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 BIORENAL\Documents\FINANCEIRO\00 - PLANILHAS DE CONTROLE\01 - PRESTACAO DE CONTAS E CONCILIACAO\"/>
    </mc:Choice>
  </mc:AlternateContent>
  <xr:revisionPtr revIDLastSave="0" documentId="13_ncr:1_{E354F112-9B44-4EC2-AA9B-9711FFCF0F38}" xr6:coauthVersionLast="47" xr6:coauthVersionMax="47" xr10:uidLastSave="{00000000-0000-0000-0000-000000000000}"/>
  <bookViews>
    <workbookView xWindow="-120" yWindow="-120" windowWidth="29040" windowHeight="15720" tabRatio="686" activeTab="1" xr2:uid="{00000000-000D-0000-FFFF-FFFF00000000}"/>
  </bookViews>
  <sheets>
    <sheet name="PAINEL" sheetId="1" r:id="rId1"/>
    <sheet name="EXTRATO" sheetId="2" r:id="rId2"/>
    <sheet name="RATEIOS" sheetId="3" r:id="rId3"/>
    <sheet name="PRESTAÇÃO DE CONTAS" sheetId="4" r:id="rId4"/>
    <sheet name="ANÁLISES" sheetId="5" r:id="rId5"/>
    <sheet name="CADASTROS" sheetId="6" r:id="rId6"/>
    <sheet name="MAPEAMENTO" sheetId="7" r:id="rId7"/>
    <sheet name="INTEGRIDADE" sheetId="8" r:id="rId8"/>
  </sheets>
  <definedNames>
    <definedName name="_xlnm._FilterDatabase" localSheetId="6" hidden="1">MAPEAMENTO!$A$4:$F$86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1" l="1"/>
  <c r="A8" i="1"/>
  <c r="N1024" i="2"/>
  <c r="D1016" i="2"/>
  <c r="D1015" i="2"/>
  <c r="B24" i="8" l="1"/>
  <c r="C23" i="8"/>
  <c r="B14" i="8"/>
  <c r="C14" i="8" s="1"/>
  <c r="C13" i="8"/>
  <c r="B11" i="8"/>
  <c r="C11" i="8" s="1"/>
  <c r="B5" i="8"/>
  <c r="C5" i="8" s="1"/>
  <c r="L92" i="6"/>
  <c r="L93" i="6" s="1"/>
  <c r="L87" i="6"/>
  <c r="L88" i="6" s="1"/>
  <c r="L89" i="6" s="1"/>
  <c r="L90" i="6" s="1"/>
  <c r="L91" i="6" s="1"/>
  <c r="L85" i="6"/>
  <c r="L86" i="6" s="1"/>
  <c r="L81" i="6"/>
  <c r="L82" i="6" s="1"/>
  <c r="L83" i="6" s="1"/>
  <c r="L84" i="6" s="1"/>
  <c r="L76" i="6"/>
  <c r="L77" i="6" s="1"/>
  <c r="L78" i="6" s="1"/>
  <c r="L79" i="6" s="1"/>
  <c r="L80" i="6" s="1"/>
  <c r="L60" i="6"/>
  <c r="L61" i="6" s="1"/>
  <c r="L62" i="6" s="1"/>
  <c r="L63" i="6" s="1"/>
  <c r="L64" i="6" s="1"/>
  <c r="L65" i="6" s="1"/>
  <c r="L66" i="6" s="1"/>
  <c r="L67" i="6" s="1"/>
  <c r="L68" i="6" s="1"/>
  <c r="L69" i="6" s="1"/>
  <c r="L70" i="6" s="1"/>
  <c r="L71" i="6" s="1"/>
  <c r="L72" i="6" s="1"/>
  <c r="L73" i="6" s="1"/>
  <c r="L74" i="6" s="1"/>
  <c r="L75" i="6" s="1"/>
  <c r="L48" i="6"/>
  <c r="L49" i="6" s="1"/>
  <c r="L50" i="6" s="1"/>
  <c r="L51" i="6" s="1"/>
  <c r="L52" i="6" s="1"/>
  <c r="L53" i="6" s="1"/>
  <c r="L54" i="6" s="1"/>
  <c r="L55" i="6" s="1"/>
  <c r="L56" i="6" s="1"/>
  <c r="L57" i="6" s="1"/>
  <c r="L58" i="6" s="1"/>
  <c r="L59" i="6" s="1"/>
  <c r="L45" i="6"/>
  <c r="L46" i="6" s="1"/>
  <c r="L47" i="6" s="1"/>
  <c r="L32" i="6"/>
  <c r="L33" i="6" s="1"/>
  <c r="L34" i="6" s="1"/>
  <c r="L35" i="6" s="1"/>
  <c r="L36" i="6" s="1"/>
  <c r="L37" i="6" s="1"/>
  <c r="L38" i="6" s="1"/>
  <c r="L39" i="6" s="1"/>
  <c r="L40" i="6" s="1"/>
  <c r="L41" i="6" s="1"/>
  <c r="L42" i="6" s="1"/>
  <c r="L43" i="6" s="1"/>
  <c r="L44" i="6" s="1"/>
  <c r="L22" i="6"/>
  <c r="L14" i="6"/>
  <c r="L15" i="6" s="1"/>
  <c r="L16" i="6" s="1"/>
  <c r="L17" i="6" s="1"/>
  <c r="L18" i="6" s="1"/>
  <c r="L19" i="6" s="1"/>
  <c r="L20" i="6" s="1"/>
  <c r="L21" i="6" s="1"/>
  <c r="L7" i="6"/>
  <c r="L8" i="6" s="1"/>
  <c r="L9" i="6" s="1"/>
  <c r="L10" i="6" s="1"/>
  <c r="L11" i="6" s="1"/>
  <c r="L12" i="6" s="1"/>
  <c r="L13" i="6" s="1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C110" i="5"/>
  <c r="D110" i="5" s="1"/>
  <c r="C109" i="5"/>
  <c r="D109" i="5" s="1"/>
  <c r="C108" i="5"/>
  <c r="D108" i="5" s="1"/>
  <c r="C107" i="5"/>
  <c r="D107" i="5" s="1"/>
  <c r="C106" i="5"/>
  <c r="D106" i="5" s="1"/>
  <c r="C105" i="5"/>
  <c r="D105" i="5" s="1"/>
  <c r="C104" i="5"/>
  <c r="D104" i="5" s="1"/>
  <c r="C103" i="5"/>
  <c r="D103" i="5" s="1"/>
  <c r="C102" i="5"/>
  <c r="D102" i="5" s="1"/>
  <c r="C101" i="5"/>
  <c r="D101" i="5" s="1"/>
  <c r="C100" i="5"/>
  <c r="D100" i="5" s="1"/>
  <c r="C99" i="5"/>
  <c r="D99" i="5" s="1"/>
  <c r="C98" i="5"/>
  <c r="D98" i="5" s="1"/>
  <c r="C97" i="5"/>
  <c r="D97" i="5" s="1"/>
  <c r="C96" i="5"/>
  <c r="D96" i="5" s="1"/>
  <c r="C95" i="5"/>
  <c r="D95" i="5" s="1"/>
  <c r="C94" i="5"/>
  <c r="D94" i="5" s="1"/>
  <c r="C93" i="5"/>
  <c r="D93" i="5" s="1"/>
  <c r="C92" i="5"/>
  <c r="D92" i="5" s="1"/>
  <c r="C91" i="5"/>
  <c r="D91" i="5" s="1"/>
  <c r="C90" i="5"/>
  <c r="D90" i="5" s="1"/>
  <c r="C89" i="5"/>
  <c r="D89" i="5" s="1"/>
  <c r="C88" i="5"/>
  <c r="D88" i="5" s="1"/>
  <c r="C87" i="5"/>
  <c r="D87" i="5" s="1"/>
  <c r="C86" i="5"/>
  <c r="D86" i="5" s="1"/>
  <c r="C85" i="5"/>
  <c r="D85" i="5" s="1"/>
  <c r="C84" i="5"/>
  <c r="D84" i="5" s="1"/>
  <c r="C83" i="5"/>
  <c r="D83" i="5" s="1"/>
  <c r="C82" i="5"/>
  <c r="D82" i="5" s="1"/>
  <c r="C81" i="5"/>
  <c r="D81" i="5" s="1"/>
  <c r="C80" i="5"/>
  <c r="D80" i="5" s="1"/>
  <c r="C79" i="5"/>
  <c r="D79" i="5" s="1"/>
  <c r="C78" i="5"/>
  <c r="D78" i="5" s="1"/>
  <c r="C77" i="5"/>
  <c r="D77" i="5" s="1"/>
  <c r="C76" i="5"/>
  <c r="C75" i="5"/>
  <c r="C74" i="5"/>
  <c r="C73" i="5"/>
  <c r="C72" i="5"/>
  <c r="C71" i="5"/>
  <c r="C69" i="5"/>
  <c r="C68" i="5"/>
  <c r="C67" i="5"/>
  <c r="C65" i="5"/>
  <c r="C64" i="5"/>
  <c r="D64" i="5" s="1"/>
  <c r="C63" i="5"/>
  <c r="D63" i="5" s="1"/>
  <c r="C62" i="5"/>
  <c r="D62" i="5" s="1"/>
  <c r="C61" i="5"/>
  <c r="D61" i="5" s="1"/>
  <c r="C60" i="5"/>
  <c r="D60" i="5" s="1"/>
  <c r="C59" i="5"/>
  <c r="D59" i="5" s="1"/>
  <c r="C58" i="5"/>
  <c r="D58" i="5" s="1"/>
  <c r="C57" i="5"/>
  <c r="D57" i="5" s="1"/>
  <c r="C56" i="5"/>
  <c r="D56" i="5" s="1"/>
  <c r="C55" i="5"/>
  <c r="D55" i="5" s="1"/>
  <c r="C54" i="5"/>
  <c r="D54" i="5" s="1"/>
  <c r="C53" i="5"/>
  <c r="D53" i="5" s="1"/>
  <c r="C52" i="5"/>
  <c r="D52" i="5" s="1"/>
  <c r="C51" i="5"/>
  <c r="D51" i="5" s="1"/>
  <c r="C50" i="5"/>
  <c r="D50" i="5" s="1"/>
  <c r="C49" i="5"/>
  <c r="D49" i="5" s="1"/>
  <c r="C48" i="5"/>
  <c r="D48" i="5" s="1"/>
  <c r="C47" i="5"/>
  <c r="D47" i="5" s="1"/>
  <c r="C46" i="5"/>
  <c r="D46" i="5" s="1"/>
  <c r="C45" i="5"/>
  <c r="D45" i="5" s="1"/>
  <c r="C44" i="5"/>
  <c r="D44" i="5" s="1"/>
  <c r="C43" i="5"/>
  <c r="D43" i="5" s="1"/>
  <c r="C42" i="5"/>
  <c r="D42" i="5" s="1"/>
  <c r="C41" i="5"/>
  <c r="D41" i="5" s="1"/>
  <c r="C40" i="5"/>
  <c r="D40" i="5" s="1"/>
  <c r="C39" i="5"/>
  <c r="D39" i="5" s="1"/>
  <c r="C38" i="5"/>
  <c r="D38" i="5" s="1"/>
  <c r="C37" i="5"/>
  <c r="D37" i="5" s="1"/>
  <c r="C36" i="5"/>
  <c r="D36" i="5" s="1"/>
  <c r="C35" i="5"/>
  <c r="D35" i="5" s="1"/>
  <c r="C34" i="5"/>
  <c r="D34" i="5" s="1"/>
  <c r="C33" i="5"/>
  <c r="D33" i="5" s="1"/>
  <c r="C32" i="5"/>
  <c r="D32" i="5" s="1"/>
  <c r="C31" i="5"/>
  <c r="D31" i="5" s="1"/>
  <c r="C30" i="5"/>
  <c r="D30" i="5" s="1"/>
  <c r="C29" i="5"/>
  <c r="D29" i="5" s="1"/>
  <c r="C28" i="5"/>
  <c r="D28" i="5" s="1"/>
  <c r="C27" i="5"/>
  <c r="D27" i="5" s="1"/>
  <c r="C26" i="5"/>
  <c r="D26" i="5" s="1"/>
  <c r="C25" i="5"/>
  <c r="D25" i="5" s="1"/>
  <c r="C24" i="5"/>
  <c r="D24" i="5" s="1"/>
  <c r="D3" i="4"/>
  <c r="B113" i="4" s="1"/>
  <c r="Q3000" i="2"/>
  <c r="N3000" i="2"/>
  <c r="D3000" i="2"/>
  <c r="B3000" i="2"/>
  <c r="A3000" i="2"/>
  <c r="O3000" i="2" s="1"/>
  <c r="Q2999" i="2"/>
  <c r="N2999" i="2"/>
  <c r="D2999" i="2"/>
  <c r="B2999" i="2"/>
  <c r="A2999" i="2"/>
  <c r="O2999" i="2" s="1"/>
  <c r="Q2998" i="2"/>
  <c r="N2998" i="2"/>
  <c r="D2998" i="2"/>
  <c r="B2998" i="2"/>
  <c r="A2998" i="2"/>
  <c r="Q2997" i="2"/>
  <c r="N2997" i="2"/>
  <c r="D2997" i="2"/>
  <c r="B2997" i="2"/>
  <c r="A2997" i="2"/>
  <c r="O2997" i="2" s="1"/>
  <c r="Q2996" i="2"/>
  <c r="N2996" i="2"/>
  <c r="D2996" i="2"/>
  <c r="B2996" i="2"/>
  <c r="A2996" i="2"/>
  <c r="P2996" i="2" s="1"/>
  <c r="Q2995" i="2"/>
  <c r="N2995" i="2"/>
  <c r="D2995" i="2"/>
  <c r="B2995" i="2"/>
  <c r="A2995" i="2"/>
  <c r="P2995" i="2" s="1"/>
  <c r="Q2994" i="2"/>
  <c r="N2994" i="2"/>
  <c r="D2994" i="2"/>
  <c r="B2994" i="2"/>
  <c r="A2994" i="2"/>
  <c r="O2994" i="2" s="1"/>
  <c r="Q2993" i="2"/>
  <c r="N2993" i="2"/>
  <c r="D2993" i="2"/>
  <c r="B2993" i="2"/>
  <c r="A2993" i="2"/>
  <c r="O2993" i="2" s="1"/>
  <c r="Q2992" i="2"/>
  <c r="N2992" i="2"/>
  <c r="D2992" i="2"/>
  <c r="B2992" i="2"/>
  <c r="A2992" i="2"/>
  <c r="P2992" i="2" s="1"/>
  <c r="Q2991" i="2"/>
  <c r="N2991" i="2"/>
  <c r="D2991" i="2"/>
  <c r="B2991" i="2"/>
  <c r="A2991" i="2"/>
  <c r="O2991" i="2" s="1"/>
  <c r="Q2990" i="2"/>
  <c r="N2990" i="2"/>
  <c r="D2990" i="2"/>
  <c r="B2990" i="2"/>
  <c r="A2990" i="2"/>
  <c r="P2990" i="2" s="1"/>
  <c r="Q2989" i="2"/>
  <c r="N2989" i="2"/>
  <c r="D2989" i="2"/>
  <c r="B2989" i="2"/>
  <c r="A2989" i="2"/>
  <c r="O2989" i="2" s="1"/>
  <c r="Q2988" i="2"/>
  <c r="N2988" i="2"/>
  <c r="D2988" i="2"/>
  <c r="B2988" i="2"/>
  <c r="A2988" i="2"/>
  <c r="P2988" i="2" s="1"/>
  <c r="Q2987" i="2"/>
  <c r="N2987" i="2"/>
  <c r="D2987" i="2"/>
  <c r="B2987" i="2"/>
  <c r="A2987" i="2"/>
  <c r="P2987" i="2" s="1"/>
  <c r="Q2986" i="2"/>
  <c r="N2986" i="2"/>
  <c r="D2986" i="2"/>
  <c r="B2986" i="2"/>
  <c r="A2986" i="2"/>
  <c r="O2986" i="2" s="1"/>
  <c r="Q2985" i="2"/>
  <c r="N2985" i="2"/>
  <c r="D2985" i="2"/>
  <c r="B2985" i="2"/>
  <c r="A2985" i="2"/>
  <c r="O2985" i="2" s="1"/>
  <c r="Q2984" i="2"/>
  <c r="N2984" i="2"/>
  <c r="D2984" i="2"/>
  <c r="B2984" i="2"/>
  <c r="A2984" i="2"/>
  <c r="P2984" i="2" s="1"/>
  <c r="Q2983" i="2"/>
  <c r="N2983" i="2"/>
  <c r="D2983" i="2"/>
  <c r="B2983" i="2"/>
  <c r="A2983" i="2"/>
  <c r="O2983" i="2" s="1"/>
  <c r="Q2982" i="2"/>
  <c r="N2982" i="2"/>
  <c r="D2982" i="2"/>
  <c r="B2982" i="2"/>
  <c r="A2982" i="2"/>
  <c r="Q2981" i="2"/>
  <c r="N2981" i="2"/>
  <c r="D2981" i="2"/>
  <c r="B2981" i="2"/>
  <c r="A2981" i="2"/>
  <c r="Q2980" i="2"/>
  <c r="N2980" i="2"/>
  <c r="D2980" i="2"/>
  <c r="B2980" i="2"/>
  <c r="A2980" i="2"/>
  <c r="O2980" i="2" s="1"/>
  <c r="Q2979" i="2"/>
  <c r="N2979" i="2"/>
  <c r="D2979" i="2"/>
  <c r="B2979" i="2"/>
  <c r="A2979" i="2"/>
  <c r="O2979" i="2" s="1"/>
  <c r="Q2978" i="2"/>
  <c r="N2978" i="2"/>
  <c r="D2978" i="2"/>
  <c r="B2978" i="2"/>
  <c r="A2978" i="2"/>
  <c r="P2978" i="2" s="1"/>
  <c r="Q2977" i="2"/>
  <c r="N2977" i="2"/>
  <c r="D2977" i="2"/>
  <c r="B2977" i="2"/>
  <c r="A2977" i="2"/>
  <c r="P2977" i="2" s="1"/>
  <c r="Q2976" i="2"/>
  <c r="N2976" i="2"/>
  <c r="D2976" i="2"/>
  <c r="B2976" i="2"/>
  <c r="A2976" i="2"/>
  <c r="P2976" i="2" s="1"/>
  <c r="Q2975" i="2"/>
  <c r="N2975" i="2"/>
  <c r="D2975" i="2"/>
  <c r="B2975" i="2"/>
  <c r="A2975" i="2"/>
  <c r="P2975" i="2" s="1"/>
  <c r="Q2974" i="2"/>
  <c r="N2974" i="2"/>
  <c r="D2974" i="2"/>
  <c r="B2974" i="2"/>
  <c r="A2974" i="2"/>
  <c r="P2974" i="2" s="1"/>
  <c r="Q2973" i="2"/>
  <c r="N2973" i="2"/>
  <c r="D2973" i="2"/>
  <c r="B2973" i="2"/>
  <c r="A2973" i="2"/>
  <c r="O2973" i="2" s="1"/>
  <c r="Q2972" i="2"/>
  <c r="N2972" i="2"/>
  <c r="D2972" i="2"/>
  <c r="B2972" i="2"/>
  <c r="A2972" i="2"/>
  <c r="O2972" i="2" s="1"/>
  <c r="Q2971" i="2"/>
  <c r="N2971" i="2"/>
  <c r="D2971" i="2"/>
  <c r="B2971" i="2"/>
  <c r="A2971" i="2"/>
  <c r="O2971" i="2" s="1"/>
  <c r="Q2970" i="2"/>
  <c r="N2970" i="2"/>
  <c r="D2970" i="2"/>
  <c r="B2970" i="2"/>
  <c r="A2970" i="2"/>
  <c r="P2970" i="2" s="1"/>
  <c r="Q2969" i="2"/>
  <c r="N2969" i="2"/>
  <c r="D2969" i="2"/>
  <c r="B2969" i="2"/>
  <c r="A2969" i="2"/>
  <c r="P2969" i="2" s="1"/>
  <c r="Q2968" i="2"/>
  <c r="N2968" i="2"/>
  <c r="D2968" i="2"/>
  <c r="B2968" i="2"/>
  <c r="A2968" i="2"/>
  <c r="P2968" i="2" s="1"/>
  <c r="Q2967" i="2"/>
  <c r="N2967" i="2"/>
  <c r="D2967" i="2"/>
  <c r="B2967" i="2"/>
  <c r="A2967" i="2"/>
  <c r="P2967" i="2" s="1"/>
  <c r="Q2966" i="2"/>
  <c r="N2966" i="2"/>
  <c r="D2966" i="2"/>
  <c r="B2966" i="2"/>
  <c r="A2966" i="2"/>
  <c r="P2966" i="2" s="1"/>
  <c r="Q2965" i="2"/>
  <c r="N2965" i="2"/>
  <c r="D2965" i="2"/>
  <c r="B2965" i="2"/>
  <c r="A2965" i="2"/>
  <c r="O2965" i="2" s="1"/>
  <c r="Q2964" i="2"/>
  <c r="N2964" i="2"/>
  <c r="D2964" i="2"/>
  <c r="B2964" i="2"/>
  <c r="A2964" i="2"/>
  <c r="Q2963" i="2"/>
  <c r="N2963" i="2"/>
  <c r="D2963" i="2"/>
  <c r="B2963" i="2"/>
  <c r="A2963" i="2"/>
  <c r="P2963" i="2" s="1"/>
  <c r="Q2962" i="2"/>
  <c r="N2962" i="2"/>
  <c r="D2962" i="2"/>
  <c r="B2962" i="2"/>
  <c r="A2962" i="2"/>
  <c r="O2962" i="2" s="1"/>
  <c r="Q2961" i="2"/>
  <c r="N2961" i="2"/>
  <c r="D2961" i="2"/>
  <c r="B2961" i="2"/>
  <c r="A2961" i="2"/>
  <c r="P2961" i="2" s="1"/>
  <c r="Q2960" i="2"/>
  <c r="N2960" i="2"/>
  <c r="D2960" i="2"/>
  <c r="B2960" i="2"/>
  <c r="A2960" i="2"/>
  <c r="O2960" i="2" s="1"/>
  <c r="Q2959" i="2"/>
  <c r="N2959" i="2"/>
  <c r="D2959" i="2"/>
  <c r="B2959" i="2"/>
  <c r="A2959" i="2"/>
  <c r="O2959" i="2" s="1"/>
  <c r="Q2958" i="2"/>
  <c r="N2958" i="2"/>
  <c r="D2958" i="2"/>
  <c r="B2958" i="2"/>
  <c r="A2958" i="2"/>
  <c r="Q2957" i="2"/>
  <c r="N2957" i="2"/>
  <c r="D2957" i="2"/>
  <c r="B2957" i="2"/>
  <c r="A2957" i="2"/>
  <c r="Q2956" i="2"/>
  <c r="N2956" i="2"/>
  <c r="D2956" i="2"/>
  <c r="B2956" i="2"/>
  <c r="A2956" i="2"/>
  <c r="O2956" i="2" s="1"/>
  <c r="Q2955" i="2"/>
  <c r="N2955" i="2"/>
  <c r="D2955" i="2"/>
  <c r="B2955" i="2"/>
  <c r="A2955" i="2"/>
  <c r="P2955" i="2" s="1"/>
  <c r="Q2954" i="2"/>
  <c r="N2954" i="2"/>
  <c r="D2954" i="2"/>
  <c r="B2954" i="2"/>
  <c r="A2954" i="2"/>
  <c r="P2954" i="2" s="1"/>
  <c r="Q2953" i="2"/>
  <c r="N2953" i="2"/>
  <c r="D2953" i="2"/>
  <c r="B2953" i="2"/>
  <c r="A2953" i="2"/>
  <c r="Q2952" i="2"/>
  <c r="N2952" i="2"/>
  <c r="D2952" i="2"/>
  <c r="B2952" i="2"/>
  <c r="A2952" i="2"/>
  <c r="Q2951" i="2"/>
  <c r="N2951" i="2"/>
  <c r="D2951" i="2"/>
  <c r="B2951" i="2"/>
  <c r="A2951" i="2"/>
  <c r="Q2950" i="2"/>
  <c r="N2950" i="2"/>
  <c r="D2950" i="2"/>
  <c r="B2950" i="2"/>
  <c r="A2950" i="2"/>
  <c r="Q2949" i="2"/>
  <c r="N2949" i="2"/>
  <c r="D2949" i="2"/>
  <c r="B2949" i="2"/>
  <c r="A2949" i="2"/>
  <c r="Q2948" i="2"/>
  <c r="N2948" i="2"/>
  <c r="D2948" i="2"/>
  <c r="B2948" i="2"/>
  <c r="A2948" i="2"/>
  <c r="P2948" i="2" s="1"/>
  <c r="Q2947" i="2"/>
  <c r="N2947" i="2"/>
  <c r="D2947" i="2"/>
  <c r="B2947" i="2"/>
  <c r="A2947" i="2"/>
  <c r="O2947" i="2" s="1"/>
  <c r="Q2946" i="2"/>
  <c r="N2946" i="2"/>
  <c r="D2946" i="2"/>
  <c r="B2946" i="2"/>
  <c r="A2946" i="2"/>
  <c r="Q2945" i="2"/>
  <c r="N2945" i="2"/>
  <c r="D2945" i="2"/>
  <c r="B2945" i="2"/>
  <c r="A2945" i="2"/>
  <c r="O2945" i="2" s="1"/>
  <c r="Q2944" i="2"/>
  <c r="N2944" i="2"/>
  <c r="D2944" i="2"/>
  <c r="B2944" i="2"/>
  <c r="A2944" i="2"/>
  <c r="O2944" i="2" s="1"/>
  <c r="Q2943" i="2"/>
  <c r="N2943" i="2"/>
  <c r="D2943" i="2"/>
  <c r="B2943" i="2"/>
  <c r="A2943" i="2"/>
  <c r="Q2942" i="2"/>
  <c r="N2942" i="2"/>
  <c r="D2942" i="2"/>
  <c r="B2942" i="2"/>
  <c r="A2942" i="2"/>
  <c r="P2942" i="2" s="1"/>
  <c r="Q2941" i="2"/>
  <c r="N2941" i="2"/>
  <c r="D2941" i="2"/>
  <c r="B2941" i="2"/>
  <c r="A2941" i="2"/>
  <c r="O2941" i="2" s="1"/>
  <c r="Q2940" i="2"/>
  <c r="N2940" i="2"/>
  <c r="D2940" i="2"/>
  <c r="B2940" i="2"/>
  <c r="A2940" i="2"/>
  <c r="O2940" i="2" s="1"/>
  <c r="Q2939" i="2"/>
  <c r="N2939" i="2"/>
  <c r="D2939" i="2"/>
  <c r="B2939" i="2"/>
  <c r="A2939" i="2"/>
  <c r="O2939" i="2" s="1"/>
  <c r="Q2938" i="2"/>
  <c r="N2938" i="2"/>
  <c r="D2938" i="2"/>
  <c r="B2938" i="2"/>
  <c r="A2938" i="2"/>
  <c r="P2938" i="2" s="1"/>
  <c r="Q2937" i="2"/>
  <c r="N2937" i="2"/>
  <c r="D2937" i="2"/>
  <c r="B2937" i="2"/>
  <c r="A2937" i="2"/>
  <c r="P2937" i="2" s="1"/>
  <c r="Q2936" i="2"/>
  <c r="N2936" i="2"/>
  <c r="D2936" i="2"/>
  <c r="B2936" i="2"/>
  <c r="A2936" i="2"/>
  <c r="O2936" i="2" s="1"/>
  <c r="Q2935" i="2"/>
  <c r="N2935" i="2"/>
  <c r="D2935" i="2"/>
  <c r="B2935" i="2"/>
  <c r="A2935" i="2"/>
  <c r="P2935" i="2" s="1"/>
  <c r="Q2934" i="2"/>
  <c r="N2934" i="2"/>
  <c r="D2934" i="2"/>
  <c r="B2934" i="2"/>
  <c r="A2934" i="2"/>
  <c r="P2934" i="2" s="1"/>
  <c r="Q2933" i="2"/>
  <c r="N2933" i="2"/>
  <c r="D2933" i="2"/>
  <c r="B2933" i="2"/>
  <c r="A2933" i="2"/>
  <c r="O2933" i="2" s="1"/>
  <c r="Q2932" i="2"/>
  <c r="N2932" i="2"/>
  <c r="D2932" i="2"/>
  <c r="B2932" i="2"/>
  <c r="A2932" i="2"/>
  <c r="Q2931" i="2"/>
  <c r="N2931" i="2"/>
  <c r="D2931" i="2"/>
  <c r="B2931" i="2"/>
  <c r="A2931" i="2"/>
  <c r="O2931" i="2" s="1"/>
  <c r="Q2930" i="2"/>
  <c r="N2930" i="2"/>
  <c r="D2930" i="2"/>
  <c r="B2930" i="2"/>
  <c r="A2930" i="2"/>
  <c r="P2930" i="2" s="1"/>
  <c r="Q2929" i="2"/>
  <c r="N2929" i="2"/>
  <c r="D2929" i="2"/>
  <c r="B2929" i="2"/>
  <c r="A2929" i="2"/>
  <c r="O2929" i="2" s="1"/>
  <c r="Q2928" i="2"/>
  <c r="N2928" i="2"/>
  <c r="D2928" i="2"/>
  <c r="B2928" i="2"/>
  <c r="A2928" i="2"/>
  <c r="P2928" i="2" s="1"/>
  <c r="Q2927" i="2"/>
  <c r="N2927" i="2"/>
  <c r="D2927" i="2"/>
  <c r="B2927" i="2"/>
  <c r="A2927" i="2"/>
  <c r="O2927" i="2" s="1"/>
  <c r="Q2926" i="2"/>
  <c r="N2926" i="2"/>
  <c r="D2926" i="2"/>
  <c r="B2926" i="2"/>
  <c r="A2926" i="2"/>
  <c r="Q2925" i="2"/>
  <c r="N2925" i="2"/>
  <c r="D2925" i="2"/>
  <c r="B2925" i="2"/>
  <c r="A2925" i="2"/>
  <c r="P2925" i="2" s="1"/>
  <c r="Q2924" i="2"/>
  <c r="N2924" i="2"/>
  <c r="D2924" i="2"/>
  <c r="B2924" i="2"/>
  <c r="A2924" i="2"/>
  <c r="O2924" i="2" s="1"/>
  <c r="Q2923" i="2"/>
  <c r="N2923" i="2"/>
  <c r="D2923" i="2"/>
  <c r="B2923" i="2"/>
  <c r="A2923" i="2"/>
  <c r="P2923" i="2" s="1"/>
  <c r="Q2922" i="2"/>
  <c r="N2922" i="2"/>
  <c r="D2922" i="2"/>
  <c r="B2922" i="2"/>
  <c r="A2922" i="2"/>
  <c r="Q2921" i="2"/>
  <c r="N2921" i="2"/>
  <c r="D2921" i="2"/>
  <c r="B2921" i="2"/>
  <c r="A2921" i="2"/>
  <c r="P2921" i="2" s="1"/>
  <c r="Q2920" i="2"/>
  <c r="N2920" i="2"/>
  <c r="D2920" i="2"/>
  <c r="B2920" i="2"/>
  <c r="A2920" i="2"/>
  <c r="O2920" i="2" s="1"/>
  <c r="Q2919" i="2"/>
  <c r="N2919" i="2"/>
  <c r="D2919" i="2"/>
  <c r="B2919" i="2"/>
  <c r="A2919" i="2"/>
  <c r="O2919" i="2" s="1"/>
  <c r="Q2918" i="2"/>
  <c r="N2918" i="2"/>
  <c r="D2918" i="2"/>
  <c r="B2918" i="2"/>
  <c r="A2918" i="2"/>
  <c r="Q2917" i="2"/>
  <c r="N2917" i="2"/>
  <c r="D2917" i="2"/>
  <c r="B2917" i="2"/>
  <c r="A2917" i="2"/>
  <c r="P2917" i="2" s="1"/>
  <c r="Q2916" i="2"/>
  <c r="N2916" i="2"/>
  <c r="D2916" i="2"/>
  <c r="B2916" i="2"/>
  <c r="A2916" i="2"/>
  <c r="P2916" i="2" s="1"/>
  <c r="Q2915" i="2"/>
  <c r="N2915" i="2"/>
  <c r="D2915" i="2"/>
  <c r="B2915" i="2"/>
  <c r="A2915" i="2"/>
  <c r="O2915" i="2" s="1"/>
  <c r="Q2914" i="2"/>
  <c r="N2914" i="2"/>
  <c r="D2914" i="2"/>
  <c r="B2914" i="2"/>
  <c r="A2914" i="2"/>
  <c r="Q2913" i="2"/>
  <c r="N2913" i="2"/>
  <c r="D2913" i="2"/>
  <c r="B2913" i="2"/>
  <c r="A2913" i="2"/>
  <c r="O2913" i="2" s="1"/>
  <c r="Q2912" i="2"/>
  <c r="N2912" i="2"/>
  <c r="D2912" i="2"/>
  <c r="B2912" i="2"/>
  <c r="A2912" i="2"/>
  <c r="O2912" i="2" s="1"/>
  <c r="Q2911" i="2"/>
  <c r="N2911" i="2"/>
  <c r="D2911" i="2"/>
  <c r="B2911" i="2"/>
  <c r="A2911" i="2"/>
  <c r="O2911" i="2" s="1"/>
  <c r="Q2910" i="2"/>
  <c r="N2910" i="2"/>
  <c r="D2910" i="2"/>
  <c r="B2910" i="2"/>
  <c r="A2910" i="2"/>
  <c r="P2910" i="2" s="1"/>
  <c r="Q2909" i="2"/>
  <c r="N2909" i="2"/>
  <c r="D2909" i="2"/>
  <c r="B2909" i="2"/>
  <c r="A2909" i="2"/>
  <c r="Q2908" i="2"/>
  <c r="N2908" i="2"/>
  <c r="D2908" i="2"/>
  <c r="B2908" i="2"/>
  <c r="A2908" i="2"/>
  <c r="P2908" i="2" s="1"/>
  <c r="Q2907" i="2"/>
  <c r="N2907" i="2"/>
  <c r="D2907" i="2"/>
  <c r="B2907" i="2"/>
  <c r="A2907" i="2"/>
  <c r="P2907" i="2" s="1"/>
  <c r="Q2906" i="2"/>
  <c r="N2906" i="2"/>
  <c r="D2906" i="2"/>
  <c r="B2906" i="2"/>
  <c r="A2906" i="2"/>
  <c r="P2906" i="2" s="1"/>
  <c r="Q2905" i="2"/>
  <c r="N2905" i="2"/>
  <c r="D2905" i="2"/>
  <c r="B2905" i="2"/>
  <c r="A2905" i="2"/>
  <c r="Q2904" i="2"/>
  <c r="N2904" i="2"/>
  <c r="D2904" i="2"/>
  <c r="B2904" i="2"/>
  <c r="A2904" i="2"/>
  <c r="O2904" i="2" s="1"/>
  <c r="Q2903" i="2"/>
  <c r="N2903" i="2"/>
  <c r="D2903" i="2"/>
  <c r="B2903" i="2"/>
  <c r="A2903" i="2"/>
  <c r="Q2902" i="2"/>
  <c r="N2902" i="2"/>
  <c r="D2902" i="2"/>
  <c r="B2902" i="2"/>
  <c r="A2902" i="2"/>
  <c r="Q2901" i="2"/>
  <c r="N2901" i="2"/>
  <c r="D2901" i="2"/>
  <c r="B2901" i="2"/>
  <c r="A2901" i="2"/>
  <c r="O2901" i="2" s="1"/>
  <c r="Q2900" i="2"/>
  <c r="N2900" i="2"/>
  <c r="D2900" i="2"/>
  <c r="B2900" i="2"/>
  <c r="A2900" i="2"/>
  <c r="Q2899" i="2"/>
  <c r="N2899" i="2"/>
  <c r="D2899" i="2"/>
  <c r="B2899" i="2"/>
  <c r="A2899" i="2"/>
  <c r="P2899" i="2" s="1"/>
  <c r="Q2898" i="2"/>
  <c r="N2898" i="2"/>
  <c r="D2898" i="2"/>
  <c r="B2898" i="2"/>
  <c r="A2898" i="2"/>
  <c r="P2898" i="2" s="1"/>
  <c r="Q2897" i="2"/>
  <c r="N2897" i="2"/>
  <c r="D2897" i="2"/>
  <c r="B2897" i="2"/>
  <c r="A2897" i="2"/>
  <c r="P2897" i="2" s="1"/>
  <c r="Q2896" i="2"/>
  <c r="N2896" i="2"/>
  <c r="D2896" i="2"/>
  <c r="B2896" i="2"/>
  <c r="A2896" i="2"/>
  <c r="O2896" i="2" s="1"/>
  <c r="Q2895" i="2"/>
  <c r="N2895" i="2"/>
  <c r="D2895" i="2"/>
  <c r="B2895" i="2"/>
  <c r="A2895" i="2"/>
  <c r="Q2894" i="2"/>
  <c r="N2894" i="2"/>
  <c r="D2894" i="2"/>
  <c r="B2894" i="2"/>
  <c r="A2894" i="2"/>
  <c r="O2894" i="2" s="1"/>
  <c r="Q2893" i="2"/>
  <c r="N2893" i="2"/>
  <c r="D2893" i="2"/>
  <c r="B2893" i="2"/>
  <c r="A2893" i="2"/>
  <c r="Q2892" i="2"/>
  <c r="N2892" i="2"/>
  <c r="D2892" i="2"/>
  <c r="B2892" i="2"/>
  <c r="A2892" i="2"/>
  <c r="O2892" i="2" s="1"/>
  <c r="Q2891" i="2"/>
  <c r="N2891" i="2"/>
  <c r="D2891" i="2"/>
  <c r="B2891" i="2"/>
  <c r="A2891" i="2"/>
  <c r="O2891" i="2" s="1"/>
  <c r="Q2890" i="2"/>
  <c r="N2890" i="2"/>
  <c r="D2890" i="2"/>
  <c r="B2890" i="2"/>
  <c r="A2890" i="2"/>
  <c r="P2890" i="2" s="1"/>
  <c r="Q2889" i="2"/>
  <c r="N2889" i="2"/>
  <c r="D2889" i="2"/>
  <c r="B2889" i="2"/>
  <c r="A2889" i="2"/>
  <c r="P2889" i="2" s="1"/>
  <c r="Q2888" i="2"/>
  <c r="N2888" i="2"/>
  <c r="D2888" i="2"/>
  <c r="B2888" i="2"/>
  <c r="A2888" i="2"/>
  <c r="P2888" i="2" s="1"/>
  <c r="Q2887" i="2"/>
  <c r="N2887" i="2"/>
  <c r="D2887" i="2"/>
  <c r="B2887" i="2"/>
  <c r="A2887" i="2"/>
  <c r="P2887" i="2" s="1"/>
  <c r="Q2886" i="2"/>
  <c r="N2886" i="2"/>
  <c r="D2886" i="2"/>
  <c r="B2886" i="2"/>
  <c r="A2886" i="2"/>
  <c r="P2886" i="2" s="1"/>
  <c r="Q2885" i="2"/>
  <c r="N2885" i="2"/>
  <c r="D2885" i="2"/>
  <c r="B2885" i="2"/>
  <c r="A2885" i="2"/>
  <c r="P2885" i="2" s="1"/>
  <c r="Q2884" i="2"/>
  <c r="N2884" i="2"/>
  <c r="D2884" i="2"/>
  <c r="B2884" i="2"/>
  <c r="A2884" i="2"/>
  <c r="O2884" i="2" s="1"/>
  <c r="Q2883" i="2"/>
  <c r="N2883" i="2"/>
  <c r="D2883" i="2"/>
  <c r="B2883" i="2"/>
  <c r="A2883" i="2"/>
  <c r="P2883" i="2" s="1"/>
  <c r="Q2882" i="2"/>
  <c r="N2882" i="2"/>
  <c r="D2882" i="2"/>
  <c r="B2882" i="2"/>
  <c r="A2882" i="2"/>
  <c r="P2882" i="2" s="1"/>
  <c r="Q2881" i="2"/>
  <c r="N2881" i="2"/>
  <c r="D2881" i="2"/>
  <c r="B2881" i="2"/>
  <c r="A2881" i="2"/>
  <c r="P2881" i="2" s="1"/>
  <c r="Q2880" i="2"/>
  <c r="N2880" i="2"/>
  <c r="D2880" i="2"/>
  <c r="B2880" i="2"/>
  <c r="A2880" i="2"/>
  <c r="O2880" i="2" s="1"/>
  <c r="Q2879" i="2"/>
  <c r="N2879" i="2"/>
  <c r="D2879" i="2"/>
  <c r="B2879" i="2"/>
  <c r="A2879" i="2"/>
  <c r="P2879" i="2" s="1"/>
  <c r="Q2878" i="2"/>
  <c r="N2878" i="2"/>
  <c r="D2878" i="2"/>
  <c r="B2878" i="2"/>
  <c r="A2878" i="2"/>
  <c r="P2878" i="2" s="1"/>
  <c r="Q2877" i="2"/>
  <c r="N2877" i="2"/>
  <c r="D2877" i="2"/>
  <c r="B2877" i="2"/>
  <c r="A2877" i="2"/>
  <c r="Q2876" i="2"/>
  <c r="N2876" i="2"/>
  <c r="D2876" i="2"/>
  <c r="B2876" i="2"/>
  <c r="A2876" i="2"/>
  <c r="Q2875" i="2"/>
  <c r="N2875" i="2"/>
  <c r="D2875" i="2"/>
  <c r="B2875" i="2"/>
  <c r="A2875" i="2"/>
  <c r="Q2874" i="2"/>
  <c r="N2874" i="2"/>
  <c r="D2874" i="2"/>
  <c r="B2874" i="2"/>
  <c r="A2874" i="2"/>
  <c r="Q2873" i="2"/>
  <c r="N2873" i="2"/>
  <c r="D2873" i="2"/>
  <c r="B2873" i="2"/>
  <c r="A2873" i="2"/>
  <c r="O2873" i="2" s="1"/>
  <c r="Q2872" i="2"/>
  <c r="N2872" i="2"/>
  <c r="D2872" i="2"/>
  <c r="B2872" i="2"/>
  <c r="A2872" i="2"/>
  <c r="P2872" i="2" s="1"/>
  <c r="Q2871" i="2"/>
  <c r="N2871" i="2"/>
  <c r="D2871" i="2"/>
  <c r="B2871" i="2"/>
  <c r="A2871" i="2"/>
  <c r="O2871" i="2" s="1"/>
  <c r="Q2870" i="2"/>
  <c r="N2870" i="2"/>
  <c r="D2870" i="2"/>
  <c r="B2870" i="2"/>
  <c r="A2870" i="2"/>
  <c r="P2870" i="2" s="1"/>
  <c r="Q2869" i="2"/>
  <c r="N2869" i="2"/>
  <c r="D2869" i="2"/>
  <c r="B2869" i="2"/>
  <c r="A2869" i="2"/>
  <c r="P2869" i="2" s="1"/>
  <c r="Q2868" i="2"/>
  <c r="N2868" i="2"/>
  <c r="D2868" i="2"/>
  <c r="B2868" i="2"/>
  <c r="A2868" i="2"/>
  <c r="P2868" i="2" s="1"/>
  <c r="Q2867" i="2"/>
  <c r="N2867" i="2"/>
  <c r="D2867" i="2"/>
  <c r="B2867" i="2"/>
  <c r="A2867" i="2"/>
  <c r="Q2866" i="2"/>
  <c r="N2866" i="2"/>
  <c r="D2866" i="2"/>
  <c r="B2866" i="2"/>
  <c r="A2866" i="2"/>
  <c r="P2866" i="2" s="1"/>
  <c r="Q2865" i="2"/>
  <c r="N2865" i="2"/>
  <c r="D2865" i="2"/>
  <c r="B2865" i="2"/>
  <c r="A2865" i="2"/>
  <c r="Q2864" i="2"/>
  <c r="N2864" i="2"/>
  <c r="D2864" i="2"/>
  <c r="B2864" i="2"/>
  <c r="A2864" i="2"/>
  <c r="Q2863" i="2"/>
  <c r="N2863" i="2"/>
  <c r="D2863" i="2"/>
  <c r="B2863" i="2"/>
  <c r="A2863" i="2"/>
  <c r="O2863" i="2" s="1"/>
  <c r="Q2862" i="2"/>
  <c r="N2862" i="2"/>
  <c r="D2862" i="2"/>
  <c r="B2862" i="2"/>
  <c r="A2862" i="2"/>
  <c r="Q2861" i="2"/>
  <c r="N2861" i="2"/>
  <c r="D2861" i="2"/>
  <c r="B2861" i="2"/>
  <c r="A2861" i="2"/>
  <c r="P2861" i="2" s="1"/>
  <c r="Q2860" i="2"/>
  <c r="N2860" i="2"/>
  <c r="D2860" i="2"/>
  <c r="B2860" i="2"/>
  <c r="A2860" i="2"/>
  <c r="O2860" i="2" s="1"/>
  <c r="Q2859" i="2"/>
  <c r="N2859" i="2"/>
  <c r="D2859" i="2"/>
  <c r="B2859" i="2"/>
  <c r="A2859" i="2"/>
  <c r="O2859" i="2" s="1"/>
  <c r="Q2858" i="2"/>
  <c r="N2858" i="2"/>
  <c r="D2858" i="2"/>
  <c r="B2858" i="2"/>
  <c r="A2858" i="2"/>
  <c r="Q2857" i="2"/>
  <c r="N2857" i="2"/>
  <c r="D2857" i="2"/>
  <c r="B2857" i="2"/>
  <c r="A2857" i="2"/>
  <c r="O2857" i="2" s="1"/>
  <c r="Q2856" i="2"/>
  <c r="N2856" i="2"/>
  <c r="D2856" i="2"/>
  <c r="B2856" i="2"/>
  <c r="A2856" i="2"/>
  <c r="O2856" i="2" s="1"/>
  <c r="Q2855" i="2"/>
  <c r="N2855" i="2"/>
  <c r="D2855" i="2"/>
  <c r="B2855" i="2"/>
  <c r="A2855" i="2"/>
  <c r="P2855" i="2" s="1"/>
  <c r="Q2854" i="2"/>
  <c r="N2854" i="2"/>
  <c r="D2854" i="2"/>
  <c r="B2854" i="2"/>
  <c r="A2854" i="2"/>
  <c r="P2854" i="2" s="1"/>
  <c r="Q2853" i="2"/>
  <c r="N2853" i="2"/>
  <c r="D2853" i="2"/>
  <c r="B2853" i="2"/>
  <c r="A2853" i="2"/>
  <c r="O2853" i="2" s="1"/>
  <c r="Q2852" i="2"/>
  <c r="N2852" i="2"/>
  <c r="D2852" i="2"/>
  <c r="B2852" i="2"/>
  <c r="A2852" i="2"/>
  <c r="Q2851" i="2"/>
  <c r="N2851" i="2"/>
  <c r="D2851" i="2"/>
  <c r="B2851" i="2"/>
  <c r="A2851" i="2"/>
  <c r="Q2850" i="2"/>
  <c r="N2850" i="2"/>
  <c r="D2850" i="2"/>
  <c r="B2850" i="2"/>
  <c r="A2850" i="2"/>
  <c r="Q2849" i="2"/>
  <c r="N2849" i="2"/>
  <c r="D2849" i="2"/>
  <c r="B2849" i="2"/>
  <c r="A2849" i="2"/>
  <c r="Q2848" i="2"/>
  <c r="N2848" i="2"/>
  <c r="D2848" i="2"/>
  <c r="B2848" i="2"/>
  <c r="A2848" i="2"/>
  <c r="P2848" i="2" s="1"/>
  <c r="Q2847" i="2"/>
  <c r="N2847" i="2"/>
  <c r="D2847" i="2"/>
  <c r="B2847" i="2"/>
  <c r="A2847" i="2"/>
  <c r="Q2846" i="2"/>
  <c r="N2846" i="2"/>
  <c r="D2846" i="2"/>
  <c r="B2846" i="2"/>
  <c r="A2846" i="2"/>
  <c r="Q2845" i="2"/>
  <c r="N2845" i="2"/>
  <c r="D2845" i="2"/>
  <c r="B2845" i="2"/>
  <c r="A2845" i="2"/>
  <c r="Q2844" i="2"/>
  <c r="N2844" i="2"/>
  <c r="D2844" i="2"/>
  <c r="B2844" i="2"/>
  <c r="A2844" i="2"/>
  <c r="O2844" i="2" s="1"/>
  <c r="Q2843" i="2"/>
  <c r="N2843" i="2"/>
  <c r="D2843" i="2"/>
  <c r="B2843" i="2"/>
  <c r="A2843" i="2"/>
  <c r="O2843" i="2" s="1"/>
  <c r="Q2842" i="2"/>
  <c r="N2842" i="2"/>
  <c r="D2842" i="2"/>
  <c r="B2842" i="2"/>
  <c r="A2842" i="2"/>
  <c r="Q2841" i="2"/>
  <c r="N2841" i="2"/>
  <c r="D2841" i="2"/>
  <c r="B2841" i="2"/>
  <c r="A2841" i="2"/>
  <c r="O2841" i="2" s="1"/>
  <c r="Q2840" i="2"/>
  <c r="N2840" i="2"/>
  <c r="D2840" i="2"/>
  <c r="B2840" i="2"/>
  <c r="A2840" i="2"/>
  <c r="O2840" i="2" s="1"/>
  <c r="Q2839" i="2"/>
  <c r="N2839" i="2"/>
  <c r="D2839" i="2"/>
  <c r="B2839" i="2"/>
  <c r="A2839" i="2"/>
  <c r="O2839" i="2" s="1"/>
  <c r="Q2838" i="2"/>
  <c r="N2838" i="2"/>
  <c r="D2838" i="2"/>
  <c r="B2838" i="2"/>
  <c r="A2838" i="2"/>
  <c r="P2838" i="2" s="1"/>
  <c r="Q2837" i="2"/>
  <c r="N2837" i="2"/>
  <c r="D2837" i="2"/>
  <c r="B2837" i="2"/>
  <c r="A2837" i="2"/>
  <c r="O2837" i="2" s="1"/>
  <c r="Q2836" i="2"/>
  <c r="N2836" i="2"/>
  <c r="D2836" i="2"/>
  <c r="B2836" i="2"/>
  <c r="A2836" i="2"/>
  <c r="O2836" i="2" s="1"/>
  <c r="Q2835" i="2"/>
  <c r="N2835" i="2"/>
  <c r="D2835" i="2"/>
  <c r="B2835" i="2"/>
  <c r="A2835" i="2"/>
  <c r="Q2834" i="2"/>
  <c r="N2834" i="2"/>
  <c r="D2834" i="2"/>
  <c r="B2834" i="2"/>
  <c r="A2834" i="2"/>
  <c r="Q2833" i="2"/>
  <c r="N2833" i="2"/>
  <c r="D2833" i="2"/>
  <c r="B2833" i="2"/>
  <c r="A2833" i="2"/>
  <c r="O2833" i="2" s="1"/>
  <c r="Q2832" i="2"/>
  <c r="N2832" i="2"/>
  <c r="D2832" i="2"/>
  <c r="B2832" i="2"/>
  <c r="A2832" i="2"/>
  <c r="Q2831" i="2"/>
  <c r="N2831" i="2"/>
  <c r="D2831" i="2"/>
  <c r="B2831" i="2"/>
  <c r="A2831" i="2"/>
  <c r="O2831" i="2" s="1"/>
  <c r="Q2830" i="2"/>
  <c r="N2830" i="2"/>
  <c r="D2830" i="2"/>
  <c r="B2830" i="2"/>
  <c r="A2830" i="2"/>
  <c r="P2830" i="2" s="1"/>
  <c r="Q2829" i="2"/>
  <c r="N2829" i="2"/>
  <c r="D2829" i="2"/>
  <c r="B2829" i="2"/>
  <c r="A2829" i="2"/>
  <c r="O2829" i="2" s="1"/>
  <c r="Q2828" i="2"/>
  <c r="N2828" i="2"/>
  <c r="D2828" i="2"/>
  <c r="B2828" i="2"/>
  <c r="A2828" i="2"/>
  <c r="Q2827" i="2"/>
  <c r="N2827" i="2"/>
  <c r="D2827" i="2"/>
  <c r="B2827" i="2"/>
  <c r="A2827" i="2"/>
  <c r="Q2826" i="2"/>
  <c r="N2826" i="2"/>
  <c r="D2826" i="2"/>
  <c r="B2826" i="2"/>
  <c r="A2826" i="2"/>
  <c r="O2826" i="2" s="1"/>
  <c r="Q2825" i="2"/>
  <c r="N2825" i="2"/>
  <c r="D2825" i="2"/>
  <c r="B2825" i="2"/>
  <c r="A2825" i="2"/>
  <c r="Q2824" i="2"/>
  <c r="N2824" i="2"/>
  <c r="D2824" i="2"/>
  <c r="B2824" i="2"/>
  <c r="A2824" i="2"/>
  <c r="O2824" i="2" s="1"/>
  <c r="Q2823" i="2"/>
  <c r="N2823" i="2"/>
  <c r="D2823" i="2"/>
  <c r="B2823" i="2"/>
  <c r="A2823" i="2"/>
  <c r="Q2822" i="2"/>
  <c r="N2822" i="2"/>
  <c r="D2822" i="2"/>
  <c r="B2822" i="2"/>
  <c r="A2822" i="2"/>
  <c r="P2822" i="2" s="1"/>
  <c r="Q2821" i="2"/>
  <c r="N2821" i="2"/>
  <c r="D2821" i="2"/>
  <c r="B2821" i="2"/>
  <c r="A2821" i="2"/>
  <c r="P2821" i="2" s="1"/>
  <c r="Q2820" i="2"/>
  <c r="N2820" i="2"/>
  <c r="D2820" i="2"/>
  <c r="B2820" i="2"/>
  <c r="A2820" i="2"/>
  <c r="O2820" i="2" s="1"/>
  <c r="Q2819" i="2"/>
  <c r="N2819" i="2"/>
  <c r="D2819" i="2"/>
  <c r="B2819" i="2"/>
  <c r="A2819" i="2"/>
  <c r="O2819" i="2" s="1"/>
  <c r="Q2818" i="2"/>
  <c r="N2818" i="2"/>
  <c r="D2818" i="2"/>
  <c r="B2818" i="2"/>
  <c r="A2818" i="2"/>
  <c r="O2818" i="2" s="1"/>
  <c r="Q2817" i="2"/>
  <c r="N2817" i="2"/>
  <c r="D2817" i="2"/>
  <c r="B2817" i="2"/>
  <c r="A2817" i="2"/>
  <c r="P2817" i="2" s="1"/>
  <c r="Q2816" i="2"/>
  <c r="N2816" i="2"/>
  <c r="D2816" i="2"/>
  <c r="B2816" i="2"/>
  <c r="A2816" i="2"/>
  <c r="Q2815" i="2"/>
  <c r="N2815" i="2"/>
  <c r="D2815" i="2"/>
  <c r="B2815" i="2"/>
  <c r="A2815" i="2"/>
  <c r="Q2814" i="2"/>
  <c r="N2814" i="2"/>
  <c r="D2814" i="2"/>
  <c r="B2814" i="2"/>
  <c r="A2814" i="2"/>
  <c r="Q2813" i="2"/>
  <c r="N2813" i="2"/>
  <c r="D2813" i="2"/>
  <c r="B2813" i="2"/>
  <c r="A2813" i="2"/>
  <c r="O2813" i="2" s="1"/>
  <c r="Q2812" i="2"/>
  <c r="N2812" i="2"/>
  <c r="D2812" i="2"/>
  <c r="B2812" i="2"/>
  <c r="A2812" i="2"/>
  <c r="Q2811" i="2"/>
  <c r="N2811" i="2"/>
  <c r="D2811" i="2"/>
  <c r="B2811" i="2"/>
  <c r="A2811" i="2"/>
  <c r="O2811" i="2" s="1"/>
  <c r="Q2810" i="2"/>
  <c r="N2810" i="2"/>
  <c r="D2810" i="2"/>
  <c r="B2810" i="2"/>
  <c r="A2810" i="2"/>
  <c r="P2810" i="2" s="1"/>
  <c r="Q2809" i="2"/>
  <c r="N2809" i="2"/>
  <c r="D2809" i="2"/>
  <c r="B2809" i="2"/>
  <c r="A2809" i="2"/>
  <c r="O2809" i="2" s="1"/>
  <c r="Q2808" i="2"/>
  <c r="N2808" i="2"/>
  <c r="D2808" i="2"/>
  <c r="B2808" i="2"/>
  <c r="A2808" i="2"/>
  <c r="P2808" i="2" s="1"/>
  <c r="Q2807" i="2"/>
  <c r="N2807" i="2"/>
  <c r="D2807" i="2"/>
  <c r="B2807" i="2"/>
  <c r="A2807" i="2"/>
  <c r="O2807" i="2" s="1"/>
  <c r="Q2806" i="2"/>
  <c r="N2806" i="2"/>
  <c r="D2806" i="2"/>
  <c r="B2806" i="2"/>
  <c r="A2806" i="2"/>
  <c r="O2806" i="2" s="1"/>
  <c r="Q2805" i="2"/>
  <c r="N2805" i="2"/>
  <c r="D2805" i="2"/>
  <c r="B2805" i="2"/>
  <c r="A2805" i="2"/>
  <c r="Q2804" i="2"/>
  <c r="N2804" i="2"/>
  <c r="D2804" i="2"/>
  <c r="B2804" i="2"/>
  <c r="A2804" i="2"/>
  <c r="P2804" i="2" s="1"/>
  <c r="Q2803" i="2"/>
  <c r="N2803" i="2"/>
  <c r="D2803" i="2"/>
  <c r="B2803" i="2"/>
  <c r="A2803" i="2"/>
  <c r="P2803" i="2" s="1"/>
  <c r="Q2802" i="2"/>
  <c r="N2802" i="2"/>
  <c r="D2802" i="2"/>
  <c r="B2802" i="2"/>
  <c r="A2802" i="2"/>
  <c r="Q2801" i="2"/>
  <c r="N2801" i="2"/>
  <c r="D2801" i="2"/>
  <c r="B2801" i="2"/>
  <c r="A2801" i="2"/>
  <c r="Q2800" i="2"/>
  <c r="N2800" i="2"/>
  <c r="D2800" i="2"/>
  <c r="B2800" i="2"/>
  <c r="A2800" i="2"/>
  <c r="Q2799" i="2"/>
  <c r="N2799" i="2"/>
  <c r="D2799" i="2"/>
  <c r="B2799" i="2"/>
  <c r="A2799" i="2"/>
  <c r="Q2798" i="2"/>
  <c r="N2798" i="2"/>
  <c r="D2798" i="2"/>
  <c r="B2798" i="2"/>
  <c r="A2798" i="2"/>
  <c r="P2798" i="2" s="1"/>
  <c r="Q2797" i="2"/>
  <c r="N2797" i="2"/>
  <c r="D2797" i="2"/>
  <c r="B2797" i="2"/>
  <c r="A2797" i="2"/>
  <c r="Q2796" i="2"/>
  <c r="N2796" i="2"/>
  <c r="D2796" i="2"/>
  <c r="B2796" i="2"/>
  <c r="A2796" i="2"/>
  <c r="Q2795" i="2"/>
  <c r="N2795" i="2"/>
  <c r="D2795" i="2"/>
  <c r="B2795" i="2"/>
  <c r="A2795" i="2"/>
  <c r="Q2794" i="2"/>
  <c r="N2794" i="2"/>
  <c r="D2794" i="2"/>
  <c r="B2794" i="2"/>
  <c r="A2794" i="2"/>
  <c r="P2794" i="2" s="1"/>
  <c r="Q2793" i="2"/>
  <c r="N2793" i="2"/>
  <c r="D2793" i="2"/>
  <c r="B2793" i="2"/>
  <c r="A2793" i="2"/>
  <c r="Q2792" i="2"/>
  <c r="N2792" i="2"/>
  <c r="D2792" i="2"/>
  <c r="B2792" i="2"/>
  <c r="A2792" i="2"/>
  <c r="O2792" i="2" s="1"/>
  <c r="Q2791" i="2"/>
  <c r="N2791" i="2"/>
  <c r="D2791" i="2"/>
  <c r="B2791" i="2"/>
  <c r="A2791" i="2"/>
  <c r="O2791" i="2" s="1"/>
  <c r="Q2790" i="2"/>
  <c r="N2790" i="2"/>
  <c r="D2790" i="2"/>
  <c r="B2790" i="2"/>
  <c r="A2790" i="2"/>
  <c r="P2790" i="2" s="1"/>
  <c r="Q2789" i="2"/>
  <c r="N2789" i="2"/>
  <c r="D2789" i="2"/>
  <c r="B2789" i="2"/>
  <c r="A2789" i="2"/>
  <c r="Q2788" i="2"/>
  <c r="N2788" i="2"/>
  <c r="D2788" i="2"/>
  <c r="B2788" i="2"/>
  <c r="A2788" i="2"/>
  <c r="P2788" i="2" s="1"/>
  <c r="Q2787" i="2"/>
  <c r="N2787" i="2"/>
  <c r="D2787" i="2"/>
  <c r="B2787" i="2"/>
  <c r="A2787" i="2"/>
  <c r="P2787" i="2" s="1"/>
  <c r="Q2786" i="2"/>
  <c r="N2786" i="2"/>
  <c r="D2786" i="2"/>
  <c r="B2786" i="2"/>
  <c r="A2786" i="2"/>
  <c r="Q2785" i="2"/>
  <c r="N2785" i="2"/>
  <c r="D2785" i="2"/>
  <c r="B2785" i="2"/>
  <c r="A2785" i="2"/>
  <c r="P2785" i="2" s="1"/>
  <c r="Q2784" i="2"/>
  <c r="N2784" i="2"/>
  <c r="D2784" i="2"/>
  <c r="B2784" i="2"/>
  <c r="A2784" i="2"/>
  <c r="O2784" i="2" s="1"/>
  <c r="Q2783" i="2"/>
  <c r="N2783" i="2"/>
  <c r="D2783" i="2"/>
  <c r="B2783" i="2"/>
  <c r="A2783" i="2"/>
  <c r="O2783" i="2" s="1"/>
  <c r="Q2782" i="2"/>
  <c r="N2782" i="2"/>
  <c r="D2782" i="2"/>
  <c r="B2782" i="2"/>
  <c r="A2782" i="2"/>
  <c r="P2782" i="2" s="1"/>
  <c r="Q2781" i="2"/>
  <c r="N2781" i="2"/>
  <c r="D2781" i="2"/>
  <c r="B2781" i="2"/>
  <c r="A2781" i="2"/>
  <c r="P2781" i="2" s="1"/>
  <c r="Q2780" i="2"/>
  <c r="N2780" i="2"/>
  <c r="D2780" i="2"/>
  <c r="B2780" i="2"/>
  <c r="A2780" i="2"/>
  <c r="Q2779" i="2"/>
  <c r="N2779" i="2"/>
  <c r="D2779" i="2"/>
  <c r="B2779" i="2"/>
  <c r="A2779" i="2"/>
  <c r="Q2778" i="2"/>
  <c r="N2778" i="2"/>
  <c r="D2778" i="2"/>
  <c r="B2778" i="2"/>
  <c r="A2778" i="2"/>
  <c r="P2778" i="2" s="1"/>
  <c r="Q2777" i="2"/>
  <c r="N2777" i="2"/>
  <c r="D2777" i="2"/>
  <c r="B2777" i="2"/>
  <c r="A2777" i="2"/>
  <c r="P2777" i="2" s="1"/>
  <c r="Q2776" i="2"/>
  <c r="N2776" i="2"/>
  <c r="D2776" i="2"/>
  <c r="B2776" i="2"/>
  <c r="A2776" i="2"/>
  <c r="O2776" i="2" s="1"/>
  <c r="Q2775" i="2"/>
  <c r="N2775" i="2"/>
  <c r="D2775" i="2"/>
  <c r="B2775" i="2"/>
  <c r="A2775" i="2"/>
  <c r="P2775" i="2" s="1"/>
  <c r="Q2774" i="2"/>
  <c r="N2774" i="2"/>
  <c r="D2774" i="2"/>
  <c r="B2774" i="2"/>
  <c r="A2774" i="2"/>
  <c r="P2774" i="2" s="1"/>
  <c r="Q2773" i="2"/>
  <c r="N2773" i="2"/>
  <c r="D2773" i="2"/>
  <c r="B2773" i="2"/>
  <c r="A2773" i="2"/>
  <c r="O2773" i="2" s="1"/>
  <c r="Q2772" i="2"/>
  <c r="N2772" i="2"/>
  <c r="D2772" i="2"/>
  <c r="B2772" i="2"/>
  <c r="A2772" i="2"/>
  <c r="P2772" i="2" s="1"/>
  <c r="Q2771" i="2"/>
  <c r="N2771" i="2"/>
  <c r="D2771" i="2"/>
  <c r="B2771" i="2"/>
  <c r="A2771" i="2"/>
  <c r="Q2770" i="2"/>
  <c r="N2770" i="2"/>
  <c r="D2770" i="2"/>
  <c r="B2770" i="2"/>
  <c r="A2770" i="2"/>
  <c r="Q2769" i="2"/>
  <c r="N2769" i="2"/>
  <c r="D2769" i="2"/>
  <c r="B2769" i="2"/>
  <c r="A2769" i="2"/>
  <c r="Q2768" i="2"/>
  <c r="N2768" i="2"/>
  <c r="D2768" i="2"/>
  <c r="B2768" i="2"/>
  <c r="A2768" i="2"/>
  <c r="Q2767" i="2"/>
  <c r="N2767" i="2"/>
  <c r="D2767" i="2"/>
  <c r="B2767" i="2"/>
  <c r="A2767" i="2"/>
  <c r="Q2766" i="2"/>
  <c r="N2766" i="2"/>
  <c r="D2766" i="2"/>
  <c r="B2766" i="2"/>
  <c r="A2766" i="2"/>
  <c r="P2766" i="2" s="1"/>
  <c r="Q2765" i="2"/>
  <c r="N2765" i="2"/>
  <c r="D2765" i="2"/>
  <c r="B2765" i="2"/>
  <c r="A2765" i="2"/>
  <c r="Q2764" i="2"/>
  <c r="N2764" i="2"/>
  <c r="D2764" i="2"/>
  <c r="B2764" i="2"/>
  <c r="A2764" i="2"/>
  <c r="O2764" i="2" s="1"/>
  <c r="Q2763" i="2"/>
  <c r="N2763" i="2"/>
  <c r="D2763" i="2"/>
  <c r="B2763" i="2"/>
  <c r="A2763" i="2"/>
  <c r="O2763" i="2" s="1"/>
  <c r="Q2762" i="2"/>
  <c r="N2762" i="2"/>
  <c r="D2762" i="2"/>
  <c r="B2762" i="2"/>
  <c r="A2762" i="2"/>
  <c r="O2762" i="2" s="1"/>
  <c r="Q2761" i="2"/>
  <c r="N2761" i="2"/>
  <c r="D2761" i="2"/>
  <c r="B2761" i="2"/>
  <c r="A2761" i="2"/>
  <c r="P2761" i="2" s="1"/>
  <c r="Q2760" i="2"/>
  <c r="N2760" i="2"/>
  <c r="D2760" i="2"/>
  <c r="B2760" i="2"/>
  <c r="A2760" i="2"/>
  <c r="O2760" i="2" s="1"/>
  <c r="Q2759" i="2"/>
  <c r="N2759" i="2"/>
  <c r="D2759" i="2"/>
  <c r="B2759" i="2"/>
  <c r="A2759" i="2"/>
  <c r="P2759" i="2" s="1"/>
  <c r="Q2758" i="2"/>
  <c r="N2758" i="2"/>
  <c r="D2758" i="2"/>
  <c r="B2758" i="2"/>
  <c r="A2758" i="2"/>
  <c r="Q2757" i="2"/>
  <c r="N2757" i="2"/>
  <c r="D2757" i="2"/>
  <c r="B2757" i="2"/>
  <c r="A2757" i="2"/>
  <c r="O2757" i="2" s="1"/>
  <c r="Q2756" i="2"/>
  <c r="N2756" i="2"/>
  <c r="D2756" i="2"/>
  <c r="B2756" i="2"/>
  <c r="A2756" i="2"/>
  <c r="O2756" i="2" s="1"/>
  <c r="Q2755" i="2"/>
  <c r="N2755" i="2"/>
  <c r="D2755" i="2"/>
  <c r="B2755" i="2"/>
  <c r="A2755" i="2"/>
  <c r="P2755" i="2" s="1"/>
  <c r="Q2754" i="2"/>
  <c r="N2754" i="2"/>
  <c r="D2754" i="2"/>
  <c r="B2754" i="2"/>
  <c r="A2754" i="2"/>
  <c r="Q2753" i="2"/>
  <c r="N2753" i="2"/>
  <c r="D2753" i="2"/>
  <c r="B2753" i="2"/>
  <c r="A2753" i="2"/>
  <c r="O2753" i="2" s="1"/>
  <c r="Q2752" i="2"/>
  <c r="N2752" i="2"/>
  <c r="D2752" i="2"/>
  <c r="B2752" i="2"/>
  <c r="A2752" i="2"/>
  <c r="P2752" i="2" s="1"/>
  <c r="Q2751" i="2"/>
  <c r="N2751" i="2"/>
  <c r="D2751" i="2"/>
  <c r="B2751" i="2"/>
  <c r="A2751" i="2"/>
  <c r="Q2750" i="2"/>
  <c r="N2750" i="2"/>
  <c r="D2750" i="2"/>
  <c r="B2750" i="2"/>
  <c r="A2750" i="2"/>
  <c r="P2750" i="2" s="1"/>
  <c r="Q2749" i="2"/>
  <c r="N2749" i="2"/>
  <c r="D2749" i="2"/>
  <c r="B2749" i="2"/>
  <c r="A2749" i="2"/>
  <c r="Q2748" i="2"/>
  <c r="N2748" i="2"/>
  <c r="D2748" i="2"/>
  <c r="B2748" i="2"/>
  <c r="A2748" i="2"/>
  <c r="P2748" i="2" s="1"/>
  <c r="Q2747" i="2"/>
  <c r="N2747" i="2"/>
  <c r="D2747" i="2"/>
  <c r="B2747" i="2"/>
  <c r="A2747" i="2"/>
  <c r="P2747" i="2" s="1"/>
  <c r="Q2746" i="2"/>
  <c r="N2746" i="2"/>
  <c r="D2746" i="2"/>
  <c r="B2746" i="2"/>
  <c r="A2746" i="2"/>
  <c r="Q2745" i="2"/>
  <c r="N2745" i="2"/>
  <c r="D2745" i="2"/>
  <c r="B2745" i="2"/>
  <c r="A2745" i="2"/>
  <c r="Q2744" i="2"/>
  <c r="N2744" i="2"/>
  <c r="D2744" i="2"/>
  <c r="B2744" i="2"/>
  <c r="A2744" i="2"/>
  <c r="P2744" i="2" s="1"/>
  <c r="Q2743" i="2"/>
  <c r="N2743" i="2"/>
  <c r="D2743" i="2"/>
  <c r="B2743" i="2"/>
  <c r="A2743" i="2"/>
  <c r="P2743" i="2" s="1"/>
  <c r="Q2742" i="2"/>
  <c r="N2742" i="2"/>
  <c r="D2742" i="2"/>
  <c r="B2742" i="2"/>
  <c r="A2742" i="2"/>
  <c r="Q2741" i="2"/>
  <c r="N2741" i="2"/>
  <c r="D2741" i="2"/>
  <c r="B2741" i="2"/>
  <c r="A2741" i="2"/>
  <c r="P2741" i="2" s="1"/>
  <c r="Q2740" i="2"/>
  <c r="N2740" i="2"/>
  <c r="D2740" i="2"/>
  <c r="B2740" i="2"/>
  <c r="A2740" i="2"/>
  <c r="O2740" i="2" s="1"/>
  <c r="Q2739" i="2"/>
  <c r="N2739" i="2"/>
  <c r="D2739" i="2"/>
  <c r="B2739" i="2"/>
  <c r="A2739" i="2"/>
  <c r="O2739" i="2" s="1"/>
  <c r="Q2738" i="2"/>
  <c r="N2738" i="2"/>
  <c r="D2738" i="2"/>
  <c r="B2738" i="2"/>
  <c r="A2738" i="2"/>
  <c r="O2738" i="2" s="1"/>
  <c r="Q2737" i="2"/>
  <c r="N2737" i="2"/>
  <c r="D2737" i="2"/>
  <c r="B2737" i="2"/>
  <c r="A2737" i="2"/>
  <c r="O2737" i="2" s="1"/>
  <c r="Q2736" i="2"/>
  <c r="N2736" i="2"/>
  <c r="D2736" i="2"/>
  <c r="B2736" i="2"/>
  <c r="A2736" i="2"/>
  <c r="Q2735" i="2"/>
  <c r="N2735" i="2"/>
  <c r="D2735" i="2"/>
  <c r="B2735" i="2"/>
  <c r="A2735" i="2"/>
  <c r="O2735" i="2" s="1"/>
  <c r="Q2734" i="2"/>
  <c r="N2734" i="2"/>
  <c r="D2734" i="2"/>
  <c r="B2734" i="2"/>
  <c r="A2734" i="2"/>
  <c r="P2734" i="2" s="1"/>
  <c r="Q2733" i="2"/>
  <c r="N2733" i="2"/>
  <c r="D2733" i="2"/>
  <c r="B2733" i="2"/>
  <c r="A2733" i="2"/>
  <c r="Q2732" i="2"/>
  <c r="N2732" i="2"/>
  <c r="D2732" i="2"/>
  <c r="B2732" i="2"/>
  <c r="A2732" i="2"/>
  <c r="O2732" i="2" s="1"/>
  <c r="Q2731" i="2"/>
  <c r="N2731" i="2"/>
  <c r="D2731" i="2"/>
  <c r="B2731" i="2"/>
  <c r="A2731" i="2"/>
  <c r="O2731" i="2" s="1"/>
  <c r="Q2730" i="2"/>
  <c r="N2730" i="2"/>
  <c r="D2730" i="2"/>
  <c r="B2730" i="2"/>
  <c r="A2730" i="2"/>
  <c r="P2730" i="2" s="1"/>
  <c r="Q2729" i="2"/>
  <c r="N2729" i="2"/>
  <c r="D2729" i="2"/>
  <c r="B2729" i="2"/>
  <c r="A2729" i="2"/>
  <c r="O2729" i="2" s="1"/>
  <c r="Q2728" i="2"/>
  <c r="N2728" i="2"/>
  <c r="D2728" i="2"/>
  <c r="B2728" i="2"/>
  <c r="A2728" i="2"/>
  <c r="Q2727" i="2"/>
  <c r="N2727" i="2"/>
  <c r="D2727" i="2"/>
  <c r="B2727" i="2"/>
  <c r="A2727" i="2"/>
  <c r="P2727" i="2" s="1"/>
  <c r="Q2726" i="2"/>
  <c r="N2726" i="2"/>
  <c r="D2726" i="2"/>
  <c r="B2726" i="2"/>
  <c r="A2726" i="2"/>
  <c r="Q2725" i="2"/>
  <c r="N2725" i="2"/>
  <c r="D2725" i="2"/>
  <c r="B2725" i="2"/>
  <c r="A2725" i="2"/>
  <c r="P2725" i="2" s="1"/>
  <c r="Q2724" i="2"/>
  <c r="N2724" i="2"/>
  <c r="D2724" i="2"/>
  <c r="B2724" i="2"/>
  <c r="A2724" i="2"/>
  <c r="P2724" i="2" s="1"/>
  <c r="Q2723" i="2"/>
  <c r="N2723" i="2"/>
  <c r="D2723" i="2"/>
  <c r="B2723" i="2"/>
  <c r="A2723" i="2"/>
  <c r="O2723" i="2" s="1"/>
  <c r="Q2722" i="2"/>
  <c r="N2722" i="2"/>
  <c r="D2722" i="2"/>
  <c r="B2722" i="2"/>
  <c r="A2722" i="2"/>
  <c r="O2722" i="2" s="1"/>
  <c r="Q2721" i="2"/>
  <c r="N2721" i="2"/>
  <c r="D2721" i="2"/>
  <c r="B2721" i="2"/>
  <c r="A2721" i="2"/>
  <c r="Q2720" i="2"/>
  <c r="N2720" i="2"/>
  <c r="D2720" i="2"/>
  <c r="B2720" i="2"/>
  <c r="A2720" i="2"/>
  <c r="Q2719" i="2"/>
  <c r="N2719" i="2"/>
  <c r="D2719" i="2"/>
  <c r="B2719" i="2"/>
  <c r="A2719" i="2"/>
  <c r="Q2718" i="2"/>
  <c r="N2718" i="2"/>
  <c r="D2718" i="2"/>
  <c r="B2718" i="2"/>
  <c r="A2718" i="2"/>
  <c r="Q2717" i="2"/>
  <c r="N2717" i="2"/>
  <c r="D2717" i="2"/>
  <c r="B2717" i="2"/>
  <c r="A2717" i="2"/>
  <c r="P2717" i="2" s="1"/>
  <c r="Q2716" i="2"/>
  <c r="N2716" i="2"/>
  <c r="D2716" i="2"/>
  <c r="B2716" i="2"/>
  <c r="A2716" i="2"/>
  <c r="P2716" i="2" s="1"/>
  <c r="Q2715" i="2"/>
  <c r="N2715" i="2"/>
  <c r="D2715" i="2"/>
  <c r="B2715" i="2"/>
  <c r="A2715" i="2"/>
  <c r="P2715" i="2" s="1"/>
  <c r="Q2714" i="2"/>
  <c r="N2714" i="2"/>
  <c r="D2714" i="2"/>
  <c r="B2714" i="2"/>
  <c r="A2714" i="2"/>
  <c r="Q2713" i="2"/>
  <c r="N2713" i="2"/>
  <c r="D2713" i="2"/>
  <c r="B2713" i="2"/>
  <c r="A2713" i="2"/>
  <c r="O2713" i="2" s="1"/>
  <c r="Q2712" i="2"/>
  <c r="N2712" i="2"/>
  <c r="D2712" i="2"/>
  <c r="B2712" i="2"/>
  <c r="A2712" i="2"/>
  <c r="O2712" i="2" s="1"/>
  <c r="Q2711" i="2"/>
  <c r="N2711" i="2"/>
  <c r="D2711" i="2"/>
  <c r="B2711" i="2"/>
  <c r="A2711" i="2"/>
  <c r="Q2710" i="2"/>
  <c r="N2710" i="2"/>
  <c r="D2710" i="2"/>
  <c r="B2710" i="2"/>
  <c r="A2710" i="2"/>
  <c r="Q2709" i="2"/>
  <c r="N2709" i="2"/>
  <c r="D2709" i="2"/>
  <c r="B2709" i="2"/>
  <c r="A2709" i="2"/>
  <c r="P2709" i="2" s="1"/>
  <c r="Q2708" i="2"/>
  <c r="N2708" i="2"/>
  <c r="D2708" i="2"/>
  <c r="B2708" i="2"/>
  <c r="A2708" i="2"/>
  <c r="Q2707" i="2"/>
  <c r="N2707" i="2"/>
  <c r="D2707" i="2"/>
  <c r="B2707" i="2"/>
  <c r="A2707" i="2"/>
  <c r="Q2706" i="2"/>
  <c r="N2706" i="2"/>
  <c r="D2706" i="2"/>
  <c r="B2706" i="2"/>
  <c r="A2706" i="2"/>
  <c r="P2706" i="2" s="1"/>
  <c r="Q2705" i="2"/>
  <c r="N2705" i="2"/>
  <c r="D2705" i="2"/>
  <c r="B2705" i="2"/>
  <c r="A2705" i="2"/>
  <c r="P2705" i="2" s="1"/>
  <c r="Q2704" i="2"/>
  <c r="N2704" i="2"/>
  <c r="D2704" i="2"/>
  <c r="B2704" i="2"/>
  <c r="A2704" i="2"/>
  <c r="Q2703" i="2"/>
  <c r="N2703" i="2"/>
  <c r="D2703" i="2"/>
  <c r="B2703" i="2"/>
  <c r="A2703" i="2"/>
  <c r="O2703" i="2" s="1"/>
  <c r="Q2702" i="2"/>
  <c r="N2702" i="2"/>
  <c r="D2702" i="2"/>
  <c r="B2702" i="2"/>
  <c r="A2702" i="2"/>
  <c r="O2702" i="2" s="1"/>
  <c r="Q2701" i="2"/>
  <c r="N2701" i="2"/>
  <c r="D2701" i="2"/>
  <c r="B2701" i="2"/>
  <c r="A2701" i="2"/>
  <c r="P2701" i="2" s="1"/>
  <c r="Q2700" i="2"/>
  <c r="N2700" i="2"/>
  <c r="D2700" i="2"/>
  <c r="B2700" i="2"/>
  <c r="A2700" i="2"/>
  <c r="Q2699" i="2"/>
  <c r="N2699" i="2"/>
  <c r="D2699" i="2"/>
  <c r="B2699" i="2"/>
  <c r="A2699" i="2"/>
  <c r="P2699" i="2" s="1"/>
  <c r="Q2698" i="2"/>
  <c r="N2698" i="2"/>
  <c r="D2698" i="2"/>
  <c r="B2698" i="2"/>
  <c r="A2698" i="2"/>
  <c r="P2698" i="2" s="1"/>
  <c r="Q2697" i="2"/>
  <c r="N2697" i="2"/>
  <c r="D2697" i="2"/>
  <c r="B2697" i="2"/>
  <c r="A2697" i="2"/>
  <c r="Q2696" i="2"/>
  <c r="N2696" i="2"/>
  <c r="D2696" i="2"/>
  <c r="B2696" i="2"/>
  <c r="A2696" i="2"/>
  <c r="P2696" i="2" s="1"/>
  <c r="Q2695" i="2"/>
  <c r="N2695" i="2"/>
  <c r="D2695" i="2"/>
  <c r="B2695" i="2"/>
  <c r="A2695" i="2"/>
  <c r="Q2694" i="2"/>
  <c r="N2694" i="2"/>
  <c r="D2694" i="2"/>
  <c r="B2694" i="2"/>
  <c r="A2694" i="2"/>
  <c r="Q2693" i="2"/>
  <c r="N2693" i="2"/>
  <c r="D2693" i="2"/>
  <c r="B2693" i="2"/>
  <c r="A2693" i="2"/>
  <c r="Q2692" i="2"/>
  <c r="N2692" i="2"/>
  <c r="D2692" i="2"/>
  <c r="B2692" i="2"/>
  <c r="A2692" i="2"/>
  <c r="O2692" i="2" s="1"/>
  <c r="Q2691" i="2"/>
  <c r="N2691" i="2"/>
  <c r="D2691" i="2"/>
  <c r="B2691" i="2"/>
  <c r="A2691" i="2"/>
  <c r="Q2690" i="2"/>
  <c r="N2690" i="2"/>
  <c r="D2690" i="2"/>
  <c r="B2690" i="2"/>
  <c r="A2690" i="2"/>
  <c r="Q2689" i="2"/>
  <c r="N2689" i="2"/>
  <c r="D2689" i="2"/>
  <c r="B2689" i="2"/>
  <c r="A2689" i="2"/>
  <c r="O2689" i="2" s="1"/>
  <c r="Q2688" i="2"/>
  <c r="N2688" i="2"/>
  <c r="D2688" i="2"/>
  <c r="B2688" i="2"/>
  <c r="A2688" i="2"/>
  <c r="Q2687" i="2"/>
  <c r="N2687" i="2"/>
  <c r="D2687" i="2"/>
  <c r="B2687" i="2"/>
  <c r="A2687" i="2"/>
  <c r="O2687" i="2" s="1"/>
  <c r="Q2686" i="2"/>
  <c r="N2686" i="2"/>
  <c r="D2686" i="2"/>
  <c r="B2686" i="2"/>
  <c r="A2686" i="2"/>
  <c r="Q2685" i="2"/>
  <c r="N2685" i="2"/>
  <c r="D2685" i="2"/>
  <c r="B2685" i="2"/>
  <c r="A2685" i="2"/>
  <c r="Q2684" i="2"/>
  <c r="N2684" i="2"/>
  <c r="D2684" i="2"/>
  <c r="B2684" i="2"/>
  <c r="A2684" i="2"/>
  <c r="P2684" i="2" s="1"/>
  <c r="Q2683" i="2"/>
  <c r="N2683" i="2"/>
  <c r="D2683" i="2"/>
  <c r="B2683" i="2"/>
  <c r="A2683" i="2"/>
  <c r="O2683" i="2" s="1"/>
  <c r="Q2682" i="2"/>
  <c r="N2682" i="2"/>
  <c r="D2682" i="2"/>
  <c r="B2682" i="2"/>
  <c r="A2682" i="2"/>
  <c r="Q2681" i="2"/>
  <c r="N2681" i="2"/>
  <c r="D2681" i="2"/>
  <c r="B2681" i="2"/>
  <c r="A2681" i="2"/>
  <c r="O2681" i="2" s="1"/>
  <c r="Q2680" i="2"/>
  <c r="N2680" i="2"/>
  <c r="D2680" i="2"/>
  <c r="B2680" i="2"/>
  <c r="A2680" i="2"/>
  <c r="Q2679" i="2"/>
  <c r="N2679" i="2"/>
  <c r="D2679" i="2"/>
  <c r="B2679" i="2"/>
  <c r="A2679" i="2"/>
  <c r="P2679" i="2" s="1"/>
  <c r="Q2678" i="2"/>
  <c r="N2678" i="2"/>
  <c r="D2678" i="2"/>
  <c r="B2678" i="2"/>
  <c r="A2678" i="2"/>
  <c r="Q2677" i="2"/>
  <c r="N2677" i="2"/>
  <c r="D2677" i="2"/>
  <c r="B2677" i="2"/>
  <c r="A2677" i="2"/>
  <c r="Q2676" i="2"/>
  <c r="N2676" i="2"/>
  <c r="D2676" i="2"/>
  <c r="B2676" i="2"/>
  <c r="A2676" i="2"/>
  <c r="P2676" i="2" s="1"/>
  <c r="Q2675" i="2"/>
  <c r="N2675" i="2"/>
  <c r="D2675" i="2"/>
  <c r="B2675" i="2"/>
  <c r="A2675" i="2"/>
  <c r="P2675" i="2" s="1"/>
  <c r="Q2674" i="2"/>
  <c r="N2674" i="2"/>
  <c r="D2674" i="2"/>
  <c r="B2674" i="2"/>
  <c r="A2674" i="2"/>
  <c r="O2674" i="2" s="1"/>
  <c r="Q2673" i="2"/>
  <c r="N2673" i="2"/>
  <c r="D2673" i="2"/>
  <c r="B2673" i="2"/>
  <c r="A2673" i="2"/>
  <c r="P2673" i="2" s="1"/>
  <c r="Q2672" i="2"/>
  <c r="N2672" i="2"/>
  <c r="D2672" i="2"/>
  <c r="B2672" i="2"/>
  <c r="A2672" i="2"/>
  <c r="O2672" i="2" s="1"/>
  <c r="Q2671" i="2"/>
  <c r="N2671" i="2"/>
  <c r="D2671" i="2"/>
  <c r="B2671" i="2"/>
  <c r="A2671" i="2"/>
  <c r="O2671" i="2" s="1"/>
  <c r="Q2670" i="2"/>
  <c r="N2670" i="2"/>
  <c r="D2670" i="2"/>
  <c r="B2670" i="2"/>
  <c r="A2670" i="2"/>
  <c r="Q2669" i="2"/>
  <c r="N2669" i="2"/>
  <c r="D2669" i="2"/>
  <c r="B2669" i="2"/>
  <c r="A2669" i="2"/>
  <c r="P2669" i="2" s="1"/>
  <c r="Q2668" i="2"/>
  <c r="N2668" i="2"/>
  <c r="D2668" i="2"/>
  <c r="B2668" i="2"/>
  <c r="A2668" i="2"/>
  <c r="P2668" i="2" s="1"/>
  <c r="Q2667" i="2"/>
  <c r="N2667" i="2"/>
  <c r="D2667" i="2"/>
  <c r="B2667" i="2"/>
  <c r="A2667" i="2"/>
  <c r="P2667" i="2" s="1"/>
  <c r="Q2666" i="2"/>
  <c r="N2666" i="2"/>
  <c r="D2666" i="2"/>
  <c r="B2666" i="2"/>
  <c r="A2666" i="2"/>
  <c r="O2666" i="2" s="1"/>
  <c r="Q2665" i="2"/>
  <c r="N2665" i="2"/>
  <c r="D2665" i="2"/>
  <c r="B2665" i="2"/>
  <c r="A2665" i="2"/>
  <c r="Q2664" i="2"/>
  <c r="N2664" i="2"/>
  <c r="D2664" i="2"/>
  <c r="B2664" i="2"/>
  <c r="A2664" i="2"/>
  <c r="P2664" i="2" s="1"/>
  <c r="Q2663" i="2"/>
  <c r="N2663" i="2"/>
  <c r="D2663" i="2"/>
  <c r="B2663" i="2"/>
  <c r="A2663" i="2"/>
  <c r="O2663" i="2" s="1"/>
  <c r="Q2662" i="2"/>
  <c r="N2662" i="2"/>
  <c r="D2662" i="2"/>
  <c r="B2662" i="2"/>
  <c r="A2662" i="2"/>
  <c r="Q2661" i="2"/>
  <c r="N2661" i="2"/>
  <c r="D2661" i="2"/>
  <c r="B2661" i="2"/>
  <c r="A2661" i="2"/>
  <c r="Q2660" i="2"/>
  <c r="N2660" i="2"/>
  <c r="D2660" i="2"/>
  <c r="B2660" i="2"/>
  <c r="A2660" i="2"/>
  <c r="P2660" i="2" s="1"/>
  <c r="Q2659" i="2"/>
  <c r="N2659" i="2"/>
  <c r="D2659" i="2"/>
  <c r="B2659" i="2"/>
  <c r="A2659" i="2"/>
  <c r="P2659" i="2" s="1"/>
  <c r="Q2658" i="2"/>
  <c r="N2658" i="2"/>
  <c r="D2658" i="2"/>
  <c r="B2658" i="2"/>
  <c r="A2658" i="2"/>
  <c r="Q2657" i="2"/>
  <c r="N2657" i="2"/>
  <c r="D2657" i="2"/>
  <c r="B2657" i="2"/>
  <c r="A2657" i="2"/>
  <c r="Q2656" i="2"/>
  <c r="N2656" i="2"/>
  <c r="D2656" i="2"/>
  <c r="B2656" i="2"/>
  <c r="A2656" i="2"/>
  <c r="P2656" i="2" s="1"/>
  <c r="Q2655" i="2"/>
  <c r="N2655" i="2"/>
  <c r="D2655" i="2"/>
  <c r="B2655" i="2"/>
  <c r="A2655" i="2"/>
  <c r="Q2654" i="2"/>
  <c r="N2654" i="2"/>
  <c r="D2654" i="2"/>
  <c r="B2654" i="2"/>
  <c r="A2654" i="2"/>
  <c r="P2654" i="2" s="1"/>
  <c r="Q2653" i="2"/>
  <c r="N2653" i="2"/>
  <c r="D2653" i="2"/>
  <c r="B2653" i="2"/>
  <c r="A2653" i="2"/>
  <c r="O2653" i="2" s="1"/>
  <c r="Q2652" i="2"/>
  <c r="N2652" i="2"/>
  <c r="D2652" i="2"/>
  <c r="B2652" i="2"/>
  <c r="A2652" i="2"/>
  <c r="Q2651" i="2"/>
  <c r="N2651" i="2"/>
  <c r="D2651" i="2"/>
  <c r="B2651" i="2"/>
  <c r="A2651" i="2"/>
  <c r="Q2650" i="2"/>
  <c r="N2650" i="2"/>
  <c r="D2650" i="2"/>
  <c r="B2650" i="2"/>
  <c r="A2650" i="2"/>
  <c r="O2650" i="2" s="1"/>
  <c r="Q2649" i="2"/>
  <c r="N2649" i="2"/>
  <c r="D2649" i="2"/>
  <c r="B2649" i="2"/>
  <c r="A2649" i="2"/>
  <c r="Q2648" i="2"/>
  <c r="N2648" i="2"/>
  <c r="D2648" i="2"/>
  <c r="B2648" i="2"/>
  <c r="A2648" i="2"/>
  <c r="Q2647" i="2"/>
  <c r="N2647" i="2"/>
  <c r="D2647" i="2"/>
  <c r="B2647" i="2"/>
  <c r="A2647" i="2"/>
  <c r="P2647" i="2" s="1"/>
  <c r="Q2646" i="2"/>
  <c r="N2646" i="2"/>
  <c r="D2646" i="2"/>
  <c r="B2646" i="2"/>
  <c r="A2646" i="2"/>
  <c r="Q2645" i="2"/>
  <c r="N2645" i="2"/>
  <c r="D2645" i="2"/>
  <c r="B2645" i="2"/>
  <c r="A2645" i="2"/>
  <c r="P2645" i="2" s="1"/>
  <c r="Q2644" i="2"/>
  <c r="N2644" i="2"/>
  <c r="D2644" i="2"/>
  <c r="B2644" i="2"/>
  <c r="A2644" i="2"/>
  <c r="Q2643" i="2"/>
  <c r="N2643" i="2"/>
  <c r="D2643" i="2"/>
  <c r="B2643" i="2"/>
  <c r="A2643" i="2"/>
  <c r="P2643" i="2" s="1"/>
  <c r="Q2642" i="2"/>
  <c r="N2642" i="2"/>
  <c r="D2642" i="2"/>
  <c r="B2642" i="2"/>
  <c r="A2642" i="2"/>
  <c r="Q2641" i="2"/>
  <c r="N2641" i="2"/>
  <c r="D2641" i="2"/>
  <c r="B2641" i="2"/>
  <c r="A2641" i="2"/>
  <c r="Q2640" i="2"/>
  <c r="N2640" i="2"/>
  <c r="D2640" i="2"/>
  <c r="B2640" i="2"/>
  <c r="A2640" i="2"/>
  <c r="Q2639" i="2"/>
  <c r="N2639" i="2"/>
  <c r="D2639" i="2"/>
  <c r="B2639" i="2"/>
  <c r="A2639" i="2"/>
  <c r="Q2638" i="2"/>
  <c r="N2638" i="2"/>
  <c r="D2638" i="2"/>
  <c r="B2638" i="2"/>
  <c r="A2638" i="2"/>
  <c r="P2638" i="2" s="1"/>
  <c r="Q2637" i="2"/>
  <c r="N2637" i="2"/>
  <c r="D2637" i="2"/>
  <c r="B2637" i="2"/>
  <c r="A2637" i="2"/>
  <c r="P2637" i="2" s="1"/>
  <c r="Q2636" i="2"/>
  <c r="N2636" i="2"/>
  <c r="D2636" i="2"/>
  <c r="B2636" i="2"/>
  <c r="A2636" i="2"/>
  <c r="Q2635" i="2"/>
  <c r="N2635" i="2"/>
  <c r="D2635" i="2"/>
  <c r="B2635" i="2"/>
  <c r="A2635" i="2"/>
  <c r="O2635" i="2" s="1"/>
  <c r="Q2634" i="2"/>
  <c r="N2634" i="2"/>
  <c r="D2634" i="2"/>
  <c r="B2634" i="2"/>
  <c r="A2634" i="2"/>
  <c r="P2634" i="2" s="1"/>
  <c r="Q2633" i="2"/>
  <c r="N2633" i="2"/>
  <c r="D2633" i="2"/>
  <c r="B2633" i="2"/>
  <c r="A2633" i="2"/>
  <c r="P2633" i="2" s="1"/>
  <c r="Q2632" i="2"/>
  <c r="N2632" i="2"/>
  <c r="D2632" i="2"/>
  <c r="B2632" i="2"/>
  <c r="A2632" i="2"/>
  <c r="P2632" i="2" s="1"/>
  <c r="Q2631" i="2"/>
  <c r="N2631" i="2"/>
  <c r="D2631" i="2"/>
  <c r="B2631" i="2"/>
  <c r="A2631" i="2"/>
  <c r="Q2630" i="2"/>
  <c r="N2630" i="2"/>
  <c r="D2630" i="2"/>
  <c r="B2630" i="2"/>
  <c r="A2630" i="2"/>
  <c r="O2630" i="2" s="1"/>
  <c r="Q2629" i="2"/>
  <c r="N2629" i="2"/>
  <c r="D2629" i="2"/>
  <c r="B2629" i="2"/>
  <c r="A2629" i="2"/>
  <c r="O2629" i="2" s="1"/>
  <c r="Q2628" i="2"/>
  <c r="N2628" i="2"/>
  <c r="D2628" i="2"/>
  <c r="B2628" i="2"/>
  <c r="A2628" i="2"/>
  <c r="O2628" i="2" s="1"/>
  <c r="Q2627" i="2"/>
  <c r="N2627" i="2"/>
  <c r="D2627" i="2"/>
  <c r="B2627" i="2"/>
  <c r="A2627" i="2"/>
  <c r="O2627" i="2" s="1"/>
  <c r="Q2626" i="2"/>
  <c r="N2626" i="2"/>
  <c r="D2626" i="2"/>
  <c r="B2626" i="2"/>
  <c r="A2626" i="2"/>
  <c r="Q2625" i="2"/>
  <c r="N2625" i="2"/>
  <c r="D2625" i="2"/>
  <c r="B2625" i="2"/>
  <c r="A2625" i="2"/>
  <c r="P2625" i="2" s="1"/>
  <c r="Q2624" i="2"/>
  <c r="N2624" i="2"/>
  <c r="D2624" i="2"/>
  <c r="B2624" i="2"/>
  <c r="A2624" i="2"/>
  <c r="Q2623" i="2"/>
  <c r="N2623" i="2"/>
  <c r="D2623" i="2"/>
  <c r="B2623" i="2"/>
  <c r="A2623" i="2"/>
  <c r="Q2622" i="2"/>
  <c r="N2622" i="2"/>
  <c r="D2622" i="2"/>
  <c r="B2622" i="2"/>
  <c r="A2622" i="2"/>
  <c r="Q2621" i="2"/>
  <c r="N2621" i="2"/>
  <c r="D2621" i="2"/>
  <c r="B2621" i="2"/>
  <c r="A2621" i="2"/>
  <c r="Q2620" i="2"/>
  <c r="N2620" i="2"/>
  <c r="D2620" i="2"/>
  <c r="B2620" i="2"/>
  <c r="A2620" i="2"/>
  <c r="O2620" i="2" s="1"/>
  <c r="Q2619" i="2"/>
  <c r="N2619" i="2"/>
  <c r="D2619" i="2"/>
  <c r="B2619" i="2"/>
  <c r="A2619" i="2"/>
  <c r="Q2618" i="2"/>
  <c r="N2618" i="2"/>
  <c r="D2618" i="2"/>
  <c r="B2618" i="2"/>
  <c r="A2618" i="2"/>
  <c r="Q2617" i="2"/>
  <c r="N2617" i="2"/>
  <c r="D2617" i="2"/>
  <c r="B2617" i="2"/>
  <c r="A2617" i="2"/>
  <c r="P2617" i="2" s="1"/>
  <c r="Q2616" i="2"/>
  <c r="N2616" i="2"/>
  <c r="D2616" i="2"/>
  <c r="B2616" i="2"/>
  <c r="A2616" i="2"/>
  <c r="Q2615" i="2"/>
  <c r="N2615" i="2"/>
  <c r="D2615" i="2"/>
  <c r="B2615" i="2"/>
  <c r="A2615" i="2"/>
  <c r="O2615" i="2" s="1"/>
  <c r="Q2614" i="2"/>
  <c r="N2614" i="2"/>
  <c r="D2614" i="2"/>
  <c r="B2614" i="2"/>
  <c r="A2614" i="2"/>
  <c r="P2614" i="2" s="1"/>
  <c r="Q2613" i="2"/>
  <c r="N2613" i="2"/>
  <c r="D2613" i="2"/>
  <c r="B2613" i="2"/>
  <c r="A2613" i="2"/>
  <c r="Q2612" i="2"/>
  <c r="N2612" i="2"/>
  <c r="D2612" i="2"/>
  <c r="B2612" i="2"/>
  <c r="A2612" i="2"/>
  <c r="P2612" i="2" s="1"/>
  <c r="Q2611" i="2"/>
  <c r="N2611" i="2"/>
  <c r="D2611" i="2"/>
  <c r="B2611" i="2"/>
  <c r="A2611" i="2"/>
  <c r="Q2610" i="2"/>
  <c r="N2610" i="2"/>
  <c r="D2610" i="2"/>
  <c r="B2610" i="2"/>
  <c r="A2610" i="2"/>
  <c r="O2610" i="2" s="1"/>
  <c r="Q2609" i="2"/>
  <c r="N2609" i="2"/>
  <c r="D2609" i="2"/>
  <c r="B2609" i="2"/>
  <c r="A2609" i="2"/>
  <c r="Q2608" i="2"/>
  <c r="N2608" i="2"/>
  <c r="D2608" i="2"/>
  <c r="B2608" i="2"/>
  <c r="A2608" i="2"/>
  <c r="Q2607" i="2"/>
  <c r="N2607" i="2"/>
  <c r="D2607" i="2"/>
  <c r="B2607" i="2"/>
  <c r="A2607" i="2"/>
  <c r="O2607" i="2" s="1"/>
  <c r="Q2606" i="2"/>
  <c r="N2606" i="2"/>
  <c r="D2606" i="2"/>
  <c r="B2606" i="2"/>
  <c r="A2606" i="2"/>
  <c r="Q2605" i="2"/>
  <c r="N2605" i="2"/>
  <c r="D2605" i="2"/>
  <c r="B2605" i="2"/>
  <c r="A2605" i="2"/>
  <c r="Q2604" i="2"/>
  <c r="N2604" i="2"/>
  <c r="D2604" i="2"/>
  <c r="B2604" i="2"/>
  <c r="A2604" i="2"/>
  <c r="Q2603" i="2"/>
  <c r="N2603" i="2"/>
  <c r="D2603" i="2"/>
  <c r="B2603" i="2"/>
  <c r="A2603" i="2"/>
  <c r="P2603" i="2" s="1"/>
  <c r="Q2602" i="2"/>
  <c r="N2602" i="2"/>
  <c r="D2602" i="2"/>
  <c r="B2602" i="2"/>
  <c r="A2602" i="2"/>
  <c r="O2602" i="2" s="1"/>
  <c r="Q2601" i="2"/>
  <c r="N2601" i="2"/>
  <c r="D2601" i="2"/>
  <c r="B2601" i="2"/>
  <c r="A2601" i="2"/>
  <c r="O2601" i="2" s="1"/>
  <c r="Q2600" i="2"/>
  <c r="N2600" i="2"/>
  <c r="D2600" i="2"/>
  <c r="B2600" i="2"/>
  <c r="A2600" i="2"/>
  <c r="P2600" i="2" s="1"/>
  <c r="Q2599" i="2"/>
  <c r="N2599" i="2"/>
  <c r="D2599" i="2"/>
  <c r="B2599" i="2"/>
  <c r="A2599" i="2"/>
  <c r="Q2598" i="2"/>
  <c r="N2598" i="2"/>
  <c r="D2598" i="2"/>
  <c r="B2598" i="2"/>
  <c r="A2598" i="2"/>
  <c r="P2598" i="2" s="1"/>
  <c r="Q2597" i="2"/>
  <c r="N2597" i="2"/>
  <c r="D2597" i="2"/>
  <c r="B2597" i="2"/>
  <c r="A2597" i="2"/>
  <c r="P2597" i="2" s="1"/>
  <c r="Q2596" i="2"/>
  <c r="N2596" i="2"/>
  <c r="D2596" i="2"/>
  <c r="B2596" i="2"/>
  <c r="A2596" i="2"/>
  <c r="Q2595" i="2"/>
  <c r="N2595" i="2"/>
  <c r="D2595" i="2"/>
  <c r="B2595" i="2"/>
  <c r="A2595" i="2"/>
  <c r="Q2594" i="2"/>
  <c r="N2594" i="2"/>
  <c r="D2594" i="2"/>
  <c r="B2594" i="2"/>
  <c r="A2594" i="2"/>
  <c r="Q2593" i="2"/>
  <c r="N2593" i="2"/>
  <c r="D2593" i="2"/>
  <c r="B2593" i="2"/>
  <c r="A2593" i="2"/>
  <c r="P2593" i="2" s="1"/>
  <c r="Q2592" i="2"/>
  <c r="N2592" i="2"/>
  <c r="D2592" i="2"/>
  <c r="B2592" i="2"/>
  <c r="A2592" i="2"/>
  <c r="Q2591" i="2"/>
  <c r="N2591" i="2"/>
  <c r="D2591" i="2"/>
  <c r="B2591" i="2"/>
  <c r="A2591" i="2"/>
  <c r="P2591" i="2" s="1"/>
  <c r="Q2590" i="2"/>
  <c r="N2590" i="2"/>
  <c r="D2590" i="2"/>
  <c r="B2590" i="2"/>
  <c r="A2590" i="2"/>
  <c r="P2590" i="2" s="1"/>
  <c r="Q2589" i="2"/>
  <c r="N2589" i="2"/>
  <c r="D2589" i="2"/>
  <c r="B2589" i="2"/>
  <c r="A2589" i="2"/>
  <c r="Q2588" i="2"/>
  <c r="N2588" i="2"/>
  <c r="D2588" i="2"/>
  <c r="B2588" i="2"/>
  <c r="A2588" i="2"/>
  <c r="P2588" i="2" s="1"/>
  <c r="Q2587" i="2"/>
  <c r="N2587" i="2"/>
  <c r="D2587" i="2"/>
  <c r="B2587" i="2"/>
  <c r="A2587" i="2"/>
  <c r="O2587" i="2" s="1"/>
  <c r="Q2586" i="2"/>
  <c r="N2586" i="2"/>
  <c r="D2586" i="2"/>
  <c r="B2586" i="2"/>
  <c r="A2586" i="2"/>
  <c r="Q2585" i="2"/>
  <c r="N2585" i="2"/>
  <c r="D2585" i="2"/>
  <c r="B2585" i="2"/>
  <c r="A2585" i="2"/>
  <c r="Q2584" i="2"/>
  <c r="N2584" i="2"/>
  <c r="D2584" i="2"/>
  <c r="B2584" i="2"/>
  <c r="A2584" i="2"/>
  <c r="Q2583" i="2"/>
  <c r="N2583" i="2"/>
  <c r="D2583" i="2"/>
  <c r="B2583" i="2"/>
  <c r="A2583" i="2"/>
  <c r="P2583" i="2" s="1"/>
  <c r="Q2582" i="2"/>
  <c r="N2582" i="2"/>
  <c r="D2582" i="2"/>
  <c r="B2582" i="2"/>
  <c r="A2582" i="2"/>
  <c r="O2582" i="2" s="1"/>
  <c r="Q2581" i="2"/>
  <c r="N2581" i="2"/>
  <c r="D2581" i="2"/>
  <c r="B2581" i="2"/>
  <c r="A2581" i="2"/>
  <c r="Q2580" i="2"/>
  <c r="N2580" i="2"/>
  <c r="D2580" i="2"/>
  <c r="B2580" i="2"/>
  <c r="A2580" i="2"/>
  <c r="O2580" i="2" s="1"/>
  <c r="Q2579" i="2"/>
  <c r="N2579" i="2"/>
  <c r="D2579" i="2"/>
  <c r="B2579" i="2"/>
  <c r="A2579" i="2"/>
  <c r="Q2578" i="2"/>
  <c r="N2578" i="2"/>
  <c r="D2578" i="2"/>
  <c r="B2578" i="2"/>
  <c r="A2578" i="2"/>
  <c r="Q2577" i="2"/>
  <c r="N2577" i="2"/>
  <c r="D2577" i="2"/>
  <c r="B2577" i="2"/>
  <c r="A2577" i="2"/>
  <c r="O2577" i="2" s="1"/>
  <c r="Q2576" i="2"/>
  <c r="N2576" i="2"/>
  <c r="D2576" i="2"/>
  <c r="B2576" i="2"/>
  <c r="A2576" i="2"/>
  <c r="Q2575" i="2"/>
  <c r="N2575" i="2"/>
  <c r="D2575" i="2"/>
  <c r="B2575" i="2"/>
  <c r="A2575" i="2"/>
  <c r="O2575" i="2" s="1"/>
  <c r="Q2574" i="2"/>
  <c r="N2574" i="2"/>
  <c r="D2574" i="2"/>
  <c r="B2574" i="2"/>
  <c r="A2574" i="2"/>
  <c r="P2574" i="2" s="1"/>
  <c r="Q2573" i="2"/>
  <c r="N2573" i="2"/>
  <c r="D2573" i="2"/>
  <c r="B2573" i="2"/>
  <c r="A2573" i="2"/>
  <c r="P2573" i="2" s="1"/>
  <c r="Q2572" i="2"/>
  <c r="N2572" i="2"/>
  <c r="D2572" i="2"/>
  <c r="B2572" i="2"/>
  <c r="A2572" i="2"/>
  <c r="P2572" i="2" s="1"/>
  <c r="Q2571" i="2"/>
  <c r="N2571" i="2"/>
  <c r="D2571" i="2"/>
  <c r="B2571" i="2"/>
  <c r="A2571" i="2"/>
  <c r="Q2570" i="2"/>
  <c r="N2570" i="2"/>
  <c r="D2570" i="2"/>
  <c r="B2570" i="2"/>
  <c r="A2570" i="2"/>
  <c r="O2570" i="2" s="1"/>
  <c r="Q2569" i="2"/>
  <c r="N2569" i="2"/>
  <c r="D2569" i="2"/>
  <c r="B2569" i="2"/>
  <c r="A2569" i="2"/>
  <c r="O2569" i="2" s="1"/>
  <c r="Q2568" i="2"/>
  <c r="N2568" i="2"/>
  <c r="D2568" i="2"/>
  <c r="B2568" i="2"/>
  <c r="A2568" i="2"/>
  <c r="Q2567" i="2"/>
  <c r="N2567" i="2"/>
  <c r="D2567" i="2"/>
  <c r="B2567" i="2"/>
  <c r="A2567" i="2"/>
  <c r="O2567" i="2" s="1"/>
  <c r="Q2566" i="2"/>
  <c r="N2566" i="2"/>
  <c r="D2566" i="2"/>
  <c r="B2566" i="2"/>
  <c r="A2566" i="2"/>
  <c r="Q2565" i="2"/>
  <c r="N2565" i="2"/>
  <c r="D2565" i="2"/>
  <c r="B2565" i="2"/>
  <c r="A2565" i="2"/>
  <c r="Q2564" i="2"/>
  <c r="N2564" i="2"/>
  <c r="D2564" i="2"/>
  <c r="B2564" i="2"/>
  <c r="A2564" i="2"/>
  <c r="P2564" i="2" s="1"/>
  <c r="Q2563" i="2"/>
  <c r="N2563" i="2"/>
  <c r="D2563" i="2"/>
  <c r="B2563" i="2"/>
  <c r="A2563" i="2"/>
  <c r="Q2562" i="2"/>
  <c r="N2562" i="2"/>
  <c r="D2562" i="2"/>
  <c r="B2562" i="2"/>
  <c r="A2562" i="2"/>
  <c r="Q2561" i="2"/>
  <c r="N2561" i="2"/>
  <c r="D2561" i="2"/>
  <c r="B2561" i="2"/>
  <c r="A2561" i="2"/>
  <c r="Q2560" i="2"/>
  <c r="N2560" i="2"/>
  <c r="D2560" i="2"/>
  <c r="B2560" i="2"/>
  <c r="A2560" i="2"/>
  <c r="Q2559" i="2"/>
  <c r="N2559" i="2"/>
  <c r="D2559" i="2"/>
  <c r="B2559" i="2"/>
  <c r="A2559" i="2"/>
  <c r="Q2558" i="2"/>
  <c r="N2558" i="2"/>
  <c r="D2558" i="2"/>
  <c r="B2558" i="2"/>
  <c r="A2558" i="2"/>
  <c r="O2558" i="2" s="1"/>
  <c r="Q2557" i="2"/>
  <c r="N2557" i="2"/>
  <c r="D2557" i="2"/>
  <c r="B2557" i="2"/>
  <c r="A2557" i="2"/>
  <c r="P2557" i="2" s="1"/>
  <c r="Q2556" i="2"/>
  <c r="N2556" i="2"/>
  <c r="D2556" i="2"/>
  <c r="B2556" i="2"/>
  <c r="A2556" i="2"/>
  <c r="Q2555" i="2"/>
  <c r="N2555" i="2"/>
  <c r="D2555" i="2"/>
  <c r="B2555" i="2"/>
  <c r="A2555" i="2"/>
  <c r="Q2554" i="2"/>
  <c r="N2554" i="2"/>
  <c r="D2554" i="2"/>
  <c r="B2554" i="2"/>
  <c r="A2554" i="2"/>
  <c r="Q2553" i="2"/>
  <c r="N2553" i="2"/>
  <c r="D2553" i="2"/>
  <c r="B2553" i="2"/>
  <c r="A2553" i="2"/>
  <c r="P2553" i="2" s="1"/>
  <c r="Q2552" i="2"/>
  <c r="N2552" i="2"/>
  <c r="D2552" i="2"/>
  <c r="B2552" i="2"/>
  <c r="A2552" i="2"/>
  <c r="P2552" i="2" s="1"/>
  <c r="Q2551" i="2"/>
  <c r="N2551" i="2"/>
  <c r="D2551" i="2"/>
  <c r="B2551" i="2"/>
  <c r="A2551" i="2"/>
  <c r="P2551" i="2" s="1"/>
  <c r="Q2550" i="2"/>
  <c r="N2550" i="2"/>
  <c r="D2550" i="2"/>
  <c r="B2550" i="2"/>
  <c r="A2550" i="2"/>
  <c r="Q2549" i="2"/>
  <c r="N2549" i="2"/>
  <c r="D2549" i="2"/>
  <c r="B2549" i="2"/>
  <c r="A2549" i="2"/>
  <c r="O2549" i="2" s="1"/>
  <c r="Q2548" i="2"/>
  <c r="N2548" i="2"/>
  <c r="D2548" i="2"/>
  <c r="B2548" i="2"/>
  <c r="A2548" i="2"/>
  <c r="Q2547" i="2"/>
  <c r="N2547" i="2"/>
  <c r="D2547" i="2"/>
  <c r="B2547" i="2"/>
  <c r="A2547" i="2"/>
  <c r="P2547" i="2" s="1"/>
  <c r="Q2546" i="2"/>
  <c r="N2546" i="2"/>
  <c r="D2546" i="2"/>
  <c r="B2546" i="2"/>
  <c r="A2546" i="2"/>
  <c r="Q2545" i="2"/>
  <c r="N2545" i="2"/>
  <c r="D2545" i="2"/>
  <c r="B2545" i="2"/>
  <c r="A2545" i="2"/>
  <c r="Q2544" i="2"/>
  <c r="N2544" i="2"/>
  <c r="D2544" i="2"/>
  <c r="B2544" i="2"/>
  <c r="A2544" i="2"/>
  <c r="P2544" i="2" s="1"/>
  <c r="Q2543" i="2"/>
  <c r="N2543" i="2"/>
  <c r="D2543" i="2"/>
  <c r="B2543" i="2"/>
  <c r="A2543" i="2"/>
  <c r="P2543" i="2" s="1"/>
  <c r="Q2542" i="2"/>
  <c r="N2542" i="2"/>
  <c r="D2542" i="2"/>
  <c r="B2542" i="2"/>
  <c r="A2542" i="2"/>
  <c r="O2542" i="2" s="1"/>
  <c r="Q2541" i="2"/>
  <c r="N2541" i="2"/>
  <c r="D2541" i="2"/>
  <c r="B2541" i="2"/>
  <c r="A2541" i="2"/>
  <c r="Q2540" i="2"/>
  <c r="N2540" i="2"/>
  <c r="D2540" i="2"/>
  <c r="B2540" i="2"/>
  <c r="A2540" i="2"/>
  <c r="O2540" i="2" s="1"/>
  <c r="Q2539" i="2"/>
  <c r="N2539" i="2"/>
  <c r="D2539" i="2"/>
  <c r="B2539" i="2"/>
  <c r="A2539" i="2"/>
  <c r="Q2538" i="2"/>
  <c r="N2538" i="2"/>
  <c r="D2538" i="2"/>
  <c r="B2538" i="2"/>
  <c r="A2538" i="2"/>
  <c r="P2538" i="2" s="1"/>
  <c r="Q2537" i="2"/>
  <c r="N2537" i="2"/>
  <c r="D2537" i="2"/>
  <c r="B2537" i="2"/>
  <c r="A2537" i="2"/>
  <c r="P2537" i="2" s="1"/>
  <c r="Q2536" i="2"/>
  <c r="N2536" i="2"/>
  <c r="D2536" i="2"/>
  <c r="B2536" i="2"/>
  <c r="A2536" i="2"/>
  <c r="Q2535" i="2"/>
  <c r="N2535" i="2"/>
  <c r="D2535" i="2"/>
  <c r="B2535" i="2"/>
  <c r="A2535" i="2"/>
  <c r="O2535" i="2" s="1"/>
  <c r="Q2534" i="2"/>
  <c r="N2534" i="2"/>
  <c r="D2534" i="2"/>
  <c r="B2534" i="2"/>
  <c r="A2534" i="2"/>
  <c r="Q2533" i="2"/>
  <c r="N2533" i="2"/>
  <c r="D2533" i="2"/>
  <c r="B2533" i="2"/>
  <c r="A2533" i="2"/>
  <c r="O2533" i="2" s="1"/>
  <c r="Q2532" i="2"/>
  <c r="N2532" i="2"/>
  <c r="D2532" i="2"/>
  <c r="B2532" i="2"/>
  <c r="A2532" i="2"/>
  <c r="P2532" i="2" s="1"/>
  <c r="Q2531" i="2"/>
  <c r="N2531" i="2"/>
  <c r="D2531" i="2"/>
  <c r="B2531" i="2"/>
  <c r="A2531" i="2"/>
  <c r="Q2530" i="2"/>
  <c r="N2530" i="2"/>
  <c r="D2530" i="2"/>
  <c r="B2530" i="2"/>
  <c r="A2530" i="2"/>
  <c r="O2530" i="2" s="1"/>
  <c r="Q2529" i="2"/>
  <c r="N2529" i="2"/>
  <c r="D2529" i="2"/>
  <c r="B2529" i="2"/>
  <c r="A2529" i="2"/>
  <c r="O2529" i="2" s="1"/>
  <c r="Q2528" i="2"/>
  <c r="N2528" i="2"/>
  <c r="D2528" i="2"/>
  <c r="B2528" i="2"/>
  <c r="A2528" i="2"/>
  <c r="O2528" i="2" s="1"/>
  <c r="Q2527" i="2"/>
  <c r="N2527" i="2"/>
  <c r="D2527" i="2"/>
  <c r="B2527" i="2"/>
  <c r="A2527" i="2"/>
  <c r="P2527" i="2" s="1"/>
  <c r="Q2526" i="2"/>
  <c r="N2526" i="2"/>
  <c r="D2526" i="2"/>
  <c r="B2526" i="2"/>
  <c r="A2526" i="2"/>
  <c r="Q2525" i="2"/>
  <c r="N2525" i="2"/>
  <c r="D2525" i="2"/>
  <c r="B2525" i="2"/>
  <c r="A2525" i="2"/>
  <c r="P2525" i="2" s="1"/>
  <c r="Q2524" i="2"/>
  <c r="N2524" i="2"/>
  <c r="D2524" i="2"/>
  <c r="B2524" i="2"/>
  <c r="A2524" i="2"/>
  <c r="Q2523" i="2"/>
  <c r="N2523" i="2"/>
  <c r="D2523" i="2"/>
  <c r="B2523" i="2"/>
  <c r="A2523" i="2"/>
  <c r="P2523" i="2" s="1"/>
  <c r="Q2522" i="2"/>
  <c r="N2522" i="2"/>
  <c r="D2522" i="2"/>
  <c r="B2522" i="2"/>
  <c r="A2522" i="2"/>
  <c r="P2522" i="2" s="1"/>
  <c r="Q2521" i="2"/>
  <c r="N2521" i="2"/>
  <c r="D2521" i="2"/>
  <c r="B2521" i="2"/>
  <c r="A2521" i="2"/>
  <c r="O2521" i="2" s="1"/>
  <c r="Q2520" i="2"/>
  <c r="N2520" i="2"/>
  <c r="D2520" i="2"/>
  <c r="B2520" i="2"/>
  <c r="A2520" i="2"/>
  <c r="Q2519" i="2"/>
  <c r="N2519" i="2"/>
  <c r="D2519" i="2"/>
  <c r="B2519" i="2"/>
  <c r="A2519" i="2"/>
  <c r="O2519" i="2" s="1"/>
  <c r="Q2518" i="2"/>
  <c r="N2518" i="2"/>
  <c r="D2518" i="2"/>
  <c r="B2518" i="2"/>
  <c r="A2518" i="2"/>
  <c r="O2518" i="2" s="1"/>
  <c r="Q2517" i="2"/>
  <c r="N2517" i="2"/>
  <c r="D2517" i="2"/>
  <c r="B2517" i="2"/>
  <c r="A2517" i="2"/>
  <c r="O2517" i="2" s="1"/>
  <c r="Q2516" i="2"/>
  <c r="N2516" i="2"/>
  <c r="D2516" i="2"/>
  <c r="B2516" i="2"/>
  <c r="A2516" i="2"/>
  <c r="Q2515" i="2"/>
  <c r="N2515" i="2"/>
  <c r="D2515" i="2"/>
  <c r="B2515" i="2"/>
  <c r="A2515" i="2"/>
  <c r="O2515" i="2" s="1"/>
  <c r="Q2514" i="2"/>
  <c r="N2514" i="2"/>
  <c r="D2514" i="2"/>
  <c r="B2514" i="2"/>
  <c r="A2514" i="2"/>
  <c r="Q2513" i="2"/>
  <c r="N2513" i="2"/>
  <c r="D2513" i="2"/>
  <c r="B2513" i="2"/>
  <c r="A2513" i="2"/>
  <c r="Q2512" i="2"/>
  <c r="N2512" i="2"/>
  <c r="D2512" i="2"/>
  <c r="B2512" i="2"/>
  <c r="A2512" i="2"/>
  <c r="P2512" i="2" s="1"/>
  <c r="Q2511" i="2"/>
  <c r="N2511" i="2"/>
  <c r="D2511" i="2"/>
  <c r="B2511" i="2"/>
  <c r="A2511" i="2"/>
  <c r="P2511" i="2" s="1"/>
  <c r="Q2510" i="2"/>
  <c r="N2510" i="2"/>
  <c r="D2510" i="2"/>
  <c r="B2510" i="2"/>
  <c r="A2510" i="2"/>
  <c r="P2510" i="2" s="1"/>
  <c r="Q2509" i="2"/>
  <c r="N2509" i="2"/>
  <c r="D2509" i="2"/>
  <c r="B2509" i="2"/>
  <c r="A2509" i="2"/>
  <c r="O2509" i="2" s="1"/>
  <c r="Q2508" i="2"/>
  <c r="N2508" i="2"/>
  <c r="D2508" i="2"/>
  <c r="B2508" i="2"/>
  <c r="A2508" i="2"/>
  <c r="Q2507" i="2"/>
  <c r="N2507" i="2"/>
  <c r="D2507" i="2"/>
  <c r="B2507" i="2"/>
  <c r="A2507" i="2"/>
  <c r="P2507" i="2" s="1"/>
  <c r="Q2506" i="2"/>
  <c r="N2506" i="2"/>
  <c r="D2506" i="2"/>
  <c r="B2506" i="2"/>
  <c r="A2506" i="2"/>
  <c r="O2506" i="2" s="1"/>
  <c r="Q2505" i="2"/>
  <c r="N2505" i="2"/>
  <c r="D2505" i="2"/>
  <c r="B2505" i="2"/>
  <c r="A2505" i="2"/>
  <c r="Q2504" i="2"/>
  <c r="N2504" i="2"/>
  <c r="D2504" i="2"/>
  <c r="B2504" i="2"/>
  <c r="A2504" i="2"/>
  <c r="O2504" i="2" s="1"/>
  <c r="Q2503" i="2"/>
  <c r="N2503" i="2"/>
  <c r="D2503" i="2"/>
  <c r="B2503" i="2"/>
  <c r="A2503" i="2"/>
  <c r="P2503" i="2" s="1"/>
  <c r="Q2502" i="2"/>
  <c r="N2502" i="2"/>
  <c r="D2502" i="2"/>
  <c r="B2502" i="2"/>
  <c r="A2502" i="2"/>
  <c r="Q2501" i="2"/>
  <c r="N2501" i="2"/>
  <c r="D2501" i="2"/>
  <c r="B2501" i="2"/>
  <c r="A2501" i="2"/>
  <c r="O2501" i="2" s="1"/>
  <c r="Q2500" i="2"/>
  <c r="N2500" i="2"/>
  <c r="D2500" i="2"/>
  <c r="B2500" i="2"/>
  <c r="A2500" i="2"/>
  <c r="O2500" i="2" s="1"/>
  <c r="Q2499" i="2"/>
  <c r="N2499" i="2"/>
  <c r="D2499" i="2"/>
  <c r="B2499" i="2"/>
  <c r="A2499" i="2"/>
  <c r="O2499" i="2" s="1"/>
  <c r="Q2498" i="2"/>
  <c r="N2498" i="2"/>
  <c r="D2498" i="2"/>
  <c r="B2498" i="2"/>
  <c r="A2498" i="2"/>
  <c r="P2498" i="2" s="1"/>
  <c r="Q2497" i="2"/>
  <c r="N2497" i="2"/>
  <c r="D2497" i="2"/>
  <c r="B2497" i="2"/>
  <c r="A2497" i="2"/>
  <c r="O2497" i="2" s="1"/>
  <c r="Q2496" i="2"/>
  <c r="N2496" i="2"/>
  <c r="D2496" i="2"/>
  <c r="B2496" i="2"/>
  <c r="A2496" i="2"/>
  <c r="P2496" i="2" s="1"/>
  <c r="Q2495" i="2"/>
  <c r="N2495" i="2"/>
  <c r="D2495" i="2"/>
  <c r="B2495" i="2"/>
  <c r="A2495" i="2"/>
  <c r="Q2494" i="2"/>
  <c r="N2494" i="2"/>
  <c r="D2494" i="2"/>
  <c r="B2494" i="2"/>
  <c r="A2494" i="2"/>
  <c r="O2494" i="2" s="1"/>
  <c r="Q2493" i="2"/>
  <c r="N2493" i="2"/>
  <c r="D2493" i="2"/>
  <c r="B2493" i="2"/>
  <c r="A2493" i="2"/>
  <c r="P2493" i="2" s="1"/>
  <c r="Q2492" i="2"/>
  <c r="N2492" i="2"/>
  <c r="D2492" i="2"/>
  <c r="B2492" i="2"/>
  <c r="A2492" i="2"/>
  <c r="Q2491" i="2"/>
  <c r="N2491" i="2"/>
  <c r="D2491" i="2"/>
  <c r="B2491" i="2"/>
  <c r="A2491" i="2"/>
  <c r="Q2490" i="2"/>
  <c r="N2490" i="2"/>
  <c r="D2490" i="2"/>
  <c r="B2490" i="2"/>
  <c r="A2490" i="2"/>
  <c r="P2490" i="2" s="1"/>
  <c r="Q2489" i="2"/>
  <c r="N2489" i="2"/>
  <c r="D2489" i="2"/>
  <c r="B2489" i="2"/>
  <c r="A2489" i="2"/>
  <c r="P2489" i="2" s="1"/>
  <c r="Q2488" i="2"/>
  <c r="N2488" i="2"/>
  <c r="D2488" i="2"/>
  <c r="B2488" i="2"/>
  <c r="A2488" i="2"/>
  <c r="O2488" i="2" s="1"/>
  <c r="Q2487" i="2"/>
  <c r="N2487" i="2"/>
  <c r="D2487" i="2"/>
  <c r="B2487" i="2"/>
  <c r="A2487" i="2"/>
  <c r="Q2486" i="2"/>
  <c r="N2486" i="2"/>
  <c r="D2486" i="2"/>
  <c r="B2486" i="2"/>
  <c r="A2486" i="2"/>
  <c r="Q2485" i="2"/>
  <c r="N2485" i="2"/>
  <c r="D2485" i="2"/>
  <c r="B2485" i="2"/>
  <c r="A2485" i="2"/>
  <c r="O2485" i="2" s="1"/>
  <c r="Q2484" i="2"/>
  <c r="N2484" i="2"/>
  <c r="D2484" i="2"/>
  <c r="B2484" i="2"/>
  <c r="A2484" i="2"/>
  <c r="Q2483" i="2"/>
  <c r="N2483" i="2"/>
  <c r="D2483" i="2"/>
  <c r="B2483" i="2"/>
  <c r="A2483" i="2"/>
  <c r="P2483" i="2" s="1"/>
  <c r="Q2482" i="2"/>
  <c r="N2482" i="2"/>
  <c r="D2482" i="2"/>
  <c r="B2482" i="2"/>
  <c r="A2482" i="2"/>
  <c r="O2482" i="2" s="1"/>
  <c r="Q2481" i="2"/>
  <c r="N2481" i="2"/>
  <c r="D2481" i="2"/>
  <c r="B2481" i="2"/>
  <c r="A2481" i="2"/>
  <c r="O2481" i="2" s="1"/>
  <c r="Q2480" i="2"/>
  <c r="N2480" i="2"/>
  <c r="D2480" i="2"/>
  <c r="B2480" i="2"/>
  <c r="A2480" i="2"/>
  <c r="P2480" i="2" s="1"/>
  <c r="Q2479" i="2"/>
  <c r="N2479" i="2"/>
  <c r="D2479" i="2"/>
  <c r="B2479" i="2"/>
  <c r="A2479" i="2"/>
  <c r="Q2478" i="2"/>
  <c r="N2478" i="2"/>
  <c r="D2478" i="2"/>
  <c r="B2478" i="2"/>
  <c r="A2478" i="2"/>
  <c r="O2478" i="2" s="1"/>
  <c r="Q2477" i="2"/>
  <c r="N2477" i="2"/>
  <c r="D2477" i="2"/>
  <c r="B2477" i="2"/>
  <c r="A2477" i="2"/>
  <c r="Q2476" i="2"/>
  <c r="N2476" i="2"/>
  <c r="D2476" i="2"/>
  <c r="B2476" i="2"/>
  <c r="A2476" i="2"/>
  <c r="Q2475" i="2"/>
  <c r="N2475" i="2"/>
  <c r="D2475" i="2"/>
  <c r="B2475" i="2"/>
  <c r="A2475" i="2"/>
  <c r="O2475" i="2" s="1"/>
  <c r="Q2474" i="2"/>
  <c r="N2474" i="2"/>
  <c r="D2474" i="2"/>
  <c r="B2474" i="2"/>
  <c r="A2474" i="2"/>
  <c r="Q2473" i="2"/>
  <c r="N2473" i="2"/>
  <c r="D2473" i="2"/>
  <c r="B2473" i="2"/>
  <c r="A2473" i="2"/>
  <c r="O2473" i="2" s="1"/>
  <c r="Q2472" i="2"/>
  <c r="N2472" i="2"/>
  <c r="D2472" i="2"/>
  <c r="B2472" i="2"/>
  <c r="A2472" i="2"/>
  <c r="Q2471" i="2"/>
  <c r="N2471" i="2"/>
  <c r="D2471" i="2"/>
  <c r="B2471" i="2"/>
  <c r="A2471" i="2"/>
  <c r="O2471" i="2" s="1"/>
  <c r="Q2470" i="2"/>
  <c r="N2470" i="2"/>
  <c r="D2470" i="2"/>
  <c r="B2470" i="2"/>
  <c r="A2470" i="2"/>
  <c r="O2470" i="2" s="1"/>
  <c r="Q2469" i="2"/>
  <c r="N2469" i="2"/>
  <c r="D2469" i="2"/>
  <c r="B2469" i="2"/>
  <c r="A2469" i="2"/>
  <c r="O2469" i="2" s="1"/>
  <c r="Q2468" i="2"/>
  <c r="N2468" i="2"/>
  <c r="D2468" i="2"/>
  <c r="B2468" i="2"/>
  <c r="A2468" i="2"/>
  <c r="P2468" i="2" s="1"/>
  <c r="Q2467" i="2"/>
  <c r="N2467" i="2"/>
  <c r="D2467" i="2"/>
  <c r="B2467" i="2"/>
  <c r="A2467" i="2"/>
  <c r="P2467" i="2" s="1"/>
  <c r="Q2466" i="2"/>
  <c r="N2466" i="2"/>
  <c r="D2466" i="2"/>
  <c r="B2466" i="2"/>
  <c r="A2466" i="2"/>
  <c r="O2466" i="2" s="1"/>
  <c r="Q2465" i="2"/>
  <c r="N2465" i="2"/>
  <c r="D2465" i="2"/>
  <c r="B2465" i="2"/>
  <c r="A2465" i="2"/>
  <c r="O2465" i="2" s="1"/>
  <c r="Q2464" i="2"/>
  <c r="N2464" i="2"/>
  <c r="D2464" i="2"/>
  <c r="B2464" i="2"/>
  <c r="A2464" i="2"/>
  <c r="Q2463" i="2"/>
  <c r="N2463" i="2"/>
  <c r="D2463" i="2"/>
  <c r="B2463" i="2"/>
  <c r="A2463" i="2"/>
  <c r="P2463" i="2" s="1"/>
  <c r="Q2462" i="2"/>
  <c r="N2462" i="2"/>
  <c r="D2462" i="2"/>
  <c r="B2462" i="2"/>
  <c r="A2462" i="2"/>
  <c r="P2462" i="2" s="1"/>
  <c r="Q2461" i="2"/>
  <c r="N2461" i="2"/>
  <c r="D2461" i="2"/>
  <c r="B2461" i="2"/>
  <c r="A2461" i="2"/>
  <c r="Q2460" i="2"/>
  <c r="N2460" i="2"/>
  <c r="D2460" i="2"/>
  <c r="B2460" i="2"/>
  <c r="A2460" i="2"/>
  <c r="O2460" i="2" s="1"/>
  <c r="Q2459" i="2"/>
  <c r="N2459" i="2"/>
  <c r="D2459" i="2"/>
  <c r="B2459" i="2"/>
  <c r="A2459" i="2"/>
  <c r="O2459" i="2" s="1"/>
  <c r="Q2458" i="2"/>
  <c r="N2458" i="2"/>
  <c r="D2458" i="2"/>
  <c r="B2458" i="2"/>
  <c r="A2458" i="2"/>
  <c r="O2458" i="2" s="1"/>
  <c r="Q2457" i="2"/>
  <c r="N2457" i="2"/>
  <c r="D2457" i="2"/>
  <c r="B2457" i="2"/>
  <c r="A2457" i="2"/>
  <c r="O2457" i="2" s="1"/>
  <c r="Q2456" i="2"/>
  <c r="N2456" i="2"/>
  <c r="D2456" i="2"/>
  <c r="B2456" i="2"/>
  <c r="A2456" i="2"/>
  <c r="P2456" i="2" s="1"/>
  <c r="Q2455" i="2"/>
  <c r="N2455" i="2"/>
  <c r="D2455" i="2"/>
  <c r="B2455" i="2"/>
  <c r="A2455" i="2"/>
  <c r="Q2454" i="2"/>
  <c r="N2454" i="2"/>
  <c r="D2454" i="2"/>
  <c r="B2454" i="2"/>
  <c r="A2454" i="2"/>
  <c r="Q2453" i="2"/>
  <c r="N2453" i="2"/>
  <c r="D2453" i="2"/>
  <c r="B2453" i="2"/>
  <c r="A2453" i="2"/>
  <c r="P2453" i="2" s="1"/>
  <c r="Q2452" i="2"/>
  <c r="N2452" i="2"/>
  <c r="D2452" i="2"/>
  <c r="B2452" i="2"/>
  <c r="A2452" i="2"/>
  <c r="Q2451" i="2"/>
  <c r="N2451" i="2"/>
  <c r="D2451" i="2"/>
  <c r="B2451" i="2"/>
  <c r="A2451" i="2"/>
  <c r="Q2450" i="2"/>
  <c r="N2450" i="2"/>
  <c r="D2450" i="2"/>
  <c r="B2450" i="2"/>
  <c r="A2450" i="2"/>
  <c r="O2450" i="2" s="1"/>
  <c r="Q2449" i="2"/>
  <c r="N2449" i="2"/>
  <c r="D2449" i="2"/>
  <c r="B2449" i="2"/>
  <c r="A2449" i="2"/>
  <c r="Q2448" i="2"/>
  <c r="N2448" i="2"/>
  <c r="D2448" i="2"/>
  <c r="B2448" i="2"/>
  <c r="A2448" i="2"/>
  <c r="P2448" i="2" s="1"/>
  <c r="Q2447" i="2"/>
  <c r="N2447" i="2"/>
  <c r="D2447" i="2"/>
  <c r="B2447" i="2"/>
  <c r="A2447" i="2"/>
  <c r="Q2446" i="2"/>
  <c r="N2446" i="2"/>
  <c r="D2446" i="2"/>
  <c r="B2446" i="2"/>
  <c r="A2446" i="2"/>
  <c r="P2446" i="2" s="1"/>
  <c r="Q2445" i="2"/>
  <c r="N2445" i="2"/>
  <c r="D2445" i="2"/>
  <c r="B2445" i="2"/>
  <c r="A2445" i="2"/>
  <c r="P2445" i="2" s="1"/>
  <c r="Q2444" i="2"/>
  <c r="N2444" i="2"/>
  <c r="D2444" i="2"/>
  <c r="B2444" i="2"/>
  <c r="A2444" i="2"/>
  <c r="O2444" i="2" s="1"/>
  <c r="Q2443" i="2"/>
  <c r="N2443" i="2"/>
  <c r="D2443" i="2"/>
  <c r="B2443" i="2"/>
  <c r="A2443" i="2"/>
  <c r="P2443" i="2" s="1"/>
  <c r="Q2442" i="2"/>
  <c r="N2442" i="2"/>
  <c r="D2442" i="2"/>
  <c r="B2442" i="2"/>
  <c r="A2442" i="2"/>
  <c r="P2442" i="2" s="1"/>
  <c r="Q2441" i="2"/>
  <c r="N2441" i="2"/>
  <c r="D2441" i="2"/>
  <c r="B2441" i="2"/>
  <c r="A2441" i="2"/>
  <c r="O2441" i="2" s="1"/>
  <c r="Q2440" i="2"/>
  <c r="N2440" i="2"/>
  <c r="D2440" i="2"/>
  <c r="B2440" i="2"/>
  <c r="A2440" i="2"/>
  <c r="O2440" i="2" s="1"/>
  <c r="Q2439" i="2"/>
  <c r="N2439" i="2"/>
  <c r="D2439" i="2"/>
  <c r="B2439" i="2"/>
  <c r="A2439" i="2"/>
  <c r="O2439" i="2" s="1"/>
  <c r="Q2438" i="2"/>
  <c r="N2438" i="2"/>
  <c r="D2438" i="2"/>
  <c r="B2438" i="2"/>
  <c r="A2438" i="2"/>
  <c r="P2438" i="2" s="1"/>
  <c r="Q2437" i="2"/>
  <c r="N2437" i="2"/>
  <c r="D2437" i="2"/>
  <c r="B2437" i="2"/>
  <c r="A2437" i="2"/>
  <c r="O2437" i="2" s="1"/>
  <c r="Q2436" i="2"/>
  <c r="N2436" i="2"/>
  <c r="D2436" i="2"/>
  <c r="B2436" i="2"/>
  <c r="A2436" i="2"/>
  <c r="P2436" i="2" s="1"/>
  <c r="Q2435" i="2"/>
  <c r="N2435" i="2"/>
  <c r="D2435" i="2"/>
  <c r="B2435" i="2"/>
  <c r="A2435" i="2"/>
  <c r="O2435" i="2" s="1"/>
  <c r="Q2434" i="2"/>
  <c r="N2434" i="2"/>
  <c r="D2434" i="2"/>
  <c r="B2434" i="2"/>
  <c r="A2434" i="2"/>
  <c r="O2434" i="2" s="1"/>
  <c r="Q2433" i="2"/>
  <c r="N2433" i="2"/>
  <c r="D2433" i="2"/>
  <c r="B2433" i="2"/>
  <c r="A2433" i="2"/>
  <c r="P2433" i="2" s="1"/>
  <c r="Q2432" i="2"/>
  <c r="N2432" i="2"/>
  <c r="D2432" i="2"/>
  <c r="B2432" i="2"/>
  <c r="A2432" i="2"/>
  <c r="P2432" i="2" s="1"/>
  <c r="Q2431" i="2"/>
  <c r="N2431" i="2"/>
  <c r="D2431" i="2"/>
  <c r="B2431" i="2"/>
  <c r="A2431" i="2"/>
  <c r="P2431" i="2" s="1"/>
  <c r="Q2430" i="2"/>
  <c r="N2430" i="2"/>
  <c r="D2430" i="2"/>
  <c r="B2430" i="2"/>
  <c r="A2430" i="2"/>
  <c r="Q2429" i="2"/>
  <c r="N2429" i="2"/>
  <c r="D2429" i="2"/>
  <c r="B2429" i="2"/>
  <c r="A2429" i="2"/>
  <c r="P2429" i="2" s="1"/>
  <c r="Q2428" i="2"/>
  <c r="N2428" i="2"/>
  <c r="D2428" i="2"/>
  <c r="B2428" i="2"/>
  <c r="A2428" i="2"/>
  <c r="Q2427" i="2"/>
  <c r="N2427" i="2"/>
  <c r="D2427" i="2"/>
  <c r="B2427" i="2"/>
  <c r="A2427" i="2"/>
  <c r="O2427" i="2" s="1"/>
  <c r="Q2426" i="2"/>
  <c r="N2426" i="2"/>
  <c r="D2426" i="2"/>
  <c r="B2426" i="2"/>
  <c r="A2426" i="2"/>
  <c r="P2426" i="2" s="1"/>
  <c r="Q2425" i="2"/>
  <c r="N2425" i="2"/>
  <c r="D2425" i="2"/>
  <c r="B2425" i="2"/>
  <c r="A2425" i="2"/>
  <c r="P2425" i="2" s="1"/>
  <c r="Q2424" i="2"/>
  <c r="N2424" i="2"/>
  <c r="D2424" i="2"/>
  <c r="B2424" i="2"/>
  <c r="A2424" i="2"/>
  <c r="P2424" i="2" s="1"/>
  <c r="Q2423" i="2"/>
  <c r="N2423" i="2"/>
  <c r="D2423" i="2"/>
  <c r="B2423" i="2"/>
  <c r="A2423" i="2"/>
  <c r="O2423" i="2" s="1"/>
  <c r="Q2422" i="2"/>
  <c r="N2422" i="2"/>
  <c r="D2422" i="2"/>
  <c r="B2422" i="2"/>
  <c r="A2422" i="2"/>
  <c r="Q2421" i="2"/>
  <c r="N2421" i="2"/>
  <c r="D2421" i="2"/>
  <c r="B2421" i="2"/>
  <c r="A2421" i="2"/>
  <c r="P2421" i="2" s="1"/>
  <c r="Q2420" i="2"/>
  <c r="N2420" i="2"/>
  <c r="D2420" i="2"/>
  <c r="B2420" i="2"/>
  <c r="A2420" i="2"/>
  <c r="O2420" i="2" s="1"/>
  <c r="Q2419" i="2"/>
  <c r="N2419" i="2"/>
  <c r="D2419" i="2"/>
  <c r="B2419" i="2"/>
  <c r="A2419" i="2"/>
  <c r="O2419" i="2" s="1"/>
  <c r="Q2418" i="2"/>
  <c r="N2418" i="2"/>
  <c r="D2418" i="2"/>
  <c r="B2418" i="2"/>
  <c r="A2418" i="2"/>
  <c r="P2418" i="2" s="1"/>
  <c r="Q2417" i="2"/>
  <c r="N2417" i="2"/>
  <c r="D2417" i="2"/>
  <c r="B2417" i="2"/>
  <c r="A2417" i="2"/>
  <c r="O2417" i="2" s="1"/>
  <c r="Q2416" i="2"/>
  <c r="N2416" i="2"/>
  <c r="D2416" i="2"/>
  <c r="B2416" i="2"/>
  <c r="A2416" i="2"/>
  <c r="P2416" i="2" s="1"/>
  <c r="Q2415" i="2"/>
  <c r="N2415" i="2"/>
  <c r="D2415" i="2"/>
  <c r="B2415" i="2"/>
  <c r="A2415" i="2"/>
  <c r="O2415" i="2" s="1"/>
  <c r="Q2414" i="2"/>
  <c r="N2414" i="2"/>
  <c r="D2414" i="2"/>
  <c r="B2414" i="2"/>
  <c r="A2414" i="2"/>
  <c r="O2414" i="2" s="1"/>
  <c r="Q2413" i="2"/>
  <c r="N2413" i="2"/>
  <c r="D2413" i="2"/>
  <c r="B2413" i="2"/>
  <c r="A2413" i="2"/>
  <c r="Q2412" i="2"/>
  <c r="N2412" i="2"/>
  <c r="D2412" i="2"/>
  <c r="B2412" i="2"/>
  <c r="A2412" i="2"/>
  <c r="Q2411" i="2"/>
  <c r="N2411" i="2"/>
  <c r="D2411" i="2"/>
  <c r="B2411" i="2"/>
  <c r="A2411" i="2"/>
  <c r="Q2410" i="2"/>
  <c r="N2410" i="2"/>
  <c r="D2410" i="2"/>
  <c r="B2410" i="2"/>
  <c r="A2410" i="2"/>
  <c r="Q2409" i="2"/>
  <c r="N2409" i="2"/>
  <c r="D2409" i="2"/>
  <c r="B2409" i="2"/>
  <c r="A2409" i="2"/>
  <c r="O2409" i="2" s="1"/>
  <c r="Q2408" i="2"/>
  <c r="N2408" i="2"/>
  <c r="D2408" i="2"/>
  <c r="B2408" i="2"/>
  <c r="A2408" i="2"/>
  <c r="O2408" i="2" s="1"/>
  <c r="Q2407" i="2"/>
  <c r="N2407" i="2"/>
  <c r="D2407" i="2"/>
  <c r="B2407" i="2"/>
  <c r="A2407" i="2"/>
  <c r="O2407" i="2" s="1"/>
  <c r="Q2406" i="2"/>
  <c r="N2406" i="2"/>
  <c r="D2406" i="2"/>
  <c r="B2406" i="2"/>
  <c r="A2406" i="2"/>
  <c r="O2406" i="2" s="1"/>
  <c r="Q2405" i="2"/>
  <c r="N2405" i="2"/>
  <c r="D2405" i="2"/>
  <c r="B2405" i="2"/>
  <c r="A2405" i="2"/>
  <c r="Q2404" i="2"/>
  <c r="N2404" i="2"/>
  <c r="D2404" i="2"/>
  <c r="B2404" i="2"/>
  <c r="A2404" i="2"/>
  <c r="Q2403" i="2"/>
  <c r="N2403" i="2"/>
  <c r="D2403" i="2"/>
  <c r="B2403" i="2"/>
  <c r="A2403" i="2"/>
  <c r="O2403" i="2" s="1"/>
  <c r="Q2402" i="2"/>
  <c r="N2402" i="2"/>
  <c r="D2402" i="2"/>
  <c r="B2402" i="2"/>
  <c r="A2402" i="2"/>
  <c r="P2402" i="2" s="1"/>
  <c r="Q2401" i="2"/>
  <c r="N2401" i="2"/>
  <c r="D2401" i="2"/>
  <c r="B2401" i="2"/>
  <c r="A2401" i="2"/>
  <c r="O2401" i="2" s="1"/>
  <c r="Q2400" i="2"/>
  <c r="N2400" i="2"/>
  <c r="D2400" i="2"/>
  <c r="B2400" i="2"/>
  <c r="A2400" i="2"/>
  <c r="O2400" i="2" s="1"/>
  <c r="Q2399" i="2"/>
  <c r="N2399" i="2"/>
  <c r="D2399" i="2"/>
  <c r="B2399" i="2"/>
  <c r="A2399" i="2"/>
  <c r="O2399" i="2" s="1"/>
  <c r="Q2398" i="2"/>
  <c r="N2398" i="2"/>
  <c r="D2398" i="2"/>
  <c r="B2398" i="2"/>
  <c r="A2398" i="2"/>
  <c r="O2398" i="2" s="1"/>
  <c r="Q2397" i="2"/>
  <c r="N2397" i="2"/>
  <c r="D2397" i="2"/>
  <c r="B2397" i="2"/>
  <c r="A2397" i="2"/>
  <c r="O2397" i="2" s="1"/>
  <c r="Q2396" i="2"/>
  <c r="N2396" i="2"/>
  <c r="D2396" i="2"/>
  <c r="B2396" i="2"/>
  <c r="A2396" i="2"/>
  <c r="P2396" i="2" s="1"/>
  <c r="Q2395" i="2"/>
  <c r="N2395" i="2"/>
  <c r="D2395" i="2"/>
  <c r="B2395" i="2"/>
  <c r="A2395" i="2"/>
  <c r="O2395" i="2" s="1"/>
  <c r="Q2394" i="2"/>
  <c r="N2394" i="2"/>
  <c r="D2394" i="2"/>
  <c r="B2394" i="2"/>
  <c r="A2394" i="2"/>
  <c r="Q2393" i="2"/>
  <c r="N2393" i="2"/>
  <c r="D2393" i="2"/>
  <c r="B2393" i="2"/>
  <c r="A2393" i="2"/>
  <c r="P2393" i="2" s="1"/>
  <c r="Q2392" i="2"/>
  <c r="N2392" i="2"/>
  <c r="D2392" i="2"/>
  <c r="B2392" i="2"/>
  <c r="A2392" i="2"/>
  <c r="P2392" i="2" s="1"/>
  <c r="Q2391" i="2"/>
  <c r="N2391" i="2"/>
  <c r="D2391" i="2"/>
  <c r="B2391" i="2"/>
  <c r="A2391" i="2"/>
  <c r="O2391" i="2" s="1"/>
  <c r="Q2390" i="2"/>
  <c r="N2390" i="2"/>
  <c r="D2390" i="2"/>
  <c r="B2390" i="2"/>
  <c r="A2390" i="2"/>
  <c r="P2390" i="2" s="1"/>
  <c r="Q2389" i="2"/>
  <c r="N2389" i="2"/>
  <c r="D2389" i="2"/>
  <c r="B2389" i="2"/>
  <c r="A2389" i="2"/>
  <c r="O2389" i="2" s="1"/>
  <c r="Q2388" i="2"/>
  <c r="N2388" i="2"/>
  <c r="D2388" i="2"/>
  <c r="B2388" i="2"/>
  <c r="A2388" i="2"/>
  <c r="P2388" i="2" s="1"/>
  <c r="Q2387" i="2"/>
  <c r="N2387" i="2"/>
  <c r="D2387" i="2"/>
  <c r="B2387" i="2"/>
  <c r="A2387" i="2"/>
  <c r="P2387" i="2" s="1"/>
  <c r="Q2386" i="2"/>
  <c r="N2386" i="2"/>
  <c r="D2386" i="2"/>
  <c r="B2386" i="2"/>
  <c r="A2386" i="2"/>
  <c r="Q2385" i="2"/>
  <c r="N2385" i="2"/>
  <c r="D2385" i="2"/>
  <c r="B2385" i="2"/>
  <c r="A2385" i="2"/>
  <c r="P2385" i="2" s="1"/>
  <c r="Q2384" i="2"/>
  <c r="N2384" i="2"/>
  <c r="D2384" i="2"/>
  <c r="B2384" i="2"/>
  <c r="A2384" i="2"/>
  <c r="P2384" i="2" s="1"/>
  <c r="Q2383" i="2"/>
  <c r="N2383" i="2"/>
  <c r="D2383" i="2"/>
  <c r="B2383" i="2"/>
  <c r="A2383" i="2"/>
  <c r="P2383" i="2" s="1"/>
  <c r="Q2382" i="2"/>
  <c r="N2382" i="2"/>
  <c r="D2382" i="2"/>
  <c r="B2382" i="2"/>
  <c r="A2382" i="2"/>
  <c r="P2382" i="2" s="1"/>
  <c r="Q2381" i="2"/>
  <c r="N2381" i="2"/>
  <c r="D2381" i="2"/>
  <c r="B2381" i="2"/>
  <c r="A2381" i="2"/>
  <c r="P2381" i="2" s="1"/>
  <c r="Q2380" i="2"/>
  <c r="N2380" i="2"/>
  <c r="D2380" i="2"/>
  <c r="B2380" i="2"/>
  <c r="A2380" i="2"/>
  <c r="O2380" i="2" s="1"/>
  <c r="Q2379" i="2"/>
  <c r="N2379" i="2"/>
  <c r="D2379" i="2"/>
  <c r="B2379" i="2"/>
  <c r="A2379" i="2"/>
  <c r="O2379" i="2" s="1"/>
  <c r="Q2378" i="2"/>
  <c r="N2378" i="2"/>
  <c r="D2378" i="2"/>
  <c r="B2378" i="2"/>
  <c r="A2378" i="2"/>
  <c r="Q2377" i="2"/>
  <c r="N2377" i="2"/>
  <c r="D2377" i="2"/>
  <c r="B2377" i="2"/>
  <c r="A2377" i="2"/>
  <c r="O2377" i="2" s="1"/>
  <c r="Q2376" i="2"/>
  <c r="N2376" i="2"/>
  <c r="D2376" i="2"/>
  <c r="B2376" i="2"/>
  <c r="A2376" i="2"/>
  <c r="P2376" i="2" s="1"/>
  <c r="Q2375" i="2"/>
  <c r="N2375" i="2"/>
  <c r="D2375" i="2"/>
  <c r="B2375" i="2"/>
  <c r="A2375" i="2"/>
  <c r="O2375" i="2" s="1"/>
  <c r="Q2374" i="2"/>
  <c r="N2374" i="2"/>
  <c r="D2374" i="2"/>
  <c r="B2374" i="2"/>
  <c r="A2374" i="2"/>
  <c r="P2374" i="2" s="1"/>
  <c r="Q2373" i="2"/>
  <c r="N2373" i="2"/>
  <c r="D2373" i="2"/>
  <c r="B2373" i="2"/>
  <c r="A2373" i="2"/>
  <c r="P2373" i="2" s="1"/>
  <c r="Q2372" i="2"/>
  <c r="N2372" i="2"/>
  <c r="D2372" i="2"/>
  <c r="B2372" i="2"/>
  <c r="A2372" i="2"/>
  <c r="Q2371" i="2"/>
  <c r="N2371" i="2"/>
  <c r="D2371" i="2"/>
  <c r="B2371" i="2"/>
  <c r="A2371" i="2"/>
  <c r="P2371" i="2" s="1"/>
  <c r="Q2370" i="2"/>
  <c r="N2370" i="2"/>
  <c r="D2370" i="2"/>
  <c r="B2370" i="2"/>
  <c r="A2370" i="2"/>
  <c r="P2370" i="2" s="1"/>
  <c r="Q2369" i="2"/>
  <c r="N2369" i="2"/>
  <c r="D2369" i="2"/>
  <c r="B2369" i="2"/>
  <c r="A2369" i="2"/>
  <c r="Q2368" i="2"/>
  <c r="N2368" i="2"/>
  <c r="D2368" i="2"/>
  <c r="B2368" i="2"/>
  <c r="A2368" i="2"/>
  <c r="Q2367" i="2"/>
  <c r="N2367" i="2"/>
  <c r="D2367" i="2"/>
  <c r="B2367" i="2"/>
  <c r="A2367" i="2"/>
  <c r="P2367" i="2" s="1"/>
  <c r="Q2366" i="2"/>
  <c r="N2366" i="2"/>
  <c r="D2366" i="2"/>
  <c r="B2366" i="2"/>
  <c r="A2366" i="2"/>
  <c r="Q2365" i="2"/>
  <c r="N2365" i="2"/>
  <c r="D2365" i="2"/>
  <c r="B2365" i="2"/>
  <c r="A2365" i="2"/>
  <c r="O2365" i="2" s="1"/>
  <c r="Q2364" i="2"/>
  <c r="N2364" i="2"/>
  <c r="D2364" i="2"/>
  <c r="B2364" i="2"/>
  <c r="A2364" i="2"/>
  <c r="Q2363" i="2"/>
  <c r="N2363" i="2"/>
  <c r="D2363" i="2"/>
  <c r="B2363" i="2"/>
  <c r="A2363" i="2"/>
  <c r="O2363" i="2" s="1"/>
  <c r="Q2362" i="2"/>
  <c r="N2362" i="2"/>
  <c r="D2362" i="2"/>
  <c r="B2362" i="2"/>
  <c r="A2362" i="2"/>
  <c r="O2362" i="2" s="1"/>
  <c r="Q2361" i="2"/>
  <c r="N2361" i="2"/>
  <c r="D2361" i="2"/>
  <c r="B2361" i="2"/>
  <c r="A2361" i="2"/>
  <c r="Q2360" i="2"/>
  <c r="N2360" i="2"/>
  <c r="D2360" i="2"/>
  <c r="B2360" i="2"/>
  <c r="A2360" i="2"/>
  <c r="O2360" i="2" s="1"/>
  <c r="Q2359" i="2"/>
  <c r="N2359" i="2"/>
  <c r="D2359" i="2"/>
  <c r="B2359" i="2"/>
  <c r="A2359" i="2"/>
  <c r="O2359" i="2" s="1"/>
  <c r="Q2358" i="2"/>
  <c r="N2358" i="2"/>
  <c r="D2358" i="2"/>
  <c r="B2358" i="2"/>
  <c r="A2358" i="2"/>
  <c r="Q2357" i="2"/>
  <c r="N2357" i="2"/>
  <c r="D2357" i="2"/>
  <c r="B2357" i="2"/>
  <c r="A2357" i="2"/>
  <c r="P2357" i="2" s="1"/>
  <c r="Q2356" i="2"/>
  <c r="N2356" i="2"/>
  <c r="D2356" i="2"/>
  <c r="B2356" i="2"/>
  <c r="A2356" i="2"/>
  <c r="P2356" i="2" s="1"/>
  <c r="Q2355" i="2"/>
  <c r="N2355" i="2"/>
  <c r="D2355" i="2"/>
  <c r="B2355" i="2"/>
  <c r="A2355" i="2"/>
  <c r="Q2354" i="2"/>
  <c r="N2354" i="2"/>
  <c r="D2354" i="2"/>
  <c r="B2354" i="2"/>
  <c r="A2354" i="2"/>
  <c r="Q2353" i="2"/>
  <c r="N2353" i="2"/>
  <c r="D2353" i="2"/>
  <c r="B2353" i="2"/>
  <c r="A2353" i="2"/>
  <c r="O2353" i="2" s="1"/>
  <c r="Q2352" i="2"/>
  <c r="N2352" i="2"/>
  <c r="D2352" i="2"/>
  <c r="B2352" i="2"/>
  <c r="A2352" i="2"/>
  <c r="Q2351" i="2"/>
  <c r="N2351" i="2"/>
  <c r="D2351" i="2"/>
  <c r="B2351" i="2"/>
  <c r="A2351" i="2"/>
  <c r="Q2350" i="2"/>
  <c r="N2350" i="2"/>
  <c r="D2350" i="2"/>
  <c r="B2350" i="2"/>
  <c r="A2350" i="2"/>
  <c r="Q2349" i="2"/>
  <c r="N2349" i="2"/>
  <c r="D2349" i="2"/>
  <c r="B2349" i="2"/>
  <c r="A2349" i="2"/>
  <c r="Q2348" i="2"/>
  <c r="N2348" i="2"/>
  <c r="D2348" i="2"/>
  <c r="B2348" i="2"/>
  <c r="A2348" i="2"/>
  <c r="P2348" i="2" s="1"/>
  <c r="Q2347" i="2"/>
  <c r="N2347" i="2"/>
  <c r="D2347" i="2"/>
  <c r="B2347" i="2"/>
  <c r="A2347" i="2"/>
  <c r="Q2346" i="2"/>
  <c r="N2346" i="2"/>
  <c r="D2346" i="2"/>
  <c r="B2346" i="2"/>
  <c r="A2346" i="2"/>
  <c r="P2346" i="2" s="1"/>
  <c r="Q2345" i="2"/>
  <c r="N2345" i="2"/>
  <c r="D2345" i="2"/>
  <c r="B2345" i="2"/>
  <c r="A2345" i="2"/>
  <c r="P2345" i="2" s="1"/>
  <c r="Q2344" i="2"/>
  <c r="N2344" i="2"/>
  <c r="D2344" i="2"/>
  <c r="B2344" i="2"/>
  <c r="A2344" i="2"/>
  <c r="Q2343" i="2"/>
  <c r="N2343" i="2"/>
  <c r="D2343" i="2"/>
  <c r="B2343" i="2"/>
  <c r="A2343" i="2"/>
  <c r="O2343" i="2" s="1"/>
  <c r="Q2342" i="2"/>
  <c r="N2342" i="2"/>
  <c r="D2342" i="2"/>
  <c r="B2342" i="2"/>
  <c r="A2342" i="2"/>
  <c r="O2342" i="2" s="1"/>
  <c r="Q2341" i="2"/>
  <c r="N2341" i="2"/>
  <c r="D2341" i="2"/>
  <c r="B2341" i="2"/>
  <c r="A2341" i="2"/>
  <c r="Q2340" i="2"/>
  <c r="N2340" i="2"/>
  <c r="D2340" i="2"/>
  <c r="B2340" i="2"/>
  <c r="A2340" i="2"/>
  <c r="P2340" i="2" s="1"/>
  <c r="Q2339" i="2"/>
  <c r="N2339" i="2"/>
  <c r="D2339" i="2"/>
  <c r="B2339" i="2"/>
  <c r="A2339" i="2"/>
  <c r="O2339" i="2" s="1"/>
  <c r="Q2338" i="2"/>
  <c r="N2338" i="2"/>
  <c r="D2338" i="2"/>
  <c r="B2338" i="2"/>
  <c r="A2338" i="2"/>
  <c r="O2338" i="2" s="1"/>
  <c r="Q2337" i="2"/>
  <c r="N2337" i="2"/>
  <c r="D2337" i="2"/>
  <c r="B2337" i="2"/>
  <c r="A2337" i="2"/>
  <c r="P2337" i="2" s="1"/>
  <c r="Q2336" i="2"/>
  <c r="N2336" i="2"/>
  <c r="D2336" i="2"/>
  <c r="B2336" i="2"/>
  <c r="A2336" i="2"/>
  <c r="P2336" i="2" s="1"/>
  <c r="Q2335" i="2"/>
  <c r="N2335" i="2"/>
  <c r="D2335" i="2"/>
  <c r="B2335" i="2"/>
  <c r="A2335" i="2"/>
  <c r="O2335" i="2" s="1"/>
  <c r="Q2334" i="2"/>
  <c r="N2334" i="2"/>
  <c r="D2334" i="2"/>
  <c r="B2334" i="2"/>
  <c r="A2334" i="2"/>
  <c r="Q2333" i="2"/>
  <c r="N2333" i="2"/>
  <c r="D2333" i="2"/>
  <c r="B2333" i="2"/>
  <c r="A2333" i="2"/>
  <c r="O2333" i="2" s="1"/>
  <c r="Q2332" i="2"/>
  <c r="N2332" i="2"/>
  <c r="D2332" i="2"/>
  <c r="B2332" i="2"/>
  <c r="A2332" i="2"/>
  <c r="P2332" i="2" s="1"/>
  <c r="Q2331" i="2"/>
  <c r="N2331" i="2"/>
  <c r="D2331" i="2"/>
  <c r="B2331" i="2"/>
  <c r="A2331" i="2"/>
  <c r="O2331" i="2" s="1"/>
  <c r="Q2330" i="2"/>
  <c r="N2330" i="2"/>
  <c r="D2330" i="2"/>
  <c r="B2330" i="2"/>
  <c r="A2330" i="2"/>
  <c r="O2330" i="2" s="1"/>
  <c r="Q2329" i="2"/>
  <c r="N2329" i="2"/>
  <c r="D2329" i="2"/>
  <c r="B2329" i="2"/>
  <c r="A2329" i="2"/>
  <c r="O2329" i="2" s="1"/>
  <c r="Q2328" i="2"/>
  <c r="N2328" i="2"/>
  <c r="D2328" i="2"/>
  <c r="B2328" i="2"/>
  <c r="A2328" i="2"/>
  <c r="P2328" i="2" s="1"/>
  <c r="Q2327" i="2"/>
  <c r="N2327" i="2"/>
  <c r="D2327" i="2"/>
  <c r="B2327" i="2"/>
  <c r="A2327" i="2"/>
  <c r="O2327" i="2" s="1"/>
  <c r="Q2326" i="2"/>
  <c r="N2326" i="2"/>
  <c r="D2326" i="2"/>
  <c r="B2326" i="2"/>
  <c r="A2326" i="2"/>
  <c r="P2326" i="2" s="1"/>
  <c r="Q2325" i="2"/>
  <c r="N2325" i="2"/>
  <c r="D2325" i="2"/>
  <c r="B2325" i="2"/>
  <c r="A2325" i="2"/>
  <c r="Q2324" i="2"/>
  <c r="N2324" i="2"/>
  <c r="D2324" i="2"/>
  <c r="B2324" i="2"/>
  <c r="A2324" i="2"/>
  <c r="O2324" i="2" s="1"/>
  <c r="Q2323" i="2"/>
  <c r="N2323" i="2"/>
  <c r="D2323" i="2"/>
  <c r="B2323" i="2"/>
  <c r="A2323" i="2"/>
  <c r="O2323" i="2" s="1"/>
  <c r="Q2322" i="2"/>
  <c r="N2322" i="2"/>
  <c r="D2322" i="2"/>
  <c r="B2322" i="2"/>
  <c r="A2322" i="2"/>
  <c r="O2322" i="2" s="1"/>
  <c r="Q2321" i="2"/>
  <c r="N2321" i="2"/>
  <c r="D2321" i="2"/>
  <c r="B2321" i="2"/>
  <c r="A2321" i="2"/>
  <c r="P2321" i="2" s="1"/>
  <c r="Q2320" i="2"/>
  <c r="N2320" i="2"/>
  <c r="D2320" i="2"/>
  <c r="B2320" i="2"/>
  <c r="A2320" i="2"/>
  <c r="O2320" i="2" s="1"/>
  <c r="Q2319" i="2"/>
  <c r="N2319" i="2"/>
  <c r="D2319" i="2"/>
  <c r="B2319" i="2"/>
  <c r="A2319" i="2"/>
  <c r="Q2318" i="2"/>
  <c r="N2318" i="2"/>
  <c r="D2318" i="2"/>
  <c r="B2318" i="2"/>
  <c r="A2318" i="2"/>
  <c r="P2318" i="2" s="1"/>
  <c r="Q2317" i="2"/>
  <c r="N2317" i="2"/>
  <c r="D2317" i="2"/>
  <c r="B2317" i="2"/>
  <c r="A2317" i="2"/>
  <c r="Q2316" i="2"/>
  <c r="N2316" i="2"/>
  <c r="D2316" i="2"/>
  <c r="B2316" i="2"/>
  <c r="A2316" i="2"/>
  <c r="P2316" i="2" s="1"/>
  <c r="Q2315" i="2"/>
  <c r="N2315" i="2"/>
  <c r="D2315" i="2"/>
  <c r="B2315" i="2"/>
  <c r="A2315" i="2"/>
  <c r="O2315" i="2" s="1"/>
  <c r="Q2314" i="2"/>
  <c r="N2314" i="2"/>
  <c r="D2314" i="2"/>
  <c r="B2314" i="2"/>
  <c r="A2314" i="2"/>
  <c r="Q2313" i="2"/>
  <c r="N2313" i="2"/>
  <c r="D2313" i="2"/>
  <c r="B2313" i="2"/>
  <c r="A2313" i="2"/>
  <c r="P2313" i="2" s="1"/>
  <c r="Q2312" i="2"/>
  <c r="N2312" i="2"/>
  <c r="D2312" i="2"/>
  <c r="B2312" i="2"/>
  <c r="A2312" i="2"/>
  <c r="Q2311" i="2"/>
  <c r="N2311" i="2"/>
  <c r="D2311" i="2"/>
  <c r="B2311" i="2"/>
  <c r="A2311" i="2"/>
  <c r="Q2310" i="2"/>
  <c r="N2310" i="2"/>
  <c r="D2310" i="2"/>
  <c r="B2310" i="2"/>
  <c r="A2310" i="2"/>
  <c r="P2310" i="2" s="1"/>
  <c r="Q2309" i="2"/>
  <c r="N2309" i="2"/>
  <c r="D2309" i="2"/>
  <c r="B2309" i="2"/>
  <c r="A2309" i="2"/>
  <c r="P2309" i="2" s="1"/>
  <c r="Q2308" i="2"/>
  <c r="N2308" i="2"/>
  <c r="D2308" i="2"/>
  <c r="B2308" i="2"/>
  <c r="A2308" i="2"/>
  <c r="Q2307" i="2"/>
  <c r="N2307" i="2"/>
  <c r="D2307" i="2"/>
  <c r="B2307" i="2"/>
  <c r="A2307" i="2"/>
  <c r="O2307" i="2" s="1"/>
  <c r="Q2306" i="2"/>
  <c r="N2306" i="2"/>
  <c r="D2306" i="2"/>
  <c r="B2306" i="2"/>
  <c r="A2306" i="2"/>
  <c r="O2306" i="2" s="1"/>
  <c r="Q2305" i="2"/>
  <c r="N2305" i="2"/>
  <c r="D2305" i="2"/>
  <c r="B2305" i="2"/>
  <c r="A2305" i="2"/>
  <c r="P2305" i="2" s="1"/>
  <c r="Q2304" i="2"/>
  <c r="N2304" i="2"/>
  <c r="D2304" i="2"/>
  <c r="B2304" i="2"/>
  <c r="A2304" i="2"/>
  <c r="Q2303" i="2"/>
  <c r="N2303" i="2"/>
  <c r="D2303" i="2"/>
  <c r="B2303" i="2"/>
  <c r="A2303" i="2"/>
  <c r="Q2302" i="2"/>
  <c r="N2302" i="2"/>
  <c r="D2302" i="2"/>
  <c r="B2302" i="2"/>
  <c r="A2302" i="2"/>
  <c r="Q2301" i="2"/>
  <c r="N2301" i="2"/>
  <c r="D2301" i="2"/>
  <c r="B2301" i="2"/>
  <c r="A2301" i="2"/>
  <c r="P2301" i="2" s="1"/>
  <c r="Q2300" i="2"/>
  <c r="N2300" i="2"/>
  <c r="D2300" i="2"/>
  <c r="B2300" i="2"/>
  <c r="A2300" i="2"/>
  <c r="P2300" i="2" s="1"/>
  <c r="Q2299" i="2"/>
  <c r="N2299" i="2"/>
  <c r="D2299" i="2"/>
  <c r="B2299" i="2"/>
  <c r="A2299" i="2"/>
  <c r="O2299" i="2" s="1"/>
  <c r="Q2298" i="2"/>
  <c r="N2298" i="2"/>
  <c r="D2298" i="2"/>
  <c r="B2298" i="2"/>
  <c r="A2298" i="2"/>
  <c r="Q2297" i="2"/>
  <c r="N2297" i="2"/>
  <c r="D2297" i="2"/>
  <c r="B2297" i="2"/>
  <c r="A2297" i="2"/>
  <c r="Q2296" i="2"/>
  <c r="N2296" i="2"/>
  <c r="D2296" i="2"/>
  <c r="B2296" i="2"/>
  <c r="A2296" i="2"/>
  <c r="O2296" i="2" s="1"/>
  <c r="Q2295" i="2"/>
  <c r="N2295" i="2"/>
  <c r="D2295" i="2"/>
  <c r="B2295" i="2"/>
  <c r="A2295" i="2"/>
  <c r="O2295" i="2" s="1"/>
  <c r="Q2294" i="2"/>
  <c r="N2294" i="2"/>
  <c r="D2294" i="2"/>
  <c r="B2294" i="2"/>
  <c r="A2294" i="2"/>
  <c r="Q2293" i="2"/>
  <c r="N2293" i="2"/>
  <c r="D2293" i="2"/>
  <c r="B2293" i="2"/>
  <c r="A2293" i="2"/>
  <c r="P2293" i="2" s="1"/>
  <c r="Q2292" i="2"/>
  <c r="N2292" i="2"/>
  <c r="D2292" i="2"/>
  <c r="B2292" i="2"/>
  <c r="A2292" i="2"/>
  <c r="Q2291" i="2"/>
  <c r="N2291" i="2"/>
  <c r="D2291" i="2"/>
  <c r="B2291" i="2"/>
  <c r="A2291" i="2"/>
  <c r="Q2290" i="2"/>
  <c r="N2290" i="2"/>
  <c r="D2290" i="2"/>
  <c r="B2290" i="2"/>
  <c r="A2290" i="2"/>
  <c r="Q2289" i="2"/>
  <c r="N2289" i="2"/>
  <c r="D2289" i="2"/>
  <c r="B2289" i="2"/>
  <c r="A2289" i="2"/>
  <c r="Q2288" i="2"/>
  <c r="N2288" i="2"/>
  <c r="D2288" i="2"/>
  <c r="B2288" i="2"/>
  <c r="A2288" i="2"/>
  <c r="Q2287" i="2"/>
  <c r="N2287" i="2"/>
  <c r="D2287" i="2"/>
  <c r="B2287" i="2"/>
  <c r="A2287" i="2"/>
  <c r="O2287" i="2" s="1"/>
  <c r="Q2286" i="2"/>
  <c r="N2286" i="2"/>
  <c r="D2286" i="2"/>
  <c r="B2286" i="2"/>
  <c r="A2286" i="2"/>
  <c r="O2286" i="2" s="1"/>
  <c r="Q2285" i="2"/>
  <c r="N2285" i="2"/>
  <c r="D2285" i="2"/>
  <c r="B2285" i="2"/>
  <c r="A2285" i="2"/>
  <c r="Q2284" i="2"/>
  <c r="N2284" i="2"/>
  <c r="D2284" i="2"/>
  <c r="B2284" i="2"/>
  <c r="A2284" i="2"/>
  <c r="O2284" i="2" s="1"/>
  <c r="Q2283" i="2"/>
  <c r="N2283" i="2"/>
  <c r="D2283" i="2"/>
  <c r="B2283" i="2"/>
  <c r="A2283" i="2"/>
  <c r="O2283" i="2" s="1"/>
  <c r="Q2282" i="2"/>
  <c r="N2282" i="2"/>
  <c r="D2282" i="2"/>
  <c r="B2282" i="2"/>
  <c r="A2282" i="2"/>
  <c r="Q2281" i="2"/>
  <c r="N2281" i="2"/>
  <c r="D2281" i="2"/>
  <c r="B2281" i="2"/>
  <c r="A2281" i="2"/>
  <c r="P2281" i="2" s="1"/>
  <c r="Q2280" i="2"/>
  <c r="N2280" i="2"/>
  <c r="D2280" i="2"/>
  <c r="B2280" i="2"/>
  <c r="A2280" i="2"/>
  <c r="Q2279" i="2"/>
  <c r="N2279" i="2"/>
  <c r="D2279" i="2"/>
  <c r="B2279" i="2"/>
  <c r="A2279" i="2"/>
  <c r="Q2278" i="2"/>
  <c r="N2278" i="2"/>
  <c r="D2278" i="2"/>
  <c r="B2278" i="2"/>
  <c r="A2278" i="2"/>
  <c r="O2278" i="2" s="1"/>
  <c r="Q2277" i="2"/>
  <c r="N2277" i="2"/>
  <c r="D2277" i="2"/>
  <c r="B2277" i="2"/>
  <c r="A2277" i="2"/>
  <c r="P2277" i="2" s="1"/>
  <c r="Q2276" i="2"/>
  <c r="N2276" i="2"/>
  <c r="D2276" i="2"/>
  <c r="B2276" i="2"/>
  <c r="A2276" i="2"/>
  <c r="P2276" i="2" s="1"/>
  <c r="Q2275" i="2"/>
  <c r="N2275" i="2"/>
  <c r="D2275" i="2"/>
  <c r="B2275" i="2"/>
  <c r="A2275" i="2"/>
  <c r="O2275" i="2" s="1"/>
  <c r="Q2274" i="2"/>
  <c r="N2274" i="2"/>
  <c r="D2274" i="2"/>
  <c r="B2274" i="2"/>
  <c r="A2274" i="2"/>
  <c r="P2274" i="2" s="1"/>
  <c r="Q2273" i="2"/>
  <c r="N2273" i="2"/>
  <c r="D2273" i="2"/>
  <c r="B2273" i="2"/>
  <c r="A2273" i="2"/>
  <c r="O2273" i="2" s="1"/>
  <c r="Q2272" i="2"/>
  <c r="N2272" i="2"/>
  <c r="D2272" i="2"/>
  <c r="B2272" i="2"/>
  <c r="A2272" i="2"/>
  <c r="O2272" i="2" s="1"/>
  <c r="Q2271" i="2"/>
  <c r="N2271" i="2"/>
  <c r="D2271" i="2"/>
  <c r="B2271" i="2"/>
  <c r="A2271" i="2"/>
  <c r="O2271" i="2" s="1"/>
  <c r="Q2270" i="2"/>
  <c r="N2270" i="2"/>
  <c r="D2270" i="2"/>
  <c r="B2270" i="2"/>
  <c r="A2270" i="2"/>
  <c r="O2270" i="2" s="1"/>
  <c r="Q2269" i="2"/>
  <c r="N2269" i="2"/>
  <c r="D2269" i="2"/>
  <c r="B2269" i="2"/>
  <c r="A2269" i="2"/>
  <c r="O2269" i="2" s="1"/>
  <c r="Q2268" i="2"/>
  <c r="N2268" i="2"/>
  <c r="D2268" i="2"/>
  <c r="B2268" i="2"/>
  <c r="A2268" i="2"/>
  <c r="Q2267" i="2"/>
  <c r="N2267" i="2"/>
  <c r="D2267" i="2"/>
  <c r="B2267" i="2"/>
  <c r="A2267" i="2"/>
  <c r="P2267" i="2" s="1"/>
  <c r="Q2266" i="2"/>
  <c r="N2266" i="2"/>
  <c r="D2266" i="2"/>
  <c r="B2266" i="2"/>
  <c r="A2266" i="2"/>
  <c r="P2266" i="2" s="1"/>
  <c r="Q2265" i="2"/>
  <c r="N2265" i="2"/>
  <c r="D2265" i="2"/>
  <c r="B2265" i="2"/>
  <c r="A2265" i="2"/>
  <c r="P2265" i="2" s="1"/>
  <c r="Q2264" i="2"/>
  <c r="N2264" i="2"/>
  <c r="D2264" i="2"/>
  <c r="B2264" i="2"/>
  <c r="A2264" i="2"/>
  <c r="O2264" i="2" s="1"/>
  <c r="Q2263" i="2"/>
  <c r="N2263" i="2"/>
  <c r="D2263" i="2"/>
  <c r="B2263" i="2"/>
  <c r="A2263" i="2"/>
  <c r="P2263" i="2" s="1"/>
  <c r="Q2262" i="2"/>
  <c r="N2262" i="2"/>
  <c r="D2262" i="2"/>
  <c r="B2262" i="2"/>
  <c r="A2262" i="2"/>
  <c r="Q2261" i="2"/>
  <c r="N2261" i="2"/>
  <c r="D2261" i="2"/>
  <c r="B2261" i="2"/>
  <c r="A2261" i="2"/>
  <c r="O2261" i="2" s="1"/>
  <c r="Q2260" i="2"/>
  <c r="N2260" i="2"/>
  <c r="D2260" i="2"/>
  <c r="B2260" i="2"/>
  <c r="A2260" i="2"/>
  <c r="O2260" i="2" s="1"/>
  <c r="Q2259" i="2"/>
  <c r="N2259" i="2"/>
  <c r="D2259" i="2"/>
  <c r="B2259" i="2"/>
  <c r="A2259" i="2"/>
  <c r="O2259" i="2" s="1"/>
  <c r="Q2258" i="2"/>
  <c r="N2258" i="2"/>
  <c r="D2258" i="2"/>
  <c r="B2258" i="2"/>
  <c r="A2258" i="2"/>
  <c r="P2258" i="2" s="1"/>
  <c r="Q2257" i="2"/>
  <c r="N2257" i="2"/>
  <c r="D2257" i="2"/>
  <c r="B2257" i="2"/>
  <c r="A2257" i="2"/>
  <c r="Q2256" i="2"/>
  <c r="N2256" i="2"/>
  <c r="D2256" i="2"/>
  <c r="B2256" i="2"/>
  <c r="A2256" i="2"/>
  <c r="P2256" i="2" s="1"/>
  <c r="Q2255" i="2"/>
  <c r="N2255" i="2"/>
  <c r="D2255" i="2"/>
  <c r="B2255" i="2"/>
  <c r="A2255" i="2"/>
  <c r="P2255" i="2" s="1"/>
  <c r="Q2254" i="2"/>
  <c r="N2254" i="2"/>
  <c r="D2254" i="2"/>
  <c r="B2254" i="2"/>
  <c r="A2254" i="2"/>
  <c r="P2254" i="2" s="1"/>
  <c r="Q2253" i="2"/>
  <c r="N2253" i="2"/>
  <c r="D2253" i="2"/>
  <c r="B2253" i="2"/>
  <c r="A2253" i="2"/>
  <c r="O2253" i="2" s="1"/>
  <c r="Q2252" i="2"/>
  <c r="N2252" i="2"/>
  <c r="D2252" i="2"/>
  <c r="B2252" i="2"/>
  <c r="A2252" i="2"/>
  <c r="O2252" i="2" s="1"/>
  <c r="Q2251" i="2"/>
  <c r="N2251" i="2"/>
  <c r="D2251" i="2"/>
  <c r="B2251" i="2"/>
  <c r="A2251" i="2"/>
  <c r="O2251" i="2" s="1"/>
  <c r="Q2250" i="2"/>
  <c r="N2250" i="2"/>
  <c r="D2250" i="2"/>
  <c r="B2250" i="2"/>
  <c r="A2250" i="2"/>
  <c r="O2250" i="2" s="1"/>
  <c r="Q2249" i="2"/>
  <c r="N2249" i="2"/>
  <c r="D2249" i="2"/>
  <c r="B2249" i="2"/>
  <c r="A2249" i="2"/>
  <c r="O2249" i="2" s="1"/>
  <c r="Q2248" i="2"/>
  <c r="N2248" i="2"/>
  <c r="D2248" i="2"/>
  <c r="B2248" i="2"/>
  <c r="A2248" i="2"/>
  <c r="Q2247" i="2"/>
  <c r="N2247" i="2"/>
  <c r="D2247" i="2"/>
  <c r="B2247" i="2"/>
  <c r="A2247" i="2"/>
  <c r="P2247" i="2" s="1"/>
  <c r="Q2246" i="2"/>
  <c r="N2246" i="2"/>
  <c r="D2246" i="2"/>
  <c r="B2246" i="2"/>
  <c r="A2246" i="2"/>
  <c r="Q2245" i="2"/>
  <c r="N2245" i="2"/>
  <c r="D2245" i="2"/>
  <c r="B2245" i="2"/>
  <c r="A2245" i="2"/>
  <c r="Q2244" i="2"/>
  <c r="N2244" i="2"/>
  <c r="D2244" i="2"/>
  <c r="B2244" i="2"/>
  <c r="A2244" i="2"/>
  <c r="P2244" i="2" s="1"/>
  <c r="Q2243" i="2"/>
  <c r="N2243" i="2"/>
  <c r="D2243" i="2"/>
  <c r="B2243" i="2"/>
  <c r="A2243" i="2"/>
  <c r="P2243" i="2" s="1"/>
  <c r="Q2242" i="2"/>
  <c r="N2242" i="2"/>
  <c r="D2242" i="2"/>
  <c r="B2242" i="2"/>
  <c r="A2242" i="2"/>
  <c r="P2242" i="2" s="1"/>
  <c r="Q2241" i="2"/>
  <c r="N2241" i="2"/>
  <c r="D2241" i="2"/>
  <c r="B2241" i="2"/>
  <c r="A2241" i="2"/>
  <c r="O2241" i="2" s="1"/>
  <c r="Q2240" i="2"/>
  <c r="N2240" i="2"/>
  <c r="D2240" i="2"/>
  <c r="B2240" i="2"/>
  <c r="A2240" i="2"/>
  <c r="P2240" i="2" s="1"/>
  <c r="Q2239" i="2"/>
  <c r="N2239" i="2"/>
  <c r="D2239" i="2"/>
  <c r="B2239" i="2"/>
  <c r="A2239" i="2"/>
  <c r="O2239" i="2" s="1"/>
  <c r="Q2238" i="2"/>
  <c r="N2238" i="2"/>
  <c r="D2238" i="2"/>
  <c r="B2238" i="2"/>
  <c r="A2238" i="2"/>
  <c r="O2238" i="2" s="1"/>
  <c r="Q2237" i="2"/>
  <c r="N2237" i="2"/>
  <c r="D2237" i="2"/>
  <c r="B2237" i="2"/>
  <c r="A2237" i="2"/>
  <c r="P2237" i="2" s="1"/>
  <c r="Q2236" i="2"/>
  <c r="N2236" i="2"/>
  <c r="D2236" i="2"/>
  <c r="B2236" i="2"/>
  <c r="A2236" i="2"/>
  <c r="Q2235" i="2"/>
  <c r="N2235" i="2"/>
  <c r="D2235" i="2"/>
  <c r="B2235" i="2"/>
  <c r="A2235" i="2"/>
  <c r="Q2234" i="2"/>
  <c r="N2234" i="2"/>
  <c r="D2234" i="2"/>
  <c r="B2234" i="2"/>
  <c r="A2234" i="2"/>
  <c r="P2234" i="2" s="1"/>
  <c r="Q2233" i="2"/>
  <c r="N2233" i="2"/>
  <c r="D2233" i="2"/>
  <c r="B2233" i="2"/>
  <c r="A2233" i="2"/>
  <c r="Q2232" i="2"/>
  <c r="N2232" i="2"/>
  <c r="D2232" i="2"/>
  <c r="B2232" i="2"/>
  <c r="A2232" i="2"/>
  <c r="O2232" i="2" s="1"/>
  <c r="Q2231" i="2"/>
  <c r="N2231" i="2"/>
  <c r="D2231" i="2"/>
  <c r="B2231" i="2"/>
  <c r="A2231" i="2"/>
  <c r="O2231" i="2" s="1"/>
  <c r="Q2230" i="2"/>
  <c r="N2230" i="2"/>
  <c r="D2230" i="2"/>
  <c r="B2230" i="2"/>
  <c r="A2230" i="2"/>
  <c r="Q2229" i="2"/>
  <c r="N2229" i="2"/>
  <c r="D2229" i="2"/>
  <c r="B2229" i="2"/>
  <c r="A2229" i="2"/>
  <c r="O2229" i="2" s="1"/>
  <c r="Q2228" i="2"/>
  <c r="N2228" i="2"/>
  <c r="D2228" i="2"/>
  <c r="B2228" i="2"/>
  <c r="A2228" i="2"/>
  <c r="Q2227" i="2"/>
  <c r="N2227" i="2"/>
  <c r="D2227" i="2"/>
  <c r="B2227" i="2"/>
  <c r="A2227" i="2"/>
  <c r="Q2226" i="2"/>
  <c r="N2226" i="2"/>
  <c r="D2226" i="2"/>
  <c r="B2226" i="2"/>
  <c r="A2226" i="2"/>
  <c r="Q2225" i="2"/>
  <c r="N2225" i="2"/>
  <c r="D2225" i="2"/>
  <c r="B2225" i="2"/>
  <c r="A2225" i="2"/>
  <c r="Q2224" i="2"/>
  <c r="N2224" i="2"/>
  <c r="D2224" i="2"/>
  <c r="B2224" i="2"/>
  <c r="A2224" i="2"/>
  <c r="Q2223" i="2"/>
  <c r="N2223" i="2"/>
  <c r="D2223" i="2"/>
  <c r="B2223" i="2"/>
  <c r="A2223" i="2"/>
  <c r="O2223" i="2" s="1"/>
  <c r="Q2222" i="2"/>
  <c r="N2222" i="2"/>
  <c r="D2222" i="2"/>
  <c r="B2222" i="2"/>
  <c r="A2222" i="2"/>
  <c r="P2222" i="2" s="1"/>
  <c r="Q2221" i="2"/>
  <c r="N2221" i="2"/>
  <c r="D2221" i="2"/>
  <c r="B2221" i="2"/>
  <c r="A2221" i="2"/>
  <c r="Q2220" i="2"/>
  <c r="N2220" i="2"/>
  <c r="D2220" i="2"/>
  <c r="B2220" i="2"/>
  <c r="A2220" i="2"/>
  <c r="P2220" i="2" s="1"/>
  <c r="Q2219" i="2"/>
  <c r="N2219" i="2"/>
  <c r="D2219" i="2"/>
  <c r="B2219" i="2"/>
  <c r="A2219" i="2"/>
  <c r="Q2218" i="2"/>
  <c r="N2218" i="2"/>
  <c r="D2218" i="2"/>
  <c r="B2218" i="2"/>
  <c r="A2218" i="2"/>
  <c r="P2218" i="2" s="1"/>
  <c r="Q2217" i="2"/>
  <c r="N2217" i="2"/>
  <c r="D2217" i="2"/>
  <c r="B2217" i="2"/>
  <c r="A2217" i="2"/>
  <c r="O2217" i="2" s="1"/>
  <c r="Q2216" i="2"/>
  <c r="N2216" i="2"/>
  <c r="D2216" i="2"/>
  <c r="B2216" i="2"/>
  <c r="A2216" i="2"/>
  <c r="O2216" i="2" s="1"/>
  <c r="Q2215" i="2"/>
  <c r="N2215" i="2"/>
  <c r="D2215" i="2"/>
  <c r="B2215" i="2"/>
  <c r="A2215" i="2"/>
  <c r="Q2214" i="2"/>
  <c r="N2214" i="2"/>
  <c r="D2214" i="2"/>
  <c r="B2214" i="2"/>
  <c r="A2214" i="2"/>
  <c r="P2214" i="2" s="1"/>
  <c r="Q2213" i="2"/>
  <c r="N2213" i="2"/>
  <c r="D2213" i="2"/>
  <c r="B2213" i="2"/>
  <c r="A2213" i="2"/>
  <c r="Q2212" i="2"/>
  <c r="N2212" i="2"/>
  <c r="D2212" i="2"/>
  <c r="B2212" i="2"/>
  <c r="A2212" i="2"/>
  <c r="Q2211" i="2"/>
  <c r="N2211" i="2"/>
  <c r="D2211" i="2"/>
  <c r="B2211" i="2"/>
  <c r="A2211" i="2"/>
  <c r="O2211" i="2" s="1"/>
  <c r="Q2210" i="2"/>
  <c r="N2210" i="2"/>
  <c r="D2210" i="2"/>
  <c r="B2210" i="2"/>
  <c r="A2210" i="2"/>
  <c r="P2210" i="2" s="1"/>
  <c r="Q2209" i="2"/>
  <c r="N2209" i="2"/>
  <c r="D2209" i="2"/>
  <c r="B2209" i="2"/>
  <c r="A2209" i="2"/>
  <c r="P2209" i="2" s="1"/>
  <c r="Q2208" i="2"/>
  <c r="N2208" i="2"/>
  <c r="D2208" i="2"/>
  <c r="B2208" i="2"/>
  <c r="A2208" i="2"/>
  <c r="Q2207" i="2"/>
  <c r="N2207" i="2"/>
  <c r="D2207" i="2"/>
  <c r="B2207" i="2"/>
  <c r="A2207" i="2"/>
  <c r="Q2206" i="2"/>
  <c r="N2206" i="2"/>
  <c r="D2206" i="2"/>
  <c r="B2206" i="2"/>
  <c r="A2206" i="2"/>
  <c r="O2206" i="2" s="1"/>
  <c r="Q2205" i="2"/>
  <c r="N2205" i="2"/>
  <c r="D2205" i="2"/>
  <c r="B2205" i="2"/>
  <c r="A2205" i="2"/>
  <c r="Q2204" i="2"/>
  <c r="N2204" i="2"/>
  <c r="D2204" i="2"/>
  <c r="B2204" i="2"/>
  <c r="A2204" i="2"/>
  <c r="Q2203" i="2"/>
  <c r="N2203" i="2"/>
  <c r="D2203" i="2"/>
  <c r="B2203" i="2"/>
  <c r="A2203" i="2"/>
  <c r="P2203" i="2" s="1"/>
  <c r="Q2202" i="2"/>
  <c r="N2202" i="2"/>
  <c r="D2202" i="2"/>
  <c r="B2202" i="2"/>
  <c r="A2202" i="2"/>
  <c r="P2202" i="2" s="1"/>
  <c r="Q2201" i="2"/>
  <c r="N2201" i="2"/>
  <c r="D2201" i="2"/>
  <c r="B2201" i="2"/>
  <c r="A2201" i="2"/>
  <c r="P2201" i="2" s="1"/>
  <c r="Q2200" i="2"/>
  <c r="N2200" i="2"/>
  <c r="D2200" i="2"/>
  <c r="B2200" i="2"/>
  <c r="A2200" i="2"/>
  <c r="P2200" i="2" s="1"/>
  <c r="Q2199" i="2"/>
  <c r="N2199" i="2"/>
  <c r="D2199" i="2"/>
  <c r="B2199" i="2"/>
  <c r="A2199" i="2"/>
  <c r="P2199" i="2" s="1"/>
  <c r="Q2198" i="2"/>
  <c r="N2198" i="2"/>
  <c r="D2198" i="2"/>
  <c r="B2198" i="2"/>
  <c r="A2198" i="2"/>
  <c r="P2198" i="2" s="1"/>
  <c r="Q2197" i="2"/>
  <c r="N2197" i="2"/>
  <c r="D2197" i="2"/>
  <c r="B2197" i="2"/>
  <c r="A2197" i="2"/>
  <c r="O2197" i="2" s="1"/>
  <c r="Q2196" i="2"/>
  <c r="N2196" i="2"/>
  <c r="D2196" i="2"/>
  <c r="B2196" i="2"/>
  <c r="A2196" i="2"/>
  <c r="Q2195" i="2"/>
  <c r="N2195" i="2"/>
  <c r="D2195" i="2"/>
  <c r="B2195" i="2"/>
  <c r="A2195" i="2"/>
  <c r="Q2194" i="2"/>
  <c r="N2194" i="2"/>
  <c r="D2194" i="2"/>
  <c r="B2194" i="2"/>
  <c r="A2194" i="2"/>
  <c r="P2194" i="2" s="1"/>
  <c r="Q2193" i="2"/>
  <c r="N2193" i="2"/>
  <c r="D2193" i="2"/>
  <c r="B2193" i="2"/>
  <c r="A2193" i="2"/>
  <c r="P2193" i="2" s="1"/>
  <c r="Q2192" i="2"/>
  <c r="N2192" i="2"/>
  <c r="D2192" i="2"/>
  <c r="B2192" i="2"/>
  <c r="A2192" i="2"/>
  <c r="Q2191" i="2"/>
  <c r="N2191" i="2"/>
  <c r="D2191" i="2"/>
  <c r="B2191" i="2"/>
  <c r="A2191" i="2"/>
  <c r="O2191" i="2" s="1"/>
  <c r="Q2190" i="2"/>
  <c r="N2190" i="2"/>
  <c r="D2190" i="2"/>
  <c r="B2190" i="2"/>
  <c r="A2190" i="2"/>
  <c r="P2190" i="2" s="1"/>
  <c r="Q2189" i="2"/>
  <c r="N2189" i="2"/>
  <c r="D2189" i="2"/>
  <c r="B2189" i="2"/>
  <c r="A2189" i="2"/>
  <c r="Q2188" i="2"/>
  <c r="N2188" i="2"/>
  <c r="D2188" i="2"/>
  <c r="B2188" i="2"/>
  <c r="A2188" i="2"/>
  <c r="Q2187" i="2"/>
  <c r="N2187" i="2"/>
  <c r="D2187" i="2"/>
  <c r="B2187" i="2"/>
  <c r="A2187" i="2"/>
  <c r="O2187" i="2" s="1"/>
  <c r="Q2186" i="2"/>
  <c r="N2186" i="2"/>
  <c r="D2186" i="2"/>
  <c r="B2186" i="2"/>
  <c r="A2186" i="2"/>
  <c r="Q2185" i="2"/>
  <c r="N2185" i="2"/>
  <c r="D2185" i="2"/>
  <c r="B2185" i="2"/>
  <c r="A2185" i="2"/>
  <c r="Q2184" i="2"/>
  <c r="N2184" i="2"/>
  <c r="D2184" i="2"/>
  <c r="B2184" i="2"/>
  <c r="A2184" i="2"/>
  <c r="O2184" i="2" s="1"/>
  <c r="Q2183" i="2"/>
  <c r="N2183" i="2"/>
  <c r="D2183" i="2"/>
  <c r="B2183" i="2"/>
  <c r="A2183" i="2"/>
  <c r="Q2182" i="2"/>
  <c r="N2182" i="2"/>
  <c r="D2182" i="2"/>
  <c r="B2182" i="2"/>
  <c r="A2182" i="2"/>
  <c r="Q2181" i="2"/>
  <c r="N2181" i="2"/>
  <c r="D2181" i="2"/>
  <c r="B2181" i="2"/>
  <c r="A2181" i="2"/>
  <c r="P2181" i="2" s="1"/>
  <c r="Q2180" i="2"/>
  <c r="N2180" i="2"/>
  <c r="D2180" i="2"/>
  <c r="B2180" i="2"/>
  <c r="A2180" i="2"/>
  <c r="P2180" i="2" s="1"/>
  <c r="Q2179" i="2"/>
  <c r="N2179" i="2"/>
  <c r="D2179" i="2"/>
  <c r="B2179" i="2"/>
  <c r="A2179" i="2"/>
  <c r="Q2178" i="2"/>
  <c r="N2178" i="2"/>
  <c r="D2178" i="2"/>
  <c r="B2178" i="2"/>
  <c r="A2178" i="2"/>
  <c r="P2178" i="2" s="1"/>
  <c r="Q2177" i="2"/>
  <c r="N2177" i="2"/>
  <c r="D2177" i="2"/>
  <c r="B2177" i="2"/>
  <c r="A2177" i="2"/>
  <c r="Q2176" i="2"/>
  <c r="N2176" i="2"/>
  <c r="D2176" i="2"/>
  <c r="B2176" i="2"/>
  <c r="A2176" i="2"/>
  <c r="Q2175" i="2"/>
  <c r="N2175" i="2"/>
  <c r="D2175" i="2"/>
  <c r="B2175" i="2"/>
  <c r="A2175" i="2"/>
  <c r="P2175" i="2" s="1"/>
  <c r="Q2174" i="2"/>
  <c r="N2174" i="2"/>
  <c r="D2174" i="2"/>
  <c r="B2174" i="2"/>
  <c r="A2174" i="2"/>
  <c r="P2174" i="2" s="1"/>
  <c r="Q2173" i="2"/>
  <c r="N2173" i="2"/>
  <c r="D2173" i="2"/>
  <c r="B2173" i="2"/>
  <c r="A2173" i="2"/>
  <c r="O2173" i="2" s="1"/>
  <c r="Q2172" i="2"/>
  <c r="N2172" i="2"/>
  <c r="D2172" i="2"/>
  <c r="B2172" i="2"/>
  <c r="A2172" i="2"/>
  <c r="Q2171" i="2"/>
  <c r="N2171" i="2"/>
  <c r="D2171" i="2"/>
  <c r="B2171" i="2"/>
  <c r="A2171" i="2"/>
  <c r="O2171" i="2" s="1"/>
  <c r="Q2170" i="2"/>
  <c r="N2170" i="2"/>
  <c r="D2170" i="2"/>
  <c r="B2170" i="2"/>
  <c r="A2170" i="2"/>
  <c r="Q2169" i="2"/>
  <c r="N2169" i="2"/>
  <c r="D2169" i="2"/>
  <c r="B2169" i="2"/>
  <c r="A2169" i="2"/>
  <c r="Q2168" i="2"/>
  <c r="N2168" i="2"/>
  <c r="D2168" i="2"/>
  <c r="B2168" i="2"/>
  <c r="A2168" i="2"/>
  <c r="Q2167" i="2"/>
  <c r="N2167" i="2"/>
  <c r="D2167" i="2"/>
  <c r="B2167" i="2"/>
  <c r="A2167" i="2"/>
  <c r="P2167" i="2" s="1"/>
  <c r="Q2166" i="2"/>
  <c r="N2166" i="2"/>
  <c r="D2166" i="2"/>
  <c r="B2166" i="2"/>
  <c r="A2166" i="2"/>
  <c r="O2166" i="2" s="1"/>
  <c r="Q2165" i="2"/>
  <c r="N2165" i="2"/>
  <c r="D2165" i="2"/>
  <c r="B2165" i="2"/>
  <c r="A2165" i="2"/>
  <c r="Q2164" i="2"/>
  <c r="N2164" i="2"/>
  <c r="D2164" i="2"/>
  <c r="B2164" i="2"/>
  <c r="A2164" i="2"/>
  <c r="O2164" i="2" s="1"/>
  <c r="Q2163" i="2"/>
  <c r="N2163" i="2"/>
  <c r="D2163" i="2"/>
  <c r="B2163" i="2"/>
  <c r="A2163" i="2"/>
  <c r="O2163" i="2" s="1"/>
  <c r="Q2162" i="2"/>
  <c r="N2162" i="2"/>
  <c r="D2162" i="2"/>
  <c r="B2162" i="2"/>
  <c r="A2162" i="2"/>
  <c r="P2162" i="2" s="1"/>
  <c r="Q2161" i="2"/>
  <c r="N2161" i="2"/>
  <c r="D2161" i="2"/>
  <c r="B2161" i="2"/>
  <c r="A2161" i="2"/>
  <c r="O2161" i="2" s="1"/>
  <c r="Q2160" i="2"/>
  <c r="N2160" i="2"/>
  <c r="D2160" i="2"/>
  <c r="B2160" i="2"/>
  <c r="A2160" i="2"/>
  <c r="P2160" i="2" s="1"/>
  <c r="Q2159" i="2"/>
  <c r="N2159" i="2"/>
  <c r="D2159" i="2"/>
  <c r="B2159" i="2"/>
  <c r="A2159" i="2"/>
  <c r="O2159" i="2" s="1"/>
  <c r="Q2158" i="2"/>
  <c r="N2158" i="2"/>
  <c r="D2158" i="2"/>
  <c r="B2158" i="2"/>
  <c r="A2158" i="2"/>
  <c r="P2158" i="2" s="1"/>
  <c r="Q2157" i="2"/>
  <c r="N2157" i="2"/>
  <c r="D2157" i="2"/>
  <c r="B2157" i="2"/>
  <c r="A2157" i="2"/>
  <c r="P2157" i="2" s="1"/>
  <c r="Q2156" i="2"/>
  <c r="N2156" i="2"/>
  <c r="D2156" i="2"/>
  <c r="B2156" i="2"/>
  <c r="A2156" i="2"/>
  <c r="P2156" i="2" s="1"/>
  <c r="Q2155" i="2"/>
  <c r="N2155" i="2"/>
  <c r="D2155" i="2"/>
  <c r="B2155" i="2"/>
  <c r="A2155" i="2"/>
  <c r="P2155" i="2" s="1"/>
  <c r="Q2154" i="2"/>
  <c r="N2154" i="2"/>
  <c r="D2154" i="2"/>
  <c r="B2154" i="2"/>
  <c r="A2154" i="2"/>
  <c r="Q2153" i="2"/>
  <c r="N2153" i="2"/>
  <c r="D2153" i="2"/>
  <c r="B2153" i="2"/>
  <c r="A2153" i="2"/>
  <c r="P2153" i="2" s="1"/>
  <c r="Q2152" i="2"/>
  <c r="N2152" i="2"/>
  <c r="D2152" i="2"/>
  <c r="B2152" i="2"/>
  <c r="A2152" i="2"/>
  <c r="O2152" i="2" s="1"/>
  <c r="Q2151" i="2"/>
  <c r="N2151" i="2"/>
  <c r="D2151" i="2"/>
  <c r="B2151" i="2"/>
  <c r="A2151" i="2"/>
  <c r="Q2150" i="2"/>
  <c r="N2150" i="2"/>
  <c r="D2150" i="2"/>
  <c r="B2150" i="2"/>
  <c r="A2150" i="2"/>
  <c r="P2150" i="2" s="1"/>
  <c r="Q2149" i="2"/>
  <c r="N2149" i="2"/>
  <c r="D2149" i="2"/>
  <c r="B2149" i="2"/>
  <c r="A2149" i="2"/>
  <c r="O2149" i="2" s="1"/>
  <c r="Q2148" i="2"/>
  <c r="N2148" i="2"/>
  <c r="D2148" i="2"/>
  <c r="B2148" i="2"/>
  <c r="A2148" i="2"/>
  <c r="Q2147" i="2"/>
  <c r="N2147" i="2"/>
  <c r="D2147" i="2"/>
  <c r="B2147" i="2"/>
  <c r="A2147" i="2"/>
  <c r="P2147" i="2" s="1"/>
  <c r="Q2146" i="2"/>
  <c r="N2146" i="2"/>
  <c r="D2146" i="2"/>
  <c r="B2146" i="2"/>
  <c r="A2146" i="2"/>
  <c r="P2146" i="2" s="1"/>
  <c r="Q2145" i="2"/>
  <c r="N2145" i="2"/>
  <c r="D2145" i="2"/>
  <c r="B2145" i="2"/>
  <c r="A2145" i="2"/>
  <c r="P2145" i="2" s="1"/>
  <c r="Q2144" i="2"/>
  <c r="N2144" i="2"/>
  <c r="D2144" i="2"/>
  <c r="B2144" i="2"/>
  <c r="A2144" i="2"/>
  <c r="P2144" i="2" s="1"/>
  <c r="Q2143" i="2"/>
  <c r="N2143" i="2"/>
  <c r="D2143" i="2"/>
  <c r="B2143" i="2"/>
  <c r="A2143" i="2"/>
  <c r="O2143" i="2" s="1"/>
  <c r="Q2142" i="2"/>
  <c r="N2142" i="2"/>
  <c r="D2142" i="2"/>
  <c r="B2142" i="2"/>
  <c r="A2142" i="2"/>
  <c r="P2142" i="2" s="1"/>
  <c r="Q2141" i="2"/>
  <c r="N2141" i="2"/>
  <c r="D2141" i="2"/>
  <c r="B2141" i="2"/>
  <c r="A2141" i="2"/>
  <c r="P2141" i="2" s="1"/>
  <c r="Q2140" i="2"/>
  <c r="N2140" i="2"/>
  <c r="D2140" i="2"/>
  <c r="B2140" i="2"/>
  <c r="A2140" i="2"/>
  <c r="P2140" i="2" s="1"/>
  <c r="Q2139" i="2"/>
  <c r="N2139" i="2"/>
  <c r="D2139" i="2"/>
  <c r="B2139" i="2"/>
  <c r="A2139" i="2"/>
  <c r="Q2138" i="2"/>
  <c r="N2138" i="2"/>
  <c r="D2138" i="2"/>
  <c r="B2138" i="2"/>
  <c r="A2138" i="2"/>
  <c r="P2138" i="2" s="1"/>
  <c r="Q2137" i="2"/>
  <c r="N2137" i="2"/>
  <c r="D2137" i="2"/>
  <c r="B2137" i="2"/>
  <c r="A2137" i="2"/>
  <c r="Q2136" i="2"/>
  <c r="N2136" i="2"/>
  <c r="D2136" i="2"/>
  <c r="B2136" i="2"/>
  <c r="A2136" i="2"/>
  <c r="Q2135" i="2"/>
  <c r="N2135" i="2"/>
  <c r="D2135" i="2"/>
  <c r="B2135" i="2"/>
  <c r="A2135" i="2"/>
  <c r="Q2134" i="2"/>
  <c r="N2134" i="2"/>
  <c r="D2134" i="2"/>
  <c r="B2134" i="2"/>
  <c r="A2134" i="2"/>
  <c r="O2134" i="2" s="1"/>
  <c r="Q2133" i="2"/>
  <c r="N2133" i="2"/>
  <c r="D2133" i="2"/>
  <c r="B2133" i="2"/>
  <c r="A2133" i="2"/>
  <c r="Q2132" i="2"/>
  <c r="N2132" i="2"/>
  <c r="D2132" i="2"/>
  <c r="B2132" i="2"/>
  <c r="A2132" i="2"/>
  <c r="P2132" i="2" s="1"/>
  <c r="Q2131" i="2"/>
  <c r="N2131" i="2"/>
  <c r="D2131" i="2"/>
  <c r="B2131" i="2"/>
  <c r="A2131" i="2"/>
  <c r="O2131" i="2" s="1"/>
  <c r="Q2130" i="2"/>
  <c r="N2130" i="2"/>
  <c r="D2130" i="2"/>
  <c r="B2130" i="2"/>
  <c r="A2130" i="2"/>
  <c r="Q2129" i="2"/>
  <c r="N2129" i="2"/>
  <c r="D2129" i="2"/>
  <c r="B2129" i="2"/>
  <c r="A2129" i="2"/>
  <c r="P2129" i="2" s="1"/>
  <c r="Q2128" i="2"/>
  <c r="N2128" i="2"/>
  <c r="D2128" i="2"/>
  <c r="B2128" i="2"/>
  <c r="A2128" i="2"/>
  <c r="Q2127" i="2"/>
  <c r="N2127" i="2"/>
  <c r="D2127" i="2"/>
  <c r="B2127" i="2"/>
  <c r="A2127" i="2"/>
  <c r="Q2126" i="2"/>
  <c r="N2126" i="2"/>
  <c r="D2126" i="2"/>
  <c r="B2126" i="2"/>
  <c r="A2126" i="2"/>
  <c r="P2126" i="2" s="1"/>
  <c r="Q2125" i="2"/>
  <c r="N2125" i="2"/>
  <c r="D2125" i="2"/>
  <c r="B2125" i="2"/>
  <c r="A2125" i="2"/>
  <c r="P2125" i="2" s="1"/>
  <c r="Q2124" i="2"/>
  <c r="N2124" i="2"/>
  <c r="D2124" i="2"/>
  <c r="B2124" i="2"/>
  <c r="A2124" i="2"/>
  <c r="Q2123" i="2"/>
  <c r="N2123" i="2"/>
  <c r="D2123" i="2"/>
  <c r="B2123" i="2"/>
  <c r="A2123" i="2"/>
  <c r="P2123" i="2" s="1"/>
  <c r="Q2122" i="2"/>
  <c r="N2122" i="2"/>
  <c r="D2122" i="2"/>
  <c r="B2122" i="2"/>
  <c r="A2122" i="2"/>
  <c r="Q2121" i="2"/>
  <c r="N2121" i="2"/>
  <c r="D2121" i="2"/>
  <c r="B2121" i="2"/>
  <c r="A2121" i="2"/>
  <c r="Q2120" i="2"/>
  <c r="N2120" i="2"/>
  <c r="D2120" i="2"/>
  <c r="B2120" i="2"/>
  <c r="A2120" i="2"/>
  <c r="P2120" i="2" s="1"/>
  <c r="Q2119" i="2"/>
  <c r="N2119" i="2"/>
  <c r="D2119" i="2"/>
  <c r="B2119" i="2"/>
  <c r="A2119" i="2"/>
  <c r="O2119" i="2" s="1"/>
  <c r="Q2118" i="2"/>
  <c r="N2118" i="2"/>
  <c r="D2118" i="2"/>
  <c r="B2118" i="2"/>
  <c r="A2118" i="2"/>
  <c r="P2118" i="2" s="1"/>
  <c r="Q2117" i="2"/>
  <c r="N2117" i="2"/>
  <c r="D2117" i="2"/>
  <c r="B2117" i="2"/>
  <c r="A2117" i="2"/>
  <c r="P2117" i="2" s="1"/>
  <c r="Q2116" i="2"/>
  <c r="N2116" i="2"/>
  <c r="D2116" i="2"/>
  <c r="B2116" i="2"/>
  <c r="A2116" i="2"/>
  <c r="P2116" i="2" s="1"/>
  <c r="Q2115" i="2"/>
  <c r="N2115" i="2"/>
  <c r="D2115" i="2"/>
  <c r="B2115" i="2"/>
  <c r="A2115" i="2"/>
  <c r="O2115" i="2" s="1"/>
  <c r="Q2114" i="2"/>
  <c r="N2114" i="2"/>
  <c r="D2114" i="2"/>
  <c r="B2114" i="2"/>
  <c r="A2114" i="2"/>
  <c r="P2114" i="2" s="1"/>
  <c r="Q2113" i="2"/>
  <c r="N2113" i="2"/>
  <c r="D2113" i="2"/>
  <c r="B2113" i="2"/>
  <c r="A2113" i="2"/>
  <c r="Q2112" i="2"/>
  <c r="N2112" i="2"/>
  <c r="D2112" i="2"/>
  <c r="B2112" i="2"/>
  <c r="A2112" i="2"/>
  <c r="P2112" i="2" s="1"/>
  <c r="Q2111" i="2"/>
  <c r="N2111" i="2"/>
  <c r="D2111" i="2"/>
  <c r="B2111" i="2"/>
  <c r="A2111" i="2"/>
  <c r="O2111" i="2" s="1"/>
  <c r="Q2110" i="2"/>
  <c r="N2110" i="2"/>
  <c r="D2110" i="2"/>
  <c r="B2110" i="2"/>
  <c r="A2110" i="2"/>
  <c r="P2110" i="2" s="1"/>
  <c r="Q2109" i="2"/>
  <c r="N2109" i="2"/>
  <c r="D2109" i="2"/>
  <c r="B2109" i="2"/>
  <c r="A2109" i="2"/>
  <c r="P2109" i="2" s="1"/>
  <c r="Q2108" i="2"/>
  <c r="N2108" i="2"/>
  <c r="D2108" i="2"/>
  <c r="B2108" i="2"/>
  <c r="A2108" i="2"/>
  <c r="Q2107" i="2"/>
  <c r="N2107" i="2"/>
  <c r="D2107" i="2"/>
  <c r="B2107" i="2"/>
  <c r="A2107" i="2"/>
  <c r="O2107" i="2" s="1"/>
  <c r="Q2106" i="2"/>
  <c r="N2106" i="2"/>
  <c r="D2106" i="2"/>
  <c r="B2106" i="2"/>
  <c r="A2106" i="2"/>
  <c r="Q2105" i="2"/>
  <c r="N2105" i="2"/>
  <c r="D2105" i="2"/>
  <c r="B2105" i="2"/>
  <c r="A2105" i="2"/>
  <c r="Q2104" i="2"/>
  <c r="N2104" i="2"/>
  <c r="D2104" i="2"/>
  <c r="B2104" i="2"/>
  <c r="A2104" i="2"/>
  <c r="P2104" i="2" s="1"/>
  <c r="Q2103" i="2"/>
  <c r="N2103" i="2"/>
  <c r="D2103" i="2"/>
  <c r="B2103" i="2"/>
  <c r="A2103" i="2"/>
  <c r="Q2102" i="2"/>
  <c r="N2102" i="2"/>
  <c r="D2102" i="2"/>
  <c r="B2102" i="2"/>
  <c r="A2102" i="2"/>
  <c r="P2102" i="2" s="1"/>
  <c r="Q2101" i="2"/>
  <c r="N2101" i="2"/>
  <c r="D2101" i="2"/>
  <c r="B2101" i="2"/>
  <c r="A2101" i="2"/>
  <c r="P2101" i="2" s="1"/>
  <c r="Q2100" i="2"/>
  <c r="N2100" i="2"/>
  <c r="D2100" i="2"/>
  <c r="B2100" i="2"/>
  <c r="A2100" i="2"/>
  <c r="O2100" i="2" s="1"/>
  <c r="Q2099" i="2"/>
  <c r="N2099" i="2"/>
  <c r="D2099" i="2"/>
  <c r="B2099" i="2"/>
  <c r="A2099" i="2"/>
  <c r="P2099" i="2" s="1"/>
  <c r="Q2098" i="2"/>
  <c r="N2098" i="2"/>
  <c r="D2098" i="2"/>
  <c r="B2098" i="2"/>
  <c r="A2098" i="2"/>
  <c r="P2098" i="2" s="1"/>
  <c r="Q2097" i="2"/>
  <c r="N2097" i="2"/>
  <c r="D2097" i="2"/>
  <c r="B2097" i="2"/>
  <c r="A2097" i="2"/>
  <c r="Q2096" i="2"/>
  <c r="N2096" i="2"/>
  <c r="D2096" i="2"/>
  <c r="B2096" i="2"/>
  <c r="A2096" i="2"/>
  <c r="Q2095" i="2"/>
  <c r="N2095" i="2"/>
  <c r="D2095" i="2"/>
  <c r="B2095" i="2"/>
  <c r="A2095" i="2"/>
  <c r="O2095" i="2" s="1"/>
  <c r="Q2094" i="2"/>
  <c r="N2094" i="2"/>
  <c r="D2094" i="2"/>
  <c r="B2094" i="2"/>
  <c r="A2094" i="2"/>
  <c r="Q2093" i="2"/>
  <c r="N2093" i="2"/>
  <c r="D2093" i="2"/>
  <c r="B2093" i="2"/>
  <c r="A2093" i="2"/>
  <c r="P2093" i="2" s="1"/>
  <c r="Q2092" i="2"/>
  <c r="N2092" i="2"/>
  <c r="D2092" i="2"/>
  <c r="B2092" i="2"/>
  <c r="A2092" i="2"/>
  <c r="Q2091" i="2"/>
  <c r="N2091" i="2"/>
  <c r="D2091" i="2"/>
  <c r="B2091" i="2"/>
  <c r="A2091" i="2"/>
  <c r="Q2090" i="2"/>
  <c r="N2090" i="2"/>
  <c r="D2090" i="2"/>
  <c r="B2090" i="2"/>
  <c r="A2090" i="2"/>
  <c r="P2090" i="2" s="1"/>
  <c r="Q2089" i="2"/>
  <c r="N2089" i="2"/>
  <c r="D2089" i="2"/>
  <c r="B2089" i="2"/>
  <c r="A2089" i="2"/>
  <c r="Q2088" i="2"/>
  <c r="N2088" i="2"/>
  <c r="D2088" i="2"/>
  <c r="B2088" i="2"/>
  <c r="A2088" i="2"/>
  <c r="Q2087" i="2"/>
  <c r="N2087" i="2"/>
  <c r="D2087" i="2"/>
  <c r="B2087" i="2"/>
  <c r="A2087" i="2"/>
  <c r="O2087" i="2" s="1"/>
  <c r="Q2086" i="2"/>
  <c r="N2086" i="2"/>
  <c r="D2086" i="2"/>
  <c r="B2086" i="2"/>
  <c r="A2086" i="2"/>
  <c r="O2086" i="2" s="1"/>
  <c r="Q2085" i="2"/>
  <c r="N2085" i="2"/>
  <c r="D2085" i="2"/>
  <c r="B2085" i="2"/>
  <c r="A2085" i="2"/>
  <c r="P2085" i="2" s="1"/>
  <c r="Q2084" i="2"/>
  <c r="N2084" i="2"/>
  <c r="D2084" i="2"/>
  <c r="B2084" i="2"/>
  <c r="A2084" i="2"/>
  <c r="O2084" i="2" s="1"/>
  <c r="Q2083" i="2"/>
  <c r="N2083" i="2"/>
  <c r="D2083" i="2"/>
  <c r="B2083" i="2"/>
  <c r="A2083" i="2"/>
  <c r="P2083" i="2" s="1"/>
  <c r="Q2082" i="2"/>
  <c r="N2082" i="2"/>
  <c r="D2082" i="2"/>
  <c r="B2082" i="2"/>
  <c r="A2082" i="2"/>
  <c r="P2082" i="2" s="1"/>
  <c r="Q2081" i="2"/>
  <c r="N2081" i="2"/>
  <c r="D2081" i="2"/>
  <c r="B2081" i="2"/>
  <c r="A2081" i="2"/>
  <c r="P2081" i="2" s="1"/>
  <c r="Q2080" i="2"/>
  <c r="N2080" i="2"/>
  <c r="D2080" i="2"/>
  <c r="B2080" i="2"/>
  <c r="A2080" i="2"/>
  <c r="O2080" i="2" s="1"/>
  <c r="Q2079" i="2"/>
  <c r="N2079" i="2"/>
  <c r="D2079" i="2"/>
  <c r="B2079" i="2"/>
  <c r="A2079" i="2"/>
  <c r="P2079" i="2" s="1"/>
  <c r="Q2078" i="2"/>
  <c r="N2078" i="2"/>
  <c r="D2078" i="2"/>
  <c r="B2078" i="2"/>
  <c r="A2078" i="2"/>
  <c r="P2078" i="2" s="1"/>
  <c r="Q2077" i="2"/>
  <c r="N2077" i="2"/>
  <c r="D2077" i="2"/>
  <c r="B2077" i="2"/>
  <c r="A2077" i="2"/>
  <c r="Q2076" i="2"/>
  <c r="N2076" i="2"/>
  <c r="D2076" i="2"/>
  <c r="B2076" i="2"/>
  <c r="A2076" i="2"/>
  <c r="P2076" i="2" s="1"/>
  <c r="Q2075" i="2"/>
  <c r="N2075" i="2"/>
  <c r="D2075" i="2"/>
  <c r="B2075" i="2"/>
  <c r="A2075" i="2"/>
  <c r="P2075" i="2" s="1"/>
  <c r="Q2074" i="2"/>
  <c r="N2074" i="2"/>
  <c r="D2074" i="2"/>
  <c r="B2074" i="2"/>
  <c r="A2074" i="2"/>
  <c r="P2074" i="2" s="1"/>
  <c r="Q2073" i="2"/>
  <c r="N2073" i="2"/>
  <c r="D2073" i="2"/>
  <c r="B2073" i="2"/>
  <c r="A2073" i="2"/>
  <c r="Q2072" i="2"/>
  <c r="N2072" i="2"/>
  <c r="D2072" i="2"/>
  <c r="B2072" i="2"/>
  <c r="A2072" i="2"/>
  <c r="P2072" i="2" s="1"/>
  <c r="Q2071" i="2"/>
  <c r="N2071" i="2"/>
  <c r="D2071" i="2"/>
  <c r="B2071" i="2"/>
  <c r="A2071" i="2"/>
  <c r="O2071" i="2" s="1"/>
  <c r="Q2070" i="2"/>
  <c r="N2070" i="2"/>
  <c r="D2070" i="2"/>
  <c r="B2070" i="2"/>
  <c r="A2070" i="2"/>
  <c r="O2070" i="2" s="1"/>
  <c r="Q2069" i="2"/>
  <c r="N2069" i="2"/>
  <c r="D2069" i="2"/>
  <c r="B2069" i="2"/>
  <c r="A2069" i="2"/>
  <c r="P2069" i="2" s="1"/>
  <c r="Q2068" i="2"/>
  <c r="N2068" i="2"/>
  <c r="D2068" i="2"/>
  <c r="B2068" i="2"/>
  <c r="A2068" i="2"/>
  <c r="Q2067" i="2"/>
  <c r="N2067" i="2"/>
  <c r="D2067" i="2"/>
  <c r="B2067" i="2"/>
  <c r="A2067" i="2"/>
  <c r="Q2066" i="2"/>
  <c r="N2066" i="2"/>
  <c r="D2066" i="2"/>
  <c r="B2066" i="2"/>
  <c r="A2066" i="2"/>
  <c r="O2066" i="2" s="1"/>
  <c r="Q2065" i="2"/>
  <c r="N2065" i="2"/>
  <c r="D2065" i="2"/>
  <c r="B2065" i="2"/>
  <c r="A2065" i="2"/>
  <c r="Q2064" i="2"/>
  <c r="N2064" i="2"/>
  <c r="D2064" i="2"/>
  <c r="B2064" i="2"/>
  <c r="A2064" i="2"/>
  <c r="O2064" i="2" s="1"/>
  <c r="Q2063" i="2"/>
  <c r="N2063" i="2"/>
  <c r="D2063" i="2"/>
  <c r="B2063" i="2"/>
  <c r="A2063" i="2"/>
  <c r="P2063" i="2" s="1"/>
  <c r="Q2062" i="2"/>
  <c r="N2062" i="2"/>
  <c r="D2062" i="2"/>
  <c r="B2062" i="2"/>
  <c r="A2062" i="2"/>
  <c r="Q2061" i="2"/>
  <c r="N2061" i="2"/>
  <c r="D2061" i="2"/>
  <c r="B2061" i="2"/>
  <c r="A2061" i="2"/>
  <c r="Q2060" i="2"/>
  <c r="N2060" i="2"/>
  <c r="D2060" i="2"/>
  <c r="B2060" i="2"/>
  <c r="A2060" i="2"/>
  <c r="Q2059" i="2"/>
  <c r="N2059" i="2"/>
  <c r="D2059" i="2"/>
  <c r="B2059" i="2"/>
  <c r="A2059" i="2"/>
  <c r="Q2058" i="2"/>
  <c r="N2058" i="2"/>
  <c r="D2058" i="2"/>
  <c r="B2058" i="2"/>
  <c r="A2058" i="2"/>
  <c r="Q2057" i="2"/>
  <c r="N2057" i="2"/>
  <c r="D2057" i="2"/>
  <c r="B2057" i="2"/>
  <c r="A2057" i="2"/>
  <c r="P2057" i="2" s="1"/>
  <c r="Q2056" i="2"/>
  <c r="N2056" i="2"/>
  <c r="D2056" i="2"/>
  <c r="B2056" i="2"/>
  <c r="A2056" i="2"/>
  <c r="Q2055" i="2"/>
  <c r="N2055" i="2"/>
  <c r="D2055" i="2"/>
  <c r="B2055" i="2"/>
  <c r="A2055" i="2"/>
  <c r="P2055" i="2" s="1"/>
  <c r="Q2054" i="2"/>
  <c r="N2054" i="2"/>
  <c r="D2054" i="2"/>
  <c r="B2054" i="2"/>
  <c r="A2054" i="2"/>
  <c r="P2054" i="2" s="1"/>
  <c r="Q2053" i="2"/>
  <c r="N2053" i="2"/>
  <c r="D2053" i="2"/>
  <c r="B2053" i="2"/>
  <c r="A2053" i="2"/>
  <c r="Q2052" i="2"/>
  <c r="N2052" i="2"/>
  <c r="D2052" i="2"/>
  <c r="B2052" i="2"/>
  <c r="A2052" i="2"/>
  <c r="O2052" i="2" s="1"/>
  <c r="Q2051" i="2"/>
  <c r="N2051" i="2"/>
  <c r="D2051" i="2"/>
  <c r="B2051" i="2"/>
  <c r="A2051" i="2"/>
  <c r="O2051" i="2" s="1"/>
  <c r="Q2050" i="2"/>
  <c r="N2050" i="2"/>
  <c r="D2050" i="2"/>
  <c r="B2050" i="2"/>
  <c r="A2050" i="2"/>
  <c r="Q2049" i="2"/>
  <c r="N2049" i="2"/>
  <c r="D2049" i="2"/>
  <c r="B2049" i="2"/>
  <c r="A2049" i="2"/>
  <c r="O2049" i="2" s="1"/>
  <c r="Q2048" i="2"/>
  <c r="N2048" i="2"/>
  <c r="D2048" i="2"/>
  <c r="B2048" i="2"/>
  <c r="A2048" i="2"/>
  <c r="Q2047" i="2"/>
  <c r="N2047" i="2"/>
  <c r="D2047" i="2"/>
  <c r="B2047" i="2"/>
  <c r="A2047" i="2"/>
  <c r="P2047" i="2" s="1"/>
  <c r="Q2046" i="2"/>
  <c r="N2046" i="2"/>
  <c r="D2046" i="2"/>
  <c r="B2046" i="2"/>
  <c r="A2046" i="2"/>
  <c r="P2046" i="2" s="1"/>
  <c r="Q2045" i="2"/>
  <c r="N2045" i="2"/>
  <c r="D2045" i="2"/>
  <c r="B2045" i="2"/>
  <c r="A2045" i="2"/>
  <c r="Q2044" i="2"/>
  <c r="N2044" i="2"/>
  <c r="D2044" i="2"/>
  <c r="B2044" i="2"/>
  <c r="A2044" i="2"/>
  <c r="P2044" i="2" s="1"/>
  <c r="Q2043" i="2"/>
  <c r="N2043" i="2"/>
  <c r="D2043" i="2"/>
  <c r="B2043" i="2"/>
  <c r="A2043" i="2"/>
  <c r="P2043" i="2" s="1"/>
  <c r="Q2042" i="2"/>
  <c r="N2042" i="2"/>
  <c r="D2042" i="2"/>
  <c r="B2042" i="2"/>
  <c r="A2042" i="2"/>
  <c r="P2042" i="2" s="1"/>
  <c r="Q2041" i="2"/>
  <c r="N2041" i="2"/>
  <c r="D2041" i="2"/>
  <c r="B2041" i="2"/>
  <c r="A2041" i="2"/>
  <c r="P2041" i="2" s="1"/>
  <c r="Q2040" i="2"/>
  <c r="N2040" i="2"/>
  <c r="D2040" i="2"/>
  <c r="B2040" i="2"/>
  <c r="A2040" i="2"/>
  <c r="P2040" i="2" s="1"/>
  <c r="Q2039" i="2"/>
  <c r="N2039" i="2"/>
  <c r="D2039" i="2"/>
  <c r="B2039" i="2"/>
  <c r="A2039" i="2"/>
  <c r="O2039" i="2" s="1"/>
  <c r="Q2038" i="2"/>
  <c r="N2038" i="2"/>
  <c r="D2038" i="2"/>
  <c r="B2038" i="2"/>
  <c r="A2038" i="2"/>
  <c r="P2038" i="2" s="1"/>
  <c r="Q2037" i="2"/>
  <c r="N2037" i="2"/>
  <c r="D2037" i="2"/>
  <c r="B2037" i="2"/>
  <c r="A2037" i="2"/>
  <c r="P2037" i="2" s="1"/>
  <c r="Q2036" i="2"/>
  <c r="N2036" i="2"/>
  <c r="D2036" i="2"/>
  <c r="B2036" i="2"/>
  <c r="A2036" i="2"/>
  <c r="Q2035" i="2"/>
  <c r="N2035" i="2"/>
  <c r="D2035" i="2"/>
  <c r="B2035" i="2"/>
  <c r="A2035" i="2"/>
  <c r="P2035" i="2" s="1"/>
  <c r="Q2034" i="2"/>
  <c r="N2034" i="2"/>
  <c r="D2034" i="2"/>
  <c r="B2034" i="2"/>
  <c r="A2034" i="2"/>
  <c r="Q2033" i="2"/>
  <c r="N2033" i="2"/>
  <c r="D2033" i="2"/>
  <c r="B2033" i="2"/>
  <c r="A2033" i="2"/>
  <c r="Q2032" i="2"/>
  <c r="N2032" i="2"/>
  <c r="D2032" i="2"/>
  <c r="B2032" i="2"/>
  <c r="A2032" i="2"/>
  <c r="P2032" i="2" s="1"/>
  <c r="Q2031" i="2"/>
  <c r="N2031" i="2"/>
  <c r="D2031" i="2"/>
  <c r="B2031" i="2"/>
  <c r="A2031" i="2"/>
  <c r="Q2030" i="2"/>
  <c r="N2030" i="2"/>
  <c r="D2030" i="2"/>
  <c r="B2030" i="2"/>
  <c r="A2030" i="2"/>
  <c r="Q2029" i="2"/>
  <c r="N2029" i="2"/>
  <c r="D2029" i="2"/>
  <c r="B2029" i="2"/>
  <c r="A2029" i="2"/>
  <c r="P2029" i="2" s="1"/>
  <c r="Q2028" i="2"/>
  <c r="N2028" i="2"/>
  <c r="D2028" i="2"/>
  <c r="B2028" i="2"/>
  <c r="A2028" i="2"/>
  <c r="Q2027" i="2"/>
  <c r="N2027" i="2"/>
  <c r="D2027" i="2"/>
  <c r="B2027" i="2"/>
  <c r="A2027" i="2"/>
  <c r="Q2026" i="2"/>
  <c r="N2026" i="2"/>
  <c r="D2026" i="2"/>
  <c r="B2026" i="2"/>
  <c r="A2026" i="2"/>
  <c r="P2026" i="2" s="1"/>
  <c r="Q2025" i="2"/>
  <c r="N2025" i="2"/>
  <c r="D2025" i="2"/>
  <c r="B2025" i="2"/>
  <c r="A2025" i="2"/>
  <c r="P2025" i="2" s="1"/>
  <c r="Q2024" i="2"/>
  <c r="N2024" i="2"/>
  <c r="D2024" i="2"/>
  <c r="B2024" i="2"/>
  <c r="A2024" i="2"/>
  <c r="Q2023" i="2"/>
  <c r="N2023" i="2"/>
  <c r="D2023" i="2"/>
  <c r="B2023" i="2"/>
  <c r="A2023" i="2"/>
  <c r="O2023" i="2" s="1"/>
  <c r="Q2022" i="2"/>
  <c r="N2022" i="2"/>
  <c r="D2022" i="2"/>
  <c r="B2022" i="2"/>
  <c r="A2022" i="2"/>
  <c r="P2022" i="2" s="1"/>
  <c r="Q2021" i="2"/>
  <c r="N2021" i="2"/>
  <c r="D2021" i="2"/>
  <c r="B2021" i="2"/>
  <c r="A2021" i="2"/>
  <c r="Q2020" i="2"/>
  <c r="N2020" i="2"/>
  <c r="D2020" i="2"/>
  <c r="B2020" i="2"/>
  <c r="A2020" i="2"/>
  <c r="Q2019" i="2"/>
  <c r="N2019" i="2"/>
  <c r="D2019" i="2"/>
  <c r="B2019" i="2"/>
  <c r="A2019" i="2"/>
  <c r="P2019" i="2" s="1"/>
  <c r="Q2018" i="2"/>
  <c r="N2018" i="2"/>
  <c r="D2018" i="2"/>
  <c r="B2018" i="2"/>
  <c r="A2018" i="2"/>
  <c r="P2018" i="2" s="1"/>
  <c r="Q2017" i="2"/>
  <c r="N2017" i="2"/>
  <c r="D2017" i="2"/>
  <c r="B2017" i="2"/>
  <c r="A2017" i="2"/>
  <c r="O2017" i="2" s="1"/>
  <c r="Q2016" i="2"/>
  <c r="N2016" i="2"/>
  <c r="D2016" i="2"/>
  <c r="B2016" i="2"/>
  <c r="A2016" i="2"/>
  <c r="Q2015" i="2"/>
  <c r="N2015" i="2"/>
  <c r="D2015" i="2"/>
  <c r="B2015" i="2"/>
  <c r="A2015" i="2"/>
  <c r="O2015" i="2" s="1"/>
  <c r="Q2014" i="2"/>
  <c r="N2014" i="2"/>
  <c r="D2014" i="2"/>
  <c r="B2014" i="2"/>
  <c r="A2014" i="2"/>
  <c r="P2014" i="2" s="1"/>
  <c r="Q2013" i="2"/>
  <c r="N2013" i="2"/>
  <c r="D2013" i="2"/>
  <c r="B2013" i="2"/>
  <c r="A2013" i="2"/>
  <c r="O2013" i="2" s="1"/>
  <c r="Q2012" i="2"/>
  <c r="N2012" i="2"/>
  <c r="D2012" i="2"/>
  <c r="B2012" i="2"/>
  <c r="A2012" i="2"/>
  <c r="P2012" i="2" s="1"/>
  <c r="Q2011" i="2"/>
  <c r="N2011" i="2"/>
  <c r="D2011" i="2"/>
  <c r="B2011" i="2"/>
  <c r="A2011" i="2"/>
  <c r="O2011" i="2" s="1"/>
  <c r="Q2010" i="2"/>
  <c r="N2010" i="2"/>
  <c r="D2010" i="2"/>
  <c r="B2010" i="2"/>
  <c r="A2010" i="2"/>
  <c r="P2010" i="2" s="1"/>
  <c r="Q2009" i="2"/>
  <c r="N2009" i="2"/>
  <c r="D2009" i="2"/>
  <c r="B2009" i="2"/>
  <c r="A2009" i="2"/>
  <c r="P2009" i="2" s="1"/>
  <c r="Q2008" i="2"/>
  <c r="N2008" i="2"/>
  <c r="D2008" i="2"/>
  <c r="B2008" i="2"/>
  <c r="A2008" i="2"/>
  <c r="Q2007" i="2"/>
  <c r="N2007" i="2"/>
  <c r="D2007" i="2"/>
  <c r="B2007" i="2"/>
  <c r="A2007" i="2"/>
  <c r="Q2006" i="2"/>
  <c r="N2006" i="2"/>
  <c r="D2006" i="2"/>
  <c r="B2006" i="2"/>
  <c r="A2006" i="2"/>
  <c r="O2006" i="2" s="1"/>
  <c r="Q2005" i="2"/>
  <c r="N2005" i="2"/>
  <c r="D2005" i="2"/>
  <c r="B2005" i="2"/>
  <c r="A2005" i="2"/>
  <c r="Q2004" i="2"/>
  <c r="N2004" i="2"/>
  <c r="D2004" i="2"/>
  <c r="B2004" i="2"/>
  <c r="A2004" i="2"/>
  <c r="P2004" i="2" s="1"/>
  <c r="Q2003" i="2"/>
  <c r="N2003" i="2"/>
  <c r="D2003" i="2"/>
  <c r="B2003" i="2"/>
  <c r="A2003" i="2"/>
  <c r="O2003" i="2" s="1"/>
  <c r="Q2002" i="2"/>
  <c r="N2002" i="2"/>
  <c r="D2002" i="2"/>
  <c r="B2002" i="2"/>
  <c r="A2002" i="2"/>
  <c r="Q2001" i="2"/>
  <c r="N2001" i="2"/>
  <c r="D2001" i="2"/>
  <c r="B2001" i="2"/>
  <c r="A2001" i="2"/>
  <c r="P2001" i="2" s="1"/>
  <c r="Q2000" i="2"/>
  <c r="N2000" i="2"/>
  <c r="D2000" i="2"/>
  <c r="B2000" i="2"/>
  <c r="A2000" i="2"/>
  <c r="P2000" i="2" s="1"/>
  <c r="Q1999" i="2"/>
  <c r="N1999" i="2"/>
  <c r="D1999" i="2"/>
  <c r="B1999" i="2"/>
  <c r="A1999" i="2"/>
  <c r="O1999" i="2" s="1"/>
  <c r="Q1998" i="2"/>
  <c r="N1998" i="2"/>
  <c r="D1998" i="2"/>
  <c r="B1998" i="2"/>
  <c r="A1998" i="2"/>
  <c r="P1998" i="2" s="1"/>
  <c r="Q1997" i="2"/>
  <c r="N1997" i="2"/>
  <c r="D1997" i="2"/>
  <c r="B1997" i="2"/>
  <c r="A1997" i="2"/>
  <c r="P1997" i="2" s="1"/>
  <c r="Q1996" i="2"/>
  <c r="N1996" i="2"/>
  <c r="D1996" i="2"/>
  <c r="B1996" i="2"/>
  <c r="A1996" i="2"/>
  <c r="O1996" i="2" s="1"/>
  <c r="Q1995" i="2"/>
  <c r="N1995" i="2"/>
  <c r="D1995" i="2"/>
  <c r="B1995" i="2"/>
  <c r="A1995" i="2"/>
  <c r="O1995" i="2" s="1"/>
  <c r="Q1994" i="2"/>
  <c r="N1994" i="2"/>
  <c r="D1994" i="2"/>
  <c r="B1994" i="2"/>
  <c r="A1994" i="2"/>
  <c r="P1994" i="2" s="1"/>
  <c r="Q1993" i="2"/>
  <c r="N1993" i="2"/>
  <c r="D1993" i="2"/>
  <c r="B1993" i="2"/>
  <c r="A1993" i="2"/>
  <c r="Q1992" i="2"/>
  <c r="N1992" i="2"/>
  <c r="D1992" i="2"/>
  <c r="B1992" i="2"/>
  <c r="A1992" i="2"/>
  <c r="Q1991" i="2"/>
  <c r="N1991" i="2"/>
  <c r="D1991" i="2"/>
  <c r="B1991" i="2"/>
  <c r="A1991" i="2"/>
  <c r="O1991" i="2" s="1"/>
  <c r="Q1990" i="2"/>
  <c r="N1990" i="2"/>
  <c r="D1990" i="2"/>
  <c r="B1990" i="2"/>
  <c r="A1990" i="2"/>
  <c r="P1990" i="2" s="1"/>
  <c r="Q1989" i="2"/>
  <c r="N1989" i="2"/>
  <c r="D1989" i="2"/>
  <c r="B1989" i="2"/>
  <c r="A1989" i="2"/>
  <c r="Q1988" i="2"/>
  <c r="N1988" i="2"/>
  <c r="D1988" i="2"/>
  <c r="B1988" i="2"/>
  <c r="A1988" i="2"/>
  <c r="Q1987" i="2"/>
  <c r="N1987" i="2"/>
  <c r="D1987" i="2"/>
  <c r="B1987" i="2"/>
  <c r="A1987" i="2"/>
  <c r="Q1986" i="2"/>
  <c r="N1986" i="2"/>
  <c r="D1986" i="2"/>
  <c r="B1986" i="2"/>
  <c r="A1986" i="2"/>
  <c r="Q1985" i="2"/>
  <c r="N1985" i="2"/>
  <c r="D1985" i="2"/>
  <c r="B1985" i="2"/>
  <c r="A1985" i="2"/>
  <c r="P1985" i="2" s="1"/>
  <c r="Q1984" i="2"/>
  <c r="N1984" i="2"/>
  <c r="D1984" i="2"/>
  <c r="B1984" i="2"/>
  <c r="A1984" i="2"/>
  <c r="P1984" i="2" s="1"/>
  <c r="Q1983" i="2"/>
  <c r="N1983" i="2"/>
  <c r="D1983" i="2"/>
  <c r="B1983" i="2"/>
  <c r="A1983" i="2"/>
  <c r="P1983" i="2" s="1"/>
  <c r="Q1982" i="2"/>
  <c r="N1982" i="2"/>
  <c r="D1982" i="2"/>
  <c r="B1982" i="2"/>
  <c r="A1982" i="2"/>
  <c r="O1982" i="2" s="1"/>
  <c r="Q1981" i="2"/>
  <c r="N1981" i="2"/>
  <c r="D1981" i="2"/>
  <c r="B1981" i="2"/>
  <c r="A1981" i="2"/>
  <c r="P1981" i="2" s="1"/>
  <c r="Q1980" i="2"/>
  <c r="N1980" i="2"/>
  <c r="D1980" i="2"/>
  <c r="B1980" i="2"/>
  <c r="A1980" i="2"/>
  <c r="Q1979" i="2"/>
  <c r="N1979" i="2"/>
  <c r="D1979" i="2"/>
  <c r="B1979" i="2"/>
  <c r="A1979" i="2"/>
  <c r="O1979" i="2" s="1"/>
  <c r="Q1978" i="2"/>
  <c r="N1978" i="2"/>
  <c r="D1978" i="2"/>
  <c r="B1978" i="2"/>
  <c r="A1978" i="2"/>
  <c r="P1978" i="2" s="1"/>
  <c r="Q1977" i="2"/>
  <c r="N1977" i="2"/>
  <c r="D1977" i="2"/>
  <c r="B1977" i="2"/>
  <c r="A1977" i="2"/>
  <c r="P1977" i="2" s="1"/>
  <c r="Q1976" i="2"/>
  <c r="N1976" i="2"/>
  <c r="D1976" i="2"/>
  <c r="B1976" i="2"/>
  <c r="A1976" i="2"/>
  <c r="Q1975" i="2"/>
  <c r="N1975" i="2"/>
  <c r="D1975" i="2"/>
  <c r="B1975" i="2"/>
  <c r="A1975" i="2"/>
  <c r="O1975" i="2" s="1"/>
  <c r="Q1974" i="2"/>
  <c r="N1974" i="2"/>
  <c r="D1974" i="2"/>
  <c r="B1974" i="2"/>
  <c r="A1974" i="2"/>
  <c r="O1974" i="2" s="1"/>
  <c r="Q1973" i="2"/>
  <c r="N1973" i="2"/>
  <c r="D1973" i="2"/>
  <c r="B1973" i="2"/>
  <c r="A1973" i="2"/>
  <c r="Q1972" i="2"/>
  <c r="N1972" i="2"/>
  <c r="D1972" i="2"/>
  <c r="B1972" i="2"/>
  <c r="A1972" i="2"/>
  <c r="Q1971" i="2"/>
  <c r="N1971" i="2"/>
  <c r="D1971" i="2"/>
  <c r="B1971" i="2"/>
  <c r="A1971" i="2"/>
  <c r="Q1970" i="2"/>
  <c r="N1970" i="2"/>
  <c r="D1970" i="2"/>
  <c r="B1970" i="2"/>
  <c r="A1970" i="2"/>
  <c r="Q1969" i="2"/>
  <c r="N1969" i="2"/>
  <c r="D1969" i="2"/>
  <c r="B1969" i="2"/>
  <c r="A1969" i="2"/>
  <c r="Q1968" i="2"/>
  <c r="N1968" i="2"/>
  <c r="D1968" i="2"/>
  <c r="B1968" i="2"/>
  <c r="A1968" i="2"/>
  <c r="P1968" i="2" s="1"/>
  <c r="Q1967" i="2"/>
  <c r="N1967" i="2"/>
  <c r="D1967" i="2"/>
  <c r="B1967" i="2"/>
  <c r="A1967" i="2"/>
  <c r="P1967" i="2" s="1"/>
  <c r="Q1966" i="2"/>
  <c r="N1966" i="2"/>
  <c r="D1966" i="2"/>
  <c r="B1966" i="2"/>
  <c r="A1966" i="2"/>
  <c r="P1966" i="2" s="1"/>
  <c r="Q1965" i="2"/>
  <c r="N1965" i="2"/>
  <c r="D1965" i="2"/>
  <c r="B1965" i="2"/>
  <c r="A1965" i="2"/>
  <c r="P1965" i="2" s="1"/>
  <c r="Q1964" i="2"/>
  <c r="N1964" i="2"/>
  <c r="D1964" i="2"/>
  <c r="B1964" i="2"/>
  <c r="A1964" i="2"/>
  <c r="O1964" i="2" s="1"/>
  <c r="Q1963" i="2"/>
  <c r="N1963" i="2"/>
  <c r="D1963" i="2"/>
  <c r="B1963" i="2"/>
  <c r="A1963" i="2"/>
  <c r="O1963" i="2" s="1"/>
  <c r="Q1962" i="2"/>
  <c r="N1962" i="2"/>
  <c r="D1962" i="2"/>
  <c r="B1962" i="2"/>
  <c r="A1962" i="2"/>
  <c r="P1962" i="2" s="1"/>
  <c r="Q1961" i="2"/>
  <c r="N1961" i="2"/>
  <c r="D1961" i="2"/>
  <c r="B1961" i="2"/>
  <c r="A1961" i="2"/>
  <c r="Q1960" i="2"/>
  <c r="N1960" i="2"/>
  <c r="D1960" i="2"/>
  <c r="B1960" i="2"/>
  <c r="A1960" i="2"/>
  <c r="Q1959" i="2"/>
  <c r="N1959" i="2"/>
  <c r="D1959" i="2"/>
  <c r="B1959" i="2"/>
  <c r="A1959" i="2"/>
  <c r="P1959" i="2" s="1"/>
  <c r="Q1958" i="2"/>
  <c r="N1958" i="2"/>
  <c r="D1958" i="2"/>
  <c r="B1958" i="2"/>
  <c r="A1958" i="2"/>
  <c r="O1958" i="2" s="1"/>
  <c r="Q1957" i="2"/>
  <c r="N1957" i="2"/>
  <c r="D1957" i="2"/>
  <c r="B1957" i="2"/>
  <c r="A1957" i="2"/>
  <c r="Q1956" i="2"/>
  <c r="N1956" i="2"/>
  <c r="D1956" i="2"/>
  <c r="B1956" i="2"/>
  <c r="A1956" i="2"/>
  <c r="Q1955" i="2"/>
  <c r="N1955" i="2"/>
  <c r="D1955" i="2"/>
  <c r="B1955" i="2"/>
  <c r="A1955" i="2"/>
  <c r="O1955" i="2" s="1"/>
  <c r="Q1954" i="2"/>
  <c r="N1954" i="2"/>
  <c r="D1954" i="2"/>
  <c r="B1954" i="2"/>
  <c r="A1954" i="2"/>
  <c r="P1954" i="2" s="1"/>
  <c r="Q1953" i="2"/>
  <c r="N1953" i="2"/>
  <c r="D1953" i="2"/>
  <c r="B1953" i="2"/>
  <c r="A1953" i="2"/>
  <c r="P1953" i="2" s="1"/>
  <c r="Q1952" i="2"/>
  <c r="N1952" i="2"/>
  <c r="D1952" i="2"/>
  <c r="B1952" i="2"/>
  <c r="A1952" i="2"/>
  <c r="P1952" i="2" s="1"/>
  <c r="Q1951" i="2"/>
  <c r="N1951" i="2"/>
  <c r="D1951" i="2"/>
  <c r="B1951" i="2"/>
  <c r="A1951" i="2"/>
  <c r="O1951" i="2" s="1"/>
  <c r="Q1950" i="2"/>
  <c r="N1950" i="2"/>
  <c r="D1950" i="2"/>
  <c r="B1950" i="2"/>
  <c r="A1950" i="2"/>
  <c r="P1950" i="2" s="1"/>
  <c r="Q1949" i="2"/>
  <c r="N1949" i="2"/>
  <c r="D1949" i="2"/>
  <c r="B1949" i="2"/>
  <c r="A1949" i="2"/>
  <c r="O1949" i="2" s="1"/>
  <c r="Q1948" i="2"/>
  <c r="N1948" i="2"/>
  <c r="D1948" i="2"/>
  <c r="B1948" i="2"/>
  <c r="A1948" i="2"/>
  <c r="Q1947" i="2"/>
  <c r="N1947" i="2"/>
  <c r="D1947" i="2"/>
  <c r="B1947" i="2"/>
  <c r="A1947" i="2"/>
  <c r="P1947" i="2" s="1"/>
  <c r="Q1946" i="2"/>
  <c r="N1946" i="2"/>
  <c r="D1946" i="2"/>
  <c r="B1946" i="2"/>
  <c r="A1946" i="2"/>
  <c r="Q1945" i="2"/>
  <c r="N1945" i="2"/>
  <c r="D1945" i="2"/>
  <c r="B1945" i="2"/>
  <c r="A1945" i="2"/>
  <c r="O1945" i="2" s="1"/>
  <c r="Q1944" i="2"/>
  <c r="N1944" i="2"/>
  <c r="D1944" i="2"/>
  <c r="B1944" i="2"/>
  <c r="A1944" i="2"/>
  <c r="O1944" i="2" s="1"/>
  <c r="Q1943" i="2"/>
  <c r="N1943" i="2"/>
  <c r="D1943" i="2"/>
  <c r="B1943" i="2"/>
  <c r="A1943" i="2"/>
  <c r="O1943" i="2" s="1"/>
  <c r="Q1942" i="2"/>
  <c r="N1942" i="2"/>
  <c r="D1942" i="2"/>
  <c r="B1942" i="2"/>
  <c r="A1942" i="2"/>
  <c r="P1942" i="2" s="1"/>
  <c r="Q1941" i="2"/>
  <c r="N1941" i="2"/>
  <c r="D1941" i="2"/>
  <c r="B1941" i="2"/>
  <c r="A1941" i="2"/>
  <c r="P1941" i="2" s="1"/>
  <c r="Q1940" i="2"/>
  <c r="N1940" i="2"/>
  <c r="D1940" i="2"/>
  <c r="B1940" i="2"/>
  <c r="A1940" i="2"/>
  <c r="Q1939" i="2"/>
  <c r="N1939" i="2"/>
  <c r="D1939" i="2"/>
  <c r="B1939" i="2"/>
  <c r="A1939" i="2"/>
  <c r="O1939" i="2" s="1"/>
  <c r="Q1938" i="2"/>
  <c r="N1938" i="2"/>
  <c r="D1938" i="2"/>
  <c r="B1938" i="2"/>
  <c r="A1938" i="2"/>
  <c r="P1938" i="2" s="1"/>
  <c r="Q1937" i="2"/>
  <c r="N1937" i="2"/>
  <c r="D1937" i="2"/>
  <c r="B1937" i="2"/>
  <c r="A1937" i="2"/>
  <c r="Q1936" i="2"/>
  <c r="N1936" i="2"/>
  <c r="D1936" i="2"/>
  <c r="B1936" i="2"/>
  <c r="A1936" i="2"/>
  <c r="P1936" i="2" s="1"/>
  <c r="Q1935" i="2"/>
  <c r="N1935" i="2"/>
  <c r="D1935" i="2"/>
  <c r="B1935" i="2"/>
  <c r="A1935" i="2"/>
  <c r="O1935" i="2" s="1"/>
  <c r="Q1934" i="2"/>
  <c r="N1934" i="2"/>
  <c r="D1934" i="2"/>
  <c r="B1934" i="2"/>
  <c r="A1934" i="2"/>
  <c r="P1934" i="2" s="1"/>
  <c r="Q1933" i="2"/>
  <c r="N1933" i="2"/>
  <c r="D1933" i="2"/>
  <c r="B1933" i="2"/>
  <c r="A1933" i="2"/>
  <c r="P1933" i="2" s="1"/>
  <c r="Q1932" i="2"/>
  <c r="N1932" i="2"/>
  <c r="D1932" i="2"/>
  <c r="B1932" i="2"/>
  <c r="A1932" i="2"/>
  <c r="O1932" i="2" s="1"/>
  <c r="Q1931" i="2"/>
  <c r="N1931" i="2"/>
  <c r="D1931" i="2"/>
  <c r="B1931" i="2"/>
  <c r="A1931" i="2"/>
  <c r="O1931" i="2" s="1"/>
  <c r="Q1930" i="2"/>
  <c r="N1930" i="2"/>
  <c r="D1930" i="2"/>
  <c r="B1930" i="2"/>
  <c r="A1930" i="2"/>
  <c r="P1930" i="2" s="1"/>
  <c r="Q1929" i="2"/>
  <c r="N1929" i="2"/>
  <c r="D1929" i="2"/>
  <c r="B1929" i="2"/>
  <c r="A1929" i="2"/>
  <c r="P1929" i="2" s="1"/>
  <c r="Q1928" i="2"/>
  <c r="N1928" i="2"/>
  <c r="D1928" i="2"/>
  <c r="B1928" i="2"/>
  <c r="A1928" i="2"/>
  <c r="P1928" i="2" s="1"/>
  <c r="Q1927" i="2"/>
  <c r="N1927" i="2"/>
  <c r="D1927" i="2"/>
  <c r="B1927" i="2"/>
  <c r="A1927" i="2"/>
  <c r="P1927" i="2" s="1"/>
  <c r="Q1926" i="2"/>
  <c r="N1926" i="2"/>
  <c r="D1926" i="2"/>
  <c r="B1926" i="2"/>
  <c r="A1926" i="2"/>
  <c r="P1926" i="2" s="1"/>
  <c r="Q1925" i="2"/>
  <c r="N1925" i="2"/>
  <c r="D1925" i="2"/>
  <c r="B1925" i="2"/>
  <c r="A1925" i="2"/>
  <c r="O1925" i="2" s="1"/>
  <c r="Q1924" i="2"/>
  <c r="N1924" i="2"/>
  <c r="D1924" i="2"/>
  <c r="B1924" i="2"/>
  <c r="A1924" i="2"/>
  <c r="O1924" i="2" s="1"/>
  <c r="Q1923" i="2"/>
  <c r="N1923" i="2"/>
  <c r="D1923" i="2"/>
  <c r="B1923" i="2"/>
  <c r="A1923" i="2"/>
  <c r="Q1922" i="2"/>
  <c r="N1922" i="2"/>
  <c r="D1922" i="2"/>
  <c r="B1922" i="2"/>
  <c r="A1922" i="2"/>
  <c r="P1922" i="2" s="1"/>
  <c r="Q1921" i="2"/>
  <c r="N1921" i="2"/>
  <c r="D1921" i="2"/>
  <c r="B1921" i="2"/>
  <c r="A1921" i="2"/>
  <c r="Q1920" i="2"/>
  <c r="N1920" i="2"/>
  <c r="D1920" i="2"/>
  <c r="B1920" i="2"/>
  <c r="A1920" i="2"/>
  <c r="Q1919" i="2"/>
  <c r="N1919" i="2"/>
  <c r="D1919" i="2"/>
  <c r="B1919" i="2"/>
  <c r="A1919" i="2"/>
  <c r="P1919" i="2" s="1"/>
  <c r="Q1918" i="2"/>
  <c r="N1918" i="2"/>
  <c r="D1918" i="2"/>
  <c r="B1918" i="2"/>
  <c r="A1918" i="2"/>
  <c r="O1918" i="2" s="1"/>
  <c r="Q1917" i="2"/>
  <c r="N1917" i="2"/>
  <c r="D1917" i="2"/>
  <c r="B1917" i="2"/>
  <c r="A1917" i="2"/>
  <c r="Q1916" i="2"/>
  <c r="N1916" i="2"/>
  <c r="D1916" i="2"/>
  <c r="B1916" i="2"/>
  <c r="A1916" i="2"/>
  <c r="P1916" i="2" s="1"/>
  <c r="Q1915" i="2"/>
  <c r="N1915" i="2"/>
  <c r="D1915" i="2"/>
  <c r="B1915" i="2"/>
  <c r="A1915" i="2"/>
  <c r="O1915" i="2" s="1"/>
  <c r="Q1914" i="2"/>
  <c r="N1914" i="2"/>
  <c r="D1914" i="2"/>
  <c r="B1914" i="2"/>
  <c r="A1914" i="2"/>
  <c r="Q1913" i="2"/>
  <c r="N1913" i="2"/>
  <c r="D1913" i="2"/>
  <c r="B1913" i="2"/>
  <c r="A1913" i="2"/>
  <c r="Q1912" i="2"/>
  <c r="N1912" i="2"/>
  <c r="D1912" i="2"/>
  <c r="B1912" i="2"/>
  <c r="A1912" i="2"/>
  <c r="P1912" i="2" s="1"/>
  <c r="Q1911" i="2"/>
  <c r="N1911" i="2"/>
  <c r="D1911" i="2"/>
  <c r="B1911" i="2"/>
  <c r="A1911" i="2"/>
  <c r="Q1910" i="2"/>
  <c r="N1910" i="2"/>
  <c r="D1910" i="2"/>
  <c r="B1910" i="2"/>
  <c r="A1910" i="2"/>
  <c r="Q1909" i="2"/>
  <c r="N1909" i="2"/>
  <c r="D1909" i="2"/>
  <c r="B1909" i="2"/>
  <c r="A1909" i="2"/>
  <c r="O1909" i="2" s="1"/>
  <c r="Q1908" i="2"/>
  <c r="N1908" i="2"/>
  <c r="D1908" i="2"/>
  <c r="B1908" i="2"/>
  <c r="A1908" i="2"/>
  <c r="Q1907" i="2"/>
  <c r="N1907" i="2"/>
  <c r="D1907" i="2"/>
  <c r="B1907" i="2"/>
  <c r="A1907" i="2"/>
  <c r="Q1906" i="2"/>
  <c r="N1906" i="2"/>
  <c r="D1906" i="2"/>
  <c r="B1906" i="2"/>
  <c r="A1906" i="2"/>
  <c r="Q1905" i="2"/>
  <c r="N1905" i="2"/>
  <c r="D1905" i="2"/>
  <c r="B1905" i="2"/>
  <c r="A1905" i="2"/>
  <c r="O1905" i="2" s="1"/>
  <c r="Q1904" i="2"/>
  <c r="N1904" i="2"/>
  <c r="D1904" i="2"/>
  <c r="B1904" i="2"/>
  <c r="A1904" i="2"/>
  <c r="O1904" i="2" s="1"/>
  <c r="Q1903" i="2"/>
  <c r="N1903" i="2"/>
  <c r="D1903" i="2"/>
  <c r="B1903" i="2"/>
  <c r="A1903" i="2"/>
  <c r="O1903" i="2" s="1"/>
  <c r="Q1902" i="2"/>
  <c r="N1902" i="2"/>
  <c r="D1902" i="2"/>
  <c r="B1902" i="2"/>
  <c r="A1902" i="2"/>
  <c r="P1902" i="2" s="1"/>
  <c r="Q1901" i="2"/>
  <c r="N1901" i="2"/>
  <c r="D1901" i="2"/>
  <c r="B1901" i="2"/>
  <c r="A1901" i="2"/>
  <c r="P1901" i="2" s="1"/>
  <c r="Q1900" i="2"/>
  <c r="N1900" i="2"/>
  <c r="D1900" i="2"/>
  <c r="B1900" i="2"/>
  <c r="A1900" i="2"/>
  <c r="Q1899" i="2"/>
  <c r="N1899" i="2"/>
  <c r="D1899" i="2"/>
  <c r="B1899" i="2"/>
  <c r="A1899" i="2"/>
  <c r="O1899" i="2" s="1"/>
  <c r="Q1898" i="2"/>
  <c r="N1898" i="2"/>
  <c r="D1898" i="2"/>
  <c r="B1898" i="2"/>
  <c r="A1898" i="2"/>
  <c r="P1898" i="2" s="1"/>
  <c r="Q1897" i="2"/>
  <c r="N1897" i="2"/>
  <c r="D1897" i="2"/>
  <c r="B1897" i="2"/>
  <c r="A1897" i="2"/>
  <c r="Q1896" i="2"/>
  <c r="N1896" i="2"/>
  <c r="D1896" i="2"/>
  <c r="B1896" i="2"/>
  <c r="A1896" i="2"/>
  <c r="Q1895" i="2"/>
  <c r="N1895" i="2"/>
  <c r="D1895" i="2"/>
  <c r="B1895" i="2"/>
  <c r="A1895" i="2"/>
  <c r="O1895" i="2" s="1"/>
  <c r="Q1894" i="2"/>
  <c r="N1894" i="2"/>
  <c r="D1894" i="2"/>
  <c r="B1894" i="2"/>
  <c r="A1894" i="2"/>
  <c r="P1894" i="2" s="1"/>
  <c r="Q1893" i="2"/>
  <c r="N1893" i="2"/>
  <c r="D1893" i="2"/>
  <c r="B1893" i="2"/>
  <c r="A1893" i="2"/>
  <c r="P1893" i="2" s="1"/>
  <c r="Q1892" i="2"/>
  <c r="N1892" i="2"/>
  <c r="D1892" i="2"/>
  <c r="B1892" i="2"/>
  <c r="A1892" i="2"/>
  <c r="P1892" i="2" s="1"/>
  <c r="Q1891" i="2"/>
  <c r="N1891" i="2"/>
  <c r="D1891" i="2"/>
  <c r="B1891" i="2"/>
  <c r="A1891" i="2"/>
  <c r="O1891" i="2" s="1"/>
  <c r="Q1890" i="2"/>
  <c r="N1890" i="2"/>
  <c r="D1890" i="2"/>
  <c r="B1890" i="2"/>
  <c r="A1890" i="2"/>
  <c r="P1890" i="2" s="1"/>
  <c r="Q1889" i="2"/>
  <c r="N1889" i="2"/>
  <c r="D1889" i="2"/>
  <c r="B1889" i="2"/>
  <c r="A1889" i="2"/>
  <c r="P1889" i="2" s="1"/>
  <c r="Q1888" i="2"/>
  <c r="N1888" i="2"/>
  <c r="D1888" i="2"/>
  <c r="B1888" i="2"/>
  <c r="A1888" i="2"/>
  <c r="P1888" i="2" s="1"/>
  <c r="Q1887" i="2"/>
  <c r="N1887" i="2"/>
  <c r="D1887" i="2"/>
  <c r="B1887" i="2"/>
  <c r="A1887" i="2"/>
  <c r="O1887" i="2" s="1"/>
  <c r="Q1886" i="2"/>
  <c r="N1886" i="2"/>
  <c r="D1886" i="2"/>
  <c r="B1886" i="2"/>
  <c r="A1886" i="2"/>
  <c r="P1886" i="2" s="1"/>
  <c r="Q1885" i="2"/>
  <c r="N1885" i="2"/>
  <c r="D1885" i="2"/>
  <c r="B1885" i="2"/>
  <c r="A1885" i="2"/>
  <c r="O1885" i="2" s="1"/>
  <c r="Q1884" i="2"/>
  <c r="N1884" i="2"/>
  <c r="D1884" i="2"/>
  <c r="B1884" i="2"/>
  <c r="A1884" i="2"/>
  <c r="O1884" i="2" s="1"/>
  <c r="Q1883" i="2"/>
  <c r="N1883" i="2"/>
  <c r="D1883" i="2"/>
  <c r="B1883" i="2"/>
  <c r="A1883" i="2"/>
  <c r="Q1882" i="2"/>
  <c r="N1882" i="2"/>
  <c r="D1882" i="2"/>
  <c r="B1882" i="2"/>
  <c r="A1882" i="2"/>
  <c r="Q1881" i="2"/>
  <c r="N1881" i="2"/>
  <c r="D1881" i="2"/>
  <c r="B1881" i="2"/>
  <c r="A1881" i="2"/>
  <c r="P1881" i="2" s="1"/>
  <c r="Q1880" i="2"/>
  <c r="N1880" i="2"/>
  <c r="D1880" i="2"/>
  <c r="B1880" i="2"/>
  <c r="A1880" i="2"/>
  <c r="Q1879" i="2"/>
  <c r="N1879" i="2"/>
  <c r="D1879" i="2"/>
  <c r="B1879" i="2"/>
  <c r="A1879" i="2"/>
  <c r="P1879" i="2" s="1"/>
  <c r="Q1878" i="2"/>
  <c r="N1878" i="2"/>
  <c r="D1878" i="2"/>
  <c r="B1878" i="2"/>
  <c r="A1878" i="2"/>
  <c r="O1878" i="2" s="1"/>
  <c r="Q1877" i="2"/>
  <c r="N1877" i="2"/>
  <c r="D1877" i="2"/>
  <c r="B1877" i="2"/>
  <c r="A1877" i="2"/>
  <c r="Q1876" i="2"/>
  <c r="N1876" i="2"/>
  <c r="D1876" i="2"/>
  <c r="B1876" i="2"/>
  <c r="A1876" i="2"/>
  <c r="Q1875" i="2"/>
  <c r="N1875" i="2"/>
  <c r="D1875" i="2"/>
  <c r="B1875" i="2"/>
  <c r="A1875" i="2"/>
  <c r="O1875" i="2" s="1"/>
  <c r="Q1874" i="2"/>
  <c r="N1874" i="2"/>
  <c r="D1874" i="2"/>
  <c r="B1874" i="2"/>
  <c r="A1874" i="2"/>
  <c r="P1874" i="2" s="1"/>
  <c r="Q1873" i="2"/>
  <c r="N1873" i="2"/>
  <c r="D1873" i="2"/>
  <c r="B1873" i="2"/>
  <c r="A1873" i="2"/>
  <c r="Q1872" i="2"/>
  <c r="N1872" i="2"/>
  <c r="D1872" i="2"/>
  <c r="B1872" i="2"/>
  <c r="A1872" i="2"/>
  <c r="O1872" i="2" s="1"/>
  <c r="Q1871" i="2"/>
  <c r="N1871" i="2"/>
  <c r="D1871" i="2"/>
  <c r="B1871" i="2"/>
  <c r="A1871" i="2"/>
  <c r="O1871" i="2" s="1"/>
  <c r="Q1870" i="2"/>
  <c r="N1870" i="2"/>
  <c r="D1870" i="2"/>
  <c r="B1870" i="2"/>
  <c r="A1870" i="2"/>
  <c r="Q1869" i="2"/>
  <c r="N1869" i="2"/>
  <c r="D1869" i="2"/>
  <c r="B1869" i="2"/>
  <c r="A1869" i="2"/>
  <c r="P1869" i="2" s="1"/>
  <c r="Q1868" i="2"/>
  <c r="N1868" i="2"/>
  <c r="D1868" i="2"/>
  <c r="B1868" i="2"/>
  <c r="A1868" i="2"/>
  <c r="P1868" i="2" s="1"/>
  <c r="Q1867" i="2"/>
  <c r="N1867" i="2"/>
  <c r="D1867" i="2"/>
  <c r="B1867" i="2"/>
  <c r="A1867" i="2"/>
  <c r="Q1866" i="2"/>
  <c r="N1866" i="2"/>
  <c r="D1866" i="2"/>
  <c r="B1866" i="2"/>
  <c r="A1866" i="2"/>
  <c r="Q1865" i="2"/>
  <c r="N1865" i="2"/>
  <c r="D1865" i="2"/>
  <c r="B1865" i="2"/>
  <c r="A1865" i="2"/>
  <c r="O1865" i="2" s="1"/>
  <c r="Q1864" i="2"/>
  <c r="N1864" i="2"/>
  <c r="D1864" i="2"/>
  <c r="B1864" i="2"/>
  <c r="A1864" i="2"/>
  <c r="O1864" i="2" s="1"/>
  <c r="Q1863" i="2"/>
  <c r="N1863" i="2"/>
  <c r="D1863" i="2"/>
  <c r="B1863" i="2"/>
  <c r="A1863" i="2"/>
  <c r="O1863" i="2" s="1"/>
  <c r="Q1862" i="2"/>
  <c r="N1862" i="2"/>
  <c r="D1862" i="2"/>
  <c r="B1862" i="2"/>
  <c r="A1862" i="2"/>
  <c r="P1862" i="2" s="1"/>
  <c r="Q1861" i="2"/>
  <c r="N1861" i="2"/>
  <c r="D1861" i="2"/>
  <c r="B1861" i="2"/>
  <c r="A1861" i="2"/>
  <c r="P1861" i="2" s="1"/>
  <c r="Q1860" i="2"/>
  <c r="N1860" i="2"/>
  <c r="D1860" i="2"/>
  <c r="B1860" i="2"/>
  <c r="A1860" i="2"/>
  <c r="Q1859" i="2"/>
  <c r="N1859" i="2"/>
  <c r="D1859" i="2"/>
  <c r="B1859" i="2"/>
  <c r="A1859" i="2"/>
  <c r="Q1858" i="2"/>
  <c r="N1858" i="2"/>
  <c r="D1858" i="2"/>
  <c r="B1858" i="2"/>
  <c r="A1858" i="2"/>
  <c r="O1858" i="2" s="1"/>
  <c r="Q1857" i="2"/>
  <c r="N1857" i="2"/>
  <c r="D1857" i="2"/>
  <c r="B1857" i="2"/>
  <c r="A1857" i="2"/>
  <c r="Q1856" i="2"/>
  <c r="N1856" i="2"/>
  <c r="D1856" i="2"/>
  <c r="B1856" i="2"/>
  <c r="A1856" i="2"/>
  <c r="P1856" i="2" s="1"/>
  <c r="Q1855" i="2"/>
  <c r="N1855" i="2"/>
  <c r="D1855" i="2"/>
  <c r="B1855" i="2"/>
  <c r="A1855" i="2"/>
  <c r="P1855" i="2" s="1"/>
  <c r="Q1854" i="2"/>
  <c r="N1854" i="2"/>
  <c r="D1854" i="2"/>
  <c r="B1854" i="2"/>
  <c r="A1854" i="2"/>
  <c r="Q1853" i="2"/>
  <c r="N1853" i="2"/>
  <c r="D1853" i="2"/>
  <c r="B1853" i="2"/>
  <c r="A1853" i="2"/>
  <c r="P1853" i="2" s="1"/>
  <c r="Q1852" i="2"/>
  <c r="N1852" i="2"/>
  <c r="D1852" i="2"/>
  <c r="B1852" i="2"/>
  <c r="A1852" i="2"/>
  <c r="P1852" i="2" s="1"/>
  <c r="Q1851" i="2"/>
  <c r="N1851" i="2"/>
  <c r="D1851" i="2"/>
  <c r="B1851" i="2"/>
  <c r="A1851" i="2"/>
  <c r="Q1850" i="2"/>
  <c r="N1850" i="2"/>
  <c r="D1850" i="2"/>
  <c r="B1850" i="2"/>
  <c r="A1850" i="2"/>
  <c r="Q1849" i="2"/>
  <c r="N1849" i="2"/>
  <c r="D1849" i="2"/>
  <c r="B1849" i="2"/>
  <c r="A1849" i="2"/>
  <c r="Q1848" i="2"/>
  <c r="N1848" i="2"/>
  <c r="D1848" i="2"/>
  <c r="B1848" i="2"/>
  <c r="A1848" i="2"/>
  <c r="Q1847" i="2"/>
  <c r="N1847" i="2"/>
  <c r="D1847" i="2"/>
  <c r="B1847" i="2"/>
  <c r="A1847" i="2"/>
  <c r="O1847" i="2" s="1"/>
  <c r="Q1846" i="2"/>
  <c r="N1846" i="2"/>
  <c r="D1846" i="2"/>
  <c r="B1846" i="2"/>
  <c r="A1846" i="2"/>
  <c r="Q1845" i="2"/>
  <c r="N1845" i="2"/>
  <c r="D1845" i="2"/>
  <c r="B1845" i="2"/>
  <c r="A1845" i="2"/>
  <c r="P1845" i="2" s="1"/>
  <c r="Q1844" i="2"/>
  <c r="N1844" i="2"/>
  <c r="D1844" i="2"/>
  <c r="B1844" i="2"/>
  <c r="A1844" i="2"/>
  <c r="O1844" i="2" s="1"/>
  <c r="Q1843" i="2"/>
  <c r="N1843" i="2"/>
  <c r="D1843" i="2"/>
  <c r="B1843" i="2"/>
  <c r="A1843" i="2"/>
  <c r="O1843" i="2" s="1"/>
  <c r="Q1842" i="2"/>
  <c r="N1842" i="2"/>
  <c r="D1842" i="2"/>
  <c r="B1842" i="2"/>
  <c r="A1842" i="2"/>
  <c r="Q1841" i="2"/>
  <c r="N1841" i="2"/>
  <c r="D1841" i="2"/>
  <c r="B1841" i="2"/>
  <c r="A1841" i="2"/>
  <c r="P1841" i="2" s="1"/>
  <c r="Q1840" i="2"/>
  <c r="N1840" i="2"/>
  <c r="D1840" i="2"/>
  <c r="B1840" i="2"/>
  <c r="A1840" i="2"/>
  <c r="Q1839" i="2"/>
  <c r="N1839" i="2"/>
  <c r="D1839" i="2"/>
  <c r="B1839" i="2"/>
  <c r="A1839" i="2"/>
  <c r="Q1838" i="2"/>
  <c r="N1838" i="2"/>
  <c r="D1838" i="2"/>
  <c r="B1838" i="2"/>
  <c r="A1838" i="2"/>
  <c r="O1838" i="2" s="1"/>
  <c r="Q1837" i="2"/>
  <c r="N1837" i="2"/>
  <c r="D1837" i="2"/>
  <c r="B1837" i="2"/>
  <c r="A1837" i="2"/>
  <c r="Q1836" i="2"/>
  <c r="N1836" i="2"/>
  <c r="D1836" i="2"/>
  <c r="B1836" i="2"/>
  <c r="A1836" i="2"/>
  <c r="P1836" i="2" s="1"/>
  <c r="Q1835" i="2"/>
  <c r="N1835" i="2"/>
  <c r="D1835" i="2"/>
  <c r="B1835" i="2"/>
  <c r="A1835" i="2"/>
  <c r="P1835" i="2" s="1"/>
  <c r="Q1834" i="2"/>
  <c r="N1834" i="2"/>
  <c r="D1834" i="2"/>
  <c r="B1834" i="2"/>
  <c r="A1834" i="2"/>
  <c r="P1834" i="2" s="1"/>
  <c r="Q1833" i="2"/>
  <c r="N1833" i="2"/>
  <c r="D1833" i="2"/>
  <c r="B1833" i="2"/>
  <c r="A1833" i="2"/>
  <c r="Q1832" i="2"/>
  <c r="N1832" i="2"/>
  <c r="D1832" i="2"/>
  <c r="B1832" i="2"/>
  <c r="A1832" i="2"/>
  <c r="P1832" i="2" s="1"/>
  <c r="Q1831" i="2"/>
  <c r="N1831" i="2"/>
  <c r="D1831" i="2"/>
  <c r="B1831" i="2"/>
  <c r="A1831" i="2"/>
  <c r="O1831" i="2" s="1"/>
  <c r="Q1830" i="2"/>
  <c r="N1830" i="2"/>
  <c r="D1830" i="2"/>
  <c r="B1830" i="2"/>
  <c r="A1830" i="2"/>
  <c r="Q1829" i="2"/>
  <c r="N1829" i="2"/>
  <c r="D1829" i="2"/>
  <c r="B1829" i="2"/>
  <c r="A1829" i="2"/>
  <c r="P1829" i="2" s="1"/>
  <c r="Q1828" i="2"/>
  <c r="N1828" i="2"/>
  <c r="D1828" i="2"/>
  <c r="B1828" i="2"/>
  <c r="A1828" i="2"/>
  <c r="Q1827" i="2"/>
  <c r="N1827" i="2"/>
  <c r="D1827" i="2"/>
  <c r="B1827" i="2"/>
  <c r="A1827" i="2"/>
  <c r="Q1826" i="2"/>
  <c r="N1826" i="2"/>
  <c r="D1826" i="2"/>
  <c r="B1826" i="2"/>
  <c r="A1826" i="2"/>
  <c r="P1826" i="2" s="1"/>
  <c r="Q1825" i="2"/>
  <c r="N1825" i="2"/>
  <c r="D1825" i="2"/>
  <c r="B1825" i="2"/>
  <c r="A1825" i="2"/>
  <c r="O1825" i="2" s="1"/>
  <c r="Q1824" i="2"/>
  <c r="N1824" i="2"/>
  <c r="D1824" i="2"/>
  <c r="B1824" i="2"/>
  <c r="A1824" i="2"/>
  <c r="Q1823" i="2"/>
  <c r="N1823" i="2"/>
  <c r="D1823" i="2"/>
  <c r="B1823" i="2"/>
  <c r="A1823" i="2"/>
  <c r="O1823" i="2" s="1"/>
  <c r="Q1822" i="2"/>
  <c r="N1822" i="2"/>
  <c r="D1822" i="2"/>
  <c r="B1822" i="2"/>
  <c r="A1822" i="2"/>
  <c r="P1822" i="2" s="1"/>
  <c r="Q1821" i="2"/>
  <c r="N1821" i="2"/>
  <c r="D1821" i="2"/>
  <c r="B1821" i="2"/>
  <c r="A1821" i="2"/>
  <c r="P1821" i="2" s="1"/>
  <c r="Q1820" i="2"/>
  <c r="N1820" i="2"/>
  <c r="D1820" i="2"/>
  <c r="B1820" i="2"/>
  <c r="A1820" i="2"/>
  <c r="Q1819" i="2"/>
  <c r="N1819" i="2"/>
  <c r="D1819" i="2"/>
  <c r="B1819" i="2"/>
  <c r="A1819" i="2"/>
  <c r="O1819" i="2" s="1"/>
  <c r="Q1818" i="2"/>
  <c r="N1818" i="2"/>
  <c r="D1818" i="2"/>
  <c r="B1818" i="2"/>
  <c r="A1818" i="2"/>
  <c r="P1818" i="2" s="1"/>
  <c r="Q1817" i="2"/>
  <c r="N1817" i="2"/>
  <c r="D1817" i="2"/>
  <c r="B1817" i="2"/>
  <c r="A1817" i="2"/>
  <c r="Q1816" i="2"/>
  <c r="N1816" i="2"/>
  <c r="D1816" i="2"/>
  <c r="B1816" i="2"/>
  <c r="A1816" i="2"/>
  <c r="O1816" i="2" s="1"/>
  <c r="Q1815" i="2"/>
  <c r="N1815" i="2"/>
  <c r="D1815" i="2"/>
  <c r="B1815" i="2"/>
  <c r="A1815" i="2"/>
  <c r="P1815" i="2" s="1"/>
  <c r="Q1814" i="2"/>
  <c r="N1814" i="2"/>
  <c r="D1814" i="2"/>
  <c r="B1814" i="2"/>
  <c r="A1814" i="2"/>
  <c r="Q1813" i="2"/>
  <c r="N1813" i="2"/>
  <c r="D1813" i="2"/>
  <c r="B1813" i="2"/>
  <c r="A1813" i="2"/>
  <c r="O1813" i="2" s="1"/>
  <c r="Q1812" i="2"/>
  <c r="N1812" i="2"/>
  <c r="D1812" i="2"/>
  <c r="B1812" i="2"/>
  <c r="A1812" i="2"/>
  <c r="Q1811" i="2"/>
  <c r="N1811" i="2"/>
  <c r="D1811" i="2"/>
  <c r="B1811" i="2"/>
  <c r="A1811" i="2"/>
  <c r="Q1810" i="2"/>
  <c r="N1810" i="2"/>
  <c r="D1810" i="2"/>
  <c r="B1810" i="2"/>
  <c r="A1810" i="2"/>
  <c r="P1810" i="2" s="1"/>
  <c r="Q1809" i="2"/>
  <c r="N1809" i="2"/>
  <c r="D1809" i="2"/>
  <c r="B1809" i="2"/>
  <c r="A1809" i="2"/>
  <c r="P1809" i="2" s="1"/>
  <c r="Q1808" i="2"/>
  <c r="N1808" i="2"/>
  <c r="D1808" i="2"/>
  <c r="B1808" i="2"/>
  <c r="A1808" i="2"/>
  <c r="Q1807" i="2"/>
  <c r="N1807" i="2"/>
  <c r="D1807" i="2"/>
  <c r="B1807" i="2"/>
  <c r="A1807" i="2"/>
  <c r="P1807" i="2" s="1"/>
  <c r="Q1806" i="2"/>
  <c r="N1806" i="2"/>
  <c r="D1806" i="2"/>
  <c r="B1806" i="2"/>
  <c r="A1806" i="2"/>
  <c r="P1806" i="2" s="1"/>
  <c r="Q1805" i="2"/>
  <c r="N1805" i="2"/>
  <c r="D1805" i="2"/>
  <c r="B1805" i="2"/>
  <c r="A1805" i="2"/>
  <c r="O1805" i="2" s="1"/>
  <c r="Q1804" i="2"/>
  <c r="N1804" i="2"/>
  <c r="D1804" i="2"/>
  <c r="B1804" i="2"/>
  <c r="A1804" i="2"/>
  <c r="O1804" i="2" s="1"/>
  <c r="Q1803" i="2"/>
  <c r="N1803" i="2"/>
  <c r="D1803" i="2"/>
  <c r="B1803" i="2"/>
  <c r="A1803" i="2"/>
  <c r="O1803" i="2" s="1"/>
  <c r="Q1802" i="2"/>
  <c r="N1802" i="2"/>
  <c r="D1802" i="2"/>
  <c r="B1802" i="2"/>
  <c r="A1802" i="2"/>
  <c r="Q1801" i="2"/>
  <c r="N1801" i="2"/>
  <c r="D1801" i="2"/>
  <c r="B1801" i="2"/>
  <c r="A1801" i="2"/>
  <c r="P1801" i="2" s="1"/>
  <c r="Q1800" i="2"/>
  <c r="N1800" i="2"/>
  <c r="D1800" i="2"/>
  <c r="B1800" i="2"/>
  <c r="A1800" i="2"/>
  <c r="Q1799" i="2"/>
  <c r="N1799" i="2"/>
  <c r="D1799" i="2"/>
  <c r="B1799" i="2"/>
  <c r="A1799" i="2"/>
  <c r="P1799" i="2" s="1"/>
  <c r="Q1798" i="2"/>
  <c r="N1798" i="2"/>
  <c r="D1798" i="2"/>
  <c r="B1798" i="2"/>
  <c r="A1798" i="2"/>
  <c r="O1798" i="2" s="1"/>
  <c r="Q1797" i="2"/>
  <c r="N1797" i="2"/>
  <c r="D1797" i="2"/>
  <c r="B1797" i="2"/>
  <c r="A1797" i="2"/>
  <c r="Q1796" i="2"/>
  <c r="N1796" i="2"/>
  <c r="D1796" i="2"/>
  <c r="B1796" i="2"/>
  <c r="A1796" i="2"/>
  <c r="P1796" i="2" s="1"/>
  <c r="Q1795" i="2"/>
  <c r="N1795" i="2"/>
  <c r="D1795" i="2"/>
  <c r="B1795" i="2"/>
  <c r="A1795" i="2"/>
  <c r="O1795" i="2" s="1"/>
  <c r="Q1794" i="2"/>
  <c r="N1794" i="2"/>
  <c r="D1794" i="2"/>
  <c r="B1794" i="2"/>
  <c r="A1794" i="2"/>
  <c r="P1794" i="2" s="1"/>
  <c r="Q1793" i="2"/>
  <c r="N1793" i="2"/>
  <c r="D1793" i="2"/>
  <c r="B1793" i="2"/>
  <c r="A1793" i="2"/>
  <c r="P1793" i="2" s="1"/>
  <c r="Q1792" i="2"/>
  <c r="N1792" i="2"/>
  <c r="D1792" i="2"/>
  <c r="B1792" i="2"/>
  <c r="A1792" i="2"/>
  <c r="P1792" i="2" s="1"/>
  <c r="Q1791" i="2"/>
  <c r="N1791" i="2"/>
  <c r="D1791" i="2"/>
  <c r="B1791" i="2"/>
  <c r="A1791" i="2"/>
  <c r="Q1790" i="2"/>
  <c r="N1790" i="2"/>
  <c r="D1790" i="2"/>
  <c r="B1790" i="2"/>
  <c r="A1790" i="2"/>
  <c r="P1790" i="2" s="1"/>
  <c r="Q1789" i="2"/>
  <c r="N1789" i="2"/>
  <c r="D1789" i="2"/>
  <c r="B1789" i="2"/>
  <c r="A1789" i="2"/>
  <c r="P1789" i="2" s="1"/>
  <c r="Q1788" i="2"/>
  <c r="N1788" i="2"/>
  <c r="D1788" i="2"/>
  <c r="B1788" i="2"/>
  <c r="A1788" i="2"/>
  <c r="Q1787" i="2"/>
  <c r="N1787" i="2"/>
  <c r="D1787" i="2"/>
  <c r="B1787" i="2"/>
  <c r="A1787" i="2"/>
  <c r="P1787" i="2" s="1"/>
  <c r="Q1786" i="2"/>
  <c r="N1786" i="2"/>
  <c r="D1786" i="2"/>
  <c r="B1786" i="2"/>
  <c r="A1786" i="2"/>
  <c r="P1786" i="2" s="1"/>
  <c r="Q1785" i="2"/>
  <c r="N1785" i="2"/>
  <c r="D1785" i="2"/>
  <c r="B1785" i="2"/>
  <c r="A1785" i="2"/>
  <c r="Q1784" i="2"/>
  <c r="N1784" i="2"/>
  <c r="D1784" i="2"/>
  <c r="B1784" i="2"/>
  <c r="A1784" i="2"/>
  <c r="O1784" i="2" s="1"/>
  <c r="Q1783" i="2"/>
  <c r="N1783" i="2"/>
  <c r="D1783" i="2"/>
  <c r="B1783" i="2"/>
  <c r="A1783" i="2"/>
  <c r="Q1782" i="2"/>
  <c r="N1782" i="2"/>
  <c r="D1782" i="2"/>
  <c r="B1782" i="2"/>
  <c r="A1782" i="2"/>
  <c r="O1782" i="2" s="1"/>
  <c r="Q1781" i="2"/>
  <c r="N1781" i="2"/>
  <c r="D1781" i="2"/>
  <c r="B1781" i="2"/>
  <c r="A1781" i="2"/>
  <c r="Q1780" i="2"/>
  <c r="N1780" i="2"/>
  <c r="D1780" i="2"/>
  <c r="B1780" i="2"/>
  <c r="A1780" i="2"/>
  <c r="Q1779" i="2"/>
  <c r="N1779" i="2"/>
  <c r="D1779" i="2"/>
  <c r="B1779" i="2"/>
  <c r="A1779" i="2"/>
  <c r="P1779" i="2" s="1"/>
  <c r="Q1778" i="2"/>
  <c r="N1778" i="2"/>
  <c r="D1778" i="2"/>
  <c r="B1778" i="2"/>
  <c r="A1778" i="2"/>
  <c r="Q1777" i="2"/>
  <c r="N1777" i="2"/>
  <c r="D1777" i="2"/>
  <c r="B1777" i="2"/>
  <c r="A1777" i="2"/>
  <c r="Q1776" i="2"/>
  <c r="N1776" i="2"/>
  <c r="D1776" i="2"/>
  <c r="B1776" i="2"/>
  <c r="A1776" i="2"/>
  <c r="P1776" i="2" s="1"/>
  <c r="Q1775" i="2"/>
  <c r="N1775" i="2"/>
  <c r="D1775" i="2"/>
  <c r="B1775" i="2"/>
  <c r="A1775" i="2"/>
  <c r="P1775" i="2" s="1"/>
  <c r="Q1774" i="2"/>
  <c r="N1774" i="2"/>
  <c r="D1774" i="2"/>
  <c r="B1774" i="2"/>
  <c r="A1774" i="2"/>
  <c r="Q1773" i="2"/>
  <c r="N1773" i="2"/>
  <c r="D1773" i="2"/>
  <c r="B1773" i="2"/>
  <c r="A1773" i="2"/>
  <c r="O1773" i="2" s="1"/>
  <c r="Q1772" i="2"/>
  <c r="N1772" i="2"/>
  <c r="D1772" i="2"/>
  <c r="B1772" i="2"/>
  <c r="A1772" i="2"/>
  <c r="P1772" i="2" s="1"/>
  <c r="Q1771" i="2"/>
  <c r="N1771" i="2"/>
  <c r="D1771" i="2"/>
  <c r="B1771" i="2"/>
  <c r="A1771" i="2"/>
  <c r="O1771" i="2" s="1"/>
  <c r="Q1770" i="2"/>
  <c r="N1770" i="2"/>
  <c r="D1770" i="2"/>
  <c r="B1770" i="2"/>
  <c r="A1770" i="2"/>
  <c r="Q1769" i="2"/>
  <c r="N1769" i="2"/>
  <c r="D1769" i="2"/>
  <c r="B1769" i="2"/>
  <c r="A1769" i="2"/>
  <c r="O1769" i="2" s="1"/>
  <c r="Q1768" i="2"/>
  <c r="N1768" i="2"/>
  <c r="D1768" i="2"/>
  <c r="B1768" i="2"/>
  <c r="A1768" i="2"/>
  <c r="P1768" i="2" s="1"/>
  <c r="Q1767" i="2"/>
  <c r="N1767" i="2"/>
  <c r="D1767" i="2"/>
  <c r="B1767" i="2"/>
  <c r="A1767" i="2"/>
  <c r="O1767" i="2" s="1"/>
  <c r="Q1766" i="2"/>
  <c r="N1766" i="2"/>
  <c r="D1766" i="2"/>
  <c r="B1766" i="2"/>
  <c r="A1766" i="2"/>
  <c r="Q1765" i="2"/>
  <c r="N1765" i="2"/>
  <c r="D1765" i="2"/>
  <c r="B1765" i="2"/>
  <c r="A1765" i="2"/>
  <c r="O1765" i="2" s="1"/>
  <c r="Q1764" i="2"/>
  <c r="N1764" i="2"/>
  <c r="D1764" i="2"/>
  <c r="B1764" i="2"/>
  <c r="A1764" i="2"/>
  <c r="O1764" i="2" s="1"/>
  <c r="Q1763" i="2"/>
  <c r="N1763" i="2"/>
  <c r="D1763" i="2"/>
  <c r="B1763" i="2"/>
  <c r="A1763" i="2"/>
  <c r="O1763" i="2" s="1"/>
  <c r="Q1762" i="2"/>
  <c r="N1762" i="2"/>
  <c r="D1762" i="2"/>
  <c r="B1762" i="2"/>
  <c r="A1762" i="2"/>
  <c r="P1762" i="2" s="1"/>
  <c r="Q1761" i="2"/>
  <c r="N1761" i="2"/>
  <c r="D1761" i="2"/>
  <c r="B1761" i="2"/>
  <c r="A1761" i="2"/>
  <c r="P1761" i="2" s="1"/>
  <c r="Q1760" i="2"/>
  <c r="N1760" i="2"/>
  <c r="D1760" i="2"/>
  <c r="B1760" i="2"/>
  <c r="A1760" i="2"/>
  <c r="P1760" i="2" s="1"/>
  <c r="Q1759" i="2"/>
  <c r="N1759" i="2"/>
  <c r="D1759" i="2"/>
  <c r="B1759" i="2"/>
  <c r="A1759" i="2"/>
  <c r="O1759" i="2" s="1"/>
  <c r="Q1758" i="2"/>
  <c r="N1758" i="2"/>
  <c r="D1758" i="2"/>
  <c r="B1758" i="2"/>
  <c r="A1758" i="2"/>
  <c r="O1758" i="2" s="1"/>
  <c r="Q1757" i="2"/>
  <c r="N1757" i="2"/>
  <c r="D1757" i="2"/>
  <c r="B1757" i="2"/>
  <c r="A1757" i="2"/>
  <c r="Q1756" i="2"/>
  <c r="N1756" i="2"/>
  <c r="D1756" i="2"/>
  <c r="B1756" i="2"/>
  <c r="A1756" i="2"/>
  <c r="O1756" i="2" s="1"/>
  <c r="Q1755" i="2"/>
  <c r="N1755" i="2"/>
  <c r="D1755" i="2"/>
  <c r="B1755" i="2"/>
  <c r="A1755" i="2"/>
  <c r="Q1754" i="2"/>
  <c r="N1754" i="2"/>
  <c r="D1754" i="2"/>
  <c r="B1754" i="2"/>
  <c r="A1754" i="2"/>
  <c r="Q1753" i="2"/>
  <c r="N1753" i="2"/>
  <c r="D1753" i="2"/>
  <c r="B1753" i="2"/>
  <c r="A1753" i="2"/>
  <c r="O1753" i="2" s="1"/>
  <c r="Q1752" i="2"/>
  <c r="N1752" i="2"/>
  <c r="D1752" i="2"/>
  <c r="B1752" i="2"/>
  <c r="A1752" i="2"/>
  <c r="Q1751" i="2"/>
  <c r="N1751" i="2"/>
  <c r="D1751" i="2"/>
  <c r="B1751" i="2"/>
  <c r="A1751" i="2"/>
  <c r="P1751" i="2" s="1"/>
  <c r="Q1750" i="2"/>
  <c r="N1750" i="2"/>
  <c r="D1750" i="2"/>
  <c r="B1750" i="2"/>
  <c r="A1750" i="2"/>
  <c r="P1750" i="2" s="1"/>
  <c r="Q1749" i="2"/>
  <c r="N1749" i="2"/>
  <c r="D1749" i="2"/>
  <c r="B1749" i="2"/>
  <c r="A1749" i="2"/>
  <c r="P1749" i="2" s="1"/>
  <c r="Q1748" i="2"/>
  <c r="N1748" i="2"/>
  <c r="D1748" i="2"/>
  <c r="B1748" i="2"/>
  <c r="A1748" i="2"/>
  <c r="P1748" i="2" s="1"/>
  <c r="Q1747" i="2"/>
  <c r="N1747" i="2"/>
  <c r="D1747" i="2"/>
  <c r="B1747" i="2"/>
  <c r="A1747" i="2"/>
  <c r="P1747" i="2" s="1"/>
  <c r="Q1746" i="2"/>
  <c r="N1746" i="2"/>
  <c r="D1746" i="2"/>
  <c r="B1746" i="2"/>
  <c r="A1746" i="2"/>
  <c r="O1746" i="2" s="1"/>
  <c r="Q1745" i="2"/>
  <c r="N1745" i="2"/>
  <c r="D1745" i="2"/>
  <c r="B1745" i="2"/>
  <c r="A1745" i="2"/>
  <c r="O1745" i="2" s="1"/>
  <c r="Q1744" i="2"/>
  <c r="N1744" i="2"/>
  <c r="D1744" i="2"/>
  <c r="B1744" i="2"/>
  <c r="A1744" i="2"/>
  <c r="O1744" i="2" s="1"/>
  <c r="Q1743" i="2"/>
  <c r="N1743" i="2"/>
  <c r="D1743" i="2"/>
  <c r="B1743" i="2"/>
  <c r="A1743" i="2"/>
  <c r="O1743" i="2" s="1"/>
  <c r="Q1742" i="2"/>
  <c r="N1742" i="2"/>
  <c r="D1742" i="2"/>
  <c r="B1742" i="2"/>
  <c r="A1742" i="2"/>
  <c r="O1742" i="2" s="1"/>
  <c r="Q1741" i="2"/>
  <c r="N1741" i="2"/>
  <c r="D1741" i="2"/>
  <c r="B1741" i="2"/>
  <c r="A1741" i="2"/>
  <c r="Q1740" i="2"/>
  <c r="N1740" i="2"/>
  <c r="D1740" i="2"/>
  <c r="B1740" i="2"/>
  <c r="A1740" i="2"/>
  <c r="Q1739" i="2"/>
  <c r="N1739" i="2"/>
  <c r="D1739" i="2"/>
  <c r="B1739" i="2"/>
  <c r="A1739" i="2"/>
  <c r="O1739" i="2" s="1"/>
  <c r="Q1738" i="2"/>
  <c r="N1738" i="2"/>
  <c r="D1738" i="2"/>
  <c r="B1738" i="2"/>
  <c r="A1738" i="2"/>
  <c r="Q1737" i="2"/>
  <c r="N1737" i="2"/>
  <c r="D1737" i="2"/>
  <c r="B1737" i="2"/>
  <c r="A1737" i="2"/>
  <c r="Q1736" i="2"/>
  <c r="N1736" i="2"/>
  <c r="D1736" i="2"/>
  <c r="B1736" i="2"/>
  <c r="A1736" i="2"/>
  <c r="P1736" i="2" s="1"/>
  <c r="Q1735" i="2"/>
  <c r="N1735" i="2"/>
  <c r="D1735" i="2"/>
  <c r="B1735" i="2"/>
  <c r="A1735" i="2"/>
  <c r="O1735" i="2" s="1"/>
  <c r="Q1734" i="2"/>
  <c r="N1734" i="2"/>
  <c r="D1734" i="2"/>
  <c r="B1734" i="2"/>
  <c r="A1734" i="2"/>
  <c r="O1734" i="2" s="1"/>
  <c r="Q1733" i="2"/>
  <c r="N1733" i="2"/>
  <c r="D1733" i="2"/>
  <c r="B1733" i="2"/>
  <c r="A1733" i="2"/>
  <c r="O1733" i="2" s="1"/>
  <c r="Q1732" i="2"/>
  <c r="N1732" i="2"/>
  <c r="D1732" i="2"/>
  <c r="B1732" i="2"/>
  <c r="A1732" i="2"/>
  <c r="P1732" i="2" s="1"/>
  <c r="Q1731" i="2"/>
  <c r="N1731" i="2"/>
  <c r="D1731" i="2"/>
  <c r="B1731" i="2"/>
  <c r="A1731" i="2"/>
  <c r="Q1730" i="2"/>
  <c r="N1730" i="2"/>
  <c r="D1730" i="2"/>
  <c r="B1730" i="2"/>
  <c r="A1730" i="2"/>
  <c r="P1730" i="2" s="1"/>
  <c r="Q1729" i="2"/>
  <c r="N1729" i="2"/>
  <c r="D1729" i="2"/>
  <c r="B1729" i="2"/>
  <c r="A1729" i="2"/>
  <c r="O1729" i="2" s="1"/>
  <c r="Q1728" i="2"/>
  <c r="N1728" i="2"/>
  <c r="D1728" i="2"/>
  <c r="B1728" i="2"/>
  <c r="A1728" i="2"/>
  <c r="P1728" i="2" s="1"/>
  <c r="Q1727" i="2"/>
  <c r="N1727" i="2"/>
  <c r="D1727" i="2"/>
  <c r="B1727" i="2"/>
  <c r="A1727" i="2"/>
  <c r="O1727" i="2" s="1"/>
  <c r="Q1726" i="2"/>
  <c r="N1726" i="2"/>
  <c r="D1726" i="2"/>
  <c r="B1726" i="2"/>
  <c r="A1726" i="2"/>
  <c r="P1726" i="2" s="1"/>
  <c r="Q1725" i="2"/>
  <c r="N1725" i="2"/>
  <c r="D1725" i="2"/>
  <c r="B1725" i="2"/>
  <c r="A1725" i="2"/>
  <c r="O1725" i="2" s="1"/>
  <c r="Q1724" i="2"/>
  <c r="N1724" i="2"/>
  <c r="D1724" i="2"/>
  <c r="B1724" i="2"/>
  <c r="A1724" i="2"/>
  <c r="Q1723" i="2"/>
  <c r="N1723" i="2"/>
  <c r="D1723" i="2"/>
  <c r="B1723" i="2"/>
  <c r="A1723" i="2"/>
  <c r="P1723" i="2" s="1"/>
  <c r="Q1722" i="2"/>
  <c r="N1722" i="2"/>
  <c r="D1722" i="2"/>
  <c r="B1722" i="2"/>
  <c r="A1722" i="2"/>
  <c r="Q1721" i="2"/>
  <c r="N1721" i="2"/>
  <c r="D1721" i="2"/>
  <c r="B1721" i="2"/>
  <c r="A1721" i="2"/>
  <c r="Q1720" i="2"/>
  <c r="N1720" i="2"/>
  <c r="D1720" i="2"/>
  <c r="B1720" i="2"/>
  <c r="A1720" i="2"/>
  <c r="Q1719" i="2"/>
  <c r="N1719" i="2"/>
  <c r="D1719" i="2"/>
  <c r="B1719" i="2"/>
  <c r="A1719" i="2"/>
  <c r="P1719" i="2" s="1"/>
  <c r="Q1718" i="2"/>
  <c r="N1718" i="2"/>
  <c r="D1718" i="2"/>
  <c r="B1718" i="2"/>
  <c r="A1718" i="2"/>
  <c r="Q1717" i="2"/>
  <c r="N1717" i="2"/>
  <c r="D1717" i="2"/>
  <c r="B1717" i="2"/>
  <c r="A1717" i="2"/>
  <c r="O1717" i="2" s="1"/>
  <c r="Q1716" i="2"/>
  <c r="N1716" i="2"/>
  <c r="D1716" i="2"/>
  <c r="B1716" i="2"/>
  <c r="A1716" i="2"/>
  <c r="Q1715" i="2"/>
  <c r="N1715" i="2"/>
  <c r="D1715" i="2"/>
  <c r="B1715" i="2"/>
  <c r="A1715" i="2"/>
  <c r="P1715" i="2" s="1"/>
  <c r="Q1714" i="2"/>
  <c r="N1714" i="2"/>
  <c r="D1714" i="2"/>
  <c r="B1714" i="2"/>
  <c r="A1714" i="2"/>
  <c r="P1714" i="2" s="1"/>
  <c r="Q1713" i="2"/>
  <c r="N1713" i="2"/>
  <c r="D1713" i="2"/>
  <c r="B1713" i="2"/>
  <c r="A1713" i="2"/>
  <c r="P1713" i="2" s="1"/>
  <c r="Q1712" i="2"/>
  <c r="N1712" i="2"/>
  <c r="D1712" i="2"/>
  <c r="B1712" i="2"/>
  <c r="A1712" i="2"/>
  <c r="O1712" i="2" s="1"/>
  <c r="Q1711" i="2"/>
  <c r="N1711" i="2"/>
  <c r="D1711" i="2"/>
  <c r="B1711" i="2"/>
  <c r="A1711" i="2"/>
  <c r="O1711" i="2" s="1"/>
  <c r="Q1710" i="2"/>
  <c r="N1710" i="2"/>
  <c r="D1710" i="2"/>
  <c r="B1710" i="2"/>
  <c r="A1710" i="2"/>
  <c r="Q1709" i="2"/>
  <c r="N1709" i="2"/>
  <c r="D1709" i="2"/>
  <c r="B1709" i="2"/>
  <c r="A1709" i="2"/>
  <c r="Q1708" i="2"/>
  <c r="N1708" i="2"/>
  <c r="D1708" i="2"/>
  <c r="B1708" i="2"/>
  <c r="A1708" i="2"/>
  <c r="O1708" i="2" s="1"/>
  <c r="Q1707" i="2"/>
  <c r="N1707" i="2"/>
  <c r="D1707" i="2"/>
  <c r="B1707" i="2"/>
  <c r="A1707" i="2"/>
  <c r="O1707" i="2" s="1"/>
  <c r="Q1706" i="2"/>
  <c r="N1706" i="2"/>
  <c r="D1706" i="2"/>
  <c r="B1706" i="2"/>
  <c r="A1706" i="2"/>
  <c r="Q1705" i="2"/>
  <c r="N1705" i="2"/>
  <c r="D1705" i="2"/>
  <c r="B1705" i="2"/>
  <c r="A1705" i="2"/>
  <c r="Q1704" i="2"/>
  <c r="N1704" i="2"/>
  <c r="D1704" i="2"/>
  <c r="B1704" i="2"/>
  <c r="A1704" i="2"/>
  <c r="Q1703" i="2"/>
  <c r="N1703" i="2"/>
  <c r="D1703" i="2"/>
  <c r="B1703" i="2"/>
  <c r="A1703" i="2"/>
  <c r="P1703" i="2" s="1"/>
  <c r="Q1702" i="2"/>
  <c r="N1702" i="2"/>
  <c r="D1702" i="2"/>
  <c r="B1702" i="2"/>
  <c r="A1702" i="2"/>
  <c r="Q1701" i="2"/>
  <c r="N1701" i="2"/>
  <c r="D1701" i="2"/>
  <c r="B1701" i="2"/>
  <c r="A1701" i="2"/>
  <c r="Q1700" i="2"/>
  <c r="N1700" i="2"/>
  <c r="D1700" i="2"/>
  <c r="B1700" i="2"/>
  <c r="A1700" i="2"/>
  <c r="Q1699" i="2"/>
  <c r="N1699" i="2"/>
  <c r="D1699" i="2"/>
  <c r="B1699" i="2"/>
  <c r="A1699" i="2"/>
  <c r="Q1698" i="2"/>
  <c r="N1698" i="2"/>
  <c r="D1698" i="2"/>
  <c r="B1698" i="2"/>
  <c r="A1698" i="2"/>
  <c r="P1698" i="2" s="1"/>
  <c r="Q1697" i="2"/>
  <c r="N1697" i="2"/>
  <c r="D1697" i="2"/>
  <c r="B1697" i="2"/>
  <c r="A1697" i="2"/>
  <c r="O1697" i="2" s="1"/>
  <c r="Q1696" i="2"/>
  <c r="N1696" i="2"/>
  <c r="D1696" i="2"/>
  <c r="B1696" i="2"/>
  <c r="A1696" i="2"/>
  <c r="Q1695" i="2"/>
  <c r="N1695" i="2"/>
  <c r="D1695" i="2"/>
  <c r="B1695" i="2"/>
  <c r="A1695" i="2"/>
  <c r="O1695" i="2" s="1"/>
  <c r="Q1694" i="2"/>
  <c r="N1694" i="2"/>
  <c r="D1694" i="2"/>
  <c r="B1694" i="2"/>
  <c r="A1694" i="2"/>
  <c r="P1694" i="2" s="1"/>
  <c r="Q1693" i="2"/>
  <c r="N1693" i="2"/>
  <c r="D1693" i="2"/>
  <c r="B1693" i="2"/>
  <c r="A1693" i="2"/>
  <c r="Q1692" i="2"/>
  <c r="N1692" i="2"/>
  <c r="D1692" i="2"/>
  <c r="B1692" i="2"/>
  <c r="A1692" i="2"/>
  <c r="P1692" i="2" s="1"/>
  <c r="Q1691" i="2"/>
  <c r="N1691" i="2"/>
  <c r="D1691" i="2"/>
  <c r="B1691" i="2"/>
  <c r="A1691" i="2"/>
  <c r="Q1690" i="2"/>
  <c r="N1690" i="2"/>
  <c r="D1690" i="2"/>
  <c r="B1690" i="2"/>
  <c r="A1690" i="2"/>
  <c r="Q1689" i="2"/>
  <c r="N1689" i="2"/>
  <c r="D1689" i="2"/>
  <c r="B1689" i="2"/>
  <c r="A1689" i="2"/>
  <c r="O1689" i="2" s="1"/>
  <c r="Q1688" i="2"/>
  <c r="N1688" i="2"/>
  <c r="D1688" i="2"/>
  <c r="B1688" i="2"/>
  <c r="A1688" i="2"/>
  <c r="P1688" i="2" s="1"/>
  <c r="Q1687" i="2"/>
  <c r="N1687" i="2"/>
  <c r="D1687" i="2"/>
  <c r="B1687" i="2"/>
  <c r="A1687" i="2"/>
  <c r="Q1686" i="2"/>
  <c r="N1686" i="2"/>
  <c r="D1686" i="2"/>
  <c r="B1686" i="2"/>
  <c r="A1686" i="2"/>
  <c r="O1686" i="2" s="1"/>
  <c r="Q1685" i="2"/>
  <c r="N1685" i="2"/>
  <c r="D1685" i="2"/>
  <c r="B1685" i="2"/>
  <c r="A1685" i="2"/>
  <c r="O1685" i="2" s="1"/>
  <c r="Q1684" i="2"/>
  <c r="N1684" i="2"/>
  <c r="D1684" i="2"/>
  <c r="B1684" i="2"/>
  <c r="A1684" i="2"/>
  <c r="O1684" i="2" s="1"/>
  <c r="Q1683" i="2"/>
  <c r="N1683" i="2"/>
  <c r="D1683" i="2"/>
  <c r="B1683" i="2"/>
  <c r="A1683" i="2"/>
  <c r="Q1682" i="2"/>
  <c r="N1682" i="2"/>
  <c r="D1682" i="2"/>
  <c r="B1682" i="2"/>
  <c r="A1682" i="2"/>
  <c r="Q1681" i="2"/>
  <c r="N1681" i="2"/>
  <c r="D1681" i="2"/>
  <c r="B1681" i="2"/>
  <c r="A1681" i="2"/>
  <c r="P1681" i="2" s="1"/>
  <c r="Q1680" i="2"/>
  <c r="N1680" i="2"/>
  <c r="D1680" i="2"/>
  <c r="B1680" i="2"/>
  <c r="A1680" i="2"/>
  <c r="P1680" i="2" s="1"/>
  <c r="Q1679" i="2"/>
  <c r="N1679" i="2"/>
  <c r="D1679" i="2"/>
  <c r="B1679" i="2"/>
  <c r="A1679" i="2"/>
  <c r="O1679" i="2" s="1"/>
  <c r="Q1678" i="2"/>
  <c r="N1678" i="2"/>
  <c r="D1678" i="2"/>
  <c r="B1678" i="2"/>
  <c r="A1678" i="2"/>
  <c r="P1678" i="2" s="1"/>
  <c r="Q1677" i="2"/>
  <c r="N1677" i="2"/>
  <c r="D1677" i="2"/>
  <c r="B1677" i="2"/>
  <c r="A1677" i="2"/>
  <c r="P1677" i="2" s="1"/>
  <c r="Q1676" i="2"/>
  <c r="N1676" i="2"/>
  <c r="D1676" i="2"/>
  <c r="B1676" i="2"/>
  <c r="A1676" i="2"/>
  <c r="Q1675" i="2"/>
  <c r="N1675" i="2"/>
  <c r="D1675" i="2"/>
  <c r="B1675" i="2"/>
  <c r="A1675" i="2"/>
  <c r="O1675" i="2" s="1"/>
  <c r="Q1674" i="2"/>
  <c r="N1674" i="2"/>
  <c r="D1674" i="2"/>
  <c r="B1674" i="2"/>
  <c r="A1674" i="2"/>
  <c r="P1674" i="2" s="1"/>
  <c r="Q1673" i="2"/>
  <c r="N1673" i="2"/>
  <c r="D1673" i="2"/>
  <c r="B1673" i="2"/>
  <c r="A1673" i="2"/>
  <c r="Q1672" i="2"/>
  <c r="N1672" i="2"/>
  <c r="D1672" i="2"/>
  <c r="B1672" i="2"/>
  <c r="A1672" i="2"/>
  <c r="Q1671" i="2"/>
  <c r="N1671" i="2"/>
  <c r="D1671" i="2"/>
  <c r="B1671" i="2"/>
  <c r="A1671" i="2"/>
  <c r="Q1670" i="2"/>
  <c r="N1670" i="2"/>
  <c r="D1670" i="2"/>
  <c r="B1670" i="2"/>
  <c r="A1670" i="2"/>
  <c r="P1670" i="2" s="1"/>
  <c r="Q1669" i="2"/>
  <c r="N1669" i="2"/>
  <c r="D1669" i="2"/>
  <c r="B1669" i="2"/>
  <c r="A1669" i="2"/>
  <c r="O1669" i="2" s="1"/>
  <c r="Q1668" i="2"/>
  <c r="N1668" i="2"/>
  <c r="D1668" i="2"/>
  <c r="B1668" i="2"/>
  <c r="A1668" i="2"/>
  <c r="Q1667" i="2"/>
  <c r="N1667" i="2"/>
  <c r="D1667" i="2"/>
  <c r="B1667" i="2"/>
  <c r="A1667" i="2"/>
  <c r="P1667" i="2" s="1"/>
  <c r="Q1666" i="2"/>
  <c r="N1666" i="2"/>
  <c r="D1666" i="2"/>
  <c r="B1666" i="2"/>
  <c r="A1666" i="2"/>
  <c r="P1666" i="2" s="1"/>
  <c r="Q1665" i="2"/>
  <c r="N1665" i="2"/>
  <c r="D1665" i="2"/>
  <c r="B1665" i="2"/>
  <c r="A1665" i="2"/>
  <c r="O1665" i="2" s="1"/>
  <c r="Q1664" i="2"/>
  <c r="N1664" i="2"/>
  <c r="D1664" i="2"/>
  <c r="B1664" i="2"/>
  <c r="A1664" i="2"/>
  <c r="O1664" i="2" s="1"/>
  <c r="Q1663" i="2"/>
  <c r="N1663" i="2"/>
  <c r="D1663" i="2"/>
  <c r="B1663" i="2"/>
  <c r="A1663" i="2"/>
  <c r="P1663" i="2" s="1"/>
  <c r="Q1662" i="2"/>
  <c r="N1662" i="2"/>
  <c r="D1662" i="2"/>
  <c r="B1662" i="2"/>
  <c r="A1662" i="2"/>
  <c r="O1662" i="2" s="1"/>
  <c r="Q1661" i="2"/>
  <c r="N1661" i="2"/>
  <c r="D1661" i="2"/>
  <c r="B1661" i="2"/>
  <c r="A1661" i="2"/>
  <c r="Q1660" i="2"/>
  <c r="N1660" i="2"/>
  <c r="D1660" i="2"/>
  <c r="B1660" i="2"/>
  <c r="A1660" i="2"/>
  <c r="P1660" i="2" s="1"/>
  <c r="Q1659" i="2"/>
  <c r="N1659" i="2"/>
  <c r="D1659" i="2"/>
  <c r="B1659" i="2"/>
  <c r="A1659" i="2"/>
  <c r="O1659" i="2" s="1"/>
  <c r="Q1658" i="2"/>
  <c r="N1658" i="2"/>
  <c r="D1658" i="2"/>
  <c r="B1658" i="2"/>
  <c r="A1658" i="2"/>
  <c r="Q1657" i="2"/>
  <c r="N1657" i="2"/>
  <c r="D1657" i="2"/>
  <c r="B1657" i="2"/>
  <c r="A1657" i="2"/>
  <c r="O1657" i="2" s="1"/>
  <c r="Q1656" i="2"/>
  <c r="N1656" i="2"/>
  <c r="D1656" i="2"/>
  <c r="B1656" i="2"/>
  <c r="A1656" i="2"/>
  <c r="O1656" i="2" s="1"/>
  <c r="Q1655" i="2"/>
  <c r="N1655" i="2"/>
  <c r="D1655" i="2"/>
  <c r="B1655" i="2"/>
  <c r="A1655" i="2"/>
  <c r="P1655" i="2" s="1"/>
  <c r="Q1654" i="2"/>
  <c r="N1654" i="2"/>
  <c r="D1654" i="2"/>
  <c r="B1654" i="2"/>
  <c r="A1654" i="2"/>
  <c r="P1654" i="2" s="1"/>
  <c r="Q1653" i="2"/>
  <c r="N1653" i="2"/>
  <c r="D1653" i="2"/>
  <c r="B1653" i="2"/>
  <c r="A1653" i="2"/>
  <c r="P1653" i="2" s="1"/>
  <c r="Q1652" i="2"/>
  <c r="N1652" i="2"/>
  <c r="D1652" i="2"/>
  <c r="B1652" i="2"/>
  <c r="A1652" i="2"/>
  <c r="Q1651" i="2"/>
  <c r="N1651" i="2"/>
  <c r="D1651" i="2"/>
  <c r="B1651" i="2"/>
  <c r="A1651" i="2"/>
  <c r="Q1650" i="2"/>
  <c r="N1650" i="2"/>
  <c r="D1650" i="2"/>
  <c r="B1650" i="2"/>
  <c r="A1650" i="2"/>
  <c r="O1650" i="2" s="1"/>
  <c r="Q1649" i="2"/>
  <c r="N1649" i="2"/>
  <c r="D1649" i="2"/>
  <c r="B1649" i="2"/>
  <c r="A1649" i="2"/>
  <c r="Q1648" i="2"/>
  <c r="N1648" i="2"/>
  <c r="D1648" i="2"/>
  <c r="B1648" i="2"/>
  <c r="A1648" i="2"/>
  <c r="O1648" i="2" s="1"/>
  <c r="Q1647" i="2"/>
  <c r="N1647" i="2"/>
  <c r="D1647" i="2"/>
  <c r="B1647" i="2"/>
  <c r="A1647" i="2"/>
  <c r="Q1646" i="2"/>
  <c r="N1646" i="2"/>
  <c r="D1646" i="2"/>
  <c r="B1646" i="2"/>
  <c r="A1646" i="2"/>
  <c r="P1646" i="2" s="1"/>
  <c r="Q1645" i="2"/>
  <c r="N1645" i="2"/>
  <c r="D1645" i="2"/>
  <c r="B1645" i="2"/>
  <c r="A1645" i="2"/>
  <c r="O1645" i="2" s="1"/>
  <c r="Q1644" i="2"/>
  <c r="N1644" i="2"/>
  <c r="D1644" i="2"/>
  <c r="B1644" i="2"/>
  <c r="A1644" i="2"/>
  <c r="Q1643" i="2"/>
  <c r="N1643" i="2"/>
  <c r="D1643" i="2"/>
  <c r="B1643" i="2"/>
  <c r="A1643" i="2"/>
  <c r="P1643" i="2" s="1"/>
  <c r="Q1642" i="2"/>
  <c r="N1642" i="2"/>
  <c r="D1642" i="2"/>
  <c r="B1642" i="2"/>
  <c r="A1642" i="2"/>
  <c r="Q1641" i="2"/>
  <c r="N1641" i="2"/>
  <c r="D1641" i="2"/>
  <c r="B1641" i="2"/>
  <c r="A1641" i="2"/>
  <c r="Q1640" i="2"/>
  <c r="N1640" i="2"/>
  <c r="D1640" i="2"/>
  <c r="B1640" i="2"/>
  <c r="A1640" i="2"/>
  <c r="P1640" i="2" s="1"/>
  <c r="Q1639" i="2"/>
  <c r="N1639" i="2"/>
  <c r="D1639" i="2"/>
  <c r="B1639" i="2"/>
  <c r="A1639" i="2"/>
  <c r="O1639" i="2" s="1"/>
  <c r="Q1638" i="2"/>
  <c r="N1638" i="2"/>
  <c r="D1638" i="2"/>
  <c r="B1638" i="2"/>
  <c r="A1638" i="2"/>
  <c r="Q1637" i="2"/>
  <c r="N1637" i="2"/>
  <c r="D1637" i="2"/>
  <c r="B1637" i="2"/>
  <c r="A1637" i="2"/>
  <c r="O1637" i="2" s="1"/>
  <c r="Q1636" i="2"/>
  <c r="N1636" i="2"/>
  <c r="D1636" i="2"/>
  <c r="B1636" i="2"/>
  <c r="A1636" i="2"/>
  <c r="P1636" i="2" s="1"/>
  <c r="Q1635" i="2"/>
  <c r="N1635" i="2"/>
  <c r="D1635" i="2"/>
  <c r="B1635" i="2"/>
  <c r="A1635" i="2"/>
  <c r="Q1634" i="2"/>
  <c r="N1634" i="2"/>
  <c r="D1634" i="2"/>
  <c r="B1634" i="2"/>
  <c r="A1634" i="2"/>
  <c r="P1634" i="2" s="1"/>
  <c r="Q1633" i="2"/>
  <c r="N1633" i="2"/>
  <c r="D1633" i="2"/>
  <c r="B1633" i="2"/>
  <c r="A1633" i="2"/>
  <c r="Q1632" i="2"/>
  <c r="N1632" i="2"/>
  <c r="D1632" i="2"/>
  <c r="B1632" i="2"/>
  <c r="A1632" i="2"/>
  <c r="Q1631" i="2"/>
  <c r="N1631" i="2"/>
  <c r="D1631" i="2"/>
  <c r="B1631" i="2"/>
  <c r="A1631" i="2"/>
  <c r="Q1630" i="2"/>
  <c r="N1630" i="2"/>
  <c r="D1630" i="2"/>
  <c r="B1630" i="2"/>
  <c r="A1630" i="2"/>
  <c r="Q1629" i="2"/>
  <c r="N1629" i="2"/>
  <c r="D1629" i="2"/>
  <c r="B1629" i="2"/>
  <c r="A1629" i="2"/>
  <c r="Q1628" i="2"/>
  <c r="N1628" i="2"/>
  <c r="D1628" i="2"/>
  <c r="B1628" i="2"/>
  <c r="A1628" i="2"/>
  <c r="O1628" i="2" s="1"/>
  <c r="Q1627" i="2"/>
  <c r="N1627" i="2"/>
  <c r="D1627" i="2"/>
  <c r="B1627" i="2"/>
  <c r="A1627" i="2"/>
  <c r="O1627" i="2" s="1"/>
  <c r="Q1626" i="2"/>
  <c r="N1626" i="2"/>
  <c r="D1626" i="2"/>
  <c r="B1626" i="2"/>
  <c r="A1626" i="2"/>
  <c r="O1626" i="2" s="1"/>
  <c r="Q1625" i="2"/>
  <c r="N1625" i="2"/>
  <c r="D1625" i="2"/>
  <c r="B1625" i="2"/>
  <c r="A1625" i="2"/>
  <c r="O1625" i="2" s="1"/>
  <c r="Q1624" i="2"/>
  <c r="N1624" i="2"/>
  <c r="D1624" i="2"/>
  <c r="B1624" i="2"/>
  <c r="A1624" i="2"/>
  <c r="O1624" i="2" s="1"/>
  <c r="Q1623" i="2"/>
  <c r="N1623" i="2"/>
  <c r="D1623" i="2"/>
  <c r="B1623" i="2"/>
  <c r="A1623" i="2"/>
  <c r="O1623" i="2" s="1"/>
  <c r="Q1622" i="2"/>
  <c r="N1622" i="2"/>
  <c r="D1622" i="2"/>
  <c r="B1622" i="2"/>
  <c r="A1622" i="2"/>
  <c r="Q1621" i="2"/>
  <c r="N1621" i="2"/>
  <c r="D1621" i="2"/>
  <c r="B1621" i="2"/>
  <c r="A1621" i="2"/>
  <c r="P1621" i="2" s="1"/>
  <c r="Q1620" i="2"/>
  <c r="N1620" i="2"/>
  <c r="D1620" i="2"/>
  <c r="B1620" i="2"/>
  <c r="A1620" i="2"/>
  <c r="Q1619" i="2"/>
  <c r="N1619" i="2"/>
  <c r="D1619" i="2"/>
  <c r="B1619" i="2"/>
  <c r="A1619" i="2"/>
  <c r="Q1618" i="2"/>
  <c r="N1618" i="2"/>
  <c r="D1618" i="2"/>
  <c r="B1618" i="2"/>
  <c r="A1618" i="2"/>
  <c r="O1618" i="2" s="1"/>
  <c r="Q1617" i="2"/>
  <c r="N1617" i="2"/>
  <c r="D1617" i="2"/>
  <c r="B1617" i="2"/>
  <c r="A1617" i="2"/>
  <c r="Q1616" i="2"/>
  <c r="N1616" i="2"/>
  <c r="D1616" i="2"/>
  <c r="B1616" i="2"/>
  <c r="A1616" i="2"/>
  <c r="P1616" i="2" s="1"/>
  <c r="Q1615" i="2"/>
  <c r="N1615" i="2"/>
  <c r="D1615" i="2"/>
  <c r="B1615" i="2"/>
  <c r="A1615" i="2"/>
  <c r="Q1614" i="2"/>
  <c r="N1614" i="2"/>
  <c r="D1614" i="2"/>
  <c r="B1614" i="2"/>
  <c r="A1614" i="2"/>
  <c r="Q1613" i="2"/>
  <c r="N1613" i="2"/>
  <c r="D1613" i="2"/>
  <c r="B1613" i="2"/>
  <c r="A1613" i="2"/>
  <c r="O1613" i="2" s="1"/>
  <c r="Q1612" i="2"/>
  <c r="N1612" i="2"/>
  <c r="D1612" i="2"/>
  <c r="B1612" i="2"/>
  <c r="A1612" i="2"/>
  <c r="P1612" i="2" s="1"/>
  <c r="Q1611" i="2"/>
  <c r="N1611" i="2"/>
  <c r="D1611" i="2"/>
  <c r="B1611" i="2"/>
  <c r="A1611" i="2"/>
  <c r="O1611" i="2" s="1"/>
  <c r="Q1610" i="2"/>
  <c r="N1610" i="2"/>
  <c r="D1610" i="2"/>
  <c r="B1610" i="2"/>
  <c r="A1610" i="2"/>
  <c r="Q1609" i="2"/>
  <c r="N1609" i="2"/>
  <c r="D1609" i="2"/>
  <c r="B1609" i="2"/>
  <c r="A1609" i="2"/>
  <c r="P1609" i="2" s="1"/>
  <c r="Q1608" i="2"/>
  <c r="N1608" i="2"/>
  <c r="D1608" i="2"/>
  <c r="B1608" i="2"/>
  <c r="A1608" i="2"/>
  <c r="P1608" i="2" s="1"/>
  <c r="Q1607" i="2"/>
  <c r="N1607" i="2"/>
  <c r="D1607" i="2"/>
  <c r="B1607" i="2"/>
  <c r="A1607" i="2"/>
  <c r="O1607" i="2" s="1"/>
  <c r="Q1606" i="2"/>
  <c r="N1606" i="2"/>
  <c r="D1606" i="2"/>
  <c r="B1606" i="2"/>
  <c r="A1606" i="2"/>
  <c r="O1606" i="2" s="1"/>
  <c r="Q1605" i="2"/>
  <c r="N1605" i="2"/>
  <c r="D1605" i="2"/>
  <c r="B1605" i="2"/>
  <c r="A1605" i="2"/>
  <c r="O1605" i="2" s="1"/>
  <c r="Q1604" i="2"/>
  <c r="N1604" i="2"/>
  <c r="D1604" i="2"/>
  <c r="B1604" i="2"/>
  <c r="A1604" i="2"/>
  <c r="O1604" i="2" s="1"/>
  <c r="Q1603" i="2"/>
  <c r="N1603" i="2"/>
  <c r="D1603" i="2"/>
  <c r="B1603" i="2"/>
  <c r="A1603" i="2"/>
  <c r="O1603" i="2" s="1"/>
  <c r="Q1602" i="2"/>
  <c r="N1602" i="2"/>
  <c r="D1602" i="2"/>
  <c r="B1602" i="2"/>
  <c r="A1602" i="2"/>
  <c r="O1602" i="2" s="1"/>
  <c r="Q1601" i="2"/>
  <c r="N1601" i="2"/>
  <c r="D1601" i="2"/>
  <c r="B1601" i="2"/>
  <c r="A1601" i="2"/>
  <c r="P1601" i="2" s="1"/>
  <c r="Q1600" i="2"/>
  <c r="N1600" i="2"/>
  <c r="D1600" i="2"/>
  <c r="B1600" i="2"/>
  <c r="A1600" i="2"/>
  <c r="O1600" i="2" s="1"/>
  <c r="Q1599" i="2"/>
  <c r="N1599" i="2"/>
  <c r="D1599" i="2"/>
  <c r="B1599" i="2"/>
  <c r="A1599" i="2"/>
  <c r="O1599" i="2" s="1"/>
  <c r="Q1598" i="2"/>
  <c r="N1598" i="2"/>
  <c r="D1598" i="2"/>
  <c r="B1598" i="2"/>
  <c r="A1598" i="2"/>
  <c r="P1598" i="2" s="1"/>
  <c r="Q1597" i="2"/>
  <c r="N1597" i="2"/>
  <c r="D1597" i="2"/>
  <c r="B1597" i="2"/>
  <c r="A1597" i="2"/>
  <c r="P1597" i="2" s="1"/>
  <c r="Q1596" i="2"/>
  <c r="N1596" i="2"/>
  <c r="D1596" i="2"/>
  <c r="B1596" i="2"/>
  <c r="A1596" i="2"/>
  <c r="O1596" i="2" s="1"/>
  <c r="Q1595" i="2"/>
  <c r="N1595" i="2"/>
  <c r="D1595" i="2"/>
  <c r="B1595" i="2"/>
  <c r="A1595" i="2"/>
  <c r="O1595" i="2" s="1"/>
  <c r="Q1594" i="2"/>
  <c r="N1594" i="2"/>
  <c r="D1594" i="2"/>
  <c r="B1594" i="2"/>
  <c r="A1594" i="2"/>
  <c r="O1594" i="2" s="1"/>
  <c r="Q1593" i="2"/>
  <c r="N1593" i="2"/>
  <c r="D1593" i="2"/>
  <c r="B1593" i="2"/>
  <c r="A1593" i="2"/>
  <c r="Q1592" i="2"/>
  <c r="N1592" i="2"/>
  <c r="D1592" i="2"/>
  <c r="B1592" i="2"/>
  <c r="A1592" i="2"/>
  <c r="Q1591" i="2"/>
  <c r="N1591" i="2"/>
  <c r="D1591" i="2"/>
  <c r="B1591" i="2"/>
  <c r="A1591" i="2"/>
  <c r="O1591" i="2" s="1"/>
  <c r="Q1590" i="2"/>
  <c r="N1590" i="2"/>
  <c r="D1590" i="2"/>
  <c r="B1590" i="2"/>
  <c r="A1590" i="2"/>
  <c r="P1590" i="2" s="1"/>
  <c r="Q1589" i="2"/>
  <c r="N1589" i="2"/>
  <c r="D1589" i="2"/>
  <c r="B1589" i="2"/>
  <c r="A1589" i="2"/>
  <c r="Q1588" i="2"/>
  <c r="N1588" i="2"/>
  <c r="D1588" i="2"/>
  <c r="B1588" i="2"/>
  <c r="A1588" i="2"/>
  <c r="P1588" i="2" s="1"/>
  <c r="Q1587" i="2"/>
  <c r="N1587" i="2"/>
  <c r="D1587" i="2"/>
  <c r="B1587" i="2"/>
  <c r="A1587" i="2"/>
  <c r="O1587" i="2" s="1"/>
  <c r="Q1586" i="2"/>
  <c r="N1586" i="2"/>
  <c r="D1586" i="2"/>
  <c r="B1586" i="2"/>
  <c r="A1586" i="2"/>
  <c r="P1586" i="2" s="1"/>
  <c r="Q1585" i="2"/>
  <c r="N1585" i="2"/>
  <c r="D1585" i="2"/>
  <c r="B1585" i="2"/>
  <c r="A1585" i="2"/>
  <c r="Q1584" i="2"/>
  <c r="N1584" i="2"/>
  <c r="D1584" i="2"/>
  <c r="B1584" i="2"/>
  <c r="A1584" i="2"/>
  <c r="Q1583" i="2"/>
  <c r="N1583" i="2"/>
  <c r="D1583" i="2"/>
  <c r="B1583" i="2"/>
  <c r="A1583" i="2"/>
  <c r="Q1582" i="2"/>
  <c r="N1582" i="2"/>
  <c r="D1582" i="2"/>
  <c r="B1582" i="2"/>
  <c r="A1582" i="2"/>
  <c r="Q1581" i="2"/>
  <c r="N1581" i="2"/>
  <c r="D1581" i="2"/>
  <c r="B1581" i="2"/>
  <c r="A1581" i="2"/>
  <c r="Q1580" i="2"/>
  <c r="N1580" i="2"/>
  <c r="D1580" i="2"/>
  <c r="B1580" i="2"/>
  <c r="A1580" i="2"/>
  <c r="Q1579" i="2"/>
  <c r="N1579" i="2"/>
  <c r="D1579" i="2"/>
  <c r="B1579" i="2"/>
  <c r="A1579" i="2"/>
  <c r="Q1578" i="2"/>
  <c r="N1578" i="2"/>
  <c r="D1578" i="2"/>
  <c r="B1578" i="2"/>
  <c r="A1578" i="2"/>
  <c r="O1578" i="2" s="1"/>
  <c r="Q1577" i="2"/>
  <c r="N1577" i="2"/>
  <c r="D1577" i="2"/>
  <c r="B1577" i="2"/>
  <c r="A1577" i="2"/>
  <c r="O1577" i="2" s="1"/>
  <c r="Q1576" i="2"/>
  <c r="N1576" i="2"/>
  <c r="D1576" i="2"/>
  <c r="B1576" i="2"/>
  <c r="A1576" i="2"/>
  <c r="P1576" i="2" s="1"/>
  <c r="Q1575" i="2"/>
  <c r="N1575" i="2"/>
  <c r="D1575" i="2"/>
  <c r="B1575" i="2"/>
  <c r="A1575" i="2"/>
  <c r="P1575" i="2" s="1"/>
  <c r="Q1574" i="2"/>
  <c r="N1574" i="2"/>
  <c r="D1574" i="2"/>
  <c r="B1574" i="2"/>
  <c r="A1574" i="2"/>
  <c r="O1574" i="2" s="1"/>
  <c r="Q1573" i="2"/>
  <c r="N1573" i="2"/>
  <c r="D1573" i="2"/>
  <c r="B1573" i="2"/>
  <c r="A1573" i="2"/>
  <c r="P1573" i="2" s="1"/>
  <c r="Q1572" i="2"/>
  <c r="N1572" i="2"/>
  <c r="D1572" i="2"/>
  <c r="B1572" i="2"/>
  <c r="A1572" i="2"/>
  <c r="P1572" i="2" s="1"/>
  <c r="Q1571" i="2"/>
  <c r="N1571" i="2"/>
  <c r="D1571" i="2"/>
  <c r="B1571" i="2"/>
  <c r="A1571" i="2"/>
  <c r="P1571" i="2" s="1"/>
  <c r="Q1570" i="2"/>
  <c r="N1570" i="2"/>
  <c r="D1570" i="2"/>
  <c r="B1570" i="2"/>
  <c r="A1570" i="2"/>
  <c r="P1570" i="2" s="1"/>
  <c r="Q1569" i="2"/>
  <c r="N1569" i="2"/>
  <c r="D1569" i="2"/>
  <c r="B1569" i="2"/>
  <c r="A1569" i="2"/>
  <c r="O1569" i="2" s="1"/>
  <c r="Q1568" i="2"/>
  <c r="N1568" i="2"/>
  <c r="D1568" i="2"/>
  <c r="B1568" i="2"/>
  <c r="A1568" i="2"/>
  <c r="O1568" i="2" s="1"/>
  <c r="Q1567" i="2"/>
  <c r="N1567" i="2"/>
  <c r="D1567" i="2"/>
  <c r="B1567" i="2"/>
  <c r="A1567" i="2"/>
  <c r="P1567" i="2" s="1"/>
  <c r="Q1566" i="2"/>
  <c r="N1566" i="2"/>
  <c r="D1566" i="2"/>
  <c r="B1566" i="2"/>
  <c r="A1566" i="2"/>
  <c r="Q1565" i="2"/>
  <c r="N1565" i="2"/>
  <c r="D1565" i="2"/>
  <c r="B1565" i="2"/>
  <c r="A1565" i="2"/>
  <c r="P1565" i="2" s="1"/>
  <c r="Q1564" i="2"/>
  <c r="N1564" i="2"/>
  <c r="D1564" i="2"/>
  <c r="B1564" i="2"/>
  <c r="A1564" i="2"/>
  <c r="O1564" i="2" s="1"/>
  <c r="Q1563" i="2"/>
  <c r="N1563" i="2"/>
  <c r="D1563" i="2"/>
  <c r="B1563" i="2"/>
  <c r="A1563" i="2"/>
  <c r="Q1562" i="2"/>
  <c r="N1562" i="2"/>
  <c r="D1562" i="2"/>
  <c r="B1562" i="2"/>
  <c r="A1562" i="2"/>
  <c r="Q1561" i="2"/>
  <c r="N1561" i="2"/>
  <c r="D1561" i="2"/>
  <c r="B1561" i="2"/>
  <c r="A1561" i="2"/>
  <c r="P1561" i="2" s="1"/>
  <c r="Q1560" i="2"/>
  <c r="N1560" i="2"/>
  <c r="D1560" i="2"/>
  <c r="B1560" i="2"/>
  <c r="A1560" i="2"/>
  <c r="P1560" i="2" s="1"/>
  <c r="Q1559" i="2"/>
  <c r="N1559" i="2"/>
  <c r="D1559" i="2"/>
  <c r="B1559" i="2"/>
  <c r="A1559" i="2"/>
  <c r="Q1558" i="2"/>
  <c r="N1558" i="2"/>
  <c r="D1558" i="2"/>
  <c r="B1558" i="2"/>
  <c r="A1558" i="2"/>
  <c r="O1558" i="2" s="1"/>
  <c r="Q1557" i="2"/>
  <c r="N1557" i="2"/>
  <c r="D1557" i="2"/>
  <c r="B1557" i="2"/>
  <c r="A1557" i="2"/>
  <c r="Q1556" i="2"/>
  <c r="N1556" i="2"/>
  <c r="D1556" i="2"/>
  <c r="B1556" i="2"/>
  <c r="A1556" i="2"/>
  <c r="Q1555" i="2"/>
  <c r="N1555" i="2"/>
  <c r="D1555" i="2"/>
  <c r="B1555" i="2"/>
  <c r="A1555" i="2"/>
  <c r="P1555" i="2" s="1"/>
  <c r="Q1554" i="2"/>
  <c r="N1554" i="2"/>
  <c r="D1554" i="2"/>
  <c r="B1554" i="2"/>
  <c r="A1554" i="2"/>
  <c r="P1554" i="2" s="1"/>
  <c r="Q1553" i="2"/>
  <c r="N1553" i="2"/>
  <c r="D1553" i="2"/>
  <c r="B1553" i="2"/>
  <c r="A1553" i="2"/>
  <c r="O1553" i="2" s="1"/>
  <c r="Q1552" i="2"/>
  <c r="N1552" i="2"/>
  <c r="D1552" i="2"/>
  <c r="B1552" i="2"/>
  <c r="A1552" i="2"/>
  <c r="Q1551" i="2"/>
  <c r="N1551" i="2"/>
  <c r="D1551" i="2"/>
  <c r="B1551" i="2"/>
  <c r="A1551" i="2"/>
  <c r="Q1550" i="2"/>
  <c r="N1550" i="2"/>
  <c r="D1550" i="2"/>
  <c r="B1550" i="2"/>
  <c r="A1550" i="2"/>
  <c r="Q1549" i="2"/>
  <c r="N1549" i="2"/>
  <c r="D1549" i="2"/>
  <c r="B1549" i="2"/>
  <c r="A1549" i="2"/>
  <c r="Q1548" i="2"/>
  <c r="N1548" i="2"/>
  <c r="D1548" i="2"/>
  <c r="B1548" i="2"/>
  <c r="A1548" i="2"/>
  <c r="Q1547" i="2"/>
  <c r="N1547" i="2"/>
  <c r="D1547" i="2"/>
  <c r="B1547" i="2"/>
  <c r="A1547" i="2"/>
  <c r="O1547" i="2" s="1"/>
  <c r="Q1546" i="2"/>
  <c r="N1546" i="2"/>
  <c r="D1546" i="2"/>
  <c r="B1546" i="2"/>
  <c r="A1546" i="2"/>
  <c r="Q1545" i="2"/>
  <c r="N1545" i="2"/>
  <c r="D1545" i="2"/>
  <c r="B1545" i="2"/>
  <c r="A1545" i="2"/>
  <c r="Q1544" i="2"/>
  <c r="N1544" i="2"/>
  <c r="D1544" i="2"/>
  <c r="B1544" i="2"/>
  <c r="A1544" i="2"/>
  <c r="O1544" i="2" s="1"/>
  <c r="Q1543" i="2"/>
  <c r="N1543" i="2"/>
  <c r="D1543" i="2"/>
  <c r="B1543" i="2"/>
  <c r="A1543" i="2"/>
  <c r="P1543" i="2" s="1"/>
  <c r="Q1542" i="2"/>
  <c r="N1542" i="2"/>
  <c r="D1542" i="2"/>
  <c r="B1542" i="2"/>
  <c r="A1542" i="2"/>
  <c r="O1542" i="2" s="1"/>
  <c r="Q1541" i="2"/>
  <c r="N1541" i="2"/>
  <c r="D1541" i="2"/>
  <c r="B1541" i="2"/>
  <c r="A1541" i="2"/>
  <c r="O1541" i="2" s="1"/>
  <c r="Q1540" i="2"/>
  <c r="N1540" i="2"/>
  <c r="D1540" i="2"/>
  <c r="B1540" i="2"/>
  <c r="A1540" i="2"/>
  <c r="Q1539" i="2"/>
  <c r="N1539" i="2"/>
  <c r="D1539" i="2"/>
  <c r="B1539" i="2"/>
  <c r="A1539" i="2"/>
  <c r="P1539" i="2" s="1"/>
  <c r="Q1538" i="2"/>
  <c r="N1538" i="2"/>
  <c r="D1538" i="2"/>
  <c r="B1538" i="2"/>
  <c r="A1538" i="2"/>
  <c r="O1538" i="2" s="1"/>
  <c r="Q1537" i="2"/>
  <c r="N1537" i="2"/>
  <c r="D1537" i="2"/>
  <c r="B1537" i="2"/>
  <c r="A1537" i="2"/>
  <c r="P1537" i="2" s="1"/>
  <c r="Q1536" i="2"/>
  <c r="N1536" i="2"/>
  <c r="D1536" i="2"/>
  <c r="B1536" i="2"/>
  <c r="A1536" i="2"/>
  <c r="O1536" i="2" s="1"/>
  <c r="Q1535" i="2"/>
  <c r="N1535" i="2"/>
  <c r="D1535" i="2"/>
  <c r="B1535" i="2"/>
  <c r="A1535" i="2"/>
  <c r="P1535" i="2" s="1"/>
  <c r="Q1534" i="2"/>
  <c r="N1534" i="2"/>
  <c r="D1534" i="2"/>
  <c r="B1534" i="2"/>
  <c r="A1534" i="2"/>
  <c r="P1534" i="2" s="1"/>
  <c r="Q1533" i="2"/>
  <c r="N1533" i="2"/>
  <c r="D1533" i="2"/>
  <c r="B1533" i="2"/>
  <c r="A1533" i="2"/>
  <c r="P1533" i="2" s="1"/>
  <c r="Q1532" i="2"/>
  <c r="N1532" i="2"/>
  <c r="D1532" i="2"/>
  <c r="B1532" i="2"/>
  <c r="A1532" i="2"/>
  <c r="P1532" i="2" s="1"/>
  <c r="Q1531" i="2"/>
  <c r="N1531" i="2"/>
  <c r="D1531" i="2"/>
  <c r="B1531" i="2"/>
  <c r="A1531" i="2"/>
  <c r="P1531" i="2" s="1"/>
  <c r="Q1530" i="2"/>
  <c r="N1530" i="2"/>
  <c r="D1530" i="2"/>
  <c r="B1530" i="2"/>
  <c r="A1530" i="2"/>
  <c r="P1530" i="2" s="1"/>
  <c r="Q1529" i="2"/>
  <c r="N1529" i="2"/>
  <c r="D1529" i="2"/>
  <c r="B1529" i="2"/>
  <c r="A1529" i="2"/>
  <c r="O1529" i="2" s="1"/>
  <c r="Q1528" i="2"/>
  <c r="N1528" i="2"/>
  <c r="D1528" i="2"/>
  <c r="B1528" i="2"/>
  <c r="A1528" i="2"/>
  <c r="O1528" i="2" s="1"/>
  <c r="Q1527" i="2"/>
  <c r="N1527" i="2"/>
  <c r="D1527" i="2"/>
  <c r="B1527" i="2"/>
  <c r="A1527" i="2"/>
  <c r="P1527" i="2" s="1"/>
  <c r="Q1526" i="2"/>
  <c r="N1526" i="2"/>
  <c r="D1526" i="2"/>
  <c r="B1526" i="2"/>
  <c r="A1526" i="2"/>
  <c r="Q1525" i="2"/>
  <c r="N1525" i="2"/>
  <c r="D1525" i="2"/>
  <c r="B1525" i="2"/>
  <c r="A1525" i="2"/>
  <c r="P1525" i="2" s="1"/>
  <c r="Q1524" i="2"/>
  <c r="N1524" i="2"/>
  <c r="D1524" i="2"/>
  <c r="B1524" i="2"/>
  <c r="A1524" i="2"/>
  <c r="O1524" i="2" s="1"/>
  <c r="Q1523" i="2"/>
  <c r="N1523" i="2"/>
  <c r="D1523" i="2"/>
  <c r="B1523" i="2"/>
  <c r="A1523" i="2"/>
  <c r="Q1522" i="2"/>
  <c r="N1522" i="2"/>
  <c r="D1522" i="2"/>
  <c r="B1522" i="2"/>
  <c r="A1522" i="2"/>
  <c r="Q1521" i="2"/>
  <c r="N1521" i="2"/>
  <c r="D1521" i="2"/>
  <c r="B1521" i="2"/>
  <c r="A1521" i="2"/>
  <c r="P1521" i="2" s="1"/>
  <c r="Q1520" i="2"/>
  <c r="N1520" i="2"/>
  <c r="D1520" i="2"/>
  <c r="B1520" i="2"/>
  <c r="A1520" i="2"/>
  <c r="O1520" i="2" s="1"/>
  <c r="Q1519" i="2"/>
  <c r="N1519" i="2"/>
  <c r="D1519" i="2"/>
  <c r="B1519" i="2"/>
  <c r="A1519" i="2"/>
  <c r="P1519" i="2" s="1"/>
  <c r="Q1518" i="2"/>
  <c r="N1518" i="2"/>
  <c r="D1518" i="2"/>
  <c r="B1518" i="2"/>
  <c r="A1518" i="2"/>
  <c r="O1518" i="2" s="1"/>
  <c r="Q1517" i="2"/>
  <c r="N1517" i="2"/>
  <c r="D1517" i="2"/>
  <c r="B1517" i="2"/>
  <c r="A1517" i="2"/>
  <c r="Q1516" i="2"/>
  <c r="N1516" i="2"/>
  <c r="D1516" i="2"/>
  <c r="B1516" i="2"/>
  <c r="A1516" i="2"/>
  <c r="Q1515" i="2"/>
  <c r="N1515" i="2"/>
  <c r="D1515" i="2"/>
  <c r="B1515" i="2"/>
  <c r="A1515" i="2"/>
  <c r="Q1514" i="2"/>
  <c r="N1514" i="2"/>
  <c r="D1514" i="2"/>
  <c r="B1514" i="2"/>
  <c r="A1514" i="2"/>
  <c r="Q1513" i="2"/>
  <c r="N1513" i="2"/>
  <c r="D1513" i="2"/>
  <c r="B1513" i="2"/>
  <c r="A1513" i="2"/>
  <c r="P1513" i="2" s="1"/>
  <c r="Q1512" i="2"/>
  <c r="N1512" i="2"/>
  <c r="D1512" i="2"/>
  <c r="B1512" i="2"/>
  <c r="A1512" i="2"/>
  <c r="Q1511" i="2"/>
  <c r="N1511" i="2"/>
  <c r="D1511" i="2"/>
  <c r="B1511" i="2"/>
  <c r="A1511" i="2"/>
  <c r="Q1510" i="2"/>
  <c r="N1510" i="2"/>
  <c r="D1510" i="2"/>
  <c r="B1510" i="2"/>
  <c r="A1510" i="2"/>
  <c r="Q1509" i="2"/>
  <c r="N1509" i="2"/>
  <c r="D1509" i="2"/>
  <c r="B1509" i="2"/>
  <c r="A1509" i="2"/>
  <c r="Q1508" i="2"/>
  <c r="N1508" i="2"/>
  <c r="D1508" i="2"/>
  <c r="B1508" i="2"/>
  <c r="A1508" i="2"/>
  <c r="Q1507" i="2"/>
  <c r="N1507" i="2"/>
  <c r="D1507" i="2"/>
  <c r="B1507" i="2"/>
  <c r="A1507" i="2"/>
  <c r="O1507" i="2" s="1"/>
  <c r="Q1506" i="2"/>
  <c r="N1506" i="2"/>
  <c r="D1506" i="2"/>
  <c r="B1506" i="2"/>
  <c r="A1506" i="2"/>
  <c r="Q1505" i="2"/>
  <c r="N1505" i="2"/>
  <c r="D1505" i="2"/>
  <c r="B1505" i="2"/>
  <c r="A1505" i="2"/>
  <c r="Q1504" i="2"/>
  <c r="N1504" i="2"/>
  <c r="D1504" i="2"/>
  <c r="B1504" i="2"/>
  <c r="A1504" i="2"/>
  <c r="O1504" i="2" s="1"/>
  <c r="Q1503" i="2"/>
  <c r="N1503" i="2"/>
  <c r="D1503" i="2"/>
  <c r="B1503" i="2"/>
  <c r="A1503" i="2"/>
  <c r="Q1502" i="2"/>
  <c r="N1502" i="2"/>
  <c r="D1502" i="2"/>
  <c r="B1502" i="2"/>
  <c r="A1502" i="2"/>
  <c r="P1502" i="2" s="1"/>
  <c r="Q1501" i="2"/>
  <c r="N1501" i="2"/>
  <c r="D1501" i="2"/>
  <c r="B1501" i="2"/>
  <c r="A1501" i="2"/>
  <c r="P1501" i="2" s="1"/>
  <c r="Q1500" i="2"/>
  <c r="N1500" i="2"/>
  <c r="D1500" i="2"/>
  <c r="B1500" i="2"/>
  <c r="A1500" i="2"/>
  <c r="P1500" i="2" s="1"/>
  <c r="Q1499" i="2"/>
  <c r="N1499" i="2"/>
  <c r="D1499" i="2"/>
  <c r="B1499" i="2"/>
  <c r="A1499" i="2"/>
  <c r="Q1498" i="2"/>
  <c r="N1498" i="2"/>
  <c r="D1498" i="2"/>
  <c r="B1498" i="2"/>
  <c r="A1498" i="2"/>
  <c r="O1498" i="2" s="1"/>
  <c r="Q1497" i="2"/>
  <c r="N1497" i="2"/>
  <c r="D1497" i="2"/>
  <c r="B1497" i="2"/>
  <c r="A1497" i="2"/>
  <c r="Q1496" i="2"/>
  <c r="N1496" i="2"/>
  <c r="D1496" i="2"/>
  <c r="B1496" i="2"/>
  <c r="A1496" i="2"/>
  <c r="Q1495" i="2"/>
  <c r="N1495" i="2"/>
  <c r="D1495" i="2"/>
  <c r="B1495" i="2"/>
  <c r="A1495" i="2"/>
  <c r="Q1494" i="2"/>
  <c r="N1494" i="2"/>
  <c r="D1494" i="2"/>
  <c r="B1494" i="2"/>
  <c r="A1494" i="2"/>
  <c r="O1494" i="2" s="1"/>
  <c r="Q1493" i="2"/>
  <c r="N1493" i="2"/>
  <c r="D1493" i="2"/>
  <c r="B1493" i="2"/>
  <c r="A1493" i="2"/>
  <c r="P1493" i="2" s="1"/>
  <c r="Q1492" i="2"/>
  <c r="N1492" i="2"/>
  <c r="D1492" i="2"/>
  <c r="B1492" i="2"/>
  <c r="A1492" i="2"/>
  <c r="Q1491" i="2"/>
  <c r="N1491" i="2"/>
  <c r="D1491" i="2"/>
  <c r="B1491" i="2"/>
  <c r="A1491" i="2"/>
  <c r="P1491" i="2" s="1"/>
  <c r="Q1490" i="2"/>
  <c r="N1490" i="2"/>
  <c r="D1490" i="2"/>
  <c r="B1490" i="2"/>
  <c r="A1490" i="2"/>
  <c r="P1490" i="2" s="1"/>
  <c r="Q1489" i="2"/>
  <c r="N1489" i="2"/>
  <c r="D1489" i="2"/>
  <c r="B1489" i="2"/>
  <c r="A1489" i="2"/>
  <c r="O1489" i="2" s="1"/>
  <c r="Q1488" i="2"/>
  <c r="N1488" i="2"/>
  <c r="D1488" i="2"/>
  <c r="B1488" i="2"/>
  <c r="A1488" i="2"/>
  <c r="O1488" i="2" s="1"/>
  <c r="Q1487" i="2"/>
  <c r="N1487" i="2"/>
  <c r="D1487" i="2"/>
  <c r="B1487" i="2"/>
  <c r="A1487" i="2"/>
  <c r="P1487" i="2" s="1"/>
  <c r="Q1486" i="2"/>
  <c r="N1486" i="2"/>
  <c r="D1486" i="2"/>
  <c r="B1486" i="2"/>
  <c r="A1486" i="2"/>
  <c r="Q1485" i="2"/>
  <c r="N1485" i="2"/>
  <c r="D1485" i="2"/>
  <c r="B1485" i="2"/>
  <c r="A1485" i="2"/>
  <c r="P1485" i="2" s="1"/>
  <c r="Q1484" i="2"/>
  <c r="N1484" i="2"/>
  <c r="D1484" i="2"/>
  <c r="B1484" i="2"/>
  <c r="A1484" i="2"/>
  <c r="O1484" i="2" s="1"/>
  <c r="Q1483" i="2"/>
  <c r="N1483" i="2"/>
  <c r="D1483" i="2"/>
  <c r="B1483" i="2"/>
  <c r="A1483" i="2"/>
  <c r="Q1482" i="2"/>
  <c r="N1482" i="2"/>
  <c r="D1482" i="2"/>
  <c r="B1482" i="2"/>
  <c r="A1482" i="2"/>
  <c r="P1482" i="2" s="1"/>
  <c r="Q1481" i="2"/>
  <c r="N1481" i="2"/>
  <c r="D1481" i="2"/>
  <c r="B1481" i="2"/>
  <c r="A1481" i="2"/>
  <c r="P1481" i="2" s="1"/>
  <c r="Q1480" i="2"/>
  <c r="N1480" i="2"/>
  <c r="D1480" i="2"/>
  <c r="B1480" i="2"/>
  <c r="A1480" i="2"/>
  <c r="P1480" i="2" s="1"/>
  <c r="Q1479" i="2"/>
  <c r="N1479" i="2"/>
  <c r="D1479" i="2"/>
  <c r="B1479" i="2"/>
  <c r="A1479" i="2"/>
  <c r="P1479" i="2" s="1"/>
  <c r="Q1478" i="2"/>
  <c r="N1478" i="2"/>
  <c r="D1478" i="2"/>
  <c r="B1478" i="2"/>
  <c r="A1478" i="2"/>
  <c r="Q1477" i="2"/>
  <c r="N1477" i="2"/>
  <c r="D1477" i="2"/>
  <c r="B1477" i="2"/>
  <c r="A1477" i="2"/>
  <c r="P1477" i="2" s="1"/>
  <c r="Q1476" i="2"/>
  <c r="N1476" i="2"/>
  <c r="D1476" i="2"/>
  <c r="B1476" i="2"/>
  <c r="A1476" i="2"/>
  <c r="P1476" i="2" s="1"/>
  <c r="Q1475" i="2"/>
  <c r="N1475" i="2"/>
  <c r="D1475" i="2"/>
  <c r="B1475" i="2"/>
  <c r="A1475" i="2"/>
  <c r="P1475" i="2" s="1"/>
  <c r="Q1474" i="2"/>
  <c r="N1474" i="2"/>
  <c r="D1474" i="2"/>
  <c r="B1474" i="2"/>
  <c r="A1474" i="2"/>
  <c r="P1474" i="2" s="1"/>
  <c r="Q1473" i="2"/>
  <c r="N1473" i="2"/>
  <c r="D1473" i="2"/>
  <c r="B1473" i="2"/>
  <c r="A1473" i="2"/>
  <c r="P1473" i="2" s="1"/>
  <c r="Q1472" i="2"/>
  <c r="N1472" i="2"/>
  <c r="D1472" i="2"/>
  <c r="B1472" i="2"/>
  <c r="A1472" i="2"/>
  <c r="Q1471" i="2"/>
  <c r="N1471" i="2"/>
  <c r="D1471" i="2"/>
  <c r="B1471" i="2"/>
  <c r="A1471" i="2"/>
  <c r="P1471" i="2" s="1"/>
  <c r="Q1470" i="2"/>
  <c r="N1470" i="2"/>
  <c r="D1470" i="2"/>
  <c r="B1470" i="2"/>
  <c r="A1470" i="2"/>
  <c r="P1470" i="2" s="1"/>
  <c r="Q1469" i="2"/>
  <c r="N1469" i="2"/>
  <c r="D1469" i="2"/>
  <c r="B1469" i="2"/>
  <c r="A1469" i="2"/>
  <c r="Q1468" i="2"/>
  <c r="N1468" i="2"/>
  <c r="D1468" i="2"/>
  <c r="B1468" i="2"/>
  <c r="A1468" i="2"/>
  <c r="Q1467" i="2"/>
  <c r="N1467" i="2"/>
  <c r="D1467" i="2"/>
  <c r="B1467" i="2"/>
  <c r="A1467" i="2"/>
  <c r="P1467" i="2" s="1"/>
  <c r="Q1466" i="2"/>
  <c r="N1466" i="2"/>
  <c r="D1466" i="2"/>
  <c r="B1466" i="2"/>
  <c r="A1466" i="2"/>
  <c r="Q1465" i="2"/>
  <c r="N1465" i="2"/>
  <c r="D1465" i="2"/>
  <c r="B1465" i="2"/>
  <c r="A1465" i="2"/>
  <c r="Q1464" i="2"/>
  <c r="N1464" i="2"/>
  <c r="D1464" i="2"/>
  <c r="B1464" i="2"/>
  <c r="A1464" i="2"/>
  <c r="O1464" i="2" s="1"/>
  <c r="Q1463" i="2"/>
  <c r="N1463" i="2"/>
  <c r="D1463" i="2"/>
  <c r="B1463" i="2"/>
  <c r="A1463" i="2"/>
  <c r="Q1462" i="2"/>
  <c r="N1462" i="2"/>
  <c r="D1462" i="2"/>
  <c r="B1462" i="2"/>
  <c r="A1462" i="2"/>
  <c r="O1462" i="2" s="1"/>
  <c r="Q1461" i="2"/>
  <c r="N1461" i="2"/>
  <c r="D1461" i="2"/>
  <c r="B1461" i="2"/>
  <c r="A1461" i="2"/>
  <c r="O1461" i="2" s="1"/>
  <c r="Q1460" i="2"/>
  <c r="N1460" i="2"/>
  <c r="D1460" i="2"/>
  <c r="B1460" i="2"/>
  <c r="A1460" i="2"/>
  <c r="P1460" i="2" s="1"/>
  <c r="Q1459" i="2"/>
  <c r="N1459" i="2"/>
  <c r="D1459" i="2"/>
  <c r="B1459" i="2"/>
  <c r="A1459" i="2"/>
  <c r="Q1458" i="2"/>
  <c r="N1458" i="2"/>
  <c r="D1458" i="2"/>
  <c r="B1458" i="2"/>
  <c r="A1458" i="2"/>
  <c r="O1458" i="2" s="1"/>
  <c r="Q1457" i="2"/>
  <c r="N1457" i="2"/>
  <c r="D1457" i="2"/>
  <c r="B1457" i="2"/>
  <c r="A1457" i="2"/>
  <c r="P1457" i="2" s="1"/>
  <c r="Q1456" i="2"/>
  <c r="N1456" i="2"/>
  <c r="D1456" i="2"/>
  <c r="B1456" i="2"/>
  <c r="A1456" i="2"/>
  <c r="O1456" i="2" s="1"/>
  <c r="Q1455" i="2"/>
  <c r="N1455" i="2"/>
  <c r="D1455" i="2"/>
  <c r="B1455" i="2"/>
  <c r="A1455" i="2"/>
  <c r="P1455" i="2" s="1"/>
  <c r="Q1454" i="2"/>
  <c r="N1454" i="2"/>
  <c r="D1454" i="2"/>
  <c r="B1454" i="2"/>
  <c r="A1454" i="2"/>
  <c r="Q1453" i="2"/>
  <c r="N1453" i="2"/>
  <c r="D1453" i="2"/>
  <c r="B1453" i="2"/>
  <c r="A1453" i="2"/>
  <c r="O1453" i="2" s="1"/>
  <c r="Q1452" i="2"/>
  <c r="N1452" i="2"/>
  <c r="D1452" i="2"/>
  <c r="B1452" i="2"/>
  <c r="A1452" i="2"/>
  <c r="O1452" i="2" s="1"/>
  <c r="Q1451" i="2"/>
  <c r="N1451" i="2"/>
  <c r="D1451" i="2"/>
  <c r="B1451" i="2"/>
  <c r="A1451" i="2"/>
  <c r="Q1450" i="2"/>
  <c r="N1450" i="2"/>
  <c r="D1450" i="2"/>
  <c r="B1450" i="2"/>
  <c r="A1450" i="2"/>
  <c r="P1450" i="2" s="1"/>
  <c r="Q1449" i="2"/>
  <c r="N1449" i="2"/>
  <c r="D1449" i="2"/>
  <c r="B1449" i="2"/>
  <c r="A1449" i="2"/>
  <c r="Q1448" i="2"/>
  <c r="N1448" i="2"/>
  <c r="D1448" i="2"/>
  <c r="B1448" i="2"/>
  <c r="A1448" i="2"/>
  <c r="O1448" i="2" s="1"/>
  <c r="Q1447" i="2"/>
  <c r="N1447" i="2"/>
  <c r="D1447" i="2"/>
  <c r="B1447" i="2"/>
  <c r="A1447" i="2"/>
  <c r="Q1446" i="2"/>
  <c r="N1446" i="2"/>
  <c r="D1446" i="2"/>
  <c r="B1446" i="2"/>
  <c r="A1446" i="2"/>
  <c r="Q1445" i="2"/>
  <c r="N1445" i="2"/>
  <c r="D1445" i="2"/>
  <c r="B1445" i="2"/>
  <c r="A1445" i="2"/>
  <c r="P1445" i="2" s="1"/>
  <c r="Q1444" i="2"/>
  <c r="N1444" i="2"/>
  <c r="D1444" i="2"/>
  <c r="B1444" i="2"/>
  <c r="A1444" i="2"/>
  <c r="Q1443" i="2"/>
  <c r="N1443" i="2"/>
  <c r="D1443" i="2"/>
  <c r="B1443" i="2"/>
  <c r="A1443" i="2"/>
  <c r="Q1442" i="2"/>
  <c r="N1442" i="2"/>
  <c r="D1442" i="2"/>
  <c r="B1442" i="2"/>
  <c r="A1442" i="2"/>
  <c r="P1442" i="2" s="1"/>
  <c r="Q1441" i="2"/>
  <c r="N1441" i="2"/>
  <c r="D1441" i="2"/>
  <c r="B1441" i="2"/>
  <c r="A1441" i="2"/>
  <c r="O1441" i="2" s="1"/>
  <c r="Q1440" i="2"/>
  <c r="N1440" i="2"/>
  <c r="D1440" i="2"/>
  <c r="B1440" i="2"/>
  <c r="A1440" i="2"/>
  <c r="O1440" i="2" s="1"/>
  <c r="Q1439" i="2"/>
  <c r="N1439" i="2"/>
  <c r="D1439" i="2"/>
  <c r="B1439" i="2"/>
  <c r="A1439" i="2"/>
  <c r="O1439" i="2" s="1"/>
  <c r="Q1438" i="2"/>
  <c r="N1438" i="2"/>
  <c r="D1438" i="2"/>
  <c r="B1438" i="2"/>
  <c r="A1438" i="2"/>
  <c r="Q1437" i="2"/>
  <c r="N1437" i="2"/>
  <c r="D1437" i="2"/>
  <c r="B1437" i="2"/>
  <c r="A1437" i="2"/>
  <c r="Q1436" i="2"/>
  <c r="N1436" i="2"/>
  <c r="D1436" i="2"/>
  <c r="B1436" i="2"/>
  <c r="A1436" i="2"/>
  <c r="Q1435" i="2"/>
  <c r="N1435" i="2"/>
  <c r="D1435" i="2"/>
  <c r="B1435" i="2"/>
  <c r="A1435" i="2"/>
  <c r="Q1434" i="2"/>
  <c r="N1434" i="2"/>
  <c r="D1434" i="2"/>
  <c r="B1434" i="2"/>
  <c r="A1434" i="2"/>
  <c r="O1434" i="2" s="1"/>
  <c r="Q1433" i="2"/>
  <c r="N1433" i="2"/>
  <c r="D1433" i="2"/>
  <c r="B1433" i="2"/>
  <c r="A1433" i="2"/>
  <c r="O1433" i="2" s="1"/>
  <c r="Q1432" i="2"/>
  <c r="N1432" i="2"/>
  <c r="D1432" i="2"/>
  <c r="B1432" i="2"/>
  <c r="A1432" i="2"/>
  <c r="P1432" i="2" s="1"/>
  <c r="Q1431" i="2"/>
  <c r="N1431" i="2"/>
  <c r="D1431" i="2"/>
  <c r="B1431" i="2"/>
  <c r="A1431" i="2"/>
  <c r="O1431" i="2" s="1"/>
  <c r="Q1430" i="2"/>
  <c r="N1430" i="2"/>
  <c r="D1430" i="2"/>
  <c r="B1430" i="2"/>
  <c r="A1430" i="2"/>
  <c r="P1430" i="2" s="1"/>
  <c r="Q1429" i="2"/>
  <c r="N1429" i="2"/>
  <c r="D1429" i="2"/>
  <c r="B1429" i="2"/>
  <c r="A1429" i="2"/>
  <c r="Q1428" i="2"/>
  <c r="N1428" i="2"/>
  <c r="D1428" i="2"/>
  <c r="B1428" i="2"/>
  <c r="A1428" i="2"/>
  <c r="Q1427" i="2"/>
  <c r="N1427" i="2"/>
  <c r="D1427" i="2"/>
  <c r="B1427" i="2"/>
  <c r="A1427" i="2"/>
  <c r="O1427" i="2" s="1"/>
  <c r="Q1426" i="2"/>
  <c r="N1426" i="2"/>
  <c r="D1426" i="2"/>
  <c r="B1426" i="2"/>
  <c r="A1426" i="2"/>
  <c r="Q1425" i="2"/>
  <c r="N1425" i="2"/>
  <c r="D1425" i="2"/>
  <c r="B1425" i="2"/>
  <c r="A1425" i="2"/>
  <c r="Q1424" i="2"/>
  <c r="N1424" i="2"/>
  <c r="D1424" i="2"/>
  <c r="B1424" i="2"/>
  <c r="A1424" i="2"/>
  <c r="Q1423" i="2"/>
  <c r="N1423" i="2"/>
  <c r="D1423" i="2"/>
  <c r="B1423" i="2"/>
  <c r="A1423" i="2"/>
  <c r="Q1422" i="2"/>
  <c r="N1422" i="2"/>
  <c r="D1422" i="2"/>
  <c r="B1422" i="2"/>
  <c r="A1422" i="2"/>
  <c r="P1422" i="2" s="1"/>
  <c r="Q1421" i="2"/>
  <c r="N1421" i="2"/>
  <c r="D1421" i="2"/>
  <c r="B1421" i="2"/>
  <c r="A1421" i="2"/>
  <c r="P1421" i="2" s="1"/>
  <c r="Q1420" i="2"/>
  <c r="N1420" i="2"/>
  <c r="D1420" i="2"/>
  <c r="B1420" i="2"/>
  <c r="A1420" i="2"/>
  <c r="P1420" i="2" s="1"/>
  <c r="Q1419" i="2"/>
  <c r="N1419" i="2"/>
  <c r="D1419" i="2"/>
  <c r="B1419" i="2"/>
  <c r="A1419" i="2"/>
  <c r="O1419" i="2" s="1"/>
  <c r="Q1418" i="2"/>
  <c r="N1418" i="2"/>
  <c r="D1418" i="2"/>
  <c r="B1418" i="2"/>
  <c r="A1418" i="2"/>
  <c r="O1418" i="2" s="1"/>
  <c r="Q1417" i="2"/>
  <c r="N1417" i="2"/>
  <c r="D1417" i="2"/>
  <c r="B1417" i="2"/>
  <c r="A1417" i="2"/>
  <c r="P1417" i="2" s="1"/>
  <c r="Q1416" i="2"/>
  <c r="N1416" i="2"/>
  <c r="D1416" i="2"/>
  <c r="B1416" i="2"/>
  <c r="A1416" i="2"/>
  <c r="Q1415" i="2"/>
  <c r="N1415" i="2"/>
  <c r="D1415" i="2"/>
  <c r="B1415" i="2"/>
  <c r="A1415" i="2"/>
  <c r="Q1414" i="2"/>
  <c r="N1414" i="2"/>
  <c r="D1414" i="2"/>
  <c r="B1414" i="2"/>
  <c r="A1414" i="2"/>
  <c r="P1414" i="2" s="1"/>
  <c r="Q1413" i="2"/>
  <c r="N1413" i="2"/>
  <c r="D1413" i="2"/>
  <c r="B1413" i="2"/>
  <c r="A1413" i="2"/>
  <c r="Q1412" i="2"/>
  <c r="N1412" i="2"/>
  <c r="D1412" i="2"/>
  <c r="B1412" i="2"/>
  <c r="A1412" i="2"/>
  <c r="Q1411" i="2"/>
  <c r="N1411" i="2"/>
  <c r="D1411" i="2"/>
  <c r="B1411" i="2"/>
  <c r="A1411" i="2"/>
  <c r="P1411" i="2" s="1"/>
  <c r="Q1410" i="2"/>
  <c r="N1410" i="2"/>
  <c r="D1410" i="2"/>
  <c r="B1410" i="2"/>
  <c r="A1410" i="2"/>
  <c r="Q1409" i="2"/>
  <c r="N1409" i="2"/>
  <c r="D1409" i="2"/>
  <c r="B1409" i="2"/>
  <c r="A1409" i="2"/>
  <c r="Q1408" i="2"/>
  <c r="N1408" i="2"/>
  <c r="D1408" i="2"/>
  <c r="B1408" i="2"/>
  <c r="A1408" i="2"/>
  <c r="P1408" i="2" s="1"/>
  <c r="Q1407" i="2"/>
  <c r="N1407" i="2"/>
  <c r="D1407" i="2"/>
  <c r="B1407" i="2"/>
  <c r="A1407" i="2"/>
  <c r="P1407" i="2" s="1"/>
  <c r="Q1406" i="2"/>
  <c r="N1406" i="2"/>
  <c r="D1406" i="2"/>
  <c r="B1406" i="2"/>
  <c r="A1406" i="2"/>
  <c r="Q1405" i="2"/>
  <c r="N1405" i="2"/>
  <c r="D1405" i="2"/>
  <c r="B1405" i="2"/>
  <c r="A1405" i="2"/>
  <c r="P1405" i="2" s="1"/>
  <c r="Q1404" i="2"/>
  <c r="N1404" i="2"/>
  <c r="D1404" i="2"/>
  <c r="B1404" i="2"/>
  <c r="A1404" i="2"/>
  <c r="Q1403" i="2"/>
  <c r="N1403" i="2"/>
  <c r="D1403" i="2"/>
  <c r="B1403" i="2"/>
  <c r="A1403" i="2"/>
  <c r="P1403" i="2" s="1"/>
  <c r="Q1402" i="2"/>
  <c r="N1402" i="2"/>
  <c r="D1402" i="2"/>
  <c r="B1402" i="2"/>
  <c r="A1402" i="2"/>
  <c r="O1402" i="2" s="1"/>
  <c r="Q1401" i="2"/>
  <c r="N1401" i="2"/>
  <c r="D1401" i="2"/>
  <c r="B1401" i="2"/>
  <c r="A1401" i="2"/>
  <c r="P1401" i="2" s="1"/>
  <c r="Q1400" i="2"/>
  <c r="N1400" i="2"/>
  <c r="D1400" i="2"/>
  <c r="B1400" i="2"/>
  <c r="A1400" i="2"/>
  <c r="Q1399" i="2"/>
  <c r="N1399" i="2"/>
  <c r="D1399" i="2"/>
  <c r="B1399" i="2"/>
  <c r="A1399" i="2"/>
  <c r="P1399" i="2" s="1"/>
  <c r="Q1398" i="2"/>
  <c r="N1398" i="2"/>
  <c r="D1398" i="2"/>
  <c r="B1398" i="2"/>
  <c r="A1398" i="2"/>
  <c r="Q1397" i="2"/>
  <c r="N1397" i="2"/>
  <c r="D1397" i="2"/>
  <c r="B1397" i="2"/>
  <c r="A1397" i="2"/>
  <c r="Q1396" i="2"/>
  <c r="N1396" i="2"/>
  <c r="D1396" i="2"/>
  <c r="B1396" i="2"/>
  <c r="A1396" i="2"/>
  <c r="O1396" i="2" s="1"/>
  <c r="Q1395" i="2"/>
  <c r="N1395" i="2"/>
  <c r="D1395" i="2"/>
  <c r="B1395" i="2"/>
  <c r="A1395" i="2"/>
  <c r="P1395" i="2" s="1"/>
  <c r="Q1394" i="2"/>
  <c r="N1394" i="2"/>
  <c r="D1394" i="2"/>
  <c r="B1394" i="2"/>
  <c r="A1394" i="2"/>
  <c r="Q1393" i="2"/>
  <c r="N1393" i="2"/>
  <c r="D1393" i="2"/>
  <c r="B1393" i="2"/>
  <c r="A1393" i="2"/>
  <c r="O1393" i="2" s="1"/>
  <c r="Q1392" i="2"/>
  <c r="N1392" i="2"/>
  <c r="D1392" i="2"/>
  <c r="B1392" i="2"/>
  <c r="A1392" i="2"/>
  <c r="O1392" i="2" s="1"/>
  <c r="Q1391" i="2"/>
  <c r="N1391" i="2"/>
  <c r="D1391" i="2"/>
  <c r="B1391" i="2"/>
  <c r="A1391" i="2"/>
  <c r="Q1390" i="2"/>
  <c r="N1390" i="2"/>
  <c r="D1390" i="2"/>
  <c r="B1390" i="2"/>
  <c r="A1390" i="2"/>
  <c r="P1390" i="2" s="1"/>
  <c r="Q1389" i="2"/>
  <c r="N1389" i="2"/>
  <c r="D1389" i="2"/>
  <c r="B1389" i="2"/>
  <c r="A1389" i="2"/>
  <c r="Q1388" i="2"/>
  <c r="N1388" i="2"/>
  <c r="D1388" i="2"/>
  <c r="B1388" i="2"/>
  <c r="A1388" i="2"/>
  <c r="Q1387" i="2"/>
  <c r="N1387" i="2"/>
  <c r="D1387" i="2"/>
  <c r="B1387" i="2"/>
  <c r="A1387" i="2"/>
  <c r="P1387" i="2" s="1"/>
  <c r="Q1386" i="2"/>
  <c r="N1386" i="2"/>
  <c r="D1386" i="2"/>
  <c r="B1386" i="2"/>
  <c r="A1386" i="2"/>
  <c r="Q1385" i="2"/>
  <c r="N1385" i="2"/>
  <c r="D1385" i="2"/>
  <c r="B1385" i="2"/>
  <c r="A1385" i="2"/>
  <c r="Q1384" i="2"/>
  <c r="N1384" i="2"/>
  <c r="D1384" i="2"/>
  <c r="B1384" i="2"/>
  <c r="A1384" i="2"/>
  <c r="Q1383" i="2"/>
  <c r="N1383" i="2"/>
  <c r="D1383" i="2"/>
  <c r="B1383" i="2"/>
  <c r="A1383" i="2"/>
  <c r="Q1382" i="2"/>
  <c r="N1382" i="2"/>
  <c r="D1382" i="2"/>
  <c r="B1382" i="2"/>
  <c r="A1382" i="2"/>
  <c r="O1382" i="2" s="1"/>
  <c r="Q1381" i="2"/>
  <c r="N1381" i="2"/>
  <c r="D1381" i="2"/>
  <c r="B1381" i="2"/>
  <c r="A1381" i="2"/>
  <c r="Q1380" i="2"/>
  <c r="N1380" i="2"/>
  <c r="D1380" i="2"/>
  <c r="B1380" i="2"/>
  <c r="A1380" i="2"/>
  <c r="P1380" i="2" s="1"/>
  <c r="Q1379" i="2"/>
  <c r="N1379" i="2"/>
  <c r="D1379" i="2"/>
  <c r="B1379" i="2"/>
  <c r="A1379" i="2"/>
  <c r="Q1378" i="2"/>
  <c r="N1378" i="2"/>
  <c r="D1378" i="2"/>
  <c r="B1378" i="2"/>
  <c r="A1378" i="2"/>
  <c r="Q1377" i="2"/>
  <c r="N1377" i="2"/>
  <c r="D1377" i="2"/>
  <c r="B1377" i="2"/>
  <c r="A1377" i="2"/>
  <c r="P1377" i="2" s="1"/>
  <c r="Q1376" i="2"/>
  <c r="N1376" i="2"/>
  <c r="D1376" i="2"/>
  <c r="B1376" i="2"/>
  <c r="A1376" i="2"/>
  <c r="P1376" i="2" s="1"/>
  <c r="Q1375" i="2"/>
  <c r="N1375" i="2"/>
  <c r="D1375" i="2"/>
  <c r="B1375" i="2"/>
  <c r="A1375" i="2"/>
  <c r="Q1374" i="2"/>
  <c r="N1374" i="2"/>
  <c r="D1374" i="2"/>
  <c r="B1374" i="2"/>
  <c r="A1374" i="2"/>
  <c r="Q1373" i="2"/>
  <c r="N1373" i="2"/>
  <c r="D1373" i="2"/>
  <c r="B1373" i="2"/>
  <c r="A1373" i="2"/>
  <c r="Q1372" i="2"/>
  <c r="N1372" i="2"/>
  <c r="D1372" i="2"/>
  <c r="B1372" i="2"/>
  <c r="A1372" i="2"/>
  <c r="P1372" i="2" s="1"/>
  <c r="Q1371" i="2"/>
  <c r="N1371" i="2"/>
  <c r="D1371" i="2"/>
  <c r="B1371" i="2"/>
  <c r="A1371" i="2"/>
  <c r="O1371" i="2" s="1"/>
  <c r="Q1370" i="2"/>
  <c r="N1370" i="2"/>
  <c r="D1370" i="2"/>
  <c r="B1370" i="2"/>
  <c r="A1370" i="2"/>
  <c r="Q1369" i="2"/>
  <c r="N1369" i="2"/>
  <c r="D1369" i="2"/>
  <c r="B1369" i="2"/>
  <c r="A1369" i="2"/>
  <c r="O1369" i="2" s="1"/>
  <c r="Q1368" i="2"/>
  <c r="N1368" i="2"/>
  <c r="D1368" i="2"/>
  <c r="B1368" i="2"/>
  <c r="A1368" i="2"/>
  <c r="O1368" i="2" s="1"/>
  <c r="Q1367" i="2"/>
  <c r="N1367" i="2"/>
  <c r="D1367" i="2"/>
  <c r="B1367" i="2"/>
  <c r="A1367" i="2"/>
  <c r="Q1366" i="2"/>
  <c r="N1366" i="2"/>
  <c r="D1366" i="2"/>
  <c r="B1366" i="2"/>
  <c r="A1366" i="2"/>
  <c r="Q1365" i="2"/>
  <c r="N1365" i="2"/>
  <c r="D1365" i="2"/>
  <c r="B1365" i="2"/>
  <c r="A1365" i="2"/>
  <c r="P1365" i="2" s="1"/>
  <c r="Q1364" i="2"/>
  <c r="N1364" i="2"/>
  <c r="D1364" i="2"/>
  <c r="B1364" i="2"/>
  <c r="A1364" i="2"/>
  <c r="O1364" i="2" s="1"/>
  <c r="Q1363" i="2"/>
  <c r="N1363" i="2"/>
  <c r="D1363" i="2"/>
  <c r="B1363" i="2"/>
  <c r="A1363" i="2"/>
  <c r="P1363" i="2" s="1"/>
  <c r="Q1362" i="2"/>
  <c r="N1362" i="2"/>
  <c r="D1362" i="2"/>
  <c r="B1362" i="2"/>
  <c r="A1362" i="2"/>
  <c r="Q1361" i="2"/>
  <c r="N1361" i="2"/>
  <c r="D1361" i="2"/>
  <c r="B1361" i="2"/>
  <c r="A1361" i="2"/>
  <c r="O1361" i="2" s="1"/>
  <c r="Q1360" i="2"/>
  <c r="N1360" i="2"/>
  <c r="D1360" i="2"/>
  <c r="B1360" i="2"/>
  <c r="A1360" i="2"/>
  <c r="O1360" i="2" s="1"/>
  <c r="Q1359" i="2"/>
  <c r="N1359" i="2"/>
  <c r="D1359" i="2"/>
  <c r="B1359" i="2"/>
  <c r="A1359" i="2"/>
  <c r="Q1358" i="2"/>
  <c r="N1358" i="2"/>
  <c r="D1358" i="2"/>
  <c r="B1358" i="2"/>
  <c r="A1358" i="2"/>
  <c r="O1358" i="2" s="1"/>
  <c r="Q1357" i="2"/>
  <c r="N1357" i="2"/>
  <c r="D1357" i="2"/>
  <c r="B1357" i="2"/>
  <c r="A1357" i="2"/>
  <c r="O1357" i="2" s="1"/>
  <c r="Q1356" i="2"/>
  <c r="N1356" i="2"/>
  <c r="D1356" i="2"/>
  <c r="B1356" i="2"/>
  <c r="A1356" i="2"/>
  <c r="P1356" i="2" s="1"/>
  <c r="Q1355" i="2"/>
  <c r="N1355" i="2"/>
  <c r="D1355" i="2"/>
  <c r="B1355" i="2"/>
  <c r="A1355" i="2"/>
  <c r="P1355" i="2" s="1"/>
  <c r="Q1354" i="2"/>
  <c r="N1354" i="2"/>
  <c r="D1354" i="2"/>
  <c r="B1354" i="2"/>
  <c r="A1354" i="2"/>
  <c r="O1354" i="2" s="1"/>
  <c r="Q1353" i="2"/>
  <c r="N1353" i="2"/>
  <c r="D1353" i="2"/>
  <c r="B1353" i="2"/>
  <c r="A1353" i="2"/>
  <c r="Q1352" i="2"/>
  <c r="N1352" i="2"/>
  <c r="D1352" i="2"/>
  <c r="B1352" i="2"/>
  <c r="A1352" i="2"/>
  <c r="Q1351" i="2"/>
  <c r="N1351" i="2"/>
  <c r="D1351" i="2"/>
  <c r="B1351" i="2"/>
  <c r="A1351" i="2"/>
  <c r="P1351" i="2" s="1"/>
  <c r="Q1350" i="2"/>
  <c r="N1350" i="2"/>
  <c r="D1350" i="2"/>
  <c r="B1350" i="2"/>
  <c r="A1350" i="2"/>
  <c r="O1350" i="2" s="1"/>
  <c r="Q1349" i="2"/>
  <c r="N1349" i="2"/>
  <c r="D1349" i="2"/>
  <c r="B1349" i="2"/>
  <c r="A1349" i="2"/>
  <c r="Q1348" i="2"/>
  <c r="N1348" i="2"/>
  <c r="D1348" i="2"/>
  <c r="B1348" i="2"/>
  <c r="A1348" i="2"/>
  <c r="P1348" i="2" s="1"/>
  <c r="Q1347" i="2"/>
  <c r="N1347" i="2"/>
  <c r="D1347" i="2"/>
  <c r="B1347" i="2"/>
  <c r="A1347" i="2"/>
  <c r="Q1346" i="2"/>
  <c r="N1346" i="2"/>
  <c r="D1346" i="2"/>
  <c r="B1346" i="2"/>
  <c r="A1346" i="2"/>
  <c r="Q1345" i="2"/>
  <c r="N1345" i="2"/>
  <c r="D1345" i="2"/>
  <c r="B1345" i="2"/>
  <c r="A1345" i="2"/>
  <c r="Q1344" i="2"/>
  <c r="N1344" i="2"/>
  <c r="D1344" i="2"/>
  <c r="B1344" i="2"/>
  <c r="A1344" i="2"/>
  <c r="P1344" i="2" s="1"/>
  <c r="Q1343" i="2"/>
  <c r="N1343" i="2"/>
  <c r="D1343" i="2"/>
  <c r="B1343" i="2"/>
  <c r="A1343" i="2"/>
  <c r="P1343" i="2" s="1"/>
  <c r="Q1342" i="2"/>
  <c r="N1342" i="2"/>
  <c r="D1342" i="2"/>
  <c r="B1342" i="2"/>
  <c r="A1342" i="2"/>
  <c r="O1342" i="2" s="1"/>
  <c r="Q1341" i="2"/>
  <c r="N1341" i="2"/>
  <c r="D1341" i="2"/>
  <c r="B1341" i="2"/>
  <c r="A1341" i="2"/>
  <c r="P1341" i="2" s="1"/>
  <c r="Q1340" i="2"/>
  <c r="N1340" i="2"/>
  <c r="D1340" i="2"/>
  <c r="B1340" i="2"/>
  <c r="A1340" i="2"/>
  <c r="Q1339" i="2"/>
  <c r="N1339" i="2"/>
  <c r="D1339" i="2"/>
  <c r="B1339" i="2"/>
  <c r="A1339" i="2"/>
  <c r="P1339" i="2" s="1"/>
  <c r="Q1338" i="2"/>
  <c r="N1338" i="2"/>
  <c r="D1338" i="2"/>
  <c r="B1338" i="2"/>
  <c r="A1338" i="2"/>
  <c r="Q1337" i="2"/>
  <c r="N1337" i="2"/>
  <c r="D1337" i="2"/>
  <c r="B1337" i="2"/>
  <c r="A1337" i="2"/>
  <c r="Q1336" i="2"/>
  <c r="N1336" i="2"/>
  <c r="D1336" i="2"/>
  <c r="B1336" i="2"/>
  <c r="A1336" i="2"/>
  <c r="P1336" i="2" s="1"/>
  <c r="Q1335" i="2"/>
  <c r="N1335" i="2"/>
  <c r="D1335" i="2"/>
  <c r="B1335" i="2"/>
  <c r="A1335" i="2"/>
  <c r="P1335" i="2" s="1"/>
  <c r="Q1334" i="2"/>
  <c r="N1334" i="2"/>
  <c r="D1334" i="2"/>
  <c r="B1334" i="2"/>
  <c r="A1334" i="2"/>
  <c r="Q1333" i="2"/>
  <c r="N1333" i="2"/>
  <c r="D1333" i="2"/>
  <c r="B1333" i="2"/>
  <c r="A1333" i="2"/>
  <c r="Q1332" i="2"/>
  <c r="N1332" i="2"/>
  <c r="D1332" i="2"/>
  <c r="B1332" i="2"/>
  <c r="A1332" i="2"/>
  <c r="O1332" i="2" s="1"/>
  <c r="Q1331" i="2"/>
  <c r="N1331" i="2"/>
  <c r="D1331" i="2"/>
  <c r="B1331" i="2"/>
  <c r="A1331" i="2"/>
  <c r="Q1330" i="2"/>
  <c r="N1330" i="2"/>
  <c r="D1330" i="2"/>
  <c r="B1330" i="2"/>
  <c r="A1330" i="2"/>
  <c r="O1330" i="2" s="1"/>
  <c r="Q1329" i="2"/>
  <c r="N1329" i="2"/>
  <c r="D1329" i="2"/>
  <c r="B1329" i="2"/>
  <c r="A1329" i="2"/>
  <c r="Q1328" i="2"/>
  <c r="N1328" i="2"/>
  <c r="D1328" i="2"/>
  <c r="B1328" i="2"/>
  <c r="A1328" i="2"/>
  <c r="Q1327" i="2"/>
  <c r="N1327" i="2"/>
  <c r="D1327" i="2"/>
  <c r="B1327" i="2"/>
  <c r="A1327" i="2"/>
  <c r="P1327" i="2" s="1"/>
  <c r="Q1326" i="2"/>
  <c r="N1326" i="2"/>
  <c r="D1326" i="2"/>
  <c r="B1326" i="2"/>
  <c r="A1326" i="2"/>
  <c r="Q1325" i="2"/>
  <c r="N1325" i="2"/>
  <c r="D1325" i="2"/>
  <c r="B1325" i="2"/>
  <c r="A1325" i="2"/>
  <c r="Q1324" i="2"/>
  <c r="N1324" i="2"/>
  <c r="D1324" i="2"/>
  <c r="B1324" i="2"/>
  <c r="A1324" i="2"/>
  <c r="Q1323" i="2"/>
  <c r="N1323" i="2"/>
  <c r="D1323" i="2"/>
  <c r="B1323" i="2"/>
  <c r="A1323" i="2"/>
  <c r="Q1322" i="2"/>
  <c r="N1322" i="2"/>
  <c r="D1322" i="2"/>
  <c r="B1322" i="2"/>
  <c r="A1322" i="2"/>
  <c r="P1322" i="2" s="1"/>
  <c r="Q1321" i="2"/>
  <c r="N1321" i="2"/>
  <c r="D1321" i="2"/>
  <c r="B1321" i="2"/>
  <c r="A1321" i="2"/>
  <c r="Q1320" i="2"/>
  <c r="N1320" i="2"/>
  <c r="D1320" i="2"/>
  <c r="B1320" i="2"/>
  <c r="A1320" i="2"/>
  <c r="Q1319" i="2"/>
  <c r="N1319" i="2"/>
  <c r="D1319" i="2"/>
  <c r="B1319" i="2"/>
  <c r="A1319" i="2"/>
  <c r="O1319" i="2" s="1"/>
  <c r="Q1318" i="2"/>
  <c r="N1318" i="2"/>
  <c r="D1318" i="2"/>
  <c r="B1318" i="2"/>
  <c r="A1318" i="2"/>
  <c r="Q1317" i="2"/>
  <c r="N1317" i="2"/>
  <c r="D1317" i="2"/>
  <c r="B1317" i="2"/>
  <c r="A1317" i="2"/>
  <c r="Q1316" i="2"/>
  <c r="N1316" i="2"/>
  <c r="D1316" i="2"/>
  <c r="B1316" i="2"/>
  <c r="A1316" i="2"/>
  <c r="Q1315" i="2"/>
  <c r="N1315" i="2"/>
  <c r="D1315" i="2"/>
  <c r="B1315" i="2"/>
  <c r="A1315" i="2"/>
  <c r="Q1314" i="2"/>
  <c r="N1314" i="2"/>
  <c r="D1314" i="2"/>
  <c r="B1314" i="2"/>
  <c r="A1314" i="2"/>
  <c r="Q1313" i="2"/>
  <c r="N1313" i="2"/>
  <c r="D1313" i="2"/>
  <c r="B1313" i="2"/>
  <c r="A1313" i="2"/>
  <c r="O1313" i="2" s="1"/>
  <c r="Q1312" i="2"/>
  <c r="N1312" i="2"/>
  <c r="D1312" i="2"/>
  <c r="B1312" i="2"/>
  <c r="A1312" i="2"/>
  <c r="P1312" i="2" s="1"/>
  <c r="Q1311" i="2"/>
  <c r="N1311" i="2"/>
  <c r="D1311" i="2"/>
  <c r="B1311" i="2"/>
  <c r="A1311" i="2"/>
  <c r="O1311" i="2" s="1"/>
  <c r="Q1310" i="2"/>
  <c r="N1310" i="2"/>
  <c r="D1310" i="2"/>
  <c r="B1310" i="2"/>
  <c r="A1310" i="2"/>
  <c r="Q1309" i="2"/>
  <c r="N1309" i="2"/>
  <c r="D1309" i="2"/>
  <c r="B1309" i="2"/>
  <c r="A1309" i="2"/>
  <c r="O1309" i="2" s="1"/>
  <c r="Q1308" i="2"/>
  <c r="N1308" i="2"/>
  <c r="D1308" i="2"/>
  <c r="B1308" i="2"/>
  <c r="A1308" i="2"/>
  <c r="P1308" i="2" s="1"/>
  <c r="Q1307" i="2"/>
  <c r="N1307" i="2"/>
  <c r="D1307" i="2"/>
  <c r="B1307" i="2"/>
  <c r="A1307" i="2"/>
  <c r="P1307" i="2" s="1"/>
  <c r="Q1306" i="2"/>
  <c r="N1306" i="2"/>
  <c r="D1306" i="2"/>
  <c r="B1306" i="2"/>
  <c r="A1306" i="2"/>
  <c r="P1306" i="2" s="1"/>
  <c r="Q1305" i="2"/>
  <c r="N1305" i="2"/>
  <c r="D1305" i="2"/>
  <c r="B1305" i="2"/>
  <c r="A1305" i="2"/>
  <c r="O1305" i="2" s="1"/>
  <c r="Q1304" i="2"/>
  <c r="N1304" i="2"/>
  <c r="D1304" i="2"/>
  <c r="B1304" i="2"/>
  <c r="A1304" i="2"/>
  <c r="P1304" i="2" s="1"/>
  <c r="Q1303" i="2"/>
  <c r="N1303" i="2"/>
  <c r="D1303" i="2"/>
  <c r="B1303" i="2"/>
  <c r="A1303" i="2"/>
  <c r="O1303" i="2" s="1"/>
  <c r="Q1302" i="2"/>
  <c r="N1302" i="2"/>
  <c r="D1302" i="2"/>
  <c r="B1302" i="2"/>
  <c r="A1302" i="2"/>
  <c r="P1302" i="2" s="1"/>
  <c r="Q1301" i="2"/>
  <c r="N1301" i="2"/>
  <c r="D1301" i="2"/>
  <c r="B1301" i="2"/>
  <c r="A1301" i="2"/>
  <c r="P1301" i="2" s="1"/>
  <c r="Q1300" i="2"/>
  <c r="N1300" i="2"/>
  <c r="D1300" i="2"/>
  <c r="B1300" i="2"/>
  <c r="A1300" i="2"/>
  <c r="O1300" i="2" s="1"/>
  <c r="Q1299" i="2"/>
  <c r="N1299" i="2"/>
  <c r="D1299" i="2"/>
  <c r="B1299" i="2"/>
  <c r="A1299" i="2"/>
  <c r="Q1298" i="2"/>
  <c r="N1298" i="2"/>
  <c r="D1298" i="2"/>
  <c r="B1298" i="2"/>
  <c r="A1298" i="2"/>
  <c r="Q1297" i="2"/>
  <c r="N1297" i="2"/>
  <c r="D1297" i="2"/>
  <c r="B1297" i="2"/>
  <c r="A1297" i="2"/>
  <c r="P1297" i="2" s="1"/>
  <c r="Q1296" i="2"/>
  <c r="N1296" i="2"/>
  <c r="D1296" i="2"/>
  <c r="B1296" i="2"/>
  <c r="A1296" i="2"/>
  <c r="Q1295" i="2"/>
  <c r="N1295" i="2"/>
  <c r="D1295" i="2"/>
  <c r="B1295" i="2"/>
  <c r="A1295" i="2"/>
  <c r="O1295" i="2" s="1"/>
  <c r="Q1294" i="2"/>
  <c r="N1294" i="2"/>
  <c r="D1294" i="2"/>
  <c r="B1294" i="2"/>
  <c r="A1294" i="2"/>
  <c r="O1294" i="2" s="1"/>
  <c r="Q1293" i="2"/>
  <c r="N1293" i="2"/>
  <c r="D1293" i="2"/>
  <c r="B1293" i="2"/>
  <c r="A1293" i="2"/>
  <c r="Q1292" i="2"/>
  <c r="N1292" i="2"/>
  <c r="D1292" i="2"/>
  <c r="B1292" i="2"/>
  <c r="A1292" i="2"/>
  <c r="P1292" i="2" s="1"/>
  <c r="Q1291" i="2"/>
  <c r="N1291" i="2"/>
  <c r="D1291" i="2"/>
  <c r="B1291" i="2"/>
  <c r="A1291" i="2"/>
  <c r="P1291" i="2" s="1"/>
  <c r="Q1290" i="2"/>
  <c r="N1290" i="2"/>
  <c r="D1290" i="2"/>
  <c r="B1290" i="2"/>
  <c r="A1290" i="2"/>
  <c r="Q1289" i="2"/>
  <c r="N1289" i="2"/>
  <c r="D1289" i="2"/>
  <c r="B1289" i="2"/>
  <c r="A1289" i="2"/>
  <c r="O1289" i="2" s="1"/>
  <c r="Q1288" i="2"/>
  <c r="N1288" i="2"/>
  <c r="D1288" i="2"/>
  <c r="B1288" i="2"/>
  <c r="A1288" i="2"/>
  <c r="P1288" i="2" s="1"/>
  <c r="Q1287" i="2"/>
  <c r="N1287" i="2"/>
  <c r="D1287" i="2"/>
  <c r="B1287" i="2"/>
  <c r="A1287" i="2"/>
  <c r="P1287" i="2" s="1"/>
  <c r="Q1286" i="2"/>
  <c r="N1286" i="2"/>
  <c r="D1286" i="2"/>
  <c r="B1286" i="2"/>
  <c r="A1286" i="2"/>
  <c r="P1286" i="2" s="1"/>
  <c r="Q1285" i="2"/>
  <c r="N1285" i="2"/>
  <c r="D1285" i="2"/>
  <c r="B1285" i="2"/>
  <c r="A1285" i="2"/>
  <c r="Q1284" i="2"/>
  <c r="N1284" i="2"/>
  <c r="D1284" i="2"/>
  <c r="B1284" i="2"/>
  <c r="A1284" i="2"/>
  <c r="P1284" i="2" s="1"/>
  <c r="Q1283" i="2"/>
  <c r="N1283" i="2"/>
  <c r="D1283" i="2"/>
  <c r="B1283" i="2"/>
  <c r="A1283" i="2"/>
  <c r="Q1282" i="2"/>
  <c r="N1282" i="2"/>
  <c r="D1282" i="2"/>
  <c r="B1282" i="2"/>
  <c r="A1282" i="2"/>
  <c r="P1282" i="2" s="1"/>
  <c r="Q1281" i="2"/>
  <c r="N1281" i="2"/>
  <c r="D1281" i="2"/>
  <c r="B1281" i="2"/>
  <c r="A1281" i="2"/>
  <c r="P1281" i="2" s="1"/>
  <c r="Q1280" i="2"/>
  <c r="N1280" i="2"/>
  <c r="D1280" i="2"/>
  <c r="B1280" i="2"/>
  <c r="A1280" i="2"/>
  <c r="P1280" i="2" s="1"/>
  <c r="Q1279" i="2"/>
  <c r="N1279" i="2"/>
  <c r="D1279" i="2"/>
  <c r="B1279" i="2"/>
  <c r="A1279" i="2"/>
  <c r="P1279" i="2" s="1"/>
  <c r="Q1278" i="2"/>
  <c r="N1278" i="2"/>
  <c r="D1278" i="2"/>
  <c r="B1278" i="2"/>
  <c r="A1278" i="2"/>
  <c r="P1278" i="2" s="1"/>
  <c r="Q1277" i="2"/>
  <c r="N1277" i="2"/>
  <c r="D1277" i="2"/>
  <c r="B1277" i="2"/>
  <c r="A1277" i="2"/>
  <c r="Q1276" i="2"/>
  <c r="N1276" i="2"/>
  <c r="D1276" i="2"/>
  <c r="B1276" i="2"/>
  <c r="A1276" i="2"/>
  <c r="P1276" i="2" s="1"/>
  <c r="Q1275" i="2"/>
  <c r="N1275" i="2"/>
  <c r="D1275" i="2"/>
  <c r="B1275" i="2"/>
  <c r="A1275" i="2"/>
  <c r="P1275" i="2" s="1"/>
  <c r="Q1274" i="2"/>
  <c r="N1274" i="2"/>
  <c r="D1274" i="2"/>
  <c r="B1274" i="2"/>
  <c r="A1274" i="2"/>
  <c r="O1274" i="2" s="1"/>
  <c r="Q1273" i="2"/>
  <c r="N1273" i="2"/>
  <c r="D1273" i="2"/>
  <c r="B1273" i="2"/>
  <c r="A1273" i="2"/>
  <c r="O1273" i="2" s="1"/>
  <c r="Q1272" i="2"/>
  <c r="N1272" i="2"/>
  <c r="D1272" i="2"/>
  <c r="B1272" i="2"/>
  <c r="A1272" i="2"/>
  <c r="P1272" i="2" s="1"/>
  <c r="Q1271" i="2"/>
  <c r="N1271" i="2"/>
  <c r="D1271" i="2"/>
  <c r="B1271" i="2"/>
  <c r="A1271" i="2"/>
  <c r="P1271" i="2" s="1"/>
  <c r="Q1270" i="2"/>
  <c r="N1270" i="2"/>
  <c r="D1270" i="2"/>
  <c r="B1270" i="2"/>
  <c r="A1270" i="2"/>
  <c r="Q1269" i="2"/>
  <c r="N1269" i="2"/>
  <c r="D1269" i="2"/>
  <c r="B1269" i="2"/>
  <c r="A1269" i="2"/>
  <c r="O1269" i="2" s="1"/>
  <c r="Q1268" i="2"/>
  <c r="N1268" i="2"/>
  <c r="D1268" i="2"/>
  <c r="B1268" i="2"/>
  <c r="A1268" i="2"/>
  <c r="P1268" i="2" s="1"/>
  <c r="Q1267" i="2"/>
  <c r="N1267" i="2"/>
  <c r="D1267" i="2"/>
  <c r="B1267" i="2"/>
  <c r="A1267" i="2"/>
  <c r="Q1266" i="2"/>
  <c r="N1266" i="2"/>
  <c r="D1266" i="2"/>
  <c r="B1266" i="2"/>
  <c r="A1266" i="2"/>
  <c r="P1266" i="2" s="1"/>
  <c r="Q1265" i="2"/>
  <c r="N1265" i="2"/>
  <c r="D1265" i="2"/>
  <c r="B1265" i="2"/>
  <c r="A1265" i="2"/>
  <c r="P1265" i="2" s="1"/>
  <c r="Q1264" i="2"/>
  <c r="N1264" i="2"/>
  <c r="D1264" i="2"/>
  <c r="B1264" i="2"/>
  <c r="A1264" i="2"/>
  <c r="Q1263" i="2"/>
  <c r="N1263" i="2"/>
  <c r="D1263" i="2"/>
  <c r="B1263" i="2"/>
  <c r="A1263" i="2"/>
  <c r="Q1262" i="2"/>
  <c r="N1262" i="2"/>
  <c r="D1262" i="2"/>
  <c r="B1262" i="2"/>
  <c r="A1262" i="2"/>
  <c r="O1262" i="2" s="1"/>
  <c r="Q1261" i="2"/>
  <c r="N1261" i="2"/>
  <c r="D1261" i="2"/>
  <c r="B1261" i="2"/>
  <c r="A1261" i="2"/>
  <c r="P1261" i="2" s="1"/>
  <c r="Q1260" i="2"/>
  <c r="N1260" i="2"/>
  <c r="D1260" i="2"/>
  <c r="B1260" i="2"/>
  <c r="A1260" i="2"/>
  <c r="P1260" i="2" s="1"/>
  <c r="Q1259" i="2"/>
  <c r="N1259" i="2"/>
  <c r="D1259" i="2"/>
  <c r="B1259" i="2"/>
  <c r="A1259" i="2"/>
  <c r="P1259" i="2" s="1"/>
  <c r="Q1258" i="2"/>
  <c r="N1258" i="2"/>
  <c r="D1258" i="2"/>
  <c r="B1258" i="2"/>
  <c r="A1258" i="2"/>
  <c r="P1258" i="2" s="1"/>
  <c r="Q1257" i="2"/>
  <c r="N1257" i="2"/>
  <c r="D1257" i="2"/>
  <c r="B1257" i="2"/>
  <c r="A1257" i="2"/>
  <c r="Q1256" i="2"/>
  <c r="N1256" i="2"/>
  <c r="D1256" i="2"/>
  <c r="B1256" i="2"/>
  <c r="A1256" i="2"/>
  <c r="O1256" i="2" s="1"/>
  <c r="Q1255" i="2"/>
  <c r="N1255" i="2"/>
  <c r="D1255" i="2"/>
  <c r="B1255" i="2"/>
  <c r="A1255" i="2"/>
  <c r="O1255" i="2" s="1"/>
  <c r="Q1254" i="2"/>
  <c r="N1254" i="2"/>
  <c r="D1254" i="2"/>
  <c r="B1254" i="2"/>
  <c r="A1254" i="2"/>
  <c r="P1254" i="2" s="1"/>
  <c r="Q1253" i="2"/>
  <c r="N1253" i="2"/>
  <c r="D1253" i="2"/>
  <c r="B1253" i="2"/>
  <c r="A1253" i="2"/>
  <c r="O1253" i="2" s="1"/>
  <c r="Q1252" i="2"/>
  <c r="N1252" i="2"/>
  <c r="D1252" i="2"/>
  <c r="B1252" i="2"/>
  <c r="A1252" i="2"/>
  <c r="P1252" i="2" s="1"/>
  <c r="Q1251" i="2"/>
  <c r="N1251" i="2"/>
  <c r="D1251" i="2"/>
  <c r="B1251" i="2"/>
  <c r="A1251" i="2"/>
  <c r="P1251" i="2" s="1"/>
  <c r="Q1250" i="2"/>
  <c r="N1250" i="2"/>
  <c r="D1250" i="2"/>
  <c r="B1250" i="2"/>
  <c r="A1250" i="2"/>
  <c r="Q1249" i="2"/>
  <c r="N1249" i="2"/>
  <c r="D1249" i="2"/>
  <c r="B1249" i="2"/>
  <c r="A1249" i="2"/>
  <c r="O1249" i="2" s="1"/>
  <c r="Q1248" i="2"/>
  <c r="N1248" i="2"/>
  <c r="D1248" i="2"/>
  <c r="B1248" i="2"/>
  <c r="A1248" i="2"/>
  <c r="P1248" i="2" s="1"/>
  <c r="Q1247" i="2"/>
  <c r="N1247" i="2"/>
  <c r="D1247" i="2"/>
  <c r="B1247" i="2"/>
  <c r="A1247" i="2"/>
  <c r="O1247" i="2" s="1"/>
  <c r="Q1246" i="2"/>
  <c r="N1246" i="2"/>
  <c r="D1246" i="2"/>
  <c r="B1246" i="2"/>
  <c r="A1246" i="2"/>
  <c r="Q1245" i="2"/>
  <c r="N1245" i="2"/>
  <c r="D1245" i="2"/>
  <c r="B1245" i="2"/>
  <c r="A1245" i="2"/>
  <c r="P1245" i="2" s="1"/>
  <c r="Q1244" i="2"/>
  <c r="N1244" i="2"/>
  <c r="D1244" i="2"/>
  <c r="B1244" i="2"/>
  <c r="A1244" i="2"/>
  <c r="P1244" i="2" s="1"/>
  <c r="Q1243" i="2"/>
  <c r="N1243" i="2"/>
  <c r="D1243" i="2"/>
  <c r="B1243" i="2"/>
  <c r="A1243" i="2"/>
  <c r="O1243" i="2" s="1"/>
  <c r="Q1242" i="2"/>
  <c r="N1242" i="2"/>
  <c r="D1242" i="2"/>
  <c r="B1242" i="2"/>
  <c r="A1242" i="2"/>
  <c r="O1242" i="2" s="1"/>
  <c r="Q1241" i="2"/>
  <c r="N1241" i="2"/>
  <c r="D1241" i="2"/>
  <c r="B1241" i="2"/>
  <c r="A1241" i="2"/>
  <c r="P1241" i="2" s="1"/>
  <c r="Q1240" i="2"/>
  <c r="N1240" i="2"/>
  <c r="D1240" i="2"/>
  <c r="B1240" i="2"/>
  <c r="A1240" i="2"/>
  <c r="P1240" i="2" s="1"/>
  <c r="Q1239" i="2"/>
  <c r="N1239" i="2"/>
  <c r="D1239" i="2"/>
  <c r="B1239" i="2"/>
  <c r="A1239" i="2"/>
  <c r="P1239" i="2" s="1"/>
  <c r="Q1238" i="2"/>
  <c r="N1238" i="2"/>
  <c r="D1238" i="2"/>
  <c r="B1238" i="2"/>
  <c r="A1238" i="2"/>
  <c r="Q1237" i="2"/>
  <c r="N1237" i="2"/>
  <c r="D1237" i="2"/>
  <c r="B1237" i="2"/>
  <c r="A1237" i="2"/>
  <c r="O1237" i="2" s="1"/>
  <c r="Q1236" i="2"/>
  <c r="N1236" i="2"/>
  <c r="D1236" i="2"/>
  <c r="B1236" i="2"/>
  <c r="A1236" i="2"/>
  <c r="O1236" i="2" s="1"/>
  <c r="Q1235" i="2"/>
  <c r="N1235" i="2"/>
  <c r="D1235" i="2"/>
  <c r="B1235" i="2"/>
  <c r="A1235" i="2"/>
  <c r="Q1234" i="2"/>
  <c r="N1234" i="2"/>
  <c r="D1234" i="2"/>
  <c r="B1234" i="2"/>
  <c r="A1234" i="2"/>
  <c r="P1234" i="2" s="1"/>
  <c r="Q1233" i="2"/>
  <c r="N1233" i="2"/>
  <c r="D1233" i="2"/>
  <c r="B1233" i="2"/>
  <c r="A1233" i="2"/>
  <c r="P1233" i="2" s="1"/>
  <c r="Q1232" i="2"/>
  <c r="N1232" i="2"/>
  <c r="D1232" i="2"/>
  <c r="B1232" i="2"/>
  <c r="A1232" i="2"/>
  <c r="P1232" i="2" s="1"/>
  <c r="Q1231" i="2"/>
  <c r="N1231" i="2"/>
  <c r="D1231" i="2"/>
  <c r="B1231" i="2"/>
  <c r="A1231" i="2"/>
  <c r="Q1230" i="2"/>
  <c r="N1230" i="2"/>
  <c r="D1230" i="2"/>
  <c r="B1230" i="2"/>
  <c r="A1230" i="2"/>
  <c r="O1230" i="2" s="1"/>
  <c r="Q1229" i="2"/>
  <c r="N1229" i="2"/>
  <c r="D1229" i="2"/>
  <c r="B1229" i="2"/>
  <c r="A1229" i="2"/>
  <c r="Q1228" i="2"/>
  <c r="N1228" i="2"/>
  <c r="D1228" i="2"/>
  <c r="B1228" i="2"/>
  <c r="A1228" i="2"/>
  <c r="Q1227" i="2"/>
  <c r="N1227" i="2"/>
  <c r="D1227" i="2"/>
  <c r="B1227" i="2"/>
  <c r="A1227" i="2"/>
  <c r="Q1226" i="2"/>
  <c r="N1226" i="2"/>
  <c r="D1226" i="2"/>
  <c r="B1226" i="2"/>
  <c r="A1226" i="2"/>
  <c r="P1226" i="2" s="1"/>
  <c r="Q1225" i="2"/>
  <c r="N1225" i="2"/>
  <c r="D1225" i="2"/>
  <c r="B1225" i="2"/>
  <c r="A1225" i="2"/>
  <c r="Q1224" i="2"/>
  <c r="N1224" i="2"/>
  <c r="D1224" i="2"/>
  <c r="B1224" i="2"/>
  <c r="A1224" i="2"/>
  <c r="P1224" i="2" s="1"/>
  <c r="Q1223" i="2"/>
  <c r="N1223" i="2"/>
  <c r="D1223" i="2"/>
  <c r="B1223" i="2"/>
  <c r="A1223" i="2"/>
  <c r="O1223" i="2" s="1"/>
  <c r="Q1222" i="2"/>
  <c r="N1222" i="2"/>
  <c r="D1222" i="2"/>
  <c r="B1222" i="2"/>
  <c r="A1222" i="2"/>
  <c r="P1222" i="2" s="1"/>
  <c r="Q1221" i="2"/>
  <c r="N1221" i="2"/>
  <c r="D1221" i="2"/>
  <c r="B1221" i="2"/>
  <c r="A1221" i="2"/>
  <c r="P1221" i="2" s="1"/>
  <c r="Q1220" i="2"/>
  <c r="N1220" i="2"/>
  <c r="D1220" i="2"/>
  <c r="B1220" i="2"/>
  <c r="A1220" i="2"/>
  <c r="P1220" i="2" s="1"/>
  <c r="Q1219" i="2"/>
  <c r="N1219" i="2"/>
  <c r="D1219" i="2"/>
  <c r="B1219" i="2"/>
  <c r="A1219" i="2"/>
  <c r="P1219" i="2" s="1"/>
  <c r="Q1218" i="2"/>
  <c r="N1218" i="2"/>
  <c r="D1218" i="2"/>
  <c r="B1218" i="2"/>
  <c r="A1218" i="2"/>
  <c r="P1218" i="2" s="1"/>
  <c r="Q1217" i="2"/>
  <c r="N1217" i="2"/>
  <c r="D1217" i="2"/>
  <c r="B1217" i="2"/>
  <c r="A1217" i="2"/>
  <c r="O1217" i="2" s="1"/>
  <c r="Q1216" i="2"/>
  <c r="N1216" i="2"/>
  <c r="D1216" i="2"/>
  <c r="B1216" i="2"/>
  <c r="A1216" i="2"/>
  <c r="Q1215" i="2"/>
  <c r="N1215" i="2"/>
  <c r="D1215" i="2"/>
  <c r="B1215" i="2"/>
  <c r="A1215" i="2"/>
  <c r="P1215" i="2" s="1"/>
  <c r="Q1214" i="2"/>
  <c r="N1214" i="2"/>
  <c r="D1214" i="2"/>
  <c r="B1214" i="2"/>
  <c r="A1214" i="2"/>
  <c r="O1214" i="2" s="1"/>
  <c r="Q1213" i="2"/>
  <c r="N1213" i="2"/>
  <c r="D1213" i="2"/>
  <c r="B1213" i="2"/>
  <c r="A1213" i="2"/>
  <c r="Q1212" i="2"/>
  <c r="N1212" i="2"/>
  <c r="D1212" i="2"/>
  <c r="B1212" i="2"/>
  <c r="A1212" i="2"/>
  <c r="Q1211" i="2"/>
  <c r="N1211" i="2"/>
  <c r="D1211" i="2"/>
  <c r="B1211" i="2"/>
  <c r="A1211" i="2"/>
  <c r="O1211" i="2" s="1"/>
  <c r="Q1210" i="2"/>
  <c r="N1210" i="2"/>
  <c r="D1210" i="2"/>
  <c r="B1210" i="2"/>
  <c r="A1210" i="2"/>
  <c r="P1210" i="2" s="1"/>
  <c r="Q1209" i="2"/>
  <c r="N1209" i="2"/>
  <c r="D1209" i="2"/>
  <c r="B1209" i="2"/>
  <c r="A1209" i="2"/>
  <c r="Q1208" i="2"/>
  <c r="N1208" i="2"/>
  <c r="D1208" i="2"/>
  <c r="B1208" i="2"/>
  <c r="A1208" i="2"/>
  <c r="O1208" i="2" s="1"/>
  <c r="Q1207" i="2"/>
  <c r="N1207" i="2"/>
  <c r="D1207" i="2"/>
  <c r="B1207" i="2"/>
  <c r="A1207" i="2"/>
  <c r="O1207" i="2" s="1"/>
  <c r="Q1206" i="2"/>
  <c r="N1206" i="2"/>
  <c r="D1206" i="2"/>
  <c r="B1206" i="2"/>
  <c r="A1206" i="2"/>
  <c r="Q1205" i="2"/>
  <c r="N1205" i="2"/>
  <c r="D1205" i="2"/>
  <c r="B1205" i="2"/>
  <c r="A1205" i="2"/>
  <c r="O1205" i="2" s="1"/>
  <c r="Q1204" i="2"/>
  <c r="N1204" i="2"/>
  <c r="D1204" i="2"/>
  <c r="B1204" i="2"/>
  <c r="A1204" i="2"/>
  <c r="O1204" i="2" s="1"/>
  <c r="Q1203" i="2"/>
  <c r="N1203" i="2"/>
  <c r="D1203" i="2"/>
  <c r="B1203" i="2"/>
  <c r="A1203" i="2"/>
  <c r="Q1202" i="2"/>
  <c r="N1202" i="2"/>
  <c r="D1202" i="2"/>
  <c r="B1202" i="2"/>
  <c r="A1202" i="2"/>
  <c r="P1202" i="2" s="1"/>
  <c r="Q1201" i="2"/>
  <c r="N1201" i="2"/>
  <c r="D1201" i="2"/>
  <c r="B1201" i="2"/>
  <c r="A1201" i="2"/>
  <c r="P1201" i="2" s="1"/>
  <c r="Q1200" i="2"/>
  <c r="N1200" i="2"/>
  <c r="D1200" i="2"/>
  <c r="B1200" i="2"/>
  <c r="A1200" i="2"/>
  <c r="P1200" i="2" s="1"/>
  <c r="Q1199" i="2"/>
  <c r="N1199" i="2"/>
  <c r="D1199" i="2"/>
  <c r="B1199" i="2"/>
  <c r="A1199" i="2"/>
  <c r="Q1198" i="2"/>
  <c r="N1198" i="2"/>
  <c r="D1198" i="2"/>
  <c r="B1198" i="2"/>
  <c r="A1198" i="2"/>
  <c r="O1198" i="2" s="1"/>
  <c r="Q1197" i="2"/>
  <c r="N1197" i="2"/>
  <c r="D1197" i="2"/>
  <c r="B1197" i="2"/>
  <c r="A1197" i="2"/>
  <c r="Q1196" i="2"/>
  <c r="N1196" i="2"/>
  <c r="D1196" i="2"/>
  <c r="B1196" i="2"/>
  <c r="A1196" i="2"/>
  <c r="Q1195" i="2"/>
  <c r="N1195" i="2"/>
  <c r="D1195" i="2"/>
  <c r="B1195" i="2"/>
  <c r="A1195" i="2"/>
  <c r="P1195" i="2" s="1"/>
  <c r="Q1194" i="2"/>
  <c r="N1194" i="2"/>
  <c r="D1194" i="2"/>
  <c r="B1194" i="2"/>
  <c r="A1194" i="2"/>
  <c r="P1194" i="2" s="1"/>
  <c r="Q1193" i="2"/>
  <c r="N1193" i="2"/>
  <c r="D1193" i="2"/>
  <c r="B1193" i="2"/>
  <c r="A1193" i="2"/>
  <c r="Q1192" i="2"/>
  <c r="N1192" i="2"/>
  <c r="D1192" i="2"/>
  <c r="B1192" i="2"/>
  <c r="A1192" i="2"/>
  <c r="O1192" i="2" s="1"/>
  <c r="Q1191" i="2"/>
  <c r="N1191" i="2"/>
  <c r="D1191" i="2"/>
  <c r="B1191" i="2"/>
  <c r="A1191" i="2"/>
  <c r="P1191" i="2" s="1"/>
  <c r="Q1190" i="2"/>
  <c r="N1190" i="2"/>
  <c r="D1190" i="2"/>
  <c r="B1190" i="2"/>
  <c r="A1190" i="2"/>
  <c r="Q1189" i="2"/>
  <c r="N1189" i="2"/>
  <c r="D1189" i="2"/>
  <c r="B1189" i="2"/>
  <c r="A1189" i="2"/>
  <c r="Q1188" i="2"/>
  <c r="N1188" i="2"/>
  <c r="D1188" i="2"/>
  <c r="B1188" i="2"/>
  <c r="A1188" i="2"/>
  <c r="O1188" i="2" s="1"/>
  <c r="Q1187" i="2"/>
  <c r="N1187" i="2"/>
  <c r="D1187" i="2"/>
  <c r="B1187" i="2"/>
  <c r="A1187" i="2"/>
  <c r="O1187" i="2" s="1"/>
  <c r="Q1186" i="2"/>
  <c r="N1186" i="2"/>
  <c r="D1186" i="2"/>
  <c r="B1186" i="2"/>
  <c r="A1186" i="2"/>
  <c r="P1186" i="2" s="1"/>
  <c r="Q1185" i="2"/>
  <c r="N1185" i="2"/>
  <c r="D1185" i="2"/>
  <c r="B1185" i="2"/>
  <c r="A1185" i="2"/>
  <c r="P1185" i="2" s="1"/>
  <c r="Q1184" i="2"/>
  <c r="N1184" i="2"/>
  <c r="D1184" i="2"/>
  <c r="B1184" i="2"/>
  <c r="A1184" i="2"/>
  <c r="O1184" i="2" s="1"/>
  <c r="Q1183" i="2"/>
  <c r="N1183" i="2"/>
  <c r="D1183" i="2"/>
  <c r="B1183" i="2"/>
  <c r="A1183" i="2"/>
  <c r="Q1182" i="2"/>
  <c r="N1182" i="2"/>
  <c r="D1182" i="2"/>
  <c r="B1182" i="2"/>
  <c r="A1182" i="2"/>
  <c r="Q1181" i="2"/>
  <c r="N1181" i="2"/>
  <c r="D1181" i="2"/>
  <c r="B1181" i="2"/>
  <c r="A1181" i="2"/>
  <c r="P1181" i="2" s="1"/>
  <c r="Q1180" i="2"/>
  <c r="N1180" i="2"/>
  <c r="D1180" i="2"/>
  <c r="B1180" i="2"/>
  <c r="A1180" i="2"/>
  <c r="Q1179" i="2"/>
  <c r="N1179" i="2"/>
  <c r="D1179" i="2"/>
  <c r="B1179" i="2"/>
  <c r="A1179" i="2"/>
  <c r="O1179" i="2" s="1"/>
  <c r="Q1178" i="2"/>
  <c r="N1178" i="2"/>
  <c r="D1178" i="2"/>
  <c r="B1178" i="2"/>
  <c r="A1178" i="2"/>
  <c r="Q1177" i="2"/>
  <c r="N1177" i="2"/>
  <c r="D1177" i="2"/>
  <c r="B1177" i="2"/>
  <c r="A1177" i="2"/>
  <c r="Q1176" i="2"/>
  <c r="N1176" i="2"/>
  <c r="D1176" i="2"/>
  <c r="B1176" i="2"/>
  <c r="A1176" i="2"/>
  <c r="P1176" i="2" s="1"/>
  <c r="Q1175" i="2"/>
  <c r="N1175" i="2"/>
  <c r="D1175" i="2"/>
  <c r="B1175" i="2"/>
  <c r="A1175" i="2"/>
  <c r="Q1174" i="2"/>
  <c r="N1174" i="2"/>
  <c r="D1174" i="2"/>
  <c r="B1174" i="2"/>
  <c r="A1174" i="2"/>
  <c r="Q1173" i="2"/>
  <c r="N1173" i="2"/>
  <c r="D1173" i="2"/>
  <c r="B1173" i="2"/>
  <c r="A1173" i="2"/>
  <c r="O1173" i="2" s="1"/>
  <c r="Q1172" i="2"/>
  <c r="N1172" i="2"/>
  <c r="D1172" i="2"/>
  <c r="B1172" i="2"/>
  <c r="A1172" i="2"/>
  <c r="O1172" i="2" s="1"/>
  <c r="Q1171" i="2"/>
  <c r="N1171" i="2"/>
  <c r="D1171" i="2"/>
  <c r="B1171" i="2"/>
  <c r="A1171" i="2"/>
  <c r="O1171" i="2" s="1"/>
  <c r="Q1170" i="2"/>
  <c r="N1170" i="2"/>
  <c r="D1170" i="2"/>
  <c r="B1170" i="2"/>
  <c r="A1170" i="2"/>
  <c r="P1170" i="2" s="1"/>
  <c r="Q1169" i="2"/>
  <c r="N1169" i="2"/>
  <c r="D1169" i="2"/>
  <c r="B1169" i="2"/>
  <c r="A1169" i="2"/>
  <c r="Q1168" i="2"/>
  <c r="N1168" i="2"/>
  <c r="D1168" i="2"/>
  <c r="B1168" i="2"/>
  <c r="A1168" i="2"/>
  <c r="O1168" i="2" s="1"/>
  <c r="Q1167" i="2"/>
  <c r="N1167" i="2"/>
  <c r="D1167" i="2"/>
  <c r="B1167" i="2"/>
  <c r="A1167" i="2"/>
  <c r="P1167" i="2" s="1"/>
  <c r="Q1166" i="2"/>
  <c r="N1166" i="2"/>
  <c r="D1166" i="2"/>
  <c r="B1166" i="2"/>
  <c r="A1166" i="2"/>
  <c r="P1166" i="2" s="1"/>
  <c r="Q1165" i="2"/>
  <c r="N1165" i="2"/>
  <c r="D1165" i="2"/>
  <c r="B1165" i="2"/>
  <c r="A1165" i="2"/>
  <c r="O1165" i="2" s="1"/>
  <c r="Q1164" i="2"/>
  <c r="N1164" i="2"/>
  <c r="D1164" i="2"/>
  <c r="B1164" i="2"/>
  <c r="A1164" i="2"/>
  <c r="P1164" i="2" s="1"/>
  <c r="Q1163" i="2"/>
  <c r="N1163" i="2"/>
  <c r="D1163" i="2"/>
  <c r="B1163" i="2"/>
  <c r="A1163" i="2"/>
  <c r="P1163" i="2" s="1"/>
  <c r="Q1162" i="2"/>
  <c r="N1162" i="2"/>
  <c r="D1162" i="2"/>
  <c r="B1162" i="2"/>
  <c r="A1162" i="2"/>
  <c r="P1162" i="2" s="1"/>
  <c r="Q1161" i="2"/>
  <c r="N1161" i="2"/>
  <c r="D1161" i="2"/>
  <c r="B1161" i="2"/>
  <c r="A1161" i="2"/>
  <c r="P1161" i="2" s="1"/>
  <c r="Q1160" i="2"/>
  <c r="N1160" i="2"/>
  <c r="D1160" i="2"/>
  <c r="B1160" i="2"/>
  <c r="A1160" i="2"/>
  <c r="P1160" i="2" s="1"/>
  <c r="Q1159" i="2"/>
  <c r="N1159" i="2"/>
  <c r="D1159" i="2"/>
  <c r="B1159" i="2"/>
  <c r="A1159" i="2"/>
  <c r="Q1158" i="2"/>
  <c r="N1158" i="2"/>
  <c r="D1158" i="2"/>
  <c r="B1158" i="2"/>
  <c r="A1158" i="2"/>
  <c r="Q1157" i="2"/>
  <c r="N1157" i="2"/>
  <c r="D1157" i="2"/>
  <c r="B1157" i="2"/>
  <c r="A1157" i="2"/>
  <c r="O1157" i="2" s="1"/>
  <c r="Q1156" i="2"/>
  <c r="N1156" i="2"/>
  <c r="D1156" i="2"/>
  <c r="B1156" i="2"/>
  <c r="A1156" i="2"/>
  <c r="P1156" i="2" s="1"/>
  <c r="Q1155" i="2"/>
  <c r="N1155" i="2"/>
  <c r="D1155" i="2"/>
  <c r="B1155" i="2"/>
  <c r="A1155" i="2"/>
  <c r="Q1154" i="2"/>
  <c r="N1154" i="2"/>
  <c r="D1154" i="2"/>
  <c r="B1154" i="2"/>
  <c r="A1154" i="2"/>
  <c r="Q1153" i="2"/>
  <c r="N1153" i="2"/>
  <c r="D1153" i="2"/>
  <c r="B1153" i="2"/>
  <c r="A1153" i="2"/>
  <c r="O1153" i="2" s="1"/>
  <c r="Q1152" i="2"/>
  <c r="N1152" i="2"/>
  <c r="D1152" i="2"/>
  <c r="B1152" i="2"/>
  <c r="A1152" i="2"/>
  <c r="Q1151" i="2"/>
  <c r="N1151" i="2"/>
  <c r="D1151" i="2"/>
  <c r="B1151" i="2"/>
  <c r="A1151" i="2"/>
  <c r="Q1150" i="2"/>
  <c r="N1150" i="2"/>
  <c r="D1150" i="2"/>
  <c r="B1150" i="2"/>
  <c r="A1150" i="2"/>
  <c r="Q1149" i="2"/>
  <c r="N1149" i="2"/>
  <c r="D1149" i="2"/>
  <c r="B1149" i="2"/>
  <c r="A1149" i="2"/>
  <c r="O1149" i="2" s="1"/>
  <c r="Q1148" i="2"/>
  <c r="N1148" i="2"/>
  <c r="D1148" i="2"/>
  <c r="B1148" i="2"/>
  <c r="A1148" i="2"/>
  <c r="Q1147" i="2"/>
  <c r="N1147" i="2"/>
  <c r="D1147" i="2"/>
  <c r="B1147" i="2"/>
  <c r="A1147" i="2"/>
  <c r="P1147" i="2" s="1"/>
  <c r="Q1146" i="2"/>
  <c r="N1146" i="2"/>
  <c r="D1146" i="2"/>
  <c r="B1146" i="2"/>
  <c r="A1146" i="2"/>
  <c r="P1146" i="2" s="1"/>
  <c r="Q1145" i="2"/>
  <c r="N1145" i="2"/>
  <c r="D1145" i="2"/>
  <c r="B1145" i="2"/>
  <c r="A1145" i="2"/>
  <c r="Q1144" i="2"/>
  <c r="N1144" i="2"/>
  <c r="D1144" i="2"/>
  <c r="B1144" i="2"/>
  <c r="A1144" i="2"/>
  <c r="P1144" i="2" s="1"/>
  <c r="Q1143" i="2"/>
  <c r="N1143" i="2"/>
  <c r="D1143" i="2"/>
  <c r="B1143" i="2"/>
  <c r="A1143" i="2"/>
  <c r="Q1142" i="2"/>
  <c r="N1142" i="2"/>
  <c r="D1142" i="2"/>
  <c r="B1142" i="2"/>
  <c r="A1142" i="2"/>
  <c r="P1142" i="2" s="1"/>
  <c r="Q1141" i="2"/>
  <c r="N1141" i="2"/>
  <c r="D1141" i="2"/>
  <c r="B1141" i="2"/>
  <c r="A1141" i="2"/>
  <c r="P1141" i="2" s="1"/>
  <c r="Q1140" i="2"/>
  <c r="N1140" i="2"/>
  <c r="D1140" i="2"/>
  <c r="B1140" i="2"/>
  <c r="A1140" i="2"/>
  <c r="Q1139" i="2"/>
  <c r="N1139" i="2"/>
  <c r="D1139" i="2"/>
  <c r="B1139" i="2"/>
  <c r="A1139" i="2"/>
  <c r="O1139" i="2" s="1"/>
  <c r="Q1138" i="2"/>
  <c r="N1138" i="2"/>
  <c r="D1138" i="2"/>
  <c r="B1138" i="2"/>
  <c r="A1138" i="2"/>
  <c r="P1138" i="2" s="1"/>
  <c r="Q1137" i="2"/>
  <c r="N1137" i="2"/>
  <c r="D1137" i="2"/>
  <c r="B1137" i="2"/>
  <c r="A1137" i="2"/>
  <c r="P1137" i="2" s="1"/>
  <c r="Q1136" i="2"/>
  <c r="N1136" i="2"/>
  <c r="D1136" i="2"/>
  <c r="B1136" i="2"/>
  <c r="A1136" i="2"/>
  <c r="P1136" i="2" s="1"/>
  <c r="Q1135" i="2"/>
  <c r="N1135" i="2"/>
  <c r="D1135" i="2"/>
  <c r="B1135" i="2"/>
  <c r="A1135" i="2"/>
  <c r="P1135" i="2" s="1"/>
  <c r="Q1134" i="2"/>
  <c r="N1134" i="2"/>
  <c r="D1134" i="2"/>
  <c r="B1134" i="2"/>
  <c r="A1134" i="2"/>
  <c r="O1134" i="2" s="1"/>
  <c r="Q1133" i="2"/>
  <c r="N1133" i="2"/>
  <c r="D1133" i="2"/>
  <c r="B1133" i="2"/>
  <c r="A1133" i="2"/>
  <c r="P1133" i="2" s="1"/>
  <c r="Q1132" i="2"/>
  <c r="N1132" i="2"/>
  <c r="D1132" i="2"/>
  <c r="B1132" i="2"/>
  <c r="A1132" i="2"/>
  <c r="Q1131" i="2"/>
  <c r="N1131" i="2"/>
  <c r="D1131" i="2"/>
  <c r="B1131" i="2"/>
  <c r="A1131" i="2"/>
  <c r="O1131" i="2" s="1"/>
  <c r="Q1130" i="2"/>
  <c r="N1130" i="2"/>
  <c r="D1130" i="2"/>
  <c r="B1130" i="2"/>
  <c r="A1130" i="2"/>
  <c r="P1130" i="2" s="1"/>
  <c r="Q1129" i="2"/>
  <c r="N1129" i="2"/>
  <c r="D1129" i="2"/>
  <c r="B1129" i="2"/>
  <c r="A1129" i="2"/>
  <c r="Q1128" i="2"/>
  <c r="N1128" i="2"/>
  <c r="D1128" i="2"/>
  <c r="B1128" i="2"/>
  <c r="A1128" i="2"/>
  <c r="P1128" i="2" s="1"/>
  <c r="Q1127" i="2"/>
  <c r="N1127" i="2"/>
  <c r="D1127" i="2"/>
  <c r="B1127" i="2"/>
  <c r="A1127" i="2"/>
  <c r="P1127" i="2" s="1"/>
  <c r="Q1126" i="2"/>
  <c r="N1126" i="2"/>
  <c r="D1126" i="2"/>
  <c r="B1126" i="2"/>
  <c r="A1126" i="2"/>
  <c r="Q1125" i="2"/>
  <c r="N1125" i="2"/>
  <c r="D1125" i="2"/>
  <c r="B1125" i="2"/>
  <c r="A1125" i="2"/>
  <c r="Q1124" i="2"/>
  <c r="N1124" i="2"/>
  <c r="D1124" i="2"/>
  <c r="B1124" i="2"/>
  <c r="A1124" i="2"/>
  <c r="P1124" i="2" s="1"/>
  <c r="Q1123" i="2"/>
  <c r="N1123" i="2"/>
  <c r="D1123" i="2"/>
  <c r="B1123" i="2"/>
  <c r="A1123" i="2"/>
  <c r="P1123" i="2" s="1"/>
  <c r="Q1122" i="2"/>
  <c r="N1122" i="2"/>
  <c r="D1122" i="2"/>
  <c r="B1122" i="2"/>
  <c r="A1122" i="2"/>
  <c r="Q1121" i="2"/>
  <c r="N1121" i="2"/>
  <c r="D1121" i="2"/>
  <c r="B1121" i="2"/>
  <c r="A1121" i="2"/>
  <c r="Q1120" i="2"/>
  <c r="N1120" i="2"/>
  <c r="D1120" i="2"/>
  <c r="B1120" i="2"/>
  <c r="A1120" i="2"/>
  <c r="Q1119" i="2"/>
  <c r="N1119" i="2"/>
  <c r="D1119" i="2"/>
  <c r="B1119" i="2"/>
  <c r="A1119" i="2"/>
  <c r="Q1118" i="2"/>
  <c r="N1118" i="2"/>
  <c r="D1118" i="2"/>
  <c r="B1118" i="2"/>
  <c r="A1118" i="2"/>
  <c r="Q1117" i="2"/>
  <c r="N1117" i="2"/>
  <c r="D1117" i="2"/>
  <c r="B1117" i="2"/>
  <c r="A1117" i="2"/>
  <c r="P1117" i="2" s="1"/>
  <c r="Q1116" i="2"/>
  <c r="N1116" i="2"/>
  <c r="D1116" i="2"/>
  <c r="B1116" i="2"/>
  <c r="A1116" i="2"/>
  <c r="Q1115" i="2"/>
  <c r="N1115" i="2"/>
  <c r="D1115" i="2"/>
  <c r="B1115" i="2"/>
  <c r="A1115" i="2"/>
  <c r="P1115" i="2" s="1"/>
  <c r="Q1114" i="2"/>
  <c r="N1114" i="2"/>
  <c r="D1114" i="2"/>
  <c r="B1114" i="2"/>
  <c r="A1114" i="2"/>
  <c r="Q1113" i="2"/>
  <c r="N1113" i="2"/>
  <c r="D1113" i="2"/>
  <c r="B1113" i="2"/>
  <c r="A1113" i="2"/>
  <c r="O1113" i="2" s="1"/>
  <c r="Q1112" i="2"/>
  <c r="N1112" i="2"/>
  <c r="D1112" i="2"/>
  <c r="B1112" i="2"/>
  <c r="A1112" i="2"/>
  <c r="P1112" i="2" s="1"/>
  <c r="Q1111" i="2"/>
  <c r="N1111" i="2"/>
  <c r="D1111" i="2"/>
  <c r="B1111" i="2"/>
  <c r="A1111" i="2"/>
  <c r="P1111" i="2" s="1"/>
  <c r="Q1110" i="2"/>
  <c r="N1110" i="2"/>
  <c r="D1110" i="2"/>
  <c r="B1110" i="2"/>
  <c r="A1110" i="2"/>
  <c r="P1110" i="2" s="1"/>
  <c r="Q1109" i="2"/>
  <c r="N1109" i="2"/>
  <c r="D1109" i="2"/>
  <c r="B1109" i="2"/>
  <c r="A1109" i="2"/>
  <c r="O1109" i="2" s="1"/>
  <c r="Q1108" i="2"/>
  <c r="N1108" i="2"/>
  <c r="D1108" i="2"/>
  <c r="B1108" i="2"/>
  <c r="A1108" i="2"/>
  <c r="O1108" i="2" s="1"/>
  <c r="Q1107" i="2"/>
  <c r="N1107" i="2"/>
  <c r="D1107" i="2"/>
  <c r="B1107" i="2"/>
  <c r="A1107" i="2"/>
  <c r="P1107" i="2" s="1"/>
  <c r="Q1106" i="2"/>
  <c r="N1106" i="2"/>
  <c r="D1106" i="2"/>
  <c r="B1106" i="2"/>
  <c r="A1106" i="2"/>
  <c r="O1106" i="2" s="1"/>
  <c r="Q1105" i="2"/>
  <c r="N1105" i="2"/>
  <c r="D1105" i="2"/>
  <c r="B1105" i="2"/>
  <c r="A1105" i="2"/>
  <c r="P1105" i="2" s="1"/>
  <c r="Q1104" i="2"/>
  <c r="N1104" i="2"/>
  <c r="D1104" i="2"/>
  <c r="B1104" i="2"/>
  <c r="A1104" i="2"/>
  <c r="O1104" i="2" s="1"/>
  <c r="Q1103" i="2"/>
  <c r="N1103" i="2"/>
  <c r="D1103" i="2"/>
  <c r="B1103" i="2"/>
  <c r="A1103" i="2"/>
  <c r="O1103" i="2" s="1"/>
  <c r="Q1102" i="2"/>
  <c r="N1102" i="2"/>
  <c r="D1102" i="2"/>
  <c r="B1102" i="2"/>
  <c r="A1102" i="2"/>
  <c r="O1102" i="2" s="1"/>
  <c r="Q1101" i="2"/>
  <c r="N1101" i="2"/>
  <c r="D1101" i="2"/>
  <c r="Q1100" i="2"/>
  <c r="N1100" i="2"/>
  <c r="D1100" i="2"/>
  <c r="Q1099" i="2"/>
  <c r="N1099" i="2"/>
  <c r="D1099" i="2"/>
  <c r="Q1098" i="2"/>
  <c r="N1098" i="2"/>
  <c r="D1098" i="2"/>
  <c r="Q1097" i="2"/>
  <c r="N1097" i="2"/>
  <c r="D1097" i="2"/>
  <c r="Q1096" i="2"/>
  <c r="N1096" i="2"/>
  <c r="D1096" i="2"/>
  <c r="Q1095" i="2"/>
  <c r="N1095" i="2"/>
  <c r="D1095" i="2"/>
  <c r="Q1094" i="2"/>
  <c r="N1094" i="2"/>
  <c r="D1094" i="2"/>
  <c r="Q1093" i="2"/>
  <c r="N1093" i="2"/>
  <c r="D1093" i="2"/>
  <c r="Q1092" i="2"/>
  <c r="N1092" i="2"/>
  <c r="D1092" i="2"/>
  <c r="Q1091" i="2"/>
  <c r="N1091" i="2"/>
  <c r="D1091" i="2"/>
  <c r="Q1090" i="2"/>
  <c r="N1090" i="2"/>
  <c r="D1090" i="2"/>
  <c r="Q1089" i="2"/>
  <c r="N1089" i="2"/>
  <c r="D1089" i="2"/>
  <c r="Q1088" i="2"/>
  <c r="N1088" i="2"/>
  <c r="D1088" i="2"/>
  <c r="Q1087" i="2"/>
  <c r="N1087" i="2"/>
  <c r="D1087" i="2"/>
  <c r="Q1086" i="2"/>
  <c r="N1086" i="2"/>
  <c r="D1086" i="2"/>
  <c r="Q1085" i="2"/>
  <c r="N1085" i="2"/>
  <c r="D1085" i="2"/>
  <c r="Q1084" i="2"/>
  <c r="N1084" i="2"/>
  <c r="D1084" i="2"/>
  <c r="Q1083" i="2"/>
  <c r="N1083" i="2"/>
  <c r="D1083" i="2"/>
  <c r="Q1082" i="2"/>
  <c r="N1082" i="2"/>
  <c r="D1082" i="2"/>
  <c r="Q1081" i="2"/>
  <c r="N1081" i="2"/>
  <c r="D1081" i="2"/>
  <c r="Q1080" i="2"/>
  <c r="N1080" i="2"/>
  <c r="D1080" i="2"/>
  <c r="Q1079" i="2"/>
  <c r="N1079" i="2"/>
  <c r="D1079" i="2"/>
  <c r="Q1078" i="2"/>
  <c r="N1078" i="2"/>
  <c r="D1078" i="2"/>
  <c r="Q1077" i="2"/>
  <c r="N1077" i="2"/>
  <c r="D1077" i="2"/>
  <c r="Q1076" i="2"/>
  <c r="N1076" i="2"/>
  <c r="D1076" i="2"/>
  <c r="Q1075" i="2"/>
  <c r="N1075" i="2"/>
  <c r="D1075" i="2"/>
  <c r="Q1074" i="2"/>
  <c r="N1074" i="2"/>
  <c r="D1074" i="2"/>
  <c r="Q1073" i="2"/>
  <c r="N1073" i="2"/>
  <c r="D1073" i="2"/>
  <c r="Q1072" i="2"/>
  <c r="N1072" i="2"/>
  <c r="D1072" i="2"/>
  <c r="Q1071" i="2"/>
  <c r="N1071" i="2"/>
  <c r="D1071" i="2"/>
  <c r="Q1070" i="2"/>
  <c r="N1070" i="2"/>
  <c r="D1070" i="2"/>
  <c r="Q1069" i="2"/>
  <c r="N1069" i="2"/>
  <c r="D1069" i="2"/>
  <c r="Q1068" i="2"/>
  <c r="N1068" i="2"/>
  <c r="D1068" i="2"/>
  <c r="Q1067" i="2"/>
  <c r="N1067" i="2"/>
  <c r="D1067" i="2"/>
  <c r="Q1066" i="2"/>
  <c r="N1066" i="2"/>
  <c r="D1066" i="2"/>
  <c r="Q1065" i="2"/>
  <c r="N1065" i="2"/>
  <c r="D1065" i="2"/>
  <c r="Q1064" i="2"/>
  <c r="N1064" i="2"/>
  <c r="D1064" i="2"/>
  <c r="Q1063" i="2"/>
  <c r="N1063" i="2"/>
  <c r="D1063" i="2"/>
  <c r="N1062" i="2"/>
  <c r="D1062" i="2"/>
  <c r="N1061" i="2"/>
  <c r="D1061" i="2"/>
  <c r="N1060" i="2"/>
  <c r="D1060" i="2"/>
  <c r="N1059" i="2"/>
  <c r="D1059" i="2"/>
  <c r="N1058" i="2"/>
  <c r="D1058" i="2"/>
  <c r="N1057" i="2"/>
  <c r="D1057" i="2"/>
  <c r="N1056" i="2"/>
  <c r="D1056" i="2"/>
  <c r="N1055" i="2"/>
  <c r="D1055" i="2"/>
  <c r="N1054" i="2"/>
  <c r="D1054" i="2"/>
  <c r="N1053" i="2"/>
  <c r="D1053" i="2"/>
  <c r="N1052" i="2"/>
  <c r="D1052" i="2"/>
  <c r="N1051" i="2"/>
  <c r="D1051" i="2"/>
  <c r="N1050" i="2"/>
  <c r="D1050" i="2"/>
  <c r="N1049" i="2"/>
  <c r="D1049" i="2"/>
  <c r="N1048" i="2"/>
  <c r="D1048" i="2"/>
  <c r="N1047" i="2"/>
  <c r="D1047" i="2"/>
  <c r="N1046" i="2"/>
  <c r="D1046" i="2"/>
  <c r="N1045" i="2"/>
  <c r="D1045" i="2"/>
  <c r="N1044" i="2"/>
  <c r="D1044" i="2"/>
  <c r="N1043" i="2"/>
  <c r="D1043" i="2"/>
  <c r="N1042" i="2"/>
  <c r="D1042" i="2"/>
  <c r="N1041" i="2"/>
  <c r="D1041" i="2"/>
  <c r="N1040" i="2"/>
  <c r="D1040" i="2"/>
  <c r="N1039" i="2"/>
  <c r="D1039" i="2"/>
  <c r="N1038" i="2"/>
  <c r="D1038" i="2"/>
  <c r="N1037" i="2"/>
  <c r="D1037" i="2"/>
  <c r="N1036" i="2"/>
  <c r="D1036" i="2"/>
  <c r="N1035" i="2"/>
  <c r="D1035" i="2"/>
  <c r="N1034" i="2"/>
  <c r="D1034" i="2"/>
  <c r="N1033" i="2"/>
  <c r="D1033" i="2"/>
  <c r="N1032" i="2"/>
  <c r="D1032" i="2"/>
  <c r="N1031" i="2"/>
  <c r="D1031" i="2"/>
  <c r="N1030" i="2"/>
  <c r="D1030" i="2"/>
  <c r="N1029" i="2"/>
  <c r="D1029" i="2"/>
  <c r="N1028" i="2"/>
  <c r="D1028" i="2"/>
  <c r="N1027" i="2"/>
  <c r="D1027" i="2"/>
  <c r="N1026" i="2"/>
  <c r="D1026" i="2"/>
  <c r="N1025" i="2"/>
  <c r="D1025" i="2"/>
  <c r="D1024" i="2"/>
  <c r="N1023" i="2"/>
  <c r="D1023" i="2"/>
  <c r="N1022" i="2"/>
  <c r="D1022" i="2"/>
  <c r="N1021" i="2"/>
  <c r="D1021" i="2"/>
  <c r="N1020" i="2"/>
  <c r="D1020" i="2"/>
  <c r="N1019" i="2"/>
  <c r="D1019" i="2"/>
  <c r="N1018" i="2"/>
  <c r="D1018" i="2"/>
  <c r="N1017" i="2"/>
  <c r="D1017" i="2"/>
  <c r="N1016" i="2"/>
  <c r="N1015" i="2"/>
  <c r="N1014" i="2"/>
  <c r="D1014" i="2"/>
  <c r="N1013" i="2"/>
  <c r="D1013" i="2"/>
  <c r="N1012" i="2"/>
  <c r="D1012" i="2"/>
  <c r="N1011" i="2"/>
  <c r="D1011" i="2"/>
  <c r="N1010" i="2"/>
  <c r="D1010" i="2"/>
  <c r="N1009" i="2"/>
  <c r="D1009" i="2"/>
  <c r="N1008" i="2"/>
  <c r="D1008" i="2"/>
  <c r="N1007" i="2"/>
  <c r="D1007" i="2"/>
  <c r="N1006" i="2"/>
  <c r="D1006" i="2"/>
  <c r="N1005" i="2"/>
  <c r="D1005" i="2"/>
  <c r="N1004" i="2"/>
  <c r="D1004" i="2"/>
  <c r="N1003" i="2"/>
  <c r="D1003" i="2"/>
  <c r="N1002" i="2"/>
  <c r="D1002" i="2"/>
  <c r="N1001" i="2"/>
  <c r="D1001" i="2"/>
  <c r="N1000" i="2"/>
  <c r="D1000" i="2"/>
  <c r="N999" i="2"/>
  <c r="D999" i="2"/>
  <c r="N998" i="2"/>
  <c r="D998" i="2"/>
  <c r="N997" i="2"/>
  <c r="D997" i="2"/>
  <c r="N996" i="2"/>
  <c r="D996" i="2"/>
  <c r="N995" i="2"/>
  <c r="D995" i="2"/>
  <c r="N994" i="2"/>
  <c r="D994" i="2"/>
  <c r="N993" i="2"/>
  <c r="D993" i="2"/>
  <c r="N992" i="2"/>
  <c r="D992" i="2"/>
  <c r="N991" i="2"/>
  <c r="D991" i="2"/>
  <c r="N990" i="2"/>
  <c r="D990" i="2"/>
  <c r="N989" i="2"/>
  <c r="D989" i="2"/>
  <c r="N988" i="2"/>
  <c r="D988" i="2"/>
  <c r="N987" i="2"/>
  <c r="D987" i="2"/>
  <c r="N986" i="2"/>
  <c r="D986" i="2"/>
  <c r="N985" i="2"/>
  <c r="D985" i="2"/>
  <c r="N984" i="2"/>
  <c r="D984" i="2"/>
  <c r="N983" i="2"/>
  <c r="D983" i="2"/>
  <c r="N982" i="2"/>
  <c r="D982" i="2"/>
  <c r="N981" i="2"/>
  <c r="D981" i="2"/>
  <c r="I1005" i="3"/>
  <c r="N980" i="2"/>
  <c r="D980" i="2"/>
  <c r="N979" i="2"/>
  <c r="D979" i="2"/>
  <c r="N978" i="2"/>
  <c r="D978" i="2"/>
  <c r="N977" i="2"/>
  <c r="D977" i="2"/>
  <c r="N976" i="2"/>
  <c r="D976" i="2"/>
  <c r="N975" i="2"/>
  <c r="D975" i="2"/>
  <c r="N974" i="2"/>
  <c r="D974" i="2"/>
  <c r="N973" i="2"/>
  <c r="D973" i="2"/>
  <c r="N972" i="2"/>
  <c r="D972" i="2"/>
  <c r="N971" i="2"/>
  <c r="D971" i="2"/>
  <c r="N970" i="2"/>
  <c r="D970" i="2"/>
  <c r="N969" i="2"/>
  <c r="D969" i="2"/>
  <c r="N968" i="2"/>
  <c r="D968" i="2"/>
  <c r="N967" i="2"/>
  <c r="D967" i="2"/>
  <c r="N966" i="2"/>
  <c r="D966" i="2"/>
  <c r="N965" i="2"/>
  <c r="D965" i="2"/>
  <c r="N964" i="2"/>
  <c r="D964" i="2"/>
  <c r="N963" i="2"/>
  <c r="D963" i="2"/>
  <c r="N962" i="2"/>
  <c r="D962" i="2"/>
  <c r="N961" i="2"/>
  <c r="D961" i="2"/>
  <c r="N960" i="2"/>
  <c r="D960" i="2"/>
  <c r="N959" i="2"/>
  <c r="D959" i="2"/>
  <c r="N958" i="2"/>
  <c r="D958" i="2"/>
  <c r="N957" i="2"/>
  <c r="D957" i="2"/>
  <c r="N956" i="2"/>
  <c r="D956" i="2"/>
  <c r="N955" i="2"/>
  <c r="D955" i="2"/>
  <c r="N954" i="2"/>
  <c r="D954" i="2"/>
  <c r="N953" i="2"/>
  <c r="D953" i="2"/>
  <c r="N952" i="2"/>
  <c r="D952" i="2"/>
  <c r="N951" i="2"/>
  <c r="D951" i="2"/>
  <c r="N950" i="2"/>
  <c r="D950" i="2"/>
  <c r="N949" i="2"/>
  <c r="D949" i="2"/>
  <c r="N948" i="2"/>
  <c r="D948" i="2"/>
  <c r="N947" i="2"/>
  <c r="D947" i="2"/>
  <c r="N946" i="2"/>
  <c r="D946" i="2"/>
  <c r="N945" i="2"/>
  <c r="D945" i="2"/>
  <c r="N944" i="2"/>
  <c r="D944" i="2"/>
  <c r="N943" i="2"/>
  <c r="D943" i="2"/>
  <c r="N942" i="2"/>
  <c r="D942" i="2"/>
  <c r="N941" i="2"/>
  <c r="D941" i="2"/>
  <c r="N940" i="2"/>
  <c r="D940" i="2"/>
  <c r="N939" i="2"/>
  <c r="D939" i="2"/>
  <c r="N938" i="2"/>
  <c r="D938" i="2"/>
  <c r="N937" i="2"/>
  <c r="D937" i="2"/>
  <c r="N936" i="2"/>
  <c r="D936" i="2"/>
  <c r="N935" i="2"/>
  <c r="D935" i="2"/>
  <c r="N934" i="2"/>
  <c r="D934" i="2"/>
  <c r="N933" i="2"/>
  <c r="D933" i="2"/>
  <c r="N932" i="2"/>
  <c r="D932" i="2"/>
  <c r="N931" i="2"/>
  <c r="D931" i="2"/>
  <c r="N930" i="2"/>
  <c r="D930" i="2"/>
  <c r="N929" i="2"/>
  <c r="D929" i="2"/>
  <c r="N928" i="2"/>
  <c r="D928" i="2"/>
  <c r="N927" i="2"/>
  <c r="D927" i="2"/>
  <c r="N926" i="2"/>
  <c r="D926" i="2"/>
  <c r="N925" i="2"/>
  <c r="D925" i="2"/>
  <c r="N924" i="2"/>
  <c r="D924" i="2"/>
  <c r="N923" i="2"/>
  <c r="D923" i="2"/>
  <c r="N922" i="2"/>
  <c r="D922" i="2"/>
  <c r="N921" i="2"/>
  <c r="D921" i="2"/>
  <c r="N920" i="2"/>
  <c r="D920" i="2"/>
  <c r="N919" i="2"/>
  <c r="D919" i="2"/>
  <c r="N918" i="2"/>
  <c r="D918" i="2"/>
  <c r="N917" i="2"/>
  <c r="D917" i="2"/>
  <c r="N916" i="2"/>
  <c r="D916" i="2"/>
  <c r="N915" i="2"/>
  <c r="D915" i="2"/>
  <c r="N914" i="2"/>
  <c r="D914" i="2"/>
  <c r="N913" i="2"/>
  <c r="D913" i="2"/>
  <c r="N912" i="2"/>
  <c r="D912" i="2"/>
  <c r="N911" i="2"/>
  <c r="D911" i="2"/>
  <c r="N910" i="2"/>
  <c r="D910" i="2"/>
  <c r="N909" i="2"/>
  <c r="D909" i="2"/>
  <c r="N908" i="2"/>
  <c r="D908" i="2"/>
  <c r="N907" i="2"/>
  <c r="D907" i="2"/>
  <c r="N906" i="2"/>
  <c r="D906" i="2"/>
  <c r="N905" i="2"/>
  <c r="D905" i="2"/>
  <c r="N904" i="2"/>
  <c r="D904" i="2"/>
  <c r="N903" i="2"/>
  <c r="D903" i="2"/>
  <c r="N902" i="2"/>
  <c r="D902" i="2"/>
  <c r="N901" i="2"/>
  <c r="D901" i="2"/>
  <c r="N900" i="2"/>
  <c r="D900" i="2"/>
  <c r="N899" i="2"/>
  <c r="D899" i="2"/>
  <c r="N898" i="2"/>
  <c r="D898" i="2"/>
  <c r="N897" i="2"/>
  <c r="D897" i="2"/>
  <c r="N896" i="2"/>
  <c r="D896" i="2"/>
  <c r="N895" i="2"/>
  <c r="D895" i="2"/>
  <c r="N894" i="2"/>
  <c r="D894" i="2"/>
  <c r="N893" i="2"/>
  <c r="D893" i="2"/>
  <c r="N892" i="2"/>
  <c r="D892" i="2"/>
  <c r="N891" i="2"/>
  <c r="D891" i="2"/>
  <c r="N890" i="2"/>
  <c r="D890" i="2"/>
  <c r="N889" i="2"/>
  <c r="D889" i="2"/>
  <c r="N888" i="2"/>
  <c r="D888" i="2"/>
  <c r="N887" i="2"/>
  <c r="D887" i="2"/>
  <c r="N886" i="2"/>
  <c r="D886" i="2"/>
  <c r="N885" i="2"/>
  <c r="D885" i="2"/>
  <c r="N884" i="2"/>
  <c r="D884" i="2"/>
  <c r="N883" i="2"/>
  <c r="D883" i="2"/>
  <c r="N882" i="2"/>
  <c r="D882" i="2"/>
  <c r="N881" i="2"/>
  <c r="D881" i="2"/>
  <c r="N880" i="2"/>
  <c r="D880" i="2"/>
  <c r="N879" i="2"/>
  <c r="D879" i="2"/>
  <c r="N878" i="2"/>
  <c r="D878" i="2"/>
  <c r="N877" i="2"/>
  <c r="D877" i="2"/>
  <c r="N876" i="2"/>
  <c r="D876" i="2"/>
  <c r="N875" i="2"/>
  <c r="D875" i="2"/>
  <c r="N874" i="2"/>
  <c r="D874" i="2"/>
  <c r="N873" i="2"/>
  <c r="D873" i="2"/>
  <c r="N872" i="2"/>
  <c r="D872" i="2"/>
  <c r="N871" i="2"/>
  <c r="D871" i="2"/>
  <c r="N870" i="2"/>
  <c r="D870" i="2"/>
  <c r="N869" i="2"/>
  <c r="D869" i="2"/>
  <c r="N868" i="2"/>
  <c r="D868" i="2"/>
  <c r="N867" i="2"/>
  <c r="D867" i="2"/>
  <c r="N866" i="2"/>
  <c r="D866" i="2"/>
  <c r="N865" i="2"/>
  <c r="D865" i="2"/>
  <c r="N864" i="2"/>
  <c r="D864" i="2"/>
  <c r="N863" i="2"/>
  <c r="D863" i="2"/>
  <c r="N862" i="2"/>
  <c r="D862" i="2"/>
  <c r="N861" i="2"/>
  <c r="D861" i="2"/>
  <c r="N860" i="2"/>
  <c r="D860" i="2"/>
  <c r="N859" i="2"/>
  <c r="D859" i="2"/>
  <c r="N858" i="2"/>
  <c r="D858" i="2"/>
  <c r="N857" i="2"/>
  <c r="D857" i="2"/>
  <c r="N856" i="2"/>
  <c r="D856" i="2"/>
  <c r="N855" i="2"/>
  <c r="D855" i="2"/>
  <c r="N854" i="2"/>
  <c r="D854" i="2"/>
  <c r="N853" i="2"/>
  <c r="D853" i="2"/>
  <c r="N852" i="2"/>
  <c r="D852" i="2"/>
  <c r="N851" i="2"/>
  <c r="D851" i="2"/>
  <c r="N850" i="2"/>
  <c r="D850" i="2"/>
  <c r="N849" i="2"/>
  <c r="D849" i="2"/>
  <c r="N848" i="2"/>
  <c r="D848" i="2"/>
  <c r="N847" i="2"/>
  <c r="D847" i="2"/>
  <c r="N846" i="2"/>
  <c r="D846" i="2"/>
  <c r="N845" i="2"/>
  <c r="D845" i="2"/>
  <c r="N844" i="2"/>
  <c r="D844" i="2"/>
  <c r="N843" i="2"/>
  <c r="D843" i="2"/>
  <c r="N842" i="2"/>
  <c r="D842" i="2"/>
  <c r="N841" i="2"/>
  <c r="D841" i="2"/>
  <c r="N840" i="2"/>
  <c r="D840" i="2"/>
  <c r="N839" i="2"/>
  <c r="D839" i="2"/>
  <c r="N838" i="2"/>
  <c r="D838" i="2"/>
  <c r="N837" i="2"/>
  <c r="D837" i="2"/>
  <c r="N836" i="2"/>
  <c r="D836" i="2"/>
  <c r="N835" i="2"/>
  <c r="D835" i="2"/>
  <c r="N834" i="2"/>
  <c r="D834" i="2"/>
  <c r="N833" i="2"/>
  <c r="D833" i="2"/>
  <c r="N832" i="2"/>
  <c r="D832" i="2"/>
  <c r="N831" i="2"/>
  <c r="D831" i="2"/>
  <c r="N830" i="2"/>
  <c r="D830" i="2"/>
  <c r="N829" i="2"/>
  <c r="D829" i="2"/>
  <c r="N828" i="2"/>
  <c r="D828" i="2"/>
  <c r="N827" i="2"/>
  <c r="D827" i="2"/>
  <c r="N826" i="2"/>
  <c r="D826" i="2"/>
  <c r="N825" i="2"/>
  <c r="D825" i="2"/>
  <c r="N824" i="2"/>
  <c r="D824" i="2"/>
  <c r="N823" i="2"/>
  <c r="D823" i="2"/>
  <c r="N822" i="2"/>
  <c r="D822" i="2"/>
  <c r="N821" i="2"/>
  <c r="D821" i="2"/>
  <c r="N820" i="2"/>
  <c r="D820" i="2"/>
  <c r="N819" i="2"/>
  <c r="D819" i="2"/>
  <c r="N818" i="2"/>
  <c r="D818" i="2"/>
  <c r="N817" i="2"/>
  <c r="D817" i="2"/>
  <c r="N816" i="2"/>
  <c r="D816" i="2"/>
  <c r="N815" i="2"/>
  <c r="D815" i="2"/>
  <c r="N814" i="2"/>
  <c r="D814" i="2"/>
  <c r="N813" i="2"/>
  <c r="D813" i="2"/>
  <c r="N812" i="2"/>
  <c r="D812" i="2"/>
  <c r="N811" i="2"/>
  <c r="D811" i="2"/>
  <c r="N810" i="2"/>
  <c r="D810" i="2"/>
  <c r="N809" i="2"/>
  <c r="D809" i="2"/>
  <c r="N808" i="2"/>
  <c r="D808" i="2"/>
  <c r="N807" i="2"/>
  <c r="D807" i="2"/>
  <c r="N806" i="2"/>
  <c r="D806" i="2"/>
  <c r="N805" i="2"/>
  <c r="D805" i="2"/>
  <c r="N804" i="2"/>
  <c r="D804" i="2"/>
  <c r="N803" i="2"/>
  <c r="D803" i="2"/>
  <c r="N802" i="2"/>
  <c r="D802" i="2"/>
  <c r="N801" i="2"/>
  <c r="D801" i="2"/>
  <c r="N800" i="2"/>
  <c r="D800" i="2"/>
  <c r="N799" i="2"/>
  <c r="D799" i="2"/>
  <c r="N798" i="2"/>
  <c r="D798" i="2"/>
  <c r="N797" i="2"/>
  <c r="D797" i="2"/>
  <c r="N796" i="2"/>
  <c r="D796" i="2"/>
  <c r="N795" i="2"/>
  <c r="D795" i="2"/>
  <c r="N794" i="2"/>
  <c r="D794" i="2"/>
  <c r="N793" i="2"/>
  <c r="D793" i="2"/>
  <c r="N792" i="2"/>
  <c r="D792" i="2"/>
  <c r="N791" i="2"/>
  <c r="D791" i="2"/>
  <c r="N790" i="2"/>
  <c r="D790" i="2"/>
  <c r="N789" i="2"/>
  <c r="D789" i="2"/>
  <c r="N788" i="2"/>
  <c r="D788" i="2"/>
  <c r="N787" i="2"/>
  <c r="D787" i="2"/>
  <c r="N786" i="2"/>
  <c r="D786" i="2"/>
  <c r="N785" i="2"/>
  <c r="D785" i="2"/>
  <c r="N784" i="2"/>
  <c r="D784" i="2"/>
  <c r="N783" i="2"/>
  <c r="D783" i="2"/>
  <c r="N782" i="2"/>
  <c r="D782" i="2"/>
  <c r="N781" i="2"/>
  <c r="D781" i="2"/>
  <c r="N780" i="2"/>
  <c r="D780" i="2"/>
  <c r="N779" i="2"/>
  <c r="D779" i="2"/>
  <c r="N778" i="2"/>
  <c r="D778" i="2"/>
  <c r="N777" i="2"/>
  <c r="D777" i="2"/>
  <c r="N776" i="2"/>
  <c r="D776" i="2"/>
  <c r="N775" i="2"/>
  <c r="D775" i="2"/>
  <c r="N774" i="2"/>
  <c r="D774" i="2"/>
  <c r="N773" i="2"/>
  <c r="D773" i="2"/>
  <c r="N772" i="2"/>
  <c r="D772" i="2"/>
  <c r="N771" i="2"/>
  <c r="D771" i="2"/>
  <c r="N770" i="2"/>
  <c r="D770" i="2"/>
  <c r="N769" i="2"/>
  <c r="D769" i="2"/>
  <c r="N768" i="2"/>
  <c r="D768" i="2"/>
  <c r="N767" i="2"/>
  <c r="D767" i="2"/>
  <c r="N766" i="2"/>
  <c r="D766" i="2"/>
  <c r="N765" i="2"/>
  <c r="D765" i="2"/>
  <c r="N764" i="2"/>
  <c r="D764" i="2"/>
  <c r="N763" i="2"/>
  <c r="D763" i="2"/>
  <c r="N762" i="2"/>
  <c r="D762" i="2"/>
  <c r="N761" i="2"/>
  <c r="D761" i="2"/>
  <c r="N760" i="2"/>
  <c r="D760" i="2"/>
  <c r="N759" i="2"/>
  <c r="D759" i="2"/>
  <c r="N758" i="2"/>
  <c r="D758" i="2"/>
  <c r="N757" i="2"/>
  <c r="D757" i="2"/>
  <c r="N756" i="2"/>
  <c r="D756" i="2"/>
  <c r="N755" i="2"/>
  <c r="D755" i="2"/>
  <c r="N754" i="2"/>
  <c r="D754" i="2"/>
  <c r="N753" i="2"/>
  <c r="D753" i="2"/>
  <c r="N752" i="2"/>
  <c r="D752" i="2"/>
  <c r="N751" i="2"/>
  <c r="D751" i="2"/>
  <c r="N750" i="2"/>
  <c r="D750" i="2"/>
  <c r="N749" i="2"/>
  <c r="D749" i="2"/>
  <c r="N748" i="2"/>
  <c r="D748" i="2"/>
  <c r="N747" i="2"/>
  <c r="D747" i="2"/>
  <c r="N746" i="2"/>
  <c r="D746" i="2"/>
  <c r="N745" i="2"/>
  <c r="D745" i="2"/>
  <c r="N744" i="2"/>
  <c r="D744" i="2"/>
  <c r="N743" i="2"/>
  <c r="D743" i="2"/>
  <c r="N742" i="2"/>
  <c r="D742" i="2"/>
  <c r="N741" i="2"/>
  <c r="D741" i="2"/>
  <c r="N740" i="2"/>
  <c r="D740" i="2"/>
  <c r="N739" i="2"/>
  <c r="D739" i="2"/>
  <c r="N738" i="2"/>
  <c r="D738" i="2"/>
  <c r="N737" i="2"/>
  <c r="D737" i="2"/>
  <c r="N736" i="2"/>
  <c r="D736" i="2"/>
  <c r="N735" i="2"/>
  <c r="D735" i="2"/>
  <c r="N734" i="2"/>
  <c r="D734" i="2"/>
  <c r="N733" i="2"/>
  <c r="D733" i="2"/>
  <c r="N732" i="2"/>
  <c r="D732" i="2"/>
  <c r="N731" i="2"/>
  <c r="D731" i="2"/>
  <c r="N730" i="2"/>
  <c r="D730" i="2"/>
  <c r="N729" i="2"/>
  <c r="D729" i="2"/>
  <c r="N728" i="2"/>
  <c r="D728" i="2"/>
  <c r="N727" i="2"/>
  <c r="D727" i="2"/>
  <c r="N726" i="2"/>
  <c r="D726" i="2"/>
  <c r="N725" i="2"/>
  <c r="D725" i="2"/>
  <c r="N724" i="2"/>
  <c r="D724" i="2"/>
  <c r="N723" i="2"/>
  <c r="D723" i="2"/>
  <c r="N722" i="2"/>
  <c r="D722" i="2"/>
  <c r="N721" i="2"/>
  <c r="D721" i="2"/>
  <c r="N720" i="2"/>
  <c r="D720" i="2"/>
  <c r="N719" i="2"/>
  <c r="D719" i="2"/>
  <c r="N718" i="2"/>
  <c r="D718" i="2"/>
  <c r="N717" i="2"/>
  <c r="D717" i="2"/>
  <c r="N716" i="2"/>
  <c r="D716" i="2"/>
  <c r="N715" i="2"/>
  <c r="D715" i="2"/>
  <c r="N714" i="2"/>
  <c r="D714" i="2"/>
  <c r="N713" i="2"/>
  <c r="D713" i="2"/>
  <c r="N712" i="2"/>
  <c r="D712" i="2"/>
  <c r="N711" i="2"/>
  <c r="D711" i="2"/>
  <c r="N710" i="2"/>
  <c r="D710" i="2"/>
  <c r="N709" i="2"/>
  <c r="D709" i="2"/>
  <c r="N708" i="2"/>
  <c r="D708" i="2"/>
  <c r="N707" i="2"/>
  <c r="D707" i="2"/>
  <c r="N706" i="2"/>
  <c r="D706" i="2"/>
  <c r="N705" i="2"/>
  <c r="D705" i="2"/>
  <c r="N704" i="2"/>
  <c r="D704" i="2"/>
  <c r="N703" i="2"/>
  <c r="D703" i="2"/>
  <c r="N702" i="2"/>
  <c r="D702" i="2"/>
  <c r="N701" i="2"/>
  <c r="D701" i="2"/>
  <c r="N700" i="2"/>
  <c r="D700" i="2"/>
  <c r="N699" i="2"/>
  <c r="D699" i="2"/>
  <c r="N698" i="2"/>
  <c r="D698" i="2"/>
  <c r="N697" i="2"/>
  <c r="D697" i="2"/>
  <c r="N696" i="2"/>
  <c r="D696" i="2"/>
  <c r="N695" i="2"/>
  <c r="D695" i="2"/>
  <c r="N694" i="2"/>
  <c r="D694" i="2"/>
  <c r="N693" i="2"/>
  <c r="D693" i="2"/>
  <c r="N692" i="2"/>
  <c r="D692" i="2"/>
  <c r="N691" i="2"/>
  <c r="D691" i="2"/>
  <c r="N690" i="2"/>
  <c r="D690" i="2"/>
  <c r="N689" i="2"/>
  <c r="D689" i="2"/>
  <c r="N688" i="2"/>
  <c r="D688" i="2"/>
  <c r="N687" i="2"/>
  <c r="D687" i="2"/>
  <c r="N686" i="2"/>
  <c r="D686" i="2"/>
  <c r="N685" i="2"/>
  <c r="D685" i="2"/>
  <c r="N684" i="2"/>
  <c r="D684" i="2"/>
  <c r="N683" i="2"/>
  <c r="D683" i="2"/>
  <c r="N682" i="2"/>
  <c r="D682" i="2"/>
  <c r="N681" i="2"/>
  <c r="D681" i="2"/>
  <c r="N680" i="2"/>
  <c r="D680" i="2"/>
  <c r="N679" i="2"/>
  <c r="D679" i="2"/>
  <c r="N678" i="2"/>
  <c r="D678" i="2"/>
  <c r="N677" i="2"/>
  <c r="D677" i="2"/>
  <c r="N676" i="2"/>
  <c r="D676" i="2"/>
  <c r="N675" i="2"/>
  <c r="D675" i="2"/>
  <c r="N674" i="2"/>
  <c r="D674" i="2"/>
  <c r="N673" i="2"/>
  <c r="D673" i="2"/>
  <c r="N672" i="2"/>
  <c r="D672" i="2"/>
  <c r="N671" i="2"/>
  <c r="D671" i="2"/>
  <c r="N670" i="2"/>
  <c r="D670" i="2"/>
  <c r="N669" i="2"/>
  <c r="D669" i="2"/>
  <c r="N668" i="2"/>
  <c r="D668" i="2"/>
  <c r="N667" i="2"/>
  <c r="D667" i="2"/>
  <c r="N666" i="2"/>
  <c r="D666" i="2"/>
  <c r="N665" i="2"/>
  <c r="D665" i="2"/>
  <c r="N664" i="2"/>
  <c r="D664" i="2"/>
  <c r="N663" i="2"/>
  <c r="D663" i="2"/>
  <c r="N662" i="2"/>
  <c r="D662" i="2"/>
  <c r="N661" i="2"/>
  <c r="D661" i="2"/>
  <c r="N660" i="2"/>
  <c r="D660" i="2"/>
  <c r="N659" i="2"/>
  <c r="D659" i="2"/>
  <c r="N658" i="2"/>
  <c r="D658" i="2"/>
  <c r="N657" i="2"/>
  <c r="D657" i="2"/>
  <c r="N656" i="2"/>
  <c r="D656" i="2"/>
  <c r="N655" i="2"/>
  <c r="D655" i="2"/>
  <c r="N654" i="2"/>
  <c r="D654" i="2"/>
  <c r="N653" i="2"/>
  <c r="D653" i="2"/>
  <c r="N652" i="2"/>
  <c r="D652" i="2"/>
  <c r="N651" i="2"/>
  <c r="D651" i="2"/>
  <c r="N650" i="2"/>
  <c r="D650" i="2"/>
  <c r="N649" i="2"/>
  <c r="D649" i="2"/>
  <c r="N648" i="2"/>
  <c r="D648" i="2"/>
  <c r="N647" i="2"/>
  <c r="D647" i="2"/>
  <c r="N646" i="2"/>
  <c r="D646" i="2"/>
  <c r="N645" i="2"/>
  <c r="D645" i="2"/>
  <c r="N644" i="2"/>
  <c r="D644" i="2"/>
  <c r="N643" i="2"/>
  <c r="D643" i="2"/>
  <c r="N642" i="2"/>
  <c r="D642" i="2"/>
  <c r="N641" i="2"/>
  <c r="D641" i="2"/>
  <c r="N640" i="2"/>
  <c r="D640" i="2"/>
  <c r="N639" i="2"/>
  <c r="D639" i="2"/>
  <c r="N638" i="2"/>
  <c r="D638" i="2"/>
  <c r="N637" i="2"/>
  <c r="D637" i="2"/>
  <c r="N636" i="2"/>
  <c r="D636" i="2"/>
  <c r="N635" i="2"/>
  <c r="D635" i="2"/>
  <c r="N634" i="2"/>
  <c r="D634" i="2"/>
  <c r="N633" i="2"/>
  <c r="D633" i="2"/>
  <c r="N632" i="2"/>
  <c r="D632" i="2"/>
  <c r="N631" i="2"/>
  <c r="D631" i="2"/>
  <c r="N630" i="2"/>
  <c r="D630" i="2"/>
  <c r="N629" i="2"/>
  <c r="D629" i="2"/>
  <c r="N628" i="2"/>
  <c r="D628" i="2"/>
  <c r="N627" i="2"/>
  <c r="D627" i="2"/>
  <c r="N626" i="2"/>
  <c r="D626" i="2"/>
  <c r="N625" i="2"/>
  <c r="D625" i="2"/>
  <c r="N624" i="2"/>
  <c r="D624" i="2"/>
  <c r="N623" i="2"/>
  <c r="D623" i="2"/>
  <c r="N622" i="2"/>
  <c r="D622" i="2"/>
  <c r="N621" i="2"/>
  <c r="D621" i="2"/>
  <c r="N620" i="2"/>
  <c r="D620" i="2"/>
  <c r="N619" i="2"/>
  <c r="D619" i="2"/>
  <c r="N618" i="2"/>
  <c r="D618" i="2"/>
  <c r="N617" i="2"/>
  <c r="D617" i="2"/>
  <c r="N616" i="2"/>
  <c r="D616" i="2"/>
  <c r="N615" i="2"/>
  <c r="D615" i="2"/>
  <c r="N614" i="2"/>
  <c r="D614" i="2"/>
  <c r="N613" i="2"/>
  <c r="D613" i="2"/>
  <c r="N612" i="2"/>
  <c r="D612" i="2"/>
  <c r="N611" i="2"/>
  <c r="D611" i="2"/>
  <c r="N610" i="2"/>
  <c r="D610" i="2"/>
  <c r="N609" i="2"/>
  <c r="D609" i="2"/>
  <c r="N608" i="2"/>
  <c r="D608" i="2"/>
  <c r="N607" i="2"/>
  <c r="D607" i="2"/>
  <c r="N606" i="2"/>
  <c r="D606" i="2"/>
  <c r="N605" i="2"/>
  <c r="D605" i="2"/>
  <c r="N604" i="2"/>
  <c r="D604" i="2"/>
  <c r="N603" i="2"/>
  <c r="D603" i="2"/>
  <c r="N602" i="2"/>
  <c r="D602" i="2"/>
  <c r="N601" i="2"/>
  <c r="D601" i="2"/>
  <c r="N600" i="2"/>
  <c r="D600" i="2"/>
  <c r="N599" i="2"/>
  <c r="D599" i="2"/>
  <c r="N598" i="2"/>
  <c r="D598" i="2"/>
  <c r="N597" i="2"/>
  <c r="D597" i="2"/>
  <c r="N596" i="2"/>
  <c r="D596" i="2"/>
  <c r="N595" i="2"/>
  <c r="D595" i="2"/>
  <c r="N594" i="2"/>
  <c r="D594" i="2"/>
  <c r="N593" i="2"/>
  <c r="D593" i="2"/>
  <c r="N592" i="2"/>
  <c r="D592" i="2"/>
  <c r="N591" i="2"/>
  <c r="D591" i="2"/>
  <c r="N590" i="2"/>
  <c r="D590" i="2"/>
  <c r="N589" i="2"/>
  <c r="D589" i="2"/>
  <c r="N588" i="2"/>
  <c r="D588" i="2"/>
  <c r="N587" i="2"/>
  <c r="D587" i="2"/>
  <c r="N586" i="2"/>
  <c r="D586" i="2"/>
  <c r="N585" i="2"/>
  <c r="D585" i="2"/>
  <c r="N584" i="2"/>
  <c r="D584" i="2"/>
  <c r="N583" i="2"/>
  <c r="D583" i="2"/>
  <c r="N582" i="2"/>
  <c r="D582" i="2"/>
  <c r="N581" i="2"/>
  <c r="D581" i="2"/>
  <c r="N580" i="2"/>
  <c r="D580" i="2"/>
  <c r="N579" i="2"/>
  <c r="D579" i="2"/>
  <c r="N578" i="2"/>
  <c r="D578" i="2"/>
  <c r="N577" i="2"/>
  <c r="D577" i="2"/>
  <c r="N576" i="2"/>
  <c r="D576" i="2"/>
  <c r="N575" i="2"/>
  <c r="D575" i="2"/>
  <c r="N574" i="2"/>
  <c r="D574" i="2"/>
  <c r="N573" i="2"/>
  <c r="D573" i="2"/>
  <c r="N572" i="2"/>
  <c r="D572" i="2"/>
  <c r="N571" i="2"/>
  <c r="D571" i="2"/>
  <c r="N570" i="2"/>
  <c r="D570" i="2"/>
  <c r="N569" i="2"/>
  <c r="D569" i="2"/>
  <c r="N568" i="2"/>
  <c r="D568" i="2"/>
  <c r="N567" i="2"/>
  <c r="D567" i="2"/>
  <c r="N566" i="2"/>
  <c r="D566" i="2"/>
  <c r="N565" i="2"/>
  <c r="D565" i="2"/>
  <c r="N564" i="2"/>
  <c r="D564" i="2"/>
  <c r="N563" i="2"/>
  <c r="D563" i="2"/>
  <c r="N562" i="2"/>
  <c r="D562" i="2"/>
  <c r="N561" i="2"/>
  <c r="D561" i="2"/>
  <c r="N560" i="2"/>
  <c r="D560" i="2"/>
  <c r="N559" i="2"/>
  <c r="D559" i="2"/>
  <c r="N558" i="2"/>
  <c r="D558" i="2"/>
  <c r="N557" i="2"/>
  <c r="D557" i="2"/>
  <c r="N556" i="2"/>
  <c r="D556" i="2"/>
  <c r="N555" i="2"/>
  <c r="D555" i="2"/>
  <c r="N554" i="2"/>
  <c r="D554" i="2"/>
  <c r="N553" i="2"/>
  <c r="D553" i="2"/>
  <c r="N552" i="2"/>
  <c r="D552" i="2"/>
  <c r="N551" i="2"/>
  <c r="D551" i="2"/>
  <c r="N550" i="2"/>
  <c r="D550" i="2"/>
  <c r="N549" i="2"/>
  <c r="D549" i="2"/>
  <c r="N548" i="2"/>
  <c r="D548" i="2"/>
  <c r="N547" i="2"/>
  <c r="D547" i="2"/>
  <c r="N546" i="2"/>
  <c r="D546" i="2"/>
  <c r="N545" i="2"/>
  <c r="D545" i="2"/>
  <c r="N544" i="2"/>
  <c r="D544" i="2"/>
  <c r="N543" i="2"/>
  <c r="D543" i="2"/>
  <c r="N542" i="2"/>
  <c r="D542" i="2"/>
  <c r="N541" i="2"/>
  <c r="D541" i="2"/>
  <c r="N540" i="2"/>
  <c r="D540" i="2"/>
  <c r="N539" i="2"/>
  <c r="D539" i="2"/>
  <c r="N538" i="2"/>
  <c r="D538" i="2"/>
  <c r="N537" i="2"/>
  <c r="D537" i="2"/>
  <c r="N536" i="2"/>
  <c r="D536" i="2"/>
  <c r="N535" i="2"/>
  <c r="D535" i="2"/>
  <c r="N534" i="2"/>
  <c r="D534" i="2"/>
  <c r="N533" i="2"/>
  <c r="D533" i="2"/>
  <c r="N532" i="2"/>
  <c r="D532" i="2"/>
  <c r="N531" i="2"/>
  <c r="D531" i="2"/>
  <c r="N530" i="2"/>
  <c r="D530" i="2"/>
  <c r="N529" i="2"/>
  <c r="D529" i="2"/>
  <c r="N528" i="2"/>
  <c r="D528" i="2"/>
  <c r="N527" i="2"/>
  <c r="D527" i="2"/>
  <c r="N526" i="2"/>
  <c r="D526" i="2"/>
  <c r="N525" i="2"/>
  <c r="D525" i="2"/>
  <c r="N524" i="2"/>
  <c r="D524" i="2"/>
  <c r="N523" i="2"/>
  <c r="D523" i="2"/>
  <c r="N522" i="2"/>
  <c r="D522" i="2"/>
  <c r="N521" i="2"/>
  <c r="D521" i="2"/>
  <c r="N520" i="2"/>
  <c r="D520" i="2"/>
  <c r="N519" i="2"/>
  <c r="D519" i="2"/>
  <c r="N518" i="2"/>
  <c r="D518" i="2"/>
  <c r="N517" i="2"/>
  <c r="D517" i="2"/>
  <c r="N516" i="2"/>
  <c r="D516" i="2"/>
  <c r="N515" i="2"/>
  <c r="D515" i="2"/>
  <c r="N514" i="2"/>
  <c r="D514" i="2"/>
  <c r="N513" i="2"/>
  <c r="D513" i="2"/>
  <c r="N512" i="2"/>
  <c r="D512" i="2"/>
  <c r="N511" i="2"/>
  <c r="D511" i="2"/>
  <c r="N510" i="2"/>
  <c r="D510" i="2"/>
  <c r="N509" i="2"/>
  <c r="D509" i="2"/>
  <c r="N508" i="2"/>
  <c r="D508" i="2"/>
  <c r="N507" i="2"/>
  <c r="D507" i="2"/>
  <c r="N506" i="2"/>
  <c r="D506" i="2"/>
  <c r="N505" i="2"/>
  <c r="D505" i="2"/>
  <c r="N504" i="2"/>
  <c r="D504" i="2"/>
  <c r="N503" i="2"/>
  <c r="D503" i="2"/>
  <c r="N502" i="2"/>
  <c r="D502" i="2"/>
  <c r="N501" i="2"/>
  <c r="D501" i="2"/>
  <c r="N500" i="2"/>
  <c r="D500" i="2"/>
  <c r="N499" i="2"/>
  <c r="D499" i="2"/>
  <c r="N498" i="2"/>
  <c r="D498" i="2"/>
  <c r="N497" i="2"/>
  <c r="D497" i="2"/>
  <c r="N496" i="2"/>
  <c r="D496" i="2"/>
  <c r="N495" i="2"/>
  <c r="D495" i="2"/>
  <c r="N494" i="2"/>
  <c r="D494" i="2"/>
  <c r="N493" i="2"/>
  <c r="D493" i="2"/>
  <c r="N492" i="2"/>
  <c r="D492" i="2"/>
  <c r="N491" i="2"/>
  <c r="D491" i="2"/>
  <c r="N490" i="2"/>
  <c r="D490" i="2"/>
  <c r="N489" i="2"/>
  <c r="D489" i="2"/>
  <c r="N488" i="2"/>
  <c r="D488" i="2"/>
  <c r="N487" i="2"/>
  <c r="D487" i="2"/>
  <c r="N486" i="2"/>
  <c r="D486" i="2"/>
  <c r="N485" i="2"/>
  <c r="D485" i="2"/>
  <c r="N484" i="2"/>
  <c r="D484" i="2"/>
  <c r="N483" i="2"/>
  <c r="D483" i="2"/>
  <c r="N482" i="2"/>
  <c r="D482" i="2"/>
  <c r="N481" i="2"/>
  <c r="D481" i="2"/>
  <c r="N480" i="2"/>
  <c r="D480" i="2"/>
  <c r="N479" i="2"/>
  <c r="D479" i="2"/>
  <c r="N478" i="2"/>
  <c r="D478" i="2"/>
  <c r="N477" i="2"/>
  <c r="D477" i="2"/>
  <c r="N476" i="2"/>
  <c r="D476" i="2"/>
  <c r="N475" i="2"/>
  <c r="D475" i="2"/>
  <c r="N474" i="2"/>
  <c r="D474" i="2"/>
  <c r="N473" i="2"/>
  <c r="D473" i="2"/>
  <c r="N472" i="2"/>
  <c r="D472" i="2"/>
  <c r="N471" i="2"/>
  <c r="D471" i="2"/>
  <c r="N470" i="2"/>
  <c r="D470" i="2"/>
  <c r="N469" i="2"/>
  <c r="D469" i="2"/>
  <c r="N468" i="2"/>
  <c r="D468" i="2"/>
  <c r="N467" i="2"/>
  <c r="D467" i="2"/>
  <c r="N466" i="2"/>
  <c r="D466" i="2"/>
  <c r="N465" i="2"/>
  <c r="D465" i="2"/>
  <c r="N464" i="2"/>
  <c r="D464" i="2"/>
  <c r="N463" i="2"/>
  <c r="D463" i="2"/>
  <c r="N462" i="2"/>
  <c r="D462" i="2"/>
  <c r="N461" i="2"/>
  <c r="D461" i="2"/>
  <c r="N460" i="2"/>
  <c r="D460" i="2"/>
  <c r="N459" i="2"/>
  <c r="D459" i="2"/>
  <c r="N458" i="2"/>
  <c r="D458" i="2"/>
  <c r="N457" i="2"/>
  <c r="D457" i="2"/>
  <c r="N456" i="2"/>
  <c r="D456" i="2"/>
  <c r="N455" i="2"/>
  <c r="D455" i="2"/>
  <c r="N454" i="2"/>
  <c r="D454" i="2"/>
  <c r="N453" i="2"/>
  <c r="D453" i="2"/>
  <c r="N452" i="2"/>
  <c r="D452" i="2"/>
  <c r="N451" i="2"/>
  <c r="D451" i="2"/>
  <c r="N450" i="2"/>
  <c r="D450" i="2"/>
  <c r="N449" i="2"/>
  <c r="D449" i="2"/>
  <c r="N448" i="2"/>
  <c r="D448" i="2"/>
  <c r="N447" i="2"/>
  <c r="D447" i="2"/>
  <c r="N446" i="2"/>
  <c r="D446" i="2"/>
  <c r="N445" i="2"/>
  <c r="D445" i="2"/>
  <c r="N444" i="2"/>
  <c r="D444" i="2"/>
  <c r="N443" i="2"/>
  <c r="D443" i="2"/>
  <c r="N442" i="2"/>
  <c r="D442" i="2"/>
  <c r="N441" i="2"/>
  <c r="D441" i="2"/>
  <c r="N440" i="2"/>
  <c r="D440" i="2"/>
  <c r="N439" i="2"/>
  <c r="D439" i="2"/>
  <c r="N438" i="2"/>
  <c r="D438" i="2"/>
  <c r="N437" i="2"/>
  <c r="D437" i="2"/>
  <c r="N436" i="2"/>
  <c r="D436" i="2"/>
  <c r="N435" i="2"/>
  <c r="D435" i="2"/>
  <c r="N434" i="2"/>
  <c r="D434" i="2"/>
  <c r="N433" i="2"/>
  <c r="D433" i="2"/>
  <c r="N432" i="2"/>
  <c r="D432" i="2"/>
  <c r="N431" i="2"/>
  <c r="D431" i="2"/>
  <c r="N430" i="2"/>
  <c r="D430" i="2"/>
  <c r="N429" i="2"/>
  <c r="D429" i="2"/>
  <c r="N428" i="2"/>
  <c r="D428" i="2"/>
  <c r="N427" i="2"/>
  <c r="D427" i="2"/>
  <c r="N426" i="2"/>
  <c r="D426" i="2"/>
  <c r="N425" i="2"/>
  <c r="D425" i="2"/>
  <c r="N424" i="2"/>
  <c r="D424" i="2"/>
  <c r="N423" i="2"/>
  <c r="D423" i="2"/>
  <c r="N422" i="2"/>
  <c r="D422" i="2"/>
  <c r="N421" i="2"/>
  <c r="D421" i="2"/>
  <c r="N420" i="2"/>
  <c r="D420" i="2"/>
  <c r="N419" i="2"/>
  <c r="D419" i="2"/>
  <c r="N418" i="2"/>
  <c r="D418" i="2"/>
  <c r="N417" i="2"/>
  <c r="D417" i="2"/>
  <c r="N416" i="2"/>
  <c r="D416" i="2"/>
  <c r="N415" i="2"/>
  <c r="D415" i="2"/>
  <c r="N414" i="2"/>
  <c r="D414" i="2"/>
  <c r="N413" i="2"/>
  <c r="D413" i="2"/>
  <c r="N412" i="2"/>
  <c r="D412" i="2"/>
  <c r="N411" i="2"/>
  <c r="D411" i="2"/>
  <c r="N410" i="2"/>
  <c r="D410" i="2"/>
  <c r="N409" i="2"/>
  <c r="D409" i="2"/>
  <c r="N408" i="2"/>
  <c r="D408" i="2"/>
  <c r="N407" i="2"/>
  <c r="D407" i="2"/>
  <c r="N406" i="2"/>
  <c r="D406" i="2"/>
  <c r="N405" i="2"/>
  <c r="D405" i="2"/>
  <c r="N404" i="2"/>
  <c r="D404" i="2"/>
  <c r="N403" i="2"/>
  <c r="D403" i="2"/>
  <c r="N402" i="2"/>
  <c r="D402" i="2"/>
  <c r="N401" i="2"/>
  <c r="D401" i="2"/>
  <c r="N400" i="2"/>
  <c r="D400" i="2"/>
  <c r="N399" i="2"/>
  <c r="D399" i="2"/>
  <c r="N398" i="2"/>
  <c r="D398" i="2"/>
  <c r="N397" i="2"/>
  <c r="D397" i="2"/>
  <c r="N396" i="2"/>
  <c r="D396" i="2"/>
  <c r="N395" i="2"/>
  <c r="D395" i="2"/>
  <c r="N394" i="2"/>
  <c r="D394" i="2"/>
  <c r="N393" i="2"/>
  <c r="D393" i="2"/>
  <c r="N392" i="2"/>
  <c r="D392" i="2"/>
  <c r="N391" i="2"/>
  <c r="D391" i="2"/>
  <c r="N390" i="2"/>
  <c r="D390" i="2"/>
  <c r="N389" i="2"/>
  <c r="D389" i="2"/>
  <c r="N388" i="2"/>
  <c r="D388" i="2"/>
  <c r="N387" i="2"/>
  <c r="D387" i="2"/>
  <c r="N386" i="2"/>
  <c r="D386" i="2"/>
  <c r="N385" i="2"/>
  <c r="D385" i="2"/>
  <c r="N384" i="2"/>
  <c r="D384" i="2"/>
  <c r="N383" i="2"/>
  <c r="D383" i="2"/>
  <c r="N382" i="2"/>
  <c r="D382" i="2"/>
  <c r="N381" i="2"/>
  <c r="D381" i="2"/>
  <c r="N380" i="2"/>
  <c r="D380" i="2"/>
  <c r="N379" i="2"/>
  <c r="D379" i="2"/>
  <c r="N378" i="2"/>
  <c r="D378" i="2"/>
  <c r="N377" i="2"/>
  <c r="D377" i="2"/>
  <c r="N376" i="2"/>
  <c r="D376" i="2"/>
  <c r="N375" i="2"/>
  <c r="D375" i="2"/>
  <c r="N374" i="2"/>
  <c r="D374" i="2"/>
  <c r="N373" i="2"/>
  <c r="D373" i="2"/>
  <c r="N372" i="2"/>
  <c r="D372" i="2"/>
  <c r="N371" i="2"/>
  <c r="D371" i="2"/>
  <c r="N370" i="2"/>
  <c r="D370" i="2"/>
  <c r="N369" i="2"/>
  <c r="D369" i="2"/>
  <c r="N368" i="2"/>
  <c r="D368" i="2"/>
  <c r="N367" i="2"/>
  <c r="D367" i="2"/>
  <c r="N366" i="2"/>
  <c r="D366" i="2"/>
  <c r="N365" i="2"/>
  <c r="D365" i="2"/>
  <c r="N364" i="2"/>
  <c r="D364" i="2"/>
  <c r="N363" i="2"/>
  <c r="D363" i="2"/>
  <c r="N362" i="2"/>
  <c r="D362" i="2"/>
  <c r="N361" i="2"/>
  <c r="D361" i="2"/>
  <c r="N360" i="2"/>
  <c r="D360" i="2"/>
  <c r="N359" i="2"/>
  <c r="D359" i="2"/>
  <c r="N358" i="2"/>
  <c r="D358" i="2"/>
  <c r="N357" i="2"/>
  <c r="D357" i="2"/>
  <c r="N356" i="2"/>
  <c r="D356" i="2"/>
  <c r="N355" i="2"/>
  <c r="D355" i="2"/>
  <c r="N354" i="2"/>
  <c r="D354" i="2"/>
  <c r="N353" i="2"/>
  <c r="D353" i="2"/>
  <c r="N352" i="2"/>
  <c r="D352" i="2"/>
  <c r="N351" i="2"/>
  <c r="D351" i="2"/>
  <c r="N350" i="2"/>
  <c r="D350" i="2"/>
  <c r="N349" i="2"/>
  <c r="D349" i="2"/>
  <c r="N348" i="2"/>
  <c r="D348" i="2"/>
  <c r="N347" i="2"/>
  <c r="D347" i="2"/>
  <c r="N346" i="2"/>
  <c r="D346" i="2"/>
  <c r="N345" i="2"/>
  <c r="D345" i="2"/>
  <c r="N344" i="2"/>
  <c r="D344" i="2"/>
  <c r="N343" i="2"/>
  <c r="D343" i="2"/>
  <c r="N342" i="2"/>
  <c r="D342" i="2"/>
  <c r="N341" i="2"/>
  <c r="D341" i="2"/>
  <c r="N340" i="2"/>
  <c r="D340" i="2"/>
  <c r="N339" i="2"/>
  <c r="D339" i="2"/>
  <c r="N338" i="2"/>
  <c r="D338" i="2"/>
  <c r="N337" i="2"/>
  <c r="D337" i="2"/>
  <c r="N336" i="2"/>
  <c r="D336" i="2"/>
  <c r="N335" i="2"/>
  <c r="D335" i="2"/>
  <c r="N334" i="2"/>
  <c r="D334" i="2"/>
  <c r="N333" i="2"/>
  <c r="D333" i="2"/>
  <c r="N332" i="2"/>
  <c r="D332" i="2"/>
  <c r="N331" i="2"/>
  <c r="D331" i="2"/>
  <c r="N330" i="2"/>
  <c r="D330" i="2"/>
  <c r="N329" i="2"/>
  <c r="D329" i="2"/>
  <c r="N328" i="2"/>
  <c r="D328" i="2"/>
  <c r="N327" i="2"/>
  <c r="D327" i="2"/>
  <c r="N326" i="2"/>
  <c r="D326" i="2"/>
  <c r="N325" i="2"/>
  <c r="D325" i="2"/>
  <c r="N324" i="2"/>
  <c r="D324" i="2"/>
  <c r="N323" i="2"/>
  <c r="D323" i="2"/>
  <c r="N322" i="2"/>
  <c r="D322" i="2"/>
  <c r="N321" i="2"/>
  <c r="D321" i="2"/>
  <c r="N320" i="2"/>
  <c r="D320" i="2"/>
  <c r="N319" i="2"/>
  <c r="D319" i="2"/>
  <c r="N318" i="2"/>
  <c r="D318" i="2"/>
  <c r="N317" i="2"/>
  <c r="D317" i="2"/>
  <c r="N316" i="2"/>
  <c r="D316" i="2"/>
  <c r="N315" i="2"/>
  <c r="D315" i="2"/>
  <c r="N314" i="2"/>
  <c r="D314" i="2"/>
  <c r="N313" i="2"/>
  <c r="D313" i="2"/>
  <c r="N312" i="2"/>
  <c r="D312" i="2"/>
  <c r="N311" i="2"/>
  <c r="D311" i="2"/>
  <c r="N310" i="2"/>
  <c r="D310" i="2"/>
  <c r="N309" i="2"/>
  <c r="D309" i="2"/>
  <c r="N308" i="2"/>
  <c r="D308" i="2"/>
  <c r="N307" i="2"/>
  <c r="D307" i="2"/>
  <c r="N306" i="2"/>
  <c r="D306" i="2"/>
  <c r="N305" i="2"/>
  <c r="D305" i="2"/>
  <c r="N304" i="2"/>
  <c r="D304" i="2"/>
  <c r="N303" i="2"/>
  <c r="D303" i="2"/>
  <c r="N302" i="2"/>
  <c r="D302" i="2"/>
  <c r="N301" i="2"/>
  <c r="D301" i="2"/>
  <c r="N300" i="2"/>
  <c r="D300" i="2"/>
  <c r="N299" i="2"/>
  <c r="D299" i="2"/>
  <c r="N298" i="2"/>
  <c r="D298" i="2"/>
  <c r="N297" i="2"/>
  <c r="D297" i="2"/>
  <c r="N296" i="2"/>
  <c r="D296" i="2"/>
  <c r="N295" i="2"/>
  <c r="D295" i="2"/>
  <c r="N294" i="2"/>
  <c r="D294" i="2"/>
  <c r="N293" i="2"/>
  <c r="D293" i="2"/>
  <c r="N292" i="2"/>
  <c r="D292" i="2"/>
  <c r="N291" i="2"/>
  <c r="D291" i="2"/>
  <c r="N290" i="2"/>
  <c r="D290" i="2"/>
  <c r="N289" i="2"/>
  <c r="D289" i="2"/>
  <c r="N288" i="2"/>
  <c r="D288" i="2"/>
  <c r="N287" i="2"/>
  <c r="D287" i="2"/>
  <c r="N286" i="2"/>
  <c r="D286" i="2"/>
  <c r="N285" i="2"/>
  <c r="D285" i="2"/>
  <c r="N284" i="2"/>
  <c r="D284" i="2"/>
  <c r="N283" i="2"/>
  <c r="D283" i="2"/>
  <c r="N282" i="2"/>
  <c r="D282" i="2"/>
  <c r="N281" i="2"/>
  <c r="D281" i="2"/>
  <c r="N280" i="2"/>
  <c r="D280" i="2"/>
  <c r="N279" i="2"/>
  <c r="D279" i="2"/>
  <c r="N278" i="2"/>
  <c r="D278" i="2"/>
  <c r="N277" i="2"/>
  <c r="D277" i="2"/>
  <c r="N276" i="2"/>
  <c r="D276" i="2"/>
  <c r="N275" i="2"/>
  <c r="D275" i="2"/>
  <c r="N274" i="2"/>
  <c r="D274" i="2"/>
  <c r="N273" i="2"/>
  <c r="D273" i="2"/>
  <c r="N272" i="2"/>
  <c r="D272" i="2"/>
  <c r="N271" i="2"/>
  <c r="D271" i="2"/>
  <c r="N270" i="2"/>
  <c r="D270" i="2"/>
  <c r="N269" i="2"/>
  <c r="D269" i="2"/>
  <c r="N268" i="2"/>
  <c r="D268" i="2"/>
  <c r="N267" i="2"/>
  <c r="D267" i="2"/>
  <c r="N266" i="2"/>
  <c r="D266" i="2"/>
  <c r="N265" i="2"/>
  <c r="D265" i="2"/>
  <c r="N264" i="2"/>
  <c r="D264" i="2"/>
  <c r="N263" i="2"/>
  <c r="D263" i="2"/>
  <c r="N262" i="2"/>
  <c r="D262" i="2"/>
  <c r="N261" i="2"/>
  <c r="D261" i="2"/>
  <c r="N260" i="2"/>
  <c r="D260" i="2"/>
  <c r="N259" i="2"/>
  <c r="D259" i="2"/>
  <c r="N258" i="2"/>
  <c r="D258" i="2"/>
  <c r="N257" i="2"/>
  <c r="D257" i="2"/>
  <c r="N256" i="2"/>
  <c r="D256" i="2"/>
  <c r="N255" i="2"/>
  <c r="D255" i="2"/>
  <c r="N254" i="2"/>
  <c r="D254" i="2"/>
  <c r="N253" i="2"/>
  <c r="D253" i="2"/>
  <c r="N252" i="2"/>
  <c r="D252" i="2"/>
  <c r="N251" i="2"/>
  <c r="D251" i="2"/>
  <c r="N250" i="2"/>
  <c r="D250" i="2"/>
  <c r="N249" i="2"/>
  <c r="D249" i="2"/>
  <c r="N248" i="2"/>
  <c r="D248" i="2"/>
  <c r="N247" i="2"/>
  <c r="D247" i="2"/>
  <c r="N246" i="2"/>
  <c r="D246" i="2"/>
  <c r="N245" i="2"/>
  <c r="D245" i="2"/>
  <c r="N244" i="2"/>
  <c r="D244" i="2"/>
  <c r="N243" i="2"/>
  <c r="D243" i="2"/>
  <c r="N242" i="2"/>
  <c r="D242" i="2"/>
  <c r="N241" i="2"/>
  <c r="D241" i="2"/>
  <c r="N240" i="2"/>
  <c r="D240" i="2"/>
  <c r="N239" i="2"/>
  <c r="D239" i="2"/>
  <c r="N238" i="2"/>
  <c r="D238" i="2"/>
  <c r="N237" i="2"/>
  <c r="D237" i="2"/>
  <c r="N236" i="2"/>
  <c r="D236" i="2"/>
  <c r="N235" i="2"/>
  <c r="D235" i="2"/>
  <c r="N234" i="2"/>
  <c r="D234" i="2"/>
  <c r="N233" i="2"/>
  <c r="D233" i="2"/>
  <c r="N232" i="2"/>
  <c r="D232" i="2"/>
  <c r="N231" i="2"/>
  <c r="D231" i="2"/>
  <c r="N230" i="2"/>
  <c r="D230" i="2"/>
  <c r="N229" i="2"/>
  <c r="D229" i="2"/>
  <c r="N228" i="2"/>
  <c r="D228" i="2"/>
  <c r="N227" i="2"/>
  <c r="D227" i="2"/>
  <c r="N226" i="2"/>
  <c r="D226" i="2"/>
  <c r="N225" i="2"/>
  <c r="D225" i="2"/>
  <c r="N224" i="2"/>
  <c r="D224" i="2"/>
  <c r="N223" i="2"/>
  <c r="D223" i="2"/>
  <c r="N222" i="2"/>
  <c r="D222" i="2"/>
  <c r="N221" i="2"/>
  <c r="D221" i="2"/>
  <c r="N220" i="2"/>
  <c r="D220" i="2"/>
  <c r="N219" i="2"/>
  <c r="D219" i="2"/>
  <c r="N218" i="2"/>
  <c r="D218" i="2"/>
  <c r="N217" i="2"/>
  <c r="D217" i="2"/>
  <c r="N216" i="2"/>
  <c r="D216" i="2"/>
  <c r="N215" i="2"/>
  <c r="D215" i="2"/>
  <c r="N214" i="2"/>
  <c r="D214" i="2"/>
  <c r="N213" i="2"/>
  <c r="D213" i="2"/>
  <c r="N212" i="2"/>
  <c r="D212" i="2"/>
  <c r="N211" i="2"/>
  <c r="D211" i="2"/>
  <c r="N210" i="2"/>
  <c r="D210" i="2"/>
  <c r="N209" i="2"/>
  <c r="D209" i="2"/>
  <c r="N208" i="2"/>
  <c r="D208" i="2"/>
  <c r="N207" i="2"/>
  <c r="D207" i="2"/>
  <c r="N206" i="2"/>
  <c r="D206" i="2"/>
  <c r="N205" i="2"/>
  <c r="D205" i="2"/>
  <c r="N204" i="2"/>
  <c r="D204" i="2"/>
  <c r="N203" i="2"/>
  <c r="D203" i="2"/>
  <c r="N202" i="2"/>
  <c r="D202" i="2"/>
  <c r="N201" i="2"/>
  <c r="D201" i="2"/>
  <c r="N200" i="2"/>
  <c r="D200" i="2"/>
  <c r="N199" i="2"/>
  <c r="D199" i="2"/>
  <c r="N198" i="2"/>
  <c r="D198" i="2"/>
  <c r="N197" i="2"/>
  <c r="D197" i="2"/>
  <c r="N196" i="2"/>
  <c r="D196" i="2"/>
  <c r="N195" i="2"/>
  <c r="D195" i="2"/>
  <c r="N194" i="2"/>
  <c r="D194" i="2"/>
  <c r="N193" i="2"/>
  <c r="D193" i="2"/>
  <c r="N192" i="2"/>
  <c r="D192" i="2"/>
  <c r="N191" i="2"/>
  <c r="D191" i="2"/>
  <c r="N190" i="2"/>
  <c r="D190" i="2"/>
  <c r="N189" i="2"/>
  <c r="D189" i="2"/>
  <c r="N188" i="2"/>
  <c r="D188" i="2"/>
  <c r="N187" i="2"/>
  <c r="D187" i="2"/>
  <c r="N186" i="2"/>
  <c r="D186" i="2"/>
  <c r="N185" i="2"/>
  <c r="D185" i="2"/>
  <c r="N184" i="2"/>
  <c r="D184" i="2"/>
  <c r="N183" i="2"/>
  <c r="D183" i="2"/>
  <c r="N182" i="2"/>
  <c r="D182" i="2"/>
  <c r="N181" i="2"/>
  <c r="D181" i="2"/>
  <c r="N180" i="2"/>
  <c r="D180" i="2"/>
  <c r="N179" i="2"/>
  <c r="D179" i="2"/>
  <c r="N178" i="2"/>
  <c r="D178" i="2"/>
  <c r="N177" i="2"/>
  <c r="D177" i="2"/>
  <c r="N176" i="2"/>
  <c r="D176" i="2"/>
  <c r="N175" i="2"/>
  <c r="D175" i="2"/>
  <c r="N174" i="2"/>
  <c r="D174" i="2"/>
  <c r="N173" i="2"/>
  <c r="D173" i="2"/>
  <c r="N172" i="2"/>
  <c r="D172" i="2"/>
  <c r="N171" i="2"/>
  <c r="D171" i="2"/>
  <c r="N170" i="2"/>
  <c r="D170" i="2"/>
  <c r="N169" i="2"/>
  <c r="D169" i="2"/>
  <c r="N168" i="2"/>
  <c r="D168" i="2"/>
  <c r="N167" i="2"/>
  <c r="D167" i="2"/>
  <c r="N166" i="2"/>
  <c r="D166" i="2"/>
  <c r="N165" i="2"/>
  <c r="D165" i="2"/>
  <c r="N164" i="2"/>
  <c r="D164" i="2"/>
  <c r="N163" i="2"/>
  <c r="D163" i="2"/>
  <c r="N162" i="2"/>
  <c r="D162" i="2"/>
  <c r="N161" i="2"/>
  <c r="D161" i="2"/>
  <c r="N160" i="2"/>
  <c r="D160" i="2"/>
  <c r="N159" i="2"/>
  <c r="D159" i="2"/>
  <c r="N158" i="2"/>
  <c r="D158" i="2"/>
  <c r="N157" i="2"/>
  <c r="D157" i="2"/>
  <c r="N156" i="2"/>
  <c r="D156" i="2"/>
  <c r="N155" i="2"/>
  <c r="D155" i="2"/>
  <c r="N154" i="2"/>
  <c r="D154" i="2"/>
  <c r="N153" i="2"/>
  <c r="D153" i="2"/>
  <c r="N152" i="2"/>
  <c r="D152" i="2"/>
  <c r="N151" i="2"/>
  <c r="D151" i="2"/>
  <c r="N150" i="2"/>
  <c r="D150" i="2"/>
  <c r="N149" i="2"/>
  <c r="D149" i="2"/>
  <c r="N148" i="2"/>
  <c r="D148" i="2"/>
  <c r="N147" i="2"/>
  <c r="D147" i="2"/>
  <c r="N146" i="2"/>
  <c r="D146" i="2"/>
  <c r="N145" i="2"/>
  <c r="D145" i="2"/>
  <c r="N144" i="2"/>
  <c r="D144" i="2"/>
  <c r="N143" i="2"/>
  <c r="D143" i="2"/>
  <c r="N142" i="2"/>
  <c r="D142" i="2"/>
  <c r="N141" i="2"/>
  <c r="D141" i="2"/>
  <c r="N140" i="2"/>
  <c r="D140" i="2"/>
  <c r="N139" i="2"/>
  <c r="D139" i="2"/>
  <c r="N138" i="2"/>
  <c r="D138" i="2"/>
  <c r="N137" i="2"/>
  <c r="D137" i="2"/>
  <c r="N136" i="2"/>
  <c r="D136" i="2"/>
  <c r="N135" i="2"/>
  <c r="D135" i="2"/>
  <c r="N134" i="2"/>
  <c r="D134" i="2"/>
  <c r="N133" i="2"/>
  <c r="D133" i="2"/>
  <c r="N132" i="2"/>
  <c r="D132" i="2"/>
  <c r="N131" i="2"/>
  <c r="D131" i="2"/>
  <c r="N130" i="2"/>
  <c r="D130" i="2"/>
  <c r="N129" i="2"/>
  <c r="D129" i="2"/>
  <c r="N128" i="2"/>
  <c r="D128" i="2"/>
  <c r="N127" i="2"/>
  <c r="D127" i="2"/>
  <c r="N126" i="2"/>
  <c r="D126" i="2"/>
  <c r="N125" i="2"/>
  <c r="D125" i="2"/>
  <c r="N124" i="2"/>
  <c r="D124" i="2"/>
  <c r="N123" i="2"/>
  <c r="D123" i="2"/>
  <c r="N122" i="2"/>
  <c r="D122" i="2"/>
  <c r="N121" i="2"/>
  <c r="D121" i="2"/>
  <c r="N120" i="2"/>
  <c r="D120" i="2"/>
  <c r="N119" i="2"/>
  <c r="D119" i="2"/>
  <c r="N118" i="2"/>
  <c r="D118" i="2"/>
  <c r="N117" i="2"/>
  <c r="D117" i="2"/>
  <c r="N116" i="2"/>
  <c r="D116" i="2"/>
  <c r="N115" i="2"/>
  <c r="D115" i="2"/>
  <c r="N114" i="2"/>
  <c r="D114" i="2"/>
  <c r="N113" i="2"/>
  <c r="D113" i="2"/>
  <c r="N112" i="2"/>
  <c r="D112" i="2"/>
  <c r="N111" i="2"/>
  <c r="D111" i="2"/>
  <c r="N110" i="2"/>
  <c r="D110" i="2"/>
  <c r="N109" i="2"/>
  <c r="D109" i="2"/>
  <c r="N108" i="2"/>
  <c r="D108" i="2"/>
  <c r="N107" i="2"/>
  <c r="D107" i="2"/>
  <c r="N106" i="2"/>
  <c r="D106" i="2"/>
  <c r="N105" i="2"/>
  <c r="D105" i="2"/>
  <c r="N104" i="2"/>
  <c r="D104" i="2"/>
  <c r="N103" i="2"/>
  <c r="D103" i="2"/>
  <c r="N102" i="2"/>
  <c r="D102" i="2"/>
  <c r="N101" i="2"/>
  <c r="D101" i="2"/>
  <c r="N100" i="2"/>
  <c r="D100" i="2"/>
  <c r="N99" i="2"/>
  <c r="D99" i="2"/>
  <c r="N98" i="2"/>
  <c r="D98" i="2"/>
  <c r="N97" i="2"/>
  <c r="D97" i="2"/>
  <c r="N96" i="2"/>
  <c r="D96" i="2"/>
  <c r="N95" i="2"/>
  <c r="D95" i="2"/>
  <c r="N94" i="2"/>
  <c r="D94" i="2"/>
  <c r="N93" i="2"/>
  <c r="D93" i="2"/>
  <c r="N92" i="2"/>
  <c r="D92" i="2"/>
  <c r="N91" i="2"/>
  <c r="D91" i="2"/>
  <c r="N90" i="2"/>
  <c r="D90" i="2"/>
  <c r="N89" i="2"/>
  <c r="D89" i="2"/>
  <c r="N88" i="2"/>
  <c r="D88" i="2"/>
  <c r="N87" i="2"/>
  <c r="D87" i="2"/>
  <c r="N86" i="2"/>
  <c r="D86" i="2"/>
  <c r="N85" i="2"/>
  <c r="D85" i="2"/>
  <c r="N84" i="2"/>
  <c r="D84" i="2"/>
  <c r="N83" i="2"/>
  <c r="D83" i="2"/>
  <c r="N82" i="2"/>
  <c r="D82" i="2"/>
  <c r="N81" i="2"/>
  <c r="D81" i="2"/>
  <c r="N80" i="2"/>
  <c r="D80" i="2"/>
  <c r="N79" i="2"/>
  <c r="D79" i="2"/>
  <c r="N78" i="2"/>
  <c r="D78" i="2"/>
  <c r="N77" i="2"/>
  <c r="D77" i="2"/>
  <c r="N76" i="2"/>
  <c r="D76" i="2"/>
  <c r="N75" i="2"/>
  <c r="D75" i="2"/>
  <c r="N74" i="2"/>
  <c r="D74" i="2"/>
  <c r="N73" i="2"/>
  <c r="D73" i="2"/>
  <c r="N72" i="2"/>
  <c r="D72" i="2"/>
  <c r="N71" i="2"/>
  <c r="D71" i="2"/>
  <c r="N70" i="2"/>
  <c r="D70" i="2"/>
  <c r="N69" i="2"/>
  <c r="D69" i="2"/>
  <c r="N68" i="2"/>
  <c r="D68" i="2"/>
  <c r="N67" i="2"/>
  <c r="D67" i="2"/>
  <c r="N66" i="2"/>
  <c r="D66" i="2"/>
  <c r="N65" i="2"/>
  <c r="D65" i="2"/>
  <c r="N64" i="2"/>
  <c r="D64" i="2"/>
  <c r="N63" i="2"/>
  <c r="D63" i="2"/>
  <c r="N62" i="2"/>
  <c r="D62" i="2"/>
  <c r="N61" i="2"/>
  <c r="D61" i="2"/>
  <c r="N60" i="2"/>
  <c r="D60" i="2"/>
  <c r="N59" i="2"/>
  <c r="D59" i="2"/>
  <c r="N58" i="2"/>
  <c r="D58" i="2"/>
  <c r="N57" i="2"/>
  <c r="D57" i="2"/>
  <c r="N56" i="2"/>
  <c r="D56" i="2"/>
  <c r="N55" i="2"/>
  <c r="D55" i="2"/>
  <c r="N54" i="2"/>
  <c r="D54" i="2"/>
  <c r="N53" i="2"/>
  <c r="D53" i="2"/>
  <c r="N52" i="2"/>
  <c r="D52" i="2"/>
  <c r="N51" i="2"/>
  <c r="D51" i="2"/>
  <c r="N50" i="2"/>
  <c r="D50" i="2"/>
  <c r="N49" i="2"/>
  <c r="D49" i="2"/>
  <c r="N48" i="2"/>
  <c r="D48" i="2"/>
  <c r="N47" i="2"/>
  <c r="D47" i="2"/>
  <c r="N46" i="2"/>
  <c r="D46" i="2"/>
  <c r="N45" i="2"/>
  <c r="D45" i="2"/>
  <c r="N44" i="2"/>
  <c r="D44" i="2"/>
  <c r="N43" i="2"/>
  <c r="D43" i="2"/>
  <c r="N42" i="2"/>
  <c r="D42" i="2"/>
  <c r="N41" i="2"/>
  <c r="D41" i="2"/>
  <c r="N40" i="2"/>
  <c r="D40" i="2"/>
  <c r="N39" i="2"/>
  <c r="D39" i="2"/>
  <c r="N38" i="2"/>
  <c r="D38" i="2"/>
  <c r="N37" i="2"/>
  <c r="D37" i="2"/>
  <c r="N36" i="2"/>
  <c r="D36" i="2"/>
  <c r="N35" i="2"/>
  <c r="D35" i="2"/>
  <c r="N34" i="2"/>
  <c r="D34" i="2"/>
  <c r="N33" i="2"/>
  <c r="D33" i="2"/>
  <c r="N32" i="2"/>
  <c r="D32" i="2"/>
  <c r="N31" i="2"/>
  <c r="D31" i="2"/>
  <c r="N30" i="2"/>
  <c r="D30" i="2"/>
  <c r="N29" i="2"/>
  <c r="D29" i="2"/>
  <c r="N28" i="2"/>
  <c r="D28" i="2"/>
  <c r="N27" i="2"/>
  <c r="D27" i="2"/>
  <c r="N26" i="2"/>
  <c r="D26" i="2"/>
  <c r="N25" i="2"/>
  <c r="D25" i="2"/>
  <c r="N24" i="2"/>
  <c r="D24" i="2"/>
  <c r="N23" i="2"/>
  <c r="D23" i="2"/>
  <c r="N22" i="2"/>
  <c r="D22" i="2"/>
  <c r="N21" i="2"/>
  <c r="D21" i="2"/>
  <c r="N20" i="2"/>
  <c r="D20" i="2"/>
  <c r="N19" i="2"/>
  <c r="D19" i="2"/>
  <c r="N18" i="2"/>
  <c r="D18" i="2"/>
  <c r="N17" i="2"/>
  <c r="D17" i="2"/>
  <c r="N16" i="2"/>
  <c r="D16" i="2"/>
  <c r="N15" i="2"/>
  <c r="D15" i="2"/>
  <c r="N14" i="2"/>
  <c r="D14" i="2"/>
  <c r="N13" i="2"/>
  <c r="D13" i="2"/>
  <c r="N12" i="2"/>
  <c r="D12" i="2"/>
  <c r="N11" i="2"/>
  <c r="D11" i="2"/>
  <c r="N10" i="2"/>
  <c r="D10" i="2"/>
  <c r="N9" i="2"/>
  <c r="D9" i="2"/>
  <c r="N8" i="2"/>
  <c r="D8" i="2"/>
  <c r="N7" i="2"/>
  <c r="D7" i="2"/>
  <c r="N6" i="2"/>
  <c r="D6" i="2"/>
  <c r="N5" i="2"/>
  <c r="D5" i="2"/>
  <c r="N4" i="2"/>
  <c r="D4" i="2"/>
  <c r="N3" i="2"/>
  <c r="D3" i="2"/>
  <c r="N2" i="2"/>
  <c r="D2" i="2"/>
  <c r="C19" i="1"/>
  <c r="C12" i="1"/>
  <c r="E5" i="1"/>
  <c r="C5" i="1"/>
  <c r="A5" i="1"/>
  <c r="K1061" i="3"/>
  <c r="B1060" i="3"/>
  <c r="C1060" i="3" s="1"/>
  <c r="K1059" i="3"/>
  <c r="I1059" i="3"/>
  <c r="H1058" i="3"/>
  <c r="H1053" i="3"/>
  <c r="I1051" i="3"/>
  <c r="I1049" i="3"/>
  <c r="K1045" i="3"/>
  <c r="I1045" i="3"/>
  <c r="I1041" i="3"/>
  <c r="K1039" i="3"/>
  <c r="I1039" i="3"/>
  <c r="K1038" i="3"/>
  <c r="K1037" i="3"/>
  <c r="H1037" i="3"/>
  <c r="I1034" i="3"/>
  <c r="K1033" i="3"/>
  <c r="H1031" i="3"/>
  <c r="K1027" i="3"/>
  <c r="H1023" i="3"/>
  <c r="K1022" i="3"/>
  <c r="I1022" i="3"/>
  <c r="B1022" i="3"/>
  <c r="C1022" i="3" s="1"/>
  <c r="I1020" i="3"/>
  <c r="K1019" i="3"/>
  <c r="K1018" i="3"/>
  <c r="K1017" i="3"/>
  <c r="K1014" i="3"/>
  <c r="B1014" i="3"/>
  <c r="C1014" i="3" s="1"/>
  <c r="K1012" i="3"/>
  <c r="K1011" i="3"/>
  <c r="H1011" i="3"/>
  <c r="K1009" i="3"/>
  <c r="K1007" i="3"/>
  <c r="B1006" i="3"/>
  <c r="C1006" i="3" s="1"/>
  <c r="K1005" i="3"/>
  <c r="K1004" i="3"/>
  <c r="H1002" i="3"/>
  <c r="K1000" i="3"/>
  <c r="K997" i="3"/>
  <c r="H997" i="3"/>
  <c r="K996" i="3"/>
  <c r="H996" i="3"/>
  <c r="I995" i="3"/>
  <c r="H992" i="3"/>
  <c r="I986" i="3"/>
  <c r="B985" i="3"/>
  <c r="C985" i="3" s="1"/>
  <c r="B981" i="3"/>
  <c r="C981" i="3" s="1"/>
  <c r="I977" i="3"/>
  <c r="B977" i="3"/>
  <c r="C977" i="3" s="1"/>
  <c r="B975" i="3"/>
  <c r="C975" i="3" s="1"/>
  <c r="I970" i="3"/>
  <c r="H966" i="3"/>
  <c r="H961" i="3"/>
  <c r="B958" i="3"/>
  <c r="C958" i="3" s="1"/>
  <c r="H955" i="3"/>
  <c r="H949" i="3"/>
  <c r="H948" i="3"/>
  <c r="I947" i="3"/>
  <c r="H946" i="3"/>
  <c r="I944" i="3"/>
  <c r="H939" i="3"/>
  <c r="B935" i="3"/>
  <c r="C935" i="3" s="1"/>
  <c r="I933" i="3"/>
  <c r="H929" i="3"/>
  <c r="H927" i="3"/>
  <c r="B927" i="3"/>
  <c r="C927" i="3" s="1"/>
  <c r="B924" i="3"/>
  <c r="C924" i="3" s="1"/>
  <c r="I916" i="3"/>
  <c r="B914" i="3"/>
  <c r="C914" i="3" s="1"/>
  <c r="I912" i="3"/>
  <c r="K910" i="3"/>
  <c r="K909" i="3"/>
  <c r="B907" i="3"/>
  <c r="C907" i="3" s="1"/>
  <c r="B904" i="3"/>
  <c r="C904" i="3" s="1"/>
  <c r="I903" i="3"/>
  <c r="I902" i="3"/>
  <c r="B898" i="3"/>
  <c r="C898" i="3" s="1"/>
  <c r="H896" i="3"/>
  <c r="I893" i="3"/>
  <c r="I890" i="3"/>
  <c r="I888" i="3"/>
  <c r="B884" i="3"/>
  <c r="C884" i="3" s="1"/>
  <c r="H883" i="3"/>
  <c r="I876" i="3"/>
  <c r="I874" i="3"/>
  <c r="H873" i="3"/>
  <c r="B872" i="3"/>
  <c r="C872" i="3" s="1"/>
  <c r="B871" i="3"/>
  <c r="C871" i="3" s="1"/>
  <c r="B864" i="3"/>
  <c r="C864" i="3" s="1"/>
  <c r="I862" i="3"/>
  <c r="B861" i="3"/>
  <c r="C861" i="3" s="1"/>
  <c r="B857" i="3"/>
  <c r="C857" i="3" s="1"/>
  <c r="B855" i="3"/>
  <c r="C855" i="3" s="1"/>
  <c r="H854" i="3"/>
  <c r="B852" i="3"/>
  <c r="C852" i="3" s="1"/>
  <c r="B850" i="3"/>
  <c r="C850" i="3" s="1"/>
  <c r="B843" i="3"/>
  <c r="C843" i="3" s="1"/>
  <c r="I841" i="3"/>
  <c r="H840" i="3"/>
  <c r="H835" i="3"/>
  <c r="I833" i="3"/>
  <c r="B832" i="3"/>
  <c r="C832" i="3" s="1"/>
  <c r="B829" i="3"/>
  <c r="C829" i="3" s="1"/>
  <c r="B825" i="3"/>
  <c r="C825" i="3" s="1"/>
  <c r="I823" i="3"/>
  <c r="I820" i="3"/>
  <c r="I815" i="3"/>
  <c r="B815" i="3"/>
  <c r="C815" i="3" s="1"/>
  <c r="I813" i="3"/>
  <c r="B812" i="3"/>
  <c r="C812" i="3" s="1"/>
  <c r="H811" i="3"/>
  <c r="H805" i="3"/>
  <c r="B801" i="3"/>
  <c r="C801" i="3" s="1"/>
  <c r="I796" i="3"/>
  <c r="B796" i="3"/>
  <c r="C796" i="3" s="1"/>
  <c r="B795" i="3"/>
  <c r="C795" i="3" s="1"/>
  <c r="I792" i="3"/>
  <c r="I790" i="3"/>
  <c r="I785" i="3"/>
  <c r="B784" i="3"/>
  <c r="C784" i="3" s="1"/>
  <c r="F783" i="3"/>
  <c r="H779" i="3"/>
  <c r="H776" i="3"/>
  <c r="I774" i="3"/>
  <c r="H774" i="3"/>
  <c r="I773" i="3"/>
  <c r="B771" i="3"/>
  <c r="C771" i="3" s="1"/>
  <c r="I764" i="3"/>
  <c r="B761" i="3"/>
  <c r="C761" i="3" s="1"/>
  <c r="B759" i="3"/>
  <c r="C759" i="3" s="1"/>
  <c r="H757" i="3"/>
  <c r="B757" i="3"/>
  <c r="C757" i="3" s="1"/>
  <c r="I756" i="3"/>
  <c r="H751" i="3"/>
  <c r="I748" i="3"/>
  <c r="I747" i="3"/>
  <c r="I744" i="3"/>
  <c r="I742" i="3"/>
  <c r="B740" i="3"/>
  <c r="C740" i="3" s="1"/>
  <c r="H737" i="3"/>
  <c r="H736" i="3"/>
  <c r="I734" i="3"/>
  <c r="H731" i="3"/>
  <c r="B727" i="3"/>
  <c r="C727" i="3" s="1"/>
  <c r="B723" i="3"/>
  <c r="C723" i="3" s="1"/>
  <c r="B722" i="3"/>
  <c r="C722" i="3" s="1"/>
  <c r="B721" i="3"/>
  <c r="C721" i="3" s="1"/>
  <c r="H720" i="3"/>
  <c r="I719" i="3"/>
  <c r="I716" i="3"/>
  <c r="H713" i="3"/>
  <c r="I710" i="3"/>
  <c r="B709" i="3"/>
  <c r="C709" i="3" s="1"/>
  <c r="B707" i="3"/>
  <c r="C707" i="3" s="1"/>
  <c r="I704" i="3"/>
  <c r="H703" i="3"/>
  <c r="H699" i="3"/>
  <c r="I696" i="3"/>
  <c r="I694" i="3"/>
  <c r="I692" i="3"/>
  <c r="I688" i="3"/>
  <c r="B687" i="3"/>
  <c r="C687" i="3" s="1"/>
  <c r="B686" i="3"/>
  <c r="C686" i="3" s="1"/>
  <c r="B684" i="3"/>
  <c r="C684" i="3" s="1"/>
  <c r="I682" i="3"/>
  <c r="I681" i="3"/>
  <c r="I676" i="3"/>
  <c r="B674" i="3"/>
  <c r="C674" i="3" s="1"/>
  <c r="I672" i="3"/>
  <c r="I670" i="3"/>
  <c r="B670" i="3"/>
  <c r="C670" i="3" s="1"/>
  <c r="H666" i="3"/>
  <c r="B662" i="3"/>
  <c r="C662" i="3" s="1"/>
  <c r="I660" i="3"/>
  <c r="B659" i="3"/>
  <c r="C659" i="3" s="1"/>
  <c r="B657" i="3"/>
  <c r="C657" i="3" s="1"/>
  <c r="B654" i="3"/>
  <c r="C654" i="3" s="1"/>
  <c r="B652" i="3"/>
  <c r="C652" i="3" s="1"/>
  <c r="H648" i="3"/>
  <c r="B647" i="3"/>
  <c r="C647" i="3" s="1"/>
  <c r="H645" i="3"/>
  <c r="B644" i="3"/>
  <c r="C644" i="3" s="1"/>
  <c r="B641" i="3"/>
  <c r="C641" i="3" s="1"/>
  <c r="H638" i="3"/>
  <c r="B636" i="3"/>
  <c r="C636" i="3" s="1"/>
  <c r="B635" i="3"/>
  <c r="C635" i="3" s="1"/>
  <c r="B633" i="3"/>
  <c r="C633" i="3" s="1"/>
  <c r="H628" i="3"/>
  <c r="I624" i="3"/>
  <c r="B624" i="3"/>
  <c r="C624" i="3" s="1"/>
  <c r="I622" i="3"/>
  <c r="H621" i="3"/>
  <c r="H619" i="3"/>
  <c r="I615" i="3"/>
  <c r="I613" i="3"/>
  <c r="I611" i="3"/>
  <c r="H609" i="3"/>
  <c r="B609" i="3"/>
  <c r="C609" i="3" s="1"/>
  <c r="I607" i="3"/>
  <c r="B606" i="3"/>
  <c r="C606" i="3" s="1"/>
  <c r="K604" i="3"/>
  <c r="B602" i="3"/>
  <c r="C602" i="3" s="1"/>
  <c r="H600" i="3"/>
  <c r="H598" i="3"/>
  <c r="H594" i="3"/>
  <c r="I592" i="3"/>
  <c r="I591" i="3"/>
  <c r="B591" i="3"/>
  <c r="C591" i="3" s="1"/>
  <c r="B588" i="3"/>
  <c r="C588" i="3" s="1"/>
  <c r="I586" i="3"/>
  <c r="H584" i="3"/>
  <c r="H580" i="3"/>
  <c r="B579" i="3"/>
  <c r="C579" i="3" s="1"/>
  <c r="H577" i="3"/>
  <c r="I575" i="3"/>
  <c r="B575" i="3"/>
  <c r="C575" i="3" s="1"/>
  <c r="K573" i="3"/>
  <c r="H570" i="3"/>
  <c r="H567" i="3"/>
  <c r="I566" i="3"/>
  <c r="I565" i="3"/>
  <c r="B564" i="3"/>
  <c r="C564" i="3" s="1"/>
  <c r="H560" i="3"/>
  <c r="H557" i="3"/>
  <c r="B557" i="3"/>
  <c r="C557" i="3" s="1"/>
  <c r="H556" i="3"/>
  <c r="B552" i="3"/>
  <c r="C552" i="3" s="1"/>
  <c r="H549" i="3"/>
  <c r="B548" i="3"/>
  <c r="C548" i="3" s="1"/>
  <c r="B546" i="3"/>
  <c r="C546" i="3" s="1"/>
  <c r="H544" i="3"/>
  <c r="B541" i="3"/>
  <c r="C541" i="3" s="1"/>
  <c r="I539" i="3"/>
  <c r="I534" i="3"/>
  <c r="I532" i="3"/>
  <c r="B532" i="3"/>
  <c r="C532" i="3" s="1"/>
  <c r="H531" i="3"/>
  <c r="B530" i="3"/>
  <c r="C530" i="3" s="1"/>
  <c r="H524" i="3"/>
  <c r="I522" i="3"/>
  <c r="H522" i="3"/>
  <c r="H521" i="3"/>
  <c r="H519" i="3"/>
  <c r="I517" i="3"/>
  <c r="I515" i="3"/>
  <c r="H514" i="3"/>
  <c r="I509" i="3"/>
  <c r="I507" i="3"/>
  <c r="H506" i="3"/>
  <c r="H504" i="3"/>
  <c r="I500" i="3"/>
  <c r="B499" i="3"/>
  <c r="C499" i="3" s="1"/>
  <c r="H498" i="3"/>
  <c r="B497" i="3"/>
  <c r="C497" i="3" s="1"/>
  <c r="H493" i="3"/>
  <c r="B491" i="3"/>
  <c r="C491" i="3" s="1"/>
  <c r="H489" i="3"/>
  <c r="I488" i="3"/>
  <c r="H487" i="3"/>
  <c r="I486" i="3"/>
  <c r="B485" i="3"/>
  <c r="C485" i="3" s="1"/>
  <c r="H481" i="3"/>
  <c r="I477" i="3"/>
  <c r="H475" i="3"/>
  <c r="B475" i="3"/>
  <c r="C475" i="3" s="1"/>
  <c r="B474" i="3"/>
  <c r="C474" i="3" s="1"/>
  <c r="I471" i="3"/>
  <c r="B470" i="3"/>
  <c r="C470" i="3" s="1"/>
  <c r="B467" i="3"/>
  <c r="C467" i="3" s="1"/>
  <c r="H465" i="3"/>
  <c r="H464" i="3"/>
  <c r="I460" i="3"/>
  <c r="B458" i="3"/>
  <c r="C458" i="3" s="1"/>
  <c r="I457" i="3"/>
  <c r="H457" i="3"/>
  <c r="H456" i="3"/>
  <c r="B455" i="3"/>
  <c r="C455" i="3" s="1"/>
  <c r="I449" i="3"/>
  <c r="I447" i="3"/>
  <c r="B447" i="3"/>
  <c r="C447" i="3" s="1"/>
  <c r="I445" i="3"/>
  <c r="I444" i="3"/>
  <c r="H443" i="3"/>
  <c r="H440" i="3"/>
  <c r="B439" i="3"/>
  <c r="C439" i="3" s="1"/>
  <c r="I437" i="3"/>
  <c r="B435" i="3"/>
  <c r="C435" i="3" s="1"/>
  <c r="H433" i="3"/>
  <c r="I431" i="3"/>
  <c r="H429" i="3"/>
  <c r="I428" i="3"/>
  <c r="B427" i="3"/>
  <c r="C427" i="3" s="1"/>
  <c r="H425" i="3"/>
  <c r="H420" i="3"/>
  <c r="I418" i="3"/>
  <c r="B418" i="3"/>
  <c r="C418" i="3" s="1"/>
  <c r="H417" i="3"/>
  <c r="H416" i="3"/>
  <c r="H415" i="3"/>
  <c r="B412" i="3"/>
  <c r="C412" i="3" s="1"/>
  <c r="I410" i="3"/>
  <c r="H408" i="3"/>
  <c r="I407" i="3"/>
  <c r="H406" i="3"/>
  <c r="I403" i="3"/>
  <c r="B402" i="3"/>
  <c r="C402" i="3" s="1"/>
  <c r="H400" i="3"/>
  <c r="H398" i="3"/>
  <c r="B395" i="3"/>
  <c r="C395" i="3" s="1"/>
  <c r="B394" i="3"/>
  <c r="C394" i="3" s="1"/>
  <c r="B393" i="3"/>
  <c r="C393" i="3" s="1"/>
  <c r="I390" i="3"/>
  <c r="I388" i="3"/>
  <c r="H387" i="3"/>
  <c r="B387" i="3"/>
  <c r="C387" i="3" s="1"/>
  <c r="I386" i="3"/>
  <c r="H384" i="3"/>
  <c r="B381" i="3"/>
  <c r="C381" i="3" s="1"/>
  <c r="B380" i="3"/>
  <c r="C380" i="3" s="1"/>
  <c r="B379" i="3"/>
  <c r="C379" i="3" s="1"/>
  <c r="H378" i="3"/>
  <c r="I376" i="3"/>
  <c r="H373" i="3"/>
  <c r="I371" i="3"/>
  <c r="H370" i="3"/>
  <c r="I369" i="3"/>
  <c r="B369" i="3"/>
  <c r="C369" i="3" s="1"/>
  <c r="H367" i="3"/>
  <c r="B365" i="3"/>
  <c r="C365" i="3" s="1"/>
  <c r="H364" i="3"/>
  <c r="I363" i="3"/>
  <c r="H362" i="3"/>
  <c r="I361" i="3"/>
  <c r="B359" i="3"/>
  <c r="C359" i="3" s="1"/>
  <c r="B358" i="3"/>
  <c r="C358" i="3" s="1"/>
  <c r="H357" i="3"/>
  <c r="B356" i="3"/>
  <c r="C356" i="3" s="1"/>
  <c r="B354" i="3"/>
  <c r="C354" i="3" s="1"/>
  <c r="B351" i="3"/>
  <c r="C351" i="3" s="1"/>
  <c r="I350" i="3"/>
  <c r="I349" i="3"/>
  <c r="B349" i="3"/>
  <c r="C349" i="3" s="1"/>
  <c r="H348" i="3"/>
  <c r="I346" i="3"/>
  <c r="I345" i="3"/>
  <c r="H343" i="3"/>
  <c r="B342" i="3"/>
  <c r="C342" i="3" s="1"/>
  <c r="I341" i="3"/>
  <c r="H341" i="3"/>
  <c r="B340" i="3"/>
  <c r="C340" i="3" s="1"/>
  <c r="I338" i="3"/>
  <c r="I336" i="3"/>
  <c r="H334" i="3"/>
  <c r="B333" i="3"/>
  <c r="C333" i="3" s="1"/>
  <c r="B332" i="3"/>
  <c r="C332" i="3" s="1"/>
  <c r="I331" i="3"/>
  <c r="B331" i="3"/>
  <c r="C331" i="3" s="1"/>
  <c r="I329" i="3"/>
  <c r="B328" i="3"/>
  <c r="C328" i="3" s="1"/>
  <c r="I326" i="3"/>
  <c r="B326" i="3"/>
  <c r="C326" i="3" s="1"/>
  <c r="H324" i="3"/>
  <c r="H323" i="3"/>
  <c r="B322" i="3"/>
  <c r="C322" i="3" s="1"/>
  <c r="H321" i="3"/>
  <c r="B321" i="3"/>
  <c r="C321" i="3" s="1"/>
  <c r="H319" i="3"/>
  <c r="H317" i="3"/>
  <c r="B315" i="3"/>
  <c r="C315" i="3" s="1"/>
  <c r="H314" i="3"/>
  <c r="I313" i="3"/>
  <c r="F313" i="3"/>
  <c r="B313" i="3"/>
  <c r="C313" i="3" s="1"/>
  <c r="H311" i="3"/>
  <c r="H310" i="3"/>
  <c r="I309" i="3"/>
  <c r="B308" i="3"/>
  <c r="C308" i="3" s="1"/>
  <c r="H307" i="3"/>
  <c r="I306" i="3"/>
  <c r="I305" i="3"/>
  <c r="I304" i="3"/>
  <c r="H303" i="3"/>
  <c r="I301" i="3"/>
  <c r="H300" i="3"/>
  <c r="I299" i="3"/>
  <c r="I298" i="3"/>
  <c r="B298" i="3"/>
  <c r="C298" i="3" s="1"/>
  <c r="H297" i="3"/>
  <c r="H295" i="3"/>
  <c r="B295" i="3"/>
  <c r="C295" i="3" s="1"/>
  <c r="H294" i="3"/>
  <c r="B293" i="3"/>
  <c r="C293" i="3" s="1"/>
  <c r="B292" i="3"/>
  <c r="C292" i="3" s="1"/>
  <c r="H291" i="3"/>
  <c r="I290" i="3"/>
  <c r="I289" i="3"/>
  <c r="I287" i="3"/>
  <c r="B287" i="3"/>
  <c r="C287" i="3" s="1"/>
  <c r="H285" i="3"/>
  <c r="I284" i="3"/>
  <c r="B284" i="3"/>
  <c r="C284" i="3" s="1"/>
  <c r="H283" i="3"/>
  <c r="B282" i="3"/>
  <c r="C282" i="3" s="1"/>
  <c r="H280" i="3"/>
  <c r="I279" i="3"/>
  <c r="B279" i="3"/>
  <c r="C279" i="3" s="1"/>
  <c r="B278" i="3"/>
  <c r="C278" i="3" s="1"/>
  <c r="H277" i="3"/>
  <c r="I276" i="3"/>
  <c r="I275" i="3"/>
  <c r="I274" i="3"/>
  <c r="B273" i="3"/>
  <c r="C273" i="3" s="1"/>
  <c r="H271" i="3"/>
  <c r="I270" i="3"/>
  <c r="B270" i="3"/>
  <c r="C270" i="3" s="1"/>
  <c r="H269" i="3"/>
  <c r="B268" i="3"/>
  <c r="C268" i="3" s="1"/>
  <c r="H267" i="3"/>
  <c r="I265" i="3"/>
  <c r="I264" i="3"/>
  <c r="B264" i="3"/>
  <c r="C264" i="3" s="1"/>
  <c r="H263" i="3"/>
  <c r="B263" i="3"/>
  <c r="C263" i="3" s="1"/>
  <c r="I262" i="3"/>
  <c r="I261" i="3"/>
  <c r="I260" i="3"/>
  <c r="B260" i="3"/>
  <c r="C260" i="3" s="1"/>
  <c r="H258" i="3"/>
  <c r="I256" i="3"/>
  <c r="H255" i="3"/>
  <c r="I254" i="3"/>
  <c r="B254" i="3"/>
  <c r="C254" i="3" s="1"/>
  <c r="H253" i="3"/>
  <c r="H252" i="3"/>
  <c r="B251" i="3"/>
  <c r="C251" i="3" s="1"/>
  <c r="H250" i="3"/>
  <c r="H249" i="3"/>
  <c r="I248" i="3"/>
  <c r="I247" i="3"/>
  <c r="B247" i="3"/>
  <c r="C247" i="3" s="1"/>
  <c r="I246" i="3"/>
  <c r="H246" i="3"/>
  <c r="H245" i="3"/>
  <c r="B244" i="3"/>
  <c r="C244" i="3" s="1"/>
  <c r="H242" i="3"/>
  <c r="I240" i="3"/>
  <c r="B240" i="3"/>
  <c r="C240" i="3" s="1"/>
  <c r="B239" i="3"/>
  <c r="C239" i="3" s="1"/>
  <c r="I238" i="3"/>
  <c r="H238" i="3"/>
  <c r="B237" i="3"/>
  <c r="C237" i="3" s="1"/>
  <c r="H236" i="3"/>
  <c r="I235" i="3"/>
  <c r="I234" i="3"/>
  <c r="I233" i="3"/>
  <c r="B233" i="3"/>
  <c r="C233" i="3" s="1"/>
  <c r="B232" i="3"/>
  <c r="C232" i="3" s="1"/>
  <c r="H231" i="3"/>
  <c r="B231" i="3"/>
  <c r="C231" i="3" s="1"/>
  <c r="B230" i="3"/>
  <c r="C230" i="3" s="1"/>
  <c r="I228" i="3"/>
  <c r="I226" i="3"/>
  <c r="I225" i="3"/>
  <c r="B225" i="3"/>
  <c r="C225" i="3" s="1"/>
  <c r="H224" i="3"/>
  <c r="I223" i="3"/>
  <c r="B223" i="3"/>
  <c r="C223" i="3" s="1"/>
  <c r="H222" i="3"/>
  <c r="I221" i="3"/>
  <c r="B221" i="3"/>
  <c r="C221" i="3" s="1"/>
  <c r="I219" i="3"/>
  <c r="I218" i="3"/>
  <c r="B218" i="3"/>
  <c r="C218" i="3" s="1"/>
  <c r="H217" i="3"/>
  <c r="I216" i="3"/>
  <c r="I215" i="3"/>
  <c r="I214" i="3"/>
  <c r="H212" i="3"/>
  <c r="I211" i="3"/>
  <c r="B211" i="3"/>
  <c r="C211" i="3" s="1"/>
  <c r="H210" i="3"/>
  <c r="I209" i="3"/>
  <c r="H208" i="3"/>
  <c r="B208" i="3"/>
  <c r="C208" i="3" s="1"/>
  <c r="I207" i="3"/>
  <c r="B207" i="3"/>
  <c r="C207" i="3" s="1"/>
  <c r="H206" i="3"/>
  <c r="I204" i="3"/>
  <c r="B204" i="3"/>
  <c r="C204" i="3" s="1"/>
  <c r="H203" i="3"/>
  <c r="I202" i="3"/>
  <c r="H201" i="3"/>
  <c r="H200" i="3"/>
  <c r="B199" i="3"/>
  <c r="C199" i="3" s="1"/>
  <c r="I197" i="3"/>
  <c r="B197" i="3"/>
  <c r="C197" i="3" s="1"/>
  <c r="H196" i="3"/>
  <c r="I195" i="3"/>
  <c r="H194" i="3"/>
  <c r="I193" i="3"/>
  <c r="B193" i="3"/>
  <c r="C193" i="3" s="1"/>
  <c r="H192" i="3"/>
  <c r="B192" i="3"/>
  <c r="C192" i="3" s="1"/>
  <c r="B191" i="3"/>
  <c r="C191" i="3" s="1"/>
  <c r="B190" i="3"/>
  <c r="C190" i="3" s="1"/>
  <c r="H189" i="3"/>
  <c r="I188" i="3"/>
  <c r="H187" i="3"/>
  <c r="I185" i="3"/>
  <c r="H184" i="3"/>
  <c r="B184" i="3"/>
  <c r="C184" i="3" s="1"/>
  <c r="B183" i="3"/>
  <c r="C183" i="3" s="1"/>
  <c r="H182" i="3"/>
  <c r="I181" i="3"/>
  <c r="H180" i="3"/>
  <c r="I179" i="3"/>
  <c r="I178" i="3"/>
  <c r="B178" i="3"/>
  <c r="C178" i="3" s="1"/>
  <c r="B177" i="3"/>
  <c r="C177" i="3" s="1"/>
  <c r="I176" i="3"/>
  <c r="H176" i="3"/>
  <c r="H175" i="3"/>
  <c r="I174" i="3"/>
  <c r="H173" i="3"/>
  <c r="I171" i="3"/>
  <c r="B170" i="3"/>
  <c r="C170" i="3" s="1"/>
  <c r="H169" i="3"/>
  <c r="B169" i="3"/>
  <c r="C169" i="3" s="1"/>
  <c r="H168" i="3"/>
  <c r="I167" i="3"/>
  <c r="H166" i="3"/>
  <c r="H165" i="3"/>
  <c r="I164" i="3"/>
  <c r="B164" i="3"/>
  <c r="C164" i="3" s="1"/>
  <c r="B163" i="3"/>
  <c r="C163" i="3" s="1"/>
  <c r="H162" i="3"/>
  <c r="I161" i="3"/>
  <c r="B161" i="3"/>
  <c r="C161" i="3" s="1"/>
  <c r="I160" i="3"/>
  <c r="B159" i="3"/>
  <c r="C159" i="3" s="1"/>
  <c r="I157" i="3"/>
  <c r="B156" i="3"/>
  <c r="C156" i="3" s="1"/>
  <c r="H155" i="3"/>
  <c r="I154" i="3"/>
  <c r="I153" i="3"/>
  <c r="H153" i="3"/>
  <c r="B152" i="3"/>
  <c r="C152" i="3" s="1"/>
  <c r="H151" i="3"/>
  <c r="I150" i="3"/>
  <c r="B150" i="3"/>
  <c r="C150" i="3" s="1"/>
  <c r="H149" i="3"/>
  <c r="I148" i="3"/>
  <c r="B148" i="3"/>
  <c r="C148" i="3" s="1"/>
  <c r="H147" i="3"/>
  <c r="H146" i="3"/>
  <c r="H145" i="3"/>
  <c r="B144" i="3"/>
  <c r="C144" i="3" s="1"/>
  <c r="I142" i="3"/>
  <c r="B142" i="3"/>
  <c r="C142" i="3" s="1"/>
  <c r="H141" i="3"/>
  <c r="I140" i="3"/>
  <c r="I139" i="3"/>
  <c r="H138" i="3"/>
  <c r="B138" i="3"/>
  <c r="C138" i="3" s="1"/>
  <c r="H137" i="3"/>
  <c r="I136" i="3"/>
  <c r="B136" i="3"/>
  <c r="C136" i="3" s="1"/>
  <c r="H135" i="3"/>
  <c r="I134" i="3"/>
  <c r="B134" i="3"/>
  <c r="C134" i="3" s="1"/>
  <c r="H133" i="3"/>
  <c r="H131" i="3"/>
  <c r="I130" i="3"/>
  <c r="H129" i="3"/>
  <c r="I128" i="3"/>
  <c r="B128" i="3"/>
  <c r="C128" i="3" s="1"/>
  <c r="H127" i="3"/>
  <c r="I126" i="3"/>
  <c r="I124" i="3"/>
  <c r="B124" i="3"/>
  <c r="C124" i="3" s="1"/>
  <c r="I123" i="3"/>
  <c r="H123" i="3"/>
  <c r="I122" i="3"/>
  <c r="B122" i="3"/>
  <c r="C122" i="3" s="1"/>
  <c r="H121" i="3"/>
  <c r="I120" i="3"/>
  <c r="B120" i="3"/>
  <c r="C120" i="3" s="1"/>
  <c r="B118" i="3"/>
  <c r="C118" i="3" s="1"/>
  <c r="I116" i="3"/>
  <c r="B116" i="3"/>
  <c r="C116" i="3" s="1"/>
  <c r="H115" i="3"/>
  <c r="I114" i="3"/>
  <c r="B114" i="3"/>
  <c r="C114" i="3" s="1"/>
  <c r="H113" i="3"/>
  <c r="H111" i="3"/>
  <c r="I110" i="3"/>
  <c r="B110" i="3"/>
  <c r="C110" i="3" s="1"/>
  <c r="H109" i="3"/>
  <c r="B109" i="3"/>
  <c r="C109" i="3" s="1"/>
  <c r="I108" i="3"/>
  <c r="B108" i="3"/>
  <c r="C108" i="3" s="1"/>
  <c r="H107" i="3"/>
  <c r="I106" i="3"/>
  <c r="B105" i="3"/>
  <c r="C105" i="3" s="1"/>
  <c r="H103" i="3"/>
  <c r="B102" i="3"/>
  <c r="C102" i="3" s="1"/>
  <c r="I101" i="3"/>
  <c r="H101" i="3"/>
  <c r="I100" i="3"/>
  <c r="B100" i="3"/>
  <c r="C100" i="3" s="1"/>
  <c r="H98" i="3"/>
  <c r="H97" i="3"/>
  <c r="I96" i="3"/>
  <c r="B96" i="3"/>
  <c r="C96" i="3" s="1"/>
  <c r="H95" i="3"/>
  <c r="I94" i="3"/>
  <c r="H94" i="3"/>
  <c r="B94" i="3"/>
  <c r="C94" i="3" s="1"/>
  <c r="H93" i="3"/>
  <c r="I91" i="3"/>
  <c r="B90" i="3"/>
  <c r="C90" i="3" s="1"/>
  <c r="I88" i="3"/>
  <c r="B88" i="3"/>
  <c r="C88" i="3" s="1"/>
  <c r="H87" i="3"/>
  <c r="B87" i="3"/>
  <c r="C87" i="3" s="1"/>
  <c r="I86" i="3"/>
  <c r="B85" i="3"/>
  <c r="C85" i="3" s="1"/>
  <c r="H84" i="3"/>
  <c r="H83" i="3"/>
  <c r="I82" i="3"/>
  <c r="B82" i="3"/>
  <c r="C82" i="3" s="1"/>
  <c r="H81" i="3"/>
  <c r="I80" i="3"/>
  <c r="B80" i="3"/>
  <c r="C80" i="3" s="1"/>
  <c r="I79" i="3"/>
  <c r="H78" i="3"/>
  <c r="B77" i="3"/>
  <c r="C77" i="3" s="1"/>
  <c r="H75" i="3"/>
  <c r="I74" i="3"/>
  <c r="B74" i="3"/>
  <c r="C74" i="3" s="1"/>
  <c r="H73" i="3"/>
  <c r="H72" i="3"/>
  <c r="I71" i="3"/>
  <c r="B71" i="3"/>
  <c r="C71" i="3" s="1"/>
  <c r="H70" i="3"/>
  <c r="H69" i="3"/>
  <c r="I68" i="3"/>
  <c r="B68" i="3"/>
  <c r="C68" i="3" s="1"/>
  <c r="H67" i="3"/>
  <c r="I66" i="3"/>
  <c r="I65" i="3"/>
  <c r="I64" i="3"/>
  <c r="I63" i="3"/>
  <c r="B62" i="3"/>
  <c r="C62" i="3" s="1"/>
  <c r="H61" i="3"/>
  <c r="I60" i="3"/>
  <c r="B60" i="3"/>
  <c r="C60" i="3" s="1"/>
  <c r="B59" i="3"/>
  <c r="C59" i="3" s="1"/>
  <c r="I57" i="3"/>
  <c r="H57" i="3"/>
  <c r="B57" i="3"/>
  <c r="C57" i="3" s="1"/>
  <c r="H56" i="3"/>
  <c r="H55" i="3"/>
  <c r="I54" i="3"/>
  <c r="B54" i="3"/>
  <c r="C54" i="3" s="1"/>
  <c r="H53" i="3"/>
  <c r="H52" i="3"/>
  <c r="B51" i="3"/>
  <c r="C51" i="3" s="1"/>
  <c r="B50" i="3"/>
  <c r="C50" i="3" s="1"/>
  <c r="B49" i="3"/>
  <c r="C49" i="3" s="1"/>
  <c r="B48" i="3"/>
  <c r="C48" i="3" s="1"/>
  <c r="H47" i="3"/>
  <c r="I46" i="3"/>
  <c r="I45" i="3"/>
  <c r="H44" i="3"/>
  <c r="I43" i="3"/>
  <c r="B43" i="3"/>
  <c r="C43" i="3" s="1"/>
  <c r="I42" i="3"/>
  <c r="H42" i="3"/>
  <c r="H41" i="3"/>
  <c r="I40" i="3"/>
  <c r="B40" i="3"/>
  <c r="C40" i="3" s="1"/>
  <c r="B39" i="3"/>
  <c r="C39" i="3" s="1"/>
  <c r="K38" i="3"/>
  <c r="I38" i="3"/>
  <c r="K37" i="3"/>
  <c r="B37" i="3"/>
  <c r="C37" i="3" s="1"/>
  <c r="H36" i="3"/>
  <c r="B36" i="3"/>
  <c r="C36" i="3" s="1"/>
  <c r="I35" i="3"/>
  <c r="I34" i="3"/>
  <c r="B33" i="3"/>
  <c r="C33" i="3" s="1"/>
  <c r="H32" i="3"/>
  <c r="I31" i="3"/>
  <c r="B31" i="3"/>
  <c r="C31" i="3" s="1"/>
  <c r="H30" i="3"/>
  <c r="I29" i="3"/>
  <c r="B29" i="3"/>
  <c r="C29" i="3" s="1"/>
  <c r="I28" i="3"/>
  <c r="B28" i="3"/>
  <c r="C28" i="3" s="1"/>
  <c r="H26" i="3"/>
  <c r="B25" i="3"/>
  <c r="C25" i="3" s="1"/>
  <c r="I23" i="3"/>
  <c r="B23" i="3"/>
  <c r="C23" i="3" s="1"/>
  <c r="H22" i="3"/>
  <c r="I21" i="3"/>
  <c r="B21" i="3"/>
  <c r="C21" i="3" s="1"/>
  <c r="I19" i="3"/>
  <c r="B19" i="3"/>
  <c r="C19" i="3" s="1"/>
  <c r="H18" i="3"/>
  <c r="I17" i="3"/>
  <c r="B17" i="3"/>
  <c r="C17" i="3" s="1"/>
  <c r="H16" i="3"/>
  <c r="I15" i="3"/>
  <c r="B15" i="3"/>
  <c r="C15" i="3" s="1"/>
  <c r="B14" i="3"/>
  <c r="C14" i="3" s="1"/>
  <c r="B13" i="3"/>
  <c r="C13" i="3" s="1"/>
  <c r="I11" i="3"/>
  <c r="H10" i="3"/>
  <c r="I9" i="3"/>
  <c r="B9" i="3"/>
  <c r="C9" i="3" s="1"/>
  <c r="H8" i="3"/>
  <c r="I7" i="3"/>
  <c r="B6" i="3"/>
  <c r="C6" i="3" s="1"/>
  <c r="I5" i="3"/>
  <c r="B5" i="3"/>
  <c r="C5" i="3" s="1"/>
  <c r="H4" i="3"/>
  <c r="I3" i="3"/>
  <c r="B3" i="3"/>
  <c r="C3" i="3" s="1"/>
  <c r="H2" i="3"/>
  <c r="B18" i="8"/>
  <c r="B11" i="3" l="1"/>
  <c r="C11" i="3" s="1"/>
  <c r="H24" i="3"/>
  <c r="I37" i="3"/>
  <c r="I49" i="3"/>
  <c r="B63" i="3"/>
  <c r="C63" i="3" s="1"/>
  <c r="B76" i="3"/>
  <c r="C76" i="3" s="1"/>
  <c r="H89" i="3"/>
  <c r="I102" i="3"/>
  <c r="H116" i="3"/>
  <c r="B130" i="3"/>
  <c r="C130" i="3" s="1"/>
  <c r="H143" i="3"/>
  <c r="B157" i="3"/>
  <c r="C157" i="3" s="1"/>
  <c r="B171" i="3"/>
  <c r="C171" i="3" s="1"/>
  <c r="B185" i="3"/>
  <c r="C185" i="3" s="1"/>
  <c r="B200" i="3"/>
  <c r="C200" i="3" s="1"/>
  <c r="B214" i="3"/>
  <c r="C214" i="3" s="1"/>
  <c r="I227" i="3"/>
  <c r="I241" i="3"/>
  <c r="B256" i="3"/>
  <c r="C256" i="3" s="1"/>
  <c r="B271" i="3"/>
  <c r="C271" i="3" s="1"/>
  <c r="H286" i="3"/>
  <c r="B301" i="3"/>
  <c r="C301" i="3" s="1"/>
  <c r="H316" i="3"/>
  <c r="I333" i="3"/>
  <c r="I351" i="3"/>
  <c r="B373" i="3"/>
  <c r="C373" i="3" s="1"/>
  <c r="I396" i="3"/>
  <c r="B423" i="3"/>
  <c r="C423" i="3" s="1"/>
  <c r="H448" i="3"/>
  <c r="H476" i="3"/>
  <c r="H507" i="3"/>
  <c r="H538" i="3"/>
  <c r="B568" i="3"/>
  <c r="C568" i="3" s="1"/>
  <c r="I599" i="3"/>
  <c r="B626" i="3"/>
  <c r="C626" i="3" s="1"/>
  <c r="I661" i="3"/>
  <c r="I695" i="3"/>
  <c r="I728" i="3"/>
  <c r="B763" i="3"/>
  <c r="C763" i="3" s="1"/>
  <c r="B800" i="3"/>
  <c r="C800" i="3" s="1"/>
  <c r="H841" i="3"/>
  <c r="B881" i="3"/>
  <c r="C881" i="3" s="1"/>
  <c r="B915" i="3"/>
  <c r="C915" i="3" s="1"/>
  <c r="H960" i="3"/>
  <c r="H12" i="3"/>
  <c r="I25" i="3"/>
  <c r="B38" i="3"/>
  <c r="C38" i="3" s="1"/>
  <c r="H50" i="3"/>
  <c r="H64" i="3"/>
  <c r="I77" i="3"/>
  <c r="B91" i="3"/>
  <c r="C91" i="3" s="1"/>
  <c r="B104" i="3"/>
  <c r="C104" i="3" s="1"/>
  <c r="H117" i="3"/>
  <c r="B131" i="3"/>
  <c r="C131" i="3" s="1"/>
  <c r="I144" i="3"/>
  <c r="H158" i="3"/>
  <c r="H172" i="3"/>
  <c r="I186" i="3"/>
  <c r="I200" i="3"/>
  <c r="H215" i="3"/>
  <c r="H229" i="3"/>
  <c r="H243" i="3"/>
  <c r="H257" i="3"/>
  <c r="B272" i="3"/>
  <c r="C272" i="3" s="1"/>
  <c r="H287" i="3"/>
  <c r="I302" i="3"/>
  <c r="B318" i="3"/>
  <c r="C318" i="3" s="1"/>
  <c r="H335" i="3"/>
  <c r="H355" i="3"/>
  <c r="B374" i="3"/>
  <c r="C374" i="3" s="1"/>
  <c r="B400" i="3"/>
  <c r="C400" i="3" s="1"/>
  <c r="H426" i="3"/>
  <c r="B453" i="3"/>
  <c r="C453" i="3" s="1"/>
  <c r="I478" i="3"/>
  <c r="H508" i="3"/>
  <c r="H540" i="3"/>
  <c r="H573" i="3"/>
  <c r="B601" i="3"/>
  <c r="C601" i="3" s="1"/>
  <c r="H631" i="3"/>
  <c r="B663" i="3"/>
  <c r="C663" i="3" s="1"/>
  <c r="B698" i="3"/>
  <c r="C698" i="3" s="1"/>
  <c r="H733" i="3"/>
  <c r="H768" i="3"/>
  <c r="H802" i="3"/>
  <c r="H842" i="3"/>
  <c r="I883" i="3"/>
  <c r="H919" i="3"/>
  <c r="I963" i="3"/>
  <c r="H1004" i="3"/>
  <c r="I13" i="3"/>
  <c r="H27" i="3"/>
  <c r="I51" i="3"/>
  <c r="B65" i="3"/>
  <c r="C65" i="3" s="1"/>
  <c r="B79" i="3"/>
  <c r="C79" i="3" s="1"/>
  <c r="H92" i="3"/>
  <c r="I105" i="3"/>
  <c r="B119" i="3"/>
  <c r="C119" i="3" s="1"/>
  <c r="B132" i="3"/>
  <c r="C132" i="3" s="1"/>
  <c r="I145" i="3"/>
  <c r="B160" i="3"/>
  <c r="C160" i="3" s="1"/>
  <c r="B174" i="3"/>
  <c r="C174" i="3" s="1"/>
  <c r="B188" i="3"/>
  <c r="C188" i="3" s="1"/>
  <c r="B202" i="3"/>
  <c r="C202" i="3" s="1"/>
  <c r="B216" i="3"/>
  <c r="C216" i="3" s="1"/>
  <c r="I230" i="3"/>
  <c r="I244" i="3"/>
  <c r="B259" i="3"/>
  <c r="C259" i="3" s="1"/>
  <c r="B274" i="3"/>
  <c r="C274" i="3" s="1"/>
  <c r="H288" i="3"/>
  <c r="B304" i="3"/>
  <c r="C304" i="3" s="1"/>
  <c r="H320" i="3"/>
  <c r="B338" i="3"/>
  <c r="C338" i="3" s="1"/>
  <c r="I356" i="3"/>
  <c r="I377" i="3"/>
  <c r="I400" i="3"/>
  <c r="B428" i="3"/>
  <c r="C428" i="3" s="1"/>
  <c r="I455" i="3"/>
  <c r="B483" i="3"/>
  <c r="C483" i="3" s="1"/>
  <c r="H512" i="3"/>
  <c r="I541" i="3"/>
  <c r="H574" i="3"/>
  <c r="H603" i="3"/>
  <c r="B634" i="3"/>
  <c r="C634" i="3" s="1"/>
  <c r="B669" i="3"/>
  <c r="C669" i="3" s="1"/>
  <c r="B701" i="3"/>
  <c r="C701" i="3" s="1"/>
  <c r="B736" i="3"/>
  <c r="C736" i="3" s="1"/>
  <c r="I772" i="3"/>
  <c r="H809" i="3"/>
  <c r="B846" i="3"/>
  <c r="C846" i="3" s="1"/>
  <c r="I885" i="3"/>
  <c r="H926" i="3"/>
  <c r="H968" i="3"/>
  <c r="I1043" i="3"/>
  <c r="I278" i="3"/>
  <c r="I293" i="3"/>
  <c r="I308" i="3"/>
  <c r="B325" i="3"/>
  <c r="C325" i="3" s="1"/>
  <c r="I342" i="3"/>
  <c r="B363" i="3"/>
  <c r="C363" i="3" s="1"/>
  <c r="B385" i="3"/>
  <c r="C385" i="3" s="1"/>
  <c r="H409" i="3"/>
  <c r="I435" i="3"/>
  <c r="I462" i="3"/>
  <c r="I489" i="3"/>
  <c r="B522" i="3"/>
  <c r="C522" i="3" s="1"/>
  <c r="I554" i="3"/>
  <c r="H582" i="3"/>
  <c r="B610" i="3"/>
  <c r="C610" i="3" s="1"/>
  <c r="I644" i="3"/>
  <c r="B679" i="3"/>
  <c r="C679" i="3" s="1"/>
  <c r="H711" i="3"/>
  <c r="B747" i="3"/>
  <c r="C747" i="3" s="1"/>
  <c r="B782" i="3"/>
  <c r="C782" i="3" s="1"/>
  <c r="I817" i="3"/>
  <c r="B860" i="3"/>
  <c r="C860" i="3" s="1"/>
  <c r="B900" i="3"/>
  <c r="C900" i="3" s="1"/>
  <c r="B937" i="3"/>
  <c r="C937" i="3" s="1"/>
  <c r="H984" i="3"/>
  <c r="H6" i="3"/>
  <c r="I20" i="3"/>
  <c r="B34" i="3"/>
  <c r="C34" i="3" s="1"/>
  <c r="B45" i="3"/>
  <c r="C45" i="3" s="1"/>
  <c r="H58" i="3"/>
  <c r="B72" i="3"/>
  <c r="C72" i="3" s="1"/>
  <c r="I85" i="3"/>
  <c r="B99" i="3"/>
  <c r="C99" i="3" s="1"/>
  <c r="H112" i="3"/>
  <c r="H125" i="3"/>
  <c r="I138" i="3"/>
  <c r="B153" i="3"/>
  <c r="C153" i="3" s="1"/>
  <c r="B167" i="3"/>
  <c r="C167" i="3" s="1"/>
  <c r="B181" i="3"/>
  <c r="C181" i="3" s="1"/>
  <c r="B195" i="3"/>
  <c r="C195" i="3" s="1"/>
  <c r="B209" i="3"/>
  <c r="C209" i="3" s="1"/>
  <c r="H223" i="3"/>
  <c r="I237" i="3"/>
  <c r="I251" i="3"/>
  <c r="I266" i="3"/>
  <c r="H281" i="3"/>
  <c r="I295" i="3"/>
  <c r="H312" i="3"/>
  <c r="I328" i="3"/>
  <c r="I347" i="3"/>
  <c r="I365" i="3"/>
  <c r="B388" i="3"/>
  <c r="C388" i="3" s="1"/>
  <c r="B416" i="3"/>
  <c r="C416" i="3" s="1"/>
  <c r="I441" i="3"/>
  <c r="B468" i="3"/>
  <c r="C468" i="3" s="1"/>
  <c r="I497" i="3"/>
  <c r="I528" i="3"/>
  <c r="I557" i="3"/>
  <c r="I589" i="3"/>
  <c r="H617" i="3"/>
  <c r="B650" i="3"/>
  <c r="C650" i="3" s="1"/>
  <c r="H685" i="3"/>
  <c r="B720" i="3"/>
  <c r="C720" i="3" s="1"/>
  <c r="H755" i="3"/>
  <c r="I787" i="3"/>
  <c r="H827" i="3"/>
  <c r="B867" i="3"/>
  <c r="C867" i="3" s="1"/>
  <c r="B905" i="3"/>
  <c r="C905" i="3" s="1"/>
  <c r="B947" i="3"/>
  <c r="C947" i="3" s="1"/>
  <c r="B995" i="3"/>
  <c r="C995" i="3" s="1"/>
  <c r="B1046" i="3"/>
  <c r="C1046" i="3" s="1"/>
  <c r="B7" i="3"/>
  <c r="C7" i="3" s="1"/>
  <c r="I14" i="3"/>
  <c r="B22" i="3"/>
  <c r="C22" i="3" s="1"/>
  <c r="H29" i="3"/>
  <c r="I36" i="3"/>
  <c r="H43" i="3"/>
  <c r="I50" i="3"/>
  <c r="B58" i="3"/>
  <c r="C58" i="3" s="1"/>
  <c r="H65" i="3"/>
  <c r="B73" i="3"/>
  <c r="C73" i="3" s="1"/>
  <c r="H80" i="3"/>
  <c r="I87" i="3"/>
  <c r="B95" i="3"/>
  <c r="C95" i="3" s="1"/>
  <c r="H102" i="3"/>
  <c r="I109" i="3"/>
  <c r="B117" i="3"/>
  <c r="C117" i="3" s="1"/>
  <c r="H124" i="3"/>
  <c r="I131" i="3"/>
  <c r="B139" i="3"/>
  <c r="C139" i="3" s="1"/>
  <c r="I146" i="3"/>
  <c r="H154" i="3"/>
  <c r="B162" i="3"/>
  <c r="C162" i="3" s="1"/>
  <c r="I169" i="3"/>
  <c r="H177" i="3"/>
  <c r="H185" i="3"/>
  <c r="H193" i="3"/>
  <c r="B201" i="3"/>
  <c r="C201" i="3" s="1"/>
  <c r="I208" i="3"/>
  <c r="H216" i="3"/>
  <c r="B224" i="3"/>
  <c r="C224" i="3" s="1"/>
  <c r="I231" i="3"/>
  <c r="I239" i="3"/>
  <c r="H247" i="3"/>
  <c r="I255" i="3"/>
  <c r="I263" i="3"/>
  <c r="I271" i="3"/>
  <c r="B280" i="3"/>
  <c r="C280" i="3" s="1"/>
  <c r="B288" i="3"/>
  <c r="C288" i="3" s="1"/>
  <c r="B296" i="3"/>
  <c r="C296" i="3" s="1"/>
  <c r="H305" i="3"/>
  <c r="H313" i="3"/>
  <c r="I322" i="3"/>
  <c r="I332" i="3"/>
  <c r="H342" i="3"/>
  <c r="H352" i="3"/>
  <c r="B364" i="3"/>
  <c r="C364" i="3" s="1"/>
  <c r="I374" i="3"/>
  <c r="I387" i="3"/>
  <c r="H401" i="3"/>
  <c r="I416" i="3"/>
  <c r="I430" i="3"/>
  <c r="I446" i="3"/>
  <c r="I458" i="3"/>
  <c r="I475" i="3"/>
  <c r="H490" i="3"/>
  <c r="B508" i="3"/>
  <c r="C508" i="3" s="1"/>
  <c r="I523" i="3"/>
  <c r="H541" i="3"/>
  <c r="B559" i="3"/>
  <c r="C559" i="3" s="1"/>
  <c r="I576" i="3"/>
  <c r="I593" i="3"/>
  <c r="I609" i="3"/>
  <c r="I626" i="3"/>
  <c r="B646" i="3"/>
  <c r="C646" i="3" s="1"/>
  <c r="I664" i="3"/>
  <c r="I684" i="3"/>
  <c r="H702" i="3"/>
  <c r="I720" i="3"/>
  <c r="B739" i="3"/>
  <c r="C739" i="3" s="1"/>
  <c r="B758" i="3"/>
  <c r="C758" i="3" s="1"/>
  <c r="H777" i="3"/>
  <c r="I797" i="3"/>
  <c r="H819" i="3"/>
  <c r="B842" i="3"/>
  <c r="C842" i="3" s="1"/>
  <c r="H863" i="3"/>
  <c r="B885" i="3"/>
  <c r="C885" i="3" s="1"/>
  <c r="I905" i="3"/>
  <c r="B928" i="3"/>
  <c r="C928" i="3" s="1"/>
  <c r="I950" i="3"/>
  <c r="H979" i="3"/>
  <c r="H1061" i="3"/>
  <c r="B8" i="3"/>
  <c r="C8" i="3" s="1"/>
  <c r="H15" i="3"/>
  <c r="I22" i="3"/>
  <c r="B30" i="3"/>
  <c r="C30" i="3" s="1"/>
  <c r="H37" i="3"/>
  <c r="B44" i="3"/>
  <c r="C44" i="3" s="1"/>
  <c r="H51" i="3"/>
  <c r="I58" i="3"/>
  <c r="H66" i="3"/>
  <c r="I73" i="3"/>
  <c r="B81" i="3"/>
  <c r="C81" i="3" s="1"/>
  <c r="H88" i="3"/>
  <c r="I95" i="3"/>
  <c r="B103" i="3"/>
  <c r="C103" i="3" s="1"/>
  <c r="H110" i="3"/>
  <c r="I117" i="3"/>
  <c r="B125" i="3"/>
  <c r="C125" i="3" s="1"/>
  <c r="B118" i="4" s="1"/>
  <c r="H132" i="3"/>
  <c r="H140" i="3"/>
  <c r="I147" i="3"/>
  <c r="B155" i="3"/>
  <c r="C155" i="3" s="1"/>
  <c r="I162" i="3"/>
  <c r="H170" i="3"/>
  <c r="H178" i="3"/>
  <c r="H186" i="3"/>
  <c r="B194" i="3"/>
  <c r="C194" i="3" s="1"/>
  <c r="I201" i="3"/>
  <c r="H209" i="3"/>
  <c r="B217" i="3"/>
  <c r="C217" i="3" s="1"/>
  <c r="I224" i="3"/>
  <c r="H232" i="3"/>
  <c r="H240" i="3"/>
  <c r="H248" i="3"/>
  <c r="H256" i="3"/>
  <c r="H264" i="3"/>
  <c r="H272" i="3"/>
  <c r="I280" i="3"/>
  <c r="B289" i="3"/>
  <c r="C289" i="3" s="1"/>
  <c r="I297" i="3"/>
  <c r="H306" i="3"/>
  <c r="B314" i="3"/>
  <c r="C314" i="3" s="1"/>
  <c r="B324" i="3"/>
  <c r="C324" i="3" s="1"/>
  <c r="H333" i="3"/>
  <c r="B343" i="3"/>
  <c r="C343" i="3" s="1"/>
  <c r="B355" i="3"/>
  <c r="C355" i="3" s="1"/>
  <c r="I364" i="3"/>
  <c r="H377" i="3"/>
  <c r="H388" i="3"/>
  <c r="I402" i="3"/>
  <c r="I417" i="3"/>
  <c r="H432" i="3"/>
  <c r="H447" i="3"/>
  <c r="B462" i="3"/>
  <c r="C462" i="3" s="1"/>
  <c r="B477" i="3"/>
  <c r="C477" i="3" s="1"/>
  <c r="I491" i="3"/>
  <c r="I508" i="3"/>
  <c r="B525" i="3"/>
  <c r="C525" i="3" s="1"/>
  <c r="B543" i="3"/>
  <c r="C543" i="3" s="1"/>
  <c r="H562" i="3"/>
  <c r="H578" i="3"/>
  <c r="I595" i="3"/>
  <c r="H610" i="3"/>
  <c r="I629" i="3"/>
  <c r="I647" i="3"/>
  <c r="H668" i="3"/>
  <c r="I685" i="3"/>
  <c r="B704" i="3"/>
  <c r="C704" i="3" s="1"/>
  <c r="H721" i="3"/>
  <c r="H741" i="3"/>
  <c r="B760" i="3"/>
  <c r="C760" i="3" s="1"/>
  <c r="B781" i="3"/>
  <c r="C781" i="3" s="1"/>
  <c r="I800" i="3"/>
  <c r="I822" i="3"/>
  <c r="I842" i="3"/>
  <c r="I864" i="3"/>
  <c r="B886" i="3"/>
  <c r="C886" i="3" s="1"/>
  <c r="H931" i="3"/>
  <c r="H957" i="3"/>
  <c r="B982" i="3"/>
  <c r="C982" i="3" s="1"/>
  <c r="H1003" i="3"/>
  <c r="H1020" i="3"/>
  <c r="H1063" i="3"/>
  <c r="I8" i="3"/>
  <c r="B16" i="3"/>
  <c r="C16" i="3" s="1"/>
  <c r="H23" i="3"/>
  <c r="I30" i="3"/>
  <c r="I44" i="3"/>
  <c r="B52" i="3"/>
  <c r="C52" i="3" s="1"/>
  <c r="I59" i="3"/>
  <c r="B67" i="3"/>
  <c r="C67" i="3" s="1"/>
  <c r="H74" i="3"/>
  <c r="I81" i="3"/>
  <c r="B89" i="3"/>
  <c r="C89" i="3" s="1"/>
  <c r="H96" i="3"/>
  <c r="I103" i="3"/>
  <c r="B111" i="3"/>
  <c r="C111" i="3" s="1"/>
  <c r="H118" i="3"/>
  <c r="H126" i="3"/>
  <c r="I133" i="3"/>
  <c r="B141" i="3"/>
  <c r="C141" i="3" s="1"/>
  <c r="H148" i="3"/>
  <c r="I155" i="3"/>
  <c r="H163" i="3"/>
  <c r="H171" i="3"/>
  <c r="B179" i="3"/>
  <c r="C179" i="3" s="1"/>
  <c r="B187" i="3"/>
  <c r="C187" i="3" s="1"/>
  <c r="I194" i="3"/>
  <c r="H202" i="3"/>
  <c r="B210" i="3"/>
  <c r="C210" i="3" s="1"/>
  <c r="I217" i="3"/>
  <c r="H225" i="3"/>
  <c r="H233" i="3"/>
  <c r="H241" i="3"/>
  <c r="B249" i="3"/>
  <c r="C249" i="3" s="1"/>
  <c r="B257" i="3"/>
  <c r="C257" i="3" s="1"/>
  <c r="B265" i="3"/>
  <c r="C265" i="3" s="1"/>
  <c r="I273" i="3"/>
  <c r="I281" i="3"/>
  <c r="H290" i="3"/>
  <c r="H298" i="3"/>
  <c r="B307" i="3"/>
  <c r="C307" i="3" s="1"/>
  <c r="I314" i="3"/>
  <c r="I324" i="3"/>
  <c r="B334" i="3"/>
  <c r="C334" i="3" s="1"/>
  <c r="H344" i="3"/>
  <c r="I355" i="3"/>
  <c r="H365" i="3"/>
  <c r="B378" i="3"/>
  <c r="C378" i="3" s="1"/>
  <c r="I389" i="3"/>
  <c r="H404" i="3"/>
  <c r="H418" i="3"/>
  <c r="B434" i="3"/>
  <c r="C434" i="3" s="1"/>
  <c r="B448" i="3"/>
  <c r="C448" i="3" s="1"/>
  <c r="H463" i="3"/>
  <c r="H478" i="3"/>
  <c r="B495" i="3"/>
  <c r="C495" i="3" s="1"/>
  <c r="B511" i="3"/>
  <c r="C511" i="3" s="1"/>
  <c r="I529" i="3"/>
  <c r="B545" i="3"/>
  <c r="C545" i="3" s="1"/>
  <c r="H565" i="3"/>
  <c r="I579" i="3"/>
  <c r="H599" i="3"/>
  <c r="B613" i="3"/>
  <c r="C613" i="3" s="1"/>
  <c r="I632" i="3"/>
  <c r="H649" i="3"/>
  <c r="I669" i="3"/>
  <c r="H686" i="3"/>
  <c r="B706" i="3"/>
  <c r="C706" i="3" s="1"/>
  <c r="H722" i="3"/>
  <c r="B744" i="3"/>
  <c r="C744" i="3" s="1"/>
  <c r="B762" i="3"/>
  <c r="C762" i="3" s="1"/>
  <c r="B783" i="3"/>
  <c r="C783" i="3" s="1"/>
  <c r="H801" i="3"/>
  <c r="I824" i="3"/>
  <c r="H843" i="3"/>
  <c r="H870" i="3"/>
  <c r="H889" i="3"/>
  <c r="B912" i="3"/>
  <c r="C912" i="3" s="1"/>
  <c r="H934" i="3"/>
  <c r="I959" i="3"/>
  <c r="I984" i="3"/>
  <c r="B1021" i="3"/>
  <c r="C1021" i="3" s="1"/>
  <c r="B2" i="3"/>
  <c r="C2" i="3" s="1"/>
  <c r="H9" i="3"/>
  <c r="I16" i="3"/>
  <c r="B24" i="3"/>
  <c r="C24" i="3" s="1"/>
  <c r="H31" i="3"/>
  <c r="H38" i="3"/>
  <c r="H45" i="3"/>
  <c r="B53" i="3"/>
  <c r="C53" i="3" s="1"/>
  <c r="H60" i="3"/>
  <c r="I67" i="3"/>
  <c r="B75" i="3"/>
  <c r="C75" i="3" s="1"/>
  <c r="H82" i="3"/>
  <c r="I89" i="3"/>
  <c r="B97" i="3"/>
  <c r="C97" i="3" s="1"/>
  <c r="H104" i="3"/>
  <c r="B112" i="3"/>
  <c r="C112" i="3" s="1"/>
  <c r="I119" i="3"/>
  <c r="B127" i="3"/>
  <c r="C127" i="3" s="1"/>
  <c r="H134" i="3"/>
  <c r="I141" i="3"/>
  <c r="B149" i="3"/>
  <c r="C149" i="3" s="1"/>
  <c r="H156" i="3"/>
  <c r="H164" i="3"/>
  <c r="B172" i="3"/>
  <c r="C172" i="3" s="1"/>
  <c r="B180" i="3"/>
  <c r="C180" i="3" s="1"/>
  <c r="I187" i="3"/>
  <c r="H195" i="3"/>
  <c r="B203" i="3"/>
  <c r="C203" i="3" s="1"/>
  <c r="I210" i="3"/>
  <c r="H218" i="3"/>
  <c r="H226" i="3"/>
  <c r="H234" i="3"/>
  <c r="B242" i="3"/>
  <c r="C242" i="3" s="1"/>
  <c r="I249" i="3"/>
  <c r="B258" i="3"/>
  <c r="C258" i="3" s="1"/>
  <c r="H266" i="3"/>
  <c r="H274" i="3"/>
  <c r="I282" i="3"/>
  <c r="B291" i="3"/>
  <c r="C291" i="3" s="1"/>
  <c r="B299" i="3"/>
  <c r="C299" i="3" s="1"/>
  <c r="I307" i="3"/>
  <c r="I315" i="3"/>
  <c r="H325" i="3"/>
  <c r="I334" i="3"/>
  <c r="H346" i="3"/>
  <c r="H356" i="3"/>
  <c r="I366" i="3"/>
  <c r="I378" i="3"/>
  <c r="B392" i="3"/>
  <c r="C392" i="3" s="1"/>
  <c r="B407" i="3"/>
  <c r="C407" i="3" s="1"/>
  <c r="B419" i="3"/>
  <c r="C419" i="3" s="1"/>
  <c r="H435" i="3"/>
  <c r="I448" i="3"/>
  <c r="I464" i="3"/>
  <c r="H480" i="3"/>
  <c r="H497" i="3"/>
  <c r="I513" i="3"/>
  <c r="B531" i="3"/>
  <c r="C531" i="3" s="1"/>
  <c r="B547" i="3"/>
  <c r="C547" i="3" s="1"/>
  <c r="B566" i="3"/>
  <c r="C566" i="3" s="1"/>
  <c r="I581" i="3"/>
  <c r="B600" i="3"/>
  <c r="C600" i="3" s="1"/>
  <c r="B615" i="3"/>
  <c r="C615" i="3" s="1"/>
  <c r="I633" i="3"/>
  <c r="I650" i="3"/>
  <c r="H670" i="3"/>
  <c r="I687" i="3"/>
  <c r="B708" i="3"/>
  <c r="C708" i="3" s="1"/>
  <c r="I725" i="3"/>
  <c r="H746" i="3"/>
  <c r="B764" i="3"/>
  <c r="C764" i="3" s="1"/>
  <c r="I783" i="3"/>
  <c r="B803" i="3"/>
  <c r="C803" i="3" s="1"/>
  <c r="I826" i="3"/>
  <c r="H848" i="3"/>
  <c r="I871" i="3"/>
  <c r="B892" i="3"/>
  <c r="C892" i="3" s="1"/>
  <c r="H913" i="3"/>
  <c r="B936" i="3"/>
  <c r="C936" i="3" s="1"/>
  <c r="I960" i="3"/>
  <c r="I985" i="3"/>
  <c r="H1022" i="3"/>
  <c r="I2" i="3"/>
  <c r="B10" i="3"/>
  <c r="C10" i="3" s="1"/>
  <c r="H17" i="3"/>
  <c r="I24" i="3"/>
  <c r="B32" i="3"/>
  <c r="C32" i="3" s="1"/>
  <c r="H46" i="3"/>
  <c r="I53" i="3"/>
  <c r="B61" i="3"/>
  <c r="C61" i="3" s="1"/>
  <c r="H68" i="3"/>
  <c r="I75" i="3"/>
  <c r="B83" i="3"/>
  <c r="C83" i="3" s="1"/>
  <c r="H90" i="3"/>
  <c r="B98" i="3"/>
  <c r="C98" i="3" s="1"/>
  <c r="H105" i="3"/>
  <c r="B113" i="3"/>
  <c r="C113" i="3" s="1"/>
  <c r="H120" i="3"/>
  <c r="I127" i="3"/>
  <c r="B135" i="3"/>
  <c r="C135" i="3" s="1"/>
  <c r="H142" i="3"/>
  <c r="I149" i="3"/>
  <c r="H157" i="3"/>
  <c r="B165" i="3"/>
  <c r="C165" i="3" s="1"/>
  <c r="B173" i="3"/>
  <c r="C173" i="3" s="1"/>
  <c r="I180" i="3"/>
  <c r="H188" i="3"/>
  <c r="B196" i="3"/>
  <c r="C196" i="3" s="1"/>
  <c r="I203" i="3"/>
  <c r="H211" i="3"/>
  <c r="B219" i="3"/>
  <c r="C219" i="3" s="1"/>
  <c r="H227" i="3"/>
  <c r="B235" i="3"/>
  <c r="C235" i="3" s="1"/>
  <c r="B243" i="3"/>
  <c r="C243" i="3" s="1"/>
  <c r="I250" i="3"/>
  <c r="I258" i="3"/>
  <c r="B267" i="3"/>
  <c r="C267" i="3" s="1"/>
  <c r="B275" i="3"/>
  <c r="C275" i="3" s="1"/>
  <c r="I283" i="3"/>
  <c r="I291" i="3"/>
  <c r="B300" i="3"/>
  <c r="C300" i="3" s="1"/>
  <c r="H308" i="3"/>
  <c r="B317" i="3"/>
  <c r="C317" i="3" s="1"/>
  <c r="H326" i="3"/>
  <c r="B336" i="3"/>
  <c r="C336" i="3" s="1"/>
  <c r="B347" i="3"/>
  <c r="C347" i="3" s="1"/>
  <c r="B357" i="3"/>
  <c r="C357" i="3" s="1"/>
  <c r="B368" i="3"/>
  <c r="C368" i="3" s="1"/>
  <c r="I379" i="3"/>
  <c r="I393" i="3"/>
  <c r="B408" i="3"/>
  <c r="C408" i="3" s="1"/>
  <c r="I421" i="3"/>
  <c r="H436" i="3"/>
  <c r="B451" i="3"/>
  <c r="C451" i="3" s="1"/>
  <c r="B466" i="3"/>
  <c r="C466" i="3" s="1"/>
  <c r="H482" i="3"/>
  <c r="B498" i="3"/>
  <c r="C498" i="3" s="1"/>
  <c r="B515" i="3"/>
  <c r="C515" i="3" s="1"/>
  <c r="I531" i="3"/>
  <c r="I548" i="3"/>
  <c r="B567" i="3"/>
  <c r="C567" i="3" s="1"/>
  <c r="I583" i="3"/>
  <c r="I600" i="3"/>
  <c r="H616" i="3"/>
  <c r="I634" i="3"/>
  <c r="I652" i="3"/>
  <c r="H671" i="3"/>
  <c r="H690" i="3"/>
  <c r="I709" i="3"/>
  <c r="B728" i="3"/>
  <c r="C728" i="3" s="1"/>
  <c r="H747" i="3"/>
  <c r="I765" i="3"/>
  <c r="B785" i="3"/>
  <c r="C785" i="3" s="1"/>
  <c r="I807" i="3"/>
  <c r="B828" i="3"/>
  <c r="C828" i="3" s="1"/>
  <c r="H851" i="3"/>
  <c r="H872" i="3"/>
  <c r="B895" i="3"/>
  <c r="C895" i="3" s="1"/>
  <c r="I914" i="3"/>
  <c r="B938" i="3"/>
  <c r="C938" i="3" s="1"/>
  <c r="B963" i="3"/>
  <c r="C963" i="3" s="1"/>
  <c r="I988" i="3"/>
  <c r="H1007" i="3"/>
  <c r="H1047" i="3"/>
  <c r="H1048" i="3"/>
  <c r="B1059" i="3"/>
  <c r="C1059" i="3" s="1"/>
  <c r="B1036" i="3"/>
  <c r="C1036" i="3" s="1"/>
  <c r="B1016" i="3"/>
  <c r="C1016" i="3" s="1"/>
  <c r="H978" i="3"/>
  <c r="B954" i="3"/>
  <c r="C954" i="3" s="1"/>
  <c r="I930" i="3"/>
  <c r="I887" i="3"/>
  <c r="B869" i="3"/>
  <c r="C869" i="3" s="1"/>
  <c r="I843" i="3"/>
  <c r="B826" i="3"/>
  <c r="C826" i="3" s="1"/>
  <c r="H804" i="3"/>
  <c r="H784" i="3"/>
  <c r="B767" i="3"/>
  <c r="C767" i="3" s="1"/>
  <c r="B748" i="3"/>
  <c r="C748" i="3" s="1"/>
  <c r="H730" i="3"/>
  <c r="B712" i="3"/>
  <c r="C712" i="3" s="1"/>
  <c r="H695" i="3"/>
  <c r="H677" i="3"/>
  <c r="H660" i="3"/>
  <c r="H642" i="3"/>
  <c r="I623" i="3"/>
  <c r="H608" i="3"/>
  <c r="B592" i="3"/>
  <c r="C592" i="3" s="1"/>
  <c r="B576" i="3"/>
  <c r="C576" i="3" s="1"/>
  <c r="I559" i="3"/>
  <c r="H542" i="3"/>
  <c r="B527" i="3"/>
  <c r="C527" i="3" s="1"/>
  <c r="H510" i="3"/>
  <c r="I496" i="3"/>
  <c r="B479" i="3"/>
  <c r="C479" i="3" s="1"/>
  <c r="B465" i="3"/>
  <c r="C465" i="3" s="1"/>
  <c r="H450" i="3"/>
  <c r="B437" i="3"/>
  <c r="C437" i="3" s="1"/>
  <c r="I423" i="3"/>
  <c r="B409" i="3"/>
  <c r="C409" i="3" s="1"/>
  <c r="I395" i="3"/>
  <c r="I383" i="3"/>
  <c r="I370" i="3"/>
  <c r="I360" i="3"/>
  <c r="B350" i="3"/>
  <c r="C350" i="3" s="1"/>
  <c r="B341" i="3"/>
  <c r="C341" i="3" s="1"/>
  <c r="H331" i="3"/>
  <c r="I321" i="3"/>
  <c r="B305" i="3"/>
  <c r="C305" i="3" s="1"/>
  <c r="I296" i="3"/>
  <c r="I288" i="3"/>
  <c r="B281" i="3"/>
  <c r="C281" i="3" s="1"/>
  <c r="H273" i="3"/>
  <c r="H265" i="3"/>
  <c r="I257" i="3"/>
  <c r="B250" i="3"/>
  <c r="C250" i="3" s="1"/>
  <c r="I242" i="3"/>
  <c r="H235" i="3"/>
  <c r="B228" i="3"/>
  <c r="C228" i="3" s="1"/>
  <c r="I220" i="3"/>
  <c r="H213" i="3"/>
  <c r="H205" i="3"/>
  <c r="B198" i="3"/>
  <c r="C198" i="3" s="1"/>
  <c r="I190" i="3"/>
  <c r="H183" i="3"/>
  <c r="B176" i="3"/>
  <c r="C176" i="3" s="1"/>
  <c r="I168" i="3"/>
  <c r="H161" i="3"/>
  <c r="B154" i="3"/>
  <c r="C154" i="3" s="1"/>
  <c r="B147" i="3"/>
  <c r="C147" i="3" s="1"/>
  <c r="B140" i="3"/>
  <c r="C140" i="3" s="1"/>
  <c r="B133" i="3"/>
  <c r="C133" i="3" s="1"/>
  <c r="I125" i="3"/>
  <c r="I118" i="3"/>
  <c r="I111" i="3"/>
  <c r="I104" i="3"/>
  <c r="I97" i="3"/>
  <c r="I90" i="3"/>
  <c r="I83" i="3"/>
  <c r="I76" i="3"/>
  <c r="I69" i="3"/>
  <c r="I62" i="3"/>
  <c r="I55" i="3"/>
  <c r="I48" i="3"/>
  <c r="I41" i="3"/>
  <c r="H35" i="3"/>
  <c r="H28" i="3"/>
  <c r="H21" i="3"/>
  <c r="H14" i="3"/>
  <c r="H7" i="3"/>
  <c r="H3" i="3"/>
  <c r="I10" i="3"/>
  <c r="B18" i="3"/>
  <c r="C18" i="3" s="1"/>
  <c r="H25" i="3"/>
  <c r="I32" i="3"/>
  <c r="I39" i="3"/>
  <c r="B47" i="3"/>
  <c r="C47" i="3" s="1"/>
  <c r="H54" i="3"/>
  <c r="I61" i="3"/>
  <c r="B69" i="3"/>
  <c r="C69" i="3" s="1"/>
  <c r="H76" i="3"/>
  <c r="B84" i="3"/>
  <c r="C84" i="3" s="1"/>
  <c r="H91" i="3"/>
  <c r="I98" i="3"/>
  <c r="H106" i="3"/>
  <c r="I113" i="3"/>
  <c r="B121" i="3"/>
  <c r="C121" i="3" s="1"/>
  <c r="H128" i="3"/>
  <c r="I135" i="3"/>
  <c r="B143" i="3"/>
  <c r="C143" i="3" s="1"/>
  <c r="H150" i="3"/>
  <c r="B158" i="3"/>
  <c r="C158" i="3" s="1"/>
  <c r="I165" i="3"/>
  <c r="I173" i="3"/>
  <c r="H181" i="3"/>
  <c r="B189" i="3"/>
  <c r="C189" i="3" s="1"/>
  <c r="I196" i="3"/>
  <c r="H204" i="3"/>
  <c r="B212" i="3"/>
  <c r="C212" i="3" s="1"/>
  <c r="H220" i="3"/>
  <c r="H228" i="3"/>
  <c r="B236" i="3"/>
  <c r="C236" i="3" s="1"/>
  <c r="I243" i="3"/>
  <c r="H251" i="3"/>
  <c r="I259" i="3"/>
  <c r="I267" i="3"/>
  <c r="H276" i="3"/>
  <c r="H284" i="3"/>
  <c r="H292" i="3"/>
  <c r="I300" i="3"/>
  <c r="B309" i="3"/>
  <c r="C309" i="3" s="1"/>
  <c r="I317" i="3"/>
  <c r="H327" i="3"/>
  <c r="H337" i="3"/>
  <c r="B348" i="3"/>
  <c r="C348" i="3" s="1"/>
  <c r="I357" i="3"/>
  <c r="H369" i="3"/>
  <c r="H380" i="3"/>
  <c r="H394" i="3"/>
  <c r="I408" i="3"/>
  <c r="I424" i="3"/>
  <c r="I438" i="3"/>
  <c r="H454" i="3"/>
  <c r="H467" i="3"/>
  <c r="I483" i="3"/>
  <c r="I498" i="3"/>
  <c r="I516" i="3"/>
  <c r="H532" i="3"/>
  <c r="H550" i="3"/>
  <c r="I567" i="3"/>
  <c r="I585" i="3"/>
  <c r="I601" i="3"/>
  <c r="I618" i="3"/>
  <c r="H635" i="3"/>
  <c r="H655" i="3"/>
  <c r="H673" i="3"/>
  <c r="I693" i="3"/>
  <c r="B711" i="3"/>
  <c r="C711" i="3" s="1"/>
  <c r="I729" i="3"/>
  <c r="H748" i="3"/>
  <c r="B770" i="3"/>
  <c r="C770" i="3" s="1"/>
  <c r="I786" i="3"/>
  <c r="I810" i="3"/>
  <c r="B831" i="3"/>
  <c r="C831" i="3" s="1"/>
  <c r="I853" i="3"/>
  <c r="I873" i="3"/>
  <c r="H897" i="3"/>
  <c r="B916" i="3"/>
  <c r="C916" i="3" s="1"/>
  <c r="B942" i="3"/>
  <c r="C942" i="3" s="1"/>
  <c r="I964" i="3"/>
  <c r="H994" i="3"/>
  <c r="B1009" i="3"/>
  <c r="C1009" i="3" s="1"/>
  <c r="B1027" i="3"/>
  <c r="C1027" i="3" s="1"/>
  <c r="I1050" i="3"/>
  <c r="B4" i="3"/>
  <c r="C4" i="3" s="1"/>
  <c r="H11" i="3"/>
  <c r="I18" i="3"/>
  <c r="B26" i="3"/>
  <c r="C26" i="3" s="1"/>
  <c r="I33" i="3"/>
  <c r="H40" i="3"/>
  <c r="I47" i="3"/>
  <c r="B55" i="3"/>
  <c r="C55" i="3" s="1"/>
  <c r="H62" i="3"/>
  <c r="B70" i="3"/>
  <c r="C70" i="3" s="1"/>
  <c r="H77" i="3"/>
  <c r="I84" i="3"/>
  <c r="B92" i="3"/>
  <c r="C92" i="3" s="1"/>
  <c r="I99" i="3"/>
  <c r="B107" i="3"/>
  <c r="C107" i="3" s="1"/>
  <c r="H114" i="3"/>
  <c r="I121" i="3"/>
  <c r="B129" i="3"/>
  <c r="C129" i="3" s="1"/>
  <c r="H136" i="3"/>
  <c r="I143" i="3"/>
  <c r="B151" i="3"/>
  <c r="C151" i="3" s="1"/>
  <c r="I158" i="3"/>
  <c r="I166" i="3"/>
  <c r="H174" i="3"/>
  <c r="B182" i="3"/>
  <c r="C182" i="3" s="1"/>
  <c r="I189" i="3"/>
  <c r="H197" i="3"/>
  <c r="B205" i="3"/>
  <c r="C205" i="3" s="1"/>
  <c r="I213" i="3"/>
  <c r="H221" i="3"/>
  <c r="B229" i="3"/>
  <c r="C229" i="3" s="1"/>
  <c r="I236" i="3"/>
  <c r="H244" i="3"/>
  <c r="B252" i="3"/>
  <c r="C252" i="3" s="1"/>
  <c r="H260" i="3"/>
  <c r="I268" i="3"/>
  <c r="B277" i="3"/>
  <c r="C277" i="3" s="1"/>
  <c r="B285" i="3"/>
  <c r="C285" i="3" s="1"/>
  <c r="H293" i="3"/>
  <c r="H301" i="3"/>
  <c r="B310" i="3"/>
  <c r="C310" i="3" s="1"/>
  <c r="H318" i="3"/>
  <c r="H328" i="3"/>
  <c r="H338" i="3"/>
  <c r="I348" i="3"/>
  <c r="H358" i="3"/>
  <c r="B370" i="3"/>
  <c r="C370" i="3" s="1"/>
  <c r="I382" i="3"/>
  <c r="H396" i="3"/>
  <c r="I409" i="3"/>
  <c r="I425" i="3"/>
  <c r="I439" i="3"/>
  <c r="H455" i="3"/>
  <c r="I468" i="3"/>
  <c r="I485" i="3"/>
  <c r="I499" i="3"/>
  <c r="H518" i="3"/>
  <c r="B533" i="3"/>
  <c r="C533" i="3" s="1"/>
  <c r="B554" i="3"/>
  <c r="C554" i="3" s="1"/>
  <c r="I568" i="3"/>
  <c r="H587" i="3"/>
  <c r="H602" i="3"/>
  <c r="I620" i="3"/>
  <c r="I636" i="3"/>
  <c r="H658" i="3"/>
  <c r="I675" i="3"/>
  <c r="B695" i="3"/>
  <c r="C695" i="3" s="1"/>
  <c r="I712" i="3"/>
  <c r="H732" i="3"/>
  <c r="B750" i="3"/>
  <c r="C750" i="3" s="1"/>
  <c r="B772" i="3"/>
  <c r="C772" i="3" s="1"/>
  <c r="B789" i="3"/>
  <c r="C789" i="3" s="1"/>
  <c r="I811" i="3"/>
  <c r="B833" i="3"/>
  <c r="C833" i="3" s="1"/>
  <c r="I854" i="3"/>
  <c r="H875" i="3"/>
  <c r="I898" i="3"/>
  <c r="I917" i="3"/>
  <c r="B946" i="3"/>
  <c r="C946" i="3" s="1"/>
  <c r="B967" i="3"/>
  <c r="C967" i="3" s="1"/>
  <c r="H995" i="3"/>
  <c r="B1011" i="3"/>
  <c r="C1011" i="3" s="1"/>
  <c r="B1029" i="3"/>
  <c r="C1029" i="3" s="1"/>
  <c r="I1052" i="3"/>
  <c r="I4" i="3"/>
  <c r="B12" i="3"/>
  <c r="C12" i="3" s="1"/>
  <c r="H19" i="3"/>
  <c r="B27" i="3"/>
  <c r="C27" i="3" s="1"/>
  <c r="H34" i="3"/>
  <c r="B41" i="3"/>
  <c r="C41" i="3" s="1"/>
  <c r="H48" i="3"/>
  <c r="B56" i="3"/>
  <c r="C56" i="3" s="1"/>
  <c r="H63" i="3"/>
  <c r="I70" i="3"/>
  <c r="B78" i="3"/>
  <c r="C78" i="3" s="1"/>
  <c r="H85" i="3"/>
  <c r="B93" i="3"/>
  <c r="C93" i="3" s="1"/>
  <c r="H100" i="3"/>
  <c r="I107" i="3"/>
  <c r="B115" i="3"/>
  <c r="C115" i="3" s="1"/>
  <c r="H122" i="3"/>
  <c r="I129" i="3"/>
  <c r="B137" i="3"/>
  <c r="C137" i="3" s="1"/>
  <c r="H144" i="3"/>
  <c r="I151" i="3"/>
  <c r="I159" i="3"/>
  <c r="H167" i="3"/>
  <c r="B175" i="3"/>
  <c r="C175" i="3" s="1"/>
  <c r="I182" i="3"/>
  <c r="H190" i="3"/>
  <c r="H198" i="3"/>
  <c r="I206" i="3"/>
  <c r="H214" i="3"/>
  <c r="B222" i="3"/>
  <c r="C222" i="3" s="1"/>
  <c r="I229" i="3"/>
  <c r="H237" i="3"/>
  <c r="B245" i="3"/>
  <c r="C245" i="3" s="1"/>
  <c r="B253" i="3"/>
  <c r="C253" i="3" s="1"/>
  <c r="B261" i="3"/>
  <c r="C261" i="3" s="1"/>
  <c r="I269" i="3"/>
  <c r="I277" i="3"/>
  <c r="I285" i="3"/>
  <c r="B294" i="3"/>
  <c r="C294" i="3" s="1"/>
  <c r="B302" i="3"/>
  <c r="C302" i="3" s="1"/>
  <c r="I310" i="3"/>
  <c r="B320" i="3"/>
  <c r="C320" i="3" s="1"/>
  <c r="B329" i="3"/>
  <c r="C329" i="3" s="1"/>
  <c r="H339" i="3"/>
  <c r="H349" i="3"/>
  <c r="B360" i="3"/>
  <c r="C360" i="3" s="1"/>
  <c r="B371" i="3"/>
  <c r="C371" i="3" s="1"/>
  <c r="I384" i="3"/>
  <c r="H397" i="3"/>
  <c r="H411" i="3"/>
  <c r="I426" i="3"/>
  <c r="B441" i="3"/>
  <c r="C441" i="3" s="1"/>
  <c r="B107" i="4" s="1"/>
  <c r="B456" i="3"/>
  <c r="C456" i="3" s="1"/>
  <c r="B471" i="3"/>
  <c r="C471" i="3" s="1"/>
  <c r="B487" i="3"/>
  <c r="C487" i="3" s="1"/>
  <c r="H502" i="3"/>
  <c r="I520" i="3"/>
  <c r="H536" i="3"/>
  <c r="H555" i="3"/>
  <c r="B572" i="3"/>
  <c r="C572" i="3" s="1"/>
  <c r="I588" i="3"/>
  <c r="B622" i="3"/>
  <c r="C622" i="3" s="1"/>
  <c r="B640" i="3"/>
  <c r="C640" i="3" s="1"/>
  <c r="B660" i="3"/>
  <c r="C660" i="3" s="1"/>
  <c r="B678" i="3"/>
  <c r="C678" i="3" s="1"/>
  <c r="H696" i="3"/>
  <c r="I714" i="3"/>
  <c r="B734" i="3"/>
  <c r="C734" i="3" s="1"/>
  <c r="I753" i="3"/>
  <c r="B773" i="3"/>
  <c r="C773" i="3" s="1"/>
  <c r="I791" i="3"/>
  <c r="H813" i="3"/>
  <c r="H834" i="3"/>
  <c r="I855" i="3"/>
  <c r="B879" i="3"/>
  <c r="C879" i="3" s="1"/>
  <c r="I901" i="3"/>
  <c r="B921" i="3"/>
  <c r="C921" i="3" s="1"/>
  <c r="I946" i="3"/>
  <c r="I969" i="3"/>
  <c r="B996" i="3"/>
  <c r="C996" i="3" s="1"/>
  <c r="H1032" i="3"/>
  <c r="I1055" i="3"/>
  <c r="H5" i="3"/>
  <c r="I12" i="3"/>
  <c r="H20" i="3"/>
  <c r="I27" i="3"/>
  <c r="B35" i="3"/>
  <c r="C35" i="3" s="1"/>
  <c r="B42" i="3"/>
  <c r="C42" i="3" s="1"/>
  <c r="H49" i="3"/>
  <c r="I56" i="3"/>
  <c r="B64" i="3"/>
  <c r="C64" i="3" s="1"/>
  <c r="H71" i="3"/>
  <c r="I78" i="3"/>
  <c r="H86" i="3"/>
  <c r="I93" i="3"/>
  <c r="B101" i="3"/>
  <c r="C101" i="3" s="1"/>
  <c r="H108" i="3"/>
  <c r="I115" i="3"/>
  <c r="B123" i="3"/>
  <c r="C123" i="3" s="1"/>
  <c r="H130" i="3"/>
  <c r="I137" i="3"/>
  <c r="B145" i="3"/>
  <c r="C145" i="3" s="1"/>
  <c r="H152" i="3"/>
  <c r="H160" i="3"/>
  <c r="B168" i="3"/>
  <c r="C168" i="3" s="1"/>
  <c r="I175" i="3"/>
  <c r="I183" i="3"/>
  <c r="H191" i="3"/>
  <c r="I199" i="3"/>
  <c r="H207" i="3"/>
  <c r="B215" i="3"/>
  <c r="C215" i="3" s="1"/>
  <c r="I222" i="3"/>
  <c r="H230" i="3"/>
  <c r="B238" i="3"/>
  <c r="C238" i="3" s="1"/>
  <c r="I245" i="3"/>
  <c r="I253" i="3"/>
  <c r="H262" i="3"/>
  <c r="H270" i="3"/>
  <c r="H278" i="3"/>
  <c r="I286" i="3"/>
  <c r="I294" i="3"/>
  <c r="B303" i="3"/>
  <c r="C303" i="3" s="1"/>
  <c r="B312" i="3"/>
  <c r="C312" i="3" s="1"/>
  <c r="I320" i="3"/>
  <c r="H330" i="3"/>
  <c r="I340" i="3"/>
  <c r="H350" i="3"/>
  <c r="B362" i="3"/>
  <c r="C362" i="3" s="1"/>
  <c r="H372" i="3"/>
  <c r="I385" i="3"/>
  <c r="B399" i="3"/>
  <c r="C399" i="3" s="1"/>
  <c r="B414" i="3"/>
  <c r="C414" i="3" s="1"/>
  <c r="I427" i="3"/>
  <c r="I442" i="3"/>
  <c r="B457" i="3"/>
  <c r="C457" i="3" s="1"/>
  <c r="B473" i="3"/>
  <c r="C473" i="3" s="1"/>
  <c r="H488" i="3"/>
  <c r="H505" i="3"/>
  <c r="I521" i="3"/>
  <c r="B539" i="3"/>
  <c r="C539" i="3" s="1"/>
  <c r="I556" i="3"/>
  <c r="I590" i="3"/>
  <c r="B607" i="3"/>
  <c r="C607" i="3" s="1"/>
  <c r="H623" i="3"/>
  <c r="B643" i="3"/>
  <c r="C643" i="3" s="1"/>
  <c r="H661" i="3"/>
  <c r="H680" i="3"/>
  <c r="H697" i="3"/>
  <c r="I718" i="3"/>
  <c r="H735" i="3"/>
  <c r="B756" i="3"/>
  <c r="C756" i="3" s="1"/>
  <c r="B774" i="3"/>
  <c r="C774" i="3" s="1"/>
  <c r="H793" i="3"/>
  <c r="H814" i="3"/>
  <c r="I836" i="3"/>
  <c r="B858" i="3"/>
  <c r="C858" i="3" s="1"/>
  <c r="H882" i="3"/>
  <c r="B903" i="3"/>
  <c r="C903" i="3" s="1"/>
  <c r="B925" i="3"/>
  <c r="C925" i="3" s="1"/>
  <c r="H947" i="3"/>
  <c r="B972" i="3"/>
  <c r="C972" i="3" s="1"/>
  <c r="I996" i="3"/>
  <c r="H1013" i="3"/>
  <c r="B1034" i="3"/>
  <c r="C1034" i="3" s="1"/>
  <c r="I1058" i="3"/>
  <c r="H393" i="3"/>
  <c r="H402" i="3"/>
  <c r="I411" i="3"/>
  <c r="H422" i="3"/>
  <c r="B432" i="3"/>
  <c r="C432" i="3" s="1"/>
  <c r="H441" i="3"/>
  <c r="I450" i="3"/>
  <c r="H461" i="3"/>
  <c r="H471" i="3"/>
  <c r="B482" i="3"/>
  <c r="C482" i="3" s="1"/>
  <c r="H491" i="3"/>
  <c r="B503" i="3"/>
  <c r="C503" i="3" s="1"/>
  <c r="I514" i="3"/>
  <c r="I524" i="3"/>
  <c r="B537" i="3"/>
  <c r="C537" i="3" s="1"/>
  <c r="H548" i="3"/>
  <c r="B560" i="3"/>
  <c r="C560" i="3" s="1"/>
  <c r="I572" i="3"/>
  <c r="B583" i="3"/>
  <c r="C583" i="3" s="1"/>
  <c r="B594" i="3"/>
  <c r="C594" i="3" s="1"/>
  <c r="H605" i="3"/>
  <c r="B616" i="3"/>
  <c r="C616" i="3" s="1"/>
  <c r="H627" i="3"/>
  <c r="I640" i="3"/>
  <c r="H652" i="3"/>
  <c r="I665" i="3"/>
  <c r="I677" i="3"/>
  <c r="I689" i="3"/>
  <c r="I702" i="3"/>
  <c r="I713" i="3"/>
  <c r="I727" i="3"/>
  <c r="I739" i="3"/>
  <c r="I752" i="3"/>
  <c r="H765" i="3"/>
  <c r="B778" i="3"/>
  <c r="C778" i="3" s="1"/>
  <c r="B791" i="3"/>
  <c r="C791" i="3" s="1"/>
  <c r="I804" i="3"/>
  <c r="H820" i="3"/>
  <c r="B834" i="3"/>
  <c r="C834" i="3" s="1"/>
  <c r="B849" i="3"/>
  <c r="C849" i="3" s="1"/>
  <c r="B23" i="4" s="1"/>
  <c r="I863" i="3"/>
  <c r="H878" i="3"/>
  <c r="I892" i="3"/>
  <c r="B906" i="3"/>
  <c r="C906" i="3" s="1"/>
  <c r="I922" i="3"/>
  <c r="H937" i="3"/>
  <c r="I954" i="3"/>
  <c r="B970" i="3"/>
  <c r="C970" i="3" s="1"/>
  <c r="I987" i="3"/>
  <c r="I1002" i="3"/>
  <c r="I1013" i="3"/>
  <c r="H1044" i="3"/>
  <c r="H1060" i="3"/>
  <c r="H403" i="3"/>
  <c r="H413" i="3"/>
  <c r="H423" i="3"/>
  <c r="B433" i="3"/>
  <c r="C433" i="3" s="1"/>
  <c r="H442" i="3"/>
  <c r="I451" i="3"/>
  <c r="H462" i="3"/>
  <c r="H472" i="3"/>
  <c r="I482" i="3"/>
  <c r="H492" i="3"/>
  <c r="B505" i="3"/>
  <c r="C505" i="3" s="1"/>
  <c r="H515" i="3"/>
  <c r="I525" i="3"/>
  <c r="I538" i="3"/>
  <c r="B549" i="3"/>
  <c r="C549" i="3" s="1"/>
  <c r="I561" i="3"/>
  <c r="I573" i="3"/>
  <c r="B584" i="3"/>
  <c r="C584" i="3" s="1"/>
  <c r="B595" i="3"/>
  <c r="C595" i="3" s="1"/>
  <c r="I606" i="3"/>
  <c r="B617" i="3"/>
  <c r="C617" i="3" s="1"/>
  <c r="B629" i="3"/>
  <c r="C629" i="3" s="1"/>
  <c r="B642" i="3"/>
  <c r="C642" i="3" s="1"/>
  <c r="B653" i="3"/>
  <c r="C653" i="3" s="1"/>
  <c r="I667" i="3"/>
  <c r="I678" i="3"/>
  <c r="B692" i="3"/>
  <c r="C692" i="3" s="1"/>
  <c r="I703" i="3"/>
  <c r="H715" i="3"/>
  <c r="H728" i="3"/>
  <c r="H740" i="3"/>
  <c r="B755" i="3"/>
  <c r="C755" i="3" s="1"/>
  <c r="B766" i="3"/>
  <c r="C766" i="3" s="1"/>
  <c r="B780" i="3"/>
  <c r="C780" i="3" s="1"/>
  <c r="H792" i="3"/>
  <c r="I806" i="3"/>
  <c r="H821" i="3"/>
  <c r="I834" i="3"/>
  <c r="I850" i="3"/>
  <c r="H864" i="3"/>
  <c r="H880" i="3"/>
  <c r="I894" i="3"/>
  <c r="I907" i="3"/>
  <c r="I924" i="3"/>
  <c r="H938" i="3"/>
  <c r="I956" i="3"/>
  <c r="I971" i="3"/>
  <c r="B990" i="3"/>
  <c r="C990" i="3" s="1"/>
  <c r="B1004" i="3"/>
  <c r="C1004" i="3" s="1"/>
  <c r="I1030" i="3"/>
  <c r="B376" i="3"/>
  <c r="C376" i="3" s="1"/>
  <c r="H385" i="3"/>
  <c r="I394" i="3"/>
  <c r="B404" i="3"/>
  <c r="C404" i="3" s="1"/>
  <c r="I414" i="3"/>
  <c r="H424" i="3"/>
  <c r="I433" i="3"/>
  <c r="B443" i="3"/>
  <c r="C443" i="3" s="1"/>
  <c r="I453" i="3"/>
  <c r="B463" i="3"/>
  <c r="C463" i="3" s="1"/>
  <c r="H473" i="3"/>
  <c r="H483" i="3"/>
  <c r="B494" i="3"/>
  <c r="C494" i="3" s="1"/>
  <c r="B506" i="3"/>
  <c r="C506" i="3" s="1"/>
  <c r="B516" i="3"/>
  <c r="C516" i="3" s="1"/>
  <c r="B528" i="3"/>
  <c r="C528" i="3" s="1"/>
  <c r="H539" i="3"/>
  <c r="B550" i="3"/>
  <c r="C550" i="3" s="1"/>
  <c r="H563" i="3"/>
  <c r="B574" i="3"/>
  <c r="C574" i="3" s="1"/>
  <c r="B585" i="3"/>
  <c r="C585" i="3" s="1"/>
  <c r="H596" i="3"/>
  <c r="H607" i="3"/>
  <c r="B618" i="3"/>
  <c r="C618" i="3" s="1"/>
  <c r="H630" i="3"/>
  <c r="I642" i="3"/>
  <c r="I654" i="3"/>
  <c r="I668" i="3"/>
  <c r="I679" i="3"/>
  <c r="H693" i="3"/>
  <c r="H704" i="3"/>
  <c r="I717" i="3"/>
  <c r="B729" i="3"/>
  <c r="C729" i="3" s="1"/>
  <c r="B742" i="3"/>
  <c r="C742" i="3" s="1"/>
  <c r="I755" i="3"/>
  <c r="H767" i="3"/>
  <c r="I781" i="3"/>
  <c r="B793" i="3"/>
  <c r="C793" i="3" s="1"/>
  <c r="H808" i="3"/>
  <c r="H823" i="3"/>
  <c r="B836" i="3"/>
  <c r="C836" i="3" s="1"/>
  <c r="I851" i="3"/>
  <c r="H865" i="3"/>
  <c r="B882" i="3"/>
  <c r="C882" i="3" s="1"/>
  <c r="B83" i="4" s="1"/>
  <c r="I895" i="3"/>
  <c r="H910" i="3"/>
  <c r="H925" i="3"/>
  <c r="B941" i="3"/>
  <c r="C941" i="3" s="1"/>
  <c r="I957" i="3"/>
  <c r="B973" i="3"/>
  <c r="C973" i="3" s="1"/>
  <c r="I993" i="3"/>
  <c r="I1004" i="3"/>
  <c r="I1017" i="3"/>
  <c r="B1032" i="3"/>
  <c r="C1032" i="3" s="1"/>
  <c r="I1046" i="3"/>
  <c r="I1065" i="3"/>
  <c r="B377" i="3"/>
  <c r="C377" i="3" s="1"/>
  <c r="H386" i="3"/>
  <c r="H395" i="3"/>
  <c r="H405" i="3"/>
  <c r="I415" i="3"/>
  <c r="B425" i="3"/>
  <c r="C425" i="3" s="1"/>
  <c r="H434" i="3"/>
  <c r="B444" i="3"/>
  <c r="C444" i="3" s="1"/>
  <c r="I454" i="3"/>
  <c r="I463" i="3"/>
  <c r="I474" i="3"/>
  <c r="H484" i="3"/>
  <c r="B496" i="3"/>
  <c r="C496" i="3" s="1"/>
  <c r="B507" i="3"/>
  <c r="C507" i="3" s="1"/>
  <c r="B517" i="3"/>
  <c r="C517" i="3" s="1"/>
  <c r="H529" i="3"/>
  <c r="B540" i="3"/>
  <c r="C540" i="3" s="1"/>
  <c r="B551" i="3"/>
  <c r="C551" i="3" s="1"/>
  <c r="I564" i="3"/>
  <c r="I574" i="3"/>
  <c r="B586" i="3"/>
  <c r="C586" i="3" s="1"/>
  <c r="B599" i="3"/>
  <c r="C599" i="3" s="1"/>
  <c r="B608" i="3"/>
  <c r="C608" i="3" s="1"/>
  <c r="B619" i="3"/>
  <c r="C619" i="3" s="1"/>
  <c r="B632" i="3"/>
  <c r="C632" i="3" s="1"/>
  <c r="I643" i="3"/>
  <c r="B656" i="3"/>
  <c r="C656" i="3" s="1"/>
  <c r="H669" i="3"/>
  <c r="B681" i="3"/>
  <c r="C681" i="3" s="1"/>
  <c r="H694" i="3"/>
  <c r="H705" i="3"/>
  <c r="H719" i="3"/>
  <c r="B730" i="3"/>
  <c r="C730" i="3" s="1"/>
  <c r="H743" i="3"/>
  <c r="H756" i="3"/>
  <c r="H769" i="3"/>
  <c r="H782" i="3"/>
  <c r="I793" i="3"/>
  <c r="B810" i="3"/>
  <c r="C810" i="3" s="1"/>
  <c r="B824" i="3"/>
  <c r="C824" i="3" s="1"/>
  <c r="I839" i="3"/>
  <c r="B853" i="3"/>
  <c r="C853" i="3" s="1"/>
  <c r="B868" i="3"/>
  <c r="C868" i="3" s="1"/>
  <c r="B883" i="3"/>
  <c r="C883" i="3" s="1"/>
  <c r="I896" i="3"/>
  <c r="I911" i="3"/>
  <c r="I926" i="3"/>
  <c r="H943" i="3"/>
  <c r="I958" i="3"/>
  <c r="B976" i="3"/>
  <c r="C976" i="3" s="1"/>
  <c r="I994" i="3"/>
  <c r="B1005" i="3"/>
  <c r="C1005" i="3" s="1"/>
  <c r="B1018" i="3"/>
  <c r="C1018" i="3" s="1"/>
  <c r="I1033" i="3"/>
  <c r="I1062" i="3"/>
  <c r="I1053" i="3"/>
  <c r="B1045" i="3"/>
  <c r="C1045" i="3" s="1"/>
  <c r="H1036" i="3"/>
  <c r="H1027" i="3"/>
  <c r="I1019" i="3"/>
  <c r="H1012" i="3"/>
  <c r="H988" i="3"/>
  <c r="H1066" i="3"/>
  <c r="H1057" i="3"/>
  <c r="B1047" i="3"/>
  <c r="C1047" i="3" s="1"/>
  <c r="H1038" i="3"/>
  <c r="H1030" i="3"/>
  <c r="H1021" i="3"/>
  <c r="I1014" i="3"/>
  <c r="I1006" i="3"/>
  <c r="I999" i="3"/>
  <c r="I991" i="3"/>
  <c r="I981" i="3"/>
  <c r="B971" i="3"/>
  <c r="C971" i="3" s="1"/>
  <c r="B962" i="3"/>
  <c r="C962" i="3" s="1"/>
  <c r="H953" i="3"/>
  <c r="B944" i="3"/>
  <c r="C944" i="3" s="1"/>
  <c r="I934" i="3"/>
  <c r="B926" i="3"/>
  <c r="C926" i="3" s="1"/>
  <c r="B917" i="3"/>
  <c r="C917" i="3" s="1"/>
  <c r="I908" i="3"/>
  <c r="H899" i="3"/>
  <c r="B891" i="3"/>
  <c r="C891" i="3" s="1"/>
  <c r="I882" i="3"/>
  <c r="B874" i="3"/>
  <c r="C874" i="3" s="1"/>
  <c r="B865" i="3"/>
  <c r="C865" i="3" s="1"/>
  <c r="B856" i="3"/>
  <c r="C856" i="3" s="1"/>
  <c r="I847" i="3"/>
  <c r="H839" i="3"/>
  <c r="I829" i="3"/>
  <c r="B821" i="3"/>
  <c r="C821" i="3" s="1"/>
  <c r="I812" i="3"/>
  <c r="B804" i="3"/>
  <c r="C804" i="3" s="1"/>
  <c r="H794" i="3"/>
  <c r="B786" i="3"/>
  <c r="C786" i="3" s="1"/>
  <c r="I778" i="3"/>
  <c r="H770" i="3"/>
  <c r="H762" i="3"/>
  <c r="H754" i="3"/>
  <c r="I745" i="3"/>
  <c r="B737" i="3"/>
  <c r="C737" i="3" s="1"/>
  <c r="H729" i="3"/>
  <c r="I721" i="3"/>
  <c r="B714" i="3"/>
  <c r="C714" i="3" s="1"/>
  <c r="H706" i="3"/>
  <c r="I698" i="3"/>
  <c r="I690" i="3"/>
  <c r="B683" i="3"/>
  <c r="C683" i="3" s="1"/>
  <c r="H675" i="3"/>
  <c r="H667" i="3"/>
  <c r="H659" i="3"/>
  <c r="H651" i="3"/>
  <c r="H643" i="3"/>
  <c r="I635" i="3"/>
  <c r="B628" i="3"/>
  <c r="C628" i="3" s="1"/>
  <c r="H620" i="3"/>
  <c r="I612" i="3"/>
  <c r="I596" i="3"/>
  <c r="B589" i="3"/>
  <c r="C589" i="3" s="1"/>
  <c r="H581" i="3"/>
  <c r="H566" i="3"/>
  <c r="I558" i="3"/>
  <c r="I549" i="3"/>
  <c r="B542" i="3"/>
  <c r="C542" i="3" s="1"/>
  <c r="H534" i="3"/>
  <c r="H526" i="3"/>
  <c r="B519" i="3"/>
  <c r="C519" i="3" s="1"/>
  <c r="I511" i="3"/>
  <c r="I503" i="3"/>
  <c r="H496" i="3"/>
  <c r="B489" i="3"/>
  <c r="C489" i="3" s="1"/>
  <c r="I481" i="3"/>
  <c r="H474" i="3"/>
  <c r="I466" i="3"/>
  <c r="B459" i="3"/>
  <c r="C459" i="3" s="1"/>
  <c r="B452" i="3"/>
  <c r="C452" i="3" s="1"/>
  <c r="B445" i="3"/>
  <c r="C445" i="3" s="1"/>
  <c r="B438" i="3"/>
  <c r="C438" i="3" s="1"/>
  <c r="B431" i="3"/>
  <c r="C431" i="3" s="1"/>
  <c r="B424" i="3"/>
  <c r="C424" i="3" s="1"/>
  <c r="B417" i="3"/>
  <c r="C417" i="3" s="1"/>
  <c r="B410" i="3"/>
  <c r="C410" i="3" s="1"/>
  <c r="B403" i="3"/>
  <c r="C403" i="3" s="1"/>
  <c r="B396" i="3"/>
  <c r="C396" i="3" s="1"/>
  <c r="B389" i="3"/>
  <c r="C389" i="3" s="1"/>
  <c r="B382" i="3"/>
  <c r="C382" i="3" s="1"/>
  <c r="B375" i="3"/>
  <c r="C375" i="3" s="1"/>
  <c r="H1052" i="3"/>
  <c r="H1042" i="3"/>
  <c r="B1033" i="3"/>
  <c r="C1033" i="3" s="1"/>
  <c r="B1015" i="3"/>
  <c r="C1015" i="3" s="1"/>
  <c r="H1006" i="3"/>
  <c r="I998" i="3"/>
  <c r="H989" i="3"/>
  <c r="I978" i="3"/>
  <c r="I968" i="3"/>
  <c r="H959" i="3"/>
  <c r="I949" i="3"/>
  <c r="I939" i="3"/>
  <c r="B930" i="3"/>
  <c r="C930" i="3" s="1"/>
  <c r="H920" i="3"/>
  <c r="H911" i="3"/>
  <c r="H903" i="3"/>
  <c r="H894" i="3"/>
  <c r="H884" i="3"/>
  <c r="I875" i="3"/>
  <c r="I866" i="3"/>
  <c r="I856" i="3"/>
  <c r="B848" i="3"/>
  <c r="C848" i="3" s="1"/>
  <c r="I838" i="3"/>
  <c r="I828" i="3"/>
  <c r="B820" i="3"/>
  <c r="C820" i="3" s="1"/>
  <c r="B811" i="3"/>
  <c r="C811" i="3" s="1"/>
  <c r="I801" i="3"/>
  <c r="B792" i="3"/>
  <c r="C792" i="3" s="1"/>
  <c r="H783" i="3"/>
  <c r="B775" i="3"/>
  <c r="C775" i="3" s="1"/>
  <c r="I766" i="3"/>
  <c r="I757" i="3"/>
  <c r="H749" i="3"/>
  <c r="B741" i="3"/>
  <c r="C741" i="3" s="1"/>
  <c r="I732" i="3"/>
  <c r="H724" i="3"/>
  <c r="I715" i="3"/>
  <c r="I707" i="3"/>
  <c r="I699" i="3"/>
  <c r="H691" i="3"/>
  <c r="H683" i="3"/>
  <c r="I674" i="3"/>
  <c r="I666" i="3"/>
  <c r="B658" i="3"/>
  <c r="C658" i="3" s="1"/>
  <c r="I649" i="3"/>
  <c r="H641" i="3"/>
  <c r="H633" i="3"/>
  <c r="B625" i="3"/>
  <c r="C625" i="3" s="1"/>
  <c r="I616" i="3"/>
  <c r="I608" i="3"/>
  <c r="H601" i="3"/>
  <c r="H593" i="3"/>
  <c r="H585" i="3"/>
  <c r="B577" i="3"/>
  <c r="C577" i="3" s="1"/>
  <c r="H569" i="3"/>
  <c r="H561" i="3"/>
  <c r="H552" i="3"/>
  <c r="I543" i="3"/>
  <c r="I535" i="3"/>
  <c r="I527" i="3"/>
  <c r="I519" i="3"/>
  <c r="B512" i="3"/>
  <c r="C512" i="3" s="1"/>
  <c r="H503" i="3"/>
  <c r="I495" i="3"/>
  <c r="B488" i="3"/>
  <c r="C488" i="3" s="1"/>
  <c r="B480" i="3"/>
  <c r="C480" i="3" s="1"/>
  <c r="B472" i="3"/>
  <c r="C472" i="3" s="1"/>
  <c r="B464" i="3"/>
  <c r="C464" i="3" s="1"/>
  <c r="I456" i="3"/>
  <c r="H449" i="3"/>
  <c r="B442" i="3"/>
  <c r="C442" i="3" s="1"/>
  <c r="I434" i="3"/>
  <c r="H427" i="3"/>
  <c r="B420" i="3"/>
  <c r="C420" i="3" s="1"/>
  <c r="H412" i="3"/>
  <c r="B405" i="3"/>
  <c r="C405" i="3" s="1"/>
  <c r="I397" i="3"/>
  <c r="H390" i="3"/>
  <c r="B383" i="3"/>
  <c r="C383" i="3" s="1"/>
  <c r="I375" i="3"/>
  <c r="H368" i="3"/>
  <c r="H361" i="3"/>
  <c r="H354" i="3"/>
  <c r="H347" i="3"/>
  <c r="H340" i="3"/>
  <c r="I1067" i="3"/>
  <c r="I1056" i="3"/>
  <c r="I1036" i="3"/>
  <c r="I1026" i="3"/>
  <c r="H1018" i="3"/>
  <c r="B1066" i="3"/>
  <c r="C1066" i="3" s="1"/>
  <c r="H1055" i="3"/>
  <c r="H1045" i="3"/>
  <c r="B1035" i="3"/>
  <c r="C1035" i="3" s="1"/>
  <c r="H1025" i="3"/>
  <c r="H1008" i="3"/>
  <c r="H1001" i="3"/>
  <c r="H993" i="3"/>
  <c r="B983" i="3"/>
  <c r="C983" i="3" s="1"/>
  <c r="H971" i="3"/>
  <c r="I961" i="3"/>
  <c r="B952" i="3"/>
  <c r="C952" i="3" s="1"/>
  <c r="I942" i="3"/>
  <c r="H933" i="3"/>
  <c r="H923" i="3"/>
  <c r="I913" i="3"/>
  <c r="H1065" i="3"/>
  <c r="B1054" i="3"/>
  <c r="C1054" i="3" s="1"/>
  <c r="B1044" i="3"/>
  <c r="C1044" i="3" s="1"/>
  <c r="H1034" i="3"/>
  <c r="H1024" i="3"/>
  <c r="I1016" i="3"/>
  <c r="I992" i="3"/>
  <c r="H981" i="3"/>
  <c r="H970" i="3"/>
  <c r="B961" i="3"/>
  <c r="C961" i="3" s="1"/>
  <c r="H951" i="3"/>
  <c r="I941" i="3"/>
  <c r="B932" i="3"/>
  <c r="C932" i="3" s="1"/>
  <c r="B922" i="3"/>
  <c r="C922" i="3" s="1"/>
  <c r="B913" i="3"/>
  <c r="C913" i="3" s="1"/>
  <c r="I904" i="3"/>
  <c r="B896" i="3"/>
  <c r="C896" i="3" s="1"/>
  <c r="I886" i="3"/>
  <c r="H877" i="3"/>
  <c r="H868" i="3"/>
  <c r="B859" i="3"/>
  <c r="C859" i="3" s="1"/>
  <c r="H849" i="3"/>
  <c r="I840" i="3"/>
  <c r="I831" i="3"/>
  <c r="B822" i="3"/>
  <c r="C822" i="3" s="1"/>
  <c r="B813" i="3"/>
  <c r="C813" i="3" s="1"/>
  <c r="I1061" i="3"/>
  <c r="B1050" i="3"/>
  <c r="C1050" i="3" s="1"/>
  <c r="B1038" i="3"/>
  <c r="C1038" i="3" s="1"/>
  <c r="H1026" i="3"/>
  <c r="H1016" i="3"/>
  <c r="B1007" i="3"/>
  <c r="C1007" i="3" s="1"/>
  <c r="I997" i="3"/>
  <c r="B987" i="3"/>
  <c r="C987" i="3" s="1"/>
  <c r="I975" i="3"/>
  <c r="H963" i="3"/>
  <c r="I951" i="3"/>
  <c r="H940" i="3"/>
  <c r="H928" i="3"/>
  <c r="B918" i="3"/>
  <c r="C918" i="3" s="1"/>
  <c r="H907" i="3"/>
  <c r="I897" i="3"/>
  <c r="B888" i="3"/>
  <c r="C888" i="3" s="1"/>
  <c r="B878" i="3"/>
  <c r="C878" i="3" s="1"/>
  <c r="I867" i="3"/>
  <c r="H856" i="3"/>
  <c r="I846" i="3"/>
  <c r="I835" i="3"/>
  <c r="H826" i="3"/>
  <c r="H816" i="3"/>
  <c r="B806" i="3"/>
  <c r="C806" i="3" s="1"/>
  <c r="I795" i="3"/>
  <c r="H786" i="3"/>
  <c r="I777" i="3"/>
  <c r="B769" i="3"/>
  <c r="C769" i="3" s="1"/>
  <c r="B93" i="4" s="1"/>
  <c r="I759" i="3"/>
  <c r="H750" i="3"/>
  <c r="I741" i="3"/>
  <c r="B733" i="3"/>
  <c r="C733" i="3" s="1"/>
  <c r="I723" i="3"/>
  <c r="B715" i="3"/>
  <c r="C715" i="3" s="1"/>
  <c r="I706" i="3"/>
  <c r="I697" i="3"/>
  <c r="H689" i="3"/>
  <c r="I680" i="3"/>
  <c r="H672" i="3"/>
  <c r="H663" i="3"/>
  <c r="H654" i="3"/>
  <c r="I645" i="3"/>
  <c r="B637" i="3"/>
  <c r="C637" i="3" s="1"/>
  <c r="I628" i="3"/>
  <c r="B620" i="3"/>
  <c r="C620" i="3" s="1"/>
  <c r="I610" i="3"/>
  <c r="B603" i="3"/>
  <c r="C603" i="3" s="1"/>
  <c r="I594" i="3"/>
  <c r="H586" i="3"/>
  <c r="I577" i="3"/>
  <c r="B570" i="3"/>
  <c r="C570" i="3" s="1"/>
  <c r="I560" i="3"/>
  <c r="H551" i="3"/>
  <c r="I542" i="3"/>
  <c r="B534" i="3"/>
  <c r="C534" i="3" s="1"/>
  <c r="H525" i="3"/>
  <c r="H517" i="3"/>
  <c r="B509" i="3"/>
  <c r="C509" i="3" s="1"/>
  <c r="H500" i="3"/>
  <c r="B492" i="3"/>
  <c r="C492" i="3" s="1"/>
  <c r="B484" i="3"/>
  <c r="C484" i="3" s="1"/>
  <c r="B476" i="3"/>
  <c r="C476" i="3" s="1"/>
  <c r="I467" i="3"/>
  <c r="I459" i="3"/>
  <c r="H451" i="3"/>
  <c r="I443" i="3"/>
  <c r="B436" i="3"/>
  <c r="C436" i="3" s="1"/>
  <c r="H428" i="3"/>
  <c r="I420" i="3"/>
  <c r="B413" i="3"/>
  <c r="C413" i="3" s="1"/>
  <c r="I404" i="3"/>
  <c r="B397" i="3"/>
  <c r="C397" i="3" s="1"/>
  <c r="H389" i="3"/>
  <c r="H381" i="3"/>
  <c r="I373" i="3"/>
  <c r="H366" i="3"/>
  <c r="I358" i="3"/>
  <c r="H351" i="3"/>
  <c r="B344" i="3"/>
  <c r="C344" i="3" s="1"/>
  <c r="H336" i="3"/>
  <c r="H329" i="3"/>
  <c r="H322" i="3"/>
  <c r="H315" i="3"/>
  <c r="B1061" i="3"/>
  <c r="C1061" i="3" s="1"/>
  <c r="H1049" i="3"/>
  <c r="I1037" i="3"/>
  <c r="B1024" i="3"/>
  <c r="C1024" i="3" s="1"/>
  <c r="H1015" i="3"/>
  <c r="H986" i="3"/>
  <c r="H974" i="3"/>
  <c r="I962" i="3"/>
  <c r="H950" i="3"/>
  <c r="I938" i="3"/>
  <c r="I927" i="3"/>
  <c r="H917" i="3"/>
  <c r="I906" i="3"/>
  <c r="B897" i="3"/>
  <c r="C897" i="3" s="1"/>
  <c r="H887" i="3"/>
  <c r="H876" i="3"/>
  <c r="B866" i="3"/>
  <c r="C866" i="3" s="1"/>
  <c r="H855" i="3"/>
  <c r="I844" i="3"/>
  <c r="B835" i="3"/>
  <c r="C835" i="3" s="1"/>
  <c r="H825" i="3"/>
  <c r="H815" i="3"/>
  <c r="B805" i="3"/>
  <c r="C805" i="3" s="1"/>
  <c r="I794" i="3"/>
  <c r="H785" i="3"/>
  <c r="B777" i="3"/>
  <c r="C777" i="3" s="1"/>
  <c r="I767" i="3"/>
  <c r="I758" i="3"/>
  <c r="I749" i="3"/>
  <c r="I740" i="3"/>
  <c r="B732" i="3"/>
  <c r="C732" i="3" s="1"/>
  <c r="I722" i="3"/>
  <c r="H714" i="3"/>
  <c r="I705" i="3"/>
  <c r="B697" i="3"/>
  <c r="C697" i="3" s="1"/>
  <c r="H688" i="3"/>
  <c r="B680" i="3"/>
  <c r="C680" i="3" s="1"/>
  <c r="B671" i="3"/>
  <c r="C671" i="3" s="1"/>
  <c r="I662" i="3"/>
  <c r="I653" i="3"/>
  <c r="B645" i="3"/>
  <c r="C645" i="3" s="1"/>
  <c r="H636" i="3"/>
  <c r="I627" i="3"/>
  <c r="B1055" i="3"/>
  <c r="C1055" i="3" s="1"/>
  <c r="I1042" i="3"/>
  <c r="B1031" i="3"/>
  <c r="C1031" i="3" s="1"/>
  <c r="B1020" i="3"/>
  <c r="C1020" i="3" s="1"/>
  <c r="B1010" i="3"/>
  <c r="C1010" i="3" s="1"/>
  <c r="B1002" i="3"/>
  <c r="C1002" i="3" s="1"/>
  <c r="B993" i="3"/>
  <c r="C993" i="3" s="1"/>
  <c r="B979" i="3"/>
  <c r="C979" i="3" s="1"/>
  <c r="I967" i="3"/>
  <c r="B956" i="3"/>
  <c r="C956" i="3" s="1"/>
  <c r="H945" i="3"/>
  <c r="B934" i="3"/>
  <c r="C934" i="3" s="1"/>
  <c r="I921" i="3"/>
  <c r="B911" i="3"/>
  <c r="C911" i="3" s="1"/>
  <c r="B902" i="3"/>
  <c r="C902" i="3" s="1"/>
  <c r="H891" i="3"/>
  <c r="I881" i="3"/>
  <c r="H871" i="3"/>
  <c r="H861" i="3"/>
  <c r="H850" i="3"/>
  <c r="B841" i="3"/>
  <c r="C841" i="3" s="1"/>
  <c r="I830" i="3"/>
  <c r="I819" i="3"/>
  <c r="I809" i="3"/>
  <c r="H800" i="3"/>
  <c r="H789" i="3"/>
  <c r="H781" i="3"/>
  <c r="H772" i="3"/>
  <c r="H763" i="3"/>
  <c r="I754" i="3"/>
  <c r="H744" i="3"/>
  <c r="I735" i="3"/>
  <c r="H727" i="3"/>
  <c r="B719" i="3"/>
  <c r="C719" i="3" s="1"/>
  <c r="H710" i="3"/>
  <c r="I701" i="3"/>
  <c r="B693" i="3"/>
  <c r="C693" i="3" s="1"/>
  <c r="H684" i="3"/>
  <c r="B676" i="3"/>
  <c r="C676" i="3" s="1"/>
  <c r="B667" i="3"/>
  <c r="C667" i="3" s="1"/>
  <c r="H657" i="3"/>
  <c r="I648" i="3"/>
  <c r="H640" i="3"/>
  <c r="I631" i="3"/>
  <c r="B623" i="3"/>
  <c r="C623" i="3" s="1"/>
  <c r="I614" i="3"/>
  <c r="H606" i="3"/>
  <c r="I598" i="3"/>
  <c r="H589" i="3"/>
  <c r="I580" i="3"/>
  <c r="B573" i="3"/>
  <c r="C573" i="3" s="1"/>
  <c r="H564" i="3"/>
  <c r="B556" i="3"/>
  <c r="C556" i="3" s="1"/>
  <c r="H546" i="3"/>
  <c r="I537" i="3"/>
  <c r="B529" i="3"/>
  <c r="C529" i="3" s="1"/>
  <c r="B521" i="3"/>
  <c r="C521" i="3" s="1"/>
  <c r="I512" i="3"/>
  <c r="B504" i="3"/>
  <c r="C504" i="3" s="1"/>
  <c r="H495" i="3"/>
  <c r="H1067" i="3"/>
  <c r="B1053" i="3"/>
  <c r="C1053" i="3" s="1"/>
  <c r="B1041" i="3"/>
  <c r="C1041" i="3" s="1"/>
  <c r="I1029" i="3"/>
  <c r="B1019" i="3"/>
  <c r="C1019" i="3" s="1"/>
  <c r="H1009" i="3"/>
  <c r="B1001" i="3"/>
  <c r="C1001" i="3" s="1"/>
  <c r="H990" i="3"/>
  <c r="B978" i="3"/>
  <c r="C978" i="3" s="1"/>
  <c r="I966" i="3"/>
  <c r="B955" i="3"/>
  <c r="C955" i="3" s="1"/>
  <c r="H944" i="3"/>
  <c r="B933" i="3"/>
  <c r="C933" i="3" s="1"/>
  <c r="I920" i="3"/>
  <c r="I910" i="3"/>
  <c r="I900" i="3"/>
  <c r="H890" i="3"/>
  <c r="I880" i="3"/>
  <c r="I870" i="3"/>
  <c r="I860" i="3"/>
  <c r="I849" i="3"/>
  <c r="B840" i="3"/>
  <c r="C840" i="3" s="1"/>
  <c r="H828" i="3"/>
  <c r="I818" i="3"/>
  <c r="I808" i="3"/>
  <c r="I798" i="3"/>
  <c r="I788" i="3"/>
  <c r="I780" i="3"/>
  <c r="H771" i="3"/>
  <c r="I762" i="3"/>
  <c r="B753" i="3"/>
  <c r="C753" i="3" s="1"/>
  <c r="I743" i="3"/>
  <c r="B735" i="3"/>
  <c r="C735" i="3" s="1"/>
  <c r="I726" i="3"/>
  <c r="B718" i="3"/>
  <c r="C718" i="3" s="1"/>
  <c r="H709" i="3"/>
  <c r="I700" i="3"/>
  <c r="H692" i="3"/>
  <c r="I683" i="3"/>
  <c r="H674" i="3"/>
  <c r="B666" i="3"/>
  <c r="C666" i="3" s="1"/>
  <c r="I656" i="3"/>
  <c r="B648" i="3"/>
  <c r="C648" i="3" s="1"/>
  <c r="I639" i="3"/>
  <c r="I630" i="3"/>
  <c r="H622" i="3"/>
  <c r="B614" i="3"/>
  <c r="C614" i="3" s="1"/>
  <c r="I605" i="3"/>
  <c r="B597" i="3"/>
  <c r="C597" i="3" s="1"/>
  <c r="H588" i="3"/>
  <c r="B580" i="3"/>
  <c r="C580" i="3" s="1"/>
  <c r="H572" i="3"/>
  <c r="I563" i="3"/>
  <c r="B555" i="3"/>
  <c r="C555" i="3" s="1"/>
  <c r="I545" i="3"/>
  <c r="I536" i="3"/>
  <c r="H528" i="3"/>
  <c r="H520" i="3"/>
  <c r="H511" i="3"/>
  <c r="I502" i="3"/>
  <c r="H494" i="3"/>
  <c r="H486" i="3"/>
  <c r="B478" i="3"/>
  <c r="C478" i="3" s="1"/>
  <c r="I469" i="3"/>
  <c r="I461" i="3"/>
  <c r="B454" i="3"/>
  <c r="C454" i="3" s="1"/>
  <c r="H446" i="3"/>
  <c r="H438" i="3"/>
  <c r="H430" i="3"/>
  <c r="I422" i="3"/>
  <c r="B415" i="3"/>
  <c r="C415" i="3" s="1"/>
  <c r="H407" i="3"/>
  <c r="I399" i="3"/>
  <c r="I391" i="3"/>
  <c r="B384" i="3"/>
  <c r="C384" i="3" s="1"/>
  <c r="H376" i="3"/>
  <c r="I368" i="3"/>
  <c r="B361" i="3"/>
  <c r="C361" i="3" s="1"/>
  <c r="I353" i="3"/>
  <c r="H1064" i="3"/>
  <c r="B1052" i="3"/>
  <c r="C1052" i="3" s="1"/>
  <c r="H1028" i="3"/>
  <c r="I1018" i="3"/>
  <c r="B1008" i="3"/>
  <c r="C1008" i="3" s="1"/>
  <c r="I1000" i="3"/>
  <c r="B989" i="3"/>
  <c r="C989" i="3" s="1"/>
  <c r="H977" i="3"/>
  <c r="H965" i="3"/>
  <c r="H954" i="3"/>
  <c r="B943" i="3"/>
  <c r="C943" i="3" s="1"/>
  <c r="B931" i="3"/>
  <c r="C931" i="3" s="1"/>
  <c r="I919" i="3"/>
  <c r="B910" i="3"/>
  <c r="C910" i="3" s="1"/>
  <c r="B899" i="3"/>
  <c r="C899" i="3" s="1"/>
  <c r="I889" i="3"/>
  <c r="H879" i="3"/>
  <c r="I869" i="3"/>
  <c r="H859" i="3"/>
  <c r="I848" i="3"/>
  <c r="I837" i="3"/>
  <c r="I827" i="3"/>
  <c r="B818" i="3"/>
  <c r="C818" i="3" s="1"/>
  <c r="B808" i="3"/>
  <c r="C808" i="3" s="1"/>
  <c r="B105" i="4" s="1"/>
  <c r="B797" i="3"/>
  <c r="C797" i="3" s="1"/>
  <c r="B788" i="3"/>
  <c r="C788" i="3" s="1"/>
  <c r="I779" i="3"/>
  <c r="I770" i="3"/>
  <c r="I761" i="3"/>
  <c r="B752" i="3"/>
  <c r="C752" i="3" s="1"/>
  <c r="B743" i="3"/>
  <c r="C743" i="3" s="1"/>
  <c r="H734" i="3"/>
  <c r="B726" i="3"/>
  <c r="C726" i="3" s="1"/>
  <c r="H717" i="3"/>
  <c r="H708" i="3"/>
  <c r="B700" i="3"/>
  <c r="C700" i="3" s="1"/>
  <c r="B691" i="3"/>
  <c r="C691" i="3" s="1"/>
  <c r="H682" i="3"/>
  <c r="I673" i="3"/>
  <c r="H665" i="3"/>
  <c r="I655" i="3"/>
  <c r="H647" i="3"/>
  <c r="I638" i="3"/>
  <c r="B630" i="3"/>
  <c r="C630" i="3" s="1"/>
  <c r="I621" i="3"/>
  <c r="H613" i="3"/>
  <c r="B596" i="3"/>
  <c r="C596" i="3" s="1"/>
  <c r="I587" i="3"/>
  <c r="H579" i="3"/>
  <c r="H571" i="3"/>
  <c r="B563" i="3"/>
  <c r="C563" i="3" s="1"/>
  <c r="H554" i="3"/>
  <c r="I544" i="3"/>
  <c r="B536" i="3"/>
  <c r="C536" i="3" s="1"/>
  <c r="H527" i="3"/>
  <c r="I518" i="3"/>
  <c r="I510" i="3"/>
  <c r="B502" i="3"/>
  <c r="C502" i="3" s="1"/>
  <c r="I493" i="3"/>
  <c r="H485" i="3"/>
  <c r="H477" i="3"/>
  <c r="B469" i="3"/>
  <c r="C469" i="3" s="1"/>
  <c r="B461" i="3"/>
  <c r="C461" i="3" s="1"/>
  <c r="H453" i="3"/>
  <c r="H445" i="3"/>
  <c r="H437" i="3"/>
  <c r="I429" i="3"/>
  <c r="B422" i="3"/>
  <c r="C422" i="3" s="1"/>
  <c r="H414" i="3"/>
  <c r="I406" i="3"/>
  <c r="I398" i="3"/>
  <c r="B391" i="3"/>
  <c r="C391" i="3" s="1"/>
  <c r="H383" i="3"/>
  <c r="H375" i="3"/>
  <c r="I367" i="3"/>
  <c r="H360" i="3"/>
  <c r="B353" i="3"/>
  <c r="C353" i="3" s="1"/>
  <c r="H345" i="3"/>
  <c r="I337" i="3"/>
  <c r="I330" i="3"/>
  <c r="I323" i="3"/>
  <c r="I316" i="3"/>
  <c r="H1062" i="3"/>
  <c r="H1051" i="3"/>
  <c r="H1039" i="3"/>
  <c r="I1027" i="3"/>
  <c r="I1007" i="3"/>
  <c r="H999" i="3"/>
  <c r="B988" i="3"/>
  <c r="C988" i="3" s="1"/>
  <c r="I976" i="3"/>
  <c r="B964" i="3"/>
  <c r="C964" i="3" s="1"/>
  <c r="I953" i="3"/>
  <c r="H941" i="3"/>
  <c r="I929" i="3"/>
  <c r="I918" i="3"/>
  <c r="I909" i="3"/>
  <c r="H898" i="3"/>
  <c r="B889" i="3"/>
  <c r="C889" i="3" s="1"/>
  <c r="I878" i="3"/>
  <c r="I868" i="3"/>
  <c r="H857" i="3"/>
  <c r="H847" i="3"/>
  <c r="H836" i="3"/>
  <c r="B827" i="3"/>
  <c r="C827" i="3" s="1"/>
  <c r="B817" i="3"/>
  <c r="C817" i="3" s="1"/>
  <c r="H807" i="3"/>
  <c r="H796" i="3"/>
  <c r="H787" i="3"/>
  <c r="B779" i="3"/>
  <c r="C779" i="3" s="1"/>
  <c r="I769" i="3"/>
  <c r="H760" i="3"/>
  <c r="B751" i="3"/>
  <c r="C751" i="3" s="1"/>
  <c r="H742" i="3"/>
  <c r="I733" i="3"/>
  <c r="H725" i="3"/>
  <c r="H716" i="3"/>
  <c r="H707" i="3"/>
  <c r="B699" i="3"/>
  <c r="C699" i="3" s="1"/>
  <c r="B690" i="3"/>
  <c r="C690" i="3" s="1"/>
  <c r="H681" i="3"/>
  <c r="B673" i="3"/>
  <c r="C673" i="3" s="1"/>
  <c r="B664" i="3"/>
  <c r="C664" i="3" s="1"/>
  <c r="B655" i="3"/>
  <c r="C655" i="3" s="1"/>
  <c r="I646" i="3"/>
  <c r="B638" i="3"/>
  <c r="C638" i="3" s="1"/>
  <c r="H629" i="3"/>
  <c r="B621" i="3"/>
  <c r="C621" i="3" s="1"/>
  <c r="B612" i="3"/>
  <c r="C612" i="3" s="1"/>
  <c r="I603" i="3"/>
  <c r="H595" i="3"/>
  <c r="B587" i="3"/>
  <c r="C587" i="3" s="1"/>
  <c r="I578" i="3"/>
  <c r="I570" i="3"/>
  <c r="B562" i="3"/>
  <c r="C562" i="3" s="1"/>
  <c r="B553" i="3"/>
  <c r="C553" i="3" s="1"/>
  <c r="H543" i="3"/>
  <c r="B535" i="3"/>
  <c r="C535" i="3" s="1"/>
  <c r="B526" i="3"/>
  <c r="C526" i="3" s="1"/>
  <c r="B518" i="3"/>
  <c r="C518" i="3" s="1"/>
  <c r="B510" i="3"/>
  <c r="C510" i="3" s="1"/>
  <c r="B501" i="3"/>
  <c r="C501" i="3" s="1"/>
  <c r="B493" i="3"/>
  <c r="C493" i="3" s="1"/>
  <c r="I484" i="3"/>
  <c r="I476" i="3"/>
  <c r="H468" i="3"/>
  <c r="H460" i="3"/>
  <c r="H452" i="3"/>
  <c r="H444" i="3"/>
  <c r="I436" i="3"/>
  <c r="B429" i="3"/>
  <c r="C429" i="3" s="1"/>
  <c r="H421" i="3"/>
  <c r="I413" i="3"/>
  <c r="I405" i="3"/>
  <c r="B398" i="3"/>
  <c r="C398" i="3" s="1"/>
  <c r="B390" i="3"/>
  <c r="C390" i="3" s="1"/>
  <c r="H382" i="3"/>
  <c r="H374" i="3"/>
  <c r="B367" i="3"/>
  <c r="C367" i="3" s="1"/>
  <c r="I359" i="3"/>
  <c r="B352" i="3"/>
  <c r="C352" i="3" s="1"/>
  <c r="I344" i="3"/>
  <c r="B337" i="3"/>
  <c r="C337" i="3" s="1"/>
  <c r="B330" i="3"/>
  <c r="C330" i="3" s="1"/>
  <c r="B323" i="3"/>
  <c r="C323" i="3" s="1"/>
  <c r="B316" i="3"/>
  <c r="C316" i="3" s="1"/>
  <c r="H309" i="3"/>
  <c r="H302" i="3"/>
  <c r="H254" i="3"/>
  <c r="H261" i="3"/>
  <c r="H268" i="3"/>
  <c r="H275" i="3"/>
  <c r="H282" i="3"/>
  <c r="H289" i="3"/>
  <c r="H296" i="3"/>
  <c r="I303" i="3"/>
  <c r="B311" i="3"/>
  <c r="C311" i="3" s="1"/>
  <c r="I318" i="3"/>
  <c r="B327" i="3"/>
  <c r="C327" i="3" s="1"/>
  <c r="B335" i="3"/>
  <c r="C335" i="3" s="1"/>
  <c r="I343" i="3"/>
  <c r="H353" i="3"/>
  <c r="I362" i="3"/>
  <c r="H371" i="3"/>
  <c r="I380" i="3"/>
  <c r="H391" i="3"/>
  <c r="B401" i="3"/>
  <c r="C401" i="3" s="1"/>
  <c r="H410" i="3"/>
  <c r="I419" i="3"/>
  <c r="B430" i="3"/>
  <c r="C430" i="3" s="1"/>
  <c r="B440" i="3"/>
  <c r="C440" i="3" s="1"/>
  <c r="B449" i="3"/>
  <c r="C449" i="3" s="1"/>
  <c r="H458" i="3"/>
  <c r="H469" i="3"/>
  <c r="I479" i="3"/>
  <c r="B490" i="3"/>
  <c r="C490" i="3" s="1"/>
  <c r="B500" i="3"/>
  <c r="C500" i="3" s="1"/>
  <c r="B513" i="3"/>
  <c r="C513" i="3" s="1"/>
  <c r="B523" i="3"/>
  <c r="C523" i="3" s="1"/>
  <c r="H533" i="3"/>
  <c r="I546" i="3"/>
  <c r="B558" i="3"/>
  <c r="C558" i="3" s="1"/>
  <c r="B569" i="3"/>
  <c r="C569" i="3" s="1"/>
  <c r="B581" i="3"/>
  <c r="C581" i="3" s="1"/>
  <c r="H592" i="3"/>
  <c r="I602" i="3"/>
  <c r="H614" i="3"/>
  <c r="I625" i="3"/>
  <c r="H637" i="3"/>
  <c r="H650" i="3"/>
  <c r="H662" i="3"/>
  <c r="H676" i="3"/>
  <c r="H687" i="3"/>
  <c r="H700" i="3"/>
  <c r="H712" i="3"/>
  <c r="I724" i="3"/>
  <c r="I736" i="3"/>
  <c r="B749" i="3"/>
  <c r="C749" i="3" s="1"/>
  <c r="I763" i="3"/>
  <c r="I775" i="3"/>
  <c r="H788" i="3"/>
  <c r="I802" i="3"/>
  <c r="I816" i="3"/>
  <c r="I832" i="3"/>
  <c r="H844" i="3"/>
  <c r="B862" i="3"/>
  <c r="C862" i="3" s="1"/>
  <c r="B875" i="3"/>
  <c r="C875" i="3" s="1"/>
  <c r="B890" i="3"/>
  <c r="C890" i="3" s="1"/>
  <c r="H904" i="3"/>
  <c r="H918" i="3"/>
  <c r="H935" i="3"/>
  <c r="B950" i="3"/>
  <c r="C950" i="3" s="1"/>
  <c r="B968" i="3"/>
  <c r="C968" i="3" s="1"/>
  <c r="H985" i="3"/>
  <c r="H1000" i="3"/>
  <c r="B1023" i="3"/>
  <c r="C1023" i="3" s="1"/>
  <c r="H1040" i="3"/>
  <c r="H1059" i="3"/>
  <c r="I156" i="3"/>
  <c r="I163" i="3"/>
  <c r="I170" i="3"/>
  <c r="I177" i="3"/>
  <c r="I184" i="3"/>
  <c r="I191" i="3"/>
  <c r="I198" i="3"/>
  <c r="I205" i="3"/>
  <c r="B213" i="3"/>
  <c r="C213" i="3" s="1"/>
  <c r="B220" i="3"/>
  <c r="C220" i="3" s="1"/>
  <c r="B227" i="3"/>
  <c r="C227" i="3" s="1"/>
  <c r="B234" i="3"/>
  <c r="C234" i="3" s="1"/>
  <c r="B241" i="3"/>
  <c r="C241" i="3" s="1"/>
  <c r="B248" i="3"/>
  <c r="C248" i="3" s="1"/>
  <c r="B255" i="3"/>
  <c r="C255" i="3" s="1"/>
  <c r="B262" i="3"/>
  <c r="C262" i="3" s="1"/>
  <c r="B269" i="3"/>
  <c r="C269" i="3" s="1"/>
  <c r="B276" i="3"/>
  <c r="C276" i="3" s="1"/>
  <c r="B283" i="3"/>
  <c r="C283" i="3" s="1"/>
  <c r="B290" i="3"/>
  <c r="C290" i="3" s="1"/>
  <c r="B297" i="3"/>
  <c r="C297" i="3" s="1"/>
  <c r="H304" i="3"/>
  <c r="I311" i="3"/>
  <c r="I319" i="3"/>
  <c r="I327" i="3"/>
  <c r="I335" i="3"/>
  <c r="B345" i="3"/>
  <c r="C345" i="3" s="1"/>
  <c r="I354" i="3"/>
  <c r="H363" i="3"/>
  <c r="B372" i="3"/>
  <c r="C372" i="3" s="1"/>
  <c r="I381" i="3"/>
  <c r="H392" i="3"/>
  <c r="I401" i="3"/>
  <c r="B411" i="3"/>
  <c r="C411" i="3" s="1"/>
  <c r="B421" i="3"/>
  <c r="C421" i="3" s="1"/>
  <c r="H431" i="3"/>
  <c r="I440" i="3"/>
  <c r="B450" i="3"/>
  <c r="C450" i="3" s="1"/>
  <c r="B460" i="3"/>
  <c r="C460" i="3" s="1"/>
  <c r="H470" i="3"/>
  <c r="B481" i="3"/>
  <c r="C481" i="3" s="1"/>
  <c r="I490" i="3"/>
  <c r="H501" i="3"/>
  <c r="B514" i="3"/>
  <c r="C514" i="3" s="1"/>
  <c r="B524" i="3"/>
  <c r="C524" i="3" s="1"/>
  <c r="H535" i="3"/>
  <c r="H547" i="3"/>
  <c r="H559" i="3"/>
  <c r="B571" i="3"/>
  <c r="C571" i="3" s="1"/>
  <c r="B582" i="3"/>
  <c r="C582" i="3" s="1"/>
  <c r="B593" i="3"/>
  <c r="C593" i="3" s="1"/>
  <c r="B604" i="3"/>
  <c r="C604" i="3" s="1"/>
  <c r="H615" i="3"/>
  <c r="H626" i="3"/>
  <c r="B639" i="3"/>
  <c r="C639" i="3" s="1"/>
  <c r="I651" i="3"/>
  <c r="I663" i="3"/>
  <c r="B677" i="3"/>
  <c r="C677" i="3" s="1"/>
  <c r="B688" i="3"/>
  <c r="C688" i="3" s="1"/>
  <c r="B702" i="3"/>
  <c r="C702" i="3" s="1"/>
  <c r="B713" i="3"/>
  <c r="C713" i="3" s="1"/>
  <c r="H726" i="3"/>
  <c r="I737" i="3"/>
  <c r="I750" i="3"/>
  <c r="H764" i="3"/>
  <c r="I776" i="3"/>
  <c r="B790" i="3"/>
  <c r="C790" i="3" s="1"/>
  <c r="I803" i="3"/>
  <c r="H818" i="3"/>
  <c r="H833" i="3"/>
  <c r="B847" i="3"/>
  <c r="C847" i="3" s="1"/>
  <c r="B863" i="3"/>
  <c r="C863" i="3" s="1"/>
  <c r="B876" i="3"/>
  <c r="C876" i="3" s="1"/>
  <c r="I891" i="3"/>
  <c r="H905" i="3"/>
  <c r="B920" i="3"/>
  <c r="C920" i="3" s="1"/>
  <c r="I936" i="3"/>
  <c r="B953" i="3"/>
  <c r="C953" i="3" s="1"/>
  <c r="H969" i="3"/>
  <c r="B986" i="3"/>
  <c r="C986" i="3" s="1"/>
  <c r="I1001" i="3"/>
  <c r="B1013" i="3"/>
  <c r="C1013" i="3" s="1"/>
  <c r="I1024" i="3"/>
  <c r="B1043" i="3"/>
  <c r="C1043" i="3" s="1"/>
  <c r="I1028" i="3"/>
  <c r="G1002" i="3"/>
  <c r="G1022" i="3"/>
  <c r="G1042" i="3"/>
  <c r="G1062" i="3"/>
  <c r="I974" i="3"/>
  <c r="G1003" i="3"/>
  <c r="G1023" i="3"/>
  <c r="G1043" i="3"/>
  <c r="G1063" i="3"/>
  <c r="I973" i="3"/>
  <c r="G1004" i="3"/>
  <c r="G1024" i="3"/>
  <c r="G1044" i="3"/>
  <c r="G1064" i="3"/>
  <c r="I858" i="3"/>
  <c r="G1005" i="3"/>
  <c r="G1025" i="3"/>
  <c r="G1045" i="3"/>
  <c r="G1065" i="3"/>
  <c r="B1067" i="3"/>
  <c r="C1067" i="3" s="1"/>
  <c r="I1060" i="3"/>
  <c r="H1054" i="3"/>
  <c r="I1047" i="3"/>
  <c r="H1041" i="3"/>
  <c r="I1035" i="3"/>
  <c r="H1029" i="3"/>
  <c r="H1017" i="3"/>
  <c r="I1011" i="3"/>
  <c r="B1000" i="3"/>
  <c r="C1000" i="3" s="1"/>
  <c r="B994" i="3"/>
  <c r="C994" i="3" s="1"/>
  <c r="H987" i="3"/>
  <c r="I979" i="3"/>
  <c r="H972" i="3"/>
  <c r="I965" i="3"/>
  <c r="B959" i="3"/>
  <c r="C959" i="3" s="1"/>
  <c r="H952" i="3"/>
  <c r="I945" i="3"/>
  <c r="B939" i="3"/>
  <c r="C939" i="3" s="1"/>
  <c r="H932" i="3"/>
  <c r="I925" i="3"/>
  <c r="B919" i="3"/>
  <c r="C919" i="3" s="1"/>
  <c r="H912" i="3"/>
  <c r="H906" i="3"/>
  <c r="I899" i="3"/>
  <c r="B893" i="3"/>
  <c r="C893" i="3" s="1"/>
  <c r="H886" i="3"/>
  <c r="I879" i="3"/>
  <c r="B873" i="3"/>
  <c r="C873" i="3" s="1"/>
  <c r="H866" i="3"/>
  <c r="I859" i="3"/>
  <c r="H852" i="3"/>
  <c r="I845" i="3"/>
  <c r="B839" i="3"/>
  <c r="C839" i="3" s="1"/>
  <c r="H832" i="3"/>
  <c r="I825" i="3"/>
  <c r="B819" i="3"/>
  <c r="C819" i="3" s="1"/>
  <c r="H812" i="3"/>
  <c r="I805" i="3"/>
  <c r="B798" i="3"/>
  <c r="C798" i="3" s="1"/>
  <c r="H791" i="3"/>
  <c r="I784" i="3"/>
  <c r="H778" i="3"/>
  <c r="I771" i="3"/>
  <c r="B765" i="3"/>
  <c r="C765" i="3" s="1"/>
  <c r="H758" i="3"/>
  <c r="I751" i="3"/>
  <c r="B745" i="3"/>
  <c r="C745" i="3" s="1"/>
  <c r="H738" i="3"/>
  <c r="I731" i="3"/>
  <c r="B725" i="3"/>
  <c r="C725" i="3" s="1"/>
  <c r="H718" i="3"/>
  <c r="I711" i="3"/>
  <c r="B705" i="3"/>
  <c r="C705" i="3" s="1"/>
  <c r="H698" i="3"/>
  <c r="I691" i="3"/>
  <c r="B685" i="3"/>
  <c r="C685" i="3" s="1"/>
  <c r="H678" i="3"/>
  <c r="I671" i="3"/>
  <c r="B665" i="3"/>
  <c r="C665" i="3" s="1"/>
  <c r="I657" i="3"/>
  <c r="B651" i="3"/>
  <c r="C651" i="3" s="1"/>
  <c r="H644" i="3"/>
  <c r="I637" i="3"/>
  <c r="B631" i="3"/>
  <c r="C631" i="3" s="1"/>
  <c r="H624" i="3"/>
  <c r="I617" i="3"/>
  <c r="B611" i="3"/>
  <c r="C611" i="3" s="1"/>
  <c r="I604" i="3"/>
  <c r="B598" i="3"/>
  <c r="C598" i="3" s="1"/>
  <c r="H591" i="3"/>
  <c r="I584" i="3"/>
  <c r="B578" i="3"/>
  <c r="C578" i="3" s="1"/>
  <c r="I571" i="3"/>
  <c r="B565" i="3"/>
  <c r="C565" i="3" s="1"/>
  <c r="H558" i="3"/>
  <c r="I550" i="3"/>
  <c r="B544" i="3"/>
  <c r="C544" i="3" s="1"/>
  <c r="H537" i="3"/>
  <c r="I530" i="3"/>
  <c r="I857" i="3"/>
  <c r="G1006" i="3"/>
  <c r="G1026" i="3"/>
  <c r="G1046" i="3"/>
  <c r="G1066" i="3"/>
  <c r="I659" i="3"/>
  <c r="G1007" i="3"/>
  <c r="G1027" i="3"/>
  <c r="G1047" i="3"/>
  <c r="G1067" i="3"/>
  <c r="I658" i="3"/>
  <c r="G1008" i="3"/>
  <c r="G1028" i="3"/>
  <c r="G1048" i="3"/>
  <c r="I553" i="3"/>
  <c r="G1009" i="3"/>
  <c r="G1029" i="3"/>
  <c r="G1049" i="3"/>
  <c r="I552" i="3"/>
  <c r="G1010" i="3"/>
  <c r="G1030" i="3"/>
  <c r="G1050" i="3"/>
  <c r="I551" i="3"/>
  <c r="G1011" i="3"/>
  <c r="G1031" i="3"/>
  <c r="G1051" i="3"/>
  <c r="I505" i="3"/>
  <c r="G1012" i="3"/>
  <c r="G1032" i="3"/>
  <c r="G1052" i="3"/>
  <c r="I504" i="3"/>
  <c r="G1013" i="3"/>
  <c r="G1033" i="3"/>
  <c r="G1053" i="3"/>
  <c r="I470" i="3"/>
  <c r="G1014" i="3"/>
  <c r="G1034" i="3"/>
  <c r="G1054" i="3"/>
  <c r="I339" i="3"/>
  <c r="G1015" i="3"/>
  <c r="G1035" i="3"/>
  <c r="G1055" i="3"/>
  <c r="I1063" i="3"/>
  <c r="I1057" i="3"/>
  <c r="B1051" i="3"/>
  <c r="C1051" i="3" s="1"/>
  <c r="I1044" i="3"/>
  <c r="I1038" i="3"/>
  <c r="I1032" i="3"/>
  <c r="B1026" i="3"/>
  <c r="C1026" i="3" s="1"/>
  <c r="H1014" i="3"/>
  <c r="I1008" i="3"/>
  <c r="B1003" i="3"/>
  <c r="C1003" i="3" s="1"/>
  <c r="B997" i="3"/>
  <c r="C997" i="3" s="1"/>
  <c r="I990" i="3"/>
  <c r="B984" i="3"/>
  <c r="C984" i="3" s="1"/>
  <c r="H976" i="3"/>
  <c r="B969" i="3"/>
  <c r="C969" i="3" s="1"/>
  <c r="H962" i="3"/>
  <c r="I955" i="3"/>
  <c r="B949" i="3"/>
  <c r="C949" i="3" s="1"/>
  <c r="H942" i="3"/>
  <c r="I935" i="3"/>
  <c r="B929" i="3"/>
  <c r="C929" i="3" s="1"/>
  <c r="H922" i="3"/>
  <c r="G996" i="3"/>
  <c r="G1016" i="3"/>
  <c r="G1036" i="3"/>
  <c r="G1056" i="3"/>
  <c r="G997" i="3"/>
  <c r="G1017" i="3"/>
  <c r="G1037" i="3"/>
  <c r="G1057" i="3"/>
  <c r="G998" i="3"/>
  <c r="G1018" i="3"/>
  <c r="G1038" i="3"/>
  <c r="G1058" i="3"/>
  <c r="G999" i="3"/>
  <c r="G1019" i="3"/>
  <c r="G1039" i="3"/>
  <c r="G1059" i="3"/>
  <c r="G1000" i="3"/>
  <c r="G1020" i="3"/>
  <c r="G1040" i="3"/>
  <c r="G1060" i="3"/>
  <c r="G1001" i="3"/>
  <c r="G1021" i="3"/>
  <c r="G1041" i="3"/>
  <c r="G1061" i="3"/>
  <c r="I1064" i="3"/>
  <c r="B1058" i="3"/>
  <c r="C1058" i="3" s="1"/>
  <c r="H1050" i="3"/>
  <c r="H1043" i="3"/>
  <c r="B1037" i="3"/>
  <c r="C1037" i="3" s="1"/>
  <c r="B1030" i="3"/>
  <c r="C1030" i="3" s="1"/>
  <c r="B1017" i="3"/>
  <c r="C1017" i="3" s="1"/>
  <c r="I1010" i="3"/>
  <c r="B998" i="3"/>
  <c r="C998" i="3" s="1"/>
  <c r="H991" i="3"/>
  <c r="I983" i="3"/>
  <c r="H975" i="3"/>
  <c r="H967" i="3"/>
  <c r="B960" i="3"/>
  <c r="C960" i="3" s="1"/>
  <c r="I952" i="3"/>
  <c r="B945" i="3"/>
  <c r="C945" i="3" s="1"/>
  <c r="I937" i="3"/>
  <c r="H930" i="3"/>
  <c r="B923" i="3"/>
  <c r="C923" i="3" s="1"/>
  <c r="I915" i="3"/>
  <c r="H909" i="3"/>
  <c r="H902" i="3"/>
  <c r="H895" i="3"/>
  <c r="H888" i="3"/>
  <c r="H881" i="3"/>
  <c r="H874" i="3"/>
  <c r="H867" i="3"/>
  <c r="H860" i="3"/>
  <c r="I852" i="3"/>
  <c r="H845" i="3"/>
  <c r="H838" i="3"/>
  <c r="H831" i="3"/>
  <c r="H824" i="3"/>
  <c r="H817" i="3"/>
  <c r="H810" i="3"/>
  <c r="H803" i="3"/>
  <c r="H795" i="3"/>
  <c r="B1063" i="3"/>
  <c r="C1063" i="3" s="1"/>
  <c r="H1056" i="3"/>
  <c r="B1049" i="3"/>
  <c r="C1049" i="3" s="1"/>
  <c r="B1042" i="3"/>
  <c r="C1042" i="3" s="1"/>
  <c r="H1035" i="3"/>
  <c r="B1028" i="3"/>
  <c r="C1028" i="3" s="1"/>
  <c r="I1021" i="3"/>
  <c r="I1015" i="3"/>
  <c r="I1009" i="3"/>
  <c r="I1003" i="3"/>
  <c r="I989" i="3"/>
  <c r="H982" i="3"/>
  <c r="H973" i="3"/>
  <c r="B966" i="3"/>
  <c r="C966" i="3" s="1"/>
  <c r="H958" i="3"/>
  <c r="B951" i="3"/>
  <c r="C951" i="3" s="1"/>
  <c r="I943" i="3"/>
  <c r="H936" i="3"/>
  <c r="I928" i="3"/>
  <c r="H921" i="3"/>
  <c r="H914" i="3"/>
  <c r="B908" i="3"/>
  <c r="C908" i="3" s="1"/>
  <c r="B901" i="3"/>
  <c r="C901" i="3" s="1"/>
  <c r="B894" i="3"/>
  <c r="C894" i="3" s="1"/>
  <c r="B887" i="3"/>
  <c r="C887" i="3" s="1"/>
  <c r="B880" i="3"/>
  <c r="C880" i="3" s="1"/>
  <c r="I872" i="3"/>
  <c r="I865" i="3"/>
  <c r="H858" i="3"/>
  <c r="B851" i="3"/>
  <c r="C851" i="3" s="1"/>
  <c r="B844" i="3"/>
  <c r="C844" i="3" s="1"/>
  <c r="B837" i="3"/>
  <c r="C837" i="3" s="1"/>
  <c r="B830" i="3"/>
  <c r="C830" i="3" s="1"/>
  <c r="B823" i="3"/>
  <c r="C823" i="3" s="1"/>
  <c r="B816" i="3"/>
  <c r="C816" i="3" s="1"/>
  <c r="B809" i="3"/>
  <c r="C809" i="3" s="1"/>
  <c r="B802" i="3"/>
  <c r="C802" i="3" s="1"/>
  <c r="B794" i="3"/>
  <c r="C794" i="3" s="1"/>
  <c r="B787" i="3"/>
  <c r="C787" i="3" s="1"/>
  <c r="H780" i="3"/>
  <c r="H773" i="3"/>
  <c r="H766" i="3"/>
  <c r="H759" i="3"/>
  <c r="H752" i="3"/>
  <c r="H745" i="3"/>
  <c r="B738" i="3"/>
  <c r="C738" i="3" s="1"/>
  <c r="B731" i="3"/>
  <c r="C731" i="3" s="1"/>
  <c r="B724" i="3"/>
  <c r="C724" i="3" s="1"/>
  <c r="B717" i="3"/>
  <c r="C717" i="3" s="1"/>
  <c r="B710" i="3"/>
  <c r="C710" i="3" s="1"/>
  <c r="B703" i="3"/>
  <c r="C703" i="3" s="1"/>
  <c r="B696" i="3"/>
  <c r="C696" i="3" s="1"/>
  <c r="B689" i="3"/>
  <c r="C689" i="3" s="1"/>
  <c r="B682" i="3"/>
  <c r="C682" i="3" s="1"/>
  <c r="B675" i="3"/>
  <c r="C675" i="3" s="1"/>
  <c r="B668" i="3"/>
  <c r="C668" i="3" s="1"/>
  <c r="B661" i="3"/>
  <c r="C661" i="3" s="1"/>
  <c r="H653" i="3"/>
  <c r="H646" i="3"/>
  <c r="H639" i="3"/>
  <c r="H632" i="3"/>
  <c r="H625" i="3"/>
  <c r="H618" i="3"/>
  <c r="H611" i="3"/>
  <c r="H604" i="3"/>
  <c r="H597" i="3"/>
  <c r="H590" i="3"/>
  <c r="H583" i="3"/>
  <c r="H576" i="3"/>
  <c r="I569" i="3"/>
  <c r="I562" i="3"/>
  <c r="I555" i="3"/>
  <c r="I547" i="3"/>
  <c r="I540" i="3"/>
  <c r="I533" i="3"/>
  <c r="I526" i="3"/>
  <c r="B520" i="3"/>
  <c r="C520" i="3" s="1"/>
  <c r="H513" i="3"/>
  <c r="I506" i="3"/>
  <c r="H499" i="3"/>
  <c r="I492" i="3"/>
  <c r="B486" i="3"/>
  <c r="C486" i="3" s="1"/>
  <c r="H479" i="3"/>
  <c r="I472" i="3"/>
  <c r="I465" i="3"/>
  <c r="I1066" i="3"/>
  <c r="H1010" i="3"/>
  <c r="I1023" i="3"/>
  <c r="I1031" i="3"/>
  <c r="B1039" i="3"/>
  <c r="C1039" i="3" s="1"/>
  <c r="H1046" i="3"/>
  <c r="I1054" i="3"/>
  <c r="B1062" i="3"/>
  <c r="C1062" i="3" s="1"/>
  <c r="I6" i="3"/>
  <c r="H13" i="3"/>
  <c r="B20" i="3"/>
  <c r="C20" i="3" s="1"/>
  <c r="I26" i="3"/>
  <c r="H33" i="3"/>
  <c r="H39" i="3"/>
  <c r="B46" i="3"/>
  <c r="C46" i="3" s="1"/>
  <c r="I52" i="3"/>
  <c r="H59" i="3"/>
  <c r="B66" i="3"/>
  <c r="C66" i="3" s="1"/>
  <c r="I72" i="3"/>
  <c r="H79" i="3"/>
  <c r="B86" i="3"/>
  <c r="C86" i="3" s="1"/>
  <c r="I92" i="3"/>
  <c r="H99" i="3"/>
  <c r="B106" i="3"/>
  <c r="C106" i="3" s="1"/>
  <c r="I112" i="3"/>
  <c r="H119" i="3"/>
  <c r="B126" i="3"/>
  <c r="C126" i="3" s="1"/>
  <c r="I132" i="3"/>
  <c r="H139" i="3"/>
  <c r="B146" i="3"/>
  <c r="C146" i="3" s="1"/>
  <c r="I152" i="3"/>
  <c r="H159" i="3"/>
  <c r="B166" i="3"/>
  <c r="C166" i="3" s="1"/>
  <c r="I172" i="3"/>
  <c r="H179" i="3"/>
  <c r="B186" i="3"/>
  <c r="C186" i="3" s="1"/>
  <c r="I192" i="3"/>
  <c r="H199" i="3"/>
  <c r="B206" i="3"/>
  <c r="C206" i="3" s="1"/>
  <c r="I212" i="3"/>
  <c r="H219" i="3"/>
  <c r="B226" i="3"/>
  <c r="C226" i="3" s="1"/>
  <c r="I232" i="3"/>
  <c r="H239" i="3"/>
  <c r="B246" i="3"/>
  <c r="C246" i="3" s="1"/>
  <c r="I252" i="3"/>
  <c r="H259" i="3"/>
  <c r="B266" i="3"/>
  <c r="C266" i="3" s="1"/>
  <c r="I272" i="3"/>
  <c r="H279" i="3"/>
  <c r="B286" i="3"/>
  <c r="C286" i="3" s="1"/>
  <c r="I292" i="3"/>
  <c r="H299" i="3"/>
  <c r="B306" i="3"/>
  <c r="C306" i="3" s="1"/>
  <c r="I312" i="3"/>
  <c r="B319" i="3"/>
  <c r="C319" i="3" s="1"/>
  <c r="I325" i="3"/>
  <c r="H332" i="3"/>
  <c r="B339" i="3"/>
  <c r="C339" i="3" s="1"/>
  <c r="B346" i="3"/>
  <c r="C346" i="3" s="1"/>
  <c r="I352" i="3"/>
  <c r="H359" i="3"/>
  <c r="B366" i="3"/>
  <c r="C366" i="3" s="1"/>
  <c r="I372" i="3"/>
  <c r="H379" i="3"/>
  <c r="B386" i="3"/>
  <c r="C386" i="3" s="1"/>
  <c r="I392" i="3"/>
  <c r="H399" i="3"/>
  <c r="B406" i="3"/>
  <c r="C406" i="3" s="1"/>
  <c r="I412" i="3"/>
  <c r="H419" i="3"/>
  <c r="B426" i="3"/>
  <c r="C426" i="3" s="1"/>
  <c r="I432" i="3"/>
  <c r="H439" i="3"/>
  <c r="B446" i="3"/>
  <c r="C446" i="3" s="1"/>
  <c r="I452" i="3"/>
  <c r="H459" i="3"/>
  <c r="H466" i="3"/>
  <c r="I473" i="3"/>
  <c r="I480" i="3"/>
  <c r="I487" i="3"/>
  <c r="I494" i="3"/>
  <c r="I501" i="3"/>
  <c r="H509" i="3"/>
  <c r="H516" i="3"/>
  <c r="H523" i="3"/>
  <c r="H530" i="3"/>
  <c r="B538" i="3"/>
  <c r="C538" i="3" s="1"/>
  <c r="H545" i="3"/>
  <c r="H553" i="3"/>
  <c r="B561" i="3"/>
  <c r="C561" i="3" s="1"/>
  <c r="H568" i="3"/>
  <c r="H575" i="3"/>
  <c r="I582" i="3"/>
  <c r="B590" i="3"/>
  <c r="C590" i="3" s="1"/>
  <c r="I597" i="3"/>
  <c r="B605" i="3"/>
  <c r="C605" i="3" s="1"/>
  <c r="H612" i="3"/>
  <c r="I619" i="3"/>
  <c r="B627" i="3"/>
  <c r="C627" i="3" s="1"/>
  <c r="H634" i="3"/>
  <c r="I641" i="3"/>
  <c r="B649" i="3"/>
  <c r="C649" i="3" s="1"/>
  <c r="H656" i="3"/>
  <c r="H664" i="3"/>
  <c r="B672" i="3"/>
  <c r="C672" i="3" s="1"/>
  <c r="H679" i="3"/>
  <c r="I686" i="3"/>
  <c r="B694" i="3"/>
  <c r="C694" i="3" s="1"/>
  <c r="H701" i="3"/>
  <c r="I708" i="3"/>
  <c r="B716" i="3"/>
  <c r="C716" i="3" s="1"/>
  <c r="H723" i="3"/>
  <c r="I730" i="3"/>
  <c r="I738" i="3"/>
  <c r="B746" i="3"/>
  <c r="C746" i="3" s="1"/>
  <c r="H753" i="3"/>
  <c r="I760" i="3"/>
  <c r="B768" i="3"/>
  <c r="C768" i="3" s="1"/>
  <c r="H775" i="3"/>
  <c r="I782" i="3"/>
  <c r="I789" i="3"/>
  <c r="H797" i="3"/>
  <c r="H806" i="3"/>
  <c r="B814" i="3"/>
  <c r="C814" i="3" s="1"/>
  <c r="I821" i="3"/>
  <c r="H829" i="3"/>
  <c r="H837" i="3"/>
  <c r="B845" i="3"/>
  <c r="C845" i="3" s="1"/>
  <c r="H853" i="3"/>
  <c r="I861" i="3"/>
  <c r="H869" i="3"/>
  <c r="B877" i="3"/>
  <c r="C877" i="3" s="1"/>
  <c r="I884" i="3"/>
  <c r="H892" i="3"/>
  <c r="H900" i="3"/>
  <c r="H908" i="3"/>
  <c r="H915" i="3"/>
  <c r="I923" i="3"/>
  <c r="I931" i="3"/>
  <c r="B940" i="3"/>
  <c r="C940" i="3" s="1"/>
  <c r="B948" i="3"/>
  <c r="C948" i="3" s="1"/>
  <c r="H956" i="3"/>
  <c r="H964" i="3"/>
  <c r="I972" i="3"/>
  <c r="I982" i="3"/>
  <c r="B991" i="3"/>
  <c r="C991" i="3" s="1"/>
  <c r="B13" i="4" s="1"/>
  <c r="H998" i="3"/>
  <c r="H1005" i="3"/>
  <c r="B1012" i="3"/>
  <c r="C1012" i="3" s="1"/>
  <c r="B1025" i="3"/>
  <c r="C1025" i="3" s="1"/>
  <c r="H1033" i="3"/>
  <c r="B1040" i="3"/>
  <c r="C1040" i="3" s="1"/>
  <c r="B1048" i="3"/>
  <c r="C1048" i="3" s="1"/>
  <c r="B1056" i="3"/>
  <c r="C1056" i="3" s="1"/>
  <c r="B1064" i="3"/>
  <c r="C1064" i="3" s="1"/>
  <c r="H739" i="3"/>
  <c r="I746" i="3"/>
  <c r="B754" i="3"/>
  <c r="C754" i="3" s="1"/>
  <c r="H761" i="3"/>
  <c r="I768" i="3"/>
  <c r="B776" i="3"/>
  <c r="C776" i="3" s="1"/>
  <c r="H790" i="3"/>
  <c r="H798" i="3"/>
  <c r="B807" i="3"/>
  <c r="C807" i="3" s="1"/>
  <c r="I814" i="3"/>
  <c r="H822" i="3"/>
  <c r="H830" i="3"/>
  <c r="B838" i="3"/>
  <c r="C838" i="3" s="1"/>
  <c r="H846" i="3"/>
  <c r="B854" i="3"/>
  <c r="C854" i="3" s="1"/>
  <c r="H862" i="3"/>
  <c r="B870" i="3"/>
  <c r="C870" i="3" s="1"/>
  <c r="I877" i="3"/>
  <c r="H885" i="3"/>
  <c r="H893" i="3"/>
  <c r="H901" i="3"/>
  <c r="B909" i="3"/>
  <c r="C909" i="3" s="1"/>
  <c r="H916" i="3"/>
  <c r="H924" i="3"/>
  <c r="I932" i="3"/>
  <c r="I940" i="3"/>
  <c r="I948" i="3"/>
  <c r="B957" i="3"/>
  <c r="C957" i="3" s="1"/>
  <c r="B965" i="3"/>
  <c r="C965" i="3" s="1"/>
  <c r="B974" i="3"/>
  <c r="C974" i="3" s="1"/>
  <c r="H983" i="3"/>
  <c r="B992" i="3"/>
  <c r="C992" i="3" s="1"/>
  <c r="B999" i="3"/>
  <c r="C999" i="3" s="1"/>
  <c r="I1012" i="3"/>
  <c r="H1019" i="3"/>
  <c r="I1025" i="3"/>
  <c r="I1040" i="3"/>
  <c r="I1048" i="3"/>
  <c r="B1057" i="3"/>
  <c r="C1057" i="3" s="1"/>
  <c r="B1065" i="3"/>
  <c r="C1065" i="3" s="1"/>
  <c r="B9" i="4"/>
  <c r="P1753" i="2"/>
  <c r="B84" i="4"/>
  <c r="O2014" i="2"/>
  <c r="P2570" i="2"/>
  <c r="O1967" i="2"/>
  <c r="P1371" i="2"/>
  <c r="P2458" i="2"/>
  <c r="P1172" i="2"/>
  <c r="O2256" i="2"/>
  <c r="O1852" i="2"/>
  <c r="P2299" i="2"/>
  <c r="O2790" i="2"/>
  <c r="O1141" i="2"/>
  <c r="O2603" i="2"/>
  <c r="P2628" i="2"/>
  <c r="P1858" i="2"/>
  <c r="P1843" i="2"/>
  <c r="P2444" i="2"/>
  <c r="P2763" i="2"/>
  <c r="P1165" i="2"/>
  <c r="P1628" i="2"/>
  <c r="P1975" i="2"/>
  <c r="O2190" i="2"/>
  <c r="P2983" i="2"/>
  <c r="P1453" i="2"/>
  <c r="O2123" i="2"/>
  <c r="P2856" i="2"/>
  <c r="P1274" i="2"/>
  <c r="O1929" i="2"/>
  <c r="O2132" i="2"/>
  <c r="P2423" i="2"/>
  <c r="O2921" i="2"/>
  <c r="B22" i="4"/>
  <c r="P1207" i="2"/>
  <c r="O2140" i="2"/>
  <c r="P2427" i="2"/>
  <c r="P2929" i="2"/>
  <c r="B94" i="4"/>
  <c r="B108" i="4"/>
  <c r="O2553" i="2"/>
  <c r="P1717" i="2"/>
  <c r="O1796" i="2"/>
  <c r="O1646" i="2"/>
  <c r="P1804" i="2"/>
  <c r="P2359" i="2"/>
  <c r="P1686" i="2"/>
  <c r="O2200" i="2"/>
  <c r="P1595" i="2"/>
  <c r="O2916" i="2"/>
  <c r="O1460" i="2"/>
  <c r="O2181" i="2"/>
  <c r="P1884" i="2"/>
  <c r="P1361" i="2"/>
  <c r="P1536" i="2"/>
  <c r="P1782" i="2"/>
  <c r="P1813" i="2"/>
  <c r="O2083" i="2"/>
  <c r="P2829" i="2"/>
  <c r="O1167" i="2"/>
  <c r="O2138" i="2"/>
  <c r="P1350" i="2"/>
  <c r="P2052" i="2"/>
  <c r="P2131" i="2"/>
  <c r="P1113" i="2"/>
  <c r="P1243" i="2"/>
  <c r="P1569" i="2"/>
  <c r="P1708" i="2"/>
  <c r="P1795" i="2"/>
  <c r="P2663" i="2"/>
  <c r="O1117" i="2"/>
  <c r="P1168" i="2"/>
  <c r="P1247" i="2"/>
  <c r="O2120" i="2"/>
  <c r="P2278" i="2"/>
  <c r="O2572" i="2"/>
  <c r="P1188" i="2"/>
  <c r="O1490" i="2"/>
  <c r="O1776" i="2"/>
  <c r="P2469" i="2"/>
  <c r="P2620" i="2"/>
  <c r="P2819" i="2"/>
  <c r="O1320" i="2"/>
  <c r="P1320" i="2"/>
  <c r="O2800" i="2"/>
  <c r="P2800" i="2"/>
  <c r="P2007" i="2"/>
  <c r="O2007" i="2"/>
  <c r="A1466" i="3"/>
  <c r="F1466" i="3" s="1"/>
  <c r="P1285" i="2"/>
  <c r="O1285" i="2"/>
  <c r="O2031" i="2"/>
  <c r="P2031" i="2"/>
  <c r="O1956" i="2"/>
  <c r="P1956" i="2"/>
  <c r="A1555" i="3"/>
  <c r="I1555" i="3" s="1"/>
  <c r="A1392" i="3"/>
  <c r="I1392" i="3" s="1"/>
  <c r="A1293" i="3"/>
  <c r="J1293" i="3" s="1"/>
  <c r="A1252" i="3"/>
  <c r="B1252" i="3" s="1"/>
  <c r="C1252" i="3" s="1"/>
  <c r="A1178" i="3"/>
  <c r="H1178" i="3" s="1"/>
  <c r="A1794" i="3"/>
  <c r="B1794" i="3" s="1"/>
  <c r="C1794" i="3" s="1"/>
  <c r="L23" i="6"/>
  <c r="O1696" i="2"/>
  <c r="P1696" i="2"/>
  <c r="O2981" i="2"/>
  <c r="P2981" i="2"/>
  <c r="P1593" i="2"/>
  <c r="O1593" i="2"/>
  <c r="P2354" i="2"/>
  <c r="O2354" i="2"/>
  <c r="P2918" i="2"/>
  <c r="O2918" i="2"/>
  <c r="O2215" i="2"/>
  <c r="P2215" i="2"/>
  <c r="A1098" i="3"/>
  <c r="I1098" i="3" s="1"/>
  <c r="O2875" i="2"/>
  <c r="P2875" i="2"/>
  <c r="A1153" i="3"/>
  <c r="P1223" i="2"/>
  <c r="O1575" i="2"/>
  <c r="P1650" i="2"/>
  <c r="P1823" i="2"/>
  <c r="P2363" i="2"/>
  <c r="O2493" i="2"/>
  <c r="P1295" i="2"/>
  <c r="O1430" i="2"/>
  <c r="O1501" i="2"/>
  <c r="O2147" i="2"/>
  <c r="O2632" i="2"/>
  <c r="O2775" i="2"/>
  <c r="O2897" i="2"/>
  <c r="O1525" i="2"/>
  <c r="P1935" i="2"/>
  <c r="P2163" i="2"/>
  <c r="O2617" i="2"/>
  <c r="P2400" i="2"/>
  <c r="O2467" i="2"/>
  <c r="P2672" i="2"/>
  <c r="P2956" i="2"/>
  <c r="P2740" i="2"/>
  <c r="O2326" i="2"/>
  <c r="O2381" i="2"/>
  <c r="O2543" i="2"/>
  <c r="A1199" i="3"/>
  <c r="F1199" i="3" s="1"/>
  <c r="O1530" i="2"/>
  <c r="O2090" i="2"/>
  <c r="P2223" i="2"/>
  <c r="P2330" i="2"/>
  <c r="O1128" i="2"/>
  <c r="O1653" i="2"/>
  <c r="O2781" i="2"/>
  <c r="O2938" i="2"/>
  <c r="P1456" i="2"/>
  <c r="P1657" i="2"/>
  <c r="P1949" i="2"/>
  <c r="P2173" i="2"/>
  <c r="P2844" i="2"/>
  <c r="A1086" i="3"/>
  <c r="G1086" i="3" s="1"/>
  <c r="A1114" i="3"/>
  <c r="G1114" i="3" s="1"/>
  <c r="A1143" i="3"/>
  <c r="H1143" i="3" s="1"/>
  <c r="A1165" i="3"/>
  <c r="B1165" i="3" s="1"/>
  <c r="C1165" i="3" s="1"/>
  <c r="A1190" i="3"/>
  <c r="F1190" i="3" s="1"/>
  <c r="K1190" i="3" s="1"/>
  <c r="A1369" i="3"/>
  <c r="F1369" i="3" s="1"/>
  <c r="K1369" i="3" s="1"/>
  <c r="A1442" i="3"/>
  <c r="H1442" i="3" s="1"/>
  <c r="A1621" i="3"/>
  <c r="I1621" i="3" s="1"/>
  <c r="A1750" i="3"/>
  <c r="B1750" i="3" s="1"/>
  <c r="C1750" i="3" s="1"/>
  <c r="A1087" i="3"/>
  <c r="H1087" i="3" s="1"/>
  <c r="A1115" i="3"/>
  <c r="H1115" i="3" s="1"/>
  <c r="A1166" i="3"/>
  <c r="I1166" i="3" s="1"/>
  <c r="A1242" i="3"/>
  <c r="B1242" i="3" s="1"/>
  <c r="C1242" i="3" s="1"/>
  <c r="A1324" i="3"/>
  <c r="F1324" i="3" s="1"/>
  <c r="K1324" i="3" s="1"/>
  <c r="A1380" i="3"/>
  <c r="J1380" i="3" s="1"/>
  <c r="A1443" i="3"/>
  <c r="J1443" i="3" s="1"/>
  <c r="A1635" i="3"/>
  <c r="B1635" i="3" s="1"/>
  <c r="C1635" i="3" s="1"/>
  <c r="A1751" i="3"/>
  <c r="J1751" i="3" s="1"/>
  <c r="A1089" i="3"/>
  <c r="F1089" i="3" s="1"/>
  <c r="A1117" i="3"/>
  <c r="B1117" i="3" s="1"/>
  <c r="C1117" i="3" s="1"/>
  <c r="A1145" i="3"/>
  <c r="F1145" i="3" s="1"/>
  <c r="K1145" i="3" s="1"/>
  <c r="A1168" i="3"/>
  <c r="B1168" i="3" s="1"/>
  <c r="C1168" i="3" s="1"/>
  <c r="A1195" i="3"/>
  <c r="I1195" i="3" s="1"/>
  <c r="A1278" i="3"/>
  <c r="B1278" i="3" s="1"/>
  <c r="C1278" i="3" s="1"/>
  <c r="A1330" i="3"/>
  <c r="I1330" i="3" s="1"/>
  <c r="A1381" i="3"/>
  <c r="J1381" i="3" s="1"/>
  <c r="A1526" i="3"/>
  <c r="B1526" i="3" s="1"/>
  <c r="C1526" i="3" s="1"/>
  <c r="A1637" i="3"/>
  <c r="G1637" i="3" s="1"/>
  <c r="A1764" i="3"/>
  <c r="B1764" i="3" s="1"/>
  <c r="C1764" i="3" s="1"/>
  <c r="A1091" i="3"/>
  <c r="I1091" i="3" s="1"/>
  <c r="A1119" i="3"/>
  <c r="B1119" i="3" s="1"/>
  <c r="C1119" i="3" s="1"/>
  <c r="A1279" i="3"/>
  <c r="H1279" i="3" s="1"/>
  <c r="A1331" i="3"/>
  <c r="J1331" i="3" s="1"/>
  <c r="A1455" i="3"/>
  <c r="H1455" i="3" s="1"/>
  <c r="A1539" i="3"/>
  <c r="J1539" i="3" s="1"/>
  <c r="A1638" i="3"/>
  <c r="B1638" i="3" s="1"/>
  <c r="C1638" i="3" s="1"/>
  <c r="A1768" i="3"/>
  <c r="I1768" i="3" s="1"/>
  <c r="A2088" i="3"/>
  <c r="F2088" i="3" s="1"/>
  <c r="O1970" i="2"/>
  <c r="P1970" i="2"/>
  <c r="A1147" i="3"/>
  <c r="F1147" i="3" s="1"/>
  <c r="K1147" i="3" s="1"/>
  <c r="A1196" i="3"/>
  <c r="F1196" i="3" s="1"/>
  <c r="K1196" i="3" s="1"/>
  <c r="A1249" i="3"/>
  <c r="H1249" i="3" s="1"/>
  <c r="A1280" i="3"/>
  <c r="B1280" i="3" s="1"/>
  <c r="C1280" i="3" s="1"/>
  <c r="A1332" i="3"/>
  <c r="G1332" i="3" s="1"/>
  <c r="A1456" i="3"/>
  <c r="B1456" i="3" s="1"/>
  <c r="C1456" i="3" s="1"/>
  <c r="A1542" i="3"/>
  <c r="J1542" i="3" s="1"/>
  <c r="A1652" i="3"/>
  <c r="H1652" i="3" s="1"/>
  <c r="A1770" i="3"/>
  <c r="H1770" i="3" s="1"/>
  <c r="A1175" i="3"/>
  <c r="H1175" i="3" s="1"/>
  <c r="A1197" i="3"/>
  <c r="A1222" i="3"/>
  <c r="F1222" i="3" s="1"/>
  <c r="K1222" i="3" s="1"/>
  <c r="A1250" i="3"/>
  <c r="H1250" i="3" s="1"/>
  <c r="A1284" i="3"/>
  <c r="H1284" i="3" s="1"/>
  <c r="A1390" i="3"/>
  <c r="I1390" i="3" s="1"/>
  <c r="A1464" i="3"/>
  <c r="J1464" i="3" s="1"/>
  <c r="A1543" i="3"/>
  <c r="F1543" i="3" s="1"/>
  <c r="A1658" i="3"/>
  <c r="H1658" i="3" s="1"/>
  <c r="A1788" i="3"/>
  <c r="I1788" i="3" s="1"/>
  <c r="P1434" i="2"/>
  <c r="A1072" i="3"/>
  <c r="A1097" i="3"/>
  <c r="B1097" i="3" s="1"/>
  <c r="C1097" i="3" s="1"/>
  <c r="A1124" i="3"/>
  <c r="H1124" i="3" s="1"/>
  <c r="A1152" i="3"/>
  <c r="F1152" i="3" s="1"/>
  <c r="K1152" i="3" s="1"/>
  <c r="A1176" i="3"/>
  <c r="B1176" i="3" s="1"/>
  <c r="C1176" i="3" s="1"/>
  <c r="A1198" i="3"/>
  <c r="I1198" i="3" s="1"/>
  <c r="A1287" i="3"/>
  <c r="B1287" i="3" s="1"/>
  <c r="C1287" i="3" s="1"/>
  <c r="A1391" i="3"/>
  <c r="F1391" i="3" s="1"/>
  <c r="K1391" i="3" s="1"/>
  <c r="A1465" i="3"/>
  <c r="J1465" i="3" s="1"/>
  <c r="A1554" i="3"/>
  <c r="G1554" i="3" s="1"/>
  <c r="A1659" i="3"/>
  <c r="H1659" i="3" s="1"/>
  <c r="A1792" i="3"/>
  <c r="F1792" i="3" s="1"/>
  <c r="K1792" i="3" s="1"/>
  <c r="A1099" i="3"/>
  <c r="B1099" i="3" s="1"/>
  <c r="C1099" i="3" s="1"/>
  <c r="A1179" i="3"/>
  <c r="B1179" i="3" s="1"/>
  <c r="C1179" i="3" s="1"/>
  <c r="A1294" i="3"/>
  <c r="H1294" i="3" s="1"/>
  <c r="A1473" i="3"/>
  <c r="I1473" i="3" s="1"/>
  <c r="A1556" i="3"/>
  <c r="B1556" i="3" s="1"/>
  <c r="C1556" i="3" s="1"/>
  <c r="A1675" i="3"/>
  <c r="F1675" i="3" s="1"/>
  <c r="A1810" i="3"/>
  <c r="B1810" i="3" s="1"/>
  <c r="C1810" i="3" s="1"/>
  <c r="O2058" i="2"/>
  <c r="P2058" i="2"/>
  <c r="A1125" i="3"/>
  <c r="I1125" i="3" s="1"/>
  <c r="A1200" i="3"/>
  <c r="H1200" i="3" s="1"/>
  <c r="A1253" i="3"/>
  <c r="I1253" i="3" s="1"/>
  <c r="A1296" i="3"/>
  <c r="F1296" i="3" s="1"/>
  <c r="K1296" i="3" s="1"/>
  <c r="A1404" i="3"/>
  <c r="J1404" i="3" s="1"/>
  <c r="A1568" i="3"/>
  <c r="A1815" i="3"/>
  <c r="H1815" i="3" s="1"/>
  <c r="P1675" i="2"/>
  <c r="A1126" i="3"/>
  <c r="I1126" i="3" s="1"/>
  <c r="A1181" i="3"/>
  <c r="G1181" i="3" s="1"/>
  <c r="A1203" i="3"/>
  <c r="B1203" i="3" s="1"/>
  <c r="C1203" i="3" s="1"/>
  <c r="A1342" i="3"/>
  <c r="I1342" i="3" s="1"/>
  <c r="A1405" i="3"/>
  <c r="G1405" i="3" s="1"/>
  <c r="A1475" i="3"/>
  <c r="J1475" i="3" s="1"/>
  <c r="A1570" i="3"/>
  <c r="G1570" i="3" s="1"/>
  <c r="A1691" i="3"/>
  <c r="J1691" i="3" s="1"/>
  <c r="A1816" i="3"/>
  <c r="B1816" i="3" s="1"/>
  <c r="C1816" i="3" s="1"/>
  <c r="O1416" i="2"/>
  <c r="P1416" i="2"/>
  <c r="O1668" i="2"/>
  <c r="P1668" i="2"/>
  <c r="A1073" i="3"/>
  <c r="I1073" i="3" s="1"/>
  <c r="A1100" i="3"/>
  <c r="H1100" i="3" s="1"/>
  <c r="A1127" i="3"/>
  <c r="I1127" i="3" s="1"/>
  <c r="A1207" i="3"/>
  <c r="G1207" i="3" s="1"/>
  <c r="A1232" i="3"/>
  <c r="B1232" i="3" s="1"/>
  <c r="C1232" i="3" s="1"/>
  <c r="A1257" i="3"/>
  <c r="F1257" i="3" s="1"/>
  <c r="A1300" i="3"/>
  <c r="J1300" i="3" s="1"/>
  <c r="A1344" i="3"/>
  <c r="G1344" i="3" s="1"/>
  <c r="A1571" i="3"/>
  <c r="J1571" i="3" s="1"/>
  <c r="A1693" i="3"/>
  <c r="B1693" i="3" s="1"/>
  <c r="C1693" i="3" s="1"/>
  <c r="A1846" i="3"/>
  <c r="J1846" i="3" s="1"/>
  <c r="A1075" i="3"/>
  <c r="H1075" i="3" s="1"/>
  <c r="A1101" i="3"/>
  <c r="F1101" i="3" s="1"/>
  <c r="A1129" i="3"/>
  <c r="B1129" i="3" s="1"/>
  <c r="C1129" i="3" s="1"/>
  <c r="A1155" i="3"/>
  <c r="H1155" i="3" s="1"/>
  <c r="A1183" i="3"/>
  <c r="B1183" i="3" s="1"/>
  <c r="C1183" i="3" s="1"/>
  <c r="A1263" i="3"/>
  <c r="F1263" i="3" s="1"/>
  <c r="K1263" i="3" s="1"/>
  <c r="A1407" i="3"/>
  <c r="I1407" i="3" s="1"/>
  <c r="A1487" i="3"/>
  <c r="I1487" i="3" s="1"/>
  <c r="A1695" i="3"/>
  <c r="I1695" i="3" s="1"/>
  <c r="A1854" i="3"/>
  <c r="I1854" i="3" s="1"/>
  <c r="A1103" i="3"/>
  <c r="I1103" i="3" s="1"/>
  <c r="A1131" i="3"/>
  <c r="F1131" i="3" s="1"/>
  <c r="K1131" i="3" s="1"/>
  <c r="A1157" i="3"/>
  <c r="A1185" i="3"/>
  <c r="A1233" i="3"/>
  <c r="I1233" i="3" s="1"/>
  <c r="A1308" i="3"/>
  <c r="F1308" i="3" s="1"/>
  <c r="K1308" i="3" s="1"/>
  <c r="A1354" i="3"/>
  <c r="J1354" i="3" s="1"/>
  <c r="A1419" i="3"/>
  <c r="B1419" i="3" s="1"/>
  <c r="C1419" i="3" s="1"/>
  <c r="A1584" i="3"/>
  <c r="I1584" i="3" s="1"/>
  <c r="A1855" i="3"/>
  <c r="H1855" i="3" s="1"/>
  <c r="A1076" i="3"/>
  <c r="F1076" i="3" s="1"/>
  <c r="K1076" i="3" s="1"/>
  <c r="J1076" i="3" s="1"/>
  <c r="A1105" i="3"/>
  <c r="I1105" i="3" s="1"/>
  <c r="A1132" i="3"/>
  <c r="I1132" i="3" s="1"/>
  <c r="A1209" i="3"/>
  <c r="B1209" i="3" s="1"/>
  <c r="C1209" i="3" s="1"/>
  <c r="A1264" i="3"/>
  <c r="I1264" i="3" s="1"/>
  <c r="A1309" i="3"/>
  <c r="F1309" i="3" s="1"/>
  <c r="A1422" i="3"/>
  <c r="G1422" i="3" s="1"/>
  <c r="A1585" i="3"/>
  <c r="J1585" i="3" s="1"/>
  <c r="A1709" i="3"/>
  <c r="I1709" i="3" s="1"/>
  <c r="A1899" i="3"/>
  <c r="A1579" i="3"/>
  <c r="G1579" i="3" s="1"/>
  <c r="A1552" i="3"/>
  <c r="H1552" i="3" s="1"/>
  <c r="A1537" i="3"/>
  <c r="A1521" i="3"/>
  <c r="I1521" i="3" s="1"/>
  <c r="A1496" i="3"/>
  <c r="B1496" i="3" s="1"/>
  <c r="C1496" i="3" s="1"/>
  <c r="A1462" i="3"/>
  <c r="J1462" i="3" s="1"/>
  <c r="A1439" i="3"/>
  <c r="J1439" i="3" s="1"/>
  <c r="A1428" i="3"/>
  <c r="J1428" i="3" s="1"/>
  <c r="A1416" i="3"/>
  <c r="H1416" i="3" s="1"/>
  <c r="A1388" i="3"/>
  <c r="I1388" i="3" s="1"/>
  <c r="A1377" i="3"/>
  <c r="F1377" i="3" s="1"/>
  <c r="A1351" i="3"/>
  <c r="B1351" i="3" s="1"/>
  <c r="C1351" i="3" s="1"/>
  <c r="A1329" i="3"/>
  <c r="I1329" i="3" s="1"/>
  <c r="A1291" i="3"/>
  <c r="J1291" i="3" s="1"/>
  <c r="A1261" i="3"/>
  <c r="J1261" i="3" s="1"/>
  <c r="A1229" i="3"/>
  <c r="B1229" i="3" s="1"/>
  <c r="C1229" i="3" s="1"/>
  <c r="A1220" i="3"/>
  <c r="A1173" i="3"/>
  <c r="F1173" i="3" s="1"/>
  <c r="A1138" i="3"/>
  <c r="H1138" i="3" s="1"/>
  <c r="A1123" i="3"/>
  <c r="A1109" i="3"/>
  <c r="F1109" i="3" s="1"/>
  <c r="K1109" i="3" s="1"/>
  <c r="J1109" i="3" s="1"/>
  <c r="A1096" i="3"/>
  <c r="I1096" i="3" s="1"/>
  <c r="A1082" i="3"/>
  <c r="F1082" i="3" s="1"/>
  <c r="K1082" i="3" s="1"/>
  <c r="J1082" i="3" s="1"/>
  <c r="A1070" i="3"/>
  <c r="I1070" i="3" s="1"/>
  <c r="A1426" i="3"/>
  <c r="B1426" i="3" s="1"/>
  <c r="C1426" i="3" s="1"/>
  <c r="A1414" i="3"/>
  <c r="I1414" i="3" s="1"/>
  <c r="A1401" i="3"/>
  <c r="J1401" i="3" s="1"/>
  <c r="A1349" i="3"/>
  <c r="H1349" i="3" s="1"/>
  <c r="A1327" i="3"/>
  <c r="J1327" i="3" s="1"/>
  <c r="A1304" i="3"/>
  <c r="J1304" i="3" s="1"/>
  <c r="A1289" i="3"/>
  <c r="B1289" i="3" s="1"/>
  <c r="C1289" i="3" s="1"/>
  <c r="A1274" i="3"/>
  <c r="B1274" i="3" s="1"/>
  <c r="C1274" i="3" s="1"/>
  <c r="A1259" i="3"/>
  <c r="H1259" i="3" s="1"/>
  <c r="A1227" i="3"/>
  <c r="I1227" i="3" s="1"/>
  <c r="A1218" i="3"/>
  <c r="H1218" i="3" s="1"/>
  <c r="A1204" i="3"/>
  <c r="A1193" i="3"/>
  <c r="A1184" i="3"/>
  <c r="F1184" i="3" s="1"/>
  <c r="K1184" i="3" s="1"/>
  <c r="A1172" i="3"/>
  <c r="A1149" i="3"/>
  <c r="B1149" i="3" s="1"/>
  <c r="C1149" i="3" s="1"/>
  <c r="A1136" i="3"/>
  <c r="B1136" i="3" s="1"/>
  <c r="C1136" i="3" s="1"/>
  <c r="A1094" i="3"/>
  <c r="G1094" i="3" s="1"/>
  <c r="A1080" i="3"/>
  <c r="I1080" i="3" s="1"/>
  <c r="A1069" i="3"/>
  <c r="I1069" i="3" s="1"/>
  <c r="A1217" i="3"/>
  <c r="A1192" i="3"/>
  <c r="H1192" i="3" s="1"/>
  <c r="A1171" i="3"/>
  <c r="B1171" i="3" s="1"/>
  <c r="C1171" i="3" s="1"/>
  <c r="A1148" i="3"/>
  <c r="B1148" i="3" s="1"/>
  <c r="C1148" i="3" s="1"/>
  <c r="A1135" i="3"/>
  <c r="H1135" i="3" s="1"/>
  <c r="A1121" i="3"/>
  <c r="B1121" i="3" s="1"/>
  <c r="C1121" i="3" s="1"/>
  <c r="A1107" i="3"/>
  <c r="F1107" i="3" s="1"/>
  <c r="A1093" i="3"/>
  <c r="F1093" i="3" s="1"/>
  <c r="A1079" i="3"/>
  <c r="H1079" i="3" s="1"/>
  <c r="A1068" i="3"/>
  <c r="A1799" i="3"/>
  <c r="J1799" i="3" s="1"/>
  <c r="A1781" i="3"/>
  <c r="J1781" i="3" s="1"/>
  <c r="A1758" i="3"/>
  <c r="I1758" i="3" s="1"/>
  <c r="A1742" i="3"/>
  <c r="B1742" i="3" s="1"/>
  <c r="C1742" i="3" s="1"/>
  <c r="A1702" i="3"/>
  <c r="B1702" i="3" s="1"/>
  <c r="C1702" i="3" s="1"/>
  <c r="A1683" i="3"/>
  <c r="A1667" i="3"/>
  <c r="J1667" i="3" s="1"/>
  <c r="A1628" i="3"/>
  <c r="J1628" i="3" s="1"/>
  <c r="A1610" i="3"/>
  <c r="G1610" i="3" s="1"/>
  <c r="A1596" i="3"/>
  <c r="I1596" i="3" s="1"/>
  <c r="A1576" i="3"/>
  <c r="J1576" i="3" s="1"/>
  <c r="A1563" i="3"/>
  <c r="J1563" i="3" s="1"/>
  <c r="A1549" i="3"/>
  <c r="I1549" i="3" s="1"/>
  <c r="A1535" i="3"/>
  <c r="I1535" i="3" s="1"/>
  <c r="A1518" i="3"/>
  <c r="H1518" i="3" s="1"/>
  <c r="A1508" i="3"/>
  <c r="A1481" i="3"/>
  <c r="J1481" i="3" s="1"/>
  <c r="A1461" i="3"/>
  <c r="J1461" i="3" s="1"/>
  <c r="A1436" i="3"/>
  <c r="J1436" i="3" s="1"/>
  <c r="A1413" i="3"/>
  <c r="F1413" i="3" s="1"/>
  <c r="A1385" i="3"/>
  <c r="J1385" i="3" s="1"/>
  <c r="A1363" i="3"/>
  <c r="H1363" i="3" s="1"/>
  <c r="A1348" i="3"/>
  <c r="B1348" i="3" s="1"/>
  <c r="C1348" i="3" s="1"/>
  <c r="A1338" i="3"/>
  <c r="H1338" i="3" s="1"/>
  <c r="A1326" i="3"/>
  <c r="G1326" i="3" s="1"/>
  <c r="A1303" i="3"/>
  <c r="I1303" i="3" s="1"/>
  <c r="A1337" i="3"/>
  <c r="F1337" i="3" s="1"/>
  <c r="A1314" i="3"/>
  <c r="J1314" i="3" s="1"/>
  <c r="A1286" i="3"/>
  <c r="J1286" i="3" s="1"/>
  <c r="A1272" i="3"/>
  <c r="B1272" i="3" s="1"/>
  <c r="C1272" i="3" s="1"/>
  <c r="A1256" i="3"/>
  <c r="H1256" i="3" s="1"/>
  <c r="A1245" i="3"/>
  <c r="B1245" i="3" s="1"/>
  <c r="C1245" i="3" s="1"/>
  <c r="A1236" i="3"/>
  <c r="B1236" i="3" s="1"/>
  <c r="C1236" i="3" s="1"/>
  <c r="A1225" i="3"/>
  <c r="H1225" i="3" s="1"/>
  <c r="A1216" i="3"/>
  <c r="F1216" i="3" s="1"/>
  <c r="K1216" i="3" s="1"/>
  <c r="A1191" i="3"/>
  <c r="A1160" i="3"/>
  <c r="A1133" i="3"/>
  <c r="F1133" i="3" s="1"/>
  <c r="A1120" i="3"/>
  <c r="B1120" i="3" s="1"/>
  <c r="C1120" i="3" s="1"/>
  <c r="A1092" i="3"/>
  <c r="G1092" i="3" s="1"/>
  <c r="A1077" i="3"/>
  <c r="F1077" i="3" s="1"/>
  <c r="A1717" i="3"/>
  <c r="H1717" i="3" s="1"/>
  <c r="A1700" i="3"/>
  <c r="I1700" i="3" s="1"/>
  <c r="A1666" i="3"/>
  <c r="G1666" i="3" s="1"/>
  <c r="A1644" i="3"/>
  <c r="G1644" i="3" s="1"/>
  <c r="A1626" i="3"/>
  <c r="A1609" i="3"/>
  <c r="B1609" i="3" s="1"/>
  <c r="C1609" i="3" s="1"/>
  <c r="A1593" i="3"/>
  <c r="B1593" i="3" s="1"/>
  <c r="C1593" i="3" s="1"/>
  <c r="A1548" i="3"/>
  <c r="H1548" i="3" s="1"/>
  <c r="A1533" i="3"/>
  <c r="B1533" i="3" s="1"/>
  <c r="C1533" i="3" s="1"/>
  <c r="A1506" i="3"/>
  <c r="H1506" i="3" s="1"/>
  <c r="A1492" i="3"/>
  <c r="I1492" i="3" s="1"/>
  <c r="A1479" i="3"/>
  <c r="J1479" i="3" s="1"/>
  <c r="A1448" i="3"/>
  <c r="H1448" i="3" s="1"/>
  <c r="A1412" i="3"/>
  <c r="H1412" i="3" s="1"/>
  <c r="A1398" i="3"/>
  <c r="J1398" i="3" s="1"/>
  <c r="A1374" i="3"/>
  <c r="J1374" i="3" s="1"/>
  <c r="A1362" i="3"/>
  <c r="F1362" i="3" s="1"/>
  <c r="K1362" i="3" s="1"/>
  <c r="A1346" i="3"/>
  <c r="I1346" i="3" s="1"/>
  <c r="A1302" i="3"/>
  <c r="G1302" i="3" s="1"/>
  <c r="A1271" i="3"/>
  <c r="B1271" i="3" s="1"/>
  <c r="C1271" i="3" s="1"/>
  <c r="A1224" i="3"/>
  <c r="A1215" i="3"/>
  <c r="H1215" i="3" s="1"/>
  <c r="A1202" i="3"/>
  <c r="G1202" i="3" s="1"/>
  <c r="A1170" i="3"/>
  <c r="I1170" i="3" s="1"/>
  <c r="A1159" i="3"/>
  <c r="I1159" i="3" s="1"/>
  <c r="A1158" i="3"/>
  <c r="F1158" i="3" s="1"/>
  <c r="K1158" i="3" s="1"/>
  <c r="A1146" i="3"/>
  <c r="I1146" i="3" s="1"/>
  <c r="A1104" i="3"/>
  <c r="G1104" i="3" s="1"/>
  <c r="A1943" i="3"/>
  <c r="B1943" i="3" s="1"/>
  <c r="C1943" i="3" s="1"/>
  <c r="A1867" i="3"/>
  <c r="I1867" i="3" s="1"/>
  <c r="A1775" i="3"/>
  <c r="B1775" i="3" s="1"/>
  <c r="C1775" i="3" s="1"/>
  <c r="A1736" i="3"/>
  <c r="I1736" i="3" s="1"/>
  <c r="A1679" i="3"/>
  <c r="J1679" i="3" s="1"/>
  <c r="A1642" i="3"/>
  <c r="J1642" i="3" s="1"/>
  <c r="A1624" i="3"/>
  <c r="G1624" i="3" s="1"/>
  <c r="A1607" i="3"/>
  <c r="J1607" i="3" s="1"/>
  <c r="A1590" i="3"/>
  <c r="H1590" i="3" s="1"/>
  <c r="A1560" i="3"/>
  <c r="B1560" i="3" s="1"/>
  <c r="C1560" i="3" s="1"/>
  <c r="A1531" i="3"/>
  <c r="G1531" i="3" s="1"/>
  <c r="A1517" i="3"/>
  <c r="I1517" i="3" s="1"/>
  <c r="A1490" i="3"/>
  <c r="I1490" i="3" s="1"/>
  <c r="A1470" i="3"/>
  <c r="F1470" i="3" s="1"/>
  <c r="K1470" i="3" s="1"/>
  <c r="A1446" i="3"/>
  <c r="I1446" i="3" s="1"/>
  <c r="A1433" i="3"/>
  <c r="B1433" i="3" s="1"/>
  <c r="C1433" i="3" s="1"/>
  <c r="A1424" i="3"/>
  <c r="F1424" i="3" s="1"/>
  <c r="K1424" i="3" s="1"/>
  <c r="A1396" i="3"/>
  <c r="G1396" i="3" s="1"/>
  <c r="A1384" i="3"/>
  <c r="F1384" i="3" s="1"/>
  <c r="K1384" i="3" s="1"/>
  <c r="A1373" i="3"/>
  <c r="B1373" i="3" s="1"/>
  <c r="C1373" i="3" s="1"/>
  <c r="A1189" i="3"/>
  <c r="B1189" i="3" s="1"/>
  <c r="C1189" i="3" s="1"/>
  <c r="A1167" i="3"/>
  <c r="I1167" i="3" s="1"/>
  <c r="A1156" i="3"/>
  <c r="B1156" i="3" s="1"/>
  <c r="C1156" i="3" s="1"/>
  <c r="A1130" i="3"/>
  <c r="H1130" i="3" s="1"/>
  <c r="A1118" i="3"/>
  <c r="G1118" i="3" s="1"/>
  <c r="A1102" i="3"/>
  <c r="H1102" i="3" s="1"/>
  <c r="A1090" i="3"/>
  <c r="F1090" i="3" s="1"/>
  <c r="A1824" i="3"/>
  <c r="B1824" i="3" s="1"/>
  <c r="C1824" i="3" s="1"/>
  <c r="A1772" i="3"/>
  <c r="B1772" i="3" s="1"/>
  <c r="C1772" i="3" s="1"/>
  <c r="A1755" i="3"/>
  <c r="F1755" i="3" s="1"/>
  <c r="K1755" i="3" s="1"/>
  <c r="A1735" i="3"/>
  <c r="H1735" i="3" s="1"/>
  <c r="A1713" i="3"/>
  <c r="B1713" i="3" s="1"/>
  <c r="C1713" i="3" s="1"/>
  <c r="A1697" i="3"/>
  <c r="J1697" i="3" s="1"/>
  <c r="A1662" i="3"/>
  <c r="B1662" i="3" s="1"/>
  <c r="C1662" i="3" s="1"/>
  <c r="A1589" i="3"/>
  <c r="F1589" i="3" s="1"/>
  <c r="A1546" i="3"/>
  <c r="H1546" i="3" s="1"/>
  <c r="A1529" i="3"/>
  <c r="F1529" i="3" s="1"/>
  <c r="A1503" i="3"/>
  <c r="F1503" i="3" s="1"/>
  <c r="K1503" i="3" s="1"/>
  <c r="A1469" i="3"/>
  <c r="G1469" i="3" s="1"/>
  <c r="A1458" i="3"/>
  <c r="F1458" i="3" s="1"/>
  <c r="A1410" i="3"/>
  <c r="F1410" i="3" s="1"/>
  <c r="A1394" i="3"/>
  <c r="J1394" i="3" s="1"/>
  <c r="A1383" i="3"/>
  <c r="F1383" i="3" s="1"/>
  <c r="K1383" i="3" s="1"/>
  <c r="A1372" i="3"/>
  <c r="G1372" i="3" s="1"/>
  <c r="A1359" i="3"/>
  <c r="J1359" i="3" s="1"/>
  <c r="A1334" i="3"/>
  <c r="J1334" i="3" s="1"/>
  <c r="A1323" i="3"/>
  <c r="A1311" i="3"/>
  <c r="G1311" i="3" s="1"/>
  <c r="A1298" i="3"/>
  <c r="J1298" i="3" s="1"/>
  <c r="A1282" i="3"/>
  <c r="J1282" i="3" s="1"/>
  <c r="A1243" i="3"/>
  <c r="B1243" i="3" s="1"/>
  <c r="C1243" i="3" s="1"/>
  <c r="A1223" i="3"/>
  <c r="G1223" i="3" s="1"/>
  <c r="A1771" i="3"/>
  <c r="H1771" i="3" s="1"/>
  <c r="A1753" i="3"/>
  <c r="B1753" i="3" s="1"/>
  <c r="C1753" i="3" s="1"/>
  <c r="A1732" i="3"/>
  <c r="G1732" i="3" s="1"/>
  <c r="A1711" i="3"/>
  <c r="J1711" i="3" s="1"/>
  <c r="A1696" i="3"/>
  <c r="F1696" i="3" s="1"/>
  <c r="A1676" i="3"/>
  <c r="I1676" i="3" s="1"/>
  <c r="A1660" i="3"/>
  <c r="I1660" i="3" s="1"/>
  <c r="A1639" i="3"/>
  <c r="J1639" i="3" s="1"/>
  <c r="A1622" i="3"/>
  <c r="G1622" i="3" s="1"/>
  <c r="A1587" i="3"/>
  <c r="J1587" i="3" s="1"/>
  <c r="A1572" i="3"/>
  <c r="I1572" i="3" s="1"/>
  <c r="A1557" i="3"/>
  <c r="F1557" i="3" s="1"/>
  <c r="K1557" i="3" s="1"/>
  <c r="A1544" i="3"/>
  <c r="I1544" i="3" s="1"/>
  <c r="A1527" i="3"/>
  <c r="H1527" i="3" s="1"/>
  <c r="A1515" i="3"/>
  <c r="G1515" i="3" s="1"/>
  <c r="A1488" i="3"/>
  <c r="F1488" i="3" s="1"/>
  <c r="A1476" i="3"/>
  <c r="B1476" i="3" s="1"/>
  <c r="C1476" i="3" s="1"/>
  <c r="A1467" i="3"/>
  <c r="J1467" i="3" s="1"/>
  <c r="A1444" i="3"/>
  <c r="J1444" i="3" s="1"/>
  <c r="A1408" i="3"/>
  <c r="G1408" i="3" s="1"/>
  <c r="A1370" i="3"/>
  <c r="I1370" i="3" s="1"/>
  <c r="A1357" i="3"/>
  <c r="F1357" i="3" s="1"/>
  <c r="A1343" i="3"/>
  <c r="G1343" i="3" s="1"/>
  <c r="A1321" i="3"/>
  <c r="J1321" i="3" s="1"/>
  <c r="A1310" i="3"/>
  <c r="G1310" i="3" s="1"/>
  <c r="A1406" i="3"/>
  <c r="G1406" i="3" s="1"/>
  <c r="A1382" i="3"/>
  <c r="H1382" i="3" s="1"/>
  <c r="A1355" i="3"/>
  <c r="I1355" i="3" s="1"/>
  <c r="A1341" i="3"/>
  <c r="B1341" i="3" s="1"/>
  <c r="C1341" i="3" s="1"/>
  <c r="A1295" i="3"/>
  <c r="B1295" i="3" s="1"/>
  <c r="C1295" i="3" s="1"/>
  <c r="A1277" i="3"/>
  <c r="F1277" i="3" s="1"/>
  <c r="A1251" i="3"/>
  <c r="G1251" i="3" s="1"/>
  <c r="A1240" i="3"/>
  <c r="F1240" i="3" s="1"/>
  <c r="A1231" i="3"/>
  <c r="B1231" i="3" s="1"/>
  <c r="C1231" i="3" s="1"/>
  <c r="A1221" i="3"/>
  <c r="A1208" i="3"/>
  <c r="F1208" i="3" s="1"/>
  <c r="K1208" i="3" s="1"/>
  <c r="A1177" i="3"/>
  <c r="A1084" i="3"/>
  <c r="H1084" i="3" s="1"/>
  <c r="A2382" i="3"/>
  <c r="F2382" i="3" s="1"/>
  <c r="A1904" i="3"/>
  <c r="I1904" i="3" s="1"/>
  <c r="A1849" i="3"/>
  <c r="H1849" i="3" s="1"/>
  <c r="A1811" i="3"/>
  <c r="J1811" i="3" s="1"/>
  <c r="A1789" i="3"/>
  <c r="I1789" i="3" s="1"/>
  <c r="A1765" i="3"/>
  <c r="B1765" i="3" s="1"/>
  <c r="C1765" i="3" s="1"/>
  <c r="A1728" i="3"/>
  <c r="I1728" i="3" s="1"/>
  <c r="A1707" i="3"/>
  <c r="J1707" i="3" s="1"/>
  <c r="A1692" i="3"/>
  <c r="B1692" i="3" s="1"/>
  <c r="C1692" i="3" s="1"/>
  <c r="A1673" i="3"/>
  <c r="B1673" i="3" s="1"/>
  <c r="C1673" i="3" s="1"/>
  <c r="A1654" i="3"/>
  <c r="J1654" i="3" s="1"/>
  <c r="A1617" i="3"/>
  <c r="B1617" i="3" s="1"/>
  <c r="C1617" i="3" s="1"/>
  <c r="A1581" i="3"/>
  <c r="H1581" i="3" s="1"/>
  <c r="A1540" i="3"/>
  <c r="J1540" i="3" s="1"/>
  <c r="A1524" i="3"/>
  <c r="J1524" i="3" s="1"/>
  <c r="A1498" i="3"/>
  <c r="I1498" i="3" s="1"/>
  <c r="A1485" i="3"/>
  <c r="H1485" i="3" s="1"/>
  <c r="A1453" i="3"/>
  <c r="F1453" i="3" s="1"/>
  <c r="A1441" i="3"/>
  <c r="G1441" i="3" s="1"/>
  <c r="A1431" i="3"/>
  <c r="G1431" i="3" s="1"/>
  <c r="A1420" i="3"/>
  <c r="I1420" i="3" s="1"/>
  <c r="A2169" i="3"/>
  <c r="I2169" i="3" s="1"/>
  <c r="A1896" i="3"/>
  <c r="F1896" i="3" s="1"/>
  <c r="K1896" i="3" s="1"/>
  <c r="A1845" i="3"/>
  <c r="J1845" i="3" s="1"/>
  <c r="A1808" i="3"/>
  <c r="I1808" i="3" s="1"/>
  <c r="A1787" i="3"/>
  <c r="I1787" i="3" s="1"/>
  <c r="A1725" i="3"/>
  <c r="A1690" i="3"/>
  <c r="I1690" i="3" s="1"/>
  <c r="A1651" i="3"/>
  <c r="B1651" i="3" s="1"/>
  <c r="C1651" i="3" s="1"/>
  <c r="A1580" i="3"/>
  <c r="H1580" i="3" s="1"/>
  <c r="A1567" i="3"/>
  <c r="G1567" i="3" s="1"/>
  <c r="A1538" i="3"/>
  <c r="I1538" i="3" s="1"/>
  <c r="A1523" i="3"/>
  <c r="H1523" i="3" s="1"/>
  <c r="A1510" i="3"/>
  <c r="F1510" i="3" s="1"/>
  <c r="K1510" i="3" s="1"/>
  <c r="A1497" i="3"/>
  <c r="I1497" i="3" s="1"/>
  <c r="A1484" i="3"/>
  <c r="F1484" i="3" s="1"/>
  <c r="K1484" i="3" s="1"/>
  <c r="A1463" i="3"/>
  <c r="I1463" i="3" s="1"/>
  <c r="A1452" i="3"/>
  <c r="G1452" i="3" s="1"/>
  <c r="A1430" i="3"/>
  <c r="B1430" i="3" s="1"/>
  <c r="C1430" i="3" s="1"/>
  <c r="A1418" i="3"/>
  <c r="J1418" i="3" s="1"/>
  <c r="A1389" i="3"/>
  <c r="I1389" i="3" s="1"/>
  <c r="A1379" i="3"/>
  <c r="H1379" i="3" s="1"/>
  <c r="A1365" i="3"/>
  <c r="J1365" i="3" s="1"/>
  <c r="A1353" i="3"/>
  <c r="G1353" i="3" s="1"/>
  <c r="A1318" i="3"/>
  <c r="H1318" i="3" s="1"/>
  <c r="A1307" i="3"/>
  <c r="H1307" i="3" s="1"/>
  <c r="A1292" i="3"/>
  <c r="A1276" i="3"/>
  <c r="H1276" i="3" s="1"/>
  <c r="A1206" i="3"/>
  <c r="I1206" i="3" s="1"/>
  <c r="A1194" i="3"/>
  <c r="H1194" i="3" s="1"/>
  <c r="A1174" i="3"/>
  <c r="A1161" i="3"/>
  <c r="H1161" i="3" s="1"/>
  <c r="A1151" i="3"/>
  <c r="B1151" i="3" s="1"/>
  <c r="C1151" i="3" s="1"/>
  <c r="A1139" i="3"/>
  <c r="G1139" i="3" s="1"/>
  <c r="A1110" i="3"/>
  <c r="H1110" i="3" s="1"/>
  <c r="A1071" i="3"/>
  <c r="H1071" i="3" s="1"/>
  <c r="O1554" i="2"/>
  <c r="O2204" i="2"/>
  <c r="P2204" i="2"/>
  <c r="A1078" i="3"/>
  <c r="G1078" i="3" s="1"/>
  <c r="A1106" i="3"/>
  <c r="B1106" i="3" s="1"/>
  <c r="C1106" i="3" s="1"/>
  <c r="A1134" i="3"/>
  <c r="H1134" i="3" s="1"/>
  <c r="A1210" i="3"/>
  <c r="F1210" i="3" s="1"/>
  <c r="K1210" i="3" s="1"/>
  <c r="A1237" i="3"/>
  <c r="F1237" i="3" s="1"/>
  <c r="A1265" i="3"/>
  <c r="B1265" i="3" s="1"/>
  <c r="C1265" i="3" s="1"/>
  <c r="A1356" i="3"/>
  <c r="H1356" i="3" s="1"/>
  <c r="A1423" i="3"/>
  <c r="B1423" i="3" s="1"/>
  <c r="C1423" i="3" s="1"/>
  <c r="A1500" i="3"/>
  <c r="B1500" i="3" s="1"/>
  <c r="C1500" i="3" s="1"/>
  <c r="A1602" i="3"/>
  <c r="G1602" i="3" s="1"/>
  <c r="A1710" i="3"/>
  <c r="B1710" i="3" s="1"/>
  <c r="C1710" i="3" s="1"/>
  <c r="A1917" i="3"/>
  <c r="J1917" i="3" s="1"/>
  <c r="A1111" i="3"/>
  <c r="B1111" i="3" s="1"/>
  <c r="C1111" i="3" s="1"/>
  <c r="A1140" i="3"/>
  <c r="H1140" i="3" s="1"/>
  <c r="A1162" i="3"/>
  <c r="A1186" i="3"/>
  <c r="G1186" i="3" s="1"/>
  <c r="A1211" i="3"/>
  <c r="B1211" i="3" s="1"/>
  <c r="C1211" i="3" s="1"/>
  <c r="A1266" i="3"/>
  <c r="G1266" i="3" s="1"/>
  <c r="A1360" i="3"/>
  <c r="H1360" i="3" s="1"/>
  <c r="A1501" i="3"/>
  <c r="F1501" i="3" s="1"/>
  <c r="K1501" i="3" s="1"/>
  <c r="A1604" i="3"/>
  <c r="H1604" i="3" s="1"/>
  <c r="A1726" i="3"/>
  <c r="J1726" i="3" s="1"/>
  <c r="A1920" i="3"/>
  <c r="I1920" i="3" s="1"/>
  <c r="A1083" i="3"/>
  <c r="A1112" i="3"/>
  <c r="F1112" i="3" s="1"/>
  <c r="A1141" i="3"/>
  <c r="B1141" i="3" s="1"/>
  <c r="C1141" i="3" s="1"/>
  <c r="A1163" i="3"/>
  <c r="G1163" i="3" s="1"/>
  <c r="A1267" i="3"/>
  <c r="H1267" i="3" s="1"/>
  <c r="A1319" i="3"/>
  <c r="H1319" i="3" s="1"/>
  <c r="A1366" i="3"/>
  <c r="I1366" i="3" s="1"/>
  <c r="A1511" i="3"/>
  <c r="H1511" i="3" s="1"/>
  <c r="A1605" i="3"/>
  <c r="B1605" i="3" s="1"/>
  <c r="C1605" i="3" s="1"/>
  <c r="A1730" i="3"/>
  <c r="J1730" i="3" s="1"/>
  <c r="A2191" i="3"/>
  <c r="F2191" i="3" s="1"/>
  <c r="P2185" i="2"/>
  <c r="O2185" i="2"/>
  <c r="A1187" i="3"/>
  <c r="A1214" i="3"/>
  <c r="B1214" i="3" s="1"/>
  <c r="C1214" i="3" s="1"/>
  <c r="A1239" i="3"/>
  <c r="H1239" i="3" s="1"/>
  <c r="A1320" i="3"/>
  <c r="G1320" i="3" s="1"/>
  <c r="A1367" i="3"/>
  <c r="J1367" i="3" s="1"/>
  <c r="A1432" i="3"/>
  <c r="H1432" i="3" s="1"/>
  <c r="A1513" i="3"/>
  <c r="J1513" i="3" s="1"/>
  <c r="A1616" i="3"/>
  <c r="J1616" i="3" s="1"/>
  <c r="A1731" i="3"/>
  <c r="I1731" i="3" s="1"/>
  <c r="A2110" i="3"/>
  <c r="G2110" i="3" s="1"/>
  <c r="A1085" i="3"/>
  <c r="G1085" i="3" s="1"/>
  <c r="A1113" i="3"/>
  <c r="F1113" i="3" s="1"/>
  <c r="A1142" i="3"/>
  <c r="A1164" i="3"/>
  <c r="A1188" i="3"/>
  <c r="A1241" i="3"/>
  <c r="B1241" i="3" s="1"/>
  <c r="C1241" i="3" s="1"/>
  <c r="A1273" i="3"/>
  <c r="B1273" i="3" s="1"/>
  <c r="C1273" i="3" s="1"/>
  <c r="A1368" i="3"/>
  <c r="G1368" i="3" s="1"/>
  <c r="A1440" i="3"/>
  <c r="H1440" i="3" s="1"/>
  <c r="A1514" i="3"/>
  <c r="I1514" i="3" s="1"/>
  <c r="A1620" i="3"/>
  <c r="B1620" i="3" s="1"/>
  <c r="C1620" i="3" s="1"/>
  <c r="A1749" i="3"/>
  <c r="F1749" i="3" s="1"/>
  <c r="K1749" i="3" s="1"/>
  <c r="A1230" i="3"/>
  <c r="A1248" i="3"/>
  <c r="G1248" i="3" s="1"/>
  <c r="A1262" i="3"/>
  <c r="H1262" i="3" s="1"/>
  <c r="A1275" i="3"/>
  <c r="B1275" i="3" s="1"/>
  <c r="C1275" i="3" s="1"/>
  <c r="A1306" i="3"/>
  <c r="B1306" i="3" s="1"/>
  <c r="C1306" i="3" s="1"/>
  <c r="A1317" i="3"/>
  <c r="F1317" i="3" s="1"/>
  <c r="A1340" i="3"/>
  <c r="G1340" i="3" s="1"/>
  <c r="A1352" i="3"/>
  <c r="B1352" i="3" s="1"/>
  <c r="C1352" i="3" s="1"/>
  <c r="A1378" i="3"/>
  <c r="B1378" i="3" s="1"/>
  <c r="C1378" i="3" s="1"/>
  <c r="A1403" i="3"/>
  <c r="H1403" i="3" s="1"/>
  <c r="A1417" i="3"/>
  <c r="G1417" i="3" s="1"/>
  <c r="A1429" i="3"/>
  <c r="F1429" i="3" s="1"/>
  <c r="A1472" i="3"/>
  <c r="B1472" i="3" s="1"/>
  <c r="C1472" i="3" s="1"/>
  <c r="A1522" i="3"/>
  <c r="B1522" i="3" s="1"/>
  <c r="C1522" i="3" s="1"/>
  <c r="A1553" i="3"/>
  <c r="I1553" i="3" s="1"/>
  <c r="A1566" i="3"/>
  <c r="G1566" i="3" s="1"/>
  <c r="A1600" i="3"/>
  <c r="I1600" i="3" s="1"/>
  <c r="A1634" i="3"/>
  <c r="G1634" i="3" s="1"/>
  <c r="A1689" i="3"/>
  <c r="I1689" i="3" s="1"/>
  <c r="A1706" i="3"/>
  <c r="I1706" i="3" s="1"/>
  <c r="A1724" i="3"/>
  <c r="J1724" i="3" s="1"/>
  <c r="A1747" i="3"/>
  <c r="J1747" i="3" s="1"/>
  <c r="A1763" i="3"/>
  <c r="G1763" i="3" s="1"/>
  <c r="A1786" i="3"/>
  <c r="G1786" i="3" s="1"/>
  <c r="A1807" i="3"/>
  <c r="B1807" i="3" s="1"/>
  <c r="C1807" i="3" s="1"/>
  <c r="A1844" i="3"/>
  <c r="J1844" i="3" s="1"/>
  <c r="A1892" i="3"/>
  <c r="G1892" i="3" s="1"/>
  <c r="A2136" i="3"/>
  <c r="I2136" i="3" s="1"/>
  <c r="A2442" i="3"/>
  <c r="F2442" i="3" s="1"/>
  <c r="O1195" i="2"/>
  <c r="P1273" i="2"/>
  <c r="O1292" i="2"/>
  <c r="O1343" i="2"/>
  <c r="P1433" i="2"/>
  <c r="O1491" i="2"/>
  <c r="P1541" i="2"/>
  <c r="P1756" i="2"/>
  <c r="O1809" i="2"/>
  <c r="P1844" i="2"/>
  <c r="P1887" i="2"/>
  <c r="O1942" i="2"/>
  <c r="O2000" i="2"/>
  <c r="P2023" i="2"/>
  <c r="O2281" i="2"/>
  <c r="O2436" i="2"/>
  <c r="O2490" i="2"/>
  <c r="P2509" i="2"/>
  <c r="P2629" i="2"/>
  <c r="O2743" i="2"/>
  <c r="A1421" i="3"/>
  <c r="I1421" i="3" s="1"/>
  <c r="A1454" i="3"/>
  <c r="J1454" i="3" s="1"/>
  <c r="A1474" i="3"/>
  <c r="G1474" i="3" s="1"/>
  <c r="A1486" i="3"/>
  <c r="B1486" i="3" s="1"/>
  <c r="C1486" i="3" s="1"/>
  <c r="A1499" i="3"/>
  <c r="B1499" i="3" s="1"/>
  <c r="C1499" i="3" s="1"/>
  <c r="A1512" i="3"/>
  <c r="F1512" i="3" s="1"/>
  <c r="K1512" i="3" s="1"/>
  <c r="A1525" i="3"/>
  <c r="B1525" i="3" s="1"/>
  <c r="C1525" i="3" s="1"/>
  <c r="A1541" i="3"/>
  <c r="J1541" i="3" s="1"/>
  <c r="A1583" i="3"/>
  <c r="G1583" i="3" s="1"/>
  <c r="A1618" i="3"/>
  <c r="I1618" i="3" s="1"/>
  <c r="A1656" i="3"/>
  <c r="F1656" i="3" s="1"/>
  <c r="K1656" i="3" s="1"/>
  <c r="A1674" i="3"/>
  <c r="J1674" i="3" s="1"/>
  <c r="A1708" i="3"/>
  <c r="B1708" i="3" s="1"/>
  <c r="C1708" i="3" s="1"/>
  <c r="A1729" i="3"/>
  <c r="G1729" i="3" s="1"/>
  <c r="A1767" i="3"/>
  <c r="I1767" i="3" s="1"/>
  <c r="A1791" i="3"/>
  <c r="B1791" i="3" s="1"/>
  <c r="C1791" i="3" s="1"/>
  <c r="A1813" i="3"/>
  <c r="G1813" i="3" s="1"/>
  <c r="A1850" i="3"/>
  <c r="B1850" i="3" s="1"/>
  <c r="C1850" i="3" s="1"/>
  <c r="A1906" i="3"/>
  <c r="G1906" i="3" s="1"/>
  <c r="A2468" i="3"/>
  <c r="B2468" i="3" s="1"/>
  <c r="C2468" i="3" s="1"/>
  <c r="O2383" i="2"/>
  <c r="P2518" i="2"/>
  <c r="P2837" i="2"/>
  <c r="P2860" i="2"/>
  <c r="O2907" i="2"/>
  <c r="A1795" i="3"/>
  <c r="H1795" i="3" s="1"/>
  <c r="A1817" i="3"/>
  <c r="B1817" i="3" s="1"/>
  <c r="C1817" i="3" s="1"/>
  <c r="A1858" i="3"/>
  <c r="F1858" i="3" s="1"/>
  <c r="K1858" i="3" s="1"/>
  <c r="A1931" i="3"/>
  <c r="G1931" i="3" s="1"/>
  <c r="O1259" i="2"/>
  <c r="O1442" i="2"/>
  <c r="O1726" i="2"/>
  <c r="O1761" i="2"/>
  <c r="P1784" i="2"/>
  <c r="O1822" i="2"/>
  <c r="O1853" i="2"/>
  <c r="P1924" i="2"/>
  <c r="P1955" i="2"/>
  <c r="P2360" i="2"/>
  <c r="P2414" i="2"/>
  <c r="O2522" i="2"/>
  <c r="P2569" i="2"/>
  <c r="P2756" i="2"/>
  <c r="P2818" i="2"/>
  <c r="P2841" i="2"/>
  <c r="O2872" i="2"/>
  <c r="A1074" i="3"/>
  <c r="B1074" i="3" s="1"/>
  <c r="C1074" i="3" s="1"/>
  <c r="A1088" i="3"/>
  <c r="H1088" i="3" s="1"/>
  <c r="A1116" i="3"/>
  <c r="I1116" i="3" s="1"/>
  <c r="A1128" i="3"/>
  <c r="F1128" i="3" s="1"/>
  <c r="A1144" i="3"/>
  <c r="G1144" i="3" s="1"/>
  <c r="A1154" i="3"/>
  <c r="H1154" i="3" s="1"/>
  <c r="A1180" i="3"/>
  <c r="H1180" i="3" s="1"/>
  <c r="A1212" i="3"/>
  <c r="B1212" i="3" s="1"/>
  <c r="C1212" i="3" s="1"/>
  <c r="A1254" i="3"/>
  <c r="G1254" i="3" s="1"/>
  <c r="A1268" i="3"/>
  <c r="I1268" i="3" s="1"/>
  <c r="A1281" i="3"/>
  <c r="J1281" i="3" s="1"/>
  <c r="A1297" i="3"/>
  <c r="F1297" i="3" s="1"/>
  <c r="A1322" i="3"/>
  <c r="B1322" i="3" s="1"/>
  <c r="C1322" i="3" s="1"/>
  <c r="A1333" i="3"/>
  <c r="F1333" i="3" s="1"/>
  <c r="A1358" i="3"/>
  <c r="B1358" i="3" s="1"/>
  <c r="C1358" i="3" s="1"/>
  <c r="A1371" i="3"/>
  <c r="B1371" i="3" s="1"/>
  <c r="C1371" i="3" s="1"/>
  <c r="A1393" i="3"/>
  <c r="B1393" i="3" s="1"/>
  <c r="C1393" i="3" s="1"/>
  <c r="A1409" i="3"/>
  <c r="I1409" i="3" s="1"/>
  <c r="A1445" i="3"/>
  <c r="H1445" i="3" s="1"/>
  <c r="A1457" i="3"/>
  <c r="J1457" i="3" s="1"/>
  <c r="A1468" i="3"/>
  <c r="J1468" i="3" s="1"/>
  <c r="A1489" i="3"/>
  <c r="G1489" i="3" s="1"/>
  <c r="A1502" i="3"/>
  <c r="I1502" i="3" s="1"/>
  <c r="A1516" i="3"/>
  <c r="H1516" i="3" s="1"/>
  <c r="A1528" i="3"/>
  <c r="J1528" i="3" s="1"/>
  <c r="A1545" i="3"/>
  <c r="H1545" i="3" s="1"/>
  <c r="A1558" i="3"/>
  <c r="I1558" i="3" s="1"/>
  <c r="A1573" i="3"/>
  <c r="H1573" i="3" s="1"/>
  <c r="A1588" i="3"/>
  <c r="B1588" i="3" s="1"/>
  <c r="C1588" i="3" s="1"/>
  <c r="A1606" i="3"/>
  <c r="B1606" i="3" s="1"/>
  <c r="C1606" i="3" s="1"/>
  <c r="A1640" i="3"/>
  <c r="B1640" i="3" s="1"/>
  <c r="C1640" i="3" s="1"/>
  <c r="A1661" i="3"/>
  <c r="J1661" i="3" s="1"/>
  <c r="A1712" i="3"/>
  <c r="G1712" i="3" s="1"/>
  <c r="A1734" i="3"/>
  <c r="H1734" i="3" s="1"/>
  <c r="A1754" i="3"/>
  <c r="B1754" i="3" s="1"/>
  <c r="C1754" i="3" s="1"/>
  <c r="A1796" i="3"/>
  <c r="F1796" i="3" s="1"/>
  <c r="K1796" i="3" s="1"/>
  <c r="A1818" i="3"/>
  <c r="J1818" i="3" s="1"/>
  <c r="A1860" i="3"/>
  <c r="B1860" i="3" s="1"/>
  <c r="C1860" i="3" s="1"/>
  <c r="P1108" i="2"/>
  <c r="P1131" i="2"/>
  <c r="O1162" i="2"/>
  <c r="O1185" i="2"/>
  <c r="P1427" i="2"/>
  <c r="O1450" i="2"/>
  <c r="P1461" i="2"/>
  <c r="P1656" i="2"/>
  <c r="P1695" i="2"/>
  <c r="O1978" i="2"/>
  <c r="P2013" i="2"/>
  <c r="O2043" i="2"/>
  <c r="P2066" i="2"/>
  <c r="P2166" i="2"/>
  <c r="P2197" i="2"/>
  <c r="P2329" i="2"/>
  <c r="O2507" i="2"/>
  <c r="P2650" i="2"/>
  <c r="O2725" i="2"/>
  <c r="P2760" i="2"/>
  <c r="A1863" i="3"/>
  <c r="J1863" i="3" s="1"/>
  <c r="A1932" i="3"/>
  <c r="B1932" i="3" s="1"/>
  <c r="C1932" i="3" s="1"/>
  <c r="O1135" i="2"/>
  <c r="P1504" i="2"/>
  <c r="P1769" i="2"/>
  <c r="O1792" i="2"/>
  <c r="P1982" i="2"/>
  <c r="O2032" i="2"/>
  <c r="O2047" i="2"/>
  <c r="P2322" i="2"/>
  <c r="P2791" i="2"/>
  <c r="P2892" i="2"/>
  <c r="A1213" i="3"/>
  <c r="F1213" i="3" s="1"/>
  <c r="A1234" i="3"/>
  <c r="G1234" i="3" s="1"/>
  <c r="A1244" i="3"/>
  <c r="G1244" i="3" s="1"/>
  <c r="A1255" i="3"/>
  <c r="J1255" i="3" s="1"/>
  <c r="A1269" i="3"/>
  <c r="G1269" i="3" s="1"/>
  <c r="A1283" i="3"/>
  <c r="B1283" i="3" s="1"/>
  <c r="C1283" i="3" s="1"/>
  <c r="A1299" i="3"/>
  <c r="H1299" i="3" s="1"/>
  <c r="A1312" i="3"/>
  <c r="G1312" i="3" s="1"/>
  <c r="A1335" i="3"/>
  <c r="G1335" i="3" s="1"/>
  <c r="A1395" i="3"/>
  <c r="B1395" i="3" s="1"/>
  <c r="C1395" i="3" s="1"/>
  <c r="A1411" i="3"/>
  <c r="F1411" i="3" s="1"/>
  <c r="K1411" i="3" s="1"/>
  <c r="A1459" i="3"/>
  <c r="J1459" i="3" s="1"/>
  <c r="A1477" i="3"/>
  <c r="I1477" i="3" s="1"/>
  <c r="A1504" i="3"/>
  <c r="I1504" i="3" s="1"/>
  <c r="A1530" i="3"/>
  <c r="B1530" i="3" s="1"/>
  <c r="C1530" i="3" s="1"/>
  <c r="A1559" i="3"/>
  <c r="F1559" i="3" s="1"/>
  <c r="A1623" i="3"/>
  <c r="A1641" i="3"/>
  <c r="J1641" i="3" s="1"/>
  <c r="A1663" i="3"/>
  <c r="G1663" i="3" s="1"/>
  <c r="A1677" i="3"/>
  <c r="H1677" i="3" s="1"/>
  <c r="A1698" i="3"/>
  <c r="B1698" i="3" s="1"/>
  <c r="C1698" i="3" s="1"/>
  <c r="A1714" i="3"/>
  <c r="F1714" i="3" s="1"/>
  <c r="K1714" i="3" s="1"/>
  <c r="A1774" i="3"/>
  <c r="J1774" i="3" s="1"/>
  <c r="A1825" i="3"/>
  <c r="B1825" i="3" s="1"/>
  <c r="C1825" i="3" s="1"/>
  <c r="A1865" i="3"/>
  <c r="I1865" i="3" s="1"/>
  <c r="A1938" i="3"/>
  <c r="B1938" i="3" s="1"/>
  <c r="C1938" i="3" s="1"/>
  <c r="P2457" i="2"/>
  <c r="O2573" i="2"/>
  <c r="P2666" i="2"/>
  <c r="P1205" i="2"/>
  <c r="O1420" i="2"/>
  <c r="O1493" i="2"/>
  <c r="P1758" i="2"/>
  <c r="P1909" i="2"/>
  <c r="O2029" i="2"/>
  <c r="O2040" i="2"/>
  <c r="P2159" i="2"/>
  <c r="P2252" i="2"/>
  <c r="P2283" i="2"/>
  <c r="P2407" i="2"/>
  <c r="O2438" i="2"/>
  <c r="P2558" i="2"/>
  <c r="O2593" i="2"/>
  <c r="P2807" i="2"/>
  <c r="B25" i="4"/>
  <c r="A1169" i="3"/>
  <c r="B1169" i="3" s="1"/>
  <c r="C1169" i="3" s="1"/>
  <c r="A1182" i="3"/>
  <c r="H1182" i="3" s="1"/>
  <c r="A1201" i="3"/>
  <c r="F1201" i="3" s="1"/>
  <c r="A1235" i="3"/>
  <c r="I1235" i="3" s="1"/>
  <c r="A1270" i="3"/>
  <c r="I1270" i="3" s="1"/>
  <c r="A1285" i="3"/>
  <c r="H1285" i="3" s="1"/>
  <c r="A1301" i="3"/>
  <c r="J1301" i="3" s="1"/>
  <c r="A1313" i="3"/>
  <c r="J1313" i="3" s="1"/>
  <c r="A1325" i="3"/>
  <c r="J1325" i="3" s="1"/>
  <c r="A1336" i="3"/>
  <c r="J1336" i="3" s="1"/>
  <c r="A1345" i="3"/>
  <c r="B1345" i="3" s="1"/>
  <c r="C1345" i="3" s="1"/>
  <c r="A1361" i="3"/>
  <c r="J1361" i="3" s="1"/>
  <c r="A1397" i="3"/>
  <c r="I1397" i="3" s="1"/>
  <c r="A1434" i="3"/>
  <c r="J1434" i="3" s="1"/>
  <c r="A1447" i="3"/>
  <c r="B1447" i="3" s="1"/>
  <c r="C1447" i="3" s="1"/>
  <c r="A1478" i="3"/>
  <c r="J1478" i="3" s="1"/>
  <c r="A1491" i="3"/>
  <c r="I1491" i="3" s="1"/>
  <c r="A1505" i="3"/>
  <c r="G1505" i="3" s="1"/>
  <c r="A1532" i="3"/>
  <c r="I1532" i="3" s="1"/>
  <c r="A1547" i="3"/>
  <c r="H1547" i="3" s="1"/>
  <c r="A1574" i="3"/>
  <c r="I1574" i="3" s="1"/>
  <c r="A1591" i="3"/>
  <c r="G1591" i="3" s="1"/>
  <c r="A1625" i="3"/>
  <c r="F1625" i="3" s="1"/>
  <c r="A1664" i="3"/>
  <c r="I1664" i="3" s="1"/>
  <c r="A1681" i="3"/>
  <c r="B1681" i="3" s="1"/>
  <c r="C1681" i="3" s="1"/>
  <c r="A1699" i="3"/>
  <c r="B1699" i="3" s="1"/>
  <c r="C1699" i="3" s="1"/>
  <c r="A1716" i="3"/>
  <c r="F1716" i="3" s="1"/>
  <c r="K1716" i="3" s="1"/>
  <c r="A1737" i="3"/>
  <c r="H1737" i="3" s="1"/>
  <c r="A1756" i="3"/>
  <c r="J1756" i="3" s="1"/>
  <c r="A1776" i="3"/>
  <c r="I1776" i="3" s="1"/>
  <c r="A1826" i="3"/>
  <c r="A1868" i="3"/>
  <c r="J1868" i="3" s="1"/>
  <c r="A1980" i="3"/>
  <c r="B1980" i="3" s="1"/>
  <c r="C1980" i="3" s="1"/>
  <c r="P2601" i="2"/>
  <c r="O2647" i="2"/>
  <c r="O2788" i="2"/>
  <c r="P2919" i="2"/>
  <c r="P2985" i="2"/>
  <c r="B38" i="4"/>
  <c r="A1739" i="3"/>
  <c r="J1739" i="3" s="1"/>
  <c r="A1777" i="3"/>
  <c r="H1777" i="3" s="1"/>
  <c r="A1797" i="3"/>
  <c r="B1797" i="3" s="1"/>
  <c r="C1797" i="3" s="1"/>
  <c r="A1827" i="3"/>
  <c r="B1827" i="3" s="1"/>
  <c r="C1827" i="3" s="1"/>
  <c r="A1870" i="3"/>
  <c r="H1870" i="3" s="1"/>
  <c r="A1990" i="3"/>
  <c r="I1990" i="3" s="1"/>
  <c r="O1322" i="2"/>
  <c r="A1347" i="3"/>
  <c r="B1347" i="3" s="1"/>
  <c r="C1347" i="3" s="1"/>
  <c r="A1375" i="3"/>
  <c r="I1375" i="3" s="1"/>
  <c r="A1399" i="3"/>
  <c r="G1399" i="3" s="1"/>
  <c r="A1435" i="3"/>
  <c r="G1435" i="3" s="1"/>
  <c r="A1449" i="3"/>
  <c r="H1449" i="3" s="1"/>
  <c r="A1460" i="3"/>
  <c r="J1460" i="3" s="1"/>
  <c r="A1480" i="3"/>
  <c r="F1480" i="3" s="1"/>
  <c r="K1480" i="3" s="1"/>
  <c r="A1507" i="3"/>
  <c r="I1507" i="3" s="1"/>
  <c r="A1534" i="3"/>
  <c r="J1534" i="3" s="1"/>
  <c r="A1562" i="3"/>
  <c r="I1562" i="3" s="1"/>
  <c r="A1575" i="3"/>
  <c r="H1575" i="3" s="1"/>
  <c r="A1594" i="3"/>
  <c r="H1594" i="3" s="1"/>
  <c r="A1627" i="3"/>
  <c r="J1627" i="3" s="1"/>
  <c r="A1645" i="3"/>
  <c r="B1645" i="3" s="1"/>
  <c r="C1645" i="3" s="1"/>
  <c r="A1682" i="3"/>
  <c r="J1682" i="3" s="1"/>
  <c r="A1701" i="3"/>
  <c r="G1701" i="3" s="1"/>
  <c r="A1718" i="3"/>
  <c r="I1718" i="3" s="1"/>
  <c r="A1741" i="3"/>
  <c r="B1741" i="3" s="1"/>
  <c r="C1741" i="3" s="1"/>
  <c r="A1757" i="3"/>
  <c r="H1757" i="3" s="1"/>
  <c r="A1780" i="3"/>
  <c r="J1780" i="3" s="1"/>
  <c r="A1798" i="3"/>
  <c r="H1798" i="3" s="1"/>
  <c r="A1829" i="3"/>
  <c r="B1829" i="3" s="1"/>
  <c r="C1829" i="3" s="1"/>
  <c r="A1873" i="3"/>
  <c r="I1873" i="3" s="1"/>
  <c r="A2001" i="3"/>
  <c r="J2001" i="3" s="1"/>
  <c r="A1832" i="3"/>
  <c r="J1832" i="3" s="1"/>
  <c r="A1877" i="3"/>
  <c r="B1877" i="3" s="1"/>
  <c r="C1877" i="3" s="1"/>
  <c r="A2038" i="3"/>
  <c r="F2038" i="3" s="1"/>
  <c r="K2038" i="3" s="1"/>
  <c r="A1226" i="3"/>
  <c r="I1226" i="3" s="1"/>
  <c r="A1238" i="3"/>
  <c r="A1246" i="3"/>
  <c r="B1246" i="3" s="1"/>
  <c r="C1246" i="3" s="1"/>
  <c r="A1258" i="3"/>
  <c r="B1258" i="3" s="1"/>
  <c r="C1258" i="3" s="1"/>
  <c r="A1288" i="3"/>
  <c r="G1288" i="3" s="1"/>
  <c r="A1315" i="3"/>
  <c r="I1315" i="3" s="1"/>
  <c r="A1339" i="3"/>
  <c r="B1339" i="3" s="1"/>
  <c r="C1339" i="3" s="1"/>
  <c r="A1364" i="3"/>
  <c r="H1364" i="3" s="1"/>
  <c r="A1386" i="3"/>
  <c r="F1386" i="3" s="1"/>
  <c r="K1386" i="3" s="1"/>
  <c r="A1400" i="3"/>
  <c r="F1400" i="3" s="1"/>
  <c r="K1400" i="3" s="1"/>
  <c r="A1425" i="3"/>
  <c r="G1425" i="3" s="1"/>
  <c r="A1450" i="3"/>
  <c r="I1450" i="3" s="1"/>
  <c r="A1471" i="3"/>
  <c r="I1471" i="3" s="1"/>
  <c r="A1482" i="3"/>
  <c r="B1482" i="3" s="1"/>
  <c r="C1482" i="3" s="1"/>
  <c r="A1493" i="3"/>
  <c r="F1493" i="3" s="1"/>
  <c r="K1493" i="3" s="1"/>
  <c r="A1550" i="3"/>
  <c r="G1550" i="3" s="1"/>
  <c r="A1564" i="3"/>
  <c r="J1564" i="3" s="1"/>
  <c r="A1577" i="3"/>
  <c r="H1577" i="3" s="1"/>
  <c r="A1611" i="3"/>
  <c r="F1611" i="3" s="1"/>
  <c r="A1630" i="3"/>
  <c r="B1630" i="3" s="1"/>
  <c r="C1630" i="3" s="1"/>
  <c r="A1646" i="3"/>
  <c r="H1646" i="3" s="1"/>
  <c r="A1684" i="3"/>
  <c r="H1684" i="3" s="1"/>
  <c r="A1719" i="3"/>
  <c r="I1719" i="3" s="1"/>
  <c r="A1743" i="3"/>
  <c r="F1743" i="3" s="1"/>
  <c r="K1743" i="3" s="1"/>
  <c r="A1783" i="3"/>
  <c r="F1783" i="3" s="1"/>
  <c r="K1783" i="3" s="1"/>
  <c r="A1801" i="3"/>
  <c r="I1801" i="3" s="1"/>
  <c r="A1833" i="3"/>
  <c r="H1833" i="3" s="1"/>
  <c r="A1883" i="3"/>
  <c r="G1883" i="3" s="1"/>
  <c r="A2050" i="3"/>
  <c r="G2050" i="3" s="1"/>
  <c r="A1437" i="3"/>
  <c r="J1437" i="3" s="1"/>
  <c r="A1451" i="3"/>
  <c r="J1451" i="3" s="1"/>
  <c r="A1483" i="3"/>
  <c r="B1483" i="3" s="1"/>
  <c r="C1483" i="3" s="1"/>
  <c r="A1494" i="3"/>
  <c r="J1494" i="3" s="1"/>
  <c r="A1519" i="3"/>
  <c r="I1519" i="3" s="1"/>
  <c r="A1536" i="3"/>
  <c r="I1536" i="3" s="1"/>
  <c r="A1551" i="3"/>
  <c r="B1551" i="3" s="1"/>
  <c r="C1551" i="3" s="1"/>
  <c r="A1597" i="3"/>
  <c r="B1597" i="3" s="1"/>
  <c r="C1597" i="3" s="1"/>
  <c r="A1612" i="3"/>
  <c r="B1612" i="3" s="1"/>
  <c r="C1612" i="3" s="1"/>
  <c r="A1631" i="3"/>
  <c r="I1631" i="3" s="1"/>
  <c r="A1648" i="3"/>
  <c r="H1648" i="3" s="1"/>
  <c r="A1668" i="3"/>
  <c r="B1668" i="3" s="1"/>
  <c r="C1668" i="3" s="1"/>
  <c r="A1704" i="3"/>
  <c r="F1704" i="3" s="1"/>
  <c r="A1721" i="3"/>
  <c r="J1721" i="3" s="1"/>
  <c r="A1759" i="3"/>
  <c r="J1759" i="3" s="1"/>
  <c r="A1805" i="3"/>
  <c r="I1805" i="3" s="1"/>
  <c r="A1835" i="3"/>
  <c r="J1835" i="3" s="1"/>
  <c r="A1885" i="3"/>
  <c r="B1885" i="3" s="1"/>
  <c r="C1885" i="3" s="1"/>
  <c r="A2063" i="3"/>
  <c r="J2063" i="3" s="1"/>
  <c r="P1102" i="2"/>
  <c r="O1276" i="2"/>
  <c r="P1494" i="2"/>
  <c r="O1533" i="2"/>
  <c r="O1560" i="2"/>
  <c r="P1603" i="2"/>
  <c r="P2064" i="2"/>
  <c r="O2210" i="2"/>
  <c r="P2253" i="2"/>
  <c r="P2284" i="2"/>
  <c r="P2327" i="2"/>
  <c r="P2439" i="2"/>
  <c r="P2683" i="2"/>
  <c r="P2959" i="2"/>
  <c r="A1081" i="3"/>
  <c r="I1081" i="3" s="1"/>
  <c r="A1095" i="3"/>
  <c r="G1095" i="3" s="1"/>
  <c r="A1108" i="3"/>
  <c r="F1108" i="3" s="1"/>
  <c r="A1122" i="3"/>
  <c r="G1122" i="3" s="1"/>
  <c r="A1137" i="3"/>
  <c r="A1150" i="3"/>
  <c r="G1150" i="3" s="1"/>
  <c r="A1205" i="3"/>
  <c r="A1219" i="3"/>
  <c r="B1219" i="3" s="1"/>
  <c r="C1219" i="3" s="1"/>
  <c r="A1228" i="3"/>
  <c r="I1228" i="3" s="1"/>
  <c r="A1247" i="3"/>
  <c r="J1247" i="3" s="1"/>
  <c r="A1260" i="3"/>
  <c r="I1260" i="3" s="1"/>
  <c r="A1290" i="3"/>
  <c r="I1290" i="3" s="1"/>
  <c r="A1305" i="3"/>
  <c r="J1305" i="3" s="1"/>
  <c r="A1316" i="3"/>
  <c r="F1316" i="3" s="1"/>
  <c r="A1328" i="3"/>
  <c r="G1328" i="3" s="1"/>
  <c r="A1350" i="3"/>
  <c r="B1350" i="3" s="1"/>
  <c r="C1350" i="3" s="1"/>
  <c r="A1376" i="3"/>
  <c r="G1376" i="3" s="1"/>
  <c r="A1387" i="3"/>
  <c r="B1387" i="3" s="1"/>
  <c r="C1387" i="3" s="1"/>
  <c r="A1402" i="3"/>
  <c r="J1402" i="3" s="1"/>
  <c r="A1415" i="3"/>
  <c r="F1415" i="3" s="1"/>
  <c r="K1415" i="3" s="1"/>
  <c r="A1427" i="3"/>
  <c r="B1427" i="3" s="1"/>
  <c r="C1427" i="3" s="1"/>
  <c r="A1438" i="3"/>
  <c r="B1438" i="3" s="1"/>
  <c r="C1438" i="3" s="1"/>
  <c r="A1495" i="3"/>
  <c r="I1495" i="3" s="1"/>
  <c r="A1509" i="3"/>
  <c r="H1509" i="3" s="1"/>
  <c r="A1520" i="3"/>
  <c r="J1520" i="3" s="1"/>
  <c r="A1565" i="3"/>
  <c r="A1578" i="3"/>
  <c r="J1578" i="3" s="1"/>
  <c r="A1598" i="3"/>
  <c r="H1598" i="3" s="1"/>
  <c r="A1613" i="3"/>
  <c r="B1613" i="3" s="1"/>
  <c r="C1613" i="3" s="1"/>
  <c r="A1632" i="3"/>
  <c r="G1632" i="3" s="1"/>
  <c r="A1649" i="3"/>
  <c r="I1649" i="3" s="1"/>
  <c r="A1671" i="3"/>
  <c r="J1671" i="3" s="1"/>
  <c r="A1745" i="3"/>
  <c r="F1745" i="3" s="1"/>
  <c r="K1745" i="3" s="1"/>
  <c r="A1761" i="3"/>
  <c r="F1761" i="3" s="1"/>
  <c r="K1761" i="3" s="1"/>
  <c r="A1806" i="3"/>
  <c r="F1806" i="3" s="1"/>
  <c r="K1806" i="3" s="1"/>
  <c r="A1841" i="3"/>
  <c r="B1841" i="3" s="1"/>
  <c r="C1841" i="3" s="1"/>
  <c r="A1887" i="3"/>
  <c r="J1887" i="3" s="1"/>
  <c r="O1261" i="2"/>
  <c r="O1284" i="2"/>
  <c r="P1627" i="2"/>
  <c r="P1763" i="2"/>
  <c r="O1790" i="2"/>
  <c r="P2095" i="2"/>
  <c r="O2141" i="2"/>
  <c r="P2389" i="2"/>
  <c r="O2443" i="2"/>
  <c r="P2540" i="2"/>
  <c r="P2843" i="2"/>
  <c r="O2963" i="2"/>
  <c r="A1599" i="3"/>
  <c r="F1599" i="3" s="1"/>
  <c r="A1615" i="3"/>
  <c r="F1615" i="3" s="1"/>
  <c r="K1615" i="3" s="1"/>
  <c r="A1633" i="3"/>
  <c r="J1633" i="3" s="1"/>
  <c r="A1650" i="3"/>
  <c r="B1650" i="3" s="1"/>
  <c r="C1650" i="3" s="1"/>
  <c r="A1672" i="3"/>
  <c r="J1672" i="3" s="1"/>
  <c r="A1688" i="3"/>
  <c r="B1688" i="3" s="1"/>
  <c r="C1688" i="3" s="1"/>
  <c r="A1705" i="3"/>
  <c r="H1705" i="3" s="1"/>
  <c r="A1722" i="3"/>
  <c r="I1722" i="3" s="1"/>
  <c r="A1746" i="3"/>
  <c r="I1746" i="3" s="1"/>
  <c r="A1762" i="3"/>
  <c r="I1762" i="3" s="1"/>
  <c r="A1784" i="3"/>
  <c r="B1784" i="3" s="1"/>
  <c r="C1784" i="3" s="1"/>
  <c r="A1842" i="3"/>
  <c r="H1842" i="3" s="1"/>
  <c r="A1888" i="3"/>
  <c r="F1888" i="3" s="1"/>
  <c r="P1230" i="2"/>
  <c r="O1327" i="2"/>
  <c r="O1390" i="2"/>
  <c r="O1965" i="2"/>
  <c r="O2072" i="2"/>
  <c r="P2107" i="2"/>
  <c r="O2145" i="2"/>
  <c r="O2199" i="2"/>
  <c r="O2222" i="2"/>
  <c r="O2374" i="2"/>
  <c r="P2397" i="2"/>
  <c r="O2614" i="2"/>
  <c r="A1950" i="3"/>
  <c r="B1950" i="3" s="1"/>
  <c r="C1950" i="3" s="1"/>
  <c r="A1999" i="3"/>
  <c r="F1999" i="3" s="1"/>
  <c r="K1999" i="3" s="1"/>
  <c r="A2148" i="3"/>
  <c r="F2148" i="3" s="1"/>
  <c r="K2148" i="3" s="1"/>
  <c r="A2305" i="3"/>
  <c r="J2305" i="3" s="1"/>
  <c r="A2411" i="3"/>
  <c r="I2411" i="3" s="1"/>
  <c r="A2104" i="3"/>
  <c r="I2104" i="3" s="1"/>
  <c r="A2151" i="3"/>
  <c r="H2151" i="3" s="1"/>
  <c r="A2310" i="3"/>
  <c r="F2310" i="3" s="1"/>
  <c r="K2310" i="3" s="1"/>
  <c r="A2427" i="3"/>
  <c r="I2427" i="3" s="1"/>
  <c r="A1909" i="3"/>
  <c r="B1909" i="3" s="1"/>
  <c r="C1909" i="3" s="1"/>
  <c r="A1952" i="3"/>
  <c r="J1952" i="3" s="1"/>
  <c r="A2106" i="3"/>
  <c r="J2106" i="3" s="1"/>
  <c r="A2218" i="3"/>
  <c r="J2218" i="3" s="1"/>
  <c r="A1975" i="3"/>
  <c r="G1975" i="3" s="1"/>
  <c r="A2003" i="3"/>
  <c r="H2003" i="3" s="1"/>
  <c r="A2029" i="3"/>
  <c r="H2029" i="3" s="1"/>
  <c r="A2061" i="3"/>
  <c r="J2061" i="3" s="1"/>
  <c r="A2451" i="3"/>
  <c r="I2451" i="3" s="1"/>
  <c r="A2033" i="3"/>
  <c r="J2033" i="3" s="1"/>
  <c r="A2111" i="3"/>
  <c r="H2111" i="3" s="1"/>
  <c r="A2488" i="3"/>
  <c r="I2488" i="3" s="1"/>
  <c r="A2547" i="3"/>
  <c r="J2547" i="3" s="1"/>
  <c r="A2484" i="3"/>
  <c r="G2484" i="3" s="1"/>
  <c r="A2366" i="3"/>
  <c r="I2366" i="3" s="1"/>
  <c r="A2340" i="3"/>
  <c r="I2340" i="3" s="1"/>
  <c r="A2236" i="3"/>
  <c r="H2236" i="3" s="1"/>
  <c r="A2226" i="3"/>
  <c r="F2226" i="3" s="1"/>
  <c r="K2226" i="3" s="1"/>
  <c r="A2209" i="3"/>
  <c r="B2209" i="3" s="1"/>
  <c r="C2209" i="3" s="1"/>
  <c r="A2198" i="3"/>
  <c r="G2198" i="3" s="1"/>
  <c r="A2184" i="3"/>
  <c r="F2184" i="3" s="1"/>
  <c r="K2184" i="3" s="1"/>
  <c r="A2172" i="3"/>
  <c r="G2172" i="3" s="1"/>
  <c r="A2163" i="3"/>
  <c r="I2163" i="3" s="1"/>
  <c r="A2120" i="3"/>
  <c r="H2120" i="3" s="1"/>
  <c r="A2107" i="3"/>
  <c r="F2107" i="3" s="1"/>
  <c r="K2107" i="3" s="1"/>
  <c r="A2082" i="3"/>
  <c r="F2082" i="3" s="1"/>
  <c r="K2082" i="3" s="1"/>
  <c r="A2074" i="3"/>
  <c r="A2022" i="3"/>
  <c r="G2022" i="3" s="1"/>
  <c r="A2002" i="3"/>
  <c r="G2002" i="3" s="1"/>
  <c r="A1981" i="3"/>
  <c r="A1965" i="3"/>
  <c r="J1965" i="3" s="1"/>
  <c r="A1957" i="3"/>
  <c r="H1957" i="3" s="1"/>
  <c r="A1948" i="3"/>
  <c r="J1948" i="3" s="1"/>
  <c r="A1933" i="3"/>
  <c r="J1933" i="3" s="1"/>
  <c r="A1908" i="3"/>
  <c r="H1908" i="3" s="1"/>
  <c r="A2118" i="3"/>
  <c r="H2118" i="3" s="1"/>
  <c r="A2092" i="3"/>
  <c r="G2092" i="3" s="1"/>
  <c r="A2073" i="3"/>
  <c r="F2073" i="3" s="1"/>
  <c r="K2073" i="3" s="1"/>
  <c r="A2036" i="3"/>
  <c r="J2036" i="3" s="1"/>
  <c r="A1989" i="3"/>
  <c r="J1989" i="3" s="1"/>
  <c r="A1947" i="3"/>
  <c r="G1947" i="3" s="1"/>
  <c r="A1940" i="3"/>
  <c r="I1940" i="3" s="1"/>
  <c r="A1918" i="3"/>
  <c r="J1918" i="3" s="1"/>
  <c r="A1907" i="3"/>
  <c r="I1907" i="3" s="1"/>
  <c r="A1886" i="3"/>
  <c r="A1866" i="3"/>
  <c r="G1866" i="3" s="1"/>
  <c r="A1823" i="3"/>
  <c r="B1823" i="3" s="1"/>
  <c r="C1823" i="3" s="1"/>
  <c r="A1814" i="3"/>
  <c r="G1814" i="3" s="1"/>
  <c r="A1785" i="3"/>
  <c r="B1785" i="3" s="1"/>
  <c r="C1785" i="3" s="1"/>
  <c r="A1738" i="3"/>
  <c r="H1738" i="3" s="1"/>
  <c r="A1727" i="3"/>
  <c r="G1727" i="3" s="1"/>
  <c r="A1687" i="3"/>
  <c r="H1687" i="3" s="1"/>
  <c r="A1657" i="3"/>
  <c r="J1657" i="3" s="1"/>
  <c r="A1647" i="3"/>
  <c r="J1647" i="3" s="1"/>
  <c r="A1629" i="3"/>
  <c r="J1629" i="3" s="1"/>
  <c r="A1619" i="3"/>
  <c r="G1619" i="3" s="1"/>
  <c r="A1603" i="3"/>
  <c r="H1603" i="3" s="1"/>
  <c r="A1595" i="3"/>
  <c r="I1595" i="3" s="1"/>
  <c r="A1586" i="3"/>
  <c r="I1586" i="3" s="1"/>
  <c r="A1569" i="3"/>
  <c r="F1569" i="3" s="1"/>
  <c r="K1569" i="3" s="1"/>
  <c r="A2541" i="3"/>
  <c r="J2541" i="3" s="1"/>
  <c r="A2478" i="3"/>
  <c r="J2478" i="3" s="1"/>
  <c r="A2401" i="3"/>
  <c r="I2401" i="3" s="1"/>
  <c r="A2364" i="3"/>
  <c r="B2364" i="3" s="1"/>
  <c r="C2364" i="3" s="1"/>
  <c r="A2353" i="3"/>
  <c r="F2353" i="3" s="1"/>
  <c r="A2307" i="3"/>
  <c r="I2307" i="3" s="1"/>
  <c r="A2223" i="3"/>
  <c r="F2223" i="3" s="1"/>
  <c r="K2223" i="3" s="1"/>
  <c r="A2196" i="3"/>
  <c r="F2196" i="3" s="1"/>
  <c r="A2170" i="3"/>
  <c r="B2170" i="3" s="1"/>
  <c r="C2170" i="3" s="1"/>
  <c r="A2139" i="3"/>
  <c r="J2139" i="3" s="1"/>
  <c r="A2091" i="3"/>
  <c r="J2091" i="3" s="1"/>
  <c r="A2072" i="3"/>
  <c r="F2072" i="3" s="1"/>
  <c r="K2072" i="3" s="1"/>
  <c r="A2284" i="3"/>
  <c r="H2284" i="3" s="1"/>
  <c r="A2250" i="3"/>
  <c r="B2250" i="3" s="1"/>
  <c r="C2250" i="3" s="1"/>
  <c r="A2221" i="3"/>
  <c r="F2221" i="3" s="1"/>
  <c r="K2221" i="3" s="1"/>
  <c r="A2208" i="3"/>
  <c r="G2208" i="3" s="1"/>
  <c r="A2195" i="3"/>
  <c r="I2195" i="3" s="1"/>
  <c r="A2182" i="3"/>
  <c r="H2182" i="3" s="1"/>
  <c r="A2129" i="3"/>
  <c r="F2129" i="3" s="1"/>
  <c r="K2129" i="3" s="1"/>
  <c r="A2089" i="3"/>
  <c r="G2089" i="3" s="1"/>
  <c r="A2060" i="3"/>
  <c r="H2060" i="3" s="1"/>
  <c r="A2052" i="3"/>
  <c r="H2052" i="3" s="1"/>
  <c r="A2044" i="3"/>
  <c r="I2044" i="3" s="1"/>
  <c r="A2011" i="3"/>
  <c r="B2011" i="3" s="1"/>
  <c r="C2011" i="3" s="1"/>
  <c r="A2000" i="3"/>
  <c r="G2000" i="3" s="1"/>
  <c r="A1988" i="3"/>
  <c r="G1988" i="3" s="1"/>
  <c r="A1973" i="3"/>
  <c r="A1964" i="3"/>
  <c r="H1964" i="3" s="1"/>
  <c r="A1946" i="3"/>
  <c r="B1946" i="3" s="1"/>
  <c r="C1946" i="3" s="1"/>
  <c r="A1926" i="3"/>
  <c r="F1926" i="3" s="1"/>
  <c r="K1926" i="3" s="1"/>
  <c r="A1905" i="3"/>
  <c r="B1905" i="3" s="1"/>
  <c r="C1905" i="3" s="1"/>
  <c r="A1874" i="3"/>
  <c r="J1874" i="3" s="1"/>
  <c r="A1830" i="3"/>
  <c r="H1830" i="3" s="1"/>
  <c r="A1822" i="3"/>
  <c r="G1822" i="3" s="1"/>
  <c r="A1812" i="3"/>
  <c r="I1812" i="3" s="1"/>
  <c r="A1803" i="3"/>
  <c r="H1803" i="3" s="1"/>
  <c r="A2430" i="3"/>
  <c r="G2430" i="3" s="1"/>
  <c r="A2397" i="3"/>
  <c r="J2397" i="3" s="1"/>
  <c r="A2350" i="3"/>
  <c r="F2350" i="3" s="1"/>
  <c r="K2350" i="3" s="1"/>
  <c r="A2336" i="3"/>
  <c r="J2336" i="3" s="1"/>
  <c r="A2293" i="3"/>
  <c r="I2293" i="3" s="1"/>
  <c r="A2265" i="3"/>
  <c r="G2265" i="3" s="1"/>
  <c r="A2249" i="3"/>
  <c r="H2249" i="3" s="1"/>
  <c r="A2194" i="3"/>
  <c r="G2194" i="3" s="1"/>
  <c r="A2138" i="3"/>
  <c r="J2138" i="3" s="1"/>
  <c r="A2362" i="3"/>
  <c r="H2362" i="3" s="1"/>
  <c r="A2335" i="3"/>
  <c r="I2335" i="3" s="1"/>
  <c r="A2317" i="3"/>
  <c r="J2317" i="3" s="1"/>
  <c r="A2306" i="3"/>
  <c r="G2306" i="3" s="1"/>
  <c r="A2248" i="3"/>
  <c r="I2248" i="3" s="1"/>
  <c r="A2234" i="3"/>
  <c r="G2234" i="3" s="1"/>
  <c r="A2207" i="3"/>
  <c r="G2207" i="3" s="1"/>
  <c r="A2192" i="3"/>
  <c r="F2192" i="3" s="1"/>
  <c r="K2192" i="3" s="1"/>
  <c r="A2181" i="3"/>
  <c r="I2181" i="3" s="1"/>
  <c r="A2149" i="3"/>
  <c r="A2137" i="3"/>
  <c r="B2137" i="3" s="1"/>
  <c r="C2137" i="3" s="1"/>
  <c r="A2127" i="3"/>
  <c r="B2127" i="3" s="1"/>
  <c r="C2127" i="3" s="1"/>
  <c r="A2081" i="3"/>
  <c r="A2070" i="3"/>
  <c r="G2070" i="3" s="1"/>
  <c r="A2026" i="3"/>
  <c r="A2010" i="3"/>
  <c r="B2010" i="3" s="1"/>
  <c r="C2010" i="3" s="1"/>
  <c r="A1998" i="3"/>
  <c r="G1998" i="3" s="1"/>
  <c r="A1971" i="3"/>
  <c r="B1971" i="3" s="1"/>
  <c r="C1971" i="3" s="1"/>
  <c r="A1939" i="3"/>
  <c r="F1939" i="3" s="1"/>
  <c r="K1939" i="3" s="1"/>
  <c r="A1895" i="3"/>
  <c r="B1895" i="3" s="1"/>
  <c r="C1895" i="3" s="1"/>
  <c r="A1864" i="3"/>
  <c r="J1864" i="3" s="1"/>
  <c r="A1851" i="3"/>
  <c r="B1851" i="3" s="1"/>
  <c r="C1851" i="3" s="1"/>
  <c r="A1843" i="3"/>
  <c r="A1793" i="3"/>
  <c r="B1793" i="3" s="1"/>
  <c r="C1793" i="3" s="1"/>
  <c r="A1773" i="3"/>
  <c r="B1773" i="3" s="1"/>
  <c r="C1773" i="3" s="1"/>
  <c r="A1715" i="3"/>
  <c r="A1680" i="3"/>
  <c r="I1680" i="3" s="1"/>
  <c r="A1670" i="3"/>
  <c r="J1670" i="3" s="1"/>
  <c r="A1665" i="3"/>
  <c r="A1655" i="3"/>
  <c r="J1655" i="3" s="1"/>
  <c r="A1608" i="3"/>
  <c r="B1608" i="3" s="1"/>
  <c r="C1608" i="3" s="1"/>
  <c r="A1592" i="3"/>
  <c r="F1592" i="3" s="1"/>
  <c r="K1592" i="3" s="1"/>
  <c r="A2206" i="3"/>
  <c r="H2206" i="3" s="1"/>
  <c r="A2179" i="3"/>
  <c r="H2179" i="3" s="1"/>
  <c r="A2162" i="3"/>
  <c r="A2125" i="3"/>
  <c r="H2125" i="3" s="1"/>
  <c r="A2103" i="3"/>
  <c r="F2103" i="3" s="1"/>
  <c r="A2019" i="3"/>
  <c r="F2019" i="3" s="1"/>
  <c r="A1997" i="3"/>
  <c r="G1997" i="3" s="1"/>
  <c r="A1986" i="3"/>
  <c r="A1970" i="3"/>
  <c r="B1970" i="3" s="1"/>
  <c r="C1970" i="3" s="1"/>
  <c r="A1945" i="3"/>
  <c r="B1945" i="3" s="1"/>
  <c r="C1945" i="3" s="1"/>
  <c r="A1925" i="3"/>
  <c r="I1925" i="3" s="1"/>
  <c r="A1916" i="3"/>
  <c r="B1916" i="3" s="1"/>
  <c r="C1916" i="3" s="1"/>
  <c r="A1903" i="3"/>
  <c r="J1903" i="3" s="1"/>
  <c r="A1894" i="3"/>
  <c r="I1894" i="3" s="1"/>
  <c r="A1862" i="3"/>
  <c r="B1862" i="3" s="1"/>
  <c r="C1862" i="3" s="1"/>
  <c r="A1828" i="3"/>
  <c r="F1828" i="3" s="1"/>
  <c r="K1828" i="3" s="1"/>
  <c r="A1809" i="3"/>
  <c r="G1809" i="3" s="1"/>
  <c r="A1800" i="3"/>
  <c r="J1800" i="3" s="1"/>
  <c r="A1782" i="3"/>
  <c r="H1782" i="3" s="1"/>
  <c r="A1744" i="3"/>
  <c r="J1744" i="3" s="1"/>
  <c r="A1723" i="3"/>
  <c r="F1723" i="3" s="1"/>
  <c r="K1723" i="3" s="1"/>
  <c r="A1686" i="3"/>
  <c r="A1678" i="3"/>
  <c r="B1678" i="3" s="1"/>
  <c r="C1678" i="3" s="1"/>
  <c r="A1669" i="3"/>
  <c r="B1669" i="3" s="1"/>
  <c r="C1669" i="3" s="1"/>
  <c r="A1653" i="3"/>
  <c r="G1653" i="3" s="1"/>
  <c r="A1601" i="3"/>
  <c r="F1601" i="3" s="1"/>
  <c r="K1601" i="3" s="1"/>
  <c r="A1582" i="3"/>
  <c r="J1582" i="3" s="1"/>
  <c r="A2515" i="3"/>
  <c r="F2515" i="3" s="1"/>
  <c r="K2515" i="3" s="1"/>
  <c r="A2463" i="3"/>
  <c r="I2463" i="3" s="1"/>
  <c r="A2390" i="3"/>
  <c r="F2390" i="3" s="1"/>
  <c r="A2304" i="3"/>
  <c r="B2304" i="3" s="1"/>
  <c r="C2304" i="3" s="1"/>
  <c r="A2280" i="3"/>
  <c r="I2280" i="3" s="1"/>
  <c r="A2262" i="3"/>
  <c r="I2262" i="3" s="1"/>
  <c r="A2246" i="3"/>
  <c r="J2246" i="3" s="1"/>
  <c r="A2233" i="3"/>
  <c r="I2233" i="3" s="1"/>
  <c r="A2188" i="3"/>
  <c r="F2188" i="3" s="1"/>
  <c r="K2188" i="3" s="1"/>
  <c r="A2178" i="3"/>
  <c r="B2178" i="3" s="1"/>
  <c r="C2178" i="3" s="1"/>
  <c r="A2161" i="3"/>
  <c r="J2161" i="3" s="1"/>
  <c r="A2114" i="3"/>
  <c r="I2114" i="3" s="1"/>
  <c r="A2080" i="3"/>
  <c r="H2080" i="3" s="1"/>
  <c r="A2067" i="3"/>
  <c r="H2067" i="3" s="1"/>
  <c r="A2049" i="3"/>
  <c r="B2049" i="3" s="1"/>
  <c r="C2049" i="3" s="1"/>
  <c r="A2042" i="3"/>
  <c r="I2042" i="3" s="1"/>
  <c r="A2018" i="3"/>
  <c r="J2018" i="3" s="1"/>
  <c r="A2009" i="3"/>
  <c r="J2009" i="3" s="1"/>
  <c r="A1985" i="3"/>
  <c r="I1985" i="3" s="1"/>
  <c r="A1955" i="3"/>
  <c r="A1915" i="3"/>
  <c r="J1915" i="3" s="1"/>
  <c r="A1902" i="3"/>
  <c r="I1902" i="3" s="1"/>
  <c r="A1893" i="3"/>
  <c r="H1893" i="3" s="1"/>
  <c r="A1884" i="3"/>
  <c r="A1872" i="3"/>
  <c r="B1872" i="3" s="1"/>
  <c r="C1872" i="3" s="1"/>
  <c r="A1861" i="3"/>
  <c r="H1861" i="3" s="1"/>
  <c r="A2261" i="3"/>
  <c r="F2261" i="3" s="1"/>
  <c r="A2231" i="3"/>
  <c r="H2231" i="3" s="1"/>
  <c r="A2216" i="3"/>
  <c r="G2216" i="3" s="1"/>
  <c r="A2168" i="3"/>
  <c r="F2168" i="3" s="1"/>
  <c r="A2160" i="3"/>
  <c r="F2160" i="3" s="1"/>
  <c r="A2147" i="3"/>
  <c r="G2147" i="3" s="1"/>
  <c r="A2135" i="3"/>
  <c r="B2135" i="3" s="1"/>
  <c r="C2135" i="3" s="1"/>
  <c r="A2123" i="3"/>
  <c r="G2123" i="3" s="1"/>
  <c r="A2102" i="3"/>
  <c r="H2102" i="3" s="1"/>
  <c r="A2087" i="3"/>
  <c r="J2087" i="3" s="1"/>
  <c r="A2079" i="3"/>
  <c r="J2079" i="3" s="1"/>
  <c r="A2059" i="3"/>
  <c r="I2059" i="3" s="1"/>
  <c r="A2048" i="3"/>
  <c r="I2048" i="3" s="1"/>
  <c r="A2032" i="3"/>
  <c r="G2032" i="3" s="1"/>
  <c r="A2025" i="3"/>
  <c r="I2025" i="3" s="1"/>
  <c r="A2007" i="3"/>
  <c r="F2007" i="3" s="1"/>
  <c r="A1979" i="3"/>
  <c r="G1979" i="3" s="1"/>
  <c r="A1954" i="3"/>
  <c r="G1954" i="3" s="1"/>
  <c r="A1937" i="3"/>
  <c r="F1937" i="3" s="1"/>
  <c r="K1937" i="3" s="1"/>
  <c r="A2361" i="3"/>
  <c r="A2331" i="3"/>
  <c r="G2331" i="3" s="1"/>
  <c r="A2288" i="3"/>
  <c r="B2288" i="3" s="1"/>
  <c r="C2288" i="3" s="1"/>
  <c r="A2277" i="3"/>
  <c r="F2277" i="3" s="1"/>
  <c r="K2277" i="3" s="1"/>
  <c r="A2259" i="3"/>
  <c r="J2259" i="3" s="1"/>
  <c r="A2230" i="3"/>
  <c r="B2230" i="3" s="1"/>
  <c r="C2230" i="3" s="1"/>
  <c r="A2187" i="3"/>
  <c r="F2187" i="3" s="1"/>
  <c r="A2177" i="3"/>
  <c r="F2177" i="3" s="1"/>
  <c r="A2159" i="3"/>
  <c r="J2159" i="3" s="1"/>
  <c r="A2145" i="3"/>
  <c r="J2145" i="3" s="1"/>
  <c r="A2078" i="3"/>
  <c r="B2078" i="3" s="1"/>
  <c r="C2078" i="3" s="1"/>
  <c r="A2058" i="3"/>
  <c r="G2058" i="3" s="1"/>
  <c r="A2016" i="3"/>
  <c r="H2016" i="3" s="1"/>
  <c r="A2006" i="3"/>
  <c r="I2006" i="3" s="1"/>
  <c r="A1984" i="3"/>
  <c r="I1984" i="3" s="1"/>
  <c r="A1978" i="3"/>
  <c r="I1978" i="3" s="1"/>
  <c r="A1962" i="3"/>
  <c r="A1930" i="3"/>
  <c r="G1930" i="3" s="1"/>
  <c r="A1923" i="3"/>
  <c r="F1923" i="3" s="1"/>
  <c r="K1923" i="3" s="1"/>
  <c r="A1913" i="3"/>
  <c r="J1913" i="3" s="1"/>
  <c r="A1901" i="3"/>
  <c r="F1901" i="3" s="1"/>
  <c r="K1901" i="3" s="1"/>
  <c r="A1891" i="3"/>
  <c r="J1891" i="3" s="1"/>
  <c r="A1882" i="3"/>
  <c r="H1882" i="3" s="1"/>
  <c r="A1859" i="3"/>
  <c r="F1859" i="3" s="1"/>
  <c r="A1838" i="3"/>
  <c r="J1838" i="3" s="1"/>
  <c r="A1790" i="3"/>
  <c r="B1790" i="3" s="1"/>
  <c r="C1790" i="3" s="1"/>
  <c r="A1779" i="3"/>
  <c r="J1779" i="3" s="1"/>
  <c r="A2157" i="3"/>
  <c r="B2157" i="3" s="1"/>
  <c r="C2157" i="3" s="1"/>
  <c r="A2133" i="3"/>
  <c r="I2133" i="3" s="1"/>
  <c r="A2077" i="3"/>
  <c r="B2077" i="3" s="1"/>
  <c r="C2077" i="3" s="1"/>
  <c r="A2066" i="3"/>
  <c r="G2066" i="3" s="1"/>
  <c r="A2047" i="3"/>
  <c r="G2047" i="3" s="1"/>
  <c r="A1995" i="3"/>
  <c r="I1995" i="3" s="1"/>
  <c r="A1983" i="3"/>
  <c r="J1983" i="3" s="1"/>
  <c r="A1969" i="3"/>
  <c r="H1969" i="3" s="1"/>
  <c r="A1961" i="3"/>
  <c r="G1961" i="3" s="1"/>
  <c r="A1929" i="3"/>
  <c r="B1929" i="3" s="1"/>
  <c r="C1929" i="3" s="1"/>
  <c r="A1922" i="3"/>
  <c r="G1922" i="3" s="1"/>
  <c r="A1912" i="3"/>
  <c r="G1912" i="3" s="1"/>
  <c r="A1890" i="3"/>
  <c r="J1890" i="3" s="1"/>
  <c r="A1871" i="3"/>
  <c r="B1871" i="3" s="1"/>
  <c r="C1871" i="3" s="1"/>
  <c r="A1847" i="3"/>
  <c r="H1847" i="3" s="1"/>
  <c r="A1837" i="3"/>
  <c r="B1837" i="3" s="1"/>
  <c r="C1837" i="3" s="1"/>
  <c r="A1820" i="3"/>
  <c r="I1820" i="3" s="1"/>
  <c r="A1778" i="3"/>
  <c r="H1778" i="3" s="1"/>
  <c r="A1769" i="3"/>
  <c r="I1769" i="3" s="1"/>
  <c r="A1760" i="3"/>
  <c r="H1760" i="3" s="1"/>
  <c r="A1752" i="3"/>
  <c r="G1752" i="3" s="1"/>
  <c r="A1733" i="3"/>
  <c r="B1733" i="3" s="1"/>
  <c r="C1733" i="3" s="1"/>
  <c r="A1720" i="3"/>
  <c r="J1720" i="3" s="1"/>
  <c r="A1703" i="3"/>
  <c r="B1703" i="3" s="1"/>
  <c r="C1703" i="3" s="1"/>
  <c r="A1694" i="3"/>
  <c r="F1694" i="3" s="1"/>
  <c r="K1694" i="3" s="1"/>
  <c r="A1685" i="3"/>
  <c r="H1685" i="3" s="1"/>
  <c r="A1643" i="3"/>
  <c r="H1643" i="3" s="1"/>
  <c r="A1636" i="3"/>
  <c r="H1636" i="3" s="1"/>
  <c r="A1614" i="3"/>
  <c r="G1614" i="3" s="1"/>
  <c r="A1561" i="3"/>
  <c r="J1561" i="3" s="1"/>
  <c r="A2506" i="3"/>
  <c r="G2506" i="3" s="1"/>
  <c r="A2455" i="3"/>
  <c r="I2455" i="3" s="1"/>
  <c r="A2346" i="3"/>
  <c r="H2346" i="3" s="1"/>
  <c r="A2328" i="3"/>
  <c r="J2328" i="3" s="1"/>
  <c r="A2302" i="3"/>
  <c r="G2302" i="3" s="1"/>
  <c r="A2275" i="3"/>
  <c r="J2275" i="3" s="1"/>
  <c r="A2258" i="3"/>
  <c r="B2258" i="3" s="1"/>
  <c r="C2258" i="3" s="1"/>
  <c r="A2228" i="3"/>
  <c r="I2228" i="3" s="1"/>
  <c r="A2167" i="3"/>
  <c r="H2167" i="3" s="1"/>
  <c r="A2113" i="3"/>
  <c r="G2113" i="3" s="1"/>
  <c r="A2101" i="3"/>
  <c r="B2101" i="3" s="1"/>
  <c r="C2101" i="3" s="1"/>
  <c r="A2076" i="3"/>
  <c r="F2076" i="3" s="1"/>
  <c r="K2076" i="3" s="1"/>
  <c r="A2065" i="3"/>
  <c r="G2065" i="3" s="1"/>
  <c r="A2057" i="3"/>
  <c r="G2057" i="3" s="1"/>
  <c r="A2031" i="3"/>
  <c r="I2031" i="3" s="1"/>
  <c r="A2005" i="3"/>
  <c r="B2005" i="3" s="1"/>
  <c r="C2005" i="3" s="1"/>
  <c r="A1994" i="3"/>
  <c r="F1994" i="3" s="1"/>
  <c r="K1994" i="3" s="1"/>
  <c r="A1977" i="3"/>
  <c r="J1977" i="3" s="1"/>
  <c r="A1936" i="3"/>
  <c r="J1936" i="3" s="1"/>
  <c r="A1881" i="3"/>
  <c r="J1881" i="3" s="1"/>
  <c r="A1836" i="3"/>
  <c r="J1836" i="3" s="1"/>
  <c r="A1819" i="3"/>
  <c r="F1819" i="3" s="1"/>
  <c r="A2287" i="3"/>
  <c r="G2287" i="3" s="1"/>
  <c r="A2274" i="3"/>
  <c r="I2274" i="3" s="1"/>
  <c r="A2257" i="3"/>
  <c r="J2257" i="3" s="1"/>
  <c r="A2243" i="3"/>
  <c r="B2243" i="3" s="1"/>
  <c r="C2243" i="3" s="1"/>
  <c r="A2215" i="3"/>
  <c r="I2215" i="3" s="1"/>
  <c r="A2204" i="3"/>
  <c r="H2204" i="3" s="1"/>
  <c r="A2155" i="3"/>
  <c r="G2155" i="3" s="1"/>
  <c r="A2122" i="3"/>
  <c r="J2122" i="3" s="1"/>
  <c r="A2112" i="3"/>
  <c r="I2112" i="3" s="1"/>
  <c r="A2100" i="3"/>
  <c r="I2100" i="3" s="1"/>
  <c r="A2085" i="3"/>
  <c r="G2085" i="3" s="1"/>
  <c r="A2064" i="3"/>
  <c r="B2064" i="3" s="1"/>
  <c r="C2064" i="3" s="1"/>
  <c r="A2056" i="3"/>
  <c r="B2056" i="3" s="1"/>
  <c r="C2056" i="3" s="1"/>
  <c r="A2030" i="3"/>
  <c r="B2030" i="3" s="1"/>
  <c r="C2030" i="3" s="1"/>
  <c r="A2024" i="3"/>
  <c r="H2024" i="3" s="1"/>
  <c r="A2015" i="3"/>
  <c r="G2015" i="3" s="1"/>
  <c r="A2004" i="3"/>
  <c r="A1993" i="3"/>
  <c r="G1993" i="3" s="1"/>
  <c r="A1976" i="3"/>
  <c r="F1976" i="3" s="1"/>
  <c r="K1976" i="3" s="1"/>
  <c r="A1968" i="3"/>
  <c r="G1968" i="3" s="1"/>
  <c r="A1960" i="3"/>
  <c r="F1960" i="3" s="1"/>
  <c r="K1960" i="3" s="1"/>
  <c r="A1953" i="3"/>
  <c r="B1953" i="3" s="1"/>
  <c r="C1953" i="3" s="1"/>
  <c r="A1944" i="3"/>
  <c r="A1935" i="3"/>
  <c r="I1935" i="3" s="1"/>
  <c r="A1911" i="3"/>
  <c r="F1911" i="3" s="1"/>
  <c r="A1880" i="3"/>
  <c r="I1880" i="3" s="1"/>
  <c r="A2603" i="3"/>
  <c r="J2603" i="3" s="1"/>
  <c r="A2504" i="3"/>
  <c r="F2504" i="3" s="1"/>
  <c r="K2504" i="3" s="1"/>
  <c r="A2454" i="3"/>
  <c r="B2454" i="3" s="1"/>
  <c r="C2454" i="3" s="1"/>
  <c r="A2387" i="3"/>
  <c r="F2387" i="3" s="1"/>
  <c r="K2387" i="3" s="1"/>
  <c r="A2356" i="3"/>
  <c r="H2356" i="3" s="1"/>
  <c r="A2300" i="3"/>
  <c r="G2300" i="3" s="1"/>
  <c r="A2241" i="3"/>
  <c r="G2241" i="3" s="1"/>
  <c r="A2214" i="3"/>
  <c r="I2214" i="3" s="1"/>
  <c r="A2202" i="3"/>
  <c r="H2202" i="3" s="1"/>
  <c r="A2563" i="3"/>
  <c r="G2563" i="3" s="1"/>
  <c r="A2496" i="3"/>
  <c r="F2496" i="3" s="1"/>
  <c r="A2410" i="3"/>
  <c r="J2410" i="3" s="1"/>
  <c r="A2385" i="3"/>
  <c r="H2385" i="3" s="1"/>
  <c r="A2343" i="3"/>
  <c r="J2343" i="3" s="1"/>
  <c r="A2325" i="3"/>
  <c r="G2325" i="3" s="1"/>
  <c r="A2255" i="3"/>
  <c r="B2255" i="3" s="1"/>
  <c r="C2255" i="3" s="1"/>
  <c r="A2240" i="3"/>
  <c r="H2240" i="3" s="1"/>
  <c r="A2227" i="3"/>
  <c r="G2227" i="3" s="1"/>
  <c r="A2201" i="3"/>
  <c r="F2201" i="3" s="1"/>
  <c r="A2186" i="3"/>
  <c r="F2186" i="3" s="1"/>
  <c r="K2186" i="3" s="1"/>
  <c r="A2176" i="3"/>
  <c r="H2176" i="3" s="1"/>
  <c r="A2153" i="3"/>
  <c r="G2153" i="3" s="1"/>
  <c r="A2142" i="3"/>
  <c r="F2142" i="3" s="1"/>
  <c r="K2142" i="3" s="1"/>
  <c r="A2109" i="3"/>
  <c r="I2109" i="3" s="1"/>
  <c r="A2097" i="3"/>
  <c r="B2097" i="3" s="1"/>
  <c r="C2097" i="3" s="1"/>
  <c r="A2039" i="3"/>
  <c r="H2039" i="3" s="1"/>
  <c r="A2028" i="3"/>
  <c r="B2028" i="3" s="1"/>
  <c r="C2028" i="3" s="1"/>
  <c r="A1991" i="3"/>
  <c r="B1991" i="3" s="1"/>
  <c r="C1991" i="3" s="1"/>
  <c r="A1974" i="3"/>
  <c r="G1974" i="3" s="1"/>
  <c r="A1951" i="3"/>
  <c r="B1951" i="3" s="1"/>
  <c r="C1951" i="3" s="1"/>
  <c r="A1928" i="3"/>
  <c r="G1928" i="3" s="1"/>
  <c r="A1898" i="3"/>
  <c r="H1898" i="3" s="1"/>
  <c r="A1869" i="3"/>
  <c r="J1869" i="3" s="1"/>
  <c r="A1856" i="3"/>
  <c r="F1856" i="3" s="1"/>
  <c r="K1856" i="3" s="1"/>
  <c r="A2558" i="3"/>
  <c r="B2558" i="3" s="1"/>
  <c r="C2558" i="3" s="1"/>
  <c r="A2492" i="3"/>
  <c r="I2492" i="3" s="1"/>
  <c r="A2445" i="3"/>
  <c r="B2445" i="3" s="1"/>
  <c r="C2445" i="3" s="1"/>
  <c r="A2408" i="3"/>
  <c r="I2408" i="3" s="1"/>
  <c r="A2342" i="3"/>
  <c r="H2342" i="3" s="1"/>
  <c r="A2312" i="3"/>
  <c r="I2312" i="3" s="1"/>
  <c r="A2298" i="3"/>
  <c r="G2298" i="3" s="1"/>
  <c r="A2286" i="3"/>
  <c r="A2273" i="3"/>
  <c r="B2273" i="3" s="1"/>
  <c r="C2273" i="3" s="1"/>
  <c r="A2254" i="3"/>
  <c r="J2254" i="3" s="1"/>
  <c r="A2238" i="3"/>
  <c r="I2238" i="3" s="1"/>
  <c r="A2212" i="3"/>
  <c r="J2212" i="3" s="1"/>
  <c r="A2200" i="3"/>
  <c r="J2200" i="3" s="1"/>
  <c r="A2175" i="3"/>
  <c r="H2175" i="3" s="1"/>
  <c r="A2166" i="3"/>
  <c r="A2152" i="3"/>
  <c r="I2152" i="3" s="1"/>
  <c r="A2121" i="3"/>
  <c r="I2121" i="3" s="1"/>
  <c r="A2096" i="3"/>
  <c r="G2096" i="3" s="1"/>
  <c r="A2083" i="3"/>
  <c r="H2083" i="3" s="1"/>
  <c r="A2062" i="3"/>
  <c r="B2062" i="3" s="1"/>
  <c r="C2062" i="3" s="1"/>
  <c r="A2054" i="3"/>
  <c r="B2054" i="3" s="1"/>
  <c r="C2054" i="3" s="1"/>
  <c r="A2046" i="3"/>
  <c r="A2023" i="3"/>
  <c r="F2023" i="3" s="1"/>
  <c r="K2023" i="3" s="1"/>
  <c r="A2324" i="3"/>
  <c r="B2324" i="3" s="1"/>
  <c r="C2324" i="3" s="1"/>
  <c r="A2309" i="3"/>
  <c r="G2309" i="3" s="1"/>
  <c r="A2296" i="3"/>
  <c r="G2296" i="3" s="1"/>
  <c r="A2269" i="3"/>
  <c r="B2269" i="3" s="1"/>
  <c r="C2269" i="3" s="1"/>
  <c r="A2237" i="3"/>
  <c r="J2237" i="3" s="1"/>
  <c r="A2173" i="3"/>
  <c r="I2173" i="3" s="1"/>
  <c r="A2164" i="3"/>
  <c r="H2164" i="3" s="1"/>
  <c r="A2150" i="3"/>
  <c r="F2150" i="3" s="1"/>
  <c r="K2150" i="3" s="1"/>
  <c r="A2141" i="3"/>
  <c r="F2141" i="3" s="1"/>
  <c r="K2141" i="3" s="1"/>
  <c r="A2130" i="3"/>
  <c r="H2130" i="3" s="1"/>
  <c r="A2108" i="3"/>
  <c r="H2108" i="3" s="1"/>
  <c r="A2094" i="3"/>
  <c r="G2094" i="3" s="1"/>
  <c r="A2045" i="3"/>
  <c r="B2045" i="3" s="1"/>
  <c r="C2045" i="3" s="1"/>
  <c r="A2037" i="3"/>
  <c r="H2037" i="3" s="1"/>
  <c r="A2027" i="3"/>
  <c r="B2027" i="3" s="1"/>
  <c r="C2027" i="3" s="1"/>
  <c r="A1966" i="3"/>
  <c r="B1966" i="3" s="1"/>
  <c r="C1966" i="3" s="1"/>
  <c r="A1958" i="3"/>
  <c r="J1958" i="3" s="1"/>
  <c r="A1949" i="3"/>
  <c r="B1949" i="3" s="1"/>
  <c r="C1949" i="3" s="1"/>
  <c r="A1919" i="3"/>
  <c r="G1919" i="3" s="1"/>
  <c r="A1897" i="3"/>
  <c r="J1897" i="3" s="1"/>
  <c r="A1876" i="3"/>
  <c r="G1876" i="3" s="1"/>
  <c r="A1853" i="3"/>
  <c r="I1853" i="3" s="1"/>
  <c r="A1831" i="3"/>
  <c r="J1831" i="3" s="1"/>
  <c r="A1804" i="3"/>
  <c r="I1804" i="3" s="1"/>
  <c r="A1766" i="3"/>
  <c r="A1748" i="3"/>
  <c r="I1748" i="3" s="1"/>
  <c r="A1914" i="3"/>
  <c r="J1914" i="3" s="1"/>
  <c r="A2034" i="3"/>
  <c r="H2034" i="3" s="1"/>
  <c r="A2069" i="3"/>
  <c r="J2069" i="3" s="1"/>
  <c r="A2115" i="3"/>
  <c r="I2115" i="3" s="1"/>
  <c r="A2500" i="3"/>
  <c r="F2500" i="3" s="1"/>
  <c r="A1889" i="3"/>
  <c r="G1889" i="3" s="1"/>
  <c r="A2035" i="3"/>
  <c r="G2035" i="3" s="1"/>
  <c r="A2071" i="3"/>
  <c r="H2071" i="3" s="1"/>
  <c r="A2116" i="3"/>
  <c r="I2116" i="3" s="1"/>
  <c r="A2525" i="3"/>
  <c r="I2525" i="3" s="1"/>
  <c r="A2247" i="3"/>
  <c r="H2247" i="3" s="1"/>
  <c r="A2345" i="3"/>
  <c r="H2345" i="3" s="1"/>
  <c r="A2553" i="3"/>
  <c r="G2553" i="3" s="1"/>
  <c r="A1934" i="3"/>
  <c r="G1934" i="3" s="1"/>
  <c r="A1959" i="3"/>
  <c r="B1959" i="3" s="1"/>
  <c r="C1959" i="3" s="1"/>
  <c r="A2012" i="3"/>
  <c r="I2012" i="3" s="1"/>
  <c r="A2174" i="3"/>
  <c r="F2174" i="3" s="1"/>
  <c r="A2569" i="3"/>
  <c r="J2569" i="3" s="1"/>
  <c r="A2013" i="3"/>
  <c r="J2013" i="3" s="1"/>
  <c r="A2040" i="3"/>
  <c r="G2040" i="3" s="1"/>
  <c r="A2075" i="3"/>
  <c r="F2075" i="3" s="1"/>
  <c r="K2075" i="3" s="1"/>
  <c r="A1982" i="3"/>
  <c r="J1982" i="3" s="1"/>
  <c r="A2263" i="3"/>
  <c r="F2263" i="3" s="1"/>
  <c r="A2355" i="3"/>
  <c r="G2355" i="3" s="1"/>
  <c r="A1963" i="3"/>
  <c r="B1963" i="3" s="1"/>
  <c r="C1963" i="3" s="1"/>
  <c r="A1987" i="3"/>
  <c r="G1987" i="3" s="1"/>
  <c r="A2014" i="3"/>
  <c r="B2014" i="3" s="1"/>
  <c r="C2014" i="3" s="1"/>
  <c r="A2043" i="3"/>
  <c r="H2043" i="3" s="1"/>
  <c r="A2180" i="3"/>
  <c r="F2180" i="3" s="1"/>
  <c r="A2271" i="3"/>
  <c r="I2271" i="3" s="1"/>
  <c r="A1921" i="3"/>
  <c r="I1921" i="3" s="1"/>
  <c r="A1941" i="3"/>
  <c r="B1941" i="3" s="1"/>
  <c r="C1941" i="3" s="1"/>
  <c r="A2020" i="3"/>
  <c r="F2020" i="3" s="1"/>
  <c r="K2020" i="3" s="1"/>
  <c r="A2131" i="3"/>
  <c r="J2131" i="3" s="1"/>
  <c r="A2185" i="3"/>
  <c r="H2185" i="3" s="1"/>
  <c r="A1834" i="3"/>
  <c r="G1834" i="3" s="1"/>
  <c r="A1924" i="3"/>
  <c r="B1924" i="3" s="1"/>
  <c r="C1924" i="3" s="1"/>
  <c r="A1942" i="3"/>
  <c r="F1942" i="3" s="1"/>
  <c r="A2021" i="3"/>
  <c r="J2021" i="3" s="1"/>
  <c r="A2132" i="3"/>
  <c r="B2132" i="3" s="1"/>
  <c r="C2132" i="3" s="1"/>
  <c r="A2369" i="3"/>
  <c r="F2369" i="3" s="1"/>
  <c r="K2369" i="3" s="1"/>
  <c r="A1740" i="3"/>
  <c r="I1740" i="3" s="1"/>
  <c r="A1821" i="3"/>
  <c r="A1852" i="3"/>
  <c r="I1852" i="3" s="1"/>
  <c r="A1875" i="3"/>
  <c r="H1875" i="3" s="1"/>
  <c r="A2084" i="3"/>
  <c r="B2084" i="3" s="1"/>
  <c r="C2084" i="3" s="1"/>
  <c r="A1878" i="3"/>
  <c r="F1878" i="3" s="1"/>
  <c r="K1878" i="3" s="1"/>
  <c r="A1900" i="3"/>
  <c r="G1900" i="3" s="1"/>
  <c r="A1967" i="3"/>
  <c r="H1967" i="3" s="1"/>
  <c r="A2051" i="3"/>
  <c r="G2051" i="3" s="1"/>
  <c r="A2199" i="3"/>
  <c r="B2199" i="3" s="1"/>
  <c r="C2199" i="3" s="1"/>
  <c r="A2291" i="3"/>
  <c r="J2291" i="3" s="1"/>
  <c r="A1840" i="3"/>
  <c r="J1840" i="3" s="1"/>
  <c r="A1857" i="3"/>
  <c r="B1857" i="3" s="1"/>
  <c r="C1857" i="3" s="1"/>
  <c r="A1992" i="3"/>
  <c r="J1992" i="3" s="1"/>
  <c r="A2053" i="3"/>
  <c r="F2053" i="3" s="1"/>
  <c r="K2053" i="3" s="1"/>
  <c r="A2095" i="3"/>
  <c r="J2095" i="3" s="1"/>
  <c r="A2297" i="3"/>
  <c r="J2297" i="3" s="1"/>
  <c r="A2055" i="3"/>
  <c r="F2055" i="3" s="1"/>
  <c r="K2055" i="3" s="1"/>
  <c r="A2098" i="3"/>
  <c r="J2098" i="3" s="1"/>
  <c r="A2143" i="3"/>
  <c r="G2143" i="3" s="1"/>
  <c r="A2299" i="3"/>
  <c r="J2299" i="3" s="1"/>
  <c r="A2407" i="3"/>
  <c r="J2407" i="3" s="1"/>
  <c r="A2354" i="3"/>
  <c r="H2354" i="3" s="1"/>
  <c r="A2367" i="3"/>
  <c r="G2367" i="3" s="1"/>
  <c r="A2378" i="3"/>
  <c r="I2378" i="3" s="1"/>
  <c r="A2439" i="3"/>
  <c r="H2439" i="3" s="1"/>
  <c r="A2485" i="3"/>
  <c r="B2485" i="3" s="1"/>
  <c r="C2485" i="3" s="1"/>
  <c r="A2552" i="3"/>
  <c r="G2552" i="3" s="1"/>
  <c r="P1114" i="2"/>
  <c r="O1114" i="2"/>
  <c r="O1580" i="2"/>
  <c r="P1580" i="2"/>
  <c r="O1592" i="2"/>
  <c r="P1592" i="2"/>
  <c r="P2548" i="2"/>
  <c r="O2548" i="2"/>
  <c r="O1347" i="2"/>
  <c r="P1347" i="2"/>
  <c r="P1545" i="2"/>
  <c r="O1545" i="2"/>
  <c r="O1911" i="2"/>
  <c r="P1911" i="2"/>
  <c r="P2560" i="2"/>
  <c r="O2560" i="2"/>
  <c r="P1227" i="2"/>
  <c r="O1227" i="2"/>
  <c r="O2541" i="2"/>
  <c r="P2541" i="2"/>
  <c r="A2301" i="3"/>
  <c r="F2301" i="3" s="1"/>
  <c r="A2315" i="3"/>
  <c r="I2315" i="3" s="1"/>
  <c r="A2388" i="3"/>
  <c r="I2388" i="3" s="1"/>
  <c r="A2414" i="3"/>
  <c r="I2414" i="3" s="1"/>
  <c r="A2654" i="3"/>
  <c r="J2654" i="3" s="1"/>
  <c r="O2344" i="2"/>
  <c r="P2344" i="2"/>
  <c r="O1849" i="2"/>
  <c r="P1849" i="2"/>
  <c r="A2205" i="3"/>
  <c r="A2229" i="3"/>
  <c r="I2229" i="3" s="1"/>
  <c r="A2329" i="3"/>
  <c r="B2329" i="3" s="1"/>
  <c r="C2329" i="3" s="1"/>
  <c r="A2347" i="3"/>
  <c r="A2417" i="3"/>
  <c r="G2417" i="3" s="1"/>
  <c r="A2456" i="3"/>
  <c r="F2456" i="3" s="1"/>
  <c r="K2456" i="3" s="1"/>
  <c r="A2509" i="3"/>
  <c r="B2509" i="3" s="1"/>
  <c r="C2509" i="3" s="1"/>
  <c r="A2371" i="3"/>
  <c r="A2419" i="3"/>
  <c r="A2460" i="3"/>
  <c r="G2460" i="3" s="1"/>
  <c r="O1216" i="2"/>
  <c r="P1216" i="2"/>
  <c r="O1496" i="2"/>
  <c r="P1496" i="2"/>
  <c r="A2278" i="3"/>
  <c r="I2278" i="3" s="1"/>
  <c r="A2289" i="3"/>
  <c r="B2289" i="3" s="1"/>
  <c r="C2289" i="3" s="1"/>
  <c r="A2332" i="3"/>
  <c r="I2332" i="3" s="1"/>
  <c r="A2389" i="3"/>
  <c r="B2389" i="3" s="1"/>
  <c r="C2389" i="3" s="1"/>
  <c r="A2461" i="3"/>
  <c r="F2461" i="3" s="1"/>
  <c r="K2461" i="3" s="1"/>
  <c r="A2510" i="3"/>
  <c r="G2510" i="3" s="1"/>
  <c r="P2845" i="2"/>
  <c r="O2845" i="2"/>
  <c r="A2217" i="3"/>
  <c r="J2217" i="3" s="1"/>
  <c r="A2282" i="3"/>
  <c r="F2282" i="3" s="1"/>
  <c r="K2282" i="3" s="1"/>
  <c r="A2290" i="3"/>
  <c r="G2290" i="3" s="1"/>
  <c r="A2373" i="3"/>
  <c r="I2373" i="3" s="1"/>
  <c r="A2392" i="3"/>
  <c r="G2392" i="3" s="1"/>
  <c r="A2425" i="3"/>
  <c r="J2425" i="3" s="1"/>
  <c r="A2465" i="3"/>
  <c r="I2465" i="3" s="1"/>
  <c r="A2520" i="3"/>
  <c r="H2520" i="3" s="1"/>
  <c r="P1454" i="2"/>
  <c r="O1454" i="2"/>
  <c r="P2182" i="2"/>
  <c r="O2182" i="2"/>
  <c r="A2375" i="3"/>
  <c r="I2375" i="3" s="1"/>
  <c r="A2394" i="3"/>
  <c r="H2394" i="3" s="1"/>
  <c r="A2428" i="3"/>
  <c r="F2428" i="3" s="1"/>
  <c r="K2428" i="3" s="1"/>
  <c r="A2472" i="3"/>
  <c r="F2472" i="3" s="1"/>
  <c r="K2472" i="3" s="1"/>
  <c r="A2530" i="3"/>
  <c r="G2530" i="3" s="1"/>
  <c r="O1159" i="2"/>
  <c r="P1159" i="2"/>
  <c r="P1178" i="2"/>
  <c r="O1178" i="2"/>
  <c r="P1182" i="2"/>
  <c r="O1182" i="2"/>
  <c r="O2710" i="2"/>
  <c r="P2710" i="2"/>
  <c r="O2718" i="2"/>
  <c r="P2718" i="2"/>
  <c r="P2842" i="2"/>
  <c r="O2842" i="2"/>
  <c r="P1381" i="2"/>
  <c r="O1381" i="2"/>
  <c r="O1428" i="2"/>
  <c r="P1428" i="2"/>
  <c r="P2067" i="2"/>
  <c r="O2067" i="2"/>
  <c r="O2726" i="2"/>
  <c r="P2726" i="2"/>
  <c r="A2320" i="3"/>
  <c r="G2320" i="3" s="1"/>
  <c r="A2337" i="3"/>
  <c r="J2337" i="3" s="1"/>
  <c r="A2351" i="3"/>
  <c r="B2351" i="3" s="1"/>
  <c r="C2351" i="3" s="1"/>
  <c r="A2363" i="3"/>
  <c r="H2363" i="3" s="1"/>
  <c r="A2377" i="3"/>
  <c r="B2377" i="3" s="1"/>
  <c r="C2377" i="3" s="1"/>
  <c r="A2399" i="3"/>
  <c r="H2399" i="3" s="1"/>
  <c r="A2431" i="3"/>
  <c r="J2431" i="3" s="1"/>
  <c r="A2539" i="3"/>
  <c r="H2539" i="3" s="1"/>
  <c r="P1413" i="2"/>
  <c r="O1413" i="2"/>
  <c r="P1770" i="2"/>
  <c r="O1770" i="2"/>
  <c r="P1774" i="2"/>
  <c r="O1774" i="2"/>
  <c r="A2368" i="3"/>
  <c r="A2359" i="3"/>
  <c r="H2359" i="3" s="1"/>
  <c r="A2319" i="3"/>
  <c r="J2319" i="3" s="1"/>
  <c r="A2279" i="3"/>
  <c r="B2279" i="3" s="1"/>
  <c r="C2279" i="3" s="1"/>
  <c r="A2225" i="3"/>
  <c r="B2225" i="3" s="1"/>
  <c r="C2225" i="3" s="1"/>
  <c r="A2146" i="3"/>
  <c r="B2146" i="3" s="1"/>
  <c r="C2146" i="3" s="1"/>
  <c r="A2126" i="3"/>
  <c r="B2126" i="3" s="1"/>
  <c r="C2126" i="3" s="1"/>
  <c r="A2117" i="3"/>
  <c r="F2117" i="3" s="1"/>
  <c r="K2117" i="3" s="1"/>
  <c r="A2093" i="3"/>
  <c r="B2093" i="3" s="1"/>
  <c r="C2093" i="3" s="1"/>
  <c r="A2041" i="3"/>
  <c r="I2041" i="3" s="1"/>
  <c r="A2017" i="3"/>
  <c r="H2017" i="3" s="1"/>
  <c r="A2008" i="3"/>
  <c r="I2008" i="3" s="1"/>
  <c r="A1996" i="3"/>
  <c r="G1996" i="3" s="1"/>
  <c r="A1972" i="3"/>
  <c r="H1972" i="3" s="1"/>
  <c r="A1956" i="3"/>
  <c r="I1956" i="3" s="1"/>
  <c r="A1927" i="3"/>
  <c r="G1927" i="3" s="1"/>
  <c r="A1910" i="3"/>
  <c r="G1910" i="3" s="1"/>
  <c r="A1879" i="3"/>
  <c r="H1879" i="3" s="1"/>
  <c r="A1848" i="3"/>
  <c r="F1848" i="3" s="1"/>
  <c r="A1839" i="3"/>
  <c r="F1839" i="3" s="1"/>
  <c r="K1839" i="3" s="1"/>
  <c r="A1802" i="3"/>
  <c r="H1802" i="3" s="1"/>
  <c r="A2538" i="3"/>
  <c r="I2538" i="3" s="1"/>
  <c r="A2464" i="3"/>
  <c r="I2464" i="3" s="1"/>
  <c r="A2438" i="3"/>
  <c r="H2438" i="3" s="1"/>
  <c r="A2416" i="3"/>
  <c r="H2416" i="3" s="1"/>
  <c r="A2398" i="3"/>
  <c r="B2398" i="3" s="1"/>
  <c r="C2398" i="3" s="1"/>
  <c r="A2372" i="3"/>
  <c r="G2372" i="3" s="1"/>
  <c r="A2349" i="3"/>
  <c r="B2349" i="3" s="1"/>
  <c r="C2349" i="3" s="1"/>
  <c r="A2341" i="3"/>
  <c r="B2341" i="3" s="1"/>
  <c r="C2341" i="3" s="1"/>
  <c r="A2318" i="3"/>
  <c r="G2318" i="3" s="1"/>
  <c r="A2311" i="3"/>
  <c r="J2311" i="3" s="1"/>
  <c r="A2303" i="3"/>
  <c r="J2303" i="3" s="1"/>
  <c r="A2266" i="3"/>
  <c r="F2266" i="3" s="1"/>
  <c r="K2266" i="3" s="1"/>
  <c r="A2245" i="3"/>
  <c r="A2190" i="3"/>
  <c r="F2190" i="3" s="1"/>
  <c r="K2190" i="3" s="1"/>
  <c r="A2183" i="3"/>
  <c r="J2183" i="3" s="1"/>
  <c r="A2493" i="3"/>
  <c r="F2493" i="3" s="1"/>
  <c r="A2462" i="3"/>
  <c r="F2462" i="3" s="1"/>
  <c r="K2462" i="3" s="1"/>
  <c r="A2436" i="3"/>
  <c r="J2436" i="3" s="1"/>
  <c r="A2415" i="3"/>
  <c r="J2415" i="3" s="1"/>
  <c r="A2395" i="3"/>
  <c r="I2395" i="3" s="1"/>
  <c r="A2384" i="3"/>
  <c r="B2384" i="3" s="1"/>
  <c r="C2384" i="3" s="1"/>
  <c r="A2357" i="3"/>
  <c r="B2357" i="3" s="1"/>
  <c r="C2357" i="3" s="1"/>
  <c r="A2348" i="3"/>
  <c r="J2348" i="3" s="1"/>
  <c r="A2327" i="3"/>
  <c r="H2327" i="3" s="1"/>
  <c r="A2276" i="3"/>
  <c r="I2276" i="3" s="1"/>
  <c r="A2244" i="3"/>
  <c r="G2244" i="3" s="1"/>
  <c r="A2222" i="3"/>
  <c r="I2222" i="3" s="1"/>
  <c r="A2211" i="3"/>
  <c r="G2211" i="3" s="1"/>
  <c r="A2165" i="3"/>
  <c r="H2165" i="3" s="1"/>
  <c r="A2154" i="3"/>
  <c r="H2154" i="3" s="1"/>
  <c r="A2144" i="3"/>
  <c r="F2144" i="3" s="1"/>
  <c r="K2144" i="3" s="1"/>
  <c r="A2134" i="3"/>
  <c r="F2134" i="3" s="1"/>
  <c r="K2134" i="3" s="1"/>
  <c r="A2124" i="3"/>
  <c r="H2124" i="3" s="1"/>
  <c r="A2105" i="3"/>
  <c r="J2105" i="3" s="1"/>
  <c r="A2090" i="3"/>
  <c r="G2090" i="3" s="1"/>
  <c r="A2627" i="3"/>
  <c r="J2627" i="3" s="1"/>
  <c r="A2527" i="3"/>
  <c r="B2527" i="3" s="1"/>
  <c r="C2527" i="3" s="1"/>
  <c r="A2489" i="3"/>
  <c r="J2489" i="3" s="1"/>
  <c r="A2433" i="3"/>
  <c r="G2433" i="3" s="1"/>
  <c r="A2413" i="3"/>
  <c r="J2413" i="3" s="1"/>
  <c r="A2393" i="3"/>
  <c r="G2393" i="3" s="1"/>
  <c r="A2383" i="3"/>
  <c r="B2383" i="3" s="1"/>
  <c r="C2383" i="3" s="1"/>
  <c r="A2339" i="3"/>
  <c r="G2339" i="3" s="1"/>
  <c r="A2326" i="3"/>
  <c r="J2326" i="3" s="1"/>
  <c r="A2316" i="3"/>
  <c r="H2316" i="3" s="1"/>
  <c r="A2308" i="3"/>
  <c r="B2308" i="3" s="1"/>
  <c r="C2308" i="3" s="1"/>
  <c r="A2292" i="3"/>
  <c r="G2292" i="3" s="1"/>
  <c r="A2285" i="3"/>
  <c r="J2285" i="3" s="1"/>
  <c r="A2264" i="3"/>
  <c r="J2264" i="3" s="1"/>
  <c r="A2253" i="3"/>
  <c r="G2253" i="3" s="1"/>
  <c r="A2242" i="3"/>
  <c r="I2242" i="3" s="1"/>
  <c r="A2232" i="3"/>
  <c r="H2232" i="3" s="1"/>
  <c r="A2220" i="3"/>
  <c r="B2220" i="3" s="1"/>
  <c r="C2220" i="3" s="1"/>
  <c r="A2203" i="3"/>
  <c r="I2203" i="3" s="1"/>
  <c r="A2587" i="3"/>
  <c r="G2587" i="3" s="1"/>
  <c r="A2523" i="3"/>
  <c r="H2523" i="3" s="1"/>
  <c r="A2486" i="3"/>
  <c r="J2486" i="3" s="1"/>
  <c r="A2458" i="3"/>
  <c r="H2458" i="3" s="1"/>
  <c r="A2412" i="3"/>
  <c r="B2412" i="3" s="1"/>
  <c r="C2412" i="3" s="1"/>
  <c r="A2379" i="3"/>
  <c r="I2379" i="3" s="1"/>
  <c r="A2370" i="3"/>
  <c r="F2370" i="3" s="1"/>
  <c r="K2370" i="3" s="1"/>
  <c r="A2549" i="3"/>
  <c r="I2549" i="3" s="1"/>
  <c r="A2507" i="3"/>
  <c r="B2507" i="3" s="1"/>
  <c r="C2507" i="3" s="1"/>
  <c r="A2477" i="3"/>
  <c r="B2477" i="3" s="1"/>
  <c r="C2477" i="3" s="1"/>
  <c r="A2423" i="3"/>
  <c r="J2423" i="3" s="1"/>
  <c r="A2334" i="3"/>
  <c r="H2334" i="3" s="1"/>
  <c r="A2314" i="3"/>
  <c r="I2314" i="3" s="1"/>
  <c r="A2270" i="3"/>
  <c r="F2270" i="3" s="1"/>
  <c r="K2270" i="3" s="1"/>
  <c r="A2505" i="3"/>
  <c r="B2505" i="3" s="1"/>
  <c r="C2505" i="3" s="1"/>
  <c r="A2447" i="3"/>
  <c r="G2447" i="3" s="1"/>
  <c r="A2406" i="3"/>
  <c r="H2406" i="3" s="1"/>
  <c r="A2376" i="3"/>
  <c r="I2376" i="3" s="1"/>
  <c r="A2352" i="3"/>
  <c r="J2352" i="3" s="1"/>
  <c r="A2344" i="3"/>
  <c r="H2344" i="3" s="1"/>
  <c r="A2333" i="3"/>
  <c r="F2333" i="3" s="1"/>
  <c r="K2333" i="3" s="1"/>
  <c r="A2323" i="3"/>
  <c r="J2323" i="3" s="1"/>
  <c r="A2283" i="3"/>
  <c r="J2283" i="3" s="1"/>
  <c r="A2268" i="3"/>
  <c r="B2268" i="3" s="1"/>
  <c r="C2268" i="3" s="1"/>
  <c r="A2256" i="3"/>
  <c r="I2256" i="3" s="1"/>
  <c r="A2542" i="3"/>
  <c r="B2542" i="3" s="1"/>
  <c r="C2542" i="3" s="1"/>
  <c r="A2443" i="3"/>
  <c r="J2443" i="3" s="1"/>
  <c r="A2402" i="3"/>
  <c r="F2402" i="3" s="1"/>
  <c r="A2360" i="3"/>
  <c r="B2360" i="3" s="1"/>
  <c r="C2360" i="3" s="1"/>
  <c r="A2322" i="3"/>
  <c r="B2322" i="3" s="1"/>
  <c r="C2322" i="3" s="1"/>
  <c r="A2294" i="3"/>
  <c r="J2294" i="3" s="1"/>
  <c r="A2281" i="3"/>
  <c r="B2281" i="3" s="1"/>
  <c r="C2281" i="3" s="1"/>
  <c r="A2235" i="3"/>
  <c r="A2213" i="3"/>
  <c r="F2213" i="3" s="1"/>
  <c r="A2193" i="3"/>
  <c r="I2193" i="3" s="1"/>
  <c r="A2158" i="3"/>
  <c r="B2158" i="3" s="1"/>
  <c r="C2158" i="3" s="1"/>
  <c r="P1140" i="2"/>
  <c r="O1140" i="2"/>
  <c r="A2140" i="3"/>
  <c r="B2140" i="3" s="1"/>
  <c r="C2140" i="3" s="1"/>
  <c r="A2171" i="3"/>
  <c r="J2171" i="3" s="1"/>
  <c r="A2197" i="3"/>
  <c r="I2197" i="3" s="1"/>
  <c r="A2224" i="3"/>
  <c r="F2224" i="3" s="1"/>
  <c r="K2224" i="3" s="1"/>
  <c r="A2252" i="3"/>
  <c r="B2252" i="3" s="1"/>
  <c r="C2252" i="3" s="1"/>
  <c r="A2267" i="3"/>
  <c r="H2267" i="3" s="1"/>
  <c r="A2295" i="3"/>
  <c r="H2295" i="3" s="1"/>
  <c r="A2338" i="3"/>
  <c r="J2338" i="3" s="1"/>
  <c r="A2365" i="3"/>
  <c r="I2365" i="3" s="1"/>
  <c r="A2404" i="3"/>
  <c r="H2404" i="3" s="1"/>
  <c r="A2435" i="3"/>
  <c r="I2435" i="3" s="1"/>
  <c r="A2544" i="3"/>
  <c r="G2544" i="3" s="1"/>
  <c r="P1121" i="2"/>
  <c r="O1121" i="2"/>
  <c r="P1125" i="2"/>
  <c r="O1125" i="2"/>
  <c r="O1972" i="2"/>
  <c r="P1972" i="2"/>
  <c r="O2640" i="2"/>
  <c r="P2640" i="2"/>
  <c r="P1370" i="2"/>
  <c r="O1370" i="2"/>
  <c r="P1619" i="2"/>
  <c r="O1619" i="2"/>
  <c r="O1693" i="2"/>
  <c r="P1693" i="2"/>
  <c r="P2648" i="2"/>
  <c r="O2648" i="2"/>
  <c r="A2643" i="3"/>
  <c r="I2643" i="3" s="1"/>
  <c r="A2533" i="3"/>
  <c r="G2533" i="3" s="1"/>
  <c r="A2502" i="3"/>
  <c r="J2502" i="3" s="1"/>
  <c r="A2476" i="3"/>
  <c r="B2476" i="3" s="1"/>
  <c r="C2476" i="3" s="1"/>
  <c r="A2450" i="3"/>
  <c r="G2450" i="3" s="1"/>
  <c r="A2429" i="3"/>
  <c r="B2429" i="3" s="1"/>
  <c r="C2429" i="3" s="1"/>
  <c r="A2358" i="3"/>
  <c r="J2358" i="3" s="1"/>
  <c r="A2330" i="3"/>
  <c r="F2330" i="3" s="1"/>
  <c r="A2321" i="3"/>
  <c r="J2321" i="3" s="1"/>
  <c r="A2313" i="3"/>
  <c r="H2313" i="3" s="1"/>
  <c r="A2272" i="3"/>
  <c r="F2272" i="3" s="1"/>
  <c r="K2272" i="3" s="1"/>
  <c r="A2260" i="3"/>
  <c r="I2260" i="3" s="1"/>
  <c r="A2251" i="3"/>
  <c r="F2251" i="3" s="1"/>
  <c r="K2251" i="3" s="1"/>
  <c r="A2239" i="3"/>
  <c r="J2239" i="3" s="1"/>
  <c r="A2219" i="3"/>
  <c r="I2219" i="3" s="1"/>
  <c r="A2210" i="3"/>
  <c r="G2210" i="3" s="1"/>
  <c r="A2189" i="3"/>
  <c r="I2189" i="3" s="1"/>
  <c r="A2156" i="3"/>
  <c r="G2156" i="3" s="1"/>
  <c r="A2128" i="3"/>
  <c r="F2128" i="3" s="1"/>
  <c r="K2128" i="3" s="1"/>
  <c r="A2119" i="3"/>
  <c r="F2119" i="3" s="1"/>
  <c r="A2099" i="3"/>
  <c r="B2099" i="3" s="1"/>
  <c r="C2099" i="3" s="1"/>
  <c r="A2086" i="3"/>
  <c r="A2068" i="3"/>
  <c r="G2068" i="3" s="1"/>
  <c r="A2586" i="3"/>
  <c r="B2586" i="3" s="1"/>
  <c r="C2586" i="3" s="1"/>
  <c r="A2528" i="3"/>
  <c r="B2528" i="3" s="1"/>
  <c r="C2528" i="3" s="1"/>
  <c r="A2497" i="3"/>
  <c r="H2497" i="3" s="1"/>
  <c r="A2466" i="3"/>
  <c r="J2466" i="3" s="1"/>
  <c r="A2424" i="3"/>
  <c r="H2424" i="3" s="1"/>
  <c r="A2564" i="3"/>
  <c r="F2564" i="3" s="1"/>
  <c r="K2564" i="3" s="1"/>
  <c r="A2495" i="3"/>
  <c r="F2495" i="3" s="1"/>
  <c r="K2495" i="3" s="1"/>
  <c r="A2444" i="3"/>
  <c r="H2444" i="3" s="1"/>
  <c r="A2421" i="3"/>
  <c r="I2421" i="3" s="1"/>
  <c r="O1158" i="2"/>
  <c r="P1158" i="2"/>
  <c r="O1438" i="2"/>
  <c r="P1438" i="2"/>
  <c r="O1610" i="2"/>
  <c r="P1610" i="2"/>
  <c r="O1986" i="2"/>
  <c r="P1986" i="2"/>
  <c r="O2771" i="2"/>
  <c r="P2771" i="2"/>
  <c r="P1622" i="2"/>
  <c r="O1622" i="2"/>
  <c r="P1738" i="2"/>
  <c r="O1738" i="2"/>
  <c r="O2139" i="2"/>
  <c r="P2139" i="2"/>
  <c r="O2520" i="2"/>
  <c r="P2520" i="2"/>
  <c r="P1250" i="2"/>
  <c r="O1250" i="2"/>
  <c r="P1503" i="2"/>
  <c r="O1503" i="2"/>
  <c r="O1676" i="2"/>
  <c r="P1676" i="2"/>
  <c r="O2297" i="2"/>
  <c r="P2297" i="2"/>
  <c r="P2451" i="2"/>
  <c r="O2451" i="2"/>
  <c r="P2686" i="2"/>
  <c r="O2686" i="2"/>
  <c r="P1155" i="2"/>
  <c r="O1155" i="2"/>
  <c r="P1515" i="2"/>
  <c r="O1515" i="2"/>
  <c r="P1661" i="2"/>
  <c r="O1661" i="2"/>
  <c r="P2386" i="2"/>
  <c r="O2386" i="2"/>
  <c r="P2594" i="2"/>
  <c r="O2594" i="2"/>
  <c r="O2953" i="2"/>
  <c r="P2953" i="2"/>
  <c r="O1316" i="2"/>
  <c r="P1316" i="2"/>
  <c r="P1716" i="2"/>
  <c r="O1716" i="2"/>
  <c r="O1719" i="2"/>
  <c r="O1755" i="2"/>
  <c r="P1755" i="2"/>
  <c r="P1961" i="2"/>
  <c r="O1961" i="2"/>
  <c r="O1976" i="2"/>
  <c r="P1976" i="2"/>
  <c r="P1979" i="2"/>
  <c r="P2290" i="2"/>
  <c r="O2290" i="2"/>
  <c r="O2502" i="2"/>
  <c r="P2502" i="2"/>
  <c r="P2567" i="2"/>
  <c r="P2945" i="2"/>
  <c r="O1516" i="2"/>
  <c r="P1516" i="2"/>
  <c r="O1550" i="2"/>
  <c r="P1550" i="2"/>
  <c r="O1635" i="2"/>
  <c r="P1635" i="2"/>
  <c r="P1896" i="2"/>
  <c r="O1896" i="2"/>
  <c r="P2060" i="2"/>
  <c r="O2060" i="2"/>
  <c r="O2410" i="2"/>
  <c r="P2410" i="2"/>
  <c r="P2823" i="2"/>
  <c r="O2823" i="2"/>
  <c r="O1436" i="2"/>
  <c r="P1436" i="2"/>
  <c r="O1620" i="2"/>
  <c r="P1620" i="2"/>
  <c r="P2341" i="2"/>
  <c r="O2341" i="2"/>
  <c r="O2364" i="2"/>
  <c r="P2364" i="2"/>
  <c r="P2491" i="2"/>
  <c r="O2491" i="2"/>
  <c r="O2545" i="2"/>
  <c r="P2545" i="2"/>
  <c r="O1144" i="2"/>
  <c r="O1175" i="2"/>
  <c r="P1175" i="2"/>
  <c r="P1255" i="2"/>
  <c r="O1429" i="2"/>
  <c r="P1429" i="2"/>
  <c r="O1432" i="2"/>
  <c r="P1581" i="2"/>
  <c r="O1581" i="2"/>
  <c r="P1651" i="2"/>
  <c r="O1651" i="2"/>
  <c r="O1815" i="2"/>
  <c r="P1850" i="2"/>
  <c r="O1850" i="2"/>
  <c r="O1973" i="2"/>
  <c r="P1973" i="2"/>
  <c r="O2091" i="2"/>
  <c r="P2091" i="2"/>
  <c r="O2102" i="2"/>
  <c r="P2275" i="2"/>
  <c r="P2406" i="2"/>
  <c r="P3000" i="2"/>
  <c r="P1317" i="2"/>
  <c r="O1317" i="2"/>
  <c r="P1709" i="2"/>
  <c r="O1709" i="2"/>
  <c r="P2183" i="2"/>
  <c r="O2183" i="2"/>
  <c r="O2641" i="2"/>
  <c r="P2641" i="2"/>
  <c r="O2719" i="2"/>
  <c r="P2719" i="2"/>
  <c r="P2816" i="2"/>
  <c r="O2816" i="2"/>
  <c r="O1111" i="2"/>
  <c r="O1301" i="2"/>
  <c r="O1321" i="2"/>
  <c r="P1321" i="2"/>
  <c r="O1421" i="2"/>
  <c r="P1520" i="2"/>
  <c r="P1819" i="2"/>
  <c r="P2103" i="2"/>
  <c r="O2103" i="2"/>
  <c r="P2333" i="2"/>
  <c r="O2699" i="2"/>
  <c r="O2905" i="2"/>
  <c r="P2905" i="2"/>
  <c r="A2532" i="3"/>
  <c r="F2532" i="3" s="1"/>
  <c r="A2661" i="3"/>
  <c r="G2661" i="3" s="1"/>
  <c r="O1244" i="2"/>
  <c r="P1298" i="2"/>
  <c r="O1298" i="2"/>
  <c r="O1363" i="2"/>
  <c r="O1470" i="2"/>
  <c r="O1736" i="2"/>
  <c r="O1881" i="2"/>
  <c r="P1939" i="2"/>
  <c r="O2172" i="2"/>
  <c r="P2172" i="2"/>
  <c r="P2472" i="2"/>
  <c r="O2472" i="2"/>
  <c r="P2484" i="2"/>
  <c r="O2484" i="2"/>
  <c r="O2885" i="2"/>
  <c r="P1217" i="2"/>
  <c r="P1309" i="2"/>
  <c r="P1624" i="2"/>
  <c r="P1958" i="2"/>
  <c r="O2004" i="2"/>
  <c r="O2019" i="2"/>
  <c r="O2160" i="2"/>
  <c r="P2264" i="2"/>
  <c r="O2700" i="2"/>
  <c r="P2700" i="2"/>
  <c r="P2797" i="2"/>
  <c r="O2797" i="2"/>
  <c r="O2982" i="2"/>
  <c r="P2982" i="2"/>
  <c r="P1104" i="2"/>
  <c r="P1179" i="2"/>
  <c r="P1831" i="2"/>
  <c r="O2076" i="2"/>
  <c r="P2241" i="2"/>
  <c r="O2468" i="2"/>
  <c r="P2607" i="2"/>
  <c r="P1153" i="2"/>
  <c r="P1198" i="2"/>
  <c r="P1256" i="2"/>
  <c r="O1314" i="2"/>
  <c r="P1314" i="2"/>
  <c r="O1356" i="2"/>
  <c r="O1513" i="2"/>
  <c r="O1532" i="2"/>
  <c r="O1540" i="2"/>
  <c r="P1540" i="2"/>
  <c r="P1574" i="2"/>
  <c r="O1683" i="2"/>
  <c r="P1683" i="2"/>
  <c r="O1791" i="2"/>
  <c r="P1791" i="2"/>
  <c r="O1801" i="2"/>
  <c r="P1816" i="2"/>
  <c r="P1828" i="2"/>
  <c r="O1828" i="2"/>
  <c r="O1889" i="2"/>
  <c r="P1932" i="2"/>
  <c r="P1951" i="2"/>
  <c r="O2020" i="2"/>
  <c r="P2020" i="2"/>
  <c r="P2404" i="2"/>
  <c r="O2404" i="2"/>
  <c r="O2531" i="2"/>
  <c r="P2531" i="2"/>
  <c r="P2604" i="2"/>
  <c r="O2604" i="2"/>
  <c r="O2696" i="2"/>
  <c r="O2978" i="2"/>
  <c r="A2374" i="3"/>
  <c r="J2374" i="3" s="1"/>
  <c r="A2386" i="3"/>
  <c r="J2386" i="3" s="1"/>
  <c r="A2400" i="3"/>
  <c r="B2400" i="3" s="1"/>
  <c r="C2400" i="3" s="1"/>
  <c r="A2441" i="3"/>
  <c r="H2441" i="3" s="1"/>
  <c r="A2540" i="3"/>
  <c r="I2540" i="3" s="1"/>
  <c r="O1123" i="2"/>
  <c r="O1138" i="2"/>
  <c r="P1157" i="2"/>
  <c r="O1407" i="2"/>
  <c r="P1452" i="2"/>
  <c r="P1510" i="2"/>
  <c r="O1510" i="2"/>
  <c r="O1663" i="2"/>
  <c r="P1687" i="2"/>
  <c r="O1687" i="2"/>
  <c r="O1794" i="2"/>
  <c r="O1862" i="2"/>
  <c r="P2312" i="2"/>
  <c r="O2312" i="2"/>
  <c r="P2465" i="2"/>
  <c r="O2600" i="2"/>
  <c r="O2766" i="2"/>
  <c r="O2882" i="2"/>
  <c r="P1299" i="2"/>
  <c r="O1299" i="2"/>
  <c r="O1306" i="2"/>
  <c r="P1441" i="2"/>
  <c r="O1521" i="2"/>
  <c r="O1555" i="2"/>
  <c r="O1621" i="2"/>
  <c r="P1629" i="2"/>
  <c r="O1629" i="2"/>
  <c r="P1722" i="2"/>
  <c r="O1722" i="2"/>
  <c r="O1590" i="2"/>
  <c r="O1616" i="2"/>
  <c r="P1637" i="2"/>
  <c r="O1677" i="2"/>
  <c r="O1750" i="2"/>
  <c r="P1872" i="2"/>
  <c r="O1898" i="2"/>
  <c r="O1916" i="2"/>
  <c r="P1996" i="2"/>
  <c r="O2318" i="2"/>
  <c r="P2398" i="2"/>
  <c r="O2431" i="2"/>
  <c r="O2503" i="2"/>
  <c r="O2510" i="2"/>
  <c r="P2521" i="2"/>
  <c r="O2532" i="2"/>
  <c r="P2653" i="2"/>
  <c r="P2735" i="2"/>
  <c r="O2910" i="2"/>
  <c r="O1775" i="2"/>
  <c r="O1793" i="2"/>
  <c r="P1865" i="2"/>
  <c r="P2086" i="2"/>
  <c r="O2116" i="2"/>
  <c r="P2134" i="2"/>
  <c r="P2152" i="2"/>
  <c r="O2203" i="2"/>
  <c r="O2218" i="2"/>
  <c r="O2237" i="2"/>
  <c r="P2259" i="2"/>
  <c r="O2332" i="2"/>
  <c r="P2377" i="2"/>
  <c r="P2391" i="2"/>
  <c r="P2435" i="2"/>
  <c r="O2442" i="2"/>
  <c r="P2460" i="2"/>
  <c r="O2525" i="2"/>
  <c r="P2635" i="2"/>
  <c r="O2717" i="2"/>
  <c r="O2750" i="2"/>
  <c r="O2974" i="2"/>
  <c r="O2988" i="2"/>
  <c r="P1538" i="2"/>
  <c r="P1605" i="2"/>
  <c r="O1634" i="2"/>
  <c r="P1659" i="2"/>
  <c r="O1681" i="2"/>
  <c r="O1692" i="2"/>
  <c r="P1743" i="2"/>
  <c r="P2296" i="2"/>
  <c r="P2409" i="2"/>
  <c r="P2478" i="2"/>
  <c r="P2732" i="2"/>
  <c r="P1591" i="2"/>
  <c r="O1678" i="2"/>
  <c r="O1751" i="2"/>
  <c r="P1765" i="2"/>
  <c r="O1855" i="2"/>
  <c r="P1899" i="2"/>
  <c r="O1997" i="2"/>
  <c r="O2026" i="2"/>
  <c r="O2055" i="2"/>
  <c r="P2149" i="2"/>
  <c r="O2175" i="2"/>
  <c r="O2193" i="2"/>
  <c r="O2267" i="2"/>
  <c r="O2446" i="2"/>
  <c r="P2471" i="2"/>
  <c r="O1266" i="2"/>
  <c r="O1288" i="2"/>
  <c r="P1332" i="2"/>
  <c r="P1396" i="2"/>
  <c r="O1476" i="2"/>
  <c r="P1689" i="2"/>
  <c r="P1711" i="2"/>
  <c r="P1729" i="2"/>
  <c r="O1845" i="2"/>
  <c r="P1903" i="2"/>
  <c r="P1925" i="2"/>
  <c r="P1943" i="2"/>
  <c r="O2044" i="2"/>
  <c r="P2080" i="2"/>
  <c r="O2142" i="2"/>
  <c r="P2323" i="2"/>
  <c r="P2497" i="2"/>
  <c r="P2692" i="2"/>
  <c r="O2889" i="2"/>
  <c r="P2960" i="2"/>
  <c r="O1218" i="2"/>
  <c r="O1233" i="2"/>
  <c r="O1252" i="2"/>
  <c r="O1307" i="2"/>
  <c r="P1393" i="2"/>
  <c r="P1518" i="2"/>
  <c r="P1599" i="2"/>
  <c r="P1625" i="2"/>
  <c r="P1639" i="2"/>
  <c r="O1874" i="2"/>
  <c r="O2063" i="2"/>
  <c r="P2084" i="2"/>
  <c r="O2099" i="2"/>
  <c r="O2110" i="2"/>
  <c r="P2216" i="2"/>
  <c r="O2345" i="2"/>
  <c r="P2440" i="2"/>
  <c r="P2494" i="2"/>
  <c r="O2512" i="2"/>
  <c r="P2689" i="2"/>
  <c r="P2737" i="2"/>
  <c r="O2748" i="2"/>
  <c r="O1215" i="2"/>
  <c r="O1282" i="2"/>
  <c r="P1311" i="2"/>
  <c r="O1341" i="2"/>
  <c r="P1382" i="2"/>
  <c r="O1401" i="2"/>
  <c r="P1448" i="2"/>
  <c r="P1547" i="2"/>
  <c r="P1712" i="2"/>
  <c r="P1734" i="2"/>
  <c r="O1835" i="2"/>
  <c r="O1856" i="2"/>
  <c r="P1904" i="2"/>
  <c r="P1944" i="2"/>
  <c r="O2009" i="2"/>
  <c r="O2038" i="2"/>
  <c r="P2070" i="2"/>
  <c r="O2081" i="2"/>
  <c r="O2118" i="2"/>
  <c r="O2125" i="2"/>
  <c r="O2158" i="2"/>
  <c r="O2180" i="2"/>
  <c r="P2250" i="2"/>
  <c r="P2261" i="2"/>
  <c r="P2272" i="2"/>
  <c r="O2309" i="2"/>
  <c r="P2324" i="2"/>
  <c r="P2353" i="2"/>
  <c r="O2462" i="2"/>
  <c r="O2564" i="2"/>
  <c r="P2615" i="2"/>
  <c r="O2990" i="2"/>
  <c r="P2931" i="2"/>
  <c r="P2232" i="2"/>
  <c r="O2243" i="2"/>
  <c r="O2276" i="2"/>
  <c r="P2331" i="2"/>
  <c r="O2390" i="2"/>
  <c r="P2415" i="2"/>
  <c r="P2434" i="2"/>
  <c r="P2459" i="2"/>
  <c r="P2535" i="2"/>
  <c r="O2591" i="2"/>
  <c r="O2598" i="2"/>
  <c r="O2660" i="2"/>
  <c r="P2712" i="2"/>
  <c r="P2820" i="2"/>
  <c r="P2965" i="2"/>
  <c r="P1171" i="2"/>
  <c r="O1219" i="2"/>
  <c r="P1253" i="2"/>
  <c r="O1279" i="2"/>
  <c r="P1319" i="2"/>
  <c r="P1626" i="2"/>
  <c r="O1640" i="2"/>
  <c r="O1680" i="2"/>
  <c r="P1742" i="2"/>
  <c r="P1767" i="2"/>
  <c r="O1810" i="2"/>
  <c r="P1875" i="2"/>
  <c r="O1930" i="2"/>
  <c r="P1999" i="2"/>
  <c r="P2017" i="2"/>
  <c r="O2057" i="2"/>
  <c r="P2100" i="2"/>
  <c r="P2306" i="2"/>
  <c r="O2346" i="2"/>
  <c r="P2738" i="2"/>
  <c r="P2939" i="2"/>
  <c r="P2980" i="2"/>
  <c r="P1847" i="2"/>
  <c r="O1868" i="2"/>
  <c r="O1912" i="2"/>
  <c r="O1927" i="2"/>
  <c r="O1952" i="2"/>
  <c r="O1959" i="2"/>
  <c r="O2046" i="2"/>
  <c r="O2144" i="2"/>
  <c r="P2184" i="2"/>
  <c r="O2240" i="2"/>
  <c r="P2380" i="2"/>
  <c r="O2387" i="2"/>
  <c r="P2401" i="2"/>
  <c r="O2456" i="2"/>
  <c r="P2499" i="2"/>
  <c r="P2528" i="2"/>
  <c r="P2627" i="2"/>
  <c r="O2709" i="2"/>
  <c r="P2783" i="2"/>
  <c r="P2891" i="2"/>
  <c r="P2962" i="2"/>
  <c r="O2977" i="2"/>
  <c r="P1357" i="2"/>
  <c r="O1387" i="2"/>
  <c r="P1402" i="2"/>
  <c r="P1431" i="2"/>
  <c r="O1567" i="2"/>
  <c r="P1648" i="2"/>
  <c r="O1698" i="2"/>
  <c r="P1735" i="2"/>
  <c r="P1746" i="2"/>
  <c r="O1836" i="2"/>
  <c r="P1905" i="2"/>
  <c r="P1945" i="2"/>
  <c r="P2003" i="2"/>
  <c r="O2010" i="2"/>
  <c r="O2798" i="2"/>
  <c r="P2991" i="2"/>
  <c r="A2968" i="3"/>
  <c r="J2968" i="3" s="1"/>
  <c r="A2937" i="3"/>
  <c r="G2937" i="3" s="1"/>
  <c r="A2913" i="3"/>
  <c r="I2913" i="3" s="1"/>
  <c r="A2728" i="3"/>
  <c r="A2702" i="3"/>
  <c r="F2702" i="3" s="1"/>
  <c r="A2694" i="3"/>
  <c r="F2694" i="3" s="1"/>
  <c r="K2694" i="3" s="1"/>
  <c r="A2685" i="3"/>
  <c r="H2685" i="3" s="1"/>
  <c r="A2802" i="3"/>
  <c r="I2802" i="3" s="1"/>
  <c r="A2701" i="3"/>
  <c r="J2701" i="3" s="1"/>
  <c r="A2693" i="3"/>
  <c r="G2693" i="3" s="1"/>
  <c r="A2775" i="3"/>
  <c r="I2775" i="3" s="1"/>
  <c r="A2756" i="3"/>
  <c r="J2756" i="3" s="1"/>
  <c r="A2737" i="3"/>
  <c r="J2737" i="3" s="1"/>
  <c r="A2723" i="3"/>
  <c r="B2723" i="3" s="1"/>
  <c r="C2723" i="3" s="1"/>
  <c r="A2755" i="3"/>
  <c r="J2755" i="3" s="1"/>
  <c r="A2721" i="3"/>
  <c r="G2721" i="3" s="1"/>
  <c r="A2673" i="3"/>
  <c r="G2673" i="3" s="1"/>
  <c r="A2716" i="3"/>
  <c r="J2716" i="3" s="1"/>
  <c r="A2678" i="3"/>
  <c r="B2678" i="3" s="1"/>
  <c r="C2678" i="3" s="1"/>
  <c r="A2644" i="3"/>
  <c r="F2644" i="3" s="1"/>
  <c r="K2644" i="3" s="1"/>
  <c r="A2630" i="3"/>
  <c r="A3032" i="3"/>
  <c r="J3032" i="3" s="1"/>
  <c r="A2972" i="3"/>
  <c r="I2972" i="3" s="1"/>
  <c r="A2893" i="3"/>
  <c r="I2893" i="3" s="1"/>
  <c r="A2858" i="3"/>
  <c r="J2858" i="3" s="1"/>
  <c r="A2665" i="3"/>
  <c r="J2665" i="3" s="1"/>
  <c r="A2634" i="3"/>
  <c r="B2634" i="3" s="1"/>
  <c r="C2634" i="3" s="1"/>
  <c r="A2629" i="3"/>
  <c r="G2629" i="3" s="1"/>
  <c r="A2783" i="3"/>
  <c r="J2783" i="3" s="1"/>
  <c r="A2771" i="3"/>
  <c r="F2771" i="3" s="1"/>
  <c r="A2745" i="3"/>
  <c r="G2745" i="3" s="1"/>
  <c r="A2792" i="3"/>
  <c r="H2792" i="3" s="1"/>
  <c r="A2764" i="3"/>
  <c r="H2764" i="3" s="1"/>
  <c r="A2752" i="3"/>
  <c r="J2752" i="3" s="1"/>
  <c r="A2759" i="3"/>
  <c r="B2759" i="3" s="1"/>
  <c r="C2759" i="3" s="1"/>
  <c r="A2751" i="3"/>
  <c r="H2751" i="3" s="1"/>
  <c r="A2739" i="3"/>
  <c r="B2739" i="3" s="1"/>
  <c r="C2739" i="3" s="1"/>
  <c r="A2734" i="3"/>
  <c r="I2734" i="3" s="1"/>
  <c r="A3076" i="3"/>
  <c r="A3141" i="3"/>
  <c r="F3141" i="3" s="1"/>
  <c r="K3141" i="3" s="1"/>
  <c r="A3108" i="3"/>
  <c r="G3108" i="3" s="1"/>
  <c r="A2798" i="3"/>
  <c r="H2798" i="3" s="1"/>
  <c r="A2732" i="3"/>
  <c r="B2732" i="3" s="1"/>
  <c r="C2732" i="3" s="1"/>
  <c r="A2725" i="3"/>
  <c r="J2725" i="3" s="1"/>
  <c r="A2697" i="3"/>
  <c r="B2697" i="3" s="1"/>
  <c r="C2697" i="3" s="1"/>
  <c r="A2657" i="3"/>
  <c r="F2657" i="3" s="1"/>
  <c r="K2657" i="3" s="1"/>
  <c r="A2637" i="3"/>
  <c r="A2731" i="3"/>
  <c r="H2731" i="3" s="1"/>
  <c r="A2704" i="3"/>
  <c r="B2704" i="3" s="1"/>
  <c r="C2704" i="3" s="1"/>
  <c r="A2689" i="3"/>
  <c r="A3075" i="3"/>
  <c r="G3075" i="3" s="1"/>
  <c r="A2829" i="3"/>
  <c r="A2786" i="3"/>
  <c r="A2729" i="3"/>
  <c r="A2710" i="3"/>
  <c r="A2674" i="3"/>
  <c r="G2674" i="3" s="1"/>
  <c r="A2645" i="3"/>
  <c r="B2645" i="3" s="1"/>
  <c r="C2645" i="3" s="1"/>
  <c r="A2623" i="3"/>
  <c r="I2623" i="3" s="1"/>
  <c r="A2592" i="3"/>
  <c r="B2592" i="3" s="1"/>
  <c r="C2592" i="3" s="1"/>
  <c r="A2554" i="3"/>
  <c r="A2548" i="3"/>
  <c r="J2548" i="3" s="1"/>
  <c r="A2529" i="3"/>
  <c r="J2529" i="3" s="1"/>
  <c r="A2522" i="3"/>
  <c r="J2522" i="3" s="1"/>
  <c r="A2501" i="3"/>
  <c r="B2501" i="3" s="1"/>
  <c r="C2501" i="3" s="1"/>
  <c r="A2487" i="3"/>
  <c r="H2487" i="3" s="1"/>
  <c r="A2483" i="3"/>
  <c r="A2381" i="3"/>
  <c r="I2381" i="3" s="1"/>
  <c r="A2984" i="3"/>
  <c r="H2984" i="3" s="1"/>
  <c r="A2958" i="3"/>
  <c r="A2760" i="3"/>
  <c r="A2748" i="3"/>
  <c r="A2663" i="3"/>
  <c r="J2663" i="3" s="1"/>
  <c r="A2650" i="3"/>
  <c r="A2622" i="3"/>
  <c r="B2622" i="3" s="1"/>
  <c r="C2622" i="3" s="1"/>
  <c r="A2615" i="3"/>
  <c r="F2615" i="3" s="1"/>
  <c r="A2598" i="3"/>
  <c r="J2598" i="3" s="1"/>
  <c r="A2568" i="3"/>
  <c r="B2568" i="3" s="1"/>
  <c r="C2568" i="3" s="1"/>
  <c r="A2559" i="3"/>
  <c r="A2516" i="3"/>
  <c r="I2516" i="3" s="1"/>
  <c r="A2491" i="3"/>
  <c r="B2491" i="3" s="1"/>
  <c r="C2491" i="3" s="1"/>
  <c r="A2475" i="3"/>
  <c r="A2446" i="3"/>
  <c r="A2440" i="3"/>
  <c r="B2440" i="3" s="1"/>
  <c r="C2440" i="3" s="1"/>
  <c r="A2409" i="3"/>
  <c r="A2380" i="3"/>
  <c r="F2380" i="3" s="1"/>
  <c r="K2380" i="3" s="1"/>
  <c r="A2983" i="3"/>
  <c r="B2983" i="3" s="1"/>
  <c r="C2983" i="3" s="1"/>
  <c r="A2884" i="3"/>
  <c r="A2828" i="3"/>
  <c r="A2797" i="3"/>
  <c r="J2797" i="3" s="1"/>
  <c r="A2784" i="3"/>
  <c r="J2784" i="3" s="1"/>
  <c r="A2705" i="3"/>
  <c r="I2705" i="3" s="1"/>
  <c r="A2686" i="3"/>
  <c r="A2656" i="3"/>
  <c r="H2656" i="3" s="1"/>
  <c r="A2638" i="3"/>
  <c r="G2638" i="3" s="1"/>
  <c r="A2633" i="3"/>
  <c r="B2633" i="3" s="1"/>
  <c r="C2633" i="3" s="1"/>
  <c r="A2574" i="3"/>
  <c r="A2543" i="3"/>
  <c r="H2543" i="3" s="1"/>
  <c r="A2521" i="3"/>
  <c r="I2521" i="3" s="1"/>
  <c r="A2470" i="3"/>
  <c r="A2449" i="3"/>
  <c r="A2432" i="3"/>
  <c r="F2432" i="3" s="1"/>
  <c r="K2432" i="3" s="1"/>
  <c r="A2420" i="3"/>
  <c r="H2420" i="3" s="1"/>
  <c r="A2403" i="3"/>
  <c r="I2403" i="3" s="1"/>
  <c r="A2396" i="3"/>
  <c r="H2396" i="3" s="1"/>
  <c r="A3037" i="3"/>
  <c r="I3037" i="3" s="1"/>
  <c r="A2956" i="3"/>
  <c r="J2956" i="3" s="1"/>
  <c r="A2904" i="3"/>
  <c r="H2904" i="3" s="1"/>
  <c r="A2883" i="3"/>
  <c r="H2883" i="3" s="1"/>
  <c r="A2796" i="3"/>
  <c r="J2796" i="3" s="1"/>
  <c r="A2782" i="3"/>
  <c r="I2782" i="3" s="1"/>
  <c r="A2758" i="3"/>
  <c r="J2758" i="3" s="1"/>
  <c r="A2747" i="3"/>
  <c r="J2747" i="3" s="1"/>
  <c r="A2690" i="3"/>
  <c r="A2679" i="3"/>
  <c r="H2679" i="3" s="1"/>
  <c r="A2672" i="3"/>
  <c r="I2672" i="3" s="1"/>
  <c r="A2668" i="3"/>
  <c r="A2662" i="3"/>
  <c r="B2662" i="3" s="1"/>
  <c r="C2662" i="3" s="1"/>
  <c r="A2621" i="3"/>
  <c r="F2621" i="3" s="1"/>
  <c r="K2621" i="3" s="1"/>
  <c r="A2614" i="3"/>
  <c r="B2614" i="3" s="1"/>
  <c r="C2614" i="3" s="1"/>
  <c r="A2604" i="3"/>
  <c r="A2577" i="3"/>
  <c r="H2577" i="3" s="1"/>
  <c r="A2573" i="3"/>
  <c r="J2573" i="3" s="1"/>
  <c r="A3006" i="3"/>
  <c r="J3006" i="3" s="1"/>
  <c r="A2901" i="3"/>
  <c r="I2901" i="3" s="1"/>
  <c r="A2859" i="3"/>
  <c r="J2859" i="3" s="1"/>
  <c r="A2769" i="3"/>
  <c r="A2718" i="3"/>
  <c r="I2718" i="3" s="1"/>
  <c r="A2709" i="3"/>
  <c r="A2703" i="3"/>
  <c r="G2703" i="3" s="1"/>
  <c r="A2671" i="3"/>
  <c r="B2671" i="3" s="1"/>
  <c r="C2671" i="3" s="1"/>
  <c r="A2667" i="3"/>
  <c r="I2667" i="3" s="1"/>
  <c r="A2649" i="3"/>
  <c r="H2649" i="3" s="1"/>
  <c r="A2628" i="3"/>
  <c r="A2620" i="3"/>
  <c r="I2620" i="3" s="1"/>
  <c r="A2613" i="3"/>
  <c r="H2613" i="3" s="1"/>
  <c r="A2591" i="3"/>
  <c r="B2591" i="3" s="1"/>
  <c r="C2591" i="3" s="1"/>
  <c r="A2588" i="3"/>
  <c r="I2588" i="3" s="1"/>
  <c r="A2582" i="3"/>
  <c r="A2950" i="3"/>
  <c r="H2950" i="3" s="1"/>
  <c r="A2899" i="3"/>
  <c r="G2899" i="3" s="1"/>
  <c r="A2856" i="3"/>
  <c r="F2856" i="3" s="1"/>
  <c r="K2856" i="3" s="1"/>
  <c r="A2839" i="3"/>
  <c r="A2793" i="3"/>
  <c r="J2793" i="3" s="1"/>
  <c r="A3059" i="3"/>
  <c r="B3059" i="3" s="1"/>
  <c r="C3059" i="3" s="1"/>
  <c r="A3003" i="3"/>
  <c r="H3003" i="3" s="1"/>
  <c r="A2824" i="3"/>
  <c r="H2824" i="3" s="1"/>
  <c r="A2808" i="3"/>
  <c r="A2791" i="3"/>
  <c r="B2791" i="3" s="1"/>
  <c r="C2791" i="3" s="1"/>
  <c r="A2780" i="3"/>
  <c r="A2717" i="3"/>
  <c r="J2717" i="3" s="1"/>
  <c r="A2677" i="3"/>
  <c r="B2677" i="3" s="1"/>
  <c r="C2677" i="3" s="1"/>
  <c r="A2632" i="3"/>
  <c r="F2632" i="3" s="1"/>
  <c r="K2632" i="3" s="1"/>
  <c r="A2609" i="3"/>
  <c r="A2597" i="3"/>
  <c r="A2585" i="3"/>
  <c r="H2585" i="3" s="1"/>
  <c r="A2557" i="3"/>
  <c r="G2557" i="3" s="1"/>
  <c r="A2537" i="3"/>
  <c r="B2537" i="3" s="1"/>
  <c r="C2537" i="3" s="1"/>
  <c r="A2514" i="3"/>
  <c r="I2514" i="3" s="1"/>
  <c r="A2499" i="3"/>
  <c r="F2499" i="3" s="1"/>
  <c r="K2499" i="3" s="1"/>
  <c r="A2482" i="3"/>
  <c r="A2459" i="3"/>
  <c r="G2459" i="3" s="1"/>
  <c r="A2437" i="3"/>
  <c r="I2437" i="3" s="1"/>
  <c r="A3002" i="3"/>
  <c r="G3002" i="3" s="1"/>
  <c r="A2853" i="3"/>
  <c r="F2853" i="3" s="1"/>
  <c r="K2853" i="3" s="1"/>
  <c r="A2700" i="3"/>
  <c r="A2684" i="3"/>
  <c r="B2684" i="3" s="1"/>
  <c r="C2684" i="3" s="1"/>
  <c r="A2612" i="3"/>
  <c r="B2612" i="3" s="1"/>
  <c r="C2612" i="3" s="1"/>
  <c r="A2596" i="3"/>
  <c r="G2596" i="3" s="1"/>
  <c r="A2576" i="3"/>
  <c r="F2576" i="3" s="1"/>
  <c r="K2576" i="3" s="1"/>
  <c r="A2571" i="3"/>
  <c r="B2571" i="3" s="1"/>
  <c r="C2571" i="3" s="1"/>
  <c r="A2513" i="3"/>
  <c r="H2513" i="3" s="1"/>
  <c r="A2508" i="3"/>
  <c r="J2508" i="3" s="1"/>
  <c r="A2481" i="3"/>
  <c r="F2481" i="3" s="1"/>
  <c r="K2481" i="3" s="1"/>
  <c r="A2474" i="3"/>
  <c r="I2474" i="3" s="1"/>
  <c r="A3029" i="3"/>
  <c r="F3029" i="3" s="1"/>
  <c r="K3029" i="3" s="1"/>
  <c r="A2947" i="3"/>
  <c r="A2744" i="3"/>
  <c r="J2744" i="3" s="1"/>
  <c r="A2715" i="3"/>
  <c r="J2715" i="3" s="1"/>
  <c r="A2683" i="3"/>
  <c r="B2683" i="3" s="1"/>
  <c r="C2683" i="3" s="1"/>
  <c r="A2660" i="3"/>
  <c r="F2660" i="3" s="1"/>
  <c r="K2660" i="3" s="1"/>
  <c r="A2648" i="3"/>
  <c r="A2631" i="3"/>
  <c r="J2631" i="3" s="1"/>
  <c r="A2619" i="3"/>
  <c r="B2619" i="3" s="1"/>
  <c r="C2619" i="3" s="1"/>
  <c r="A2519" i="3"/>
  <c r="A2512" i="3"/>
  <c r="J2512" i="3" s="1"/>
  <c r="A2503" i="3"/>
  <c r="F2503" i="3" s="1"/>
  <c r="K2503" i="3" s="1"/>
  <c r="A2490" i="3"/>
  <c r="A2480" i="3"/>
  <c r="I2480" i="3" s="1"/>
  <c r="A2469" i="3"/>
  <c r="A2453" i="3"/>
  <c r="I2453" i="3" s="1"/>
  <c r="A2448" i="3"/>
  <c r="A2418" i="3"/>
  <c r="J2418" i="3" s="1"/>
  <c r="A2919" i="3"/>
  <c r="G2919" i="3" s="1"/>
  <c r="A2790" i="3"/>
  <c r="A2753" i="3"/>
  <c r="G2753" i="3" s="1"/>
  <c r="A2743" i="3"/>
  <c r="F2743" i="3" s="1"/>
  <c r="K2743" i="3" s="1"/>
  <c r="A2708" i="3"/>
  <c r="A2670" i="3"/>
  <c r="A2653" i="3"/>
  <c r="B2653" i="3" s="1"/>
  <c r="C2653" i="3" s="1"/>
  <c r="A2561" i="3"/>
  <c r="F2561" i="3" s="1"/>
  <c r="K2561" i="3" s="1"/>
  <c r="A2546" i="3"/>
  <c r="A2536" i="3"/>
  <c r="H2536" i="3" s="1"/>
  <c r="A2511" i="3"/>
  <c r="J2511" i="3" s="1"/>
  <c r="A2498" i="3"/>
  <c r="I2498" i="3" s="1"/>
  <c r="A2494" i="3"/>
  <c r="G2494" i="3" s="1"/>
  <c r="A2473" i="3"/>
  <c r="G2473" i="3" s="1"/>
  <c r="A2452" i="3"/>
  <c r="I2452" i="3" s="1"/>
  <c r="A2426" i="3"/>
  <c r="A3056" i="3"/>
  <c r="A2998" i="3"/>
  <c r="A2970" i="3"/>
  <c r="B2970" i="3" s="1"/>
  <c r="C2970" i="3" s="1"/>
  <c r="A2944" i="3"/>
  <c r="H2944" i="3" s="1"/>
  <c r="A2918" i="3"/>
  <c r="A2874" i="3"/>
  <c r="J2874" i="3" s="1"/>
  <c r="A2850" i="3"/>
  <c r="I2850" i="3" s="1"/>
  <c r="A2835" i="3"/>
  <c r="I2835" i="3" s="1"/>
  <c r="A2742" i="3"/>
  <c r="F2742" i="3" s="1"/>
  <c r="K2742" i="3" s="1"/>
  <c r="A2676" i="3"/>
  <c r="B2676" i="3" s="1"/>
  <c r="C2676" i="3" s="1"/>
  <c r="A2659" i="3"/>
  <c r="G2659" i="3" s="1"/>
  <c r="A2642" i="3"/>
  <c r="J2642" i="3" s="1"/>
  <c r="A2608" i="3"/>
  <c r="J2608" i="3" s="1"/>
  <c r="A2590" i="3"/>
  <c r="A2584" i="3"/>
  <c r="F2584" i="3" s="1"/>
  <c r="K2584" i="3" s="1"/>
  <c r="A2581" i="3"/>
  <c r="A2556" i="3"/>
  <c r="H2556" i="3" s="1"/>
  <c r="A2531" i="3"/>
  <c r="A2526" i="3"/>
  <c r="A3091" i="3"/>
  <c r="A2916" i="3"/>
  <c r="J2916" i="3" s="1"/>
  <c r="A2777" i="3"/>
  <c r="J2777" i="3" s="1"/>
  <c r="A2766" i="3"/>
  <c r="A2726" i="3"/>
  <c r="A2714" i="3"/>
  <c r="I2714" i="3" s="1"/>
  <c r="A2699" i="3"/>
  <c r="B2699" i="3" s="1"/>
  <c r="C2699" i="3" s="1"/>
  <c r="A2682" i="3"/>
  <c r="G2682" i="3" s="1"/>
  <c r="A2666" i="3"/>
  <c r="A2652" i="3"/>
  <c r="J2652" i="3" s="1"/>
  <c r="A2641" i="3"/>
  <c r="J2641" i="3" s="1"/>
  <c r="A2626" i="3"/>
  <c r="A2611" i="3"/>
  <c r="I2611" i="3" s="1"/>
  <c r="A2607" i="3"/>
  <c r="G2607" i="3" s="1"/>
  <c r="A3051" i="3"/>
  <c r="F3051" i="3" s="1"/>
  <c r="K3051" i="3" s="1"/>
  <c r="A3021" i="3"/>
  <c r="H3021" i="3" s="1"/>
  <c r="A2996" i="3"/>
  <c r="A2849" i="3"/>
  <c r="A2819" i="3"/>
  <c r="B2819" i="3" s="1"/>
  <c r="C2819" i="3" s="1"/>
  <c r="A2805" i="3"/>
  <c r="B2805" i="3" s="1"/>
  <c r="C2805" i="3" s="1"/>
  <c r="A2789" i="3"/>
  <c r="A2765" i="3"/>
  <c r="F2765" i="3" s="1"/>
  <c r="A2713" i="3"/>
  <c r="I2713" i="3" s="1"/>
  <c r="A2707" i="3"/>
  <c r="J2707" i="3" s="1"/>
  <c r="A2681" i="3"/>
  <c r="B2681" i="3" s="1"/>
  <c r="C2681" i="3" s="1"/>
  <c r="A2647" i="3"/>
  <c r="B2647" i="3" s="1"/>
  <c r="C2647" i="3" s="1"/>
  <c r="A2618" i="3"/>
  <c r="B2618" i="3" s="1"/>
  <c r="C2618" i="3" s="1"/>
  <c r="A2606" i="3"/>
  <c r="F2606" i="3" s="1"/>
  <c r="K2606" i="3" s="1"/>
  <c r="A2602" i="3"/>
  <c r="A2566" i="3"/>
  <c r="A2555" i="3"/>
  <c r="I2555" i="3" s="1"/>
  <c r="A2535" i="3"/>
  <c r="G2535" i="3" s="1"/>
  <c r="A3020" i="3"/>
  <c r="G3020" i="3" s="1"/>
  <c r="A2871" i="3"/>
  <c r="G2871" i="3" s="1"/>
  <c r="A2833" i="3"/>
  <c r="J2833" i="3" s="1"/>
  <c r="A2776" i="3"/>
  <c r="J2776" i="3" s="1"/>
  <c r="A2750" i="3"/>
  <c r="A2724" i="3"/>
  <c r="J2724" i="3" s="1"/>
  <c r="A2688" i="3"/>
  <c r="A2651" i="3"/>
  <c r="G2651" i="3" s="1"/>
  <c r="A2636" i="3"/>
  <c r="I2636" i="3" s="1"/>
  <c r="A2560" i="3"/>
  <c r="I2560" i="3" s="1"/>
  <c r="A2550" i="3"/>
  <c r="A2534" i="3"/>
  <c r="J2534" i="3" s="1"/>
  <c r="A2479" i="3"/>
  <c r="F2479" i="3" s="1"/>
  <c r="K2479" i="3" s="1"/>
  <c r="A2471" i="3"/>
  <c r="G2471" i="3" s="1"/>
  <c r="A3083" i="3"/>
  <c r="I3083" i="3" s="1"/>
  <c r="A2965" i="3"/>
  <c r="G2965" i="3" s="1"/>
  <c r="A2763" i="3"/>
  <c r="B2763" i="3" s="1"/>
  <c r="C2763" i="3" s="1"/>
  <c r="A2740" i="3"/>
  <c r="A2722" i="3"/>
  <c r="H2722" i="3" s="1"/>
  <c r="A2712" i="3"/>
  <c r="J2712" i="3" s="1"/>
  <c r="A2698" i="3"/>
  <c r="H2698" i="3" s="1"/>
  <c r="A2687" i="3"/>
  <c r="G2687" i="3" s="1"/>
  <c r="A2658" i="3"/>
  <c r="G2658" i="3" s="1"/>
  <c r="A2640" i="3"/>
  <c r="G2640" i="3" s="1"/>
  <c r="A2601" i="3"/>
  <c r="G2601" i="3" s="1"/>
  <c r="A2595" i="3"/>
  <c r="A2575" i="3"/>
  <c r="A2570" i="3"/>
  <c r="A2565" i="3"/>
  <c r="B2565" i="3" s="1"/>
  <c r="C2565" i="3" s="1"/>
  <c r="A2518" i="3"/>
  <c r="J2518" i="3" s="1"/>
  <c r="A3079" i="3"/>
  <c r="B3079" i="3" s="1"/>
  <c r="C3079" i="3" s="1"/>
  <c r="A2816" i="3"/>
  <c r="B2816" i="3" s="1"/>
  <c r="C2816" i="3" s="1"/>
  <c r="A2774" i="3"/>
  <c r="H2774" i="3" s="1"/>
  <c r="A2711" i="3"/>
  <c r="I2711" i="3" s="1"/>
  <c r="A2696" i="3"/>
  <c r="G2696" i="3" s="1"/>
  <c r="A2675" i="3"/>
  <c r="F2675" i="3" s="1"/>
  <c r="K2675" i="3" s="1"/>
  <c r="A2625" i="3"/>
  <c r="J2625" i="3" s="1"/>
  <c r="A2617" i="3"/>
  <c r="H2617" i="3" s="1"/>
  <c r="A2600" i="3"/>
  <c r="G2600" i="3" s="1"/>
  <c r="A2580" i="3"/>
  <c r="J2580" i="3" s="1"/>
  <c r="A2545" i="3"/>
  <c r="A2517" i="3"/>
  <c r="H2517" i="3" s="1"/>
  <c r="A2434" i="3"/>
  <c r="H2434" i="3" s="1"/>
  <c r="A2422" i="3"/>
  <c r="G2422" i="3" s="1"/>
  <c r="A2405" i="3"/>
  <c r="A2391" i="3"/>
  <c r="A2989" i="3"/>
  <c r="A2962" i="3"/>
  <c r="J2962" i="3" s="1"/>
  <c r="A2846" i="3"/>
  <c r="A2830" i="3"/>
  <c r="A2787" i="3"/>
  <c r="J2787" i="3" s="1"/>
  <c r="A2762" i="3"/>
  <c r="F2762" i="3" s="1"/>
  <c r="K2762" i="3" s="1"/>
  <c r="A2749" i="3"/>
  <c r="A2706" i="3"/>
  <c r="A2695" i="3"/>
  <c r="B2695" i="3" s="1"/>
  <c r="C2695" i="3" s="1"/>
  <c r="A2669" i="3"/>
  <c r="A2635" i="3"/>
  <c r="I2635" i="3" s="1"/>
  <c r="A2624" i="3"/>
  <c r="I2624" i="3" s="1"/>
  <c r="A2605" i="3"/>
  <c r="G2605" i="3" s="1"/>
  <c r="A2599" i="3"/>
  <c r="J2599" i="3" s="1"/>
  <c r="A2594" i="3"/>
  <c r="H2594" i="3" s="1"/>
  <c r="A2583" i="3"/>
  <c r="G2583" i="3" s="1"/>
  <c r="A2579" i="3"/>
  <c r="H2579" i="3" s="1"/>
  <c r="A3123" i="3"/>
  <c r="J3123" i="3" s="1"/>
  <c r="A3015" i="3"/>
  <c r="G3015" i="3" s="1"/>
  <c r="A2907" i="3"/>
  <c r="A2799" i="3"/>
  <c r="B2799" i="3" s="1"/>
  <c r="C2799" i="3" s="1"/>
  <c r="A2691" i="3"/>
  <c r="B2691" i="3" s="1"/>
  <c r="C2691" i="3" s="1"/>
  <c r="A2680" i="3"/>
  <c r="A2646" i="3"/>
  <c r="A2616" i="3"/>
  <c r="H2616" i="3" s="1"/>
  <c r="A2610" i="3"/>
  <c r="A2589" i="3"/>
  <c r="O1338" i="2"/>
  <c r="P1338" i="2"/>
  <c r="O1478" i="2"/>
  <c r="P1478" i="2"/>
  <c r="O1785" i="2"/>
  <c r="P1785" i="2"/>
  <c r="O2876" i="2"/>
  <c r="P2876" i="2"/>
  <c r="P2943" i="2"/>
  <c r="O2943" i="2"/>
  <c r="A2692" i="3"/>
  <c r="I2692" i="3" s="1"/>
  <c r="A2655" i="3"/>
  <c r="H2655" i="3" s="1"/>
  <c r="A2572" i="3"/>
  <c r="J2572" i="3" s="1"/>
  <c r="A2664" i="3"/>
  <c r="H2664" i="3" s="1"/>
  <c r="A2524" i="3"/>
  <c r="I2524" i="3" s="1"/>
  <c r="A2593" i="3"/>
  <c r="F2593" i="3" s="1"/>
  <c r="K2593" i="3" s="1"/>
  <c r="A2562" i="3"/>
  <c r="I2562" i="3" s="1"/>
  <c r="A2457" i="3"/>
  <c r="F2457" i="3" s="1"/>
  <c r="A2727" i="3"/>
  <c r="J2727" i="3" s="1"/>
  <c r="A2551" i="3"/>
  <c r="B2551" i="3" s="1"/>
  <c r="C2551" i="3" s="1"/>
  <c r="A2639" i="3"/>
  <c r="I2639" i="3" s="1"/>
  <c r="A2578" i="3"/>
  <c r="F2578" i="3" s="1"/>
  <c r="K2578" i="3" s="1"/>
  <c r="A2736" i="3"/>
  <c r="I2736" i="3" s="1"/>
  <c r="A2866" i="3"/>
  <c r="J2866" i="3" s="1"/>
  <c r="A2567" i="3"/>
  <c r="I2567" i="3" s="1"/>
  <c r="A2887" i="3"/>
  <c r="A2467" i="3"/>
  <c r="J2467" i="3" s="1"/>
  <c r="A3131" i="3"/>
  <c r="A2757" i="3"/>
  <c r="J2757" i="3" s="1"/>
  <c r="A2767" i="3"/>
  <c r="F2767" i="3" s="1"/>
  <c r="K2767" i="3" s="1"/>
  <c r="A2770" i="3"/>
  <c r="A2803" i="3"/>
  <c r="J2803" i="3" s="1"/>
  <c r="A2809" i="3"/>
  <c r="A2834" i="3"/>
  <c r="I2834" i="3" s="1"/>
  <c r="A2861" i="3"/>
  <c r="H2861" i="3" s="1"/>
  <c r="A2905" i="3"/>
  <c r="G2905" i="3" s="1"/>
  <c r="A2921" i="3"/>
  <c r="I2921" i="3" s="1"/>
  <c r="A2938" i="3"/>
  <c r="A3074" i="3"/>
  <c r="I3074" i="3" s="1"/>
  <c r="A3105" i="3"/>
  <c r="G3105" i="3" s="1"/>
  <c r="A3138" i="3"/>
  <c r="A2719" i="3"/>
  <c r="B2719" i="3" s="1"/>
  <c r="C2719" i="3" s="1"/>
  <c r="A2738" i="3"/>
  <c r="G2738" i="3" s="1"/>
  <c r="A2781" i="3"/>
  <c r="G2781" i="3" s="1"/>
  <c r="A2815" i="3"/>
  <c r="H2815" i="3" s="1"/>
  <c r="A2862" i="3"/>
  <c r="J2862" i="3" s="1"/>
  <c r="A2870" i="3"/>
  <c r="F2870" i="3" s="1"/>
  <c r="K2870" i="3" s="1"/>
  <c r="A2878" i="3"/>
  <c r="A2915" i="3"/>
  <c r="G2915" i="3" s="1"/>
  <c r="A2954" i="3"/>
  <c r="H2954" i="3" s="1"/>
  <c r="A3010" i="3"/>
  <c r="G3010" i="3" s="1"/>
  <c r="A3117" i="3"/>
  <c r="I3117" i="3" s="1"/>
  <c r="A3139" i="3"/>
  <c r="G3139" i="3" s="1"/>
  <c r="P1246" i="2"/>
  <c r="O1246" i="2"/>
  <c r="P1720" i="2"/>
  <c r="O1720" i="2"/>
  <c r="P2742" i="2"/>
  <c r="O2742" i="2"/>
  <c r="A2806" i="3"/>
  <c r="A2822" i="3"/>
  <c r="H2822" i="3" s="1"/>
  <c r="A2852" i="3"/>
  <c r="B2852" i="3" s="1"/>
  <c r="C2852" i="3" s="1"/>
  <c r="A2863" i="3"/>
  <c r="B2863" i="3" s="1"/>
  <c r="C2863" i="3" s="1"/>
  <c r="A2891" i="3"/>
  <c r="F2891" i="3" s="1"/>
  <c r="K2891" i="3" s="1"/>
  <c r="A2923" i="3"/>
  <c r="H2923" i="3" s="1"/>
  <c r="A2946" i="3"/>
  <c r="J2946" i="3" s="1"/>
  <c r="A3019" i="3"/>
  <c r="B3019" i="3" s="1"/>
  <c r="C3019" i="3" s="1"/>
  <c r="A3028" i="3"/>
  <c r="I3028" i="3" s="1"/>
  <c r="A3045" i="3"/>
  <c r="I3045" i="3" s="1"/>
  <c r="O1197" i="2"/>
  <c r="P1197" i="2"/>
  <c r="P1323" i="2"/>
  <c r="O1323" i="2"/>
  <c r="O1410" i="2"/>
  <c r="P1410" i="2"/>
  <c r="P1505" i="2"/>
  <c r="O1505" i="2"/>
  <c r="P2061" i="2"/>
  <c r="O2061" i="2"/>
  <c r="P2225" i="2"/>
  <c r="O2225" i="2"/>
  <c r="O1556" i="2"/>
  <c r="P1556" i="2"/>
  <c r="P1757" i="2"/>
  <c r="O1757" i="2"/>
  <c r="P2680" i="2"/>
  <c r="O2680" i="2"/>
  <c r="A2768" i="3"/>
  <c r="A2825" i="3"/>
  <c r="G2825" i="3" s="1"/>
  <c r="A2842" i="3"/>
  <c r="J2842" i="3" s="1"/>
  <c r="A2917" i="3"/>
  <c r="F2917" i="3" s="1"/>
  <c r="K2917" i="3" s="1"/>
  <c r="A2930" i="3"/>
  <c r="B2930" i="3" s="1"/>
  <c r="C2930" i="3" s="1"/>
  <c r="A2957" i="3"/>
  <c r="H2957" i="3" s="1"/>
  <c r="A2964" i="3"/>
  <c r="H2964" i="3" s="1"/>
  <c r="A2988" i="3"/>
  <c r="J2988" i="3" s="1"/>
  <c r="A3013" i="3"/>
  <c r="I3013" i="3" s="1"/>
  <c r="A3066" i="3"/>
  <c r="H3066" i="3" s="1"/>
  <c r="A3086" i="3"/>
  <c r="H3086" i="3" s="1"/>
  <c r="A3109" i="3"/>
  <c r="J3109" i="3" s="1"/>
  <c r="A3142" i="3"/>
  <c r="G3142" i="3" s="1"/>
  <c r="P1150" i="2"/>
  <c r="O1150" i="2"/>
  <c r="P1213" i="2"/>
  <c r="O1213" i="2"/>
  <c r="P1876" i="2"/>
  <c r="O1876" i="2"/>
  <c r="O2347" i="2"/>
  <c r="P2347" i="2"/>
  <c r="A2817" i="3"/>
  <c r="J2817" i="3" s="1"/>
  <c r="A2843" i="3"/>
  <c r="J2843" i="3" s="1"/>
  <c r="A2847" i="3"/>
  <c r="H2847" i="3" s="1"/>
  <c r="A2865" i="3"/>
  <c r="A2872" i="3"/>
  <c r="B2872" i="3" s="1"/>
  <c r="C2872" i="3" s="1"/>
  <c r="A2908" i="3"/>
  <c r="G2908" i="3" s="1"/>
  <c r="A2925" i="3"/>
  <c r="G2925" i="3" s="1"/>
  <c r="A2940" i="3"/>
  <c r="B2940" i="3" s="1"/>
  <c r="C2940" i="3" s="1"/>
  <c r="P1183" i="2"/>
  <c r="O1183" i="2"/>
  <c r="A2826" i="3"/>
  <c r="A2836" i="3"/>
  <c r="I2836" i="3" s="1"/>
  <c r="A2879" i="3"/>
  <c r="H2879" i="3" s="1"/>
  <c r="A2892" i="3"/>
  <c r="F2892" i="3" s="1"/>
  <c r="K2892" i="3" s="1"/>
  <c r="A2948" i="3"/>
  <c r="F2948" i="3" s="1"/>
  <c r="K2948" i="3" s="1"/>
  <c r="A2971" i="3"/>
  <c r="F2971" i="3" s="1"/>
  <c r="K2971" i="3" s="1"/>
  <c r="A2981" i="3"/>
  <c r="I2981" i="3" s="1"/>
  <c r="A2997" i="3"/>
  <c r="F2997" i="3" s="1"/>
  <c r="K2997" i="3" s="1"/>
  <c r="A3004" i="3"/>
  <c r="J3004" i="3" s="1"/>
  <c r="A3067" i="3"/>
  <c r="A3077" i="3"/>
  <c r="I3077" i="3" s="1"/>
  <c r="A3087" i="3"/>
  <c r="A3098" i="3"/>
  <c r="A3132" i="3"/>
  <c r="B3132" i="3" s="1"/>
  <c r="C3132" i="3" s="1"/>
  <c r="O1132" i="2"/>
  <c r="P1132" i="2"/>
  <c r="A2735" i="3"/>
  <c r="F2735" i="3" s="1"/>
  <c r="K2735" i="3" s="1"/>
  <c r="A2746" i="3"/>
  <c r="A2754" i="3"/>
  <c r="G2754" i="3" s="1"/>
  <c r="A2772" i="3"/>
  <c r="F2772" i="3" s="1"/>
  <c r="K2772" i="3" s="1"/>
  <c r="A2779" i="3"/>
  <c r="B2779" i="3" s="1"/>
  <c r="C2779" i="3" s="1"/>
  <c r="A2794" i="3"/>
  <c r="H2794" i="3" s="1"/>
  <c r="A2800" i="3"/>
  <c r="B2800" i="3" s="1"/>
  <c r="C2800" i="3" s="1"/>
  <c r="A2818" i="3"/>
  <c r="J2818" i="3" s="1"/>
  <c r="A2848" i="3"/>
  <c r="J2848" i="3" s="1"/>
  <c r="A2941" i="3"/>
  <c r="I2941" i="3" s="1"/>
  <c r="A2949" i="3"/>
  <c r="A3122" i="3"/>
  <c r="I3122" i="3" s="1"/>
  <c r="A3128" i="3"/>
  <c r="G3128" i="3" s="1"/>
  <c r="A3121" i="3"/>
  <c r="H3121" i="3" s="1"/>
  <c r="A3115" i="3"/>
  <c r="G3115" i="3" s="1"/>
  <c r="A3092" i="3"/>
  <c r="I3092" i="3" s="1"/>
  <c r="A3064" i="3"/>
  <c r="H3064" i="3" s="1"/>
  <c r="A3053" i="3"/>
  <c r="F3053" i="3" s="1"/>
  <c r="K3053" i="3" s="1"/>
  <c r="A3024" i="3"/>
  <c r="J3024" i="3" s="1"/>
  <c r="A3018" i="3"/>
  <c r="A3014" i="3"/>
  <c r="I3014" i="3" s="1"/>
  <c r="A2987" i="3"/>
  <c r="A2960" i="3"/>
  <c r="F2960" i="3" s="1"/>
  <c r="K2960" i="3" s="1"/>
  <c r="A2933" i="3"/>
  <c r="B2933" i="3" s="1"/>
  <c r="C2933" i="3" s="1"/>
  <c r="A2903" i="3"/>
  <c r="H2903" i="3" s="1"/>
  <c r="A3039" i="3"/>
  <c r="G3039" i="3" s="1"/>
  <c r="A3030" i="3"/>
  <c r="J3030" i="3" s="1"/>
  <c r="A2986" i="3"/>
  <c r="J2986" i="3" s="1"/>
  <c r="A2976" i="3"/>
  <c r="J2976" i="3" s="1"/>
  <c r="A2955" i="3"/>
  <c r="J2955" i="3" s="1"/>
  <c r="A2939" i="3"/>
  <c r="G2939" i="3" s="1"/>
  <c r="A2932" i="3"/>
  <c r="H2932" i="3" s="1"/>
  <c r="A2928" i="3"/>
  <c r="F2928" i="3" s="1"/>
  <c r="K2928" i="3" s="1"/>
  <c r="A2902" i="3"/>
  <c r="I2902" i="3" s="1"/>
  <c r="A2890" i="3"/>
  <c r="G2890" i="3" s="1"/>
  <c r="A2886" i="3"/>
  <c r="J2886" i="3" s="1"/>
  <c r="A2877" i="3"/>
  <c r="F2877" i="3" s="1"/>
  <c r="K2877" i="3" s="1"/>
  <c r="A2851" i="3"/>
  <c r="A2823" i="3"/>
  <c r="J2823" i="3" s="1"/>
  <c r="A2811" i="3"/>
  <c r="I2811" i="3" s="1"/>
  <c r="A2804" i="3"/>
  <c r="I2804" i="3" s="1"/>
  <c r="A3071" i="3"/>
  <c r="H3071" i="3" s="1"/>
  <c r="A3063" i="3"/>
  <c r="J3063" i="3" s="1"/>
  <c r="A3057" i="3"/>
  <c r="I3057" i="3" s="1"/>
  <c r="A3012" i="3"/>
  <c r="H3012" i="3" s="1"/>
  <c r="A2980" i="3"/>
  <c r="B2980" i="3" s="1"/>
  <c r="C2980" i="3" s="1"/>
  <c r="A2969" i="3"/>
  <c r="A2953" i="3"/>
  <c r="I2953" i="3" s="1"/>
  <c r="A2924" i="3"/>
  <c r="H2924" i="3" s="1"/>
  <c r="A2897" i="3"/>
  <c r="I2897" i="3" s="1"/>
  <c r="A2841" i="3"/>
  <c r="J2841" i="3" s="1"/>
  <c r="A2785" i="3"/>
  <c r="I2785" i="3" s="1"/>
  <c r="A2761" i="3"/>
  <c r="F2761" i="3" s="1"/>
  <c r="K2761" i="3" s="1"/>
  <c r="A2733" i="3"/>
  <c r="B2733" i="3" s="1"/>
  <c r="C2733" i="3" s="1"/>
  <c r="A2720" i="3"/>
  <c r="A3134" i="3"/>
  <c r="H3134" i="3" s="1"/>
  <c r="A3089" i="3"/>
  <c r="J3089" i="3" s="1"/>
  <c r="A3082" i="3"/>
  <c r="G3082" i="3" s="1"/>
  <c r="A3070" i="3"/>
  <c r="B3070" i="3" s="1"/>
  <c r="C3070" i="3" s="1"/>
  <c r="A3062" i="3"/>
  <c r="J3062" i="3" s="1"/>
  <c r="A3044" i="3"/>
  <c r="J3044" i="3" s="1"/>
  <c r="A2975" i="3"/>
  <c r="I2975" i="3" s="1"/>
  <c r="A2959" i="3"/>
  <c r="G2959" i="3" s="1"/>
  <c r="A2952" i="3"/>
  <c r="I2952" i="3" s="1"/>
  <c r="A2943" i="3"/>
  <c r="F2943" i="3" s="1"/>
  <c r="K2943" i="3" s="1"/>
  <c r="A2931" i="3"/>
  <c r="F2931" i="3" s="1"/>
  <c r="K2931" i="3" s="1"/>
  <c r="A2922" i="3"/>
  <c r="J2922" i="3" s="1"/>
  <c r="A2906" i="3"/>
  <c r="B2906" i="3" s="1"/>
  <c r="C2906" i="3" s="1"/>
  <c r="A2885" i="3"/>
  <c r="F2885" i="3" s="1"/>
  <c r="K2885" i="3" s="1"/>
  <c r="A2881" i="3"/>
  <c r="F2881" i="3" s="1"/>
  <c r="K2881" i="3" s="1"/>
  <c r="A2857" i="3"/>
  <c r="H2857" i="3" s="1"/>
  <c r="A2840" i="3"/>
  <c r="H2840" i="3" s="1"/>
  <c r="A2837" i="3"/>
  <c r="B2837" i="3" s="1"/>
  <c r="C2837" i="3" s="1"/>
  <c r="A3126" i="3"/>
  <c r="B3126" i="3" s="1"/>
  <c r="C3126" i="3" s="1"/>
  <c r="A3069" i="3"/>
  <c r="F3069" i="3" s="1"/>
  <c r="K3069" i="3" s="1"/>
  <c r="A3038" i="3"/>
  <c r="A3011" i="3"/>
  <c r="F3011" i="3" s="1"/>
  <c r="K3011" i="3" s="1"/>
  <c r="A3005" i="3"/>
  <c r="A2973" i="3"/>
  <c r="F2973" i="3" s="1"/>
  <c r="K2973" i="3" s="1"/>
  <c r="A2900" i="3"/>
  <c r="H2900" i="3" s="1"/>
  <c r="A2880" i="3"/>
  <c r="F2880" i="3" s="1"/>
  <c r="A2875" i="3"/>
  <c r="H2875" i="3" s="1"/>
  <c r="A2869" i="3"/>
  <c r="A2864" i="3"/>
  <c r="A2855" i="3"/>
  <c r="I2855" i="3" s="1"/>
  <c r="A2821" i="3"/>
  <c r="F2821" i="3" s="1"/>
  <c r="K2821" i="3" s="1"/>
  <c r="A2788" i="3"/>
  <c r="A3124" i="3"/>
  <c r="I3124" i="3" s="1"/>
  <c r="A3096" i="3"/>
  <c r="A3049" i="3"/>
  <c r="I3049" i="3" s="1"/>
  <c r="A3034" i="3"/>
  <c r="B3034" i="3" s="1"/>
  <c r="C3034" i="3" s="1"/>
  <c r="A3016" i="3"/>
  <c r="A3009" i="3"/>
  <c r="H3009" i="3" s="1"/>
  <c r="A2999" i="3"/>
  <c r="H2999" i="3" s="1"/>
  <c r="A2979" i="3"/>
  <c r="G2979" i="3" s="1"/>
  <c r="A2963" i="3"/>
  <c r="H2963" i="3" s="1"/>
  <c r="A2951" i="3"/>
  <c r="F2951" i="3" s="1"/>
  <c r="K2951" i="3" s="1"/>
  <c r="A2926" i="3"/>
  <c r="J2926" i="3" s="1"/>
  <c r="A2895" i="3"/>
  <c r="J2895" i="3" s="1"/>
  <c r="A2854" i="3"/>
  <c r="B2854" i="3" s="1"/>
  <c r="C2854" i="3" s="1"/>
  <c r="A2827" i="3"/>
  <c r="J2827" i="3" s="1"/>
  <c r="A2810" i="3"/>
  <c r="A2807" i="3"/>
  <c r="J2807" i="3" s="1"/>
  <c r="A2801" i="3"/>
  <c r="G2801" i="3" s="1"/>
  <c r="A2778" i="3"/>
  <c r="H2778" i="3" s="1"/>
  <c r="A3085" i="3"/>
  <c r="G3085" i="3" s="1"/>
  <c r="A3078" i="3"/>
  <c r="A3054" i="3"/>
  <c r="H3054" i="3" s="1"/>
  <c r="A3047" i="3"/>
  <c r="A3031" i="3"/>
  <c r="H3031" i="3" s="1"/>
  <c r="A2935" i="3"/>
  <c r="G2935" i="3" s="1"/>
  <c r="A2929" i="3"/>
  <c r="A2914" i="3"/>
  <c r="I2914" i="3" s="1"/>
  <c r="A2909" i="3"/>
  <c r="P1143" i="2"/>
  <c r="O1143" i="2"/>
  <c r="A3040" i="3"/>
  <c r="G3040" i="3" s="1"/>
  <c r="A3058" i="3"/>
  <c r="A3099" i="3"/>
  <c r="H3099" i="3" s="1"/>
  <c r="A3135" i="3"/>
  <c r="G3135" i="3" s="1"/>
  <c r="A2730" i="3"/>
  <c r="A2773" i="3"/>
  <c r="J2773" i="3" s="1"/>
  <c r="A2838" i="3"/>
  <c r="A2844" i="3"/>
  <c r="B2844" i="3" s="1"/>
  <c r="C2844" i="3" s="1"/>
  <c r="A2873" i="3"/>
  <c r="I2873" i="3" s="1"/>
  <c r="A2882" i="3"/>
  <c r="B2882" i="3" s="1"/>
  <c r="C2882" i="3" s="1"/>
  <c r="A2894" i="3"/>
  <c r="G2894" i="3" s="1"/>
  <c r="A2934" i="3"/>
  <c r="B2934" i="3" s="1"/>
  <c r="C2934" i="3" s="1"/>
  <c r="A2966" i="3"/>
  <c r="H2966" i="3" s="1"/>
  <c r="A2974" i="3"/>
  <c r="I2974" i="3" s="1"/>
  <c r="A2982" i="3"/>
  <c r="J2982" i="3" s="1"/>
  <c r="A2990" i="3"/>
  <c r="H2990" i="3" s="1"/>
  <c r="A3023" i="3"/>
  <c r="G3023" i="3" s="1"/>
  <c r="A3068" i="3"/>
  <c r="F3068" i="3" s="1"/>
  <c r="K3068" i="3" s="1"/>
  <c r="A3088" i="3"/>
  <c r="H3088" i="3" s="1"/>
  <c r="A3100" i="3"/>
  <c r="G3100" i="3" s="1"/>
  <c r="A2795" i="3"/>
  <c r="F2795" i="3" s="1"/>
  <c r="K2795" i="3" s="1"/>
  <c r="A2812" i="3"/>
  <c r="H2812" i="3" s="1"/>
  <c r="A2867" i="3"/>
  <c r="B2867" i="3" s="1"/>
  <c r="C2867" i="3" s="1"/>
  <c r="A2876" i="3"/>
  <c r="F2876" i="3" s="1"/>
  <c r="K2876" i="3" s="1"/>
  <c r="A2896" i="3"/>
  <c r="H2896" i="3" s="1"/>
  <c r="A2910" i="3"/>
  <c r="B2910" i="3" s="1"/>
  <c r="C2910" i="3" s="1"/>
  <c r="A2927" i="3"/>
  <c r="A2942" i="3"/>
  <c r="J2942" i="3" s="1"/>
  <c r="A2967" i="3"/>
  <c r="A2991" i="3"/>
  <c r="G2991" i="3" s="1"/>
  <c r="A3007" i="3"/>
  <c r="A3041" i="3"/>
  <c r="G3041" i="3" s="1"/>
  <c r="A3050" i="3"/>
  <c r="B3050" i="3" s="1"/>
  <c r="C3050" i="3" s="1"/>
  <c r="A3114" i="3"/>
  <c r="I3114" i="3" s="1"/>
  <c r="C24" i="8"/>
  <c r="D24" i="8" s="1"/>
  <c r="A2813" i="3"/>
  <c r="H2813" i="3" s="1"/>
  <c r="A2820" i="3"/>
  <c r="B2820" i="3" s="1"/>
  <c r="C2820" i="3" s="1"/>
  <c r="A2831" i="3"/>
  <c r="G2831" i="3" s="1"/>
  <c r="A2860" i="3"/>
  <c r="G2860" i="3" s="1"/>
  <c r="A2911" i="3"/>
  <c r="G2911" i="3" s="1"/>
  <c r="A2936" i="3"/>
  <c r="J2936" i="3" s="1"/>
  <c r="A2977" i="3"/>
  <c r="J2977" i="3" s="1"/>
  <c r="A2992" i="3"/>
  <c r="J2992" i="3" s="1"/>
  <c r="A3000" i="3"/>
  <c r="I3000" i="3" s="1"/>
  <c r="A3035" i="3"/>
  <c r="G3035" i="3" s="1"/>
  <c r="A3060" i="3"/>
  <c r="G3060" i="3" s="1"/>
  <c r="A3137" i="3"/>
  <c r="I3137" i="3" s="1"/>
  <c r="A2814" i="3"/>
  <c r="G2814" i="3" s="1"/>
  <c r="A2832" i="3"/>
  <c r="G2832" i="3" s="1"/>
  <c r="A2845" i="3"/>
  <c r="A2868" i="3"/>
  <c r="F2868" i="3" s="1"/>
  <c r="K2868" i="3" s="1"/>
  <c r="A2888" i="3"/>
  <c r="I2888" i="3" s="1"/>
  <c r="A2920" i="3"/>
  <c r="B2920" i="3" s="1"/>
  <c r="C2920" i="3" s="1"/>
  <c r="A2978" i="3"/>
  <c r="A2993" i="3"/>
  <c r="H2993" i="3" s="1"/>
  <c r="A3026" i="3"/>
  <c r="J3026" i="3" s="1"/>
  <c r="A3052" i="3"/>
  <c r="I3052" i="3" s="1"/>
  <c r="A3080" i="3"/>
  <c r="G3080" i="3" s="1"/>
  <c r="A3116" i="3"/>
  <c r="A2741" i="3"/>
  <c r="B2741" i="3" s="1"/>
  <c r="C2741" i="3" s="1"/>
  <c r="A2889" i="3"/>
  <c r="A2898" i="3"/>
  <c r="A2912" i="3"/>
  <c r="H2912" i="3" s="1"/>
  <c r="A2945" i="3"/>
  <c r="G2945" i="3" s="1"/>
  <c r="A2961" i="3"/>
  <c r="I2961" i="3" s="1"/>
  <c r="A2985" i="3"/>
  <c r="G2985" i="3" s="1"/>
  <c r="A2994" i="3"/>
  <c r="J2994" i="3" s="1"/>
  <c r="A3001" i="3"/>
  <c r="B3001" i="3" s="1"/>
  <c r="C3001" i="3" s="1"/>
  <c r="A3027" i="3"/>
  <c r="A3042" i="3"/>
  <c r="F3042" i="3" s="1"/>
  <c r="K3042" i="3" s="1"/>
  <c r="A3073" i="3"/>
  <c r="H3073" i="3" s="1"/>
  <c r="A3094" i="3"/>
  <c r="H3094" i="3" s="1"/>
  <c r="A3103" i="3"/>
  <c r="I3103" i="3" s="1"/>
  <c r="A3127" i="3"/>
  <c r="A2995" i="3"/>
  <c r="A3008" i="3"/>
  <c r="I3008" i="3" s="1"/>
  <c r="A3017" i="3"/>
  <c r="I3017" i="3" s="1"/>
  <c r="A3036" i="3"/>
  <c r="A3043" i="3"/>
  <c r="I3043" i="3" s="1"/>
  <c r="A3055" i="3"/>
  <c r="G3055" i="3" s="1"/>
  <c r="A3095" i="3"/>
  <c r="G3095" i="3" s="1"/>
  <c r="P1353" i="2"/>
  <c r="O1353" i="2"/>
  <c r="O1169" i="2"/>
  <c r="P1169" i="2"/>
  <c r="O2207" i="2"/>
  <c r="P2207" i="2"/>
  <c r="P1583" i="2"/>
  <c r="O1583" i="2"/>
  <c r="P1118" i="2"/>
  <c r="O1118" i="2"/>
  <c r="P1921" i="2"/>
  <c r="O1921" i="2"/>
  <c r="P1277" i="2"/>
  <c r="O1277" i="2"/>
  <c r="P1495" i="2"/>
  <c r="O1495" i="2"/>
  <c r="P2113" i="2"/>
  <c r="O2113" i="2"/>
  <c r="P1631" i="2"/>
  <c r="O1631" i="2"/>
  <c r="P1812" i="2"/>
  <c r="O1812" i="2"/>
  <c r="O1229" i="2"/>
  <c r="P1229" i="2"/>
  <c r="O1682" i="2"/>
  <c r="P1682" i="2"/>
  <c r="O1210" i="2"/>
  <c r="O1240" i="2"/>
  <c r="P1492" i="2"/>
  <c r="O1492" i="2"/>
  <c r="P1859" i="2"/>
  <c r="O1859" i="2"/>
  <c r="P1914" i="2"/>
  <c r="O1914" i="2"/>
  <c r="O2487" i="2"/>
  <c r="P2487" i="2"/>
  <c r="P1374" i="2"/>
  <c r="O1374" i="2"/>
  <c r="P1737" i="2"/>
  <c r="O1737" i="2"/>
  <c r="P1969" i="2"/>
  <c r="O1969" i="2"/>
  <c r="O2016" i="2"/>
  <c r="P2016" i="2"/>
  <c r="A3136" i="3"/>
  <c r="P2176" i="2"/>
  <c r="O2176" i="2"/>
  <c r="P1116" i="2"/>
  <c r="O1116" i="2"/>
  <c r="O1163" i="2"/>
  <c r="O2169" i="2"/>
  <c r="P2169" i="2"/>
  <c r="A3081" i="3"/>
  <c r="G3081" i="3" s="1"/>
  <c r="A3072" i="3"/>
  <c r="J3072" i="3" s="1"/>
  <c r="A3061" i="3"/>
  <c r="H3061" i="3" s="1"/>
  <c r="A3046" i="3"/>
  <c r="I3046" i="3" s="1"/>
  <c r="A3033" i="3"/>
  <c r="H3033" i="3" s="1"/>
  <c r="A3090" i="3"/>
  <c r="B3090" i="3" s="1"/>
  <c r="C3090" i="3" s="1"/>
  <c r="A3084" i="3"/>
  <c r="H3084" i="3" s="1"/>
  <c r="A3065" i="3"/>
  <c r="G3065" i="3" s="1"/>
  <c r="A3025" i="3"/>
  <c r="G3025" i="3" s="1"/>
  <c r="A3097" i="3"/>
  <c r="I3097" i="3" s="1"/>
  <c r="A3093" i="3"/>
  <c r="H3093" i="3" s="1"/>
  <c r="A3022" i="3"/>
  <c r="F3022" i="3" s="1"/>
  <c r="P1437" i="2"/>
  <c r="O1437" i="2"/>
  <c r="O1522" i="2"/>
  <c r="P1522" i="2"/>
  <c r="P1839" i="2"/>
  <c r="O1839" i="2"/>
  <c r="O1189" i="2"/>
  <c r="P1189" i="2"/>
  <c r="A3107" i="3"/>
  <c r="P2285" i="2"/>
  <c r="O2285" i="2"/>
  <c r="P2624" i="2"/>
  <c r="O2624" i="2"/>
  <c r="A3101" i="3"/>
  <c r="G3101" i="3" s="1"/>
  <c r="A3112" i="3"/>
  <c r="H3112" i="3" s="1"/>
  <c r="A3140" i="3"/>
  <c r="G3140" i="3" s="1"/>
  <c r="P1310" i="2"/>
  <c r="O1310" i="2"/>
  <c r="P1638" i="2"/>
  <c r="O1638" i="2"/>
  <c r="O2186" i="2"/>
  <c r="P2186" i="2"/>
  <c r="P2351" i="2"/>
  <c r="O2351" i="2"/>
  <c r="O2369" i="2"/>
  <c r="P2369" i="2"/>
  <c r="P2411" i="2"/>
  <c r="O2411" i="2"/>
  <c r="P2581" i="2"/>
  <c r="O2581" i="2"/>
  <c r="O2585" i="2"/>
  <c r="P2585" i="2"/>
  <c r="P1192" i="2"/>
  <c r="O1202" i="2"/>
  <c r="O1222" i="2"/>
  <c r="O1232" i="2"/>
  <c r="P1249" i="2"/>
  <c r="P1289" i="2"/>
  <c r="P1330" i="2"/>
  <c r="O1481" i="2"/>
  <c r="P1498" i="2"/>
  <c r="P1529" i="2"/>
  <c r="O1570" i="2"/>
  <c r="O1573" i="2"/>
  <c r="O1576" i="2"/>
  <c r="P1600" i="2"/>
  <c r="P1607" i="2"/>
  <c r="P1618" i="2"/>
  <c r="P1645" i="2"/>
  <c r="O1655" i="2"/>
  <c r="O1713" i="2"/>
  <c r="O1747" i="2"/>
  <c r="P1805" i="2"/>
  <c r="O1818" i="2"/>
  <c r="O1832" i="2"/>
  <c r="O1869" i="2"/>
  <c r="O1893" i="2"/>
  <c r="O2304" i="2"/>
  <c r="P2304" i="2"/>
  <c r="P2447" i="2"/>
  <c r="O2447" i="2"/>
  <c r="O2508" i="2"/>
  <c r="P2508" i="2"/>
  <c r="O2832" i="2"/>
  <c r="P2832" i="2"/>
  <c r="P2865" i="2"/>
  <c r="O2865" i="2"/>
  <c r="O2895" i="2"/>
  <c r="P2895" i="2"/>
  <c r="P1303" i="2"/>
  <c r="P1313" i="2"/>
  <c r="O1378" i="2"/>
  <c r="P1378" i="2"/>
  <c r="P1440" i="2"/>
  <c r="O1457" i="2"/>
  <c r="O1471" i="2"/>
  <c r="O1519" i="2"/>
  <c r="P1542" i="2"/>
  <c r="O1597" i="2"/>
  <c r="P1665" i="2"/>
  <c r="P1685" i="2"/>
  <c r="O1723" i="2"/>
  <c r="O1890" i="2"/>
  <c r="O2096" i="2"/>
  <c r="P2096" i="2"/>
  <c r="P2430" i="2"/>
  <c r="O2430" i="2"/>
  <c r="O2795" i="2"/>
  <c r="P2795" i="2"/>
  <c r="P1290" i="2"/>
  <c r="O1290" i="2"/>
  <c r="P1499" i="2"/>
  <c r="O1499" i="2"/>
  <c r="P1741" i="2"/>
  <c r="O1741" i="2"/>
  <c r="O2366" i="2"/>
  <c r="P2366" i="2"/>
  <c r="O2505" i="2"/>
  <c r="P2505" i="2"/>
  <c r="P2621" i="2"/>
  <c r="O2621" i="2"/>
  <c r="P2765" i="2"/>
  <c r="O2765" i="2"/>
  <c r="P2903" i="2"/>
  <c r="O2903" i="2"/>
  <c r="A3048" i="3"/>
  <c r="G3048" i="3" s="1"/>
  <c r="A3102" i="3"/>
  <c r="I3102" i="3" s="1"/>
  <c r="A3113" i="3"/>
  <c r="J3113" i="3" s="1"/>
  <c r="O1115" i="2"/>
  <c r="O1286" i="2"/>
  <c r="P1360" i="2"/>
  <c r="O1403" i="2"/>
  <c r="P1464" i="2"/>
  <c r="P1489" i="2"/>
  <c r="P1553" i="2"/>
  <c r="P1594" i="2"/>
  <c r="P1662" i="2"/>
  <c r="P1679" i="2"/>
  <c r="O1730" i="2"/>
  <c r="P1744" i="2"/>
  <c r="O1829" i="2"/>
  <c r="P1908" i="2"/>
  <c r="O1908" i="2"/>
  <c r="O1938" i="2"/>
  <c r="O1985" i="2"/>
  <c r="O2037" i="2"/>
  <c r="P2219" i="2"/>
  <c r="O2219" i="2"/>
  <c r="P2229" i="2"/>
  <c r="O2300" i="2"/>
  <c r="P2362" i="2"/>
  <c r="P2501" i="2"/>
  <c r="P2825" i="2"/>
  <c r="O2825" i="2"/>
  <c r="O1112" i="2"/>
  <c r="P1139" i="2"/>
  <c r="O1166" i="2"/>
  <c r="O1176" i="2"/>
  <c r="O1186" i="2"/>
  <c r="O1226" i="2"/>
  <c r="P1236" i="2"/>
  <c r="P1472" i="2"/>
  <c r="O1472" i="2"/>
  <c r="P2262" i="2"/>
  <c r="O2262" i="2"/>
  <c r="P2412" i="2"/>
  <c r="O2412" i="2"/>
  <c r="P2516" i="2"/>
  <c r="O2516" i="2"/>
  <c r="P2534" i="2"/>
  <c r="O2534" i="2"/>
  <c r="P2578" i="2"/>
  <c r="O2578" i="2"/>
  <c r="O1280" i="2"/>
  <c r="P1324" i="2"/>
  <c r="O1324" i="2"/>
  <c r="O1469" i="2"/>
  <c r="P1469" i="2"/>
  <c r="P2212" i="2"/>
  <c r="O2212" i="2"/>
  <c r="P2611" i="2"/>
  <c r="O2611" i="2"/>
  <c r="P2618" i="2"/>
  <c r="O2618" i="2"/>
  <c r="O2651" i="2"/>
  <c r="P2651" i="2"/>
  <c r="O2707" i="2"/>
  <c r="P2707" i="2"/>
  <c r="P2862" i="2"/>
  <c r="O2862" i="2"/>
  <c r="O1826" i="2"/>
  <c r="P1863" i="2"/>
  <c r="P1918" i="2"/>
  <c r="O2075" i="2"/>
  <c r="O2201" i="2"/>
  <c r="P2286" i="2"/>
  <c r="P2670" i="2"/>
  <c r="O2670" i="2"/>
  <c r="O2673" i="2"/>
  <c r="A3110" i="3"/>
  <c r="G3110" i="3" s="1"/>
  <c r="A3118" i="3"/>
  <c r="A3133" i="3"/>
  <c r="J3133" i="3" s="1"/>
  <c r="P1106" i="2"/>
  <c r="O1146" i="2"/>
  <c r="O1200" i="2"/>
  <c r="O1220" i="2"/>
  <c r="O1304" i="2"/>
  <c r="P1364" i="2"/>
  <c r="O1449" i="2"/>
  <c r="P1449" i="2"/>
  <c r="O1543" i="2"/>
  <c r="O1571" i="2"/>
  <c r="P1577" i="2"/>
  <c r="O1588" i="2"/>
  <c r="P1963" i="2"/>
  <c r="P2045" i="2"/>
  <c r="O2045" i="2"/>
  <c r="O2195" i="2"/>
  <c r="P2195" i="2"/>
  <c r="O2334" i="2"/>
  <c r="P2334" i="2"/>
  <c r="P2571" i="2"/>
  <c r="O2571" i="2"/>
  <c r="P2900" i="2"/>
  <c r="O2900" i="2"/>
  <c r="P2926" i="2"/>
  <c r="O2926" i="2"/>
  <c r="O1170" i="2"/>
  <c r="P1214" i="2"/>
  <c r="O1260" i="2"/>
  <c r="O1271" i="2"/>
  <c r="O1411" i="2"/>
  <c r="P1418" i="2"/>
  <c r="P1458" i="2"/>
  <c r="O1598" i="2"/>
  <c r="O1772" i="2"/>
  <c r="P1803" i="2"/>
  <c r="P1915" i="2"/>
  <c r="O2041" i="2"/>
  <c r="O2093" i="2"/>
  <c r="P2187" i="2"/>
  <c r="O2255" i="2"/>
  <c r="O2317" i="2"/>
  <c r="P2317" i="2"/>
  <c r="P2441" i="2"/>
  <c r="P2703" i="2"/>
  <c r="O1923" i="2"/>
  <c r="P1923" i="2"/>
  <c r="P2245" i="2"/>
  <c r="O2245" i="2"/>
  <c r="P2280" i="2"/>
  <c r="O2280" i="2"/>
  <c r="P2378" i="2"/>
  <c r="O2378" i="2"/>
  <c r="O2413" i="2"/>
  <c r="P2413" i="2"/>
  <c r="P2513" i="2"/>
  <c r="O2513" i="2"/>
  <c r="P2568" i="2"/>
  <c r="O2568" i="2"/>
  <c r="O1633" i="2"/>
  <c r="P1633" i="2"/>
  <c r="P2213" i="2"/>
  <c r="O2213" i="2"/>
  <c r="P2524" i="2"/>
  <c r="O2524" i="2"/>
  <c r="P2608" i="2"/>
  <c r="O2608" i="2"/>
  <c r="P2834" i="2"/>
  <c r="O2834" i="2"/>
  <c r="A3104" i="3"/>
  <c r="F3104" i="3" s="1"/>
  <c r="K3104" i="3" s="1"/>
  <c r="A3111" i="3"/>
  <c r="A3129" i="3"/>
  <c r="H3129" i="3" s="1"/>
  <c r="O1110" i="2"/>
  <c r="O1137" i="2"/>
  <c r="O1194" i="2"/>
  <c r="P1204" i="2"/>
  <c r="O1241" i="2"/>
  <c r="O1254" i="2"/>
  <c r="O1281" i="2"/>
  <c r="O1291" i="2"/>
  <c r="O1308" i="2"/>
  <c r="O1398" i="2"/>
  <c r="P1398" i="2"/>
  <c r="O1408" i="2"/>
  <c r="O1497" i="2"/>
  <c r="P1497" i="2"/>
  <c r="O1500" i="2"/>
  <c r="O1561" i="2"/>
  <c r="P1602" i="2"/>
  <c r="O1609" i="2"/>
  <c r="P1623" i="2"/>
  <c r="O1636" i="2"/>
  <c r="O1674" i="2"/>
  <c r="O1715" i="2"/>
  <c r="O1728" i="2"/>
  <c r="O1807" i="2"/>
  <c r="P1871" i="2"/>
  <c r="P1885" i="2"/>
  <c r="O1936" i="2"/>
  <c r="O1983" i="2"/>
  <c r="O1987" i="2"/>
  <c r="P1987" i="2"/>
  <c r="O2001" i="2"/>
  <c r="O2129" i="2"/>
  <c r="O2153" i="2"/>
  <c r="O2167" i="2"/>
  <c r="O2266" i="2"/>
  <c r="P2338" i="2"/>
  <c r="O2367" i="2"/>
  <c r="O2388" i="2"/>
  <c r="O2428" i="2"/>
  <c r="P2428" i="2"/>
  <c r="O2474" i="2"/>
  <c r="P2474" i="2"/>
  <c r="P2506" i="2"/>
  <c r="P2561" i="2"/>
  <c r="O2561" i="2"/>
  <c r="O2637" i="2"/>
  <c r="O2812" i="2"/>
  <c r="P2812" i="2"/>
  <c r="P2852" i="2"/>
  <c r="O2852" i="2"/>
  <c r="O2964" i="2"/>
  <c r="P2964" i="2"/>
  <c r="O1161" i="2"/>
  <c r="O1164" i="2"/>
  <c r="O1181" i="2"/>
  <c r="O1224" i="2"/>
  <c r="O1268" i="2"/>
  <c r="O1275" i="2"/>
  <c r="O1278" i="2"/>
  <c r="P1358" i="2"/>
  <c r="O1487" i="2"/>
  <c r="O1667" i="2"/>
  <c r="O1749" i="2"/>
  <c r="O1787" i="2"/>
  <c r="O1834" i="2"/>
  <c r="P1864" i="2"/>
  <c r="P1895" i="2"/>
  <c r="O1902" i="2"/>
  <c r="P2011" i="2"/>
  <c r="O2069" i="2"/>
  <c r="O2073" i="2"/>
  <c r="P2073" i="2"/>
  <c r="O2104" i="2"/>
  <c r="P2115" i="2"/>
  <c r="O2157" i="2"/>
  <c r="O2196" i="2"/>
  <c r="P2196" i="2"/>
  <c r="O2202" i="2"/>
  <c r="O2220" i="2"/>
  <c r="P2287" i="2"/>
  <c r="O2385" i="2"/>
  <c r="P2623" i="2"/>
  <c r="O2623" i="2"/>
  <c r="A3106" i="3"/>
  <c r="H3106" i="3" s="1"/>
  <c r="A3119" i="3"/>
  <c r="H3119" i="3" s="1"/>
  <c r="A3130" i="3"/>
  <c r="H3130" i="3" s="1"/>
  <c r="O1107" i="2"/>
  <c r="P1134" i="2"/>
  <c r="O1147" i="2"/>
  <c r="O1191" i="2"/>
  <c r="O1201" i="2"/>
  <c r="O1221" i="2"/>
  <c r="O1234" i="2"/>
  <c r="P1305" i="2"/>
  <c r="O1355" i="2"/>
  <c r="O1365" i="2"/>
  <c r="O1376" i="2"/>
  <c r="O1473" i="2"/>
  <c r="O1480" i="2"/>
  <c r="P1507" i="2"/>
  <c r="P1524" i="2"/>
  <c r="O1531" i="2"/>
  <c r="O1534" i="2"/>
  <c r="P1544" i="2"/>
  <c r="P1558" i="2"/>
  <c r="O1572" i="2"/>
  <c r="P1578" i="2"/>
  <c r="O1582" i="2"/>
  <c r="P1582" i="2"/>
  <c r="P1613" i="2"/>
  <c r="O1654" i="2"/>
  <c r="O1691" i="2"/>
  <c r="P1691" i="2"/>
  <c r="P1725" i="2"/>
  <c r="O1841" i="2"/>
  <c r="O1892" i="2"/>
  <c r="O1933" i="2"/>
  <c r="P1964" i="2"/>
  <c r="P2049" i="2"/>
  <c r="O2101" i="2"/>
  <c r="P2137" i="2"/>
  <c r="O2137" i="2"/>
  <c r="P2143" i="2"/>
  <c r="O2150" i="2"/>
  <c r="P2164" i="2"/>
  <c r="P2249" i="2"/>
  <c r="O2263" i="2"/>
  <c r="O2371" i="2"/>
  <c r="P2517" i="2"/>
  <c r="P2550" i="2"/>
  <c r="O2550" i="2"/>
  <c r="P2587" i="2"/>
  <c r="P2605" i="2"/>
  <c r="O2605" i="2"/>
  <c r="O2827" i="2"/>
  <c r="P2827" i="2"/>
  <c r="P1463" i="2"/>
  <c r="O1463" i="2"/>
  <c r="O1562" i="2"/>
  <c r="P1562" i="2"/>
  <c r="P2368" i="2"/>
  <c r="O2368" i="2"/>
  <c r="P2514" i="2"/>
  <c r="O2514" i="2"/>
  <c r="A3120" i="3"/>
  <c r="G3120" i="3" s="1"/>
  <c r="A3125" i="3"/>
  <c r="F3125" i="3" s="1"/>
  <c r="K3125" i="3" s="1"/>
  <c r="O1258" i="2"/>
  <c r="O1312" i="2"/>
  <c r="P1439" i="2"/>
  <c r="P1559" i="2"/>
  <c r="O1559" i="2"/>
  <c r="P1579" i="2"/>
  <c r="O1579" i="2"/>
  <c r="P1596" i="2"/>
  <c r="P1664" i="2"/>
  <c r="P1684" i="2"/>
  <c r="O1694" i="2"/>
  <c r="P1739" i="2"/>
  <c r="P1788" i="2"/>
  <c r="O1788" i="2"/>
  <c r="O1954" i="2"/>
  <c r="P1974" i="2"/>
  <c r="O1977" i="2"/>
  <c r="P1995" i="2"/>
  <c r="O2025" i="2"/>
  <c r="P2039" i="2"/>
  <c r="P2087" i="2"/>
  <c r="P2105" i="2"/>
  <c r="O2105" i="2"/>
  <c r="P2119" i="2"/>
  <c r="O2179" i="2"/>
  <c r="P2179" i="2"/>
  <c r="O2242" i="2"/>
  <c r="P2303" i="2"/>
  <c r="O2303" i="2"/>
  <c r="O2421" i="2"/>
  <c r="O2496" i="2"/>
  <c r="O2609" i="2"/>
  <c r="P2609" i="2"/>
  <c r="P2631" i="2"/>
  <c r="O2631" i="2"/>
  <c r="O2745" i="2"/>
  <c r="P2745" i="2"/>
  <c r="P2779" i="2"/>
  <c r="O2779" i="2"/>
  <c r="P2805" i="2"/>
  <c r="O2805" i="2"/>
  <c r="P2835" i="2"/>
  <c r="O2835" i="2"/>
  <c r="O2838" i="2"/>
  <c r="O2864" i="2"/>
  <c r="P2864" i="2"/>
  <c r="P2998" i="2"/>
  <c r="O2998" i="2"/>
  <c r="P1443" i="2"/>
  <c r="O1443" i="2"/>
  <c r="O1883" i="2"/>
  <c r="P1883" i="2"/>
  <c r="P1948" i="2"/>
  <c r="O1948" i="2"/>
  <c r="O2112" i="2"/>
  <c r="P2206" i="2"/>
  <c r="P2239" i="2"/>
  <c r="P2257" i="2"/>
  <c r="O2257" i="2"/>
  <c r="P2260" i="2"/>
  <c r="O2274" i="2"/>
  <c r="O2454" i="2"/>
  <c r="P2454" i="2"/>
  <c r="P2657" i="2"/>
  <c r="O2657" i="2"/>
  <c r="P2723" i="2"/>
  <c r="O2734" i="2"/>
  <c r="P2702" i="2"/>
  <c r="P2722" i="2"/>
  <c r="P2806" i="2"/>
  <c r="P2826" i="2"/>
  <c r="P2863" i="2"/>
  <c r="P2894" i="2"/>
  <c r="P2904" i="2"/>
  <c r="P2941" i="2"/>
  <c r="P2944" i="2"/>
  <c r="P2972" i="2"/>
  <c r="B125" i="4"/>
  <c r="P2813" i="2"/>
  <c r="P2853" i="2"/>
  <c r="O2881" i="2"/>
  <c r="P2884" i="2"/>
  <c r="P2999" i="2"/>
  <c r="O2258" i="2"/>
  <c r="P2271" i="2"/>
  <c r="P2295" i="2"/>
  <c r="P2343" i="2"/>
  <c r="P2420" i="2"/>
  <c r="O2433" i="2"/>
  <c r="P2466" i="2"/>
  <c r="P2519" i="2"/>
  <c r="P2542" i="2"/>
  <c r="O2583" i="2"/>
  <c r="O2659" i="2"/>
  <c r="O2675" i="2"/>
  <c r="P2729" i="2"/>
  <c r="O2810" i="2"/>
  <c r="P2840" i="2"/>
  <c r="P2857" i="2"/>
  <c r="O2888" i="2"/>
  <c r="P2915" i="2"/>
  <c r="O2948" i="2"/>
  <c r="O2656" i="2"/>
  <c r="O2669" i="2"/>
  <c r="O2679" i="2"/>
  <c r="O2706" i="2"/>
  <c r="P2753" i="2"/>
  <c r="O2787" i="2"/>
  <c r="O2794" i="2"/>
  <c r="O2804" i="2"/>
  <c r="P2871" i="2"/>
  <c r="O2925" i="2"/>
  <c r="O2942" i="2"/>
  <c r="O2424" i="2"/>
  <c r="P2437" i="2"/>
  <c r="P2450" i="2"/>
  <c r="P2473" i="2"/>
  <c r="P2504" i="2"/>
  <c r="O2523" i="2"/>
  <c r="P2533" i="2"/>
  <c r="P2630" i="2"/>
  <c r="P2764" i="2"/>
  <c r="O2778" i="2"/>
  <c r="O2821" i="2"/>
  <c r="P2831" i="2"/>
  <c r="O2899" i="2"/>
  <c r="P2997" i="2"/>
  <c r="P2269" i="2"/>
  <c r="O2293" i="2"/>
  <c r="P2365" i="2"/>
  <c r="O2418" i="2"/>
  <c r="P2481" i="2"/>
  <c r="O2498" i="2"/>
  <c r="O2511" i="2"/>
  <c r="O2527" i="2"/>
  <c r="O2547" i="2"/>
  <c r="O2588" i="2"/>
  <c r="O2634" i="2"/>
  <c r="O2654" i="2"/>
  <c r="O2667" i="2"/>
  <c r="O2701" i="2"/>
  <c r="O2724" i="2"/>
  <c r="O2727" i="2"/>
  <c r="O2785" i="2"/>
  <c r="O2906" i="2"/>
  <c r="P2913" i="2"/>
  <c r="O2923" i="2"/>
  <c r="O2937" i="2"/>
  <c r="P2940" i="2"/>
  <c r="P2971" i="2"/>
  <c r="O2987" i="2"/>
  <c r="P2994" i="2"/>
  <c r="B60" i="4"/>
  <c r="O2664" i="2"/>
  <c r="O2741" i="2"/>
  <c r="O2744" i="2"/>
  <c r="O2772" i="2"/>
  <c r="O2782" i="2"/>
  <c r="P2792" i="2"/>
  <c r="O2848" i="2"/>
  <c r="O2883" i="2"/>
  <c r="B75" i="4"/>
  <c r="P2307" i="2"/>
  <c r="O2348" i="2"/>
  <c r="P2395" i="2"/>
  <c r="O2544" i="2"/>
  <c r="P2602" i="2"/>
  <c r="O2755" i="2"/>
  <c r="P2762" i="2"/>
  <c r="O2890" i="2"/>
  <c r="P2920" i="2"/>
  <c r="B100" i="4"/>
  <c r="P2335" i="2"/>
  <c r="P2342" i="2"/>
  <c r="O2429" i="2"/>
  <c r="O2432" i="2"/>
  <c r="O2538" i="2"/>
  <c r="O2551" i="2"/>
  <c r="O2638" i="2"/>
  <c r="O2645" i="2"/>
  <c r="P2674" i="2"/>
  <c r="O2705" i="2"/>
  <c r="O2715" i="2"/>
  <c r="P2776" i="2"/>
  <c r="O2803" i="2"/>
  <c r="P2809" i="2"/>
  <c r="P2839" i="2"/>
  <c r="P2947" i="2"/>
  <c r="O2975" i="2"/>
  <c r="B117" i="4"/>
  <c r="P2482" i="2"/>
  <c r="P2515" i="2"/>
  <c r="P2575" i="2"/>
  <c r="O2612" i="2"/>
  <c r="P2681" i="2"/>
  <c r="O2752" i="2"/>
  <c r="O2870" i="2"/>
  <c r="P2927" i="2"/>
  <c r="B121" i="4"/>
  <c r="C70" i="5"/>
  <c r="D70" i="5" s="1"/>
  <c r="C66" i="5"/>
  <c r="D66" i="5" s="1"/>
  <c r="C286" i="5"/>
  <c r="I284" i="5"/>
  <c r="B283" i="5"/>
  <c r="B286" i="5"/>
  <c r="H284" i="5"/>
  <c r="M285" i="5"/>
  <c r="F284" i="5"/>
  <c r="L285" i="5"/>
  <c r="E284" i="5"/>
  <c r="K285" i="5"/>
  <c r="D284" i="5"/>
  <c r="J285" i="5"/>
  <c r="C284" i="5"/>
  <c r="I285" i="5"/>
  <c r="B284" i="5"/>
  <c r="H285" i="5"/>
  <c r="G285" i="5"/>
  <c r="M283" i="5"/>
  <c r="M286" i="5"/>
  <c r="F285" i="5"/>
  <c r="L283" i="5"/>
  <c r="L286" i="5"/>
  <c r="E285" i="5"/>
  <c r="K283" i="5"/>
  <c r="K286" i="5"/>
  <c r="D285" i="5"/>
  <c r="J283" i="5"/>
  <c r="J286" i="5"/>
  <c r="C285" i="5"/>
  <c r="I283" i="5"/>
  <c r="H286" i="5"/>
  <c r="G283" i="5"/>
  <c r="G286" i="5"/>
  <c r="M284" i="5"/>
  <c r="F283" i="5"/>
  <c r="F286" i="5"/>
  <c r="L284" i="5"/>
  <c r="E283" i="5"/>
  <c r="E286" i="5"/>
  <c r="K284" i="5"/>
  <c r="D283" i="5"/>
  <c r="I286" i="5"/>
  <c r="D286" i="5"/>
  <c r="B285" i="5"/>
  <c r="J284" i="5"/>
  <c r="G284" i="5"/>
  <c r="H283" i="5"/>
  <c r="C283" i="5"/>
  <c r="P1514" i="2"/>
  <c r="O1514" i="2"/>
  <c r="P1557" i="2"/>
  <c r="O1557" i="2"/>
  <c r="P2050" i="2"/>
  <c r="O2050" i="2"/>
  <c r="P2094" i="2"/>
  <c r="O2094" i="2"/>
  <c r="P1238" i="2"/>
  <c r="O1238" i="2"/>
  <c r="P1228" i="2"/>
  <c r="O1228" i="2"/>
  <c r="P1699" i="2"/>
  <c r="O1699" i="2"/>
  <c r="P1906" i="2"/>
  <c r="O1906" i="2"/>
  <c r="P1946" i="2"/>
  <c r="O1946" i="2"/>
  <c r="P2135" i="2"/>
  <c r="O2135" i="2"/>
  <c r="P1152" i="2"/>
  <c r="O1152" i="2"/>
  <c r="O1209" i="2"/>
  <c r="P1209" i="2"/>
  <c r="B6" i="8"/>
  <c r="C6" i="8" s="1"/>
  <c r="O1199" i="2"/>
  <c r="P1199" i="2"/>
  <c r="P1397" i="2"/>
  <c r="O1397" i="2"/>
  <c r="O1404" i="2"/>
  <c r="P1404" i="2"/>
  <c r="P1270" i="2"/>
  <c r="O1270" i="2"/>
  <c r="P1196" i="2"/>
  <c r="O1196" i="2"/>
  <c r="P1193" i="2"/>
  <c r="O1193" i="2"/>
  <c r="O1263" i="2"/>
  <c r="P1263" i="2"/>
  <c r="P1362" i="2"/>
  <c r="O1362" i="2"/>
  <c r="O1190" i="2"/>
  <c r="P1190" i="2"/>
  <c r="P1359" i="2"/>
  <c r="O1359" i="2"/>
  <c r="O1345" i="2"/>
  <c r="P1345" i="2"/>
  <c r="P1174" i="2"/>
  <c r="O1174" i="2"/>
  <c r="P1120" i="2"/>
  <c r="O1120" i="2"/>
  <c r="P1126" i="2"/>
  <c r="O1126" i="2"/>
  <c r="P1148" i="2"/>
  <c r="O1148" i="2"/>
  <c r="P1177" i="2"/>
  <c r="O1177" i="2"/>
  <c r="P1208" i="2"/>
  <c r="P1212" i="2"/>
  <c r="O1212" i="2"/>
  <c r="P1231" i="2"/>
  <c r="O1231" i="2"/>
  <c r="P1262" i="2"/>
  <c r="P1269" i="2"/>
  <c r="P1352" i="2"/>
  <c r="O1352" i="2"/>
  <c r="O1424" i="2"/>
  <c r="P1424" i="2"/>
  <c r="O1617" i="2"/>
  <c r="P1617" i="2"/>
  <c r="P1710" i="2"/>
  <c r="O1710" i="2"/>
  <c r="P1752" i="2"/>
  <c r="O1752" i="2"/>
  <c r="P1145" i="2"/>
  <c r="O1145" i="2"/>
  <c r="P1331" i="2"/>
  <c r="O1331" i="2"/>
  <c r="O1349" i="2"/>
  <c r="P1349" i="2"/>
  <c r="P1373" i="2"/>
  <c r="O1373" i="2"/>
  <c r="P1383" i="2"/>
  <c r="O1383" i="2"/>
  <c r="P1451" i="2"/>
  <c r="O1451" i="2"/>
  <c r="P1614" i="2"/>
  <c r="O1614" i="2"/>
  <c r="P1630" i="2"/>
  <c r="O1630" i="2"/>
  <c r="P1866" i="2"/>
  <c r="O1866" i="2"/>
  <c r="P1913" i="2"/>
  <c r="O1913" i="2"/>
  <c r="P1206" i="2"/>
  <c r="O1206" i="2"/>
  <c r="P1225" i="2"/>
  <c r="O1225" i="2"/>
  <c r="P1235" i="2"/>
  <c r="O1235" i="2"/>
  <c r="P1366" i="2"/>
  <c r="O1366" i="2"/>
  <c r="P1394" i="2"/>
  <c r="O1394" i="2"/>
  <c r="O1444" i="2"/>
  <c r="P1444" i="2"/>
  <c r="P1511" i="2"/>
  <c r="O1511" i="2"/>
  <c r="P1551" i="2"/>
  <c r="O1551" i="2"/>
  <c r="P1833" i="2"/>
  <c r="O1833" i="2"/>
  <c r="P1873" i="2"/>
  <c r="O1873" i="2"/>
  <c r="P1257" i="2"/>
  <c r="O1257" i="2"/>
  <c r="P1267" i="2"/>
  <c r="O1267" i="2"/>
  <c r="P1425" i="2"/>
  <c r="O1425" i="2"/>
  <c r="P1203" i="2"/>
  <c r="O1203" i="2"/>
  <c r="P1296" i="2"/>
  <c r="O1296" i="2"/>
  <c r="O1318" i="2"/>
  <c r="P1318" i="2"/>
  <c r="P1328" i="2"/>
  <c r="O1328" i="2"/>
  <c r="P1391" i="2"/>
  <c r="O1391" i="2"/>
  <c r="P1415" i="2"/>
  <c r="O1415" i="2"/>
  <c r="O1671" i="2"/>
  <c r="P1671" i="2"/>
  <c r="P1800" i="2"/>
  <c r="O1800" i="2"/>
  <c r="P1830" i="2"/>
  <c r="O1830" i="2"/>
  <c r="P1187" i="2"/>
  <c r="P1283" i="2"/>
  <c r="O1283" i="2"/>
  <c r="P1342" i="2"/>
  <c r="O1380" i="2"/>
  <c r="P1435" i="2"/>
  <c r="O1435" i="2"/>
  <c r="O1468" i="2"/>
  <c r="P1468" i="2"/>
  <c r="O1508" i="2"/>
  <c r="P1508" i="2"/>
  <c r="O1548" i="2"/>
  <c r="P1548" i="2"/>
  <c r="P1700" i="2"/>
  <c r="O1700" i="2"/>
  <c r="P1740" i="2"/>
  <c r="O1740" i="2"/>
  <c r="O1105" i="2"/>
  <c r="O1130" i="2"/>
  <c r="O1133" i="2"/>
  <c r="O1142" i="2"/>
  <c r="P1184" i="2"/>
  <c r="P1264" i="2"/>
  <c r="O1264" i="2"/>
  <c r="O1302" i="2"/>
  <c r="P1315" i="2"/>
  <c r="O1315" i="2"/>
  <c r="O1335" i="2"/>
  <c r="O1384" i="2"/>
  <c r="P1384" i="2"/>
  <c r="O1127" i="2"/>
  <c r="O1136" i="2"/>
  <c r="P1149" i="2"/>
  <c r="P1293" i="2"/>
  <c r="O1293" i="2"/>
  <c r="P1367" i="2"/>
  <c r="O1367" i="2"/>
  <c r="P1388" i="2"/>
  <c r="O1388" i="2"/>
  <c r="P1412" i="2"/>
  <c r="O1412" i="2"/>
  <c r="P1512" i="2"/>
  <c r="O1512" i="2"/>
  <c r="P1552" i="2"/>
  <c r="O1552" i="2"/>
  <c r="O1724" i="2"/>
  <c r="P1724" i="2"/>
  <c r="O1124" i="2"/>
  <c r="O1156" i="2"/>
  <c r="O1239" i="2"/>
  <c r="P1242" i="2"/>
  <c r="O1245" i="2"/>
  <c r="O1248" i="2"/>
  <c r="O1251" i="2"/>
  <c r="P1325" i="2"/>
  <c r="O1325" i="2"/>
  <c r="O1377" i="2"/>
  <c r="P1721" i="2"/>
  <c r="O1721" i="2"/>
  <c r="P1854" i="2"/>
  <c r="O1854" i="2"/>
  <c r="O1329" i="2"/>
  <c r="P1329" i="2"/>
  <c r="P1340" i="2"/>
  <c r="O1340" i="2"/>
  <c r="O1409" i="2"/>
  <c r="P1409" i="2"/>
  <c r="O1585" i="2"/>
  <c r="P1585" i="2"/>
  <c r="P1652" i="2"/>
  <c r="O1652" i="2"/>
  <c r="P1658" i="2"/>
  <c r="O1658" i="2"/>
  <c r="P1672" i="2"/>
  <c r="O1672" i="2"/>
  <c r="P1718" i="2"/>
  <c r="O1718" i="2"/>
  <c r="P1781" i="2"/>
  <c r="O1781" i="2"/>
  <c r="P1465" i="2"/>
  <c r="O1465" i="2"/>
  <c r="O1509" i="2"/>
  <c r="P1509" i="2"/>
  <c r="O1549" i="2"/>
  <c r="P1549" i="2"/>
  <c r="O1811" i="2"/>
  <c r="P1811" i="2"/>
  <c r="O1824" i="2"/>
  <c r="P1824" i="2"/>
  <c r="P1385" i="2"/>
  <c r="O1385" i="2"/>
  <c r="O1395" i="2"/>
  <c r="P1406" i="2"/>
  <c r="O1406" i="2"/>
  <c r="P1419" i="2"/>
  <c r="O1422" i="2"/>
  <c r="O1455" i="2"/>
  <c r="O1649" i="2"/>
  <c r="P1649" i="2"/>
  <c r="P1333" i="2"/>
  <c r="O1333" i="2"/>
  <c r="P1375" i="2"/>
  <c r="O1375" i="2"/>
  <c r="O1389" i="2"/>
  <c r="P1389" i="2"/>
  <c r="P1526" i="2"/>
  <c r="O1526" i="2"/>
  <c r="P1103" i="2"/>
  <c r="P1109" i="2"/>
  <c r="P1122" i="2"/>
  <c r="O1122" i="2"/>
  <c r="P1154" i="2"/>
  <c r="O1154" i="2"/>
  <c r="O1287" i="2"/>
  <c r="O1297" i="2"/>
  <c r="P1300" i="2"/>
  <c r="P1326" i="2"/>
  <c r="O1326" i="2"/>
  <c r="P1337" i="2"/>
  <c r="O1337" i="2"/>
  <c r="P1354" i="2"/>
  <c r="P1392" i="2"/>
  <c r="P1423" i="2"/>
  <c r="O1423" i="2"/>
  <c r="P1459" i="2"/>
  <c r="O1459" i="2"/>
  <c r="P1632" i="2"/>
  <c r="O1632" i="2"/>
  <c r="O1642" i="2"/>
  <c r="P1642" i="2"/>
  <c r="P1119" i="2"/>
  <c r="O1119" i="2"/>
  <c r="P1151" i="2"/>
  <c r="O1151" i="2"/>
  <c r="O1160" i="2"/>
  <c r="O1265" i="2"/>
  <c r="O1272" i="2"/>
  <c r="P1466" i="2"/>
  <c r="O1466" i="2"/>
  <c r="P1483" i="2"/>
  <c r="O1483" i="2"/>
  <c r="P1523" i="2"/>
  <c r="O1523" i="2"/>
  <c r="P1706" i="2"/>
  <c r="O1706" i="2"/>
  <c r="P1180" i="2"/>
  <c r="O1180" i="2"/>
  <c r="P1211" i="2"/>
  <c r="P1294" i="2"/>
  <c r="P1368" i="2"/>
  <c r="P1379" i="2"/>
  <c r="O1379" i="2"/>
  <c r="P1386" i="2"/>
  <c r="O1386" i="2"/>
  <c r="P1400" i="2"/>
  <c r="O1400" i="2"/>
  <c r="P1462" i="2"/>
  <c r="P1563" i="2"/>
  <c r="O1563" i="2"/>
  <c r="O1129" i="2"/>
  <c r="P1129" i="2"/>
  <c r="P1173" i="2"/>
  <c r="P1237" i="2"/>
  <c r="P1334" i="2"/>
  <c r="O1334" i="2"/>
  <c r="O1344" i="2"/>
  <c r="P1447" i="2"/>
  <c r="O1447" i="2"/>
  <c r="P1517" i="2"/>
  <c r="O1517" i="2"/>
  <c r="O1670" i="2"/>
  <c r="P1702" i="2"/>
  <c r="O1702" i="2"/>
  <c r="O1714" i="2"/>
  <c r="P1733" i="2"/>
  <c r="O1806" i="2"/>
  <c r="P1993" i="2"/>
  <c r="O1993" i="2"/>
  <c r="P2302" i="2"/>
  <c r="O2302" i="2"/>
  <c r="P2350" i="2"/>
  <c r="O2350" i="2"/>
  <c r="O1474" i="2"/>
  <c r="O1477" i="2"/>
  <c r="O1535" i="2"/>
  <c r="P1727" i="2"/>
  <c r="P1731" i="2"/>
  <c r="O1731" i="2"/>
  <c r="O1768" i="2"/>
  <c r="P1771" i="2"/>
  <c r="P1778" i="2"/>
  <c r="O1778" i="2"/>
  <c r="P1797" i="2"/>
  <c r="O1797" i="2"/>
  <c r="P1589" i="2"/>
  <c r="O1589" i="2"/>
  <c r="P1827" i="2"/>
  <c r="O1827" i="2"/>
  <c r="P1870" i="2"/>
  <c r="O1870" i="2"/>
  <c r="P1910" i="2"/>
  <c r="O1910" i="2"/>
  <c r="P1426" i="2"/>
  <c r="O1426" i="2"/>
  <c r="P1817" i="2"/>
  <c r="O1817" i="2"/>
  <c r="P1690" i="2"/>
  <c r="O1690" i="2"/>
  <c r="P1814" i="2"/>
  <c r="O1814" i="2"/>
  <c r="P1857" i="2"/>
  <c r="O1857" i="2"/>
  <c r="P1867" i="2"/>
  <c r="O1867" i="2"/>
  <c r="P1907" i="2"/>
  <c r="O1907" i="2"/>
  <c r="P2027" i="2"/>
  <c r="O2027" i="2"/>
  <c r="P2034" i="2"/>
  <c r="O2034" i="2"/>
  <c r="P2122" i="2"/>
  <c r="O2122" i="2"/>
  <c r="O1502" i="2"/>
  <c r="O1608" i="2"/>
  <c r="P1611" i="2"/>
  <c r="P1615" i="2"/>
  <c r="O1615" i="2"/>
  <c r="O1703" i="2"/>
  <c r="O1762" i="2"/>
  <c r="P1766" i="2"/>
  <c r="O1766" i="2"/>
  <c r="P1808" i="2"/>
  <c r="O1808" i="2"/>
  <c r="O1851" i="2"/>
  <c r="P1851" i="2"/>
  <c r="O2170" i="2"/>
  <c r="P2170" i="2"/>
  <c r="P1506" i="2"/>
  <c r="O1506" i="2"/>
  <c r="O1527" i="2"/>
  <c r="O1539" i="2"/>
  <c r="P1546" i="2"/>
  <c r="O1546" i="2"/>
  <c r="P1647" i="2"/>
  <c r="O1647" i="2"/>
  <c r="P1848" i="2"/>
  <c r="O1848" i="2"/>
  <c r="P2068" i="2"/>
  <c r="O2068" i="2"/>
  <c r="O1336" i="2"/>
  <c r="O1339" i="2"/>
  <c r="O1348" i="2"/>
  <c r="O1351" i="2"/>
  <c r="P1369" i="2"/>
  <c r="O1372" i="2"/>
  <c r="O1399" i="2"/>
  <c r="O1405" i="2"/>
  <c r="O1414" i="2"/>
  <c r="O1417" i="2"/>
  <c r="O1475" i="2"/>
  <c r="P1484" i="2"/>
  <c r="P1564" i="2"/>
  <c r="O1586" i="2"/>
  <c r="O1643" i="2"/>
  <c r="P1759" i="2"/>
  <c r="P2065" i="2"/>
  <c r="O2065" i="2"/>
  <c r="P2236" i="2"/>
  <c r="O2236" i="2"/>
  <c r="P2246" i="2"/>
  <c r="O2246" i="2"/>
  <c r="O1704" i="2"/>
  <c r="P1704" i="2"/>
  <c r="P1802" i="2"/>
  <c r="O1802" i="2"/>
  <c r="P2008" i="2"/>
  <c r="O2008" i="2"/>
  <c r="P2062" i="2"/>
  <c r="O2062" i="2"/>
  <c r="O1644" i="2"/>
  <c r="P1644" i="2"/>
  <c r="P1707" i="2"/>
  <c r="O1732" i="2"/>
  <c r="O1779" i="2"/>
  <c r="P1798" i="2"/>
  <c r="O2059" i="2"/>
  <c r="P2059" i="2"/>
  <c r="O1666" i="2"/>
  <c r="P1669" i="2"/>
  <c r="P1673" i="2"/>
  <c r="O1673" i="2"/>
  <c r="P1754" i="2"/>
  <c r="O1754" i="2"/>
  <c r="O1783" i="2"/>
  <c r="P1783" i="2"/>
  <c r="O1789" i="2"/>
  <c r="P1842" i="2"/>
  <c r="O1842" i="2"/>
  <c r="P2056" i="2"/>
  <c r="O2056" i="2"/>
  <c r="P1346" i="2"/>
  <c r="O1346" i="2"/>
  <c r="O1445" i="2"/>
  <c r="P1488" i="2"/>
  <c r="P1568" i="2"/>
  <c r="O1612" i="2"/>
  <c r="P1697" i="2"/>
  <c r="P1701" i="2"/>
  <c r="O1701" i="2"/>
  <c r="O1786" i="2"/>
  <c r="P1838" i="2"/>
  <c r="P1882" i="2"/>
  <c r="O1882" i="2"/>
  <c r="P2005" i="2"/>
  <c r="O2005" i="2"/>
  <c r="O2106" i="2"/>
  <c r="P2106" i="2"/>
  <c r="P2154" i="2"/>
  <c r="O2154" i="2"/>
  <c r="O1584" i="2"/>
  <c r="P1584" i="2"/>
  <c r="P1641" i="2"/>
  <c r="O1641" i="2"/>
  <c r="P1780" i="2"/>
  <c r="O1780" i="2"/>
  <c r="P2002" i="2"/>
  <c r="O2002" i="2"/>
  <c r="P1446" i="2"/>
  <c r="O1446" i="2"/>
  <c r="O1467" i="2"/>
  <c r="O1479" i="2"/>
  <c r="O1485" i="2"/>
  <c r="P1528" i="2"/>
  <c r="O1537" i="2"/>
  <c r="O1565" i="2"/>
  <c r="P1587" i="2"/>
  <c r="P1606" i="2"/>
  <c r="P1705" i="2"/>
  <c r="O1705" i="2"/>
  <c r="O1748" i="2"/>
  <c r="O1760" i="2"/>
  <c r="P1773" i="2"/>
  <c r="P1825" i="2"/>
  <c r="P1878" i="2"/>
  <c r="P2053" i="2"/>
  <c r="O2053" i="2"/>
  <c r="O2151" i="2"/>
  <c r="P2151" i="2"/>
  <c r="O1482" i="2"/>
  <c r="O1660" i="2"/>
  <c r="O1688" i="2"/>
  <c r="P1745" i="2"/>
  <c r="P1846" i="2"/>
  <c r="O1846" i="2"/>
  <c r="P2097" i="2"/>
  <c r="O2097" i="2"/>
  <c r="P1486" i="2"/>
  <c r="O1486" i="2"/>
  <c r="P1566" i="2"/>
  <c r="O1566" i="2"/>
  <c r="P1777" i="2"/>
  <c r="O1777" i="2"/>
  <c r="O1799" i="2"/>
  <c r="P1989" i="2"/>
  <c r="O1989" i="2"/>
  <c r="P2077" i="2"/>
  <c r="O2077" i="2"/>
  <c r="P1820" i="2"/>
  <c r="O1820" i="2"/>
  <c r="P1860" i="2"/>
  <c r="O1860" i="2"/>
  <c r="P1900" i="2"/>
  <c r="O1900" i="2"/>
  <c r="P1940" i="2"/>
  <c r="O1940" i="2"/>
  <c r="P1980" i="2"/>
  <c r="O1980" i="2"/>
  <c r="P2024" i="2"/>
  <c r="O2024" i="2"/>
  <c r="P2071" i="2"/>
  <c r="O2074" i="2"/>
  <c r="O2109" i="2"/>
  <c r="O2209" i="2"/>
  <c r="P2226" i="2"/>
  <c r="O2226" i="2"/>
  <c r="P2233" i="2"/>
  <c r="O2233" i="2"/>
  <c r="P2292" i="2"/>
  <c r="O2292" i="2"/>
  <c r="P1897" i="2"/>
  <c r="O1897" i="2"/>
  <c r="P1937" i="2"/>
  <c r="O1937" i="2"/>
  <c r="O1971" i="2"/>
  <c r="P1971" i="2"/>
  <c r="P2021" i="2"/>
  <c r="O2021" i="2"/>
  <c r="P2177" i="2"/>
  <c r="O2177" i="2"/>
  <c r="P2230" i="2"/>
  <c r="O2230" i="2"/>
  <c r="P2584" i="2"/>
  <c r="O2584" i="2"/>
  <c r="P2282" i="2"/>
  <c r="O2282" i="2"/>
  <c r="P2394" i="2"/>
  <c r="O2394" i="2"/>
  <c r="P2477" i="2"/>
  <c r="O2477" i="2"/>
  <c r="P2136" i="2"/>
  <c r="O2136" i="2"/>
  <c r="P2289" i="2"/>
  <c r="O2289" i="2"/>
  <c r="P2464" i="2"/>
  <c r="O2464" i="2"/>
  <c r="O1888" i="2"/>
  <c r="P1891" i="2"/>
  <c r="O1894" i="2"/>
  <c r="O1922" i="2"/>
  <c r="O1928" i="2"/>
  <c r="P1931" i="2"/>
  <c r="O1934" i="2"/>
  <c r="O1962" i="2"/>
  <c r="O1968" i="2"/>
  <c r="O1990" i="2"/>
  <c r="O2012" i="2"/>
  <c r="P2015" i="2"/>
  <c r="O2018" i="2"/>
  <c r="O2078" i="2"/>
  <c r="P2133" i="2"/>
  <c r="O2133" i="2"/>
  <c r="P2161" i="2"/>
  <c r="O2174" i="2"/>
  <c r="P2227" i="2"/>
  <c r="O2227" i="2"/>
  <c r="P2279" i="2"/>
  <c r="O2279" i="2"/>
  <c r="P2088" i="2"/>
  <c r="O2088" i="2"/>
  <c r="P2168" i="2"/>
  <c r="O2168" i="2"/>
  <c r="P2314" i="2"/>
  <c r="O2314" i="2"/>
  <c r="O1879" i="2"/>
  <c r="O1919" i="2"/>
  <c r="O2126" i="2"/>
  <c r="P2130" i="2"/>
  <c r="O2130" i="2"/>
  <c r="O2155" i="2"/>
  <c r="P2165" i="2"/>
  <c r="O2165" i="2"/>
  <c r="P2171" i="2"/>
  <c r="O2194" i="2"/>
  <c r="O1947" i="2"/>
  <c r="O1950" i="2"/>
  <c r="O1953" i="2"/>
  <c r="O1994" i="2"/>
  <c r="P2006" i="2"/>
  <c r="P2092" i="2"/>
  <c r="O2092" i="2"/>
  <c r="P2217" i="2"/>
  <c r="P2325" i="2"/>
  <c r="O2325" i="2"/>
  <c r="P2461" i="2"/>
  <c r="O2461" i="2"/>
  <c r="O2495" i="2"/>
  <c r="P2495" i="2"/>
  <c r="P2554" i="2"/>
  <c r="O2554" i="2"/>
  <c r="O1821" i="2"/>
  <c r="O1861" i="2"/>
  <c r="O1901" i="2"/>
  <c r="O1941" i="2"/>
  <c r="O1981" i="2"/>
  <c r="O2035" i="2"/>
  <c r="O2054" i="2"/>
  <c r="O2098" i="2"/>
  <c r="P2224" i="2"/>
  <c r="O2224" i="2"/>
  <c r="O2234" i="2"/>
  <c r="P2422" i="2"/>
  <c r="O2422" i="2"/>
  <c r="P2492" i="2"/>
  <c r="O2492" i="2"/>
  <c r="P1840" i="2"/>
  <c r="O1840" i="2"/>
  <c r="P1880" i="2"/>
  <c r="O1880" i="2"/>
  <c r="P1920" i="2"/>
  <c r="O1920" i="2"/>
  <c r="P1960" i="2"/>
  <c r="O1960" i="2"/>
  <c r="O1984" i="2"/>
  <c r="O2022" i="2"/>
  <c r="P2051" i="2"/>
  <c r="O2114" i="2"/>
  <c r="O2117" i="2"/>
  <c r="P2127" i="2"/>
  <c r="O2127" i="2"/>
  <c r="O2178" i="2"/>
  <c r="P2191" i="2"/>
  <c r="O2214" i="2"/>
  <c r="P2221" i="2"/>
  <c r="O2221" i="2"/>
  <c r="O2247" i="2"/>
  <c r="O2311" i="2"/>
  <c r="P2311" i="2"/>
  <c r="P2372" i="2"/>
  <c r="O2372" i="2"/>
  <c r="P1837" i="2"/>
  <c r="O1837" i="2"/>
  <c r="P1877" i="2"/>
  <c r="O1877" i="2"/>
  <c r="O1886" i="2"/>
  <c r="P1917" i="2"/>
  <c r="O1917" i="2"/>
  <c r="O1926" i="2"/>
  <c r="P1957" i="2"/>
  <c r="O1957" i="2"/>
  <c r="O1966" i="2"/>
  <c r="P1988" i="2"/>
  <c r="O1988" i="2"/>
  <c r="P1991" i="2"/>
  <c r="P2089" i="2"/>
  <c r="O2089" i="2"/>
  <c r="P2108" i="2"/>
  <c r="O2108" i="2"/>
  <c r="O2146" i="2"/>
  <c r="O2162" i="2"/>
  <c r="P2208" i="2"/>
  <c r="O2208" i="2"/>
  <c r="P2231" i="2"/>
  <c r="O2244" i="2"/>
  <c r="P2273" i="2"/>
  <c r="P2294" i="2"/>
  <c r="O2294" i="2"/>
  <c r="P2658" i="2"/>
  <c r="O2658" i="2"/>
  <c r="O1601" i="2"/>
  <c r="P1604" i="2"/>
  <c r="P1764" i="2"/>
  <c r="P2036" i="2"/>
  <c r="O2036" i="2"/>
  <c r="O2079" i="2"/>
  <c r="O2082" i="2"/>
  <c r="O2085" i="2"/>
  <c r="P2111" i="2"/>
  <c r="P2124" i="2"/>
  <c r="O2124" i="2"/>
  <c r="P2192" i="2"/>
  <c r="O2192" i="2"/>
  <c r="P2211" i="2"/>
  <c r="P2235" i="2"/>
  <c r="O2235" i="2"/>
  <c r="P2238" i="2"/>
  <c r="P1992" i="2"/>
  <c r="O1992" i="2"/>
  <c r="P2033" i="2"/>
  <c r="O2033" i="2"/>
  <c r="P2121" i="2"/>
  <c r="O2121" i="2"/>
  <c r="O2198" i="2"/>
  <c r="O2254" i="2"/>
  <c r="P2270" i="2"/>
  <c r="O2486" i="2"/>
  <c r="P2486" i="2"/>
  <c r="O2652" i="2"/>
  <c r="P2652" i="2"/>
  <c r="O1998" i="2"/>
  <c r="O2042" i="2"/>
  <c r="O2156" i="2"/>
  <c r="P2205" i="2"/>
  <c r="O2205" i="2"/>
  <c r="P2251" i="2"/>
  <c r="O2319" i="2"/>
  <c r="P2319" i="2"/>
  <c r="P2619" i="2"/>
  <c r="O2619" i="2"/>
  <c r="P2030" i="2"/>
  <c r="O2030" i="2"/>
  <c r="P2189" i="2"/>
  <c r="O2189" i="2"/>
  <c r="O2291" i="2"/>
  <c r="P2291" i="2"/>
  <c r="P2298" i="2"/>
  <c r="O2298" i="2"/>
  <c r="P2563" i="2"/>
  <c r="O2563" i="2"/>
  <c r="P2592" i="2"/>
  <c r="O2592" i="2"/>
  <c r="P2754" i="2"/>
  <c r="O2754" i="2"/>
  <c r="O2851" i="2"/>
  <c r="P2851" i="2"/>
  <c r="P2417" i="2"/>
  <c r="O2426" i="2"/>
  <c r="O2453" i="2"/>
  <c r="P2530" i="2"/>
  <c r="P2549" i="2"/>
  <c r="O2552" i="2"/>
  <c r="P2582" i="2"/>
  <c r="O2589" i="2"/>
  <c r="P2589" i="2"/>
  <c r="P2644" i="2"/>
  <c r="O2644" i="2"/>
  <c r="P2188" i="2"/>
  <c r="O2188" i="2"/>
  <c r="P2288" i="2"/>
  <c r="O2288" i="2"/>
  <c r="O2305" i="2"/>
  <c r="P2408" i="2"/>
  <c r="P2475" i="2"/>
  <c r="P2500" i="2"/>
  <c r="O2586" i="2"/>
  <c r="P2586" i="2"/>
  <c r="O2704" i="2"/>
  <c r="P2704" i="2"/>
  <c r="O2714" i="2"/>
  <c r="P2714" i="2"/>
  <c r="O2815" i="2"/>
  <c r="P2815" i="2"/>
  <c r="P2828" i="2"/>
  <c r="O2828" i="2"/>
  <c r="P2909" i="2"/>
  <c r="O2909" i="2"/>
  <c r="O2479" i="2"/>
  <c r="P2479" i="2"/>
  <c r="P2596" i="2"/>
  <c r="O2596" i="2"/>
  <c r="P2677" i="2"/>
  <c r="O2677" i="2"/>
  <c r="P2721" i="2"/>
  <c r="O2721" i="2"/>
  <c r="P2802" i="2"/>
  <c r="O2802" i="2"/>
  <c r="P2375" i="2"/>
  <c r="O2384" i="2"/>
  <c r="O2396" i="2"/>
  <c r="P2399" i="2"/>
  <c r="O2402" i="2"/>
  <c r="P2476" i="2"/>
  <c r="O2476" i="2"/>
  <c r="P2488" i="2"/>
  <c r="O2537" i="2"/>
  <c r="O2893" i="2"/>
  <c r="P2893" i="2"/>
  <c r="O2321" i="2"/>
  <c r="O2357" i="2"/>
  <c r="O2393" i="2"/>
  <c r="O2463" i="2"/>
  <c r="P2485" i="2"/>
  <c r="O2661" i="2"/>
  <c r="P2661" i="2"/>
  <c r="P2268" i="2"/>
  <c r="O2268" i="2"/>
  <c r="P2361" i="2"/>
  <c r="O2361" i="2"/>
  <c r="O2622" i="2"/>
  <c r="P2622" i="2"/>
  <c r="P2695" i="2"/>
  <c r="O2695" i="2"/>
  <c r="P2799" i="2"/>
  <c r="O2799" i="2"/>
  <c r="P2688" i="2"/>
  <c r="O2688" i="2"/>
  <c r="O2698" i="2"/>
  <c r="P2789" i="2"/>
  <c r="O2789" i="2"/>
  <c r="P2315" i="2"/>
  <c r="O2336" i="2"/>
  <c r="P2339" i="2"/>
  <c r="P2358" i="2"/>
  <c r="O2358" i="2"/>
  <c r="O2557" i="2"/>
  <c r="P2580" i="2"/>
  <c r="P2616" i="2"/>
  <c r="O2616" i="2"/>
  <c r="O2625" i="2"/>
  <c r="O2655" i="2"/>
  <c r="P2655" i="2"/>
  <c r="O2678" i="2"/>
  <c r="P2678" i="2"/>
  <c r="P2728" i="2"/>
  <c r="O2728" i="2"/>
  <c r="P2769" i="2"/>
  <c r="O2769" i="2"/>
  <c r="O2796" i="2"/>
  <c r="P2796" i="2"/>
  <c r="P2048" i="2"/>
  <c r="O2048" i="2"/>
  <c r="P2148" i="2"/>
  <c r="O2148" i="2"/>
  <c r="P2248" i="2"/>
  <c r="O2248" i="2"/>
  <c r="O2265" i="2"/>
  <c r="O2277" i="2"/>
  <c r="O2355" i="2"/>
  <c r="P2355" i="2"/>
  <c r="O2370" i="2"/>
  <c r="O2373" i="2"/>
  <c r="O2376" i="2"/>
  <c r="P2379" i="2"/>
  <c r="O2382" i="2"/>
  <c r="P2403" i="2"/>
  <c r="O2445" i="2"/>
  <c r="O2448" i="2"/>
  <c r="P2470" i="2"/>
  <c r="O2489" i="2"/>
  <c r="P2577" i="2"/>
  <c r="O2590" i="2"/>
  <c r="P2613" i="2"/>
  <c r="O2613" i="2"/>
  <c r="P2685" i="2"/>
  <c r="O2685" i="2"/>
  <c r="P2786" i="2"/>
  <c r="O2786" i="2"/>
  <c r="P2352" i="2"/>
  <c r="O2352" i="2"/>
  <c r="O2455" i="2"/>
  <c r="P2455" i="2"/>
  <c r="O2642" i="2"/>
  <c r="P2642" i="2"/>
  <c r="P2877" i="2"/>
  <c r="O2877" i="2"/>
  <c r="P2349" i="2"/>
  <c r="O2349" i="2"/>
  <c r="P2452" i="2"/>
  <c r="O2452" i="2"/>
  <c r="O2480" i="2"/>
  <c r="O2483" i="2"/>
  <c r="P2565" i="2"/>
  <c r="O2565" i="2"/>
  <c r="O2574" i="2"/>
  <c r="O2597" i="2"/>
  <c r="O2759" i="2"/>
  <c r="P2449" i="2"/>
  <c r="O2449" i="2"/>
  <c r="P2639" i="2"/>
  <c r="O2639" i="2"/>
  <c r="O2682" i="2"/>
  <c r="P2682" i="2"/>
  <c r="O2736" i="2"/>
  <c r="P2736" i="2"/>
  <c r="P2770" i="2"/>
  <c r="O2770" i="2"/>
  <c r="P2874" i="2"/>
  <c r="O2874" i="2"/>
  <c r="P2028" i="2"/>
  <c r="O2028" i="2"/>
  <c r="P2128" i="2"/>
  <c r="O2128" i="2"/>
  <c r="P2228" i="2"/>
  <c r="O2228" i="2"/>
  <c r="O2301" i="2"/>
  <c r="O2310" i="2"/>
  <c r="O2313" i="2"/>
  <c r="O2316" i="2"/>
  <c r="O2328" i="2"/>
  <c r="O2337" i="2"/>
  <c r="O2340" i="2"/>
  <c r="P2419" i="2"/>
  <c r="O2425" i="2"/>
  <c r="O2539" i="2"/>
  <c r="P2539" i="2"/>
  <c r="O2555" i="2"/>
  <c r="P2555" i="2"/>
  <c r="P2636" i="2"/>
  <c r="O2636" i="2"/>
  <c r="P2867" i="2"/>
  <c r="O2867" i="2"/>
  <c r="O2416" i="2"/>
  <c r="P2529" i="2"/>
  <c r="P2536" i="2"/>
  <c r="O2536" i="2"/>
  <c r="P2562" i="2"/>
  <c r="O2562" i="2"/>
  <c r="P2610" i="2"/>
  <c r="P2733" i="2"/>
  <c r="O2733" i="2"/>
  <c r="P2952" i="2"/>
  <c r="O2952" i="2"/>
  <c r="O2693" i="2"/>
  <c r="P2693" i="2"/>
  <c r="P2746" i="2"/>
  <c r="O2746" i="2"/>
  <c r="O2559" i="2"/>
  <c r="P2559" i="2"/>
  <c r="O2566" i="2"/>
  <c r="P2566" i="2"/>
  <c r="P2308" i="2"/>
  <c r="O2308" i="2"/>
  <c r="O2546" i="2"/>
  <c r="P2546" i="2"/>
  <c r="O2595" i="2"/>
  <c r="P2595" i="2"/>
  <c r="P2767" i="2"/>
  <c r="O2767" i="2"/>
  <c r="O2801" i="2"/>
  <c r="P2801" i="2"/>
  <c r="P2922" i="2"/>
  <c r="O2922" i="2"/>
  <c r="P2932" i="2"/>
  <c r="O2932" i="2"/>
  <c r="P2320" i="2"/>
  <c r="O2356" i="2"/>
  <c r="O2392" i="2"/>
  <c r="P2405" i="2"/>
  <c r="O2405" i="2"/>
  <c r="P2556" i="2"/>
  <c r="O2556" i="2"/>
  <c r="O2579" i="2"/>
  <c r="P2579" i="2"/>
  <c r="O2633" i="2"/>
  <c r="O2690" i="2"/>
  <c r="P2690" i="2"/>
  <c r="O2847" i="2"/>
  <c r="P2847" i="2"/>
  <c r="O2649" i="2"/>
  <c r="P2649" i="2"/>
  <c r="P2731" i="2"/>
  <c r="O2747" i="2"/>
  <c r="O2751" i="2"/>
  <c r="P2751" i="2"/>
  <c r="P2757" i="2"/>
  <c r="O2780" i="2"/>
  <c r="P2780" i="2"/>
  <c r="O2854" i="2"/>
  <c r="O2886" i="2"/>
  <c r="P2896" i="2"/>
  <c r="O2935" i="2"/>
  <c r="P2599" i="2"/>
  <c r="O2599" i="2"/>
  <c r="P2665" i="2"/>
  <c r="O2665" i="2"/>
  <c r="O2793" i="2"/>
  <c r="P2793" i="2"/>
  <c r="P2858" i="2"/>
  <c r="O2858" i="2"/>
  <c r="P2912" i="2"/>
  <c r="O2955" i="2"/>
  <c r="O2984" i="2"/>
  <c r="O2646" i="2"/>
  <c r="P2646" i="2"/>
  <c r="P2662" i="2"/>
  <c r="O2662" i="2"/>
  <c r="P2697" i="2"/>
  <c r="O2697" i="2"/>
  <c r="P2758" i="2"/>
  <c r="O2758" i="2"/>
  <c r="P2694" i="2"/>
  <c r="O2694" i="2"/>
  <c r="P2949" i="2"/>
  <c r="O2949" i="2"/>
  <c r="P2687" i="2"/>
  <c r="O2691" i="2"/>
  <c r="P2691" i="2"/>
  <c r="O2716" i="2"/>
  <c r="O2774" i="2"/>
  <c r="O2777" i="2"/>
  <c r="O2822" i="2"/>
  <c r="O2526" i="2"/>
  <c r="P2526" i="2"/>
  <c r="O2606" i="2"/>
  <c r="P2606" i="2"/>
  <c r="O2643" i="2"/>
  <c r="O2684" i="2"/>
  <c r="P2713" i="2"/>
  <c r="P2720" i="2"/>
  <c r="O2720" i="2"/>
  <c r="P2768" i="2"/>
  <c r="O2768" i="2"/>
  <c r="O2855" i="2"/>
  <c r="O2887" i="2"/>
  <c r="O2969" i="2"/>
  <c r="D67" i="5"/>
  <c r="P2946" i="2"/>
  <c r="O2946" i="2"/>
  <c r="O2995" i="2"/>
  <c r="D69" i="5"/>
  <c r="P2749" i="2"/>
  <c r="O2749" i="2"/>
  <c r="P2849" i="2"/>
  <c r="O2849" i="2"/>
  <c r="O2878" i="2"/>
  <c r="P2914" i="2"/>
  <c r="O2914" i="2"/>
  <c r="P2950" i="2"/>
  <c r="O2950" i="2"/>
  <c r="O2966" i="2"/>
  <c r="O2992" i="2"/>
  <c r="O2711" i="2"/>
  <c r="P2711" i="2"/>
  <c r="P2739" i="2"/>
  <c r="P2784" i="2"/>
  <c r="P2859" i="2"/>
  <c r="P2957" i="2"/>
  <c r="O2957" i="2"/>
  <c r="D73" i="5"/>
  <c r="P2576" i="2"/>
  <c r="O2576" i="2"/>
  <c r="P2708" i="2"/>
  <c r="O2708" i="2"/>
  <c r="P2814" i="2"/>
  <c r="O2814" i="2"/>
  <c r="P2846" i="2"/>
  <c r="O2846" i="2"/>
  <c r="P2901" i="2"/>
  <c r="O2970" i="2"/>
  <c r="D74" i="5"/>
  <c r="O2869" i="2"/>
  <c r="O2898" i="2"/>
  <c r="O2996" i="2"/>
  <c r="D75" i="5"/>
  <c r="O2626" i="2"/>
  <c r="P2626" i="2"/>
  <c r="O2676" i="2"/>
  <c r="O2730" i="2"/>
  <c r="P2850" i="2"/>
  <c r="O2850" i="2"/>
  <c r="P2902" i="2"/>
  <c r="O2902" i="2"/>
  <c r="O2934" i="2"/>
  <c r="O2951" i="2"/>
  <c r="P2951" i="2"/>
  <c r="O2866" i="2"/>
  <c r="O2879" i="2"/>
  <c r="O2954" i="2"/>
  <c r="P2958" i="2"/>
  <c r="O2958" i="2"/>
  <c r="O2967" i="2"/>
  <c r="P2993" i="2"/>
  <c r="P2824" i="2"/>
  <c r="O2830" i="2"/>
  <c r="P2836" i="2"/>
  <c r="P2880" i="2"/>
  <c r="P2924" i="2"/>
  <c r="O2930" i="2"/>
  <c r="P2936" i="2"/>
  <c r="P2986" i="2"/>
  <c r="P2989" i="2"/>
  <c r="D65" i="5"/>
  <c r="O2928" i="2"/>
  <c r="D68" i="5"/>
  <c r="O2761" i="2"/>
  <c r="P2811" i="2"/>
  <c r="O2817" i="2"/>
  <c r="O2861" i="2"/>
  <c r="P2911" i="2"/>
  <c r="O2917" i="2"/>
  <c r="O2961" i="2"/>
  <c r="O2668" i="2"/>
  <c r="P2671" i="2"/>
  <c r="P2773" i="2"/>
  <c r="O2808" i="2"/>
  <c r="P2873" i="2"/>
  <c r="O2908" i="2"/>
  <c r="P2973" i="2"/>
  <c r="O2976" i="2"/>
  <c r="P2979" i="2"/>
  <c r="D71" i="5"/>
  <c r="D72" i="5"/>
  <c r="D76" i="5"/>
  <c r="P2833" i="2"/>
  <c r="O2868" i="2"/>
  <c r="P2933" i="2"/>
  <c r="O2968" i="2"/>
  <c r="B33" i="4"/>
  <c r="B54" i="4"/>
  <c r="B35" i="4"/>
  <c r="B81" i="4"/>
  <c r="B101" i="4"/>
  <c r="H1242" i="3" l="1"/>
  <c r="J1855" i="3"/>
  <c r="I1855" i="3"/>
  <c r="G1342" i="3"/>
  <c r="G1242" i="3"/>
  <c r="I1099" i="3"/>
  <c r="H1099" i="3"/>
  <c r="F1242" i="3"/>
  <c r="K1242" i="3" s="1"/>
  <c r="J1242" i="3" s="1"/>
  <c r="B1250" i="3"/>
  <c r="C1250" i="3" s="1"/>
  <c r="F1455" i="3"/>
  <c r="K1455" i="3" s="1"/>
  <c r="G1455" i="3"/>
  <c r="I1455" i="3"/>
  <c r="H1132" i="3"/>
  <c r="G1436" i="3"/>
  <c r="I1436" i="3"/>
  <c r="B1132" i="3"/>
  <c r="C1132" i="3" s="1"/>
  <c r="G1129" i="3"/>
  <c r="B1570" i="3"/>
  <c r="C1570" i="3" s="1"/>
  <c r="B1768" i="3"/>
  <c r="C1768" i="3" s="1"/>
  <c r="J1635" i="3"/>
  <c r="H1768" i="3"/>
  <c r="O1071" i="2"/>
  <c r="P1071" i="2" s="1"/>
  <c r="O1059" i="2"/>
  <c r="O1095" i="2"/>
  <c r="P1095" i="2" s="1"/>
  <c r="O1074" i="2"/>
  <c r="P1074" i="2" s="1"/>
  <c r="O1098" i="2"/>
  <c r="P1098" i="2" s="1"/>
  <c r="O1066" i="2"/>
  <c r="P1066" i="2" s="1"/>
  <c r="O1042" i="2"/>
  <c r="O1080" i="2"/>
  <c r="P1080" i="2" s="1"/>
  <c r="O1048" i="2"/>
  <c r="O1057" i="2"/>
  <c r="O1068" i="2"/>
  <c r="P1068" i="2" s="1"/>
  <c r="O1054" i="2"/>
  <c r="O1016" i="2"/>
  <c r="O1031" i="2"/>
  <c r="O1010" i="2"/>
  <c r="O1003" i="2"/>
  <c r="O1005" i="2"/>
  <c r="B59" i="4"/>
  <c r="B1324" i="3"/>
  <c r="C1324" i="3" s="1"/>
  <c r="B1455" i="3"/>
  <c r="C1455" i="3" s="1"/>
  <c r="G1331" i="3"/>
  <c r="B1331" i="3"/>
  <c r="C1331" i="3" s="1"/>
  <c r="I1331" i="3"/>
  <c r="O991" i="2"/>
  <c r="I1068" i="3"/>
  <c r="O986" i="2"/>
  <c r="O989" i="2"/>
  <c r="G1768" i="3"/>
  <c r="K1543" i="3"/>
  <c r="H1543" i="3"/>
  <c r="J1768" i="3"/>
  <c r="F1556" i="3"/>
  <c r="K1556" i="3" s="1"/>
  <c r="B1543" i="3"/>
  <c r="C1543" i="3" s="1"/>
  <c r="J1556" i="3"/>
  <c r="G1604" i="3"/>
  <c r="G1418" i="3"/>
  <c r="I1418" i="3"/>
  <c r="J1455" i="3"/>
  <c r="J1324" i="3"/>
  <c r="I1324" i="3"/>
  <c r="H1324" i="3"/>
  <c r="G1324" i="3"/>
  <c r="F1436" i="3"/>
  <c r="K1436" i="3" s="1"/>
  <c r="I1284" i="3"/>
  <c r="H1693" i="3"/>
  <c r="B71" i="4"/>
  <c r="B120" i="4"/>
  <c r="B98" i="4"/>
  <c r="F1418" i="3"/>
  <c r="K1418" i="3" s="1"/>
  <c r="B1418" i="3"/>
  <c r="C1418" i="3" s="1"/>
  <c r="B1259" i="3"/>
  <c r="C1259" i="3" s="1"/>
  <c r="J1346" i="3"/>
  <c r="I1259" i="3"/>
  <c r="H1129" i="3"/>
  <c r="J1604" i="3"/>
  <c r="B1329" i="3"/>
  <c r="C1329" i="3" s="1"/>
  <c r="I1282" i="3"/>
  <c r="I1120" i="3"/>
  <c r="F1604" i="3"/>
  <c r="K1604" i="3" s="1"/>
  <c r="G1132" i="3"/>
  <c r="B1079" i="3"/>
  <c r="C1079" i="3" s="1"/>
  <c r="B1604" i="3"/>
  <c r="C1604" i="3" s="1"/>
  <c r="F1079" i="3"/>
  <c r="K1079" i="3" s="1"/>
  <c r="J1079" i="3" s="1"/>
  <c r="I1570" i="3"/>
  <c r="I1467" i="3"/>
  <c r="G1079" i="3"/>
  <c r="B1467" i="3"/>
  <c r="C1467" i="3" s="1"/>
  <c r="I1079" i="3"/>
  <c r="B42" i="4"/>
  <c r="B78" i="4"/>
  <c r="B34" i="4"/>
  <c r="B106" i="4"/>
  <c r="B67" i="4"/>
  <c r="B37" i="4"/>
  <c r="B18" i="4"/>
  <c r="B97" i="4"/>
  <c r="B88" i="4"/>
  <c r="B1674" i="3"/>
  <c r="C1674" i="3" s="1"/>
  <c r="B1493" i="3"/>
  <c r="C1493" i="3" s="1"/>
  <c r="I1674" i="3"/>
  <c r="B1747" i="3"/>
  <c r="C1747" i="3" s="1"/>
  <c r="G1416" i="3"/>
  <c r="I1416" i="3"/>
  <c r="G1327" i="3"/>
  <c r="G1642" i="3"/>
  <c r="B32" i="4"/>
  <c r="B1135" i="3"/>
  <c r="C1135" i="3" s="1"/>
  <c r="J1584" i="3"/>
  <c r="G1203" i="3"/>
  <c r="G1584" i="3"/>
  <c r="F1327" i="3"/>
  <c r="K1327" i="3" s="1"/>
  <c r="F1584" i="3"/>
  <c r="K1584" i="3" s="1"/>
  <c r="F1416" i="3"/>
  <c r="K1416" i="3" s="1"/>
  <c r="B1334" i="3"/>
  <c r="C1334" i="3" s="1"/>
  <c r="J1693" i="3"/>
  <c r="J1518" i="3"/>
  <c r="B1327" i="3"/>
  <c r="C1327" i="3" s="1"/>
  <c r="H1584" i="3"/>
  <c r="B1416" i="3"/>
  <c r="C1416" i="3" s="1"/>
  <c r="F1203" i="3"/>
  <c r="I1693" i="3"/>
  <c r="G1135" i="3"/>
  <c r="I1527" i="3"/>
  <c r="B1584" i="3"/>
  <c r="C1584" i="3" s="1"/>
  <c r="G1693" i="3"/>
  <c r="F1135" i="3"/>
  <c r="K1135" i="3" s="1"/>
  <c r="J1135" i="3" s="1"/>
  <c r="H1203" i="3"/>
  <c r="J1416" i="3"/>
  <c r="F1693" i="3"/>
  <c r="K1693" i="3" s="1"/>
  <c r="H1327" i="3"/>
  <c r="B47" i="4"/>
  <c r="B43" i="4"/>
  <c r="B46" i="4"/>
  <c r="I1087" i="3"/>
  <c r="B73" i="4"/>
  <c r="B85" i="4"/>
  <c r="B19" i="4"/>
  <c r="B72" i="4"/>
  <c r="B1091" i="3"/>
  <c r="C1091" i="3" s="1"/>
  <c r="B124" i="4"/>
  <c r="B31" i="4"/>
  <c r="B119" i="4"/>
  <c r="B82" i="4"/>
  <c r="B29" i="4"/>
  <c r="B41" i="4"/>
  <c r="B69" i="4"/>
  <c r="B52" i="4"/>
  <c r="B111" i="4"/>
  <c r="B20" i="4"/>
  <c r="B96" i="4"/>
  <c r="B133" i="4"/>
  <c r="F1395" i="3"/>
  <c r="K1395" i="3" s="1"/>
  <c r="I1468" i="3"/>
  <c r="I16" i="5"/>
  <c r="B99" i="4"/>
  <c r="B44" i="4"/>
  <c r="B49" i="4"/>
  <c r="H7" i="5"/>
  <c r="B89" i="4"/>
  <c r="B8" i="4"/>
  <c r="B132" i="4" s="1"/>
  <c r="B11" i="4"/>
  <c r="B24" i="4"/>
  <c r="B30" i="4"/>
  <c r="I15" i="5"/>
  <c r="B50" i="4"/>
  <c r="B66" i="4"/>
  <c r="B90" i="4"/>
  <c r="B80" i="4"/>
  <c r="B65" i="4"/>
  <c r="B112" i="4"/>
  <c r="E14" i="5"/>
  <c r="H10" i="5"/>
  <c r="B92" i="4"/>
  <c r="B91" i="4"/>
  <c r="D8" i="5"/>
  <c r="B86" i="4"/>
  <c r="B17" i="5"/>
  <c r="B10" i="4"/>
  <c r="B74" i="4"/>
  <c r="B64" i="4"/>
  <c r="K6" i="5"/>
  <c r="E17" i="5"/>
  <c r="I13" i="5"/>
  <c r="B28" i="4"/>
  <c r="B21" i="4"/>
  <c r="J16" i="5"/>
  <c r="B53" i="4"/>
  <c r="L6" i="5"/>
  <c r="E13" i="5"/>
  <c r="B70" i="4"/>
  <c r="B48" i="4"/>
  <c r="F15" i="5"/>
  <c r="H15" i="5"/>
  <c r="B15" i="5"/>
  <c r="L15" i="5"/>
  <c r="D15" i="5"/>
  <c r="E15" i="5"/>
  <c r="G15" i="5"/>
  <c r="J15" i="5"/>
  <c r="M15" i="5"/>
  <c r="C15" i="5"/>
  <c r="K15" i="5"/>
  <c r="F13" i="5"/>
  <c r="K16" i="5"/>
  <c r="H13" i="5"/>
  <c r="C16" i="5"/>
  <c r="I11" i="5"/>
  <c r="L13" i="5"/>
  <c r="E16" i="5"/>
  <c r="G16" i="5"/>
  <c r="G9" i="5"/>
  <c r="B7" i="5"/>
  <c r="B13" i="5"/>
  <c r="D13" i="5"/>
  <c r="L16" i="5"/>
  <c r="H16" i="5"/>
  <c r="G13" i="5"/>
  <c r="M16" i="5"/>
  <c r="B12" i="5"/>
  <c r="J13" i="5"/>
  <c r="B116" i="4"/>
  <c r="K13" i="5"/>
  <c r="B16" i="5"/>
  <c r="M13" i="5"/>
  <c r="D16" i="5"/>
  <c r="C13" i="5"/>
  <c r="F16" i="5"/>
  <c r="F14" i="5"/>
  <c r="B57" i="4"/>
  <c r="D11" i="5"/>
  <c r="M8" i="5"/>
  <c r="B79" i="4"/>
  <c r="D17" i="5"/>
  <c r="M6" i="5"/>
  <c r="E7" i="5"/>
  <c r="B104" i="4"/>
  <c r="H12" i="5"/>
  <c r="G17" i="5"/>
  <c r="F6" i="5"/>
  <c r="F11" i="5"/>
  <c r="I7" i="5"/>
  <c r="D9" i="5"/>
  <c r="K14" i="5"/>
  <c r="G10" i="5"/>
  <c r="B36" i="4"/>
  <c r="K7" i="5"/>
  <c r="F9" i="5"/>
  <c r="M14" i="5"/>
  <c r="I10" i="5"/>
  <c r="J17" i="5"/>
  <c r="L10" i="5"/>
  <c r="B123" i="4"/>
  <c r="J9" i="5"/>
  <c r="I17" i="5"/>
  <c r="B11" i="5"/>
  <c r="C7" i="5"/>
  <c r="B51" i="4"/>
  <c r="J14" i="5"/>
  <c r="C10" i="5"/>
  <c r="G1245" i="3"/>
  <c r="L11" i="5"/>
  <c r="L17" i="5"/>
  <c r="B63" i="4"/>
  <c r="L7" i="5"/>
  <c r="H14" i="5"/>
  <c r="K17" i="5"/>
  <c r="E8" i="5"/>
  <c r="C11" i="5"/>
  <c r="G7" i="5"/>
  <c r="B9" i="5"/>
  <c r="L14" i="5"/>
  <c r="E10" i="5"/>
  <c r="M17" i="5"/>
  <c r="E11" i="5"/>
  <c r="B14" i="5"/>
  <c r="M7" i="5"/>
  <c r="F10" i="5"/>
  <c r="L8" i="5"/>
  <c r="J10" i="5"/>
  <c r="B8" i="5"/>
  <c r="J11" i="5"/>
  <c r="H9" i="5"/>
  <c r="I12" i="5"/>
  <c r="K10" i="5"/>
  <c r="G1563" i="3"/>
  <c r="F1300" i="3"/>
  <c r="K1300" i="3" s="1"/>
  <c r="G8" i="5"/>
  <c r="C9" i="5"/>
  <c r="C17" i="5"/>
  <c r="H11" i="5"/>
  <c r="E9" i="5"/>
  <c r="G12" i="5"/>
  <c r="E6" i="5"/>
  <c r="C8" i="5"/>
  <c r="M11" i="5"/>
  <c r="I9" i="5"/>
  <c r="L12" i="5"/>
  <c r="M10" i="5"/>
  <c r="K9" i="5"/>
  <c r="C12" i="5"/>
  <c r="B10" i="5"/>
  <c r="G6" i="5"/>
  <c r="L9" i="5"/>
  <c r="D12" i="5"/>
  <c r="D10" i="5"/>
  <c r="G11" i="5"/>
  <c r="M9" i="5"/>
  <c r="E12" i="5"/>
  <c r="F12" i="5"/>
  <c r="I8" i="5"/>
  <c r="J6" i="5"/>
  <c r="K11" i="5"/>
  <c r="D6" i="5"/>
  <c r="F8" i="5"/>
  <c r="F7" i="5"/>
  <c r="G14" i="5"/>
  <c r="K12" i="5"/>
  <c r="K8" i="5"/>
  <c r="I14" i="5"/>
  <c r="H1300" i="3"/>
  <c r="B1300" i="3"/>
  <c r="C1300" i="3" s="1"/>
  <c r="F17" i="5"/>
  <c r="H6" i="5"/>
  <c r="H8" i="5"/>
  <c r="D7" i="5"/>
  <c r="C14" i="5"/>
  <c r="M12" i="5"/>
  <c r="B12" i="4"/>
  <c r="B6" i="5"/>
  <c r="J7" i="5"/>
  <c r="H17" i="5"/>
  <c r="I6" i="5"/>
  <c r="J8" i="5"/>
  <c r="B17" i="4"/>
  <c r="D14" i="5"/>
  <c r="C6" i="5"/>
  <c r="J12" i="5"/>
  <c r="F1250" i="3"/>
  <c r="K1250" i="3" s="1"/>
  <c r="B68" i="4"/>
  <c r="B45" i="4"/>
  <c r="B87" i="4"/>
  <c r="B7" i="4"/>
  <c r="B58" i="4"/>
  <c r="H1563" i="3"/>
  <c r="H1498" i="3"/>
  <c r="B1518" i="3"/>
  <c r="C1518" i="3" s="1"/>
  <c r="H1541" i="3"/>
  <c r="J1498" i="3"/>
  <c r="F1228" i="3"/>
  <c r="B1071" i="3"/>
  <c r="C1071" i="3" s="1"/>
  <c r="F1498" i="3"/>
  <c r="K1498" i="3" s="1"/>
  <c r="J1216" i="3"/>
  <c r="F1518" i="3"/>
  <c r="K1518" i="3" s="1"/>
  <c r="G1498" i="3"/>
  <c r="H1248" i="3"/>
  <c r="G1076" i="3"/>
  <c r="F1311" i="3"/>
  <c r="K1311" i="3" s="1"/>
  <c r="I1909" i="3"/>
  <c r="G1909" i="3"/>
  <c r="G1249" i="3"/>
  <c r="I1326" i="3"/>
  <c r="J1250" i="3"/>
  <c r="H1794" i="3"/>
  <c r="B1407" i="3"/>
  <c r="C1407" i="3" s="1"/>
  <c r="H1829" i="3"/>
  <c r="B1147" i="3"/>
  <c r="C1147" i="3" s="1"/>
  <c r="J1794" i="3"/>
  <c r="G1493" i="3"/>
  <c r="I1794" i="3"/>
  <c r="G1794" i="3"/>
  <c r="F1638" i="3"/>
  <c r="K1638" i="3" s="1"/>
  <c r="G1443" i="3"/>
  <c r="H1691" i="3"/>
  <c r="H1209" i="3"/>
  <c r="H1293" i="3"/>
  <c r="I1751" i="3"/>
  <c r="G1293" i="3"/>
  <c r="B1293" i="3"/>
  <c r="C1293" i="3" s="1"/>
  <c r="F1751" i="3"/>
  <c r="K1751" i="3" s="1"/>
  <c r="G2088" i="3"/>
  <c r="I1302" i="3"/>
  <c r="F1293" i="3"/>
  <c r="K1293" i="3" s="1"/>
  <c r="B2088" i="3"/>
  <c r="C2088" i="3" s="1"/>
  <c r="I1293" i="3"/>
  <c r="I1209" i="3"/>
  <c r="F2397" i="3"/>
  <c r="K2397" i="3" s="1"/>
  <c r="G1747" i="3"/>
  <c r="H1144" i="3"/>
  <c r="I1316" i="3"/>
  <c r="K2382" i="3"/>
  <c r="H1068" i="3"/>
  <c r="G1068" i="3"/>
  <c r="G1154" i="3"/>
  <c r="G1195" i="3"/>
  <c r="F1794" i="3"/>
  <c r="K1794" i="3" s="1"/>
  <c r="B1249" i="3"/>
  <c r="C1249" i="3" s="1"/>
  <c r="B1195" i="3"/>
  <c r="C1195" i="3" s="1"/>
  <c r="F1249" i="3"/>
  <c r="K1249" i="3" s="1"/>
  <c r="F1709" i="3"/>
  <c r="K1709" i="3" s="1"/>
  <c r="F1195" i="3"/>
  <c r="F1407" i="3"/>
  <c r="K1407" i="3" s="1"/>
  <c r="H1407" i="3"/>
  <c r="J1407" i="3"/>
  <c r="B1709" i="3"/>
  <c r="C1709" i="3" s="1"/>
  <c r="I1845" i="3"/>
  <c r="G1228" i="3"/>
  <c r="I1135" i="3"/>
  <c r="I1117" i="3"/>
  <c r="H1309" i="3"/>
  <c r="I1737" i="3"/>
  <c r="F1528" i="3"/>
  <c r="K1528" i="3" s="1"/>
  <c r="F1375" i="3"/>
  <c r="K1375" i="3" s="1"/>
  <c r="B1528" i="3"/>
  <c r="C1528" i="3" s="1"/>
  <c r="J1536" i="3"/>
  <c r="I1493" i="3"/>
  <c r="G1528" i="3"/>
  <c r="G1536" i="3"/>
  <c r="J1737" i="3"/>
  <c r="J1375" i="3"/>
  <c r="F1829" i="3"/>
  <c r="K1829" i="3" s="1"/>
  <c r="H1536" i="3"/>
  <c r="H1493" i="3"/>
  <c r="G1737" i="3"/>
  <c r="F1737" i="3"/>
  <c r="K1737" i="3" s="1"/>
  <c r="B1737" i="3"/>
  <c r="C1737" i="3" s="1"/>
  <c r="J1493" i="3"/>
  <c r="H1504" i="3"/>
  <c r="J1735" i="3"/>
  <c r="I1708" i="3"/>
  <c r="H1302" i="3"/>
  <c r="G1367" i="3"/>
  <c r="I1761" i="3"/>
  <c r="G2382" i="3"/>
  <c r="F1658" i="3"/>
  <c r="K1658" i="3" s="1"/>
  <c r="H1092" i="3"/>
  <c r="B1873" i="3"/>
  <c r="C1873" i="3" s="1"/>
  <c r="G1227" i="3"/>
  <c r="H1413" i="3"/>
  <c r="F1092" i="3"/>
  <c r="K1092" i="3" s="1"/>
  <c r="J1092" i="3" s="1"/>
  <c r="B1190" i="3"/>
  <c r="C1190" i="3" s="1"/>
  <c r="H1399" i="3"/>
  <c r="B1138" i="3"/>
  <c r="C1138" i="3" s="1"/>
  <c r="I1321" i="3"/>
  <c r="B1326" i="3"/>
  <c r="C1326" i="3" s="1"/>
  <c r="F1507" i="3"/>
  <c r="K1507" i="3" s="1"/>
  <c r="I1172" i="3"/>
  <c r="G1702" i="3"/>
  <c r="I1138" i="3"/>
  <c r="J1405" i="3"/>
  <c r="B1294" i="3"/>
  <c r="C1294" i="3" s="1"/>
  <c r="G1294" i="3"/>
  <c r="H1311" i="3"/>
  <c r="G1075" i="3"/>
  <c r="G1607" i="3"/>
  <c r="K1377" i="3"/>
  <c r="B1405" i="3"/>
  <c r="C1405" i="3" s="1"/>
  <c r="J1294" i="3"/>
  <c r="H1377" i="3"/>
  <c r="F1294" i="3"/>
  <c r="K1294" i="3" s="1"/>
  <c r="I1294" i="3"/>
  <c r="H1107" i="3"/>
  <c r="B1076" i="3"/>
  <c r="C1076" i="3" s="1"/>
  <c r="I1405" i="3"/>
  <c r="H1289" i="3"/>
  <c r="B1377" i="3"/>
  <c r="C1377" i="3" s="1"/>
  <c r="I1377" i="3"/>
  <c r="G1096" i="3"/>
  <c r="H2133" i="3"/>
  <c r="H2310" i="3"/>
  <c r="I2310" i="3"/>
  <c r="G2254" i="3"/>
  <c r="B2159" i="3"/>
  <c r="C2159" i="3" s="1"/>
  <c r="G2100" i="3"/>
  <c r="I2387" i="3"/>
  <c r="F1585" i="3"/>
  <c r="K1585" i="3" s="1"/>
  <c r="J1487" i="3"/>
  <c r="H1585" i="3"/>
  <c r="G1808" i="3"/>
  <c r="G1585" i="3"/>
  <c r="H1125" i="3"/>
  <c r="B1585" i="3"/>
  <c r="C1585" i="3" s="1"/>
  <c r="I1585" i="3"/>
  <c r="I1245" i="3"/>
  <c r="F1352" i="3"/>
  <c r="K1352" i="3" s="1"/>
  <c r="B1175" i="3"/>
  <c r="C1175" i="3" s="1"/>
  <c r="J1308" i="3"/>
  <c r="I1563" i="3"/>
  <c r="I1300" i="3"/>
  <c r="B1308" i="3"/>
  <c r="C1308" i="3" s="1"/>
  <c r="F1554" i="3"/>
  <c r="K1554" i="3" s="1"/>
  <c r="B1192" i="3"/>
  <c r="C1192" i="3" s="1"/>
  <c r="G1462" i="3"/>
  <c r="G1300" i="3"/>
  <c r="B1087" i="3"/>
  <c r="C1087" i="3" s="1"/>
  <c r="J1572" i="3"/>
  <c r="F1245" i="3"/>
  <c r="K1245" i="3" s="1"/>
  <c r="F1087" i="3"/>
  <c r="K1087" i="3" s="1"/>
  <c r="J1087" i="3" s="1"/>
  <c r="G1087" i="3"/>
  <c r="B1554" i="3"/>
  <c r="C1554" i="3" s="1"/>
  <c r="G1175" i="3"/>
  <c r="F1563" i="3"/>
  <c r="K1563" i="3" s="1"/>
  <c r="J1245" i="3"/>
  <c r="H1245" i="3"/>
  <c r="F1192" i="3"/>
  <c r="I1249" i="3"/>
  <c r="F1572" i="3"/>
  <c r="K1572" i="3" s="1"/>
  <c r="I1462" i="3"/>
  <c r="I1192" i="3"/>
  <c r="F1091" i="3"/>
  <c r="O949" i="2" s="1"/>
  <c r="P949" i="2" s="1"/>
  <c r="Q949" i="2" s="1"/>
  <c r="F1175" i="3"/>
  <c r="H1308" i="3"/>
  <c r="I1175" i="3"/>
  <c r="B1745" i="3"/>
  <c r="C1745" i="3" s="1"/>
  <c r="F1782" i="3"/>
  <c r="K1782" i="3" s="1"/>
  <c r="H2114" i="3"/>
  <c r="J1446" i="3"/>
  <c r="B2118" i="3"/>
  <c r="C2118" i="3" s="1"/>
  <c r="J2137" i="3"/>
  <c r="F1608" i="3"/>
  <c r="K1608" i="3" s="1"/>
  <c r="J2153" i="3"/>
  <c r="I2137" i="3"/>
  <c r="G2122" i="3"/>
  <c r="B1779" i="3"/>
  <c r="C1779" i="3" s="1"/>
  <c r="B2113" i="3"/>
  <c r="C2113" i="3" s="1"/>
  <c r="G2114" i="3"/>
  <c r="H2137" i="3"/>
  <c r="J2118" i="3"/>
  <c r="I1619" i="3"/>
  <c r="I2118" i="3"/>
  <c r="J2340" i="3"/>
  <c r="G1782" i="3"/>
  <c r="F2153" i="3"/>
  <c r="K2153" i="3" s="1"/>
  <c r="F1760" i="3"/>
  <c r="K1760" i="3" s="1"/>
  <c r="F2237" i="3"/>
  <c r="K2237" i="3" s="1"/>
  <c r="G1779" i="3"/>
  <c r="G1760" i="3"/>
  <c r="J2114" i="3"/>
  <c r="G2118" i="3"/>
  <c r="F1779" i="3"/>
  <c r="K1779" i="3" s="1"/>
  <c r="J1760" i="3"/>
  <c r="I1779" i="3"/>
  <c r="B1619" i="3"/>
  <c r="C1619" i="3" s="1"/>
  <c r="B2153" i="3"/>
  <c r="C2153" i="3" s="1"/>
  <c r="B2208" i="3"/>
  <c r="C2208" i="3" s="1"/>
  <c r="F1619" i="3"/>
  <c r="K1619" i="3" s="1"/>
  <c r="I1760" i="3"/>
  <c r="J2208" i="3"/>
  <c r="B1760" i="3"/>
  <c r="C1760" i="3" s="1"/>
  <c r="B2237" i="3"/>
  <c r="C2237" i="3" s="1"/>
  <c r="G2237" i="3"/>
  <c r="F2118" i="3"/>
  <c r="K2118" i="3" s="1"/>
  <c r="F2208" i="3"/>
  <c r="K2208" i="3" s="1"/>
  <c r="G2137" i="3"/>
  <c r="F2340" i="3"/>
  <c r="K2340" i="3" s="1"/>
  <c r="H2113" i="3"/>
  <c r="I2151" i="3"/>
  <c r="I1327" i="3"/>
  <c r="H1640" i="3"/>
  <c r="H1507" i="3"/>
  <c r="H1321" i="3"/>
  <c r="G1156" i="3"/>
  <c r="B1414" i="3"/>
  <c r="C1414" i="3" s="1"/>
  <c r="J1492" i="3"/>
  <c r="I1668" i="3"/>
  <c r="F1226" i="3"/>
  <c r="K1226" i="3" s="1"/>
  <c r="J1226" i="3" s="1"/>
  <c r="J1414" i="3"/>
  <c r="G1321" i="3"/>
  <c r="G1151" i="3"/>
  <c r="J1775" i="3"/>
  <c r="F2110" i="3"/>
  <c r="K2110" i="3" s="1"/>
  <c r="G1433" i="3"/>
  <c r="G1192" i="3"/>
  <c r="H1414" i="3"/>
  <c r="H1530" i="3"/>
  <c r="B1761" i="3"/>
  <c r="C1761" i="3" s="1"/>
  <c r="F1530" i="3"/>
  <c r="K1530" i="3" s="1"/>
  <c r="F1367" i="3"/>
  <c r="K1367" i="3" s="1"/>
  <c r="H1564" i="3"/>
  <c r="I1784" i="3"/>
  <c r="I1275" i="3"/>
  <c r="F1252" i="3"/>
  <c r="K1252" i="3" s="1"/>
  <c r="I1218" i="3"/>
  <c r="B1788" i="3"/>
  <c r="C1788" i="3" s="1"/>
  <c r="J1435" i="3"/>
  <c r="H1275" i="3"/>
  <c r="J1810" i="3"/>
  <c r="J1559" i="3"/>
  <c r="G1920" i="3"/>
  <c r="B1948" i="3"/>
  <c r="C1948" i="3" s="1"/>
  <c r="G1407" i="3"/>
  <c r="F1086" i="3"/>
  <c r="K1086" i="3" s="1"/>
  <c r="J1086" i="3" s="1"/>
  <c r="I1325" i="3"/>
  <c r="H1597" i="3"/>
  <c r="F1810" i="3"/>
  <c r="K1810" i="3" s="1"/>
  <c r="H1558" i="3"/>
  <c r="J1806" i="3"/>
  <c r="G1745" i="3"/>
  <c r="F1248" i="3"/>
  <c r="K1248" i="3" s="1"/>
  <c r="I1084" i="3"/>
  <c r="H1755" i="3"/>
  <c r="J1543" i="3"/>
  <c r="F1346" i="3"/>
  <c r="K1346" i="3" s="1"/>
  <c r="F1729" i="3"/>
  <c r="K1729" i="3" s="1"/>
  <c r="G1829" i="3"/>
  <c r="G1084" i="3"/>
  <c r="H1320" i="3"/>
  <c r="F1320" i="3"/>
  <c r="K1320" i="3" s="1"/>
  <c r="B2001" i="3"/>
  <c r="C2001" i="3" s="1"/>
  <c r="G1564" i="3"/>
  <c r="H1252" i="3"/>
  <c r="F1747" i="3"/>
  <c r="K1747" i="3" s="1"/>
  <c r="G1145" i="3"/>
  <c r="I1810" i="3"/>
  <c r="H1920" i="3"/>
  <c r="I1604" i="3"/>
  <c r="G1543" i="3"/>
  <c r="H1570" i="3"/>
  <c r="H1674" i="3"/>
  <c r="G1329" i="3"/>
  <c r="F1259" i="3"/>
  <c r="K1259" i="3" s="1"/>
  <c r="I1086" i="3"/>
  <c r="I1635" i="3"/>
  <c r="F1422" i="3"/>
  <c r="K1422" i="3" s="1"/>
  <c r="J1147" i="3"/>
  <c r="H1556" i="3"/>
  <c r="H1346" i="3"/>
  <c r="H1435" i="3"/>
  <c r="H1635" i="3"/>
  <c r="I1556" i="3"/>
  <c r="G1120" i="3"/>
  <c r="H1392" i="3"/>
  <c r="I1328" i="3"/>
  <c r="F1129" i="3"/>
  <c r="K1129" i="3" s="1"/>
  <c r="J1129" i="3" s="1"/>
  <c r="J1560" i="3"/>
  <c r="B1084" i="3"/>
  <c r="C1084" i="3" s="1"/>
  <c r="I1528" i="3"/>
  <c r="B1328" i="3"/>
  <c r="C1328" i="3" s="1"/>
  <c r="J1650" i="3"/>
  <c r="G1556" i="3"/>
  <c r="G1467" i="3"/>
  <c r="G1259" i="3"/>
  <c r="B1422" i="3"/>
  <c r="C1422" i="3" s="1"/>
  <c r="G1674" i="3"/>
  <c r="B1392" i="3"/>
  <c r="C1392" i="3" s="1"/>
  <c r="F1674" i="3"/>
  <c r="K1674" i="3" s="1"/>
  <c r="B1755" i="3"/>
  <c r="C1755" i="3" s="1"/>
  <c r="F1570" i="3"/>
  <c r="K1570" i="3" s="1"/>
  <c r="F1132" i="3"/>
  <c r="K1132" i="3" s="1"/>
  <c r="J1132" i="3" s="1"/>
  <c r="F1788" i="3"/>
  <c r="K1788" i="3" s="1"/>
  <c r="F1467" i="3"/>
  <c r="K1467" i="3" s="1"/>
  <c r="I1252" i="3"/>
  <c r="J1275" i="3"/>
  <c r="F1768" i="3"/>
  <c r="K1768" i="3" s="1"/>
  <c r="B1920" i="3"/>
  <c r="C1920" i="3" s="1"/>
  <c r="H1418" i="3"/>
  <c r="H1467" i="3"/>
  <c r="G1252" i="3"/>
  <c r="F1909" i="3"/>
  <c r="K1909" i="3" s="1"/>
  <c r="G1662" i="3"/>
  <c r="I1543" i="3"/>
  <c r="H1528" i="3"/>
  <c r="I1560" i="3"/>
  <c r="J1248" i="3"/>
  <c r="G1346" i="3"/>
  <c r="I1729" i="3"/>
  <c r="H1810" i="3"/>
  <c r="J1259" i="3"/>
  <c r="H1650" i="3"/>
  <c r="F1728" i="3"/>
  <c r="K1728" i="3" s="1"/>
  <c r="H1909" i="3"/>
  <c r="I1129" i="3"/>
  <c r="H1086" i="3"/>
  <c r="J1570" i="3"/>
  <c r="H1560" i="3"/>
  <c r="G1392" i="3"/>
  <c r="I2001" i="3"/>
  <c r="G1810" i="3"/>
  <c r="J1909" i="3"/>
  <c r="J1252" i="3"/>
  <c r="I1435" i="3"/>
  <c r="H1282" i="3"/>
  <c r="H1145" i="3"/>
  <c r="I1431" i="3"/>
  <c r="H1443" i="3"/>
  <c r="H1473" i="3"/>
  <c r="F1473" i="3"/>
  <c r="K1473" i="3" s="1"/>
  <c r="B1443" i="3"/>
  <c r="C1443" i="3" s="1"/>
  <c r="F1105" i="3"/>
  <c r="K1105" i="3" s="1"/>
  <c r="J1105" i="3" s="1"/>
  <c r="I1274" i="3"/>
  <c r="K1133" i="3"/>
  <c r="J1133" i="3" s="1"/>
  <c r="H1351" i="3"/>
  <c r="F1443" i="3"/>
  <c r="K1443" i="3" s="1"/>
  <c r="B1590" i="3"/>
  <c r="C1590" i="3" s="1"/>
  <c r="B1464" i="3"/>
  <c r="C1464" i="3" s="1"/>
  <c r="B1101" i="3"/>
  <c r="C1101" i="3" s="1"/>
  <c r="I1443" i="3"/>
  <c r="J1274" i="3"/>
  <c r="G1101" i="3"/>
  <c r="F1177" i="3"/>
  <c r="K1177" i="3" s="1"/>
  <c r="J1177" i="3" s="1"/>
  <c r="J1638" i="3"/>
  <c r="G1555" i="3"/>
  <c r="H1101" i="3"/>
  <c r="B1475" i="3"/>
  <c r="C1475" i="3" s="1"/>
  <c r="I1351" i="3"/>
  <c r="I1101" i="3"/>
  <c r="F1772" i="3"/>
  <c r="K1772" i="3" s="1"/>
  <c r="F1475" i="3"/>
  <c r="K1475" i="3" s="1"/>
  <c r="G1177" i="3"/>
  <c r="H1772" i="3"/>
  <c r="G1475" i="3"/>
  <c r="I1772" i="3"/>
  <c r="I1475" i="3"/>
  <c r="J1473" i="3"/>
  <c r="H1464" i="3"/>
  <c r="B1461" i="3"/>
  <c r="C1461" i="3" s="1"/>
  <c r="B1473" i="3"/>
  <c r="C1473" i="3" s="1"/>
  <c r="G1638" i="3"/>
  <c r="J1351" i="3"/>
  <c r="B1555" i="3"/>
  <c r="C1555" i="3" s="1"/>
  <c r="G1473" i="3"/>
  <c r="I1638" i="3"/>
  <c r="G1105" i="3"/>
  <c r="F1476" i="3"/>
  <c r="K1476" i="3" s="1"/>
  <c r="F1555" i="3"/>
  <c r="K1555" i="3" s="1"/>
  <c r="H1638" i="3"/>
  <c r="H1475" i="3"/>
  <c r="G1351" i="3"/>
  <c r="F1351" i="3"/>
  <c r="K1351" i="3" s="1"/>
  <c r="J1555" i="3"/>
  <c r="H1555" i="3"/>
  <c r="H2115" i="3"/>
  <c r="I1529" i="3"/>
  <c r="F1854" i="3"/>
  <c r="K1854" i="3" s="1"/>
  <c r="H1422" i="3"/>
  <c r="G1193" i="3"/>
  <c r="I1422" i="3"/>
  <c r="B1616" i="3"/>
  <c r="C1616" i="3" s="1"/>
  <c r="H1193" i="3"/>
  <c r="B1086" i="3"/>
  <c r="C1086" i="3" s="1"/>
  <c r="H1731" i="3"/>
  <c r="G1487" i="3"/>
  <c r="H1808" i="3"/>
  <c r="B1286" i="3"/>
  <c r="C1286" i="3" s="1"/>
  <c r="H1487" i="3"/>
  <c r="H1480" i="3"/>
  <c r="K1589" i="3"/>
  <c r="B1789" i="3"/>
  <c r="C1789" i="3" s="1"/>
  <c r="K1173" i="3"/>
  <c r="J1173" i="3" s="1"/>
  <c r="G1742" i="3"/>
  <c r="H1732" i="3"/>
  <c r="I1732" i="3"/>
  <c r="G1446" i="3"/>
  <c r="G1125" i="3"/>
  <c r="J1732" i="3"/>
  <c r="H1446" i="3"/>
  <c r="H1202" i="3"/>
  <c r="F1125" i="3"/>
  <c r="K1125" i="3" s="1"/>
  <c r="J1125" i="3" s="1"/>
  <c r="F1446" i="3"/>
  <c r="K1446" i="3" s="1"/>
  <c r="B1125" i="3"/>
  <c r="C1125" i="3" s="1"/>
  <c r="J1318" i="3"/>
  <c r="F1789" i="3"/>
  <c r="K1789" i="3" s="1"/>
  <c r="B1487" i="3"/>
  <c r="C1487" i="3" s="1"/>
  <c r="J1808" i="3"/>
  <c r="F1487" i="3"/>
  <c r="K1487" i="3" s="1"/>
  <c r="J1330" i="3"/>
  <c r="I1287" i="3"/>
  <c r="I1950" i="3"/>
  <c r="I1281" i="3"/>
  <c r="H1433" i="3"/>
  <c r="F2136" i="3"/>
  <c r="K2136" i="3" s="1"/>
  <c r="G1307" i="3"/>
  <c r="I1143" i="3"/>
  <c r="G1143" i="3"/>
  <c r="I1163" i="3"/>
  <c r="K1466" i="3"/>
  <c r="F1677" i="3"/>
  <c r="K1677" i="3" s="1"/>
  <c r="J1677" i="3"/>
  <c r="B1143" i="3"/>
  <c r="C1143" i="3" s="1"/>
  <c r="B2110" i="3"/>
  <c r="C2110" i="3" s="1"/>
  <c r="B1787" i="3"/>
  <c r="C1787" i="3" s="1"/>
  <c r="H1226" i="3"/>
  <c r="G1466" i="3"/>
  <c r="J1249" i="3"/>
  <c r="G1673" i="3"/>
  <c r="H1466" i="3"/>
  <c r="F1138" i="3"/>
  <c r="K1138" i="3" s="1"/>
  <c r="J1138" i="3" s="1"/>
  <c r="J1466" i="3"/>
  <c r="F2298" i="3"/>
  <c r="K2298" i="3" s="1"/>
  <c r="H1811" i="3"/>
  <c r="H1700" i="3"/>
  <c r="G1887" i="3"/>
  <c r="H1791" i="3"/>
  <c r="H1753" i="3"/>
  <c r="K1237" i="3"/>
  <c r="J1237" i="3" s="1"/>
  <c r="F1215" i="3"/>
  <c r="K1215" i="3" s="1"/>
  <c r="J1215" i="3" s="1"/>
  <c r="J1376" i="3"/>
  <c r="B1844" i="3"/>
  <c r="C1844" i="3" s="1"/>
  <c r="J1753" i="3"/>
  <c r="K1357" i="3"/>
  <c r="H1877" i="3"/>
  <c r="G1215" i="3"/>
  <c r="F1845" i="3"/>
  <c r="K1845" i="3" s="1"/>
  <c r="J1353" i="3"/>
  <c r="H1348" i="3"/>
  <c r="I1361" i="3"/>
  <c r="H1361" i="3"/>
  <c r="B1811" i="3"/>
  <c r="C1811" i="3" s="1"/>
  <c r="B1112" i="3"/>
  <c r="C1112" i="3" s="1"/>
  <c r="B1887" i="3"/>
  <c r="C1887" i="3" s="1"/>
  <c r="G1753" i="3"/>
  <c r="I1688" i="3"/>
  <c r="B1700" i="3"/>
  <c r="C1700" i="3" s="1"/>
  <c r="J1588" i="3"/>
  <c r="B1357" i="3"/>
  <c r="C1357" i="3" s="1"/>
  <c r="H1254" i="3"/>
  <c r="J1662" i="3"/>
  <c r="G1811" i="3"/>
  <c r="F1700" i="3"/>
  <c r="K1700" i="3" s="1"/>
  <c r="I1317" i="3"/>
  <c r="H1845" i="3"/>
  <c r="F1887" i="3"/>
  <c r="K1887" i="3" s="1"/>
  <c r="G1791" i="3"/>
  <c r="F1662" i="3"/>
  <c r="K1662" i="3" s="1"/>
  <c r="G1700" i="3"/>
  <c r="F1348" i="3"/>
  <c r="K1348" i="3" s="1"/>
  <c r="J1758" i="3"/>
  <c r="H1758" i="3"/>
  <c r="J1348" i="3"/>
  <c r="G1357" i="3"/>
  <c r="G1460" i="3"/>
  <c r="I1254" i="3"/>
  <c r="F1844" i="3"/>
  <c r="K1844" i="3" s="1"/>
  <c r="J1700" i="3"/>
  <c r="G1237" i="3"/>
  <c r="B1237" i="3"/>
  <c r="C1237" i="3" s="1"/>
  <c r="F1753" i="3"/>
  <c r="K1753" i="3" s="1"/>
  <c r="I1811" i="3"/>
  <c r="F1811" i="3"/>
  <c r="K1811" i="3" s="1"/>
  <c r="B1641" i="3"/>
  <c r="C1641" i="3" s="1"/>
  <c r="I1237" i="3"/>
  <c r="H1237" i="3"/>
  <c r="B1376" i="3"/>
  <c r="C1376" i="3" s="1"/>
  <c r="I1753" i="3"/>
  <c r="I1791" i="3"/>
  <c r="F1791" i="3"/>
  <c r="K1791" i="3" s="1"/>
  <c r="I1470" i="3"/>
  <c r="G1845" i="3"/>
  <c r="F1631" i="3"/>
  <c r="K1631" i="3" s="1"/>
  <c r="B1215" i="3"/>
  <c r="C1215" i="3" s="1"/>
  <c r="I1215" i="3"/>
  <c r="J1332" i="3"/>
  <c r="H1579" i="3"/>
  <c r="H1330" i="3"/>
  <c r="G1330" i="3"/>
  <c r="F1330" i="3"/>
  <c r="K1330" i="3" s="1"/>
  <c r="J1190" i="3"/>
  <c r="H1296" i="3"/>
  <c r="B1330" i="3"/>
  <c r="C1330" i="3" s="1"/>
  <c r="B1332" i="3"/>
  <c r="C1332" i="3" s="1"/>
  <c r="I1296" i="3"/>
  <c r="I1579" i="3"/>
  <c r="B1690" i="3"/>
  <c r="C1690" i="3" s="1"/>
  <c r="I1190" i="3"/>
  <c r="J1609" i="3"/>
  <c r="I2755" i="3"/>
  <c r="G1680" i="3"/>
  <c r="G2231" i="3"/>
  <c r="G2072" i="3"/>
  <c r="I1094" i="3"/>
  <c r="F1198" i="3"/>
  <c r="B1198" i="3"/>
  <c r="C1198" i="3" s="1"/>
  <c r="H1131" i="3"/>
  <c r="H1096" i="3"/>
  <c r="F1593" i="3"/>
  <c r="K1593" i="3" s="1"/>
  <c r="H1198" i="3"/>
  <c r="G1198" i="3"/>
  <c r="G1131" i="3"/>
  <c r="H1142" i="3"/>
  <c r="B1127" i="3"/>
  <c r="C1127" i="3" s="1"/>
  <c r="I1142" i="3"/>
  <c r="J1660" i="3"/>
  <c r="F1438" i="3"/>
  <c r="K1438" i="3" s="1"/>
  <c r="H1593" i="3"/>
  <c r="B1381" i="3"/>
  <c r="C1381" i="3" s="1"/>
  <c r="I1381" i="3"/>
  <c r="B1628" i="3"/>
  <c r="C1628" i="3" s="1"/>
  <c r="I1456" i="3"/>
  <c r="J1552" i="3"/>
  <c r="F1784" i="3"/>
  <c r="K1784" i="3" s="1"/>
  <c r="G1381" i="3"/>
  <c r="F1096" i="3"/>
  <c r="K1096" i="3" s="1"/>
  <c r="J1096" i="3" s="1"/>
  <c r="F1254" i="3"/>
  <c r="K1254" i="3" s="1"/>
  <c r="H1469" i="3"/>
  <c r="F1417" i="3"/>
  <c r="K1417" i="3" s="1"/>
  <c r="I1382" i="3"/>
  <c r="H1774" i="3"/>
  <c r="I1628" i="3"/>
  <c r="H1692" i="3"/>
  <c r="I1417" i="3"/>
  <c r="J1366" i="3"/>
  <c r="G1366" i="3"/>
  <c r="F1366" i="3"/>
  <c r="K1366" i="3" s="1"/>
  <c r="G1552" i="3"/>
  <c r="G1421" i="3"/>
  <c r="J1421" i="3"/>
  <c r="K1333" i="3"/>
  <c r="H1628" i="3"/>
  <c r="J1593" i="3"/>
  <c r="B1602" i="3"/>
  <c r="C1602" i="3" s="1"/>
  <c r="F1759" i="3"/>
  <c r="K1759" i="3" s="1"/>
  <c r="F1314" i="3"/>
  <c r="K1314" i="3" s="1"/>
  <c r="G1438" i="3"/>
  <c r="I1258" i="3"/>
  <c r="B1366" i="3"/>
  <c r="C1366" i="3" s="1"/>
  <c r="H1366" i="3"/>
  <c r="I1469" i="3"/>
  <c r="G1404" i="3"/>
  <c r="J1734" i="3"/>
  <c r="I2753" i="3"/>
  <c r="F1774" i="3"/>
  <c r="K1774" i="3" s="1"/>
  <c r="B1095" i="3"/>
  <c r="C1095" i="3" s="1"/>
  <c r="H2502" i="3"/>
  <c r="H1779" i="3"/>
  <c r="G1608" i="3"/>
  <c r="F1206" i="3"/>
  <c r="K1206" i="3" s="1"/>
  <c r="J1206" i="3" s="1"/>
  <c r="B1094" i="3"/>
  <c r="C1094" i="3" s="1"/>
  <c r="J1745" i="3"/>
  <c r="I1593" i="3"/>
  <c r="H1784" i="3"/>
  <c r="B1660" i="3"/>
  <c r="C1660" i="3" s="1"/>
  <c r="H1146" i="3"/>
  <c r="G1146" i="3"/>
  <c r="G1660" i="3"/>
  <c r="G1109" i="3"/>
  <c r="F2541" i="3"/>
  <c r="K2541" i="3" s="1"/>
  <c r="H1500" i="3"/>
  <c r="B1109" i="3"/>
  <c r="C1109" i="3" s="1"/>
  <c r="F1609" i="3"/>
  <c r="K1609" i="3" s="1"/>
  <c r="H1947" i="3"/>
  <c r="I1158" i="3"/>
  <c r="F1690" i="3"/>
  <c r="K1690" i="3" s="1"/>
  <c r="J1158" i="3"/>
  <c r="J2010" i="3"/>
  <c r="I1500" i="3"/>
  <c r="G2125" i="3"/>
  <c r="G1860" i="3"/>
  <c r="H2302" i="3"/>
  <c r="G2394" i="3"/>
  <c r="F1847" i="3"/>
  <c r="K1847" i="3" s="1"/>
  <c r="B1965" i="3"/>
  <c r="C1965" i="3" s="1"/>
  <c r="H2488" i="3"/>
  <c r="I1151" i="3"/>
  <c r="I2445" i="3"/>
  <c r="B2433" i="3"/>
  <c r="C2433" i="3" s="1"/>
  <c r="H1690" i="3"/>
  <c r="G1609" i="3"/>
  <c r="J1719" i="3"/>
  <c r="H1136" i="3"/>
  <c r="J1690" i="3"/>
  <c r="B1503" i="3"/>
  <c r="C1503" i="3" s="1"/>
  <c r="H1609" i="3"/>
  <c r="B1158" i="3"/>
  <c r="C1158" i="3" s="1"/>
  <c r="G1707" i="3"/>
  <c r="H1176" i="3"/>
  <c r="G1176" i="3"/>
  <c r="J1996" i="3"/>
  <c r="I1406" i="3"/>
  <c r="G1676" i="3"/>
  <c r="I1176" i="3"/>
  <c r="F1176" i="3"/>
  <c r="G1178" i="3"/>
  <c r="F1178" i="3"/>
  <c r="H2541" i="3"/>
  <c r="G1759" i="3"/>
  <c r="F1651" i="3"/>
  <c r="K1651" i="3" s="1"/>
  <c r="G1692" i="3"/>
  <c r="J1382" i="3"/>
  <c r="H1117" i="3"/>
  <c r="I1438" i="3"/>
  <c r="I1552" i="3"/>
  <c r="I1369" i="3"/>
  <c r="I1774" i="3"/>
  <c r="H1651" i="3"/>
  <c r="I1697" i="3"/>
  <c r="B1575" i="3"/>
  <c r="C1575" i="3" s="1"/>
  <c r="F1146" i="3"/>
  <c r="G2028" i="3"/>
  <c r="B1759" i="3"/>
  <c r="C1759" i="3" s="1"/>
  <c r="B1774" i="3"/>
  <c r="C1774" i="3" s="1"/>
  <c r="G1628" i="3"/>
  <c r="I1692" i="3"/>
  <c r="G1117" i="3"/>
  <c r="G1258" i="3"/>
  <c r="G1593" i="3"/>
  <c r="J1692" i="3"/>
  <c r="H1314" i="3"/>
  <c r="H1438" i="3"/>
  <c r="I1131" i="3"/>
  <c r="H1456" i="3"/>
  <c r="H2314" i="3"/>
  <c r="G1734" i="3"/>
  <c r="G1456" i="3"/>
  <c r="H1421" i="3"/>
  <c r="I1178" i="3"/>
  <c r="B1421" i="3"/>
  <c r="C1421" i="3" s="1"/>
  <c r="B1096" i="3"/>
  <c r="C1096" i="3" s="1"/>
  <c r="G1369" i="3"/>
  <c r="B1417" i="3"/>
  <c r="C1417" i="3" s="1"/>
  <c r="J1258" i="3"/>
  <c r="G1314" i="3"/>
  <c r="F1258" i="3"/>
  <c r="K1258" i="3" s="1"/>
  <c r="B1178" i="3"/>
  <c r="C1178" i="3" s="1"/>
  <c r="F1381" i="3"/>
  <c r="K1381" i="3" s="1"/>
  <c r="F2010" i="3"/>
  <c r="K2010" i="3" s="1"/>
  <c r="B1781" i="3"/>
  <c r="C1781" i="3" s="1"/>
  <c r="G1651" i="3"/>
  <c r="J1417" i="3"/>
  <c r="F1095" i="3"/>
  <c r="K1095" i="3" s="1"/>
  <c r="J1095" i="3" s="1"/>
  <c r="G1774" i="3"/>
  <c r="F1734" i="3"/>
  <c r="K1734" i="3" s="1"/>
  <c r="H1095" i="3"/>
  <c r="H1759" i="3"/>
  <c r="H1206" i="3"/>
  <c r="F1117" i="3"/>
  <c r="K1117" i="3" s="1"/>
  <c r="J1117" i="3" s="1"/>
  <c r="B1369" i="3"/>
  <c r="C1369" i="3" s="1"/>
  <c r="F1628" i="3"/>
  <c r="K1628" i="3" s="1"/>
  <c r="B2031" i="3"/>
  <c r="C2031" i="3" s="1"/>
  <c r="B1734" i="3"/>
  <c r="C1734" i="3" s="1"/>
  <c r="F1692" i="3"/>
  <c r="K1692" i="3" s="1"/>
  <c r="H1258" i="3"/>
  <c r="H1417" i="3"/>
  <c r="H1404" i="3"/>
  <c r="F2040" i="3"/>
  <c r="K2040" i="3" s="1"/>
  <c r="F1602" i="3"/>
  <c r="K1602" i="3" s="1"/>
  <c r="I1734" i="3"/>
  <c r="G1206" i="3"/>
  <c r="H1369" i="3"/>
  <c r="H1381" i="3"/>
  <c r="F1588" i="3"/>
  <c r="K1588" i="3" s="1"/>
  <c r="I1887" i="3"/>
  <c r="I1877" i="3"/>
  <c r="I1376" i="3"/>
  <c r="G1588" i="3"/>
  <c r="B1868" i="3"/>
  <c r="C1868" i="3" s="1"/>
  <c r="B1631" i="3"/>
  <c r="C1631" i="3" s="1"/>
  <c r="H1641" i="3"/>
  <c r="I1868" i="3"/>
  <c r="G1868" i="3"/>
  <c r="I1641" i="3"/>
  <c r="J1688" i="3"/>
  <c r="H1611" i="3"/>
  <c r="G1641" i="3"/>
  <c r="K1611" i="3"/>
  <c r="F1641" i="3"/>
  <c r="K1641" i="3" s="1"/>
  <c r="H1887" i="3"/>
  <c r="F1688" i="3"/>
  <c r="K1688" i="3" s="1"/>
  <c r="I1460" i="3"/>
  <c r="J1877" i="3"/>
  <c r="G1688" i="3"/>
  <c r="B1460" i="3"/>
  <c r="C1460" i="3" s="1"/>
  <c r="H1868" i="3"/>
  <c r="F1868" i="3"/>
  <c r="K1868" i="3" s="1"/>
  <c r="H1631" i="3"/>
  <c r="H1688" i="3"/>
  <c r="H1460" i="3"/>
  <c r="H1588" i="3"/>
  <c r="G1877" i="3"/>
  <c r="H1376" i="3"/>
  <c r="F2555" i="3"/>
  <c r="K2555" i="3" s="1"/>
  <c r="F1711" i="3"/>
  <c r="K1711" i="3" s="1"/>
  <c r="G1138" i="3"/>
  <c r="G1200" i="3"/>
  <c r="B1695" i="3"/>
  <c r="C1695" i="3" s="1"/>
  <c r="G1787" i="3"/>
  <c r="H1711" i="3"/>
  <c r="F1668" i="3"/>
  <c r="K1668" i="3" s="1"/>
  <c r="B1172" i="3"/>
  <c r="C1172" i="3" s="1"/>
  <c r="I1352" i="3"/>
  <c r="B1507" i="3"/>
  <c r="C1507" i="3" s="1"/>
  <c r="F1644" i="3"/>
  <c r="K1644" i="3" s="1"/>
  <c r="I1677" i="3"/>
  <c r="G1507" i="3"/>
  <c r="J2110" i="3"/>
  <c r="G1640" i="3"/>
  <c r="F1321" i="3"/>
  <c r="K1321" i="3" s="1"/>
  <c r="B1677" i="3"/>
  <c r="C1677" i="3" s="1"/>
  <c r="J1507" i="3"/>
  <c r="H1644" i="3"/>
  <c r="J1640" i="3"/>
  <c r="G1677" i="3"/>
  <c r="B1546" i="3"/>
  <c r="C1546" i="3" s="1"/>
  <c r="F1695" i="3"/>
  <c r="K1695" i="3" s="1"/>
  <c r="J1307" i="3"/>
  <c r="F1433" i="3"/>
  <c r="K1433" i="3" s="1"/>
  <c r="G1352" i="3"/>
  <c r="F1702" i="3"/>
  <c r="K1702" i="3" s="1"/>
  <c r="B1644" i="3"/>
  <c r="C1644" i="3" s="1"/>
  <c r="F1307" i="3"/>
  <c r="K1307" i="3" s="1"/>
  <c r="F1172" i="3"/>
  <c r="K1172" i="3" s="1"/>
  <c r="J1172" i="3" s="1"/>
  <c r="J1695" i="3"/>
  <c r="F1722" i="3"/>
  <c r="K1722" i="3" s="1"/>
  <c r="F1850" i="3"/>
  <c r="K1850" i="3" s="1"/>
  <c r="I1711" i="3"/>
  <c r="G1226" i="3"/>
  <c r="B1356" i="3"/>
  <c r="C1356" i="3" s="1"/>
  <c r="B1170" i="3"/>
  <c r="C1170" i="3" s="1"/>
  <c r="G1711" i="3"/>
  <c r="J1433" i="3"/>
  <c r="H1352" i="3"/>
  <c r="I2110" i="3"/>
  <c r="I1644" i="3"/>
  <c r="H1850" i="3"/>
  <c r="G1356" i="3"/>
  <c r="J1352" i="3"/>
  <c r="F1200" i="3"/>
  <c r="H2136" i="3"/>
  <c r="F1356" i="3"/>
  <c r="K1356" i="3" s="1"/>
  <c r="J1326" i="3"/>
  <c r="H1709" i="3"/>
  <c r="G1722" i="3"/>
  <c r="J1644" i="3"/>
  <c r="I1433" i="3"/>
  <c r="B1434" i="3"/>
  <c r="C1434" i="3" s="1"/>
  <c r="F1163" i="3"/>
  <c r="G2136" i="3"/>
  <c r="J1709" i="3"/>
  <c r="B2641" i="3"/>
  <c r="C2641" i="3" s="1"/>
  <c r="B1722" i="3"/>
  <c r="C1722" i="3" s="1"/>
  <c r="G1546" i="3"/>
  <c r="B1402" i="3"/>
  <c r="C1402" i="3" s="1"/>
  <c r="I1850" i="3"/>
  <c r="F1765" i="3"/>
  <c r="K1765" i="3" s="1"/>
  <c r="F1434" i="3"/>
  <c r="K1434" i="3" s="1"/>
  <c r="I1124" i="3"/>
  <c r="I2641" i="3"/>
  <c r="H2623" i="3"/>
  <c r="G2716" i="3"/>
  <c r="H1765" i="3"/>
  <c r="H1281" i="3"/>
  <c r="B1200" i="3"/>
  <c r="C1200" i="3" s="1"/>
  <c r="H1787" i="3"/>
  <c r="J1702" i="3"/>
  <c r="I1200" i="3"/>
  <c r="J1787" i="3"/>
  <c r="J1765" i="3"/>
  <c r="B1321" i="3"/>
  <c r="C1321" i="3" s="1"/>
  <c r="J1722" i="3"/>
  <c r="J1646" i="3"/>
  <c r="G1709" i="3"/>
  <c r="G1695" i="3"/>
  <c r="I2410" i="3"/>
  <c r="G1765" i="3"/>
  <c r="H1695" i="3"/>
  <c r="J1668" i="3"/>
  <c r="F1376" i="3"/>
  <c r="K1376" i="3" s="1"/>
  <c r="B2547" i="3"/>
  <c r="C2547" i="3" s="1"/>
  <c r="G1631" i="3"/>
  <c r="H1462" i="3"/>
  <c r="I1775" i="3"/>
  <c r="F1492" i="3"/>
  <c r="K1492" i="3" s="1"/>
  <c r="F1156" i="3"/>
  <c r="F1414" i="3"/>
  <c r="K1414" i="3" s="1"/>
  <c r="G1414" i="3"/>
  <c r="J2621" i="3"/>
  <c r="H1775" i="3"/>
  <c r="I1156" i="3"/>
  <c r="J2320" i="3"/>
  <c r="B1563" i="3"/>
  <c r="C1563" i="3" s="1"/>
  <c r="I2320" i="3"/>
  <c r="F2408" i="3"/>
  <c r="K2408" i="3" s="1"/>
  <c r="B2715" i="3"/>
  <c r="C2715" i="3" s="1"/>
  <c r="B2555" i="3"/>
  <c r="C2555" i="3" s="1"/>
  <c r="F2058" i="3"/>
  <c r="K2058" i="3" s="1"/>
  <c r="J1839" i="3"/>
  <c r="H1156" i="3"/>
  <c r="J1987" i="3"/>
  <c r="H2734" i="3"/>
  <c r="F1775" i="3"/>
  <c r="K1775" i="3" s="1"/>
  <c r="G2734" i="3"/>
  <c r="H2084" i="3"/>
  <c r="G1775" i="3"/>
  <c r="J2734" i="3"/>
  <c r="I2716" i="3"/>
  <c r="J2555" i="3"/>
  <c r="H1197" i="3"/>
  <c r="I1115" i="3"/>
  <c r="B1130" i="3"/>
  <c r="C1130" i="3" s="1"/>
  <c r="I1354" i="3"/>
  <c r="B1197" i="3"/>
  <c r="C1197" i="3" s="1"/>
  <c r="G1797" i="3"/>
  <c r="G1898" i="3"/>
  <c r="B2082" i="3"/>
  <c r="C2082" i="3" s="1"/>
  <c r="J2116" i="3"/>
  <c r="G2222" i="3"/>
  <c r="F2029" i="3"/>
  <c r="K2029" i="3" s="1"/>
  <c r="F1970" i="3"/>
  <c r="K1970" i="3" s="1"/>
  <c r="B1882" i="3"/>
  <c r="C1882" i="3" s="1"/>
  <c r="G2407" i="3"/>
  <c r="H2423" i="3"/>
  <c r="I1745" i="3"/>
  <c r="F2407" i="3"/>
  <c r="K2407" i="3" s="1"/>
  <c r="H2320" i="3"/>
  <c r="G1305" i="3"/>
  <c r="F2423" i="3"/>
  <c r="K2423" i="3" s="1"/>
  <c r="B2407" i="3"/>
  <c r="C2407" i="3" s="1"/>
  <c r="F1144" i="3"/>
  <c r="K1144" i="3" s="1"/>
  <c r="J1144" i="3" s="1"/>
  <c r="I1248" i="3"/>
  <c r="B1248" i="3"/>
  <c r="C1248" i="3" s="1"/>
  <c r="J1504" i="3"/>
  <c r="B2316" i="3"/>
  <c r="C2316" i="3" s="1"/>
  <c r="I1829" i="3"/>
  <c r="B1305" i="3"/>
  <c r="C1305" i="3" s="1"/>
  <c r="G1504" i="3"/>
  <c r="B2294" i="3"/>
  <c r="C2294" i="3" s="1"/>
  <c r="B1144" i="3"/>
  <c r="C1144" i="3" s="1"/>
  <c r="I2423" i="3"/>
  <c r="B2743" i="3"/>
  <c r="C2743" i="3" s="1"/>
  <c r="H2331" i="3"/>
  <c r="I1652" i="3"/>
  <c r="F1815" i="3"/>
  <c r="K1815" i="3" s="1"/>
  <c r="B2386" i="3"/>
  <c r="C2386" i="3" s="1"/>
  <c r="I1917" i="3"/>
  <c r="G1652" i="3"/>
  <c r="H2515" i="3"/>
  <c r="B1621" i="3"/>
  <c r="C1621" i="3" s="1"/>
  <c r="F1621" i="3"/>
  <c r="K1621" i="3" s="1"/>
  <c r="I1915" i="3"/>
  <c r="G1521" i="3"/>
  <c r="B2495" i="3"/>
  <c r="C2495" i="3" s="1"/>
  <c r="J2121" i="3"/>
  <c r="G1621" i="3"/>
  <c r="H2386" i="3"/>
  <c r="J1621" i="3"/>
  <c r="H1621" i="3"/>
  <c r="G1174" i="3"/>
  <c r="B1466" i="3"/>
  <c r="C1466" i="3" s="1"/>
  <c r="J2000" i="3"/>
  <c r="H2107" i="3"/>
  <c r="B1961" i="3"/>
  <c r="C1961" i="3" s="1"/>
  <c r="J2232" i="3"/>
  <c r="F2722" i="3"/>
  <c r="K2722" i="3" s="1"/>
  <c r="F2386" i="3"/>
  <c r="K2386" i="3" s="1"/>
  <c r="I1466" i="3"/>
  <c r="I2232" i="3"/>
  <c r="I2676" i="3"/>
  <c r="F1552" i="3"/>
  <c r="K1552" i="3" s="1"/>
  <c r="G2435" i="3"/>
  <c r="H2042" i="3"/>
  <c r="B1404" i="3"/>
  <c r="C1404" i="3" s="1"/>
  <c r="J2623" i="3"/>
  <c r="G2621" i="3"/>
  <c r="J2763" i="3"/>
  <c r="J1406" i="3"/>
  <c r="H1109" i="3"/>
  <c r="F1100" i="3"/>
  <c r="K1100" i="3" s="1"/>
  <c r="J1100" i="3" s="1"/>
  <c r="I2217" i="3"/>
  <c r="F1875" i="3"/>
  <c r="K1875" i="3" s="1"/>
  <c r="H1337" i="3"/>
  <c r="F1396" i="3"/>
  <c r="K1396" i="3" s="1"/>
  <c r="J1500" i="3"/>
  <c r="G1158" i="3"/>
  <c r="F1707" i="3"/>
  <c r="K1707" i="3" s="1"/>
  <c r="J1579" i="3"/>
  <c r="J1337" i="3"/>
  <c r="B1406" i="3"/>
  <c r="C1406" i="3" s="1"/>
  <c r="I1707" i="3"/>
  <c r="F1103" i="3"/>
  <c r="K1103" i="3" s="1"/>
  <c r="J1103" i="3" s="1"/>
  <c r="B1337" i="3"/>
  <c r="C1337" i="3" s="1"/>
  <c r="F1276" i="3"/>
  <c r="K1276" i="3" s="1"/>
  <c r="H1707" i="3"/>
  <c r="I1875" i="3"/>
  <c r="G1762" i="3"/>
  <c r="I1609" i="3"/>
  <c r="I1667" i="3"/>
  <c r="G1875" i="3"/>
  <c r="H1158" i="3"/>
  <c r="I1136" i="3"/>
  <c r="B1100" i="3"/>
  <c r="C1100" i="3" s="1"/>
  <c r="H2683" i="3"/>
  <c r="B1707" i="3"/>
  <c r="C1707" i="3" s="1"/>
  <c r="G1690" i="3"/>
  <c r="I1337" i="3"/>
  <c r="J1396" i="3"/>
  <c r="I1109" i="3"/>
  <c r="H1396" i="3"/>
  <c r="G1276" i="3"/>
  <c r="B1667" i="3"/>
  <c r="C1667" i="3" s="1"/>
  <c r="G1337" i="3"/>
  <c r="I1396" i="3"/>
  <c r="B1396" i="3"/>
  <c r="C1396" i="3" s="1"/>
  <c r="B1103" i="3"/>
  <c r="C1103" i="3" s="1"/>
  <c r="F1500" i="3"/>
  <c r="K1500" i="3" s="1"/>
  <c r="G1103" i="3"/>
  <c r="H1667" i="3"/>
  <c r="J1875" i="3"/>
  <c r="B1875" i="3"/>
  <c r="C1875" i="3" s="1"/>
  <c r="H1676" i="3"/>
  <c r="G1950" i="3"/>
  <c r="H1103" i="3"/>
  <c r="G1500" i="3"/>
  <c r="K1337" i="3"/>
  <c r="G1136" i="3"/>
  <c r="H1094" i="3"/>
  <c r="B1982" i="3"/>
  <c r="C1982" i="3" s="1"/>
  <c r="I1404" i="3"/>
  <c r="G1127" i="3"/>
  <c r="H1127" i="3"/>
  <c r="F1094" i="3"/>
  <c r="K1094" i="3" s="1"/>
  <c r="J1094" i="3" s="1"/>
  <c r="F1982" i="3"/>
  <c r="K1982" i="3" s="1"/>
  <c r="G1575" i="3"/>
  <c r="B1552" i="3"/>
  <c r="C1552" i="3" s="1"/>
  <c r="J2360" i="3"/>
  <c r="F1127" i="3"/>
  <c r="K1127" i="3" s="1"/>
  <c r="J1127" i="3" s="1"/>
  <c r="F1404" i="3"/>
  <c r="K1404" i="3" s="1"/>
  <c r="H2279" i="3"/>
  <c r="B2276" i="3"/>
  <c r="C2276" i="3" s="1"/>
  <c r="J1659" i="3"/>
  <c r="B1251" i="3"/>
  <c r="C1251" i="3" s="1"/>
  <c r="F2050" i="3"/>
  <c r="K2050" i="3" s="1"/>
  <c r="I1591" i="3"/>
  <c r="G1510" i="3"/>
  <c r="I1171" i="3"/>
  <c r="H1578" i="3"/>
  <c r="G1171" i="3"/>
  <c r="H2294" i="3"/>
  <c r="H1139" i="3"/>
  <c r="H1162" i="3"/>
  <c r="J1251" i="3"/>
  <c r="B1510" i="3"/>
  <c r="C1510" i="3" s="1"/>
  <c r="F2068" i="3"/>
  <c r="K2068" i="3" s="1"/>
  <c r="G1549" i="3"/>
  <c r="J1510" i="3"/>
  <c r="B2025" i="3"/>
  <c r="C2025" i="3" s="1"/>
  <c r="G1197" i="3"/>
  <c r="J1368" i="3"/>
  <c r="G2423" i="3"/>
  <c r="G2294" i="3"/>
  <c r="I1130" i="3"/>
  <c r="F1578" i="3"/>
  <c r="K1578" i="3" s="1"/>
  <c r="I1557" i="3"/>
  <c r="I1386" i="3"/>
  <c r="B1115" i="3"/>
  <c r="C1115" i="3" s="1"/>
  <c r="F1368" i="3"/>
  <c r="K1368" i="3" s="1"/>
  <c r="I2407" i="3"/>
  <c r="B2423" i="3"/>
  <c r="C2423" i="3" s="1"/>
  <c r="F2294" i="3"/>
  <c r="K2294" i="3" s="1"/>
  <c r="H1510" i="3"/>
  <c r="I1197" i="3"/>
  <c r="B1557" i="3"/>
  <c r="C1557" i="3" s="1"/>
  <c r="F1701" i="3"/>
  <c r="K1701" i="3" s="1"/>
  <c r="F1126" i="3"/>
  <c r="K1126" i="3" s="1"/>
  <c r="J1126" i="3" s="1"/>
  <c r="F2316" i="3"/>
  <c r="K2316" i="3" s="1"/>
  <c r="H1126" i="3"/>
  <c r="G1736" i="3"/>
  <c r="J1557" i="3"/>
  <c r="H2407" i="3"/>
  <c r="F2276" i="3"/>
  <c r="K2276" i="3" s="1"/>
  <c r="F2320" i="3"/>
  <c r="K2320" i="3" s="1"/>
  <c r="F1591" i="3"/>
  <c r="K1591" i="3" s="1"/>
  <c r="I1182" i="3"/>
  <c r="H1736" i="3"/>
  <c r="B2320" i="3"/>
  <c r="C2320" i="3" s="1"/>
  <c r="I2294" i="3"/>
  <c r="H1479" i="3"/>
  <c r="I1162" i="3"/>
  <c r="I1937" i="3"/>
  <c r="B1890" i="3"/>
  <c r="C1890" i="3" s="1"/>
  <c r="F3073" i="3"/>
  <c r="K3073" i="3" s="1"/>
  <c r="H3128" i="3"/>
  <c r="F2033" i="3"/>
  <c r="K2033" i="3" s="1"/>
  <c r="J1740" i="3"/>
  <c r="F2314" i="3"/>
  <c r="K2314" i="3" s="1"/>
  <c r="H2351" i="3"/>
  <c r="J1916" i="3"/>
  <c r="F2170" i="3"/>
  <c r="K2170" i="3" s="1"/>
  <c r="I1890" i="3"/>
  <c r="F2306" i="3"/>
  <c r="K2306" i="3" s="1"/>
  <c r="H1305" i="3"/>
  <c r="J1829" i="3"/>
  <c r="G1890" i="3"/>
  <c r="G1639" i="3"/>
  <c r="F1505" i="3"/>
  <c r="K1505" i="3" s="1"/>
  <c r="H1157" i="3"/>
  <c r="B1207" i="3"/>
  <c r="C1207" i="3" s="1"/>
  <c r="G1082" i="3"/>
  <c r="H1660" i="3"/>
  <c r="J1610" i="3"/>
  <c r="J1373" i="3"/>
  <c r="B1104" i="3"/>
  <c r="C1104" i="3" s="1"/>
  <c r="F1421" i="3"/>
  <c r="K1421" i="3" s="1"/>
  <c r="I1157" i="3"/>
  <c r="J1333" i="3"/>
  <c r="J1384" i="3"/>
  <c r="I1526" i="3"/>
  <c r="H1286" i="3"/>
  <c r="G1458" i="3"/>
  <c r="G1373" i="3"/>
  <c r="I1458" i="3"/>
  <c r="B1469" i="3"/>
  <c r="C1469" i="3" s="1"/>
  <c r="F1660" i="3"/>
  <c r="K1660" i="3" s="1"/>
  <c r="F1207" i="3"/>
  <c r="F1511" i="3"/>
  <c r="K1511" i="3" s="1"/>
  <c r="J1369" i="3"/>
  <c r="F1610" i="3"/>
  <c r="K1610" i="3" s="1"/>
  <c r="H1080" i="3"/>
  <c r="B1384" i="3"/>
  <c r="C1384" i="3" s="1"/>
  <c r="G1754" i="3"/>
  <c r="I3128" i="3"/>
  <c r="J2915" i="3"/>
  <c r="B3128" i="3"/>
  <c r="C3128" i="3" s="1"/>
  <c r="F3128" i="3"/>
  <c r="K3128" i="3" s="1"/>
  <c r="G3013" i="3"/>
  <c r="G2398" i="3"/>
  <c r="H1615" i="3"/>
  <c r="H2189" i="3"/>
  <c r="J2394" i="3"/>
  <c r="B2256" i="3"/>
  <c r="C2256" i="3" s="1"/>
  <c r="I2722" i="3"/>
  <c r="G2623" i="3"/>
  <c r="J2332" i="3"/>
  <c r="F2415" i="3"/>
  <c r="K2415" i="3" s="1"/>
  <c r="I2433" i="3"/>
  <c r="G2514" i="3"/>
  <c r="I2715" i="3"/>
  <c r="B2415" i="3"/>
  <c r="C2415" i="3" s="1"/>
  <c r="H2433" i="3"/>
  <c r="F2433" i="3"/>
  <c r="K2433" i="3" s="1"/>
  <c r="H2600" i="3"/>
  <c r="I2394" i="3"/>
  <c r="F2514" i="3"/>
  <c r="K2514" i="3" s="1"/>
  <c r="J2433" i="3"/>
  <c r="B1839" i="3"/>
  <c r="C1839" i="3" s="1"/>
  <c r="H2621" i="3"/>
  <c r="G1839" i="3"/>
  <c r="J2189" i="3"/>
  <c r="F2256" i="3"/>
  <c r="K2256" i="3" s="1"/>
  <c r="B2394" i="3"/>
  <c r="C2394" i="3" s="1"/>
  <c r="H1839" i="3"/>
  <c r="G2415" i="3"/>
  <c r="B2189" i="3"/>
  <c r="C2189" i="3" s="1"/>
  <c r="F2394" i="3"/>
  <c r="K2394" i="3" s="1"/>
  <c r="I1839" i="3"/>
  <c r="B2098" i="3"/>
  <c r="C2098" i="3" s="1"/>
  <c r="G1824" i="3"/>
  <c r="H1453" i="3"/>
  <c r="H1481" i="3"/>
  <c r="B1481" i="3"/>
  <c r="C1481" i="3" s="1"/>
  <c r="F2663" i="3"/>
  <c r="K2663" i="3" s="1"/>
  <c r="I1289" i="3"/>
  <c r="J2681" i="3"/>
  <c r="G2649" i="3"/>
  <c r="I2402" i="3"/>
  <c r="I1208" i="3"/>
  <c r="K1488" i="3"/>
  <c r="F1405" i="3"/>
  <c r="K1405" i="3" s="1"/>
  <c r="I1488" i="3"/>
  <c r="I1453" i="3"/>
  <c r="H1076" i="3"/>
  <c r="B2792" i="3"/>
  <c r="C2792" i="3" s="1"/>
  <c r="H1824" i="3"/>
  <c r="B1607" i="3"/>
  <c r="C1607" i="3" s="1"/>
  <c r="H1405" i="3"/>
  <c r="J1488" i="3"/>
  <c r="I1076" i="3"/>
  <c r="I1481" i="3"/>
  <c r="G1481" i="3"/>
  <c r="G1374" i="3"/>
  <c r="J1208" i="3"/>
  <c r="G1377" i="3"/>
  <c r="G1208" i="3"/>
  <c r="I1311" i="3"/>
  <c r="G1289" i="3"/>
  <c r="I1452" i="3"/>
  <c r="I1824" i="3"/>
  <c r="J1377" i="3"/>
  <c r="H1208" i="3"/>
  <c r="B1453" i="3"/>
  <c r="C1453" i="3" s="1"/>
  <c r="B1107" i="3"/>
  <c r="C1107" i="3" s="1"/>
  <c r="K1107" i="3"/>
  <c r="J1107" i="3" s="1"/>
  <c r="H1607" i="3"/>
  <c r="J1311" i="3"/>
  <c r="H1465" i="3"/>
  <c r="I2218" i="3"/>
  <c r="I2249" i="3"/>
  <c r="B2218" i="3"/>
  <c r="C2218" i="3" s="1"/>
  <c r="F2218" i="3"/>
  <c r="K2218" i="3" s="1"/>
  <c r="F1750" i="3"/>
  <c r="K1750" i="3" s="1"/>
  <c r="H1486" i="3"/>
  <c r="G1503" i="3"/>
  <c r="H2218" i="3"/>
  <c r="G1465" i="3"/>
  <c r="J2019" i="3"/>
  <c r="H1927" i="3"/>
  <c r="I1750" i="3"/>
  <c r="I1465" i="3"/>
  <c r="G2218" i="3"/>
  <c r="H1730" i="3"/>
  <c r="I1137" i="3"/>
  <c r="B2521" i="3"/>
  <c r="C2521" i="3" s="1"/>
  <c r="G2715" i="3"/>
  <c r="B2514" i="3"/>
  <c r="C2514" i="3" s="1"/>
  <c r="H2514" i="3"/>
  <c r="H2521" i="3"/>
  <c r="G2722" i="3"/>
  <c r="B2605" i="3"/>
  <c r="C2605" i="3" s="1"/>
  <c r="F2715" i="3"/>
  <c r="K2715" i="3" s="1"/>
  <c r="I1121" i="3"/>
  <c r="B1266" i="3"/>
  <c r="C1266" i="3" s="1"/>
  <c r="J1284" i="3"/>
  <c r="G1284" i="3"/>
  <c r="B1284" i="3"/>
  <c r="C1284" i="3" s="1"/>
  <c r="I2600" i="3"/>
  <c r="F1855" i="3"/>
  <c r="K1855" i="3" s="1"/>
  <c r="J3013" i="3"/>
  <c r="H2715" i="3"/>
  <c r="J2600" i="3"/>
  <c r="F1284" i="3"/>
  <c r="K1284" i="3" s="1"/>
  <c r="F1304" i="3"/>
  <c r="K1304" i="3" s="1"/>
  <c r="H2641" i="3"/>
  <c r="G2521" i="3"/>
  <c r="H2555" i="3"/>
  <c r="G2641" i="3"/>
  <c r="F2641" i="3"/>
  <c r="K2641" i="3" s="1"/>
  <c r="F2521" i="3"/>
  <c r="K2521" i="3" s="1"/>
  <c r="J2722" i="3"/>
  <c r="J2521" i="3"/>
  <c r="B2722" i="3"/>
  <c r="C2722" i="3" s="1"/>
  <c r="J2382" i="3"/>
  <c r="H1751" i="3"/>
  <c r="H1633" i="3"/>
  <c r="G1530" i="3"/>
  <c r="G1291" i="3"/>
  <c r="H2088" i="3"/>
  <c r="F1155" i="3"/>
  <c r="J1413" i="3"/>
  <c r="F1154" i="3"/>
  <c r="J1658" i="3"/>
  <c r="G1726" i="3"/>
  <c r="G1545" i="3"/>
  <c r="B1291" i="3"/>
  <c r="C1291" i="3" s="1"/>
  <c r="G1658" i="3"/>
  <c r="F1106" i="3"/>
  <c r="K1106" i="3" s="1"/>
  <c r="J1106" i="3" s="1"/>
  <c r="I1545" i="3"/>
  <c r="B1763" i="3"/>
  <c r="C1763" i="3" s="1"/>
  <c r="G1735" i="3"/>
  <c r="I1291" i="3"/>
  <c r="H1873" i="3"/>
  <c r="J1873" i="3"/>
  <c r="I1633" i="3"/>
  <c r="B1633" i="3"/>
  <c r="C1633" i="3" s="1"/>
  <c r="B1545" i="3"/>
  <c r="C1545" i="3" s="1"/>
  <c r="J1316" i="3"/>
  <c r="B1154" i="3"/>
  <c r="C1154" i="3" s="1"/>
  <c r="G1420" i="3"/>
  <c r="G1106" i="3"/>
  <c r="B1658" i="3"/>
  <c r="C1658" i="3" s="1"/>
  <c r="J1763" i="3"/>
  <c r="I1735" i="3"/>
  <c r="J1761" i="3"/>
  <c r="G1761" i="3"/>
  <c r="F1691" i="3"/>
  <c r="K1691" i="3" s="1"/>
  <c r="B1550" i="3"/>
  <c r="C1550" i="3" s="1"/>
  <c r="G1155" i="3"/>
  <c r="B1389" i="3"/>
  <c r="C1389" i="3" s="1"/>
  <c r="H1420" i="3"/>
  <c r="F1726" i="3"/>
  <c r="K1726" i="3" s="1"/>
  <c r="F1420" i="3"/>
  <c r="K1420" i="3" s="1"/>
  <c r="I1243" i="3"/>
  <c r="B1735" i="3"/>
  <c r="C1735" i="3" s="1"/>
  <c r="I2382" i="3"/>
  <c r="G1691" i="3"/>
  <c r="F1550" i="3"/>
  <c r="K1550" i="3" s="1"/>
  <c r="G1209" i="3"/>
  <c r="B1227" i="3"/>
  <c r="C1227" i="3" s="1"/>
  <c r="G1325" i="3"/>
  <c r="J1420" i="3"/>
  <c r="H1550" i="3"/>
  <c r="I1367" i="3"/>
  <c r="F1209" i="3"/>
  <c r="F1444" i="3"/>
  <c r="K1444" i="3" s="1"/>
  <c r="B1413" i="3"/>
  <c r="C1413" i="3" s="1"/>
  <c r="I1531" i="3"/>
  <c r="F1633" i="3"/>
  <c r="K1633" i="3" s="1"/>
  <c r="I1155" i="3"/>
  <c r="B1444" i="3"/>
  <c r="C1444" i="3" s="1"/>
  <c r="I1691" i="3"/>
  <c r="I1550" i="3"/>
  <c r="J1550" i="3"/>
  <c r="I1399" i="3"/>
  <c r="B1531" i="3"/>
  <c r="C1531" i="3" s="1"/>
  <c r="B1399" i="3"/>
  <c r="C1399" i="3" s="1"/>
  <c r="G1444" i="3"/>
  <c r="G1413" i="3"/>
  <c r="K2088" i="3"/>
  <c r="J1708" i="3"/>
  <c r="H1551" i="3"/>
  <c r="G1389" i="3"/>
  <c r="F1389" i="3"/>
  <c r="K1389" i="3" s="1"/>
  <c r="H1531" i="3"/>
  <c r="H1389" i="3"/>
  <c r="I1413" i="3"/>
  <c r="B1302" i="3"/>
  <c r="C1302" i="3" s="1"/>
  <c r="H1761" i="3"/>
  <c r="F1708" i="3"/>
  <c r="K1708" i="3" s="1"/>
  <c r="F1545" i="3"/>
  <c r="K1545" i="3" s="1"/>
  <c r="I1530" i="3"/>
  <c r="J1531" i="3"/>
  <c r="J1389" i="3"/>
  <c r="I1763" i="3"/>
  <c r="H1444" i="3"/>
  <c r="B2382" i="3"/>
  <c r="C2382" i="3" s="1"/>
  <c r="F1873" i="3"/>
  <c r="K1873" i="3" s="1"/>
  <c r="G1633" i="3"/>
  <c r="G1708" i="3"/>
  <c r="J1530" i="3"/>
  <c r="I1658" i="3"/>
  <c r="F1399" i="3"/>
  <c r="K1399" i="3" s="1"/>
  <c r="B1751" i="3"/>
  <c r="C1751" i="3" s="1"/>
  <c r="I1444" i="3"/>
  <c r="H1708" i="3"/>
  <c r="F1551" i="3"/>
  <c r="K1551" i="3" s="1"/>
  <c r="G1316" i="3"/>
  <c r="F1227" i="3"/>
  <c r="K1227" i="3" s="1"/>
  <c r="J1227" i="3" s="1"/>
  <c r="I2088" i="3"/>
  <c r="B1155" i="3"/>
  <c r="C1155" i="3" s="1"/>
  <c r="B1325" i="3"/>
  <c r="C1325" i="3" s="1"/>
  <c r="B1262" i="3"/>
  <c r="C1262" i="3" s="1"/>
  <c r="I1726" i="3"/>
  <c r="F1243" i="3"/>
  <c r="K1243" i="3" s="1"/>
  <c r="J1243" i="3" s="1"/>
  <c r="K1413" i="3"/>
  <c r="G1262" i="3"/>
  <c r="B1068" i="3"/>
  <c r="C1068" i="3" s="1"/>
  <c r="H1763" i="3"/>
  <c r="I1262" i="3"/>
  <c r="H1243" i="3"/>
  <c r="H1227" i="3"/>
  <c r="I1154" i="3"/>
  <c r="J2088" i="3"/>
  <c r="G1873" i="3"/>
  <c r="F1262" i="3"/>
  <c r="K1262" i="3" s="1"/>
  <c r="G1751" i="3"/>
  <c r="B1420" i="3"/>
  <c r="C1420" i="3" s="1"/>
  <c r="H1316" i="3"/>
  <c r="F1068" i="3"/>
  <c r="K1068" i="3" s="1"/>
  <c r="J1068" i="3" s="1"/>
  <c r="H2382" i="3"/>
  <c r="B1726" i="3"/>
  <c r="C1726" i="3" s="1"/>
  <c r="G1243" i="3"/>
  <c r="H1726" i="3"/>
  <c r="G1551" i="3"/>
  <c r="B1691" i="3"/>
  <c r="C1691" i="3" s="1"/>
  <c r="J1545" i="3"/>
  <c r="F1531" i="3"/>
  <c r="K1531" i="3" s="1"/>
  <c r="F1735" i="3"/>
  <c r="K1735" i="3" s="1"/>
  <c r="H1675" i="3"/>
  <c r="J1551" i="3"/>
  <c r="J1262" i="3"/>
  <c r="G1772" i="3"/>
  <c r="G1298" i="3"/>
  <c r="H1441" i="3"/>
  <c r="F1590" i="3"/>
  <c r="K1590" i="3" s="1"/>
  <c r="J1772" i="3"/>
  <c r="B1441" i="3"/>
  <c r="C1441" i="3" s="1"/>
  <c r="F1239" i="3"/>
  <c r="G1476" i="3"/>
  <c r="J1441" i="3"/>
  <c r="G1362" i="3"/>
  <c r="I1093" i="3"/>
  <c r="I1590" i="3"/>
  <c r="B1177" i="3"/>
  <c r="C1177" i="3" s="1"/>
  <c r="H1362" i="3"/>
  <c r="B1362" i="3"/>
  <c r="C1362" i="3" s="1"/>
  <c r="H1093" i="3"/>
  <c r="B1298" i="3"/>
  <c r="C1298" i="3" s="1"/>
  <c r="B1133" i="3"/>
  <c r="C1133" i="3" s="1"/>
  <c r="J1430" i="3"/>
  <c r="G1093" i="3"/>
  <c r="F1298" i="3"/>
  <c r="K1298" i="3" s="1"/>
  <c r="B1093" i="3"/>
  <c r="C1093" i="3" s="1"/>
  <c r="B1921" i="3"/>
  <c r="C1921" i="3" s="1"/>
  <c r="H1599" i="3"/>
  <c r="H1177" i="3"/>
  <c r="G1133" i="3"/>
  <c r="J1590" i="3"/>
  <c r="I1177" i="3"/>
  <c r="B1290" i="3"/>
  <c r="C1290" i="3" s="1"/>
  <c r="H1301" i="3"/>
  <c r="I1133" i="3"/>
  <c r="G1590" i="3"/>
  <c r="H1133" i="3"/>
  <c r="G1430" i="3"/>
  <c r="K1093" i="3"/>
  <c r="J1093" i="3" s="1"/>
  <c r="I1298" i="3"/>
  <c r="J1733" i="3"/>
  <c r="H2254" i="3"/>
  <c r="B2397" i="3"/>
  <c r="C2397" i="3" s="1"/>
  <c r="I2164" i="3"/>
  <c r="G2159" i="3"/>
  <c r="H2073" i="3"/>
  <c r="G2397" i="3"/>
  <c r="H2159" i="3"/>
  <c r="H2387" i="3"/>
  <c r="F2159" i="3"/>
  <c r="K2159" i="3" s="1"/>
  <c r="H2100" i="3"/>
  <c r="G2387" i="3"/>
  <c r="F2133" i="3"/>
  <c r="K2133" i="3" s="1"/>
  <c r="I2123" i="3"/>
  <c r="H2397" i="3"/>
  <c r="I2397" i="3"/>
  <c r="J2109" i="3"/>
  <c r="H2109" i="3"/>
  <c r="H1733" i="3"/>
  <c r="J2133" i="3"/>
  <c r="F2182" i="3"/>
  <c r="K2182" i="3" s="1"/>
  <c r="I2254" i="3"/>
  <c r="F2254" i="3"/>
  <c r="K2254" i="3" s="1"/>
  <c r="B2100" i="3"/>
  <c r="C2100" i="3" s="1"/>
  <c r="G2164" i="3"/>
  <c r="F2100" i="3"/>
  <c r="K2100" i="3" s="1"/>
  <c r="I2159" i="3"/>
  <c r="B2164" i="3"/>
  <c r="C2164" i="3" s="1"/>
  <c r="J2100" i="3"/>
  <c r="G2133" i="3"/>
  <c r="B2133" i="3"/>
  <c r="C2133" i="3" s="1"/>
  <c r="F2123" i="3"/>
  <c r="K2123" i="3" s="1"/>
  <c r="G1733" i="3"/>
  <c r="F2109" i="3"/>
  <c r="K2109" i="3" s="1"/>
  <c r="B2254" i="3"/>
  <c r="C2254" i="3" s="1"/>
  <c r="F1655" i="3"/>
  <c r="K1655" i="3" s="1"/>
  <c r="B1309" i="3"/>
  <c r="C1309" i="3" s="1"/>
  <c r="G1204" i="3"/>
  <c r="B1931" i="3"/>
  <c r="C1931" i="3" s="1"/>
  <c r="H1689" i="3"/>
  <c r="I1975" i="3"/>
  <c r="J1931" i="3"/>
  <c r="B1632" i="3"/>
  <c r="C1632" i="3" s="1"/>
  <c r="J1632" i="3"/>
  <c r="F1266" i="3"/>
  <c r="K1266" i="3" s="1"/>
  <c r="F2152" i="3"/>
  <c r="K2152" i="3" s="1"/>
  <c r="J2071" i="3"/>
  <c r="F1975" i="3"/>
  <c r="K1975" i="3" s="1"/>
  <c r="G1620" i="3"/>
  <c r="J2194" i="3"/>
  <c r="J1620" i="3"/>
  <c r="H1975" i="3"/>
  <c r="F1689" i="3"/>
  <c r="K1689" i="3" s="1"/>
  <c r="G1689" i="3"/>
  <c r="F1620" i="3"/>
  <c r="K1620" i="3" s="1"/>
  <c r="I1931" i="3"/>
  <c r="J1515" i="3"/>
  <c r="I1266" i="3"/>
  <c r="B1187" i="3"/>
  <c r="C1187" i="3" s="1"/>
  <c r="H1620" i="3"/>
  <c r="J1266" i="3"/>
  <c r="B1583" i="3"/>
  <c r="C1583" i="3" s="1"/>
  <c r="I1620" i="3"/>
  <c r="H1266" i="3"/>
  <c r="H1583" i="3"/>
  <c r="I1583" i="3"/>
  <c r="I1088" i="3"/>
  <c r="J1689" i="3"/>
  <c r="J1583" i="3"/>
  <c r="F1088" i="3"/>
  <c r="O946" i="2" s="1"/>
  <c r="P946" i="2" s="1"/>
  <c r="Q946" i="2" s="1"/>
  <c r="H1632" i="3"/>
  <c r="F1485" i="3"/>
  <c r="K1485" i="3" s="1"/>
  <c r="B1088" i="3"/>
  <c r="C1088" i="3" s="1"/>
  <c r="B1689" i="3"/>
  <c r="C1689" i="3" s="1"/>
  <c r="G1088" i="3"/>
  <c r="J1975" i="3"/>
  <c r="G1187" i="3"/>
  <c r="H2485" i="3"/>
  <c r="H1931" i="3"/>
  <c r="I2005" i="3"/>
  <c r="B2265" i="3"/>
  <c r="C2265" i="3" s="1"/>
  <c r="H1653" i="3"/>
  <c r="J2351" i="3"/>
  <c r="F2084" i="3"/>
  <c r="K2084" i="3" s="1"/>
  <c r="I2058" i="3"/>
  <c r="B2206" i="3"/>
  <c r="C2206" i="3" s="1"/>
  <c r="I2292" i="3"/>
  <c r="I2417" i="3"/>
  <c r="F2222" i="3"/>
  <c r="K2222" i="3" s="1"/>
  <c r="H2200" i="3"/>
  <c r="H2222" i="3"/>
  <c r="J2450" i="3"/>
  <c r="H2058" i="3"/>
  <c r="J2222" i="3"/>
  <c r="B2417" i="3"/>
  <c r="C2417" i="3" s="1"/>
  <c r="J2084" i="3"/>
  <c r="B1595" i="3"/>
  <c r="C1595" i="3" s="1"/>
  <c r="F2528" i="3"/>
  <c r="K2528" i="3" s="1"/>
  <c r="G2084" i="3"/>
  <c r="H2417" i="3"/>
  <c r="F2018" i="3"/>
  <c r="K2018" i="3" s="1"/>
  <c r="G2314" i="3"/>
  <c r="I2018" i="3"/>
  <c r="J2314" i="3"/>
  <c r="I2450" i="3"/>
  <c r="I2084" i="3"/>
  <c r="H2282" i="3"/>
  <c r="B1830" i="3"/>
  <c r="C1830" i="3" s="1"/>
  <c r="B2342" i="3"/>
  <c r="C2342" i="3" s="1"/>
  <c r="F1948" i="3"/>
  <c r="K1948" i="3" s="1"/>
  <c r="I1828" i="3"/>
  <c r="B2188" i="3"/>
  <c r="C2188" i="3" s="1"/>
  <c r="G1859" i="3"/>
  <c r="I1911" i="3"/>
  <c r="B2201" i="3"/>
  <c r="C2201" i="3" s="1"/>
  <c r="B1828" i="3"/>
  <c r="C1828" i="3" s="1"/>
  <c r="F1853" i="3"/>
  <c r="K1853" i="3" s="1"/>
  <c r="G1853" i="3"/>
  <c r="G2342" i="3"/>
  <c r="H2297" i="3"/>
  <c r="I2192" i="3"/>
  <c r="B2216" i="3"/>
  <c r="C2216" i="3" s="1"/>
  <c r="J1828" i="3"/>
  <c r="B1859" i="3"/>
  <c r="C1859" i="3" s="1"/>
  <c r="B1657" i="3"/>
  <c r="C1657" i="3" s="1"/>
  <c r="I2309" i="3"/>
  <c r="H1657" i="3"/>
  <c r="B1727" i="3"/>
  <c r="C1727" i="3" s="1"/>
  <c r="B2488" i="3"/>
  <c r="C2488" i="3" s="1"/>
  <c r="F1905" i="3"/>
  <c r="K1905" i="3" s="1"/>
  <c r="B2465" i="3"/>
  <c r="C2465" i="3" s="1"/>
  <c r="H2261" i="3"/>
  <c r="I2261" i="3"/>
  <c r="F2331" i="3"/>
  <c r="K2331" i="3" s="1"/>
  <c r="H2234" i="3"/>
  <c r="H1905" i="3"/>
  <c r="F1891" i="3"/>
  <c r="K1891" i="3" s="1"/>
  <c r="K1316" i="3"/>
  <c r="F2488" i="3"/>
  <c r="K2488" i="3" s="1"/>
  <c r="I1847" i="3"/>
  <c r="F1965" i="3"/>
  <c r="K1965" i="3" s="1"/>
  <c r="G2445" i="3"/>
  <c r="I2302" i="3"/>
  <c r="G2091" i="3"/>
  <c r="J1847" i="3"/>
  <c r="G1905" i="3"/>
  <c r="G1965" i="3"/>
  <c r="H1965" i="3"/>
  <c r="I2331" i="3"/>
  <c r="J2488" i="3"/>
  <c r="J2234" i="3"/>
  <c r="B2234" i="3"/>
  <c r="C2234" i="3" s="1"/>
  <c r="I1965" i="3"/>
  <c r="H1891" i="3"/>
  <c r="G2261" i="3"/>
  <c r="B1847" i="3"/>
  <c r="C1847" i="3" s="1"/>
  <c r="G1897" i="3"/>
  <c r="I1551" i="3"/>
  <c r="I2091" i="3"/>
  <c r="H2257" i="3"/>
  <c r="B2091" i="3"/>
  <c r="C2091" i="3" s="1"/>
  <c r="G1847" i="3"/>
  <c r="F2091" i="3"/>
  <c r="K2091" i="3" s="1"/>
  <c r="H2091" i="3"/>
  <c r="I2234" i="3"/>
  <c r="B2261" i="3"/>
  <c r="C2261" i="3" s="1"/>
  <c r="J2261" i="3"/>
  <c r="J1905" i="3"/>
  <c r="B2246" i="3"/>
  <c r="C2246" i="3" s="1"/>
  <c r="K2261" i="3"/>
  <c r="G1891" i="3"/>
  <c r="F2240" i="3"/>
  <c r="K2240" i="3" s="1"/>
  <c r="J2240" i="3"/>
  <c r="B1316" i="3"/>
  <c r="C1316" i="3" s="1"/>
  <c r="G2488" i="3"/>
  <c r="F2257" i="3"/>
  <c r="K2257" i="3" s="1"/>
  <c r="I1905" i="3"/>
  <c r="H2445" i="3"/>
  <c r="F1952" i="3"/>
  <c r="K1952" i="3" s="1"/>
  <c r="H1402" i="3"/>
  <c r="F3013" i="3"/>
  <c r="K3013" i="3" s="1"/>
  <c r="G1434" i="3"/>
  <c r="I1402" i="3"/>
  <c r="G1646" i="3"/>
  <c r="J1399" i="3"/>
  <c r="F1763" i="3"/>
  <c r="K1763" i="3" s="1"/>
  <c r="B2257" i="3"/>
  <c r="C2257" i="3" s="1"/>
  <c r="G2257" i="3"/>
  <c r="G2240" i="3"/>
  <c r="J2445" i="3"/>
  <c r="I2257" i="3"/>
  <c r="B2950" i="3"/>
  <c r="C2950" i="3" s="1"/>
  <c r="H3013" i="3"/>
  <c r="G2504" i="3"/>
  <c r="I2023" i="3"/>
  <c r="J2005" i="3"/>
  <c r="J1653" i="3"/>
  <c r="I2172" i="3"/>
  <c r="F1932" i="3"/>
  <c r="K1932" i="3" s="1"/>
  <c r="F1998" i="3"/>
  <c r="K1998" i="3" s="1"/>
  <c r="B1653" i="3"/>
  <c r="C1653" i="3" s="1"/>
  <c r="H1572" i="3"/>
  <c r="G1572" i="3"/>
  <c r="F1102" i="3"/>
  <c r="K1102" i="3" s="1"/>
  <c r="J1102" i="3" s="1"/>
  <c r="H1998" i="3"/>
  <c r="F2030" i="3"/>
  <c r="K2030" i="3" s="1"/>
  <c r="F1613" i="3"/>
  <c r="K1613" i="3" s="1"/>
  <c r="J1527" i="3"/>
  <c r="I1216" i="3"/>
  <c r="I1998" i="3"/>
  <c r="I2030" i="3"/>
  <c r="F1653" i="3"/>
  <c r="K1653" i="3" s="1"/>
  <c r="G1613" i="3"/>
  <c r="I1231" i="3"/>
  <c r="G1102" i="3"/>
  <c r="I2016" i="3"/>
  <c r="J1998" i="3"/>
  <c r="H2030" i="3"/>
  <c r="J2030" i="3"/>
  <c r="F1741" i="3"/>
  <c r="K1741" i="3" s="1"/>
  <c r="J1395" i="3"/>
  <c r="H1468" i="3"/>
  <c r="H1613" i="3"/>
  <c r="B1425" i="3"/>
  <c r="C1425" i="3" s="1"/>
  <c r="B1468" i="3"/>
  <c r="C1468" i="3" s="1"/>
  <c r="B1228" i="3"/>
  <c r="C1228" i="3" s="1"/>
  <c r="I1211" i="3"/>
  <c r="I1074" i="3"/>
  <c r="G1932" i="3"/>
  <c r="F2214" i="3"/>
  <c r="K2214" i="3" s="1"/>
  <c r="G2030" i="3"/>
  <c r="B1634" i="3"/>
  <c r="C1634" i="3" s="1"/>
  <c r="G1741" i="3"/>
  <c r="I1613" i="3"/>
  <c r="F1425" i="3"/>
  <c r="K1425" i="3" s="1"/>
  <c r="H1074" i="3"/>
  <c r="F2016" i="3"/>
  <c r="K2016" i="3" s="1"/>
  <c r="G1991" i="3"/>
  <c r="I1523" i="3"/>
  <c r="H1741" i="3"/>
  <c r="J1425" i="3"/>
  <c r="H1235" i="3"/>
  <c r="J1613" i="3"/>
  <c r="H1425" i="3"/>
  <c r="B1514" i="3"/>
  <c r="C1514" i="3" s="1"/>
  <c r="J1383" i="3"/>
  <c r="G1231" i="3"/>
  <c r="B1102" i="3"/>
  <c r="C1102" i="3" s="1"/>
  <c r="H1216" i="3"/>
  <c r="J2172" i="3"/>
  <c r="H2214" i="3"/>
  <c r="J1940" i="3"/>
  <c r="J2214" i="3"/>
  <c r="B2214" i="3"/>
  <c r="C2214" i="3" s="1"/>
  <c r="H1991" i="3"/>
  <c r="I1741" i="3"/>
  <c r="F1235" i="3"/>
  <c r="B1541" i="3"/>
  <c r="C1541" i="3" s="1"/>
  <c r="B1527" i="3"/>
  <c r="C1527" i="3" s="1"/>
  <c r="F1514" i="3"/>
  <c r="K1514" i="3" s="1"/>
  <c r="G1211" i="3"/>
  <c r="B1995" i="3"/>
  <c r="C1995" i="3" s="1"/>
  <c r="F1412" i="3"/>
  <c r="K1412" i="3" s="1"/>
  <c r="F1991" i="3"/>
  <c r="K1991" i="3" s="1"/>
  <c r="B2411" i="3"/>
  <c r="C2411" i="3" s="1"/>
  <c r="I1991" i="3"/>
  <c r="J1741" i="3"/>
  <c r="I1425" i="3"/>
  <c r="G1235" i="3"/>
  <c r="H1228" i="3"/>
  <c r="F1541" i="3"/>
  <c r="K1541" i="3" s="1"/>
  <c r="F1527" i="3"/>
  <c r="K1527" i="3" s="1"/>
  <c r="G1514" i="3"/>
  <c r="H1334" i="3"/>
  <c r="B1664" i="3"/>
  <c r="C1664" i="3" s="1"/>
  <c r="H1231" i="3"/>
  <c r="I2398" i="3"/>
  <c r="G1484" i="3"/>
  <c r="J1991" i="3"/>
  <c r="B1858" i="3"/>
  <c r="C1858" i="3" s="1"/>
  <c r="H1395" i="3"/>
  <c r="G1541" i="3"/>
  <c r="G1527" i="3"/>
  <c r="H1514" i="3"/>
  <c r="G1334" i="3"/>
  <c r="F1664" i="3"/>
  <c r="K1664" i="3" s="1"/>
  <c r="I1383" i="3"/>
  <c r="B1998" i="3"/>
  <c r="C1998" i="3" s="1"/>
  <c r="I1395" i="3"/>
  <c r="G1395" i="3"/>
  <c r="I1541" i="3"/>
  <c r="J1514" i="3"/>
  <c r="G1664" i="3"/>
  <c r="H1211" i="3"/>
  <c r="B2478" i="3"/>
  <c r="C2478" i="3" s="1"/>
  <c r="G1412" i="3"/>
  <c r="G2108" i="3"/>
  <c r="H1634" i="3"/>
  <c r="J1664" i="3"/>
  <c r="J2411" i="3"/>
  <c r="B2103" i="3"/>
  <c r="C2103" i="3" s="1"/>
  <c r="K2103" i="3"/>
  <c r="J2103" i="3"/>
  <c r="I1102" i="3"/>
  <c r="G1940" i="3"/>
  <c r="H1664" i="3"/>
  <c r="J2108" i="3"/>
  <c r="F2009" i="3"/>
  <c r="K2009" i="3" s="1"/>
  <c r="H1940" i="3"/>
  <c r="F1468" i="3"/>
  <c r="K1468" i="3" s="1"/>
  <c r="G1468" i="3"/>
  <c r="F1334" i="3"/>
  <c r="K1334" i="3" s="1"/>
  <c r="H2265" i="3"/>
  <c r="G2478" i="3"/>
  <c r="G2214" i="3"/>
  <c r="I2478" i="3"/>
  <c r="J1277" i="3"/>
  <c r="J2016" i="3"/>
  <c r="H2478" i="3"/>
  <c r="F2005" i="3"/>
  <c r="K2005" i="3" s="1"/>
  <c r="H1383" i="3"/>
  <c r="I1071" i="3"/>
  <c r="G2005" i="3"/>
  <c r="I1653" i="3"/>
  <c r="H1151" i="3"/>
  <c r="I1334" i="3"/>
  <c r="K1277" i="3"/>
  <c r="F2478" i="3"/>
  <c r="K2478" i="3" s="1"/>
  <c r="H2005" i="3"/>
  <c r="I1634" i="3"/>
  <c r="B1498" i="3"/>
  <c r="C1498" i="3" s="1"/>
  <c r="H2411" i="3"/>
  <c r="B2811" i="3"/>
  <c r="C2811" i="3" s="1"/>
  <c r="H2695" i="3"/>
  <c r="H2914" i="3"/>
  <c r="H1452" i="3"/>
  <c r="B1452" i="3"/>
  <c r="C1452" i="3" s="1"/>
  <c r="J1289" i="3"/>
  <c r="J2825" i="3"/>
  <c r="H2450" i="3"/>
  <c r="B2314" i="3"/>
  <c r="C2314" i="3" s="1"/>
  <c r="J2117" i="3"/>
  <c r="F1481" i="3"/>
  <c r="K1481" i="3" s="1"/>
  <c r="B2450" i="3"/>
  <c r="C2450" i="3" s="1"/>
  <c r="G2282" i="3"/>
  <c r="F1824" i="3"/>
  <c r="K1824" i="3" s="1"/>
  <c r="I2825" i="3"/>
  <c r="F2351" i="3"/>
  <c r="K2351" i="3" s="1"/>
  <c r="H2300" i="3"/>
  <c r="B1208" i="3"/>
  <c r="C1208" i="3" s="1"/>
  <c r="G2351" i="3"/>
  <c r="G1107" i="3"/>
  <c r="I2057" i="3"/>
  <c r="F1374" i="3"/>
  <c r="K1374" i="3" s="1"/>
  <c r="H1488" i="3"/>
  <c r="H2825" i="3"/>
  <c r="B2761" i="3"/>
  <c r="C2761" i="3" s="1"/>
  <c r="F2450" i="3"/>
  <c r="K2450" i="3" s="1"/>
  <c r="I2282" i="3"/>
  <c r="I2351" i="3"/>
  <c r="J2089" i="3"/>
  <c r="J1453" i="3"/>
  <c r="I1107" i="3"/>
  <c r="I1374" i="3"/>
  <c r="B1374" i="3"/>
  <c r="C1374" i="3" s="1"/>
  <c r="H1374" i="3"/>
  <c r="F1289" i="3"/>
  <c r="K1289" i="3" s="1"/>
  <c r="F1452" i="3"/>
  <c r="K1452" i="3" s="1"/>
  <c r="B1488" i="3"/>
  <c r="C1488" i="3" s="1"/>
  <c r="I1607" i="3"/>
  <c r="G2940" i="3"/>
  <c r="J1824" i="3"/>
  <c r="G1618" i="3"/>
  <c r="G1453" i="3"/>
  <c r="F2940" i="3"/>
  <c r="K2940" i="3" s="1"/>
  <c r="B1311" i="3"/>
  <c r="C1311" i="3" s="1"/>
  <c r="B3045" i="3"/>
  <c r="C3045" i="3" s="1"/>
  <c r="G2117" i="3"/>
  <c r="B2222" i="3"/>
  <c r="C2222" i="3" s="1"/>
  <c r="G1488" i="3"/>
  <c r="K1453" i="3"/>
  <c r="J1452" i="3"/>
  <c r="I2915" i="3"/>
  <c r="J2292" i="3"/>
  <c r="G2835" i="3"/>
  <c r="F2674" i="3"/>
  <c r="K2674" i="3" s="1"/>
  <c r="J2721" i="3"/>
  <c r="I2721" i="3"/>
  <c r="J2493" i="3"/>
  <c r="H2721" i="3"/>
  <c r="G2763" i="3"/>
  <c r="G2591" i="3"/>
  <c r="I2523" i="3"/>
  <c r="B2598" i="3"/>
  <c r="C2598" i="3" s="1"/>
  <c r="I2695" i="3"/>
  <c r="G2622" i="3"/>
  <c r="G2474" i="3"/>
  <c r="F2752" i="3"/>
  <c r="K2752" i="3" s="1"/>
  <c r="F2723" i="3"/>
  <c r="K2723" i="3" s="1"/>
  <c r="I2752" i="3"/>
  <c r="J3083" i="3"/>
  <c r="H2723" i="3"/>
  <c r="I2723" i="3"/>
  <c r="F2695" i="3"/>
  <c r="K2695" i="3" s="1"/>
  <c r="I2874" i="3"/>
  <c r="G2620" i="3"/>
  <c r="J2622" i="3"/>
  <c r="H2456" i="3"/>
  <c r="G2594" i="3"/>
  <c r="I2231" i="3"/>
  <c r="B2335" i="3"/>
  <c r="C2335" i="3" s="1"/>
  <c r="G1511" i="3"/>
  <c r="I1108" i="3"/>
  <c r="H2660" i="3"/>
  <c r="G2390" i="3"/>
  <c r="F1837" i="3"/>
  <c r="K1837" i="3" s="1"/>
  <c r="H2644" i="3"/>
  <c r="J2231" i="3"/>
  <c r="H2390" i="3"/>
  <c r="I1825" i="3"/>
  <c r="I1876" i="3"/>
  <c r="B1454" i="3"/>
  <c r="C1454" i="3" s="1"/>
  <c r="I2561" i="3"/>
  <c r="J2243" i="3"/>
  <c r="B2231" i="3"/>
  <c r="C2231" i="3" s="1"/>
  <c r="I2390" i="3"/>
  <c r="I1862" i="3"/>
  <c r="G2408" i="3"/>
  <c r="H1837" i="3"/>
  <c r="B1935" i="3"/>
  <c r="C1935" i="3" s="1"/>
  <c r="H2408" i="3"/>
  <c r="G3141" i="3"/>
  <c r="G2644" i="3"/>
  <c r="G2660" i="3"/>
  <c r="J2514" i="3"/>
  <c r="B2600" i="3"/>
  <c r="C2600" i="3" s="1"/>
  <c r="F2288" i="3"/>
  <c r="K2288" i="3" s="1"/>
  <c r="J2408" i="3"/>
  <c r="J1882" i="3"/>
  <c r="F1882" i="3"/>
  <c r="K1882" i="3" s="1"/>
  <c r="B1680" i="3"/>
  <c r="C1680" i="3" s="1"/>
  <c r="F2207" i="3"/>
  <c r="K2207" i="3" s="1"/>
  <c r="B2305" i="3"/>
  <c r="C2305" i="3" s="1"/>
  <c r="F2373" i="3"/>
  <c r="K2373" i="3" s="1"/>
  <c r="H2755" i="3"/>
  <c r="G2288" i="3"/>
  <c r="F2231" i="3"/>
  <c r="K2231" i="3" s="1"/>
  <c r="B2072" i="3"/>
  <c r="C2072" i="3" s="1"/>
  <c r="F1680" i="3"/>
  <c r="K1680" i="3" s="1"/>
  <c r="K1108" i="3"/>
  <c r="J1108" i="3" s="1"/>
  <c r="G1935" i="3"/>
  <c r="H2288" i="3"/>
  <c r="B1783" i="3"/>
  <c r="C1783" i="3" s="1"/>
  <c r="G1862" i="3"/>
  <c r="I2441" i="3"/>
  <c r="F2165" i="3"/>
  <c r="K2165" i="3" s="1"/>
  <c r="I1754" i="3"/>
  <c r="J2615" i="3"/>
  <c r="G2613" i="3"/>
  <c r="J2072" i="3"/>
  <c r="B1687" i="3"/>
  <c r="C1687" i="3" s="1"/>
  <c r="I1673" i="3"/>
  <c r="J1680" i="3"/>
  <c r="H2072" i="3"/>
  <c r="F2698" i="3"/>
  <c r="K2698" i="3" s="1"/>
  <c r="I2613" i="3"/>
  <c r="B1992" i="3"/>
  <c r="C1992" i="3" s="1"/>
  <c r="I2072" i="3"/>
  <c r="F1957" i="3"/>
  <c r="K1957" i="3" s="1"/>
  <c r="J1673" i="3"/>
  <c r="B1594" i="3"/>
  <c r="C1594" i="3" s="1"/>
  <c r="I2698" i="3"/>
  <c r="I2585" i="3"/>
  <c r="H1992" i="3"/>
  <c r="G1957" i="3"/>
  <c r="I1957" i="3"/>
  <c r="F1594" i="3"/>
  <c r="K1594" i="3" s="1"/>
  <c r="G2615" i="3"/>
  <c r="I1992" i="3"/>
  <c r="G1882" i="3"/>
  <c r="J1957" i="3"/>
  <c r="H1825" i="3"/>
  <c r="H1862" i="3"/>
  <c r="I1594" i="3"/>
  <c r="J1687" i="3"/>
  <c r="I2288" i="3"/>
  <c r="J1862" i="3"/>
  <c r="H1680" i="3"/>
  <c r="B1957" i="3"/>
  <c r="C1957" i="3" s="1"/>
  <c r="F1355" i="3"/>
  <c r="K1355" i="3" s="1"/>
  <c r="J1594" i="3"/>
  <c r="I2324" i="3"/>
  <c r="F2633" i="3"/>
  <c r="K2633" i="3" s="1"/>
  <c r="J1979" i="3"/>
  <c r="H2672" i="3"/>
  <c r="F2594" i="3"/>
  <c r="K2594" i="3" s="1"/>
  <c r="G1429" i="3"/>
  <c r="B1876" i="3"/>
  <c r="C1876" i="3" s="1"/>
  <c r="J1876" i="3"/>
  <c r="I2606" i="3"/>
  <c r="J2611" i="3"/>
  <c r="I2660" i="3"/>
  <c r="I2687" i="3"/>
  <c r="G2698" i="3"/>
  <c r="I2594" i="3"/>
  <c r="B2182" i="3"/>
  <c r="C2182" i="3" s="1"/>
  <c r="I1723" i="3"/>
  <c r="H2123" i="3"/>
  <c r="J1723" i="3"/>
  <c r="B2643" i="3"/>
  <c r="C2643" i="3" s="1"/>
  <c r="F1852" i="3"/>
  <c r="K1852" i="3" s="1"/>
  <c r="H2850" i="3"/>
  <c r="B2385" i="3"/>
  <c r="C2385" i="3" s="1"/>
  <c r="J2390" i="3"/>
  <c r="J2335" i="3"/>
  <c r="F1979" i="3"/>
  <c r="K1979" i="3" s="1"/>
  <c r="I1630" i="3"/>
  <c r="F2335" i="3"/>
  <c r="K2335" i="3" s="1"/>
  <c r="B1922" i="3"/>
  <c r="C1922" i="3" s="1"/>
  <c r="I2206" i="3"/>
  <c r="F1595" i="3"/>
  <c r="K1595" i="3" s="1"/>
  <c r="H2606" i="3"/>
  <c r="J2223" i="3"/>
  <c r="F2385" i="3"/>
  <c r="K2385" i="3" s="1"/>
  <c r="G2335" i="3"/>
  <c r="J1922" i="3"/>
  <c r="G2411" i="3"/>
  <c r="J2206" i="3"/>
  <c r="B2578" i="3"/>
  <c r="C2578" i="3" s="1"/>
  <c r="F2643" i="3"/>
  <c r="K2643" i="3" s="1"/>
  <c r="H2335" i="3"/>
  <c r="I1945" i="3"/>
  <c r="G1869" i="3"/>
  <c r="B2123" i="3"/>
  <c r="C2123" i="3" s="1"/>
  <c r="G2513" i="3"/>
  <c r="B2143" i="3"/>
  <c r="C2143" i="3" s="1"/>
  <c r="I1930" i="3"/>
  <c r="J2123" i="3"/>
  <c r="K2390" i="3"/>
  <c r="B2223" i="3"/>
  <c r="C2223" i="3" s="1"/>
  <c r="H2811" i="3"/>
  <c r="B2755" i="3"/>
  <c r="C2755" i="3" s="1"/>
  <c r="F2279" i="3"/>
  <c r="K2279" i="3" s="1"/>
  <c r="F2411" i="3"/>
  <c r="K2411" i="3" s="1"/>
  <c r="H2506" i="3"/>
  <c r="G2279" i="3"/>
  <c r="J1852" i="3"/>
  <c r="F1823" i="3"/>
  <c r="K1823" i="3" s="1"/>
  <c r="G2223" i="3"/>
  <c r="F1211" i="3"/>
  <c r="I2279" i="3"/>
  <c r="F1893" i="3"/>
  <c r="K1893" i="3" s="1"/>
  <c r="H1823" i="3"/>
  <c r="I1893" i="3"/>
  <c r="H1595" i="3"/>
  <c r="F2755" i="3"/>
  <c r="K2755" i="3" s="1"/>
  <c r="H2615" i="3"/>
  <c r="B1930" i="3"/>
  <c r="C1930" i="3" s="1"/>
  <c r="I1922" i="3"/>
  <c r="F2348" i="3"/>
  <c r="K2348" i="3" s="1"/>
  <c r="B1869" i="3"/>
  <c r="C1869" i="3" s="1"/>
  <c r="J1858" i="3"/>
  <c r="H3029" i="3"/>
  <c r="F2061" i="3"/>
  <c r="K2061" i="3" s="1"/>
  <c r="B1893" i="3"/>
  <c r="C1893" i="3" s="1"/>
  <c r="B1852" i="3"/>
  <c r="C1852" i="3" s="1"/>
  <c r="B2506" i="3"/>
  <c r="C2506" i="3" s="1"/>
  <c r="H1932" i="3"/>
  <c r="B2073" i="3"/>
  <c r="C2073" i="3" s="1"/>
  <c r="G1893" i="3"/>
  <c r="H1869" i="3"/>
  <c r="B3029" i="3"/>
  <c r="C3029" i="3" s="1"/>
  <c r="G2643" i="3"/>
  <c r="B2061" i="3"/>
  <c r="C2061" i="3" s="1"/>
  <c r="H1852" i="3"/>
  <c r="G1852" i="3"/>
  <c r="F1922" i="3"/>
  <c r="K1922" i="3" s="1"/>
  <c r="I1932" i="3"/>
  <c r="B2067" i="3"/>
  <c r="C2067" i="3" s="1"/>
  <c r="G2073" i="3"/>
  <c r="G2672" i="3"/>
  <c r="I2061" i="3"/>
  <c r="I2099" i="3"/>
  <c r="F1869" i="3"/>
  <c r="K1869" i="3" s="1"/>
  <c r="I2182" i="3"/>
  <c r="I1870" i="3"/>
  <c r="F2067" i="3"/>
  <c r="K2067" i="3" s="1"/>
  <c r="I2073" i="3"/>
  <c r="G2755" i="3"/>
  <c r="F2506" i="3"/>
  <c r="K2506" i="3" s="1"/>
  <c r="F2083" i="3"/>
  <c r="K2083" i="3" s="1"/>
  <c r="H1813" i="3"/>
  <c r="G1630" i="3"/>
  <c r="G2182" i="3"/>
  <c r="I2067" i="3"/>
  <c r="J2073" i="3"/>
  <c r="I3066" i="3"/>
  <c r="I2506" i="3"/>
  <c r="F2613" i="3"/>
  <c r="K2613" i="3" s="1"/>
  <c r="G2061" i="3"/>
  <c r="B2390" i="3"/>
  <c r="C2390" i="3" s="1"/>
  <c r="I1869" i="3"/>
  <c r="B1318" i="3"/>
  <c r="C1318" i="3" s="1"/>
  <c r="J2067" i="3"/>
  <c r="H2061" i="3"/>
  <c r="F1451" i="3"/>
  <c r="K1451" i="3" s="1"/>
  <c r="F1877" i="3"/>
  <c r="K1877" i="3" s="1"/>
  <c r="F2305" i="3"/>
  <c r="K2305" i="3" s="1"/>
  <c r="H1592" i="3"/>
  <c r="F1817" i="3"/>
  <c r="K1817" i="3" s="1"/>
  <c r="G2067" i="3"/>
  <c r="B1317" i="3"/>
  <c r="C1317" i="3" s="1"/>
  <c r="B1845" i="3"/>
  <c r="C1845" i="3" s="1"/>
  <c r="I1662" i="3"/>
  <c r="F1616" i="3"/>
  <c r="K1616" i="3" s="1"/>
  <c r="J2536" i="3"/>
  <c r="J2029" i="3"/>
  <c r="H1844" i="3"/>
  <c r="H1616" i="3"/>
  <c r="I1942" i="3"/>
  <c r="K1942" i="3"/>
  <c r="I2305" i="3"/>
  <c r="I1968" i="3"/>
  <c r="H1746" i="3"/>
  <c r="G1152" i="3"/>
  <c r="H1303" i="3"/>
  <c r="J1746" i="3"/>
  <c r="J1280" i="3"/>
  <c r="H1447" i="3"/>
  <c r="H2753" i="3"/>
  <c r="H1199" i="3"/>
  <c r="F1698" i="3"/>
  <c r="K1698" i="3" s="1"/>
  <c r="G1213" i="3"/>
  <c r="B1253" i="3"/>
  <c r="C1253" i="3" s="1"/>
  <c r="I1378" i="3"/>
  <c r="H1698" i="3"/>
  <c r="B3062" i="3"/>
  <c r="C3062" i="3" s="1"/>
  <c r="J2850" i="3"/>
  <c r="J2613" i="3"/>
  <c r="K1704" i="3"/>
  <c r="J1378" i="3"/>
  <c r="I1280" i="3"/>
  <c r="G1728" i="3"/>
  <c r="B1954" i="3"/>
  <c r="C1954" i="3" s="1"/>
  <c r="B1661" i="3"/>
  <c r="C1661" i="3" s="1"/>
  <c r="G3062" i="3"/>
  <c r="H2676" i="3"/>
  <c r="B2615" i="3"/>
  <c r="C2615" i="3" s="1"/>
  <c r="H2495" i="3"/>
  <c r="I1704" i="3"/>
  <c r="G1529" i="3"/>
  <c r="F1253" i="3"/>
  <c r="K1253" i="3" s="1"/>
  <c r="B3013" i="3"/>
  <c r="C3013" i="3" s="1"/>
  <c r="F1423" i="3"/>
  <c r="K1423" i="3" s="1"/>
  <c r="I1415" i="3"/>
  <c r="J1728" i="3"/>
  <c r="J1529" i="3"/>
  <c r="I1684" i="3"/>
  <c r="H1704" i="3"/>
  <c r="G2062" i="3"/>
  <c r="G1819" i="3"/>
  <c r="K1297" i="3"/>
  <c r="J1297" i="3"/>
  <c r="G1854" i="3"/>
  <c r="I1856" i="3"/>
  <c r="H1415" i="3"/>
  <c r="F1165" i="3"/>
  <c r="K1165" i="3" s="1"/>
  <c r="J1165" i="3" s="1"/>
  <c r="G1415" i="3"/>
  <c r="H1661" i="3"/>
  <c r="H1534" i="3"/>
  <c r="I1267" i="3"/>
  <c r="B1415" i="3"/>
  <c r="C1415" i="3" s="1"/>
  <c r="G1661" i="3"/>
  <c r="I1661" i="3"/>
  <c r="F1447" i="3"/>
  <c r="K1447" i="3" s="1"/>
  <c r="F2539" i="3"/>
  <c r="K2539" i="3" s="1"/>
  <c r="J1729" i="3"/>
  <c r="F1597" i="3"/>
  <c r="K1597" i="3" s="1"/>
  <c r="B1435" i="3"/>
  <c r="C1435" i="3" s="1"/>
  <c r="J2048" i="3"/>
  <c r="B1134" i="3"/>
  <c r="C1134" i="3" s="1"/>
  <c r="F1435" i="3"/>
  <c r="K1435" i="3" s="1"/>
  <c r="H1956" i="3"/>
  <c r="G1597" i="3"/>
  <c r="I1564" i="3"/>
  <c r="F1134" i="3"/>
  <c r="K1134" i="3" s="1"/>
  <c r="J1134" i="3" s="1"/>
  <c r="I2187" i="3"/>
  <c r="B1558" i="3"/>
  <c r="C1558" i="3" s="1"/>
  <c r="G1180" i="3"/>
  <c r="F1904" i="3"/>
  <c r="K1904" i="3" s="1"/>
  <c r="J1776" i="3"/>
  <c r="F2001" i="3"/>
  <c r="K2001" i="3" s="1"/>
  <c r="B2661" i="3"/>
  <c r="C2661" i="3" s="1"/>
  <c r="H2001" i="3"/>
  <c r="H2661" i="3"/>
  <c r="G1134" i="3"/>
  <c r="G1559" i="3"/>
  <c r="I1786" i="3"/>
  <c r="F1558" i="3"/>
  <c r="K1558" i="3" s="1"/>
  <c r="G2019" i="3"/>
  <c r="F2044" i="3"/>
  <c r="K2044" i="3" s="1"/>
  <c r="G2001" i="3"/>
  <c r="H1328" i="3"/>
  <c r="B1786" i="3"/>
  <c r="C1786" i="3" s="1"/>
  <c r="G1558" i="3"/>
  <c r="F2249" i="3"/>
  <c r="K2249" i="3" s="1"/>
  <c r="G1963" i="3"/>
  <c r="F1650" i="3"/>
  <c r="K1650" i="3" s="1"/>
  <c r="G1650" i="3"/>
  <c r="F1786" i="3"/>
  <c r="K1786" i="3" s="1"/>
  <c r="J1558" i="3"/>
  <c r="I1650" i="3"/>
  <c r="F1328" i="3"/>
  <c r="K1328" i="3" s="1"/>
  <c r="I1336" i="3"/>
  <c r="H1971" i="3"/>
  <c r="H2504" i="3"/>
  <c r="H1559" i="3"/>
  <c r="G1275" i="3"/>
  <c r="J1920" i="3"/>
  <c r="F1920" i="3"/>
  <c r="K1920" i="3" s="1"/>
  <c r="I1134" i="3"/>
  <c r="G2344" i="3"/>
  <c r="G1985" i="3"/>
  <c r="F1275" i="3"/>
  <c r="K1275" i="3" s="1"/>
  <c r="H2019" i="3"/>
  <c r="B1729" i="3"/>
  <c r="C1729" i="3" s="1"/>
  <c r="H1729" i="3"/>
  <c r="I1180" i="3"/>
  <c r="G2277" i="3"/>
  <c r="F1657" i="3"/>
  <c r="K1657" i="3" s="1"/>
  <c r="G1523" i="3"/>
  <c r="G2866" i="3"/>
  <c r="H2277" i="3"/>
  <c r="B1853" i="3"/>
  <c r="C1853" i="3" s="1"/>
  <c r="F2655" i="3"/>
  <c r="K2655" i="3" s="1"/>
  <c r="J2342" i="3"/>
  <c r="J2188" i="3"/>
  <c r="I2216" i="3"/>
  <c r="K2201" i="3"/>
  <c r="H1853" i="3"/>
  <c r="I2342" i="3"/>
  <c r="H2258" i="3"/>
  <c r="J1853" i="3"/>
  <c r="G1277" i="3"/>
  <c r="F2309" i="3"/>
  <c r="K2309" i="3" s="1"/>
  <c r="G1848" i="3"/>
  <c r="F1581" i="3"/>
  <c r="K1581" i="3" s="1"/>
  <c r="H1277" i="3"/>
  <c r="H2188" i="3"/>
  <c r="J1859" i="3"/>
  <c r="H1820" i="3"/>
  <c r="K1859" i="3"/>
  <c r="B3068" i="3"/>
  <c r="C3068" i="3" s="1"/>
  <c r="B2192" i="3"/>
  <c r="C2192" i="3" s="1"/>
  <c r="G1828" i="3"/>
  <c r="J1950" i="3"/>
  <c r="H1911" i="3"/>
  <c r="I1739" i="3"/>
  <c r="B2309" i="3"/>
  <c r="C2309" i="3" s="1"/>
  <c r="H2201" i="3"/>
  <c r="J1911" i="3"/>
  <c r="G2547" i="3"/>
  <c r="I2866" i="3"/>
  <c r="I2201" i="3"/>
  <c r="F1820" i="3"/>
  <c r="K1820" i="3" s="1"/>
  <c r="H2866" i="3"/>
  <c r="J2192" i="3"/>
  <c r="F2216" i="3"/>
  <c r="K2216" i="3" s="1"/>
  <c r="J2201" i="3"/>
  <c r="B1277" i="3"/>
  <c r="C1277" i="3" s="1"/>
  <c r="G1581" i="3"/>
  <c r="F2866" i="3"/>
  <c r="K2866" i="3" s="1"/>
  <c r="H2192" i="3"/>
  <c r="B1572" i="3"/>
  <c r="C1572" i="3" s="1"/>
  <c r="H2547" i="3"/>
  <c r="B2866" i="3"/>
  <c r="C2866" i="3" s="1"/>
  <c r="I2188" i="3"/>
  <c r="G2188" i="3"/>
  <c r="H1859" i="3"/>
  <c r="H1948" i="3"/>
  <c r="G1948" i="3"/>
  <c r="G2811" i="3"/>
  <c r="F2547" i="3"/>
  <c r="K2547" i="3" s="1"/>
  <c r="G2201" i="3"/>
  <c r="I1948" i="3"/>
  <c r="F1885" i="3"/>
  <c r="K1885" i="3" s="1"/>
  <c r="H1828" i="3"/>
  <c r="G2258" i="3"/>
  <c r="I2547" i="3"/>
  <c r="G1657" i="3"/>
  <c r="F1151" i="3"/>
  <c r="J1581" i="3"/>
  <c r="F1523" i="3"/>
  <c r="K1523" i="3" s="1"/>
  <c r="G2655" i="3"/>
  <c r="I3062" i="3"/>
  <c r="F2900" i="3"/>
  <c r="K2900" i="3" s="1"/>
  <c r="B2277" i="3"/>
  <c r="C2277" i="3" s="1"/>
  <c r="G1670" i="3"/>
  <c r="F1883" i="3"/>
  <c r="K1883" i="3" s="1"/>
  <c r="I1581" i="3"/>
  <c r="I1277" i="3"/>
  <c r="I1859" i="3"/>
  <c r="F2258" i="3"/>
  <c r="K2258" i="3" s="1"/>
  <c r="H1670" i="3"/>
  <c r="F1409" i="3"/>
  <c r="K1409" i="3" s="1"/>
  <c r="B1361" i="3"/>
  <c r="C1361" i="3" s="1"/>
  <c r="J1611" i="3"/>
  <c r="G1611" i="3"/>
  <c r="F1941" i="3"/>
  <c r="K1941" i="3" s="1"/>
  <c r="J2539" i="3"/>
  <c r="F2313" i="3"/>
  <c r="K2313" i="3" s="1"/>
  <c r="F2175" i="3"/>
  <c r="K2175" i="3" s="1"/>
  <c r="G1361" i="3"/>
  <c r="B1611" i="3"/>
  <c r="C1611" i="3" s="1"/>
  <c r="G1941" i="3"/>
  <c r="G1201" i="3"/>
  <c r="I1611" i="3"/>
  <c r="H1353" i="3"/>
  <c r="J1941" i="3"/>
  <c r="I2539" i="3"/>
  <c r="I1588" i="3"/>
  <c r="F1361" i="3"/>
  <c r="K1361" i="3" s="1"/>
  <c r="H2486" i="3"/>
  <c r="F2527" i="3"/>
  <c r="K2527" i="3" s="1"/>
  <c r="J2629" i="3"/>
  <c r="F1460" i="3"/>
  <c r="K1460" i="3" s="1"/>
  <c r="G1616" i="3"/>
  <c r="H1662" i="3"/>
  <c r="B1758" i="3"/>
  <c r="C1758" i="3" s="1"/>
  <c r="H2791" i="3"/>
  <c r="I1616" i="3"/>
  <c r="J1317" i="3"/>
  <c r="G1317" i="3"/>
  <c r="I1844" i="3"/>
  <c r="J1357" i="3"/>
  <c r="I1357" i="3"/>
  <c r="G2386" i="3"/>
  <c r="G2645" i="3"/>
  <c r="G1992" i="3"/>
  <c r="H1941" i="3"/>
  <c r="H1357" i="3"/>
  <c r="J1422" i="3"/>
  <c r="B1615" i="3"/>
  <c r="C1615" i="3" s="1"/>
  <c r="J1615" i="3"/>
  <c r="I1941" i="3"/>
  <c r="K1317" i="3"/>
  <c r="H1317" i="3"/>
  <c r="J2310" i="3"/>
  <c r="H2266" i="3"/>
  <c r="G2006" i="3"/>
  <c r="B2480" i="3"/>
  <c r="C2480" i="3" s="1"/>
  <c r="B2310" i="3"/>
  <c r="C2310" i="3" s="1"/>
  <c r="G2731" i="3"/>
  <c r="F1353" i="3"/>
  <c r="K1353" i="3" s="1"/>
  <c r="J2480" i="3"/>
  <c r="G1437" i="3"/>
  <c r="I2313" i="3"/>
  <c r="B1598" i="3"/>
  <c r="C1598" i="3" s="1"/>
  <c r="J1631" i="3"/>
  <c r="J1791" i="3"/>
  <c r="H2629" i="3"/>
  <c r="B2596" i="3"/>
  <c r="C2596" i="3" s="1"/>
  <c r="J2465" i="3"/>
  <c r="K2007" i="3"/>
  <c r="B1458" i="3"/>
  <c r="C1458" i="3" s="1"/>
  <c r="H1970" i="3"/>
  <c r="I1898" i="3"/>
  <c r="B2956" i="3"/>
  <c r="C2956" i="3" s="1"/>
  <c r="G2311" i="3"/>
  <c r="G2251" i="3"/>
  <c r="I2029" i="3"/>
  <c r="J1898" i="3"/>
  <c r="H2000" i="3"/>
  <c r="I1970" i="3"/>
  <c r="B1815" i="3"/>
  <c r="C1815" i="3" s="1"/>
  <c r="F1895" i="3"/>
  <c r="K1895" i="3" s="1"/>
  <c r="J1754" i="3"/>
  <c r="H1358" i="3"/>
  <c r="H1458" i="3"/>
  <c r="K1458" i="3"/>
  <c r="B1174" i="3"/>
  <c r="C1174" i="3" s="1"/>
  <c r="G1287" i="3"/>
  <c r="B1521" i="3"/>
  <c r="C1521" i="3" s="1"/>
  <c r="F1189" i="3"/>
  <c r="G1594" i="3"/>
  <c r="B1070" i="3"/>
  <c r="C1070" i="3" s="1"/>
  <c r="H1454" i="3"/>
  <c r="F1104" i="3"/>
  <c r="K1104" i="3" s="1"/>
  <c r="J1104" i="3" s="1"/>
  <c r="H1288" i="3"/>
  <c r="J1442" i="3"/>
  <c r="F1673" i="3"/>
  <c r="K1673" i="3" s="1"/>
  <c r="F1537" i="3"/>
  <c r="K1537" i="3" s="1"/>
  <c r="B2540" i="3"/>
  <c r="C2540" i="3" s="1"/>
  <c r="J2496" i="3"/>
  <c r="G2007" i="3"/>
  <c r="H2251" i="3"/>
  <c r="F2027" i="3"/>
  <c r="K2027" i="3" s="1"/>
  <c r="I2000" i="3"/>
  <c r="G1970" i="3"/>
  <c r="B1993" i="3"/>
  <c r="C1993" i="3" s="1"/>
  <c r="F1639" i="3"/>
  <c r="K1639" i="3" s="1"/>
  <c r="B1654" i="3"/>
  <c r="C1654" i="3" s="1"/>
  <c r="F1561" i="3"/>
  <c r="K1561" i="3" s="1"/>
  <c r="I1637" i="3"/>
  <c r="G1391" i="3"/>
  <c r="F1521" i="3"/>
  <c r="K1521" i="3" s="1"/>
  <c r="B2515" i="3"/>
  <c r="C2515" i="3" s="1"/>
  <c r="J1580" i="3"/>
  <c r="B1580" i="3"/>
  <c r="C1580" i="3" s="1"/>
  <c r="H1783" i="3"/>
  <c r="G1454" i="3"/>
  <c r="G1080" i="3"/>
  <c r="J1526" i="3"/>
  <c r="H2665" i="3"/>
  <c r="J2107" i="3"/>
  <c r="F1961" i="3"/>
  <c r="K1961" i="3" s="1"/>
  <c r="G1915" i="3"/>
  <c r="F2025" i="3"/>
  <c r="K2025" i="3" s="1"/>
  <c r="I1993" i="3"/>
  <c r="I1943" i="3"/>
  <c r="F1288" i="3"/>
  <c r="K1288" i="3" s="1"/>
  <c r="H1521" i="3"/>
  <c r="F1548" i="3"/>
  <c r="K1548" i="3" s="1"/>
  <c r="B1842" i="3"/>
  <c r="C1842" i="3" s="1"/>
  <c r="I1442" i="3"/>
  <c r="F1917" i="3"/>
  <c r="K1917" i="3" s="1"/>
  <c r="J2090" i="3"/>
  <c r="H1988" i="3"/>
  <c r="I2107" i="3"/>
  <c r="H2007" i="3"/>
  <c r="F2069" i="3"/>
  <c r="K2069" i="3" s="1"/>
  <c r="I1961" i="3"/>
  <c r="F1898" i="3"/>
  <c r="K1898" i="3" s="1"/>
  <c r="J1993" i="3"/>
  <c r="G1943" i="3"/>
  <c r="B1902" i="3"/>
  <c r="C1902" i="3" s="1"/>
  <c r="H1610" i="3"/>
  <c r="H1495" i="3"/>
  <c r="I1232" i="3"/>
  <c r="H1341" i="3"/>
  <c r="H1287" i="3"/>
  <c r="B2463" i="3"/>
  <c r="C2463" i="3" s="1"/>
  <c r="B2307" i="3"/>
  <c r="C2307" i="3" s="1"/>
  <c r="F1842" i="3"/>
  <c r="K1842" i="3" s="1"/>
  <c r="G1164" i="3"/>
  <c r="B1917" i="3"/>
  <c r="C1917" i="3" s="1"/>
  <c r="B1652" i="3"/>
  <c r="C1652" i="3" s="1"/>
  <c r="G2515" i="3"/>
  <c r="G2551" i="3"/>
  <c r="H1961" i="3"/>
  <c r="I1895" i="3"/>
  <c r="I1988" i="3"/>
  <c r="B1639" i="3"/>
  <c r="C1639" i="3" s="1"/>
  <c r="J1614" i="3"/>
  <c r="J1622" i="3"/>
  <c r="F1902" i="3"/>
  <c r="K1902" i="3" s="1"/>
  <c r="F1637" i="3"/>
  <c r="K1637" i="3" s="1"/>
  <c r="I1286" i="3"/>
  <c r="G1157" i="3"/>
  <c r="G1189" i="3"/>
  <c r="G1842" i="3"/>
  <c r="J1355" i="3"/>
  <c r="H1917" i="3"/>
  <c r="H1537" i="3"/>
  <c r="H2496" i="3"/>
  <c r="H2551" i="3"/>
  <c r="B1988" i="3"/>
  <c r="C1988" i="3" s="1"/>
  <c r="G1815" i="3"/>
  <c r="H1915" i="3"/>
  <c r="F1929" i="3"/>
  <c r="K1929" i="3" s="1"/>
  <c r="G1902" i="3"/>
  <c r="J1272" i="3"/>
  <c r="H1429" i="3"/>
  <c r="I1272" i="3"/>
  <c r="J1458" i="3"/>
  <c r="J1287" i="3"/>
  <c r="J1842" i="3"/>
  <c r="J2197" i="3"/>
  <c r="J2928" i="3"/>
  <c r="F2463" i="3"/>
  <c r="K2463" i="3" s="1"/>
  <c r="J1970" i="3"/>
  <c r="J1895" i="3"/>
  <c r="F2037" i="3"/>
  <c r="K2037" i="3" s="1"/>
  <c r="G1929" i="3"/>
  <c r="B1928" i="3"/>
  <c r="C1928" i="3" s="1"/>
  <c r="H1902" i="3"/>
  <c r="J1429" i="3"/>
  <c r="I1429" i="3"/>
  <c r="F1652" i="3"/>
  <c r="K1652" i="3" s="1"/>
  <c r="H1104" i="3"/>
  <c r="I1842" i="3"/>
  <c r="G1410" i="3"/>
  <c r="J1637" i="3"/>
  <c r="J1815" i="3"/>
  <c r="F1454" i="3"/>
  <c r="K1454" i="3" s="1"/>
  <c r="F2307" i="3"/>
  <c r="K2307" i="3" s="1"/>
  <c r="J2551" i="3"/>
  <c r="I2199" i="3"/>
  <c r="H1987" i="3"/>
  <c r="J1961" i="3"/>
  <c r="G2037" i="3"/>
  <c r="B1898" i="3"/>
  <c r="C1898" i="3" s="1"/>
  <c r="H1929" i="3"/>
  <c r="I1614" i="3"/>
  <c r="J1902" i="3"/>
  <c r="I1537" i="3"/>
  <c r="I1358" i="3"/>
  <c r="J1495" i="3"/>
  <c r="F1157" i="3"/>
  <c r="K1157" i="3" s="1"/>
  <c r="J1157" i="3" s="1"/>
  <c r="F1232" i="3"/>
  <c r="K1232" i="3" s="1"/>
  <c r="J1232" i="3" s="1"/>
  <c r="F1255" i="3"/>
  <c r="K1255" i="3" s="1"/>
  <c r="I2069" i="3"/>
  <c r="F1805" i="3"/>
  <c r="K1805" i="3" s="1"/>
  <c r="F1442" i="3"/>
  <c r="K1442" i="3" s="1"/>
  <c r="B1637" i="3"/>
  <c r="C1637" i="3" s="1"/>
  <c r="B1108" i="3"/>
  <c r="C1108" i="3" s="1"/>
  <c r="H1272" i="3"/>
  <c r="B2496" i="3"/>
  <c r="C2496" i="3" s="1"/>
  <c r="I2037" i="3"/>
  <c r="G1895" i="3"/>
  <c r="J1929" i="3"/>
  <c r="I1610" i="3"/>
  <c r="B1542" i="3"/>
  <c r="C1542" i="3" s="1"/>
  <c r="J1288" i="3"/>
  <c r="B1495" i="3"/>
  <c r="C1495" i="3" s="1"/>
  <c r="B1157" i="3"/>
  <c r="C1157" i="3" s="1"/>
  <c r="G1355" i="3"/>
  <c r="G1805" i="3"/>
  <c r="H1164" i="3"/>
  <c r="G1526" i="3"/>
  <c r="J2684" i="3"/>
  <c r="K2496" i="3"/>
  <c r="I2496" i="3"/>
  <c r="H2463" i="3"/>
  <c r="G2463" i="3"/>
  <c r="I2007" i="3"/>
  <c r="J2037" i="3"/>
  <c r="F1915" i="3"/>
  <c r="K1915" i="3" s="1"/>
  <c r="I1881" i="3"/>
  <c r="I1511" i="3"/>
  <c r="F1542" i="3"/>
  <c r="K1542" i="3" s="1"/>
  <c r="G1286" i="3"/>
  <c r="H1108" i="3"/>
  <c r="I1288" i="3"/>
  <c r="F1495" i="3"/>
  <c r="K1495" i="3" s="1"/>
  <c r="F1194" i="3"/>
  <c r="I1391" i="3"/>
  <c r="B1548" i="3"/>
  <c r="C1548" i="3" s="1"/>
  <c r="B1805" i="3"/>
  <c r="C1805" i="3" s="1"/>
  <c r="H1805" i="3"/>
  <c r="G1442" i="3"/>
  <c r="G1537" i="3"/>
  <c r="J2353" i="3"/>
  <c r="J2007" i="3"/>
  <c r="B2107" i="3"/>
  <c r="C2107" i="3" s="1"/>
  <c r="F2199" i="3"/>
  <c r="K2199" i="3" s="1"/>
  <c r="G2174" i="3"/>
  <c r="B2037" i="3"/>
  <c r="C2037" i="3" s="1"/>
  <c r="H1895" i="3"/>
  <c r="G1917" i="3"/>
  <c r="H1614" i="3"/>
  <c r="H1637" i="3"/>
  <c r="G1542" i="3"/>
  <c r="F1286" i="3"/>
  <c r="K1286" i="3" s="1"/>
  <c r="F1358" i="3"/>
  <c r="K1358" i="3" s="1"/>
  <c r="G1495" i="3"/>
  <c r="H1391" i="3"/>
  <c r="J1521" i="3"/>
  <c r="G1069" i="3"/>
  <c r="G1070" i="3"/>
  <c r="I2333" i="3"/>
  <c r="I1548" i="3"/>
  <c r="J1805" i="3"/>
  <c r="B1442" i="3"/>
  <c r="C1442" i="3" s="1"/>
  <c r="B2587" i="3"/>
  <c r="C2587" i="3" s="1"/>
  <c r="I2251" i="3"/>
  <c r="J2096" i="3"/>
  <c r="I1929" i="3"/>
  <c r="G1881" i="3"/>
  <c r="B1610" i="3"/>
  <c r="C1610" i="3" s="1"/>
  <c r="B1978" i="3"/>
  <c r="C1978" i="3" s="1"/>
  <c r="B1614" i="3"/>
  <c r="C1614" i="3" s="1"/>
  <c r="B1561" i="3"/>
  <c r="C1561" i="3" s="1"/>
  <c r="B1505" i="3"/>
  <c r="C1505" i="3" s="1"/>
  <c r="H1542" i="3"/>
  <c r="G1272" i="3"/>
  <c r="I1454" i="3"/>
  <c r="B1288" i="3"/>
  <c r="C1288" i="3" s="1"/>
  <c r="F1754" i="3"/>
  <c r="K1754" i="3" s="1"/>
  <c r="F1287" i="3"/>
  <c r="K1287" i="3" s="1"/>
  <c r="J2463" i="3"/>
  <c r="F1580" i="3"/>
  <c r="K1580" i="3" s="1"/>
  <c r="I1104" i="3"/>
  <c r="H1639" i="3"/>
  <c r="H1754" i="3"/>
  <c r="H1993" i="3"/>
  <c r="J1652" i="3"/>
  <c r="I2587" i="3"/>
  <c r="H2410" i="3"/>
  <c r="G2410" i="3"/>
  <c r="F1993" i="3"/>
  <c r="K1993" i="3" s="1"/>
  <c r="J1978" i="3"/>
  <c r="I1542" i="3"/>
  <c r="F1174" i="3"/>
  <c r="G2362" i="3"/>
  <c r="B2197" i="3"/>
  <c r="C2197" i="3" s="1"/>
  <c r="B2000" i="3"/>
  <c r="C2000" i="3" s="1"/>
  <c r="F1978" i="3"/>
  <c r="K1978" i="3" s="1"/>
  <c r="J1358" i="3"/>
  <c r="F1272" i="3"/>
  <c r="K1272" i="3" s="1"/>
  <c r="I1373" i="3"/>
  <c r="I1639" i="3"/>
  <c r="F1164" i="3"/>
  <c r="K1164" i="3" s="1"/>
  <c r="J1164" i="3" s="1"/>
  <c r="H1526" i="3"/>
  <c r="F1526" i="3"/>
  <c r="K1526" i="3" s="1"/>
  <c r="I1194" i="3"/>
  <c r="F1943" i="3"/>
  <c r="K1943" i="3" s="1"/>
  <c r="F2355" i="3"/>
  <c r="K2355" i="3" s="1"/>
  <c r="B2410" i="3"/>
  <c r="C2410" i="3" s="1"/>
  <c r="G2107" i="3"/>
  <c r="B1927" i="3"/>
  <c r="C1927" i="3" s="1"/>
  <c r="B1915" i="3"/>
  <c r="C1915" i="3" s="1"/>
  <c r="F1825" i="3"/>
  <c r="K1825" i="3" s="1"/>
  <c r="H1978" i="3"/>
  <c r="J1511" i="3"/>
  <c r="G1358" i="3"/>
  <c r="G1108" i="3"/>
  <c r="H1373" i="3"/>
  <c r="H1866" i="3"/>
  <c r="F1080" i="3"/>
  <c r="K1080" i="3" s="1"/>
  <c r="J1080" i="3" s="1"/>
  <c r="B1080" i="3"/>
  <c r="C1080" i="3" s="1"/>
  <c r="I1505" i="3"/>
  <c r="J1505" i="3"/>
  <c r="K1429" i="3"/>
  <c r="B1164" i="3"/>
  <c r="C1164" i="3" s="1"/>
  <c r="K2353" i="3"/>
  <c r="F1927" i="3"/>
  <c r="K1927" i="3" s="1"/>
  <c r="H1673" i="3"/>
  <c r="I1815" i="3"/>
  <c r="B1429" i="3"/>
  <c r="C1429" i="3" s="1"/>
  <c r="B1511" i="3"/>
  <c r="C1511" i="3" s="1"/>
  <c r="G1194" i="3"/>
  <c r="B1194" i="3"/>
  <c r="C1194" i="3" s="1"/>
  <c r="F1373" i="3"/>
  <c r="K1373" i="3" s="1"/>
  <c r="J2307" i="3"/>
  <c r="H1505" i="3"/>
  <c r="I1164" i="3"/>
  <c r="F2744" i="3"/>
  <c r="K2744" i="3" s="1"/>
  <c r="I2645" i="3"/>
  <c r="H2098" i="3"/>
  <c r="I2742" i="3"/>
  <c r="I2735" i="3"/>
  <c r="H2645" i="3"/>
  <c r="G2402" i="3"/>
  <c r="F2464" i="3"/>
  <c r="K2464" i="3" s="1"/>
  <c r="J2170" i="3"/>
  <c r="B1861" i="3"/>
  <c r="C1861" i="3" s="1"/>
  <c r="F1863" i="3"/>
  <c r="K1863" i="3" s="1"/>
  <c r="H1913" i="3"/>
  <c r="B1591" i="3"/>
  <c r="C1591" i="3" s="1"/>
  <c r="J1400" i="3"/>
  <c r="I1119" i="3"/>
  <c r="I1440" i="3"/>
  <c r="G1457" i="3"/>
  <c r="B1386" i="3"/>
  <c r="C1386" i="3" s="1"/>
  <c r="H1368" i="3"/>
  <c r="G2104" i="3"/>
  <c r="J1591" i="3"/>
  <c r="B1736" i="3"/>
  <c r="C1736" i="3" s="1"/>
  <c r="J1736" i="3"/>
  <c r="B1512" i="3"/>
  <c r="C1512" i="3" s="1"/>
  <c r="F1182" i="3"/>
  <c r="B1354" i="3"/>
  <c r="C1354" i="3" s="1"/>
  <c r="B1201" i="3"/>
  <c r="C1201" i="3" s="1"/>
  <c r="G1115" i="3"/>
  <c r="I1251" i="3"/>
  <c r="F1440" i="3"/>
  <c r="K1440" i="3" s="1"/>
  <c r="B1445" i="3"/>
  <c r="C1445" i="3" s="1"/>
  <c r="F1457" i="3"/>
  <c r="K1457" i="3" s="1"/>
  <c r="F2104" i="3"/>
  <c r="K2104" i="3" s="1"/>
  <c r="H1600" i="3"/>
  <c r="H1591" i="3"/>
  <c r="G1479" i="3"/>
  <c r="F1736" i="3"/>
  <c r="K1736" i="3" s="1"/>
  <c r="B1205" i="3"/>
  <c r="C1205" i="3" s="1"/>
  <c r="H1512" i="3"/>
  <c r="B1139" i="3"/>
  <c r="C1139" i="3" s="1"/>
  <c r="F1401" i="3"/>
  <c r="K1401" i="3" s="1"/>
  <c r="H2743" i="3"/>
  <c r="I2662" i="3"/>
  <c r="J2624" i="3"/>
  <c r="I2050" i="3"/>
  <c r="K2119" i="3"/>
  <c r="B1834" i="3"/>
  <c r="C1834" i="3" s="1"/>
  <c r="I1863" i="3"/>
  <c r="G1126" i="3"/>
  <c r="B1437" i="3"/>
  <c r="C1437" i="3" s="1"/>
  <c r="F1197" i="3"/>
  <c r="F1445" i="3"/>
  <c r="K1445" i="3" s="1"/>
  <c r="H1457" i="3"/>
  <c r="F2530" i="3"/>
  <c r="K2530" i="3" s="1"/>
  <c r="G2069" i="3"/>
  <c r="I2148" i="3"/>
  <c r="G1130" i="3"/>
  <c r="J1512" i="3"/>
  <c r="J1795" i="3"/>
  <c r="G1162" i="3"/>
  <c r="B1566" i="3"/>
  <c r="C1566" i="3" s="1"/>
  <c r="B1344" i="3"/>
  <c r="C1344" i="3" s="1"/>
  <c r="I2098" i="3"/>
  <c r="H1400" i="3"/>
  <c r="K1625" i="3"/>
  <c r="H2742" i="3"/>
  <c r="I2743" i="3"/>
  <c r="F2537" i="3"/>
  <c r="K2537" i="3" s="1"/>
  <c r="F2751" i="3"/>
  <c r="K2751" i="3" s="1"/>
  <c r="G2054" i="3"/>
  <c r="G2119" i="3"/>
  <c r="I2170" i="3"/>
  <c r="H1863" i="3"/>
  <c r="I1834" i="3"/>
  <c r="I1659" i="3"/>
  <c r="I1457" i="3"/>
  <c r="I1401" i="3"/>
  <c r="H1354" i="3"/>
  <c r="F2510" i="3"/>
  <c r="K2510" i="3" s="1"/>
  <c r="H1946" i="3"/>
  <c r="G1785" i="3"/>
  <c r="G1512" i="3"/>
  <c r="F1139" i="3"/>
  <c r="I1512" i="3"/>
  <c r="G1795" i="3"/>
  <c r="B1549" i="3"/>
  <c r="C1549" i="3" s="1"/>
  <c r="G2662" i="3"/>
  <c r="G2617" i="3"/>
  <c r="H2558" i="3"/>
  <c r="I2357" i="3"/>
  <c r="H2537" i="3"/>
  <c r="B2624" i="3"/>
  <c r="C2624" i="3" s="1"/>
  <c r="B2751" i="3"/>
  <c r="C2751" i="3" s="1"/>
  <c r="H2033" i="3"/>
  <c r="B2404" i="3"/>
  <c r="C2404" i="3" s="1"/>
  <c r="B1901" i="3"/>
  <c r="C1901" i="3" s="1"/>
  <c r="F1872" i="3"/>
  <c r="K1872" i="3" s="1"/>
  <c r="I1827" i="3"/>
  <c r="F1115" i="3"/>
  <c r="O973" i="2" s="1"/>
  <c r="P973" i="2" s="1"/>
  <c r="Q973" i="2" s="1"/>
  <c r="B1440" i="3"/>
  <c r="C1440" i="3" s="1"/>
  <c r="B1400" i="3"/>
  <c r="C1400" i="3" s="1"/>
  <c r="B1457" i="3"/>
  <c r="C1457" i="3" s="1"/>
  <c r="G1219" i="3"/>
  <c r="I1795" i="3"/>
  <c r="B1540" i="3"/>
  <c r="C1540" i="3" s="1"/>
  <c r="B1439" i="3"/>
  <c r="C1439" i="3" s="1"/>
  <c r="H2744" i="3"/>
  <c r="J2645" i="3"/>
  <c r="H2262" i="3"/>
  <c r="B2119" i="3"/>
  <c r="C2119" i="3" s="1"/>
  <c r="B1401" i="3"/>
  <c r="C1401" i="3" s="1"/>
  <c r="H1251" i="3"/>
  <c r="H2557" i="3"/>
  <c r="H2328" i="3"/>
  <c r="J2402" i="3"/>
  <c r="I2558" i="3"/>
  <c r="J2537" i="3"/>
  <c r="F2624" i="3"/>
  <c r="K2624" i="3" s="1"/>
  <c r="G2624" i="3"/>
  <c r="G2751" i="3"/>
  <c r="F2054" i="3"/>
  <c r="K2054" i="3" s="1"/>
  <c r="F2404" i="3"/>
  <c r="K2404" i="3" s="1"/>
  <c r="G2170" i="3"/>
  <c r="B1863" i="3"/>
  <c r="C1863" i="3" s="1"/>
  <c r="J1827" i="3"/>
  <c r="H1834" i="3"/>
  <c r="I1625" i="3"/>
  <c r="B1701" i="3"/>
  <c r="C1701" i="3" s="1"/>
  <c r="J1525" i="3"/>
  <c r="B1368" i="3"/>
  <c r="C1368" i="3" s="1"/>
  <c r="F1251" i="3"/>
  <c r="K1251" i="3" s="1"/>
  <c r="I1400" i="3"/>
  <c r="H1439" i="3"/>
  <c r="I1368" i="3"/>
  <c r="I2306" i="3"/>
  <c r="J2510" i="3"/>
  <c r="B1960" i="3"/>
  <c r="C1960" i="3" s="1"/>
  <c r="H1525" i="3"/>
  <c r="F1718" i="3"/>
  <c r="K1718" i="3" s="1"/>
  <c r="H1236" i="3"/>
  <c r="G1205" i="3"/>
  <c r="B1312" i="3"/>
  <c r="C1312" i="3" s="1"/>
  <c r="I1566" i="3"/>
  <c r="I1344" i="3"/>
  <c r="G1863" i="3"/>
  <c r="I1201" i="3"/>
  <c r="G2743" i="3"/>
  <c r="I1900" i="3"/>
  <c r="H2835" i="3"/>
  <c r="I2543" i="3"/>
  <c r="H2624" i="3"/>
  <c r="I2751" i="3"/>
  <c r="G2033" i="3"/>
  <c r="G2098" i="3"/>
  <c r="G2404" i="3"/>
  <c r="H2170" i="3"/>
  <c r="J2050" i="3"/>
  <c r="H1999" i="3"/>
  <c r="H1827" i="3"/>
  <c r="F1659" i="3"/>
  <c r="K1659" i="3" s="1"/>
  <c r="I1335" i="3"/>
  <c r="B1479" i="3"/>
  <c r="C1479" i="3" s="1"/>
  <c r="G1400" i="3"/>
  <c r="G1557" i="3"/>
  <c r="B2148" i="3"/>
  <c r="C2148" i="3" s="1"/>
  <c r="J1549" i="3"/>
  <c r="H1718" i="3"/>
  <c r="H1540" i="3"/>
  <c r="H1344" i="3"/>
  <c r="J2148" i="3"/>
  <c r="I2674" i="3"/>
  <c r="B2464" i="3"/>
  <c r="C2464" i="3" s="1"/>
  <c r="J2751" i="3"/>
  <c r="F2098" i="3"/>
  <c r="K2098" i="3" s="1"/>
  <c r="I2404" i="3"/>
  <c r="I1817" i="3"/>
  <c r="H1817" i="3"/>
  <c r="H1890" i="3"/>
  <c r="G1827" i="3"/>
  <c r="J1625" i="3"/>
  <c r="H1625" i="3"/>
  <c r="G1659" i="3"/>
  <c r="J1600" i="3"/>
  <c r="F1335" i="3"/>
  <c r="K1335" i="3" s="1"/>
  <c r="I1219" i="3"/>
  <c r="F1437" i="3"/>
  <c r="K1437" i="3" s="1"/>
  <c r="H1557" i="3"/>
  <c r="J2104" i="3"/>
  <c r="I1540" i="3"/>
  <c r="G1386" i="3"/>
  <c r="H1205" i="3"/>
  <c r="I1236" i="3"/>
  <c r="G1236" i="3"/>
  <c r="J2404" i="3"/>
  <c r="H2148" i="3"/>
  <c r="B1792" i="3"/>
  <c r="C1792" i="3" s="1"/>
  <c r="F1598" i="3"/>
  <c r="K1598" i="3" s="1"/>
  <c r="H1335" i="3"/>
  <c r="H1437" i="3"/>
  <c r="B2530" i="3"/>
  <c r="C2530" i="3" s="1"/>
  <c r="I2510" i="3"/>
  <c r="G2383" i="3"/>
  <c r="G1946" i="3"/>
  <c r="F1372" i="3"/>
  <c r="K1372" i="3" s="1"/>
  <c r="F1130" i="3"/>
  <c r="K1130" i="3" s="1"/>
  <c r="J1130" i="3" s="1"/>
  <c r="F1162" i="3"/>
  <c r="B1126" i="3"/>
  <c r="C1126" i="3" s="1"/>
  <c r="F2662" i="3"/>
  <c r="K2662" i="3" s="1"/>
  <c r="F2549" i="3"/>
  <c r="K2549" i="3" s="1"/>
  <c r="G2464" i="3"/>
  <c r="F2357" i="3"/>
  <c r="K2357" i="3" s="1"/>
  <c r="G1625" i="3"/>
  <c r="I1437" i="3"/>
  <c r="J1372" i="3"/>
  <c r="J1344" i="3"/>
  <c r="H2306" i="3"/>
  <c r="B2510" i="3"/>
  <c r="C2510" i="3" s="1"/>
  <c r="H2104" i="3"/>
  <c r="F1479" i="3"/>
  <c r="K1479" i="3" s="1"/>
  <c r="G1354" i="3"/>
  <c r="F2835" i="3"/>
  <c r="K2835" i="3" s="1"/>
  <c r="H2357" i="3"/>
  <c r="G2598" i="3"/>
  <c r="B2549" i="3"/>
  <c r="C2549" i="3" s="1"/>
  <c r="B2673" i="3"/>
  <c r="C2673" i="3" s="1"/>
  <c r="H2402" i="3"/>
  <c r="B2402" i="3"/>
  <c r="C2402" i="3" s="1"/>
  <c r="F1797" i="3"/>
  <c r="K1797" i="3" s="1"/>
  <c r="F1525" i="3"/>
  <c r="K1525" i="3" s="1"/>
  <c r="B1578" i="3"/>
  <c r="C1578" i="3" s="1"/>
  <c r="H1186" i="3"/>
  <c r="H1171" i="3"/>
  <c r="I2002" i="3"/>
  <c r="B1625" i="3"/>
  <c r="C1625" i="3" s="1"/>
  <c r="F1219" i="3"/>
  <c r="I1479" i="3"/>
  <c r="J1566" i="3"/>
  <c r="F2673" i="3"/>
  <c r="K2673" i="3" s="1"/>
  <c r="G1773" i="3"/>
  <c r="B1600" i="3"/>
  <c r="C1600" i="3" s="1"/>
  <c r="B1795" i="3"/>
  <c r="C1795" i="3" s="1"/>
  <c r="B2319" i="3"/>
  <c r="C2319" i="3" s="1"/>
  <c r="F1186" i="3"/>
  <c r="F2568" i="3"/>
  <c r="K2568" i="3" s="1"/>
  <c r="H2673" i="3"/>
  <c r="J2119" i="3"/>
  <c r="F2319" i="3"/>
  <c r="K2319" i="3" s="1"/>
  <c r="G1578" i="3"/>
  <c r="H1119" i="3"/>
  <c r="B2104" i="3"/>
  <c r="C2104" i="3" s="1"/>
  <c r="H2002" i="3"/>
  <c r="J1797" i="3"/>
  <c r="B1372" i="3"/>
  <c r="C1372" i="3" s="1"/>
  <c r="F1236" i="3"/>
  <c r="K1236" i="3" s="1"/>
  <c r="J1236" i="3" s="1"/>
  <c r="H1566" i="3"/>
  <c r="F1566" i="3"/>
  <c r="K1566" i="3" s="1"/>
  <c r="I2557" i="3"/>
  <c r="G2319" i="3"/>
  <c r="G1817" i="3"/>
  <c r="H2530" i="3"/>
  <c r="H1797" i="3"/>
  <c r="I1312" i="3"/>
  <c r="F1312" i="3"/>
  <c r="K1312" i="3" s="1"/>
  <c r="F1171" i="3"/>
  <c r="K1171" i="3" s="1"/>
  <c r="J1171" i="3" s="1"/>
  <c r="G1540" i="3"/>
  <c r="H1549" i="3"/>
  <c r="I2673" i="3"/>
  <c r="J1440" i="3"/>
  <c r="K2402" i="3"/>
  <c r="H2119" i="3"/>
  <c r="H2319" i="3"/>
  <c r="F2280" i="3"/>
  <c r="K2280" i="3" s="1"/>
  <c r="J1817" i="3"/>
  <c r="F1949" i="3"/>
  <c r="K1949" i="3" s="1"/>
  <c r="I1797" i="3"/>
  <c r="H1701" i="3"/>
  <c r="F1549" i="3"/>
  <c r="K1549" i="3" s="1"/>
  <c r="I1578" i="3"/>
  <c r="G1401" i="3"/>
  <c r="I2530" i="3"/>
  <c r="J1738" i="3"/>
  <c r="F1540" i="3"/>
  <c r="K1540" i="3" s="1"/>
  <c r="J2543" i="3"/>
  <c r="J2673" i="3"/>
  <c r="I2986" i="3"/>
  <c r="G2652" i="3"/>
  <c r="B2721" i="3"/>
  <c r="C2721" i="3" s="1"/>
  <c r="I2319" i="3"/>
  <c r="G2280" i="3"/>
  <c r="B2139" i="3"/>
  <c r="C2139" i="3" s="1"/>
  <c r="B1659" i="3"/>
  <c r="C1659" i="3" s="1"/>
  <c r="I1701" i="3"/>
  <c r="G1440" i="3"/>
  <c r="I1510" i="3"/>
  <c r="J2530" i="3"/>
  <c r="H2510" i="3"/>
  <c r="G1718" i="3"/>
  <c r="F1344" i="3"/>
  <c r="K1344" i="3" s="1"/>
  <c r="B1162" i="3"/>
  <c r="C1162" i="3" s="1"/>
  <c r="K1201" i="3"/>
  <c r="J1201" i="3" s="1"/>
  <c r="H2050" i="3"/>
  <c r="I2652" i="3"/>
  <c r="F2763" i="3"/>
  <c r="K2763" i="3" s="1"/>
  <c r="F2721" i="3"/>
  <c r="K2721" i="3" s="1"/>
  <c r="H2635" i="3"/>
  <c r="H2652" i="3"/>
  <c r="F2645" i="3"/>
  <c r="K2645" i="3" s="1"/>
  <c r="J2464" i="3"/>
  <c r="H2054" i="3"/>
  <c r="I2119" i="3"/>
  <c r="J2280" i="3"/>
  <c r="B2050" i="3"/>
  <c r="C2050" i="3" s="1"/>
  <c r="G1924" i="3"/>
  <c r="J1701" i="3"/>
  <c r="G1598" i="3"/>
  <c r="I1139" i="3"/>
  <c r="H1219" i="3"/>
  <c r="H1401" i="3"/>
  <c r="F1738" i="3"/>
  <c r="K1738" i="3" s="1"/>
  <c r="F1354" i="3"/>
  <c r="K1354" i="3" s="1"/>
  <c r="B1975" i="3"/>
  <c r="C1975" i="3" s="1"/>
  <c r="I1095" i="3"/>
  <c r="J1491" i="3"/>
  <c r="F1142" i="3"/>
  <c r="K1142" i="3" s="1"/>
  <c r="J1142" i="3" s="1"/>
  <c r="G1333" i="3"/>
  <c r="G1784" i="3"/>
  <c r="B2131" i="3"/>
  <c r="C2131" i="3" s="1"/>
  <c r="G1491" i="3"/>
  <c r="G2190" i="3"/>
  <c r="I2131" i="3"/>
  <c r="J1438" i="3"/>
  <c r="H1333" i="3"/>
  <c r="F1575" i="3"/>
  <c r="K1575" i="3" s="1"/>
  <c r="J2421" i="3"/>
  <c r="I2105" i="3"/>
  <c r="J2152" i="3"/>
  <c r="H2190" i="3"/>
  <c r="G1956" i="3"/>
  <c r="J1784" i="3"/>
  <c r="I1575" i="3"/>
  <c r="I1333" i="3"/>
  <c r="I2815" i="3"/>
  <c r="H2105" i="3"/>
  <c r="J1575" i="3"/>
  <c r="H1491" i="3"/>
  <c r="B2190" i="3"/>
  <c r="C2190" i="3" s="1"/>
  <c r="B1333" i="3"/>
  <c r="C1333" i="3" s="1"/>
  <c r="B1491" i="3"/>
  <c r="C1491" i="3" s="1"/>
  <c r="G1142" i="3"/>
  <c r="G1743" i="3"/>
  <c r="H2260" i="3"/>
  <c r="F1491" i="3"/>
  <c r="K1491" i="3" s="1"/>
  <c r="J2260" i="3"/>
  <c r="I1759" i="3"/>
  <c r="B1142" i="3"/>
  <c r="C1142" i="3" s="1"/>
  <c r="G2373" i="3"/>
  <c r="G2525" i="3"/>
  <c r="B2318" i="3"/>
  <c r="C2318" i="3" s="1"/>
  <c r="I2165" i="3"/>
  <c r="H2525" i="3"/>
  <c r="G2725" i="3"/>
  <c r="J2373" i="3"/>
  <c r="J2525" i="3"/>
  <c r="G2505" i="3"/>
  <c r="H2318" i="3"/>
  <c r="F2318" i="3"/>
  <c r="K2318" i="3" s="1"/>
  <c r="F2041" i="3"/>
  <c r="K2041" i="3" s="1"/>
  <c r="F2747" i="3"/>
  <c r="K2747" i="3" s="1"/>
  <c r="B2893" i="3"/>
  <c r="C2893" i="3" s="1"/>
  <c r="B2439" i="3"/>
  <c r="C2439" i="3" s="1"/>
  <c r="F2509" i="3"/>
  <c r="K2509" i="3" s="1"/>
  <c r="J2893" i="3"/>
  <c r="I2501" i="3"/>
  <c r="I2505" i="3"/>
  <c r="H2505" i="3"/>
  <c r="F2893" i="3"/>
  <c r="K2893" i="3" s="1"/>
  <c r="G2193" i="3"/>
  <c r="G2013" i="3"/>
  <c r="B2013" i="3"/>
  <c r="C2013" i="3" s="1"/>
  <c r="I2862" i="3"/>
  <c r="H2893" i="3"/>
  <c r="I2396" i="3"/>
  <c r="B2373" i="3"/>
  <c r="C2373" i="3" s="1"/>
  <c r="G2165" i="3"/>
  <c r="I2418" i="3"/>
  <c r="J2505" i="3"/>
  <c r="J2439" i="3"/>
  <c r="H2373" i="3"/>
  <c r="J2165" i="3"/>
  <c r="B2165" i="3"/>
  <c r="C2165" i="3" s="1"/>
  <c r="J2396" i="3"/>
  <c r="B2725" i="3"/>
  <c r="C2725" i="3" s="1"/>
  <c r="H2358" i="3"/>
  <c r="F2792" i="3"/>
  <c r="K2792" i="3" s="1"/>
  <c r="I2725" i="3"/>
  <c r="H2725" i="3"/>
  <c r="G2681" i="3"/>
  <c r="G2599" i="3"/>
  <c r="F2505" i="3"/>
  <c r="K2505" i="3" s="1"/>
  <c r="B2525" i="3"/>
  <c r="C2525" i="3" s="1"/>
  <c r="B1836" i="3"/>
  <c r="C1836" i="3" s="1"/>
  <c r="I2439" i="3"/>
  <c r="G2439" i="3"/>
  <c r="F2525" i="3"/>
  <c r="K2525" i="3" s="1"/>
  <c r="G2791" i="3"/>
  <c r="H2480" i="3"/>
  <c r="B2629" i="3"/>
  <c r="C2629" i="3" s="1"/>
  <c r="H2782" i="3"/>
  <c r="B2617" i="3"/>
  <c r="C2617" i="3" s="1"/>
  <c r="F2143" i="3"/>
  <c r="K2143" i="3" s="1"/>
  <c r="J2143" i="3"/>
  <c r="J2279" i="3"/>
  <c r="H1482" i="3"/>
  <c r="B2348" i="3"/>
  <c r="C2348" i="3" s="1"/>
  <c r="F2596" i="3"/>
  <c r="K2596" i="3" s="1"/>
  <c r="H1430" i="3"/>
  <c r="K1128" i="3"/>
  <c r="J1128" i="3" s="1"/>
  <c r="H1298" i="3"/>
  <c r="F2883" i="3"/>
  <c r="K2883" i="3" s="1"/>
  <c r="G2565" i="3"/>
  <c r="F2480" i="3"/>
  <c r="K2480" i="3" s="1"/>
  <c r="I2565" i="3"/>
  <c r="F1519" i="3"/>
  <c r="K1519" i="3" s="1"/>
  <c r="H2802" i="3"/>
  <c r="I2988" i="3"/>
  <c r="F2802" i="3"/>
  <c r="K2802" i="3" s="1"/>
  <c r="F2435" i="3"/>
  <c r="K2435" i="3" s="1"/>
  <c r="J2565" i="3"/>
  <c r="J2883" i="3"/>
  <c r="H2565" i="3"/>
  <c r="I2861" i="3"/>
  <c r="I2791" i="3"/>
  <c r="F2629" i="3"/>
  <c r="K2629" i="3" s="1"/>
  <c r="F1724" i="3"/>
  <c r="K1724" i="3" s="1"/>
  <c r="B2731" i="3"/>
  <c r="C2731" i="3" s="1"/>
  <c r="H2596" i="3"/>
  <c r="J2731" i="3"/>
  <c r="J2745" i="3"/>
  <c r="J1597" i="3"/>
  <c r="J2083" i="3"/>
  <c r="F1836" i="3"/>
  <c r="K1836" i="3" s="1"/>
  <c r="J2816" i="3"/>
  <c r="G2784" i="3"/>
  <c r="F2775" i="3"/>
  <c r="K2775" i="3" s="1"/>
  <c r="G2438" i="3"/>
  <c r="B1806" i="3"/>
  <c r="C1806" i="3" s="1"/>
  <c r="B1776" i="3"/>
  <c r="C1776" i="3" s="1"/>
  <c r="H1786" i="3"/>
  <c r="K1559" i="3"/>
  <c r="H2784" i="3"/>
  <c r="H2775" i="3"/>
  <c r="B2438" i="3"/>
  <c r="C2438" i="3" s="1"/>
  <c r="B2513" i="3"/>
  <c r="C2513" i="3" s="1"/>
  <c r="J1893" i="3"/>
  <c r="G1776" i="3"/>
  <c r="J1328" i="3"/>
  <c r="J2736" i="3"/>
  <c r="H2435" i="3"/>
  <c r="B2416" i="3"/>
  <c r="C2416" i="3" s="1"/>
  <c r="F2507" i="3"/>
  <c r="K2507" i="3" s="1"/>
  <c r="G2109" i="3"/>
  <c r="I1733" i="3"/>
  <c r="F1776" i="3"/>
  <c r="K1776" i="3" s="1"/>
  <c r="J1786" i="3"/>
  <c r="G2076" i="3"/>
  <c r="J2435" i="3"/>
  <c r="J2594" i="3"/>
  <c r="G1806" i="3"/>
  <c r="H1922" i="3"/>
  <c r="B1180" i="3"/>
  <c r="C1180" i="3" s="1"/>
  <c r="H2758" i="3"/>
  <c r="J2099" i="3"/>
  <c r="H1836" i="3"/>
  <c r="G1336" i="3"/>
  <c r="H2667" i="3"/>
  <c r="I2416" i="3"/>
  <c r="J2477" i="3"/>
  <c r="I1597" i="3"/>
  <c r="F1180" i="3"/>
  <c r="K1180" i="3" s="1"/>
  <c r="J1180" i="3" s="1"/>
  <c r="B2775" i="3"/>
  <c r="C2775" i="3" s="1"/>
  <c r="I1559" i="3"/>
  <c r="H2544" i="3"/>
  <c r="B2745" i="3"/>
  <c r="C2745" i="3" s="1"/>
  <c r="I2693" i="3"/>
  <c r="H1776" i="3"/>
  <c r="F2513" i="3"/>
  <c r="K2513" i="3" s="1"/>
  <c r="I2438" i="3"/>
  <c r="B2326" i="3"/>
  <c r="C2326" i="3" s="1"/>
  <c r="B1646" i="3"/>
  <c r="C1646" i="3" s="1"/>
  <c r="F2043" i="3"/>
  <c r="K2043" i="3" s="1"/>
  <c r="I2477" i="3"/>
  <c r="I1646" i="3"/>
  <c r="G1668" i="3"/>
  <c r="I2322" i="3"/>
  <c r="B1226" i="3"/>
  <c r="C1226" i="3" s="1"/>
  <c r="F1646" i="3"/>
  <c r="K1646" i="3" s="1"/>
  <c r="G2606" i="3"/>
  <c r="I2544" i="3"/>
  <c r="F2544" i="3"/>
  <c r="K2544" i="3" s="1"/>
  <c r="F2229" i="3"/>
  <c r="K2229" i="3" s="1"/>
  <c r="J1850" i="3"/>
  <c r="J2416" i="3"/>
  <c r="F2416" i="3"/>
  <c r="K2416" i="3" s="1"/>
  <c r="H2110" i="3"/>
  <c r="G1850" i="3"/>
  <c r="G1281" i="3"/>
  <c r="I1356" i="3"/>
  <c r="H2322" i="3"/>
  <c r="B1281" i="3"/>
  <c r="C1281" i="3" s="1"/>
  <c r="F1787" i="3"/>
  <c r="K1787" i="3" s="1"/>
  <c r="B1711" i="3"/>
  <c r="C1711" i="3" s="1"/>
  <c r="J2753" i="3"/>
  <c r="I1765" i="3"/>
  <c r="J1356" i="3"/>
  <c r="I2326" i="3"/>
  <c r="H1976" i="3"/>
  <c r="H1722" i="3"/>
  <c r="G2322" i="3"/>
  <c r="G2416" i="3"/>
  <c r="B2229" i="3"/>
  <c r="C2229" i="3" s="1"/>
  <c r="F2299" i="3"/>
  <c r="K2299" i="3" s="1"/>
  <c r="B2136" i="3"/>
  <c r="C2136" i="3" s="1"/>
  <c r="G2299" i="3"/>
  <c r="H2299" i="3"/>
  <c r="K2615" i="3"/>
  <c r="B2457" i="3"/>
  <c r="C2457" i="3" s="1"/>
  <c r="G2229" i="3"/>
  <c r="B2299" i="3"/>
  <c r="C2299" i="3" s="1"/>
  <c r="I2299" i="3"/>
  <c r="B1976" i="3"/>
  <c r="C1976" i="3" s="1"/>
  <c r="J2136" i="3"/>
  <c r="B2533" i="3"/>
  <c r="C2533" i="3" s="1"/>
  <c r="I2043" i="3"/>
  <c r="I3126" i="3"/>
  <c r="I2754" i="3"/>
  <c r="H2804" i="3"/>
  <c r="F1281" i="3"/>
  <c r="K1281" i="3" s="1"/>
  <c r="H2378" i="3"/>
  <c r="J2270" i="3"/>
  <c r="B2290" i="3"/>
  <c r="C2290" i="3" s="1"/>
  <c r="G2093" i="3"/>
  <c r="J1309" i="3"/>
  <c r="I1309" i="3"/>
  <c r="B1363" i="3"/>
  <c r="C1363" i="3" s="1"/>
  <c r="F2363" i="3"/>
  <c r="K2363" i="3" s="1"/>
  <c r="J2012" i="3"/>
  <c r="B2012" i="3"/>
  <c r="C2012" i="3" s="1"/>
  <c r="F2290" i="3"/>
  <c r="K2290" i="3" s="1"/>
  <c r="H2093" i="3"/>
  <c r="F1717" i="3"/>
  <c r="K1717" i="3" s="1"/>
  <c r="G1263" i="3"/>
  <c r="G2215" i="3"/>
  <c r="G2456" i="3"/>
  <c r="I2270" i="3"/>
  <c r="I1717" i="3"/>
  <c r="F2211" i="3"/>
  <c r="K2211" i="3" s="1"/>
  <c r="I2093" i="3"/>
  <c r="H1781" i="3"/>
  <c r="I1771" i="3"/>
  <c r="B1263" i="3"/>
  <c r="C1263" i="3" s="1"/>
  <c r="G1306" i="3"/>
  <c r="F1832" i="3"/>
  <c r="K1832" i="3" s="1"/>
  <c r="G1309" i="3"/>
  <c r="J2093" i="3"/>
  <c r="B1224" i="3"/>
  <c r="C1224" i="3" s="1"/>
  <c r="J2211" i="3"/>
  <c r="F2093" i="3"/>
  <c r="K2093" i="3" s="1"/>
  <c r="F2341" i="3"/>
  <c r="K2341" i="3" s="1"/>
  <c r="I2363" i="3"/>
  <c r="B1767" i="3"/>
  <c r="C1767" i="3" s="1"/>
  <c r="B2500" i="3"/>
  <c r="C2500" i="3" s="1"/>
  <c r="F2378" i="3"/>
  <c r="K2378" i="3" s="1"/>
  <c r="B2270" i="3"/>
  <c r="C2270" i="3" s="1"/>
  <c r="G1771" i="3"/>
  <c r="I1224" i="3"/>
  <c r="H1224" i="3"/>
  <c r="J1263" i="3"/>
  <c r="B2378" i="3"/>
  <c r="C2378" i="3" s="1"/>
  <c r="K2213" i="3"/>
  <c r="H1612" i="3"/>
  <c r="G1363" i="3"/>
  <c r="F1513" i="3"/>
  <c r="K1513" i="3" s="1"/>
  <c r="I1513" i="3"/>
  <c r="H1490" i="3"/>
  <c r="F1224" i="3"/>
  <c r="I1204" i="3"/>
  <c r="B2213" i="3"/>
  <c r="C2213" i="3" s="1"/>
  <c r="J1717" i="3"/>
  <c r="I2213" i="3"/>
  <c r="B1717" i="3"/>
  <c r="C1717" i="3" s="1"/>
  <c r="I1212" i="3"/>
  <c r="H1306" i="3"/>
  <c r="B2456" i="3"/>
  <c r="C2456" i="3" s="1"/>
  <c r="I2211" i="3"/>
  <c r="B2297" i="3"/>
  <c r="C2297" i="3" s="1"/>
  <c r="G1781" i="3"/>
  <c r="F1363" i="3"/>
  <c r="K1363" i="3" s="1"/>
  <c r="I1363" i="3"/>
  <c r="H2211" i="3"/>
  <c r="G2012" i="3"/>
  <c r="F2297" i="3"/>
  <c r="K2297" i="3" s="1"/>
  <c r="F1849" i="3"/>
  <c r="K1849" i="3" s="1"/>
  <c r="F1204" i="3"/>
  <c r="G2363" i="3"/>
  <c r="B2211" i="3"/>
  <c r="C2211" i="3" s="1"/>
  <c r="I2297" i="3"/>
  <c r="G2823" i="3"/>
  <c r="G2297" i="3"/>
  <c r="I1210" i="3"/>
  <c r="B1204" i="3"/>
  <c r="C1204" i="3" s="1"/>
  <c r="J2456" i="3"/>
  <c r="B1490" i="3"/>
  <c r="C1490" i="3" s="1"/>
  <c r="H1204" i="3"/>
  <c r="I1781" i="3"/>
  <c r="F1229" i="3"/>
  <c r="K1229" i="3" s="1"/>
  <c r="J1229" i="3" s="1"/>
  <c r="H2290" i="3"/>
  <c r="B2363" i="3"/>
  <c r="C2363" i="3" s="1"/>
  <c r="I2290" i="3"/>
  <c r="F1781" i="3"/>
  <c r="K1781" i="3" s="1"/>
  <c r="I1229" i="3"/>
  <c r="H1229" i="3"/>
  <c r="G1229" i="3"/>
  <c r="K1309" i="3"/>
  <c r="J1363" i="3"/>
  <c r="H2012" i="3"/>
  <c r="B1513" i="3"/>
  <c r="C1513" i="3" s="1"/>
  <c r="H2500" i="3"/>
  <c r="I2456" i="3"/>
  <c r="J2290" i="3"/>
  <c r="J1210" i="3"/>
  <c r="J2500" i="3"/>
  <c r="G1717" i="3"/>
  <c r="F1212" i="3"/>
  <c r="K1212" i="3" s="1"/>
  <c r="J1212" i="3" s="1"/>
  <c r="J1490" i="3"/>
  <c r="G2270" i="3"/>
  <c r="J1841" i="3"/>
  <c r="I1573" i="3"/>
  <c r="B1210" i="3"/>
  <c r="C1210" i="3" s="1"/>
  <c r="F2012" i="3"/>
  <c r="K2012" i="3" s="1"/>
  <c r="J2506" i="3"/>
  <c r="J1976" i="3"/>
  <c r="H1201" i="3"/>
  <c r="F1827" i="3"/>
  <c r="K1827" i="3" s="1"/>
  <c r="I1976" i="3"/>
  <c r="G1976" i="3"/>
  <c r="J1598" i="3"/>
  <c r="F2502" i="3"/>
  <c r="K2502" i="3" s="1"/>
  <c r="I1836" i="3"/>
  <c r="I1598" i="3"/>
  <c r="J2903" i="3"/>
  <c r="F2540" i="3"/>
  <c r="K2540" i="3" s="1"/>
  <c r="G2495" i="3"/>
  <c r="H2275" i="3"/>
  <c r="J1935" i="3"/>
  <c r="I2966" i="3"/>
  <c r="F2587" i="3"/>
  <c r="K2587" i="3" s="1"/>
  <c r="J2558" i="3"/>
  <c r="H2090" i="3"/>
  <c r="G1949" i="3"/>
  <c r="J3009" i="3"/>
  <c r="H2874" i="3"/>
  <c r="H2745" i="3"/>
  <c r="J2723" i="3"/>
  <c r="H2622" i="3"/>
  <c r="H2528" i="3"/>
  <c r="H2501" i="3"/>
  <c r="F2565" i="3"/>
  <c r="K2565" i="3" s="1"/>
  <c r="H2436" i="3"/>
  <c r="J2288" i="3"/>
  <c r="H1949" i="3"/>
  <c r="J1942" i="3"/>
  <c r="J2495" i="3"/>
  <c r="J2383" i="3"/>
  <c r="H2207" i="3"/>
  <c r="F2206" i="3"/>
  <c r="K2206" i="3" s="1"/>
  <c r="F1733" i="3"/>
  <c r="K1733" i="3" s="1"/>
  <c r="G1874" i="3"/>
  <c r="B2029" i="3"/>
  <c r="C2029" i="3" s="1"/>
  <c r="H1336" i="3"/>
  <c r="F1490" i="3"/>
  <c r="K1490" i="3" s="1"/>
  <c r="B3066" i="3"/>
  <c r="C3066" i="3" s="1"/>
  <c r="J3103" i="3"/>
  <c r="G2735" i="3"/>
  <c r="I2622" i="3"/>
  <c r="J2528" i="3"/>
  <c r="I2495" i="3"/>
  <c r="G2289" i="3"/>
  <c r="G2197" i="3"/>
  <c r="F2090" i="3"/>
  <c r="K2090" i="3" s="1"/>
  <c r="I1949" i="3"/>
  <c r="I1793" i="3"/>
  <c r="J2398" i="3"/>
  <c r="H2398" i="3"/>
  <c r="J2349" i="3"/>
  <c r="G2324" i="3"/>
  <c r="F1876" i="3"/>
  <c r="K1876" i="3" s="1"/>
  <c r="G2029" i="3"/>
  <c r="G1490" i="3"/>
  <c r="F1187" i="3"/>
  <c r="H2325" i="3"/>
  <c r="B2325" i="3"/>
  <c r="C2325" i="3" s="1"/>
  <c r="I1960" i="3"/>
  <c r="F1890" i="3"/>
  <c r="K1890" i="3" s="1"/>
  <c r="H3023" i="3"/>
  <c r="I2774" i="3"/>
  <c r="I2683" i="3"/>
  <c r="H2587" i="3"/>
  <c r="F2551" i="3"/>
  <c r="K2551" i="3" s="1"/>
  <c r="B2280" i="3"/>
  <c r="C2280" i="3" s="1"/>
  <c r="B2408" i="3"/>
  <c r="C2408" i="3" s="1"/>
  <c r="I1882" i="3"/>
  <c r="H1876" i="3"/>
  <c r="J2266" i="3"/>
  <c r="H1937" i="3"/>
  <c r="F1687" i="3"/>
  <c r="K1687" i="3" s="1"/>
  <c r="B1559" i="3"/>
  <c r="C1559" i="3" s="1"/>
  <c r="H1916" i="3"/>
  <c r="I2243" i="3"/>
  <c r="F1935" i="3"/>
  <c r="K1935" i="3" s="1"/>
  <c r="G1687" i="3"/>
  <c r="J2333" i="3"/>
  <c r="B2346" i="3"/>
  <c r="C2346" i="3" s="1"/>
  <c r="F2243" i="3"/>
  <c r="K2243" i="3" s="1"/>
  <c r="F1874" i="3"/>
  <c r="K1874" i="3" s="1"/>
  <c r="J1837" i="3"/>
  <c r="B2825" i="3"/>
  <c r="C2825" i="3" s="1"/>
  <c r="J2620" i="3"/>
  <c r="H2375" i="3"/>
  <c r="H2197" i="3"/>
  <c r="H2280" i="3"/>
  <c r="B2090" i="3"/>
  <c r="C2090" i="3" s="1"/>
  <c r="B2539" i="3"/>
  <c r="C2539" i="3" s="1"/>
  <c r="F2410" i="3"/>
  <c r="K2410" i="3" s="1"/>
  <c r="F2346" i="3"/>
  <c r="K2346" i="3" s="1"/>
  <c r="G2243" i="3"/>
  <c r="H1313" i="3"/>
  <c r="B2207" i="3"/>
  <c r="C2207" i="3" s="1"/>
  <c r="G2346" i="3"/>
  <c r="H2243" i="3"/>
  <c r="B2227" i="3"/>
  <c r="C2227" i="3" s="1"/>
  <c r="I2346" i="3"/>
  <c r="H1935" i="3"/>
  <c r="F1862" i="3"/>
  <c r="K1862" i="3" s="1"/>
  <c r="F2197" i="3"/>
  <c r="K2197" i="3" s="1"/>
  <c r="H3105" i="3"/>
  <c r="H3010" i="3"/>
  <c r="F2558" i="3"/>
  <c r="K2558" i="3" s="1"/>
  <c r="F1913" i="3"/>
  <c r="K1913" i="3" s="1"/>
  <c r="G2539" i="3"/>
  <c r="J2346" i="3"/>
  <c r="F1583" i="3"/>
  <c r="K1583" i="3" s="1"/>
  <c r="I1313" i="3"/>
  <c r="H1793" i="3"/>
  <c r="H3051" i="3"/>
  <c r="J3010" i="3"/>
  <c r="B3009" i="3"/>
  <c r="C3009" i="3" s="1"/>
  <c r="G2874" i="3"/>
  <c r="H2614" i="3"/>
  <c r="G2558" i="3"/>
  <c r="F1992" i="3"/>
  <c r="K1992" i="3" s="1"/>
  <c r="I1687" i="3"/>
  <c r="I1916" i="3"/>
  <c r="G1960" i="3"/>
  <c r="B1874" i="3"/>
  <c r="C1874" i="3" s="1"/>
  <c r="F2679" i="3"/>
  <c r="K2679" i="3" s="1"/>
  <c r="J2587" i="3"/>
  <c r="I2289" i="3"/>
  <c r="B1913" i="3"/>
  <c r="C1913" i="3" s="1"/>
  <c r="B1848" i="3"/>
  <c r="C1848" i="3" s="1"/>
  <c r="H2465" i="3"/>
  <c r="I2207" i="3"/>
  <c r="G2148" i="3"/>
  <c r="F1793" i="3"/>
  <c r="K1793" i="3" s="1"/>
  <c r="I2386" i="3"/>
  <c r="G2477" i="3"/>
  <c r="J2207" i="3"/>
  <c r="I1837" i="3"/>
  <c r="G1837" i="3"/>
  <c r="H1864" i="3"/>
  <c r="G1370" i="3"/>
  <c r="G1224" i="3"/>
  <c r="G2540" i="3"/>
  <c r="G1793" i="3"/>
  <c r="J2562" i="3"/>
  <c r="J1793" i="3"/>
  <c r="I1913" i="3"/>
  <c r="J2540" i="3"/>
  <c r="B2275" i="3"/>
  <c r="C2275" i="3" s="1"/>
  <c r="H1561" i="3"/>
  <c r="F2236" i="3"/>
  <c r="K2236" i="3" s="1"/>
  <c r="G2975" i="3"/>
  <c r="G1241" i="3"/>
  <c r="F1522" i="3"/>
  <c r="K1522" i="3" s="1"/>
  <c r="F2430" i="3"/>
  <c r="K2430" i="3" s="1"/>
  <c r="F1938" i="3"/>
  <c r="K1938" i="3" s="1"/>
  <c r="F1241" i="3"/>
  <c r="H1522" i="3"/>
  <c r="I1657" i="3"/>
  <c r="B3086" i="3"/>
  <c r="C3086" i="3" s="1"/>
  <c r="J2236" i="3"/>
  <c r="I2236" i="3"/>
  <c r="H1750" i="3"/>
  <c r="F1770" i="3"/>
  <c r="K1770" i="3" s="1"/>
  <c r="F1739" i="3"/>
  <c r="K1739" i="3" s="1"/>
  <c r="J1592" i="3"/>
  <c r="B3052" i="3"/>
  <c r="C3052" i="3" s="1"/>
  <c r="H1885" i="3"/>
  <c r="G1938" i="3"/>
  <c r="H1818" i="3"/>
  <c r="F1740" i="3"/>
  <c r="K1740" i="3" s="1"/>
  <c r="G1739" i="3"/>
  <c r="B1465" i="3"/>
  <c r="C1465" i="3" s="1"/>
  <c r="B1137" i="3"/>
  <c r="C1137" i="3" s="1"/>
  <c r="I1522" i="3"/>
  <c r="F1486" i="3"/>
  <c r="K1486" i="3" s="1"/>
  <c r="B2215" i="3"/>
  <c r="C2215" i="3" s="1"/>
  <c r="G1818" i="3"/>
  <c r="F1818" i="3"/>
  <c r="K1818" i="3" s="1"/>
  <c r="B1739" i="3"/>
  <c r="C1739" i="3" s="1"/>
  <c r="I2291" i="3"/>
  <c r="I2101" i="3"/>
  <c r="I1833" i="3"/>
  <c r="I1938" i="3"/>
  <c r="I1818" i="3"/>
  <c r="H1740" i="3"/>
  <c r="H1739" i="3"/>
  <c r="F1465" i="3"/>
  <c r="K1465" i="3" s="1"/>
  <c r="J1522" i="3"/>
  <c r="G1486" i="3"/>
  <c r="G2971" i="3"/>
  <c r="I1764" i="3"/>
  <c r="B1730" i="3"/>
  <c r="C1730" i="3" s="1"/>
  <c r="I1520" i="3"/>
  <c r="B1167" i="3"/>
  <c r="C1167" i="3" s="1"/>
  <c r="J1486" i="3"/>
  <c r="G2192" i="3"/>
  <c r="F2875" i="3"/>
  <c r="K2875" i="3" s="1"/>
  <c r="J2430" i="3"/>
  <c r="I2430" i="3"/>
  <c r="H2430" i="3"/>
  <c r="H1764" i="3"/>
  <c r="F1730" i="3"/>
  <c r="K1730" i="3" s="1"/>
  <c r="G1592" i="3"/>
  <c r="H1241" i="3"/>
  <c r="G1522" i="3"/>
  <c r="I1486" i="3"/>
  <c r="F1111" i="3"/>
  <c r="K1111" i="3" s="1"/>
  <c r="J1111" i="3" s="1"/>
  <c r="H2127" i="3"/>
  <c r="H2772" i="3"/>
  <c r="J2875" i="3"/>
  <c r="G1833" i="3"/>
  <c r="G1730" i="3"/>
  <c r="I1503" i="3"/>
  <c r="I2875" i="3"/>
  <c r="F1833" i="3"/>
  <c r="K1833" i="3" s="1"/>
  <c r="B2195" i="3"/>
  <c r="C2195" i="3" s="1"/>
  <c r="J2975" i="3"/>
  <c r="J2092" i="3"/>
  <c r="H1520" i="3"/>
  <c r="B1952" i="3"/>
  <c r="C1952" i="3" s="1"/>
  <c r="B2291" i="3"/>
  <c r="C2291" i="3" s="1"/>
  <c r="F2195" i="3"/>
  <c r="K2195" i="3" s="1"/>
  <c r="J1833" i="3"/>
  <c r="J2195" i="3"/>
  <c r="F1676" i="3"/>
  <c r="K1676" i="3" s="1"/>
  <c r="B2875" i="3"/>
  <c r="C2875" i="3" s="1"/>
  <c r="J1770" i="3"/>
  <c r="H1938" i="3"/>
  <c r="I1730" i="3"/>
  <c r="F2988" i="3"/>
  <c r="K2988" i="3" s="1"/>
  <c r="G2861" i="3"/>
  <c r="H2092" i="3"/>
  <c r="G1770" i="3"/>
  <c r="B1833" i="3"/>
  <c r="C1833" i="3" s="1"/>
  <c r="F1137" i="3"/>
  <c r="K1137" i="3" s="1"/>
  <c r="J1137" i="3" s="1"/>
  <c r="I1111" i="3"/>
  <c r="H2069" i="3"/>
  <c r="H1952" i="3"/>
  <c r="B2367" i="3"/>
  <c r="C2367" i="3" s="1"/>
  <c r="G1836" i="3"/>
  <c r="J2225" i="3"/>
  <c r="G2195" i="3"/>
  <c r="G2291" i="3"/>
  <c r="J1752" i="3"/>
  <c r="J1750" i="3"/>
  <c r="J1764" i="3"/>
  <c r="F1617" i="3"/>
  <c r="K1617" i="3" s="1"/>
  <c r="B1547" i="3"/>
  <c r="C1547" i="3" s="1"/>
  <c r="H2195" i="3"/>
  <c r="F1603" i="3"/>
  <c r="K1603" i="3" s="1"/>
  <c r="I3086" i="3"/>
  <c r="G2772" i="3"/>
  <c r="B1770" i="3"/>
  <c r="C1770" i="3" s="1"/>
  <c r="G1520" i="3"/>
  <c r="G1911" i="3"/>
  <c r="B2772" i="3"/>
  <c r="C2772" i="3" s="1"/>
  <c r="J2472" i="3"/>
  <c r="J2173" i="3"/>
  <c r="G2173" i="3"/>
  <c r="F2127" i="3"/>
  <c r="K2127" i="3" s="1"/>
  <c r="I1770" i="3"/>
  <c r="G1750" i="3"/>
  <c r="F1764" i="3"/>
  <c r="K1764" i="3" s="1"/>
  <c r="F1520" i="3"/>
  <c r="K1520" i="3" s="1"/>
  <c r="H1137" i="3"/>
  <c r="G1137" i="3"/>
  <c r="K1911" i="3"/>
  <c r="B1670" i="3"/>
  <c r="C1670" i="3" s="1"/>
  <c r="F1136" i="3"/>
  <c r="K1136" i="3" s="1"/>
  <c r="J1136" i="3" s="1"/>
  <c r="J1748" i="3"/>
  <c r="F1670" i="3"/>
  <c r="K1670" i="3" s="1"/>
  <c r="I1257" i="3"/>
  <c r="I1670" i="3"/>
  <c r="B2092" i="3"/>
  <c r="C2092" i="3" s="1"/>
  <c r="B2236" i="3"/>
  <c r="C2236" i="3" s="1"/>
  <c r="J1885" i="3"/>
  <c r="B1911" i="3"/>
  <c r="C1911" i="3" s="1"/>
  <c r="G1885" i="3"/>
  <c r="F2291" i="3"/>
  <c r="K2291" i="3" s="1"/>
  <c r="I1885" i="3"/>
  <c r="J1938" i="3"/>
  <c r="B2430" i="3"/>
  <c r="C2430" i="3" s="1"/>
  <c r="G2236" i="3"/>
  <c r="I2127" i="3"/>
  <c r="H2291" i="3"/>
  <c r="J1503" i="3"/>
  <c r="H1503" i="3"/>
  <c r="B2083" i="3"/>
  <c r="C2083" i="3" s="1"/>
  <c r="G2854" i="3"/>
  <c r="I3068" i="3"/>
  <c r="G3068" i="3"/>
  <c r="H3068" i="3"/>
  <c r="I2457" i="3"/>
  <c r="I2816" i="3"/>
  <c r="I2762" i="3"/>
  <c r="F2953" i="3"/>
  <c r="K2953" i="3" s="1"/>
  <c r="F2600" i="3"/>
  <c r="K2600" i="3" s="1"/>
  <c r="J3124" i="3"/>
  <c r="J2249" i="3"/>
  <c r="H3113" i="3"/>
  <c r="G3061" i="3"/>
  <c r="B2520" i="3"/>
  <c r="C2520" i="3" s="1"/>
  <c r="G2056" i="3"/>
  <c r="G2202" i="3"/>
  <c r="G1972" i="3"/>
  <c r="F1813" i="3"/>
  <c r="K1813" i="3" s="1"/>
  <c r="B1601" i="3"/>
  <c r="C1601" i="3" s="1"/>
  <c r="I1152" i="3"/>
  <c r="F1387" i="3"/>
  <c r="K1387" i="3" s="1"/>
  <c r="I2094" i="3"/>
  <c r="H2031" i="3"/>
  <c r="G1983" i="3"/>
  <c r="B1397" i="3"/>
  <c r="C1397" i="3" s="1"/>
  <c r="G1338" i="3"/>
  <c r="I1387" i="3"/>
  <c r="H1589" i="3"/>
  <c r="F2923" i="3"/>
  <c r="K2923" i="3" s="1"/>
  <c r="F2520" i="3"/>
  <c r="K2520" i="3" s="1"/>
  <c r="J2130" i="3"/>
  <c r="F2202" i="3"/>
  <c r="K2202" i="3" s="1"/>
  <c r="H2094" i="3"/>
  <c r="I1947" i="3"/>
  <c r="B2079" i="3"/>
  <c r="C2079" i="3" s="1"/>
  <c r="F1669" i="3"/>
  <c r="K1669" i="3" s="1"/>
  <c r="I1813" i="3"/>
  <c r="F1648" i="3"/>
  <c r="K1648" i="3" s="1"/>
  <c r="G1265" i="3"/>
  <c r="F1265" i="3"/>
  <c r="K1265" i="3" s="1"/>
  <c r="H1159" i="3"/>
  <c r="H1387" i="3"/>
  <c r="H1310" i="3"/>
  <c r="G1669" i="3"/>
  <c r="F1343" i="3"/>
  <c r="K1343" i="3" s="1"/>
  <c r="I1278" i="3"/>
  <c r="I1338" i="3"/>
  <c r="G1643" i="3"/>
  <c r="J1663" i="3"/>
  <c r="J2060" i="3"/>
  <c r="B1813" i="3"/>
  <c r="C1813" i="3" s="1"/>
  <c r="B1892" i="3"/>
  <c r="C1892" i="3" s="1"/>
  <c r="B1731" i="3"/>
  <c r="C1731" i="3" s="1"/>
  <c r="G1318" i="3"/>
  <c r="H1253" i="3"/>
  <c r="B2019" i="3"/>
  <c r="C2019" i="3" s="1"/>
  <c r="G2520" i="3"/>
  <c r="I2431" i="3"/>
  <c r="J2202" i="3"/>
  <c r="F2071" i="3"/>
  <c r="K2071" i="3" s="1"/>
  <c r="I2272" i="3"/>
  <c r="F2444" i="3"/>
  <c r="K2444" i="3" s="1"/>
  <c r="J2056" i="3"/>
  <c r="I2056" i="3"/>
  <c r="H2056" i="3"/>
  <c r="F2401" i="3"/>
  <c r="K2401" i="3" s="1"/>
  <c r="H2079" i="3"/>
  <c r="H1280" i="3"/>
  <c r="F2241" i="3"/>
  <c r="K2241" i="3" s="1"/>
  <c r="B2130" i="3"/>
  <c r="C2130" i="3" s="1"/>
  <c r="G1589" i="3"/>
  <c r="H1742" i="3"/>
  <c r="J1731" i="3"/>
  <c r="F1278" i="3"/>
  <c r="K1278" i="3" s="1"/>
  <c r="I1184" i="3"/>
  <c r="K2532" i="3"/>
  <c r="G2140" i="3"/>
  <c r="J2094" i="3"/>
  <c r="H2885" i="3"/>
  <c r="I2541" i="3"/>
  <c r="G2200" i="3"/>
  <c r="H2028" i="3"/>
  <c r="I2125" i="3"/>
  <c r="J2151" i="3"/>
  <c r="B2125" i="3"/>
  <c r="C2125" i="3" s="1"/>
  <c r="G2401" i="3"/>
  <c r="I2038" i="3"/>
  <c r="B1728" i="3"/>
  <c r="C1728" i="3" s="1"/>
  <c r="I2079" i="3"/>
  <c r="H2018" i="3"/>
  <c r="J1971" i="3"/>
  <c r="J1630" i="3"/>
  <c r="B1694" i="3"/>
  <c r="C1694" i="3" s="1"/>
  <c r="J1648" i="3"/>
  <c r="J1253" i="3"/>
  <c r="G1480" i="3"/>
  <c r="G2130" i="3"/>
  <c r="H1669" i="3"/>
  <c r="J1742" i="3"/>
  <c r="H1184" i="3"/>
  <c r="G1278" i="3"/>
  <c r="B2047" i="3"/>
  <c r="C2047" i="3" s="1"/>
  <c r="I1648" i="3"/>
  <c r="J2038" i="3"/>
  <c r="B1666" i="3"/>
  <c r="C1666" i="3" s="1"/>
  <c r="I1742" i="3"/>
  <c r="H1210" i="3"/>
  <c r="G1173" i="3"/>
  <c r="G1994" i="3"/>
  <c r="B2401" i="3"/>
  <c r="C2401" i="3" s="1"/>
  <c r="G2079" i="3"/>
  <c r="J2532" i="3"/>
  <c r="J2444" i="3"/>
  <c r="F2047" i="3"/>
  <c r="K2047" i="3" s="1"/>
  <c r="H2241" i="3"/>
  <c r="H2401" i="3"/>
  <c r="H1994" i="3"/>
  <c r="F3019" i="3"/>
  <c r="K3019" i="3" s="1"/>
  <c r="B2038" i="3"/>
  <c r="C2038" i="3" s="1"/>
  <c r="I2220" i="3"/>
  <c r="I2028" i="3"/>
  <c r="K2180" i="3"/>
  <c r="H2014" i="3"/>
  <c r="I2130" i="3"/>
  <c r="I2202" i="3"/>
  <c r="J2125" i="3"/>
  <c r="I2241" i="3"/>
  <c r="J2401" i="3"/>
  <c r="J2047" i="3"/>
  <c r="G1918" i="3"/>
  <c r="B1947" i="3"/>
  <c r="C1947" i="3" s="1"/>
  <c r="F2079" i="3"/>
  <c r="K2079" i="3" s="1"/>
  <c r="B1732" i="3"/>
  <c r="C1732" i="3" s="1"/>
  <c r="I1265" i="3"/>
  <c r="B1446" i="3"/>
  <c r="C1446" i="3" s="1"/>
  <c r="I1318" i="3"/>
  <c r="G1513" i="3"/>
  <c r="J1480" i="3"/>
  <c r="G2502" i="3"/>
  <c r="B2006" i="3"/>
  <c r="C2006" i="3" s="1"/>
  <c r="H1983" i="3"/>
  <c r="G1705" i="3"/>
  <c r="G1789" i="3"/>
  <c r="G1165" i="3"/>
  <c r="I2923" i="3"/>
  <c r="B2200" i="3"/>
  <c r="C2200" i="3" s="1"/>
  <c r="B2094" i="3"/>
  <c r="C2094" i="3" s="1"/>
  <c r="I2021" i="3"/>
  <c r="F2130" i="3"/>
  <c r="K2130" i="3" s="1"/>
  <c r="F2125" i="3"/>
  <c r="K2125" i="3" s="1"/>
  <c r="B2151" i="3"/>
  <c r="C2151" i="3" s="1"/>
  <c r="J1813" i="3"/>
  <c r="I1480" i="3"/>
  <c r="B2249" i="3"/>
  <c r="C2249" i="3" s="1"/>
  <c r="I2019" i="3"/>
  <c r="F2163" i="3"/>
  <c r="K2163" i="3" s="1"/>
  <c r="J2241" i="3"/>
  <c r="F1808" i="3"/>
  <c r="K1808" i="3" s="1"/>
  <c r="I1918" i="3"/>
  <c r="F1947" i="3"/>
  <c r="K1947" i="3" s="1"/>
  <c r="F1971" i="3"/>
  <c r="K1971" i="3" s="1"/>
  <c r="F1318" i="3"/>
  <c r="K1318" i="3" s="1"/>
  <c r="H1513" i="3"/>
  <c r="G1280" i="3"/>
  <c r="G1149" i="3"/>
  <c r="B1480" i="3"/>
  <c r="C1480" i="3" s="1"/>
  <c r="F2006" i="3"/>
  <c r="K2006" i="3" s="1"/>
  <c r="B1983" i="3"/>
  <c r="C1983" i="3" s="1"/>
  <c r="J1705" i="3"/>
  <c r="H1278" i="3"/>
  <c r="H1173" i="3"/>
  <c r="B1173" i="3"/>
  <c r="C1173" i="3" s="1"/>
  <c r="I1144" i="3"/>
  <c r="H2352" i="3"/>
  <c r="F2352" i="3"/>
  <c r="K2352" i="3" s="1"/>
  <c r="G2249" i="3"/>
  <c r="J2028" i="3"/>
  <c r="I2014" i="3"/>
  <c r="B2163" i="3"/>
  <c r="C2163" i="3" s="1"/>
  <c r="F2056" i="3"/>
  <c r="K2056" i="3" s="1"/>
  <c r="B1918" i="3"/>
  <c r="C1918" i="3" s="1"/>
  <c r="B2018" i="3"/>
  <c r="C2018" i="3" s="1"/>
  <c r="I1971" i="3"/>
  <c r="H1694" i="3"/>
  <c r="G1694" i="3"/>
  <c r="B1985" i="3"/>
  <c r="C1985" i="3" s="1"/>
  <c r="H1529" i="3"/>
  <c r="J1152" i="3"/>
  <c r="J1268" i="3"/>
  <c r="I1202" i="3"/>
  <c r="F1073" i="3"/>
  <c r="K1073" i="3" s="1"/>
  <c r="J1073" i="3" s="1"/>
  <c r="F2094" i="3"/>
  <c r="K2094" i="3" s="1"/>
  <c r="J2006" i="3"/>
  <c r="B1338" i="3"/>
  <c r="C1338" i="3" s="1"/>
  <c r="I2400" i="3"/>
  <c r="I1892" i="3"/>
  <c r="G1253" i="3"/>
  <c r="G1210" i="3"/>
  <c r="F2400" i="3"/>
  <c r="K2400" i="3" s="1"/>
  <c r="B1994" i="3"/>
  <c r="C1994" i="3" s="1"/>
  <c r="K2019" i="3"/>
  <c r="B1854" i="3"/>
  <c r="C1854" i="3" s="1"/>
  <c r="F1630" i="3"/>
  <c r="K1630" i="3" s="1"/>
  <c r="H1630" i="3"/>
  <c r="F1985" i="3"/>
  <c r="K1985" i="3" s="1"/>
  <c r="K1529" i="3"/>
  <c r="H2048" i="3"/>
  <c r="H2010" i="3"/>
  <c r="I1666" i="3"/>
  <c r="F2151" i="3"/>
  <c r="K2151" i="3" s="1"/>
  <c r="J1278" i="3"/>
  <c r="J2400" i="3"/>
  <c r="F2200" i="3"/>
  <c r="K2200" i="3" s="1"/>
  <c r="G2014" i="3"/>
  <c r="F2028" i="3"/>
  <c r="K2028" i="3" s="1"/>
  <c r="I2071" i="3"/>
  <c r="J1854" i="3"/>
  <c r="G1971" i="3"/>
  <c r="H1985" i="3"/>
  <c r="B1529" i="3"/>
  <c r="C1529" i="3" s="1"/>
  <c r="I1199" i="3"/>
  <c r="H1149" i="3"/>
  <c r="B1663" i="3"/>
  <c r="C1663" i="3" s="1"/>
  <c r="G2151" i="3"/>
  <c r="H1165" i="3"/>
  <c r="F1397" i="3"/>
  <c r="K1397" i="3" s="1"/>
  <c r="I1173" i="3"/>
  <c r="H1789" i="3"/>
  <c r="J1789" i="3"/>
  <c r="B1199" i="3"/>
  <c r="C1199" i="3" s="1"/>
  <c r="G2400" i="3"/>
  <c r="J2014" i="3"/>
  <c r="J1985" i="3"/>
  <c r="I2976" i="3"/>
  <c r="I2200" i="3"/>
  <c r="G2163" i="3"/>
  <c r="F2048" i="3"/>
  <c r="K2048" i="3" s="1"/>
  <c r="F1731" i="3"/>
  <c r="K1731" i="3" s="1"/>
  <c r="I1601" i="3"/>
  <c r="B1268" i="3"/>
  <c r="C1268" i="3" s="1"/>
  <c r="G2541" i="3"/>
  <c r="B1808" i="3"/>
  <c r="C1808" i="3" s="1"/>
  <c r="F1972" i="3"/>
  <c r="K1972" i="3" s="1"/>
  <c r="G1731" i="3"/>
  <c r="F1742" i="3"/>
  <c r="K1742" i="3" s="1"/>
  <c r="G1612" i="3"/>
  <c r="J1694" i="3"/>
  <c r="I1672" i="3"/>
  <c r="F1732" i="3"/>
  <c r="K1732" i="3" s="1"/>
  <c r="J1387" i="3"/>
  <c r="H1152" i="3"/>
  <c r="B1152" i="3"/>
  <c r="C1152" i="3" s="1"/>
  <c r="I1149" i="3"/>
  <c r="F1280" i="3"/>
  <c r="K1280" i="3" s="1"/>
  <c r="H1268" i="3"/>
  <c r="H2184" i="3"/>
  <c r="I2184" i="3"/>
  <c r="H1666" i="3"/>
  <c r="B1340" i="3"/>
  <c r="C1340" i="3" s="1"/>
  <c r="J1338" i="3"/>
  <c r="G1199" i="3"/>
  <c r="B2184" i="3"/>
  <c r="C2184" i="3" s="1"/>
  <c r="J1643" i="3"/>
  <c r="H2976" i="3"/>
  <c r="G2815" i="3"/>
  <c r="I1694" i="3"/>
  <c r="J2520" i="3"/>
  <c r="B2541" i="3"/>
  <c r="C2541" i="3" s="1"/>
  <c r="G2352" i="3"/>
  <c r="J2301" i="3"/>
  <c r="F1983" i="3"/>
  <c r="K1983" i="3" s="1"/>
  <c r="F1892" i="3"/>
  <c r="K1892" i="3" s="1"/>
  <c r="H1854" i="3"/>
  <c r="G1832" i="3"/>
  <c r="F1149" i="3"/>
  <c r="F2398" i="3"/>
  <c r="K2398" i="3" s="1"/>
  <c r="G2184" i="3"/>
  <c r="I1663" i="3"/>
  <c r="I1994" i="3"/>
  <c r="F1338" i="3"/>
  <c r="K1338" i="3" s="1"/>
  <c r="J1589" i="3"/>
  <c r="B1589" i="3"/>
  <c r="C1589" i="3" s="1"/>
  <c r="G2048" i="3"/>
  <c r="B2923" i="3"/>
  <c r="C2923" i="3" s="1"/>
  <c r="F2815" i="3"/>
  <c r="K2815" i="3" s="1"/>
  <c r="I2444" i="3"/>
  <c r="B2301" i="3"/>
  <c r="C2301" i="3" s="1"/>
  <c r="G2220" i="3"/>
  <c r="J2163" i="3"/>
  <c r="B2202" i="3"/>
  <c r="C2202" i="3" s="1"/>
  <c r="J1947" i="3"/>
  <c r="I1832" i="3"/>
  <c r="G1345" i="3"/>
  <c r="J2184" i="3"/>
  <c r="J1994" i="3"/>
  <c r="H1743" i="3"/>
  <c r="H2163" i="3"/>
  <c r="J2058" i="3"/>
  <c r="F2140" i="3"/>
  <c r="K2140" i="3" s="1"/>
  <c r="B2241" i="3"/>
  <c r="C2241" i="3" s="1"/>
  <c r="G2018" i="3"/>
  <c r="B2048" i="3"/>
  <c r="C2048" i="3" s="1"/>
  <c r="I1983" i="3"/>
  <c r="K1199" i="3"/>
  <c r="J1199" i="3" s="1"/>
  <c r="I1589" i="3"/>
  <c r="H2246" i="3"/>
  <c r="B1894" i="3"/>
  <c r="C1894" i="3" s="1"/>
  <c r="B1282" i="3"/>
  <c r="C1282" i="3" s="1"/>
  <c r="F1153" i="3"/>
  <c r="K1153" i="3" s="1"/>
  <c r="J1153" i="3" s="1"/>
  <c r="H3070" i="3"/>
  <c r="H2973" i="3"/>
  <c r="J3070" i="3"/>
  <c r="I2973" i="3"/>
  <c r="B2375" i="3"/>
  <c r="C2375" i="3" s="1"/>
  <c r="F2421" i="3"/>
  <c r="K2421" i="3" s="1"/>
  <c r="I2210" i="3"/>
  <c r="I2171" i="3"/>
  <c r="J1848" i="3"/>
  <c r="I2661" i="3"/>
  <c r="J1894" i="3"/>
  <c r="H3081" i="3"/>
  <c r="H2210" i="3"/>
  <c r="I3022" i="3"/>
  <c r="G2895" i="3"/>
  <c r="J2973" i="3"/>
  <c r="H2703" i="3"/>
  <c r="J2203" i="3"/>
  <c r="G2441" i="3"/>
  <c r="B1740" i="3"/>
  <c r="C1740" i="3" s="1"/>
  <c r="J2661" i="3"/>
  <c r="G1074" i="3"/>
  <c r="J1870" i="3"/>
  <c r="H3052" i="3"/>
  <c r="B2862" i="3"/>
  <c r="C2862" i="3" s="1"/>
  <c r="B2861" i="3"/>
  <c r="C2861" i="3" s="1"/>
  <c r="F2661" i="3"/>
  <c r="K2661" i="3" s="1"/>
  <c r="J2344" i="3"/>
  <c r="B2171" i="3"/>
  <c r="C2171" i="3" s="1"/>
  <c r="F2105" i="3"/>
  <c r="K2105" i="3" s="1"/>
  <c r="H1848" i="3"/>
  <c r="G1740" i="3"/>
  <c r="G1870" i="3"/>
  <c r="B3023" i="3"/>
  <c r="C3023" i="3" s="1"/>
  <c r="H1858" i="3"/>
  <c r="G1282" i="3"/>
  <c r="I3070" i="3"/>
  <c r="F2916" i="3"/>
  <c r="K2916" i="3" s="1"/>
  <c r="F2697" i="3"/>
  <c r="K2697" i="3" s="1"/>
  <c r="B2735" i="3"/>
  <c r="C2735" i="3" s="1"/>
  <c r="H2607" i="3"/>
  <c r="I2436" i="3"/>
  <c r="H2171" i="3"/>
  <c r="F1897" i="3"/>
  <c r="K1897" i="3" s="1"/>
  <c r="B1897" i="3"/>
  <c r="C1897" i="3" s="1"/>
  <c r="I1858" i="3"/>
  <c r="I1755" i="3"/>
  <c r="B2902" i="3"/>
  <c r="C2902" i="3" s="1"/>
  <c r="J2607" i="3"/>
  <c r="I2424" i="3"/>
  <c r="B2330" i="3"/>
  <c r="C2330" i="3" s="1"/>
  <c r="J2268" i="3"/>
  <c r="J2115" i="3"/>
  <c r="G2246" i="3"/>
  <c r="F1084" i="3"/>
  <c r="K1084" i="3" s="1"/>
  <c r="J1084" i="3" s="1"/>
  <c r="G1858" i="3"/>
  <c r="F1870" i="3"/>
  <c r="K1870" i="3" s="1"/>
  <c r="B2960" i="3"/>
  <c r="C2960" i="3" s="1"/>
  <c r="I2344" i="3"/>
  <c r="G2105" i="3"/>
  <c r="I1848" i="3"/>
  <c r="I2246" i="3"/>
  <c r="F1074" i="3"/>
  <c r="K1074" i="3" s="1"/>
  <c r="J1074" i="3" s="1"/>
  <c r="H1153" i="3"/>
  <c r="J3022" i="3"/>
  <c r="I2823" i="3"/>
  <c r="B2260" i="3"/>
  <c r="C2260" i="3" s="1"/>
  <c r="F2260" i="3"/>
  <c r="K2260" i="3" s="1"/>
  <c r="H2355" i="3"/>
  <c r="I1891" i="3"/>
  <c r="I2895" i="3"/>
  <c r="J2639" i="3"/>
  <c r="G2639" i="3"/>
  <c r="H2735" i="3"/>
  <c r="F2289" i="3"/>
  <c r="K2289" i="3" s="1"/>
  <c r="G2260" i="3"/>
  <c r="F2344" i="3"/>
  <c r="K2344" i="3" s="1"/>
  <c r="B1891" i="3"/>
  <c r="C1891" i="3" s="1"/>
  <c r="B2441" i="3"/>
  <c r="C2441" i="3" s="1"/>
  <c r="B2421" i="3"/>
  <c r="C2421" i="3" s="1"/>
  <c r="F2234" i="3"/>
  <c r="K2234" i="3" s="1"/>
  <c r="F2268" i="3"/>
  <c r="K2268" i="3" s="1"/>
  <c r="B2783" i="3"/>
  <c r="C2783" i="3" s="1"/>
  <c r="H2421" i="3"/>
  <c r="H1431" i="3"/>
  <c r="B2738" i="3"/>
  <c r="C2738" i="3" s="1"/>
  <c r="I2704" i="3"/>
  <c r="J2375" i="3"/>
  <c r="I2268" i="3"/>
  <c r="G2199" i="3"/>
  <c r="I2190" i="3"/>
  <c r="G3109" i="3"/>
  <c r="H2199" i="3"/>
  <c r="G2115" i="3"/>
  <c r="B1346" i="3"/>
  <c r="C1346" i="3" s="1"/>
  <c r="F3070" i="3"/>
  <c r="K3070" i="3" s="1"/>
  <c r="J3023" i="3"/>
  <c r="B2973" i="3"/>
  <c r="C2973" i="3" s="1"/>
  <c r="J2702" i="3"/>
  <c r="G2421" i="3"/>
  <c r="J2199" i="3"/>
  <c r="J1932" i="3"/>
  <c r="G3070" i="3"/>
  <c r="G2973" i="3"/>
  <c r="H2639" i="3"/>
  <c r="J2735" i="3"/>
  <c r="J2441" i="3"/>
  <c r="F1894" i="3"/>
  <c r="K1894" i="3" s="1"/>
  <c r="B1870" i="3"/>
  <c r="C1870" i="3" s="1"/>
  <c r="F1282" i="3"/>
  <c r="K1282" i="3" s="1"/>
  <c r="G1153" i="3"/>
  <c r="J2765" i="3"/>
  <c r="B2703" i="3"/>
  <c r="C2703" i="3" s="1"/>
  <c r="J2703" i="3"/>
  <c r="K2765" i="3"/>
  <c r="F2783" i="3"/>
  <c r="K2783" i="3" s="1"/>
  <c r="G2701" i="3"/>
  <c r="B2892" i="3"/>
  <c r="C2892" i="3" s="1"/>
  <c r="G2765" i="3"/>
  <c r="G2783" i="3"/>
  <c r="I2796" i="3"/>
  <c r="I2852" i="3"/>
  <c r="G2704" i="3"/>
  <c r="F2704" i="3"/>
  <c r="K2704" i="3" s="1"/>
  <c r="G3130" i="3"/>
  <c r="H2892" i="3"/>
  <c r="H2765" i="3"/>
  <c r="B2914" i="3"/>
  <c r="C2914" i="3" s="1"/>
  <c r="H2704" i="3"/>
  <c r="H2783" i="3"/>
  <c r="I2763" i="3"/>
  <c r="J2743" i="3"/>
  <c r="B2701" i="3"/>
  <c r="C2701" i="3" s="1"/>
  <c r="B2174" i="3"/>
  <c r="C2174" i="3" s="1"/>
  <c r="H2852" i="3"/>
  <c r="I2783" i="3"/>
  <c r="F2701" i="3"/>
  <c r="K2701" i="3" s="1"/>
  <c r="G2892" i="3"/>
  <c r="J2704" i="3"/>
  <c r="H2701" i="3"/>
  <c r="G2852" i="3"/>
  <c r="I2701" i="3"/>
  <c r="I2175" i="3"/>
  <c r="H2367" i="3"/>
  <c r="F2172" i="3"/>
  <c r="K2172" i="3" s="1"/>
  <c r="G1995" i="3"/>
  <c r="B3074" i="3"/>
  <c r="C3074" i="3" s="1"/>
  <c r="F3009" i="3"/>
  <c r="K3009" i="3" s="1"/>
  <c r="B2765" i="3"/>
  <c r="C2765" i="3" s="1"/>
  <c r="F2115" i="3"/>
  <c r="K2115" i="3" s="1"/>
  <c r="J1949" i="3"/>
  <c r="G2821" i="3"/>
  <c r="B2818" i="3"/>
  <c r="C2818" i="3" s="1"/>
  <c r="G2916" i="3"/>
  <c r="B2916" i="3"/>
  <c r="C2916" i="3" s="1"/>
  <c r="H2916" i="3"/>
  <c r="I2703" i="3"/>
  <c r="I2916" i="3"/>
  <c r="H2560" i="3"/>
  <c r="I2818" i="3"/>
  <c r="H3085" i="3"/>
  <c r="G3074" i="3"/>
  <c r="J3039" i="3"/>
  <c r="H3045" i="3"/>
  <c r="J2894" i="3"/>
  <c r="G2795" i="3"/>
  <c r="G2555" i="3"/>
  <c r="I3039" i="3"/>
  <c r="I2765" i="3"/>
  <c r="J2868" i="3"/>
  <c r="F2445" i="3"/>
  <c r="K2445" i="3" s="1"/>
  <c r="I1153" i="3"/>
  <c r="B1153" i="3"/>
  <c r="C1153" i="3" s="1"/>
  <c r="B3000" i="3"/>
  <c r="C3000" i="3" s="1"/>
  <c r="J2852" i="3"/>
  <c r="F2703" i="3"/>
  <c r="K2703" i="3" s="1"/>
  <c r="I3129" i="3"/>
  <c r="G2378" i="3"/>
  <c r="H2103" i="3"/>
  <c r="G1913" i="3"/>
  <c r="I1783" i="3"/>
  <c r="G1217" i="3"/>
  <c r="J2198" i="3"/>
  <c r="G1792" i="3"/>
  <c r="I1712" i="3"/>
  <c r="F1710" i="3"/>
  <c r="K1710" i="3" s="1"/>
  <c r="H1478" i="3"/>
  <c r="I1322" i="3"/>
  <c r="G2538" i="3"/>
  <c r="B2089" i="3"/>
  <c r="C2089" i="3" s="1"/>
  <c r="H1569" i="3"/>
  <c r="I1569" i="3"/>
  <c r="H1297" i="3"/>
  <c r="H2538" i="3"/>
  <c r="F1567" i="3"/>
  <c r="K1567" i="3" s="1"/>
  <c r="B1506" i="3"/>
  <c r="C1506" i="3" s="1"/>
  <c r="G1714" i="3"/>
  <c r="H1234" i="3"/>
  <c r="H2459" i="3"/>
  <c r="H3108" i="3"/>
  <c r="F3074" i="3"/>
  <c r="K3074" i="3" s="1"/>
  <c r="G3050" i="3"/>
  <c r="F2871" i="3"/>
  <c r="K2871" i="3" s="1"/>
  <c r="B2937" i="3"/>
  <c r="C2937" i="3" s="1"/>
  <c r="F2631" i="3"/>
  <c r="K2631" i="3" s="1"/>
  <c r="J2393" i="3"/>
  <c r="F2393" i="3"/>
  <c r="K2393" i="3" s="1"/>
  <c r="F2579" i="3"/>
  <c r="K2579" i="3" s="1"/>
  <c r="H2442" i="3"/>
  <c r="H2569" i="3"/>
  <c r="I2141" i="3"/>
  <c r="J1704" i="3"/>
  <c r="B1867" i="3"/>
  <c r="C1867" i="3" s="1"/>
  <c r="H1943" i="3"/>
  <c r="G1562" i="3"/>
  <c r="I1792" i="3"/>
  <c r="J1295" i="3"/>
  <c r="F1378" i="3"/>
  <c r="K1378" i="3" s="1"/>
  <c r="J1447" i="3"/>
  <c r="H2336" i="3"/>
  <c r="G1233" i="3"/>
  <c r="B3108" i="3"/>
  <c r="C3108" i="3" s="1"/>
  <c r="I2461" i="3"/>
  <c r="I3108" i="3"/>
  <c r="B3032" i="3"/>
  <c r="C3032" i="3" s="1"/>
  <c r="H2908" i="3"/>
  <c r="H2631" i="3"/>
  <c r="H2833" i="3"/>
  <c r="F2577" i="3"/>
  <c r="K2577" i="3" s="1"/>
  <c r="B2856" i="3"/>
  <c r="C2856" i="3" s="1"/>
  <c r="G2579" i="3"/>
  <c r="B2562" i="3"/>
  <c r="C2562" i="3" s="1"/>
  <c r="H2437" i="3"/>
  <c r="F2548" i="3"/>
  <c r="K2548" i="3" s="1"/>
  <c r="H2174" i="3"/>
  <c r="J2141" i="3"/>
  <c r="F2034" i="3"/>
  <c r="K2034" i="3" s="1"/>
  <c r="F2057" i="3"/>
  <c r="K2057" i="3" s="1"/>
  <c r="F1857" i="3"/>
  <c r="K1857" i="3" s="1"/>
  <c r="F1762" i="3"/>
  <c r="K1762" i="3" s="1"/>
  <c r="B1714" i="3"/>
  <c r="C1714" i="3" s="1"/>
  <c r="J1792" i="3"/>
  <c r="F1538" i="3"/>
  <c r="K1538" i="3" s="1"/>
  <c r="B1587" i="3"/>
  <c r="C1587" i="3" s="1"/>
  <c r="J1246" i="3"/>
  <c r="B1234" i="3"/>
  <c r="C1234" i="3" s="1"/>
  <c r="I2443" i="3"/>
  <c r="B2370" i="3"/>
  <c r="C2370" i="3" s="1"/>
  <c r="B2180" i="3"/>
  <c r="C2180" i="3" s="1"/>
  <c r="H1085" i="3"/>
  <c r="B1567" i="3"/>
  <c r="C1567" i="3" s="1"/>
  <c r="F2443" i="3"/>
  <c r="K2443" i="3" s="1"/>
  <c r="F2538" i="3"/>
  <c r="K2538" i="3" s="1"/>
  <c r="G2442" i="3"/>
  <c r="F2569" i="3"/>
  <c r="K2569" i="3" s="1"/>
  <c r="I2517" i="3"/>
  <c r="F2517" i="3"/>
  <c r="K2517" i="3" s="1"/>
  <c r="G2437" i="3"/>
  <c r="B2459" i="3"/>
  <c r="C2459" i="3" s="1"/>
  <c r="B2434" i="3"/>
  <c r="C2434" i="3" s="1"/>
  <c r="F2064" i="3"/>
  <c r="K2064" i="3" s="1"/>
  <c r="H2141" i="3"/>
  <c r="H1792" i="3"/>
  <c r="J1712" i="3"/>
  <c r="H2365" i="3"/>
  <c r="I2579" i="3"/>
  <c r="J2461" i="3"/>
  <c r="B2442" i="3"/>
  <c r="C2442" i="3" s="1"/>
  <c r="I2359" i="3"/>
  <c r="G2548" i="3"/>
  <c r="H2128" i="3"/>
  <c r="G1840" i="3"/>
  <c r="J1684" i="3"/>
  <c r="J1714" i="3"/>
  <c r="F1587" i="3"/>
  <c r="K1587" i="3" s="1"/>
  <c r="F1403" i="3"/>
  <c r="K1403" i="3" s="1"/>
  <c r="H1081" i="3"/>
  <c r="H2370" i="3"/>
  <c r="F1678" i="3"/>
  <c r="K1678" i="3" s="1"/>
  <c r="F1506" i="3"/>
  <c r="K1506" i="3" s="1"/>
  <c r="G1704" i="3"/>
  <c r="H1567" i="3"/>
  <c r="J1567" i="3"/>
  <c r="I1185" i="3"/>
  <c r="F3108" i="3"/>
  <c r="K3108" i="3" s="1"/>
  <c r="B2271" i="3"/>
  <c r="C2271" i="3" s="1"/>
  <c r="B1712" i="3"/>
  <c r="C1712" i="3" s="1"/>
  <c r="I1478" i="3"/>
  <c r="F2608" i="3"/>
  <c r="K2608" i="3" s="1"/>
  <c r="H2937" i="3"/>
  <c r="I2393" i="3"/>
  <c r="G2562" i="3"/>
  <c r="H2548" i="3"/>
  <c r="I2300" i="3"/>
  <c r="J1943" i="3"/>
  <c r="B1562" i="3"/>
  <c r="C1562" i="3" s="1"/>
  <c r="I1217" i="3"/>
  <c r="G1587" i="3"/>
  <c r="G1322" i="3"/>
  <c r="B1534" i="3"/>
  <c r="C1534" i="3" s="1"/>
  <c r="H1378" i="3"/>
  <c r="H1222" i="3"/>
  <c r="G1426" i="3"/>
  <c r="B1069" i="3"/>
  <c r="C1069" i="3" s="1"/>
  <c r="H1070" i="3"/>
  <c r="B2538" i="3"/>
  <c r="C2538" i="3" s="1"/>
  <c r="I1506" i="3"/>
  <c r="B1704" i="3"/>
  <c r="C1704" i="3" s="1"/>
  <c r="J1496" i="3"/>
  <c r="F2336" i="3"/>
  <c r="K2336" i="3" s="1"/>
  <c r="G2128" i="3"/>
  <c r="G2087" i="3"/>
  <c r="G2569" i="3"/>
  <c r="F1234" i="3"/>
  <c r="F1426" i="3"/>
  <c r="K1426" i="3" s="1"/>
  <c r="J3108" i="3"/>
  <c r="F2562" i="3"/>
  <c r="K2562" i="3" s="1"/>
  <c r="J3139" i="3"/>
  <c r="I2968" i="3"/>
  <c r="B2871" i="3"/>
  <c r="C2871" i="3" s="1"/>
  <c r="I2937" i="3"/>
  <c r="I2607" i="3"/>
  <c r="H2472" i="3"/>
  <c r="H2562" i="3"/>
  <c r="I2434" i="3"/>
  <c r="I2548" i="3"/>
  <c r="I2128" i="3"/>
  <c r="I2180" i="3"/>
  <c r="F2198" i="3"/>
  <c r="K2198" i="3" s="1"/>
  <c r="G1617" i="3"/>
  <c r="H1587" i="3"/>
  <c r="H1217" i="3"/>
  <c r="G1279" i="3"/>
  <c r="J1415" i="3"/>
  <c r="F1341" i="3"/>
  <c r="K1341" i="3" s="1"/>
  <c r="F1534" i="3"/>
  <c r="K1534" i="3" s="1"/>
  <c r="H1426" i="3"/>
  <c r="I2132" i="3"/>
  <c r="J1906" i="3"/>
  <c r="B2332" i="3"/>
  <c r="C2332" i="3" s="1"/>
  <c r="G1533" i="3"/>
  <c r="I1085" i="3"/>
  <c r="J2128" i="3"/>
  <c r="J2871" i="3"/>
  <c r="H3109" i="3"/>
  <c r="J2937" i="3"/>
  <c r="I2608" i="3"/>
  <c r="B2631" i="3"/>
  <c r="C2631" i="3" s="1"/>
  <c r="G2856" i="3"/>
  <c r="J2365" i="3"/>
  <c r="F2437" i="3"/>
  <c r="K2437" i="3" s="1"/>
  <c r="G2420" i="3"/>
  <c r="B2437" i="3"/>
  <c r="C2437" i="3" s="1"/>
  <c r="I2468" i="3"/>
  <c r="J2271" i="3"/>
  <c r="H1840" i="3"/>
  <c r="F1840" i="3"/>
  <c r="K1840" i="3" s="1"/>
  <c r="J1617" i="3"/>
  <c r="B1719" i="3"/>
  <c r="C1719" i="3" s="1"/>
  <c r="I1587" i="3"/>
  <c r="I1295" i="3"/>
  <c r="F1217" i="3"/>
  <c r="G1341" i="3"/>
  <c r="G1534" i="3"/>
  <c r="B1257" i="3"/>
  <c r="C1257" i="3" s="1"/>
  <c r="G1378" i="3"/>
  <c r="B1989" i="3"/>
  <c r="C1989" i="3" s="1"/>
  <c r="K1410" i="3"/>
  <c r="B2569" i="3"/>
  <c r="C2569" i="3" s="1"/>
  <c r="F2937" i="3"/>
  <c r="K2937" i="3" s="1"/>
  <c r="G2631" i="3"/>
  <c r="H2856" i="3"/>
  <c r="J2434" i="3"/>
  <c r="I2212" i="3"/>
  <c r="G2461" i="3"/>
  <c r="B1622" i="3"/>
  <c r="C1622" i="3" s="1"/>
  <c r="G1989" i="3"/>
  <c r="F1533" i="3"/>
  <c r="K1533" i="3" s="1"/>
  <c r="I1410" i="3"/>
  <c r="B1596" i="3"/>
  <c r="C1596" i="3" s="1"/>
  <c r="J1596" i="3"/>
  <c r="B2472" i="3"/>
  <c r="C2472" i="3" s="1"/>
  <c r="G2336" i="3"/>
  <c r="G1867" i="3"/>
  <c r="G1721" i="3"/>
  <c r="F3032" i="3"/>
  <c r="K3032" i="3" s="1"/>
  <c r="B2687" i="3"/>
  <c r="C2687" i="3" s="1"/>
  <c r="I2856" i="3"/>
  <c r="K2442" i="3"/>
  <c r="I2569" i="3"/>
  <c r="F2359" i="3"/>
  <c r="K2359" i="3" s="1"/>
  <c r="B2198" i="3"/>
  <c r="C2198" i="3" s="1"/>
  <c r="F1562" i="3"/>
  <c r="K1562" i="3" s="1"/>
  <c r="H1721" i="3"/>
  <c r="F1661" i="3"/>
  <c r="K1661" i="3" s="1"/>
  <c r="J1267" i="3"/>
  <c r="F1166" i="3"/>
  <c r="O1024" i="2" s="1"/>
  <c r="J1322" i="3"/>
  <c r="I1534" i="3"/>
  <c r="G1447" i="3"/>
  <c r="I1222" i="3"/>
  <c r="F2384" i="3"/>
  <c r="K2384" i="3" s="1"/>
  <c r="H2461" i="3"/>
  <c r="B1906" i="3"/>
  <c r="C1906" i="3" s="1"/>
  <c r="J1533" i="3"/>
  <c r="G1185" i="3"/>
  <c r="B1085" i="3"/>
  <c r="C1085" i="3" s="1"/>
  <c r="J1698" i="3"/>
  <c r="G2434" i="3"/>
  <c r="B2128" i="3"/>
  <c r="C2128" i="3" s="1"/>
  <c r="H1712" i="3"/>
  <c r="J2908" i="3"/>
  <c r="J2538" i="3"/>
  <c r="J2856" i="3"/>
  <c r="J2459" i="3"/>
  <c r="B2548" i="3"/>
  <c r="C2548" i="3" s="1"/>
  <c r="F2434" i="3"/>
  <c r="K2434" i="3" s="1"/>
  <c r="G2180" i="3"/>
  <c r="H2198" i="3"/>
  <c r="J1538" i="3"/>
  <c r="I1721" i="3"/>
  <c r="I1403" i="3"/>
  <c r="B2443" i="3"/>
  <c r="C2443" i="3" s="1"/>
  <c r="I2384" i="3"/>
  <c r="F1906" i="3"/>
  <c r="K1906" i="3" s="1"/>
  <c r="H1533" i="3"/>
  <c r="F1085" i="3"/>
  <c r="K1085" i="3" s="1"/>
  <c r="J1085" i="3" s="1"/>
  <c r="I1567" i="3"/>
  <c r="F1267" i="3"/>
  <c r="K1267" i="3" s="1"/>
  <c r="H1596" i="3"/>
  <c r="I3032" i="3"/>
  <c r="G2536" i="3"/>
  <c r="G2472" i="3"/>
  <c r="G2365" i="3"/>
  <c r="J2442" i="3"/>
  <c r="B2336" i="3"/>
  <c r="C2336" i="3" s="1"/>
  <c r="B2573" i="3"/>
  <c r="C2573" i="3" s="1"/>
  <c r="K2174" i="3"/>
  <c r="F1654" i="3"/>
  <c r="K1654" i="3" s="1"/>
  <c r="G1403" i="3"/>
  <c r="H1322" i="3"/>
  <c r="I1189" i="3"/>
  <c r="K1113" i="3"/>
  <c r="J1113" i="3" s="1"/>
  <c r="G1081" i="3"/>
  <c r="J2384" i="3"/>
  <c r="B2066" i="3"/>
  <c r="C2066" i="3" s="1"/>
  <c r="H1906" i="3"/>
  <c r="F2102" i="3"/>
  <c r="K2102" i="3" s="1"/>
  <c r="G1703" i="3"/>
  <c r="G1678" i="3"/>
  <c r="G1654" i="3"/>
  <c r="I1533" i="3"/>
  <c r="G1478" i="3"/>
  <c r="I2631" i="3"/>
  <c r="B2798" i="3"/>
  <c r="C2798" i="3" s="1"/>
  <c r="J2517" i="3"/>
  <c r="J2579" i="3"/>
  <c r="J2437" i="3"/>
  <c r="B2529" i="3"/>
  <c r="C2529" i="3" s="1"/>
  <c r="F2573" i="3"/>
  <c r="K2573" i="3" s="1"/>
  <c r="J2180" i="3"/>
  <c r="F1712" i="3"/>
  <c r="K1712" i="3" s="1"/>
  <c r="G1710" i="3"/>
  <c r="J1279" i="3"/>
  <c r="F1279" i="3"/>
  <c r="K1279" i="3" s="1"/>
  <c r="I1426" i="3"/>
  <c r="B1081" i="3"/>
  <c r="C1081" i="3" s="1"/>
  <c r="H2384" i="3"/>
  <c r="H2066" i="3"/>
  <c r="H1654" i="3"/>
  <c r="F1070" i="3"/>
  <c r="K1070" i="3" s="1"/>
  <c r="J1070" i="3" s="1"/>
  <c r="F2687" i="3"/>
  <c r="K2687" i="3" s="1"/>
  <c r="F2529" i="3"/>
  <c r="K2529" i="3" s="1"/>
  <c r="H1710" i="3"/>
  <c r="I1279" i="3"/>
  <c r="J1222" i="3"/>
  <c r="G2443" i="3"/>
  <c r="G2384" i="3"/>
  <c r="J2055" i="3"/>
  <c r="B1746" i="3"/>
  <c r="C1746" i="3" s="1"/>
  <c r="I1654" i="3"/>
  <c r="G2359" i="3"/>
  <c r="F2798" i="3"/>
  <c r="K2798" i="3" s="1"/>
  <c r="J3093" i="3"/>
  <c r="H3032" i="3"/>
  <c r="J2957" i="3"/>
  <c r="G2798" i="3"/>
  <c r="F2833" i="3"/>
  <c r="K2833" i="3" s="1"/>
  <c r="I2336" i="3"/>
  <c r="J2468" i="3"/>
  <c r="G2529" i="3"/>
  <c r="H2573" i="3"/>
  <c r="H2180" i="3"/>
  <c r="J2057" i="3"/>
  <c r="I2198" i="3"/>
  <c r="H2087" i="3"/>
  <c r="F2271" i="3"/>
  <c r="K2271" i="3" s="1"/>
  <c r="B1840" i="3"/>
  <c r="C1840" i="3" s="1"/>
  <c r="H1538" i="3"/>
  <c r="F1719" i="3"/>
  <c r="K1719" i="3" s="1"/>
  <c r="I1710" i="3"/>
  <c r="H1166" i="3"/>
  <c r="B1297" i="3"/>
  <c r="C1297" i="3" s="1"/>
  <c r="F1322" i="3"/>
  <c r="K1322" i="3" s="1"/>
  <c r="K1213" i="3"/>
  <c r="J1213" i="3" s="1"/>
  <c r="H2443" i="3"/>
  <c r="B1267" i="3"/>
  <c r="C1267" i="3" s="1"/>
  <c r="G2517" i="3"/>
  <c r="G2573" i="3"/>
  <c r="F1867" i="3"/>
  <c r="K1867" i="3" s="1"/>
  <c r="B1538" i="3"/>
  <c r="C1538" i="3" s="1"/>
  <c r="G2833" i="3"/>
  <c r="I2442" i="3"/>
  <c r="B2300" i="3"/>
  <c r="C2300" i="3" s="1"/>
  <c r="F2078" i="3"/>
  <c r="K2078" i="3" s="1"/>
  <c r="G2271" i="3"/>
  <c r="I1840" i="3"/>
  <c r="H1562" i="3"/>
  <c r="I1617" i="3"/>
  <c r="G1719" i="3"/>
  <c r="J1710" i="3"/>
  <c r="F1478" i="3"/>
  <c r="K1478" i="3" s="1"/>
  <c r="B1478" i="3"/>
  <c r="C1478" i="3" s="1"/>
  <c r="B1279" i="3"/>
  <c r="C1279" i="3" s="1"/>
  <c r="J1427" i="3"/>
  <c r="I2370" i="3"/>
  <c r="I1906" i="3"/>
  <c r="H1410" i="3"/>
  <c r="G3032" i="3"/>
  <c r="B2461" i="3"/>
  <c r="C2461" i="3" s="1"/>
  <c r="I3082" i="3"/>
  <c r="I2798" i="3"/>
  <c r="B2607" i="3"/>
  <c r="C2607" i="3" s="1"/>
  <c r="H2393" i="3"/>
  <c r="B2393" i="3"/>
  <c r="C2393" i="3" s="1"/>
  <c r="H2529" i="3"/>
  <c r="I2150" i="3"/>
  <c r="I2573" i="3"/>
  <c r="J2042" i="3"/>
  <c r="J2798" i="3"/>
  <c r="I2833" i="3"/>
  <c r="F2607" i="3"/>
  <c r="K2607" i="3" s="1"/>
  <c r="G2468" i="3"/>
  <c r="I2529" i="3"/>
  <c r="F2300" i="3"/>
  <c r="K2300" i="3" s="1"/>
  <c r="H2078" i="3"/>
  <c r="H2271" i="3"/>
  <c r="H1719" i="3"/>
  <c r="F1496" i="3"/>
  <c r="K1496" i="3" s="1"/>
  <c r="G1166" i="3"/>
  <c r="H1189" i="3"/>
  <c r="I1447" i="3"/>
  <c r="G2132" i="3"/>
  <c r="F1746" i="3"/>
  <c r="K1746" i="3" s="1"/>
  <c r="J1410" i="3"/>
  <c r="J2300" i="3"/>
  <c r="H1617" i="3"/>
  <c r="G1496" i="3"/>
  <c r="B1256" i="3"/>
  <c r="C1256" i="3" s="1"/>
  <c r="B1217" i="3"/>
  <c r="C1217" i="3" s="1"/>
  <c r="J1426" i="3"/>
  <c r="B2833" i="3"/>
  <c r="C2833" i="3" s="1"/>
  <c r="J2379" i="3"/>
  <c r="F2968" i="3"/>
  <c r="K2968" i="3" s="1"/>
  <c r="F2807" i="3"/>
  <c r="K2807" i="3" s="1"/>
  <c r="I2472" i="3"/>
  <c r="H2468" i="3"/>
  <c r="G1256" i="3"/>
  <c r="F1256" i="3"/>
  <c r="K1256" i="3" s="1"/>
  <c r="I1297" i="3"/>
  <c r="G1297" i="3"/>
  <c r="I1213" i="3"/>
  <c r="G1746" i="3"/>
  <c r="B1410" i="3"/>
  <c r="C1410" i="3" s="1"/>
  <c r="B3064" i="3"/>
  <c r="C3064" i="3" s="1"/>
  <c r="J1924" i="3"/>
  <c r="G2805" i="3"/>
  <c r="G3064" i="3"/>
  <c r="B2821" i="3"/>
  <c r="C2821" i="3" s="1"/>
  <c r="I2831" i="3"/>
  <c r="F2691" i="3"/>
  <c r="K2691" i="3" s="1"/>
  <c r="G2880" i="3"/>
  <c r="I1831" i="3"/>
  <c r="H1295" i="3"/>
  <c r="J1506" i="3"/>
  <c r="I3064" i="3"/>
  <c r="G3009" i="3"/>
  <c r="F2860" i="3"/>
  <c r="K2860" i="3" s="1"/>
  <c r="B2900" i="3"/>
  <c r="C2900" i="3" s="1"/>
  <c r="I2551" i="3"/>
  <c r="G2310" i="3"/>
  <c r="H2333" i="3"/>
  <c r="H1257" i="3"/>
  <c r="I1256" i="3"/>
  <c r="B1113" i="3"/>
  <c r="C1113" i="3" s="1"/>
  <c r="F1319" i="3"/>
  <c r="K1319" i="3" s="1"/>
  <c r="J3064" i="3"/>
  <c r="G1295" i="3"/>
  <c r="H3089" i="3"/>
  <c r="I3089" i="3"/>
  <c r="I2957" i="3"/>
  <c r="F1161" i="3"/>
  <c r="I1319" i="3"/>
  <c r="G1844" i="3"/>
  <c r="B3039" i="3"/>
  <c r="C3039" i="3" s="1"/>
  <c r="I2962" i="3"/>
  <c r="G2761" i="3"/>
  <c r="F2818" i="3"/>
  <c r="K2818" i="3" s="1"/>
  <c r="F2468" i="3"/>
  <c r="K2468" i="3" s="1"/>
  <c r="F1295" i="3"/>
  <c r="K1295" i="3" s="1"/>
  <c r="G1506" i="3"/>
  <c r="H1576" i="3"/>
  <c r="F2982" i="3"/>
  <c r="K2982" i="3" s="1"/>
  <c r="B3089" i="3"/>
  <c r="C3089" i="3" s="1"/>
  <c r="H2051" i="3"/>
  <c r="I3044" i="3"/>
  <c r="H2818" i="3"/>
  <c r="F1394" i="3"/>
  <c r="K1394" i="3" s="1"/>
  <c r="H1394" i="3"/>
  <c r="B2116" i="3"/>
  <c r="C2116" i="3" s="1"/>
  <c r="I1394" i="3"/>
  <c r="G1427" i="3"/>
  <c r="F3130" i="3"/>
  <c r="K3130" i="3" s="1"/>
  <c r="G2116" i="3"/>
  <c r="F2116" i="3"/>
  <c r="K2116" i="3" s="1"/>
  <c r="B1394" i="3"/>
  <c r="C1394" i="3" s="1"/>
  <c r="F1167" i="3"/>
  <c r="K1167" i="3" s="1"/>
  <c r="J1167" i="3" s="1"/>
  <c r="G2951" i="3"/>
  <c r="G2612" i="3"/>
  <c r="H2116" i="3"/>
  <c r="B1762" i="3"/>
  <c r="C1762" i="3" s="1"/>
  <c r="I1113" i="3"/>
  <c r="G1161" i="3"/>
  <c r="G1113" i="3"/>
  <c r="F1931" i="3"/>
  <c r="K1931" i="3" s="1"/>
  <c r="B1576" i="3"/>
  <c r="C1576" i="3" s="1"/>
  <c r="G1394" i="3"/>
  <c r="B1166" i="3"/>
  <c r="C1166" i="3" s="1"/>
  <c r="G3089" i="3"/>
  <c r="J3128" i="3"/>
  <c r="J3073" i="3"/>
  <c r="F3088" i="3"/>
  <c r="K3088" i="3" s="1"/>
  <c r="H3139" i="3"/>
  <c r="G2931" i="3"/>
  <c r="G3045" i="3"/>
  <c r="F1427" i="3"/>
  <c r="K1427" i="3" s="1"/>
  <c r="H2540" i="3"/>
  <c r="J1867" i="3"/>
  <c r="I1576" i="3"/>
  <c r="G1167" i="3"/>
  <c r="K1257" i="3"/>
  <c r="H3062" i="3"/>
  <c r="I3088" i="3"/>
  <c r="J3045" i="3"/>
  <c r="F3045" i="3"/>
  <c r="K3045" i="3" s="1"/>
  <c r="G2804" i="3"/>
  <c r="H1427" i="3"/>
  <c r="H1867" i="3"/>
  <c r="J1257" i="3"/>
  <c r="H1167" i="3"/>
  <c r="F1576" i="3"/>
  <c r="K1576" i="3" s="1"/>
  <c r="F1246" i="3"/>
  <c r="K1246" i="3" s="1"/>
  <c r="F2572" i="3"/>
  <c r="K2572" i="3" s="1"/>
  <c r="I1161" i="3"/>
  <c r="J1562" i="3"/>
  <c r="H1113" i="3"/>
  <c r="B1161" i="3"/>
  <c r="C1161" i="3" s="1"/>
  <c r="G1257" i="3"/>
  <c r="B3139" i="3"/>
  <c r="C3139" i="3" s="1"/>
  <c r="F3139" i="3"/>
  <c r="K3139" i="3" s="1"/>
  <c r="F2872" i="3"/>
  <c r="K2872" i="3" s="1"/>
  <c r="F1081" i="3"/>
  <c r="K1081" i="3" s="1"/>
  <c r="J1081" i="3" s="1"/>
  <c r="J1319" i="3"/>
  <c r="G1538" i="3"/>
  <c r="I3139" i="3"/>
  <c r="J1256" i="3"/>
  <c r="F2863" i="3"/>
  <c r="K2863" i="3" s="1"/>
  <c r="F3064" i="3"/>
  <c r="K3064" i="3" s="1"/>
  <c r="H3048" i="3"/>
  <c r="B2848" i="3"/>
  <c r="C2848" i="3" s="1"/>
  <c r="B2922" i="3"/>
  <c r="C2922" i="3" s="1"/>
  <c r="H2733" i="3"/>
  <c r="J2499" i="3"/>
  <c r="G2863" i="3"/>
  <c r="I2352" i="3"/>
  <c r="B2444" i="3"/>
  <c r="C2444" i="3" s="1"/>
  <c r="H2301" i="3"/>
  <c r="H2099" i="3"/>
  <c r="J1972" i="3"/>
  <c r="H2055" i="3"/>
  <c r="F2922" i="3"/>
  <c r="K2922" i="3" s="1"/>
  <c r="B2535" i="3"/>
  <c r="C2535" i="3" s="1"/>
  <c r="H2863" i="3"/>
  <c r="I2301" i="3"/>
  <c r="B2193" i="3"/>
  <c r="C2193" i="3" s="1"/>
  <c r="I1972" i="3"/>
  <c r="F1642" i="3"/>
  <c r="K1642" i="3" s="1"/>
  <c r="G2848" i="3"/>
  <c r="I2948" i="3"/>
  <c r="H2848" i="3"/>
  <c r="G2922" i="3"/>
  <c r="I2863" i="3"/>
  <c r="H3133" i="3"/>
  <c r="H3011" i="3"/>
  <c r="F3048" i="3"/>
  <c r="K3048" i="3" s="1"/>
  <c r="H2922" i="3"/>
  <c r="H2712" i="3"/>
  <c r="F2664" i="3"/>
  <c r="K2664" i="3" s="1"/>
  <c r="H2400" i="3"/>
  <c r="J2272" i="3"/>
  <c r="J2863" i="3"/>
  <c r="J2140" i="3"/>
  <c r="K2301" i="3"/>
  <c r="G1547" i="3"/>
  <c r="H1642" i="3"/>
  <c r="J3048" i="3"/>
  <c r="I2922" i="3"/>
  <c r="B2659" i="3"/>
  <c r="C2659" i="3" s="1"/>
  <c r="G2516" i="3"/>
  <c r="F2592" i="3"/>
  <c r="K2592" i="3" s="1"/>
  <c r="F2193" i="3"/>
  <c r="K2193" i="3" s="1"/>
  <c r="G1283" i="3"/>
  <c r="F1547" i="3"/>
  <c r="K1547" i="3" s="1"/>
  <c r="F1231" i="3"/>
  <c r="F2659" i="3"/>
  <c r="K2659" i="3" s="1"/>
  <c r="G3099" i="3"/>
  <c r="J2896" i="3"/>
  <c r="B2664" i="3"/>
  <c r="C2664" i="3" s="1"/>
  <c r="J2880" i="3"/>
  <c r="I2678" i="3"/>
  <c r="H2507" i="3"/>
  <c r="H2592" i="3"/>
  <c r="G2301" i="3"/>
  <c r="I2140" i="3"/>
  <c r="F2220" i="3"/>
  <c r="K2220" i="3" s="1"/>
  <c r="F3133" i="3"/>
  <c r="K3133" i="3" s="1"/>
  <c r="J3099" i="3"/>
  <c r="H2754" i="3"/>
  <c r="K2880" i="3"/>
  <c r="I2440" i="3"/>
  <c r="I2499" i="3"/>
  <c r="J2507" i="3"/>
  <c r="I2592" i="3"/>
  <c r="H2220" i="3"/>
  <c r="B2352" i="3"/>
  <c r="C2352" i="3" s="1"/>
  <c r="H1484" i="3"/>
  <c r="J1547" i="3"/>
  <c r="G2592" i="3"/>
  <c r="B3088" i="3"/>
  <c r="C3088" i="3" s="1"/>
  <c r="F2804" i="3"/>
  <c r="K2804" i="3" s="1"/>
  <c r="F2683" i="3"/>
  <c r="K2683" i="3" s="1"/>
  <c r="B2880" i="3"/>
  <c r="C2880" i="3" s="1"/>
  <c r="F2599" i="3"/>
  <c r="K2599" i="3" s="1"/>
  <c r="I2358" i="3"/>
  <c r="I2520" i="3"/>
  <c r="G2457" i="3"/>
  <c r="J2592" i="3"/>
  <c r="J2220" i="3"/>
  <c r="J2948" i="3"/>
  <c r="B2599" i="3"/>
  <c r="C2599" i="3" s="1"/>
  <c r="I1339" i="3"/>
  <c r="F1283" i="3"/>
  <c r="K1283" i="3" s="1"/>
  <c r="H2599" i="3"/>
  <c r="J3088" i="3"/>
  <c r="I2848" i="3"/>
  <c r="J2804" i="3"/>
  <c r="G2664" i="3"/>
  <c r="I2599" i="3"/>
  <c r="G2358" i="3"/>
  <c r="K2457" i="3"/>
  <c r="I1412" i="3"/>
  <c r="G2896" i="3"/>
  <c r="F2614" i="3"/>
  <c r="K2614" i="3" s="1"/>
  <c r="I2580" i="3"/>
  <c r="J2683" i="3"/>
  <c r="F3044" i="3"/>
  <c r="K3044" i="3" s="1"/>
  <c r="F2848" i="3"/>
  <c r="K2848" i="3" s="1"/>
  <c r="J2457" i="3"/>
  <c r="J2193" i="3"/>
  <c r="G3044" i="3"/>
  <c r="J2614" i="3"/>
  <c r="H2457" i="3"/>
  <c r="H2140" i="3"/>
  <c r="H2272" i="3"/>
  <c r="K3022" i="3"/>
  <c r="F3089" i="3"/>
  <c r="K3089" i="3" s="1"/>
  <c r="J3014" i="3"/>
  <c r="J3052" i="3"/>
  <c r="G2712" i="3"/>
  <c r="G2683" i="3"/>
  <c r="I2664" i="3"/>
  <c r="F2438" i="3"/>
  <c r="K2438" i="3" s="1"/>
  <c r="J2339" i="3"/>
  <c r="B1972" i="3"/>
  <c r="C1972" i="3" s="1"/>
  <c r="J1645" i="3"/>
  <c r="J2664" i="3"/>
  <c r="F2712" i="3"/>
  <c r="K2712" i="3" s="1"/>
  <c r="I2712" i="3"/>
  <c r="F2535" i="3"/>
  <c r="K2535" i="3" s="1"/>
  <c r="I2896" i="3"/>
  <c r="I2659" i="3"/>
  <c r="H2659" i="3"/>
  <c r="J2179" i="3"/>
  <c r="G1450" i="3"/>
  <c r="H1270" i="3"/>
  <c r="I2372" i="3"/>
  <c r="F2671" i="3"/>
  <c r="K2671" i="3" s="1"/>
  <c r="I2771" i="3"/>
  <c r="H2571" i="3"/>
  <c r="G2345" i="3"/>
  <c r="B2150" i="3"/>
  <c r="C2150" i="3" s="1"/>
  <c r="G2150" i="3"/>
  <c r="I1757" i="3"/>
  <c r="I1681" i="3"/>
  <c r="J3130" i="3"/>
  <c r="J2966" i="3"/>
  <c r="I2894" i="3"/>
  <c r="J2914" i="3"/>
  <c r="F2782" i="3"/>
  <c r="K2782" i="3" s="1"/>
  <c r="J2693" i="3"/>
  <c r="J2713" i="3"/>
  <c r="J2771" i="3"/>
  <c r="I2571" i="3"/>
  <c r="J2453" i="3"/>
  <c r="F2145" i="3"/>
  <c r="K2145" i="3" s="1"/>
  <c r="H2150" i="3"/>
  <c r="F2065" i="3"/>
  <c r="K2065" i="3" s="1"/>
  <c r="F2097" i="3"/>
  <c r="K2097" i="3" s="1"/>
  <c r="I2129" i="3"/>
  <c r="F1681" i="3"/>
  <c r="K1681" i="3" s="1"/>
  <c r="G2276" i="3"/>
  <c r="I3009" i="3"/>
  <c r="B2894" i="3"/>
  <c r="C2894" i="3" s="1"/>
  <c r="I2655" i="3"/>
  <c r="B2713" i="3"/>
  <c r="C2713" i="3" s="1"/>
  <c r="J2571" i="3"/>
  <c r="J2077" i="3"/>
  <c r="J2097" i="3"/>
  <c r="J1990" i="3"/>
  <c r="F2185" i="3"/>
  <c r="K2185" i="3" s="1"/>
  <c r="J2367" i="3"/>
  <c r="I1483" i="3"/>
  <c r="G1411" i="3"/>
  <c r="F2070" i="3"/>
  <c r="K2070" i="3" s="1"/>
  <c r="I2065" i="3"/>
  <c r="I2077" i="3"/>
  <c r="J2065" i="3"/>
  <c r="J1681" i="3"/>
  <c r="I2049" i="3"/>
  <c r="G2049" i="3"/>
  <c r="J3079" i="3"/>
  <c r="I2993" i="3"/>
  <c r="B2804" i="3"/>
  <c r="C2804" i="3" s="1"/>
  <c r="I2671" i="3"/>
  <c r="G2356" i="3"/>
  <c r="J2070" i="3"/>
  <c r="F2051" i="3"/>
  <c r="K2051" i="3" s="1"/>
  <c r="J1270" i="3"/>
  <c r="G1247" i="3"/>
  <c r="B2238" i="3"/>
  <c r="C2238" i="3" s="1"/>
  <c r="B1990" i="3"/>
  <c r="C1990" i="3" s="1"/>
  <c r="B3099" i="3"/>
  <c r="C3099" i="3" s="1"/>
  <c r="F2920" i="3"/>
  <c r="K2920" i="3" s="1"/>
  <c r="I2868" i="3"/>
  <c r="I2356" i="3"/>
  <c r="G1757" i="3"/>
  <c r="F2787" i="3"/>
  <c r="K2787" i="3" s="1"/>
  <c r="F2713" i="3"/>
  <c r="K2713" i="3" s="1"/>
  <c r="J2150" i="3"/>
  <c r="G2097" i="3"/>
  <c r="G3088" i="3"/>
  <c r="H2920" i="3"/>
  <c r="H2894" i="3"/>
  <c r="H2077" i="3"/>
  <c r="J2209" i="3"/>
  <c r="B1720" i="3"/>
  <c r="C1720" i="3" s="1"/>
  <c r="H3079" i="3"/>
  <c r="F2616" i="3"/>
  <c r="K2616" i="3" s="1"/>
  <c r="J2616" i="3"/>
  <c r="H2070" i="3"/>
  <c r="H2097" i="3"/>
  <c r="I1720" i="3"/>
  <c r="F1720" i="3"/>
  <c r="K1720" i="3" s="1"/>
  <c r="B2356" i="3"/>
  <c r="C2356" i="3" s="1"/>
  <c r="J2049" i="3"/>
  <c r="B2070" i="3"/>
  <c r="C2070" i="3" s="1"/>
  <c r="G1720" i="3"/>
  <c r="J1450" i="3"/>
  <c r="G1270" i="3"/>
  <c r="F1450" i="3"/>
  <c r="K1450" i="3" s="1"/>
  <c r="H2693" i="3"/>
  <c r="B2693" i="3"/>
  <c r="C2693" i="3" s="1"/>
  <c r="H2049" i="3"/>
  <c r="H2065" i="3"/>
  <c r="F2036" i="3"/>
  <c r="K2036" i="3" s="1"/>
  <c r="G2209" i="3"/>
  <c r="H1990" i="3"/>
  <c r="H1720" i="3"/>
  <c r="F1632" i="3"/>
  <c r="K1632" i="3" s="1"/>
  <c r="G1681" i="3"/>
  <c r="J1757" i="3"/>
  <c r="H1450" i="3"/>
  <c r="I1411" i="3"/>
  <c r="F2784" i="3"/>
  <c r="K2784" i="3" s="1"/>
  <c r="J2671" i="3"/>
  <c r="G2671" i="3"/>
  <c r="H2238" i="3"/>
  <c r="I2209" i="3"/>
  <c r="I1632" i="3"/>
  <c r="F1990" i="3"/>
  <c r="K1990" i="3" s="1"/>
  <c r="J1411" i="3"/>
  <c r="J1489" i="3"/>
  <c r="H1489" i="3"/>
  <c r="G2350" i="3"/>
  <c r="B1450" i="3"/>
  <c r="C1450" i="3" s="1"/>
  <c r="H2671" i="3"/>
  <c r="F2693" i="3"/>
  <c r="K2693" i="3" s="1"/>
  <c r="F2238" i="3"/>
  <c r="K2238" i="3" s="1"/>
  <c r="I2145" i="3"/>
  <c r="G2145" i="3"/>
  <c r="G2077" i="3"/>
  <c r="F2077" i="3"/>
  <c r="K2077" i="3" s="1"/>
  <c r="I2179" i="3"/>
  <c r="F2085" i="3"/>
  <c r="K2085" i="3" s="1"/>
  <c r="F1757" i="3"/>
  <c r="K1757" i="3" s="1"/>
  <c r="I1247" i="3"/>
  <c r="H1247" i="3"/>
  <c r="B1270" i="3"/>
  <c r="C1270" i="3" s="1"/>
  <c r="I1489" i="3"/>
  <c r="G2713" i="3"/>
  <c r="I2070" i="3"/>
  <c r="F2179" i="3"/>
  <c r="K2179" i="3" s="1"/>
  <c r="H2713" i="3"/>
  <c r="I2051" i="3"/>
  <c r="F1270" i="3"/>
  <c r="K1270" i="3" s="1"/>
  <c r="G3079" i="3"/>
  <c r="F2049" i="3"/>
  <c r="K2049" i="3" s="1"/>
  <c r="H2431" i="3"/>
  <c r="B2034" i="3"/>
  <c r="C2034" i="3" s="1"/>
  <c r="I2345" i="3"/>
  <c r="G1990" i="3"/>
  <c r="G2616" i="3"/>
  <c r="B2771" i="3"/>
  <c r="C2771" i="3" s="1"/>
  <c r="B3084" i="3"/>
  <c r="C3084" i="3" s="1"/>
  <c r="I3079" i="3"/>
  <c r="J3094" i="3"/>
  <c r="F2894" i="3"/>
  <c r="K2894" i="3" s="1"/>
  <c r="K2771" i="3"/>
  <c r="G2771" i="3"/>
  <c r="F2356" i="3"/>
  <c r="K2356" i="3" s="1"/>
  <c r="F2571" i="3"/>
  <c r="K2571" i="3" s="1"/>
  <c r="H2350" i="3"/>
  <c r="B2350" i="3"/>
  <c r="C2350" i="3" s="1"/>
  <c r="B2179" i="3"/>
  <c r="C2179" i="3" s="1"/>
  <c r="B1757" i="3"/>
  <c r="C1757" i="3" s="1"/>
  <c r="I2034" i="3"/>
  <c r="F3079" i="3"/>
  <c r="K3079" i="3" s="1"/>
  <c r="G2179" i="3"/>
  <c r="J3084" i="3"/>
  <c r="G2914" i="3"/>
  <c r="H2771" i="3"/>
  <c r="G2571" i="3"/>
  <c r="H2145" i="3"/>
  <c r="J2051" i="3"/>
  <c r="B2145" i="3"/>
  <c r="C2145" i="3" s="1"/>
  <c r="H1681" i="3"/>
  <c r="G2034" i="3"/>
  <c r="J2034" i="3"/>
  <c r="G1879" i="3"/>
  <c r="H2684" i="3"/>
  <c r="F2486" i="3"/>
  <c r="K2486" i="3" s="1"/>
  <c r="I2983" i="3"/>
  <c r="B2908" i="3"/>
  <c r="C2908" i="3" s="1"/>
  <c r="F2933" i="3"/>
  <c r="K2933" i="3" s="1"/>
  <c r="B2567" i="3"/>
  <c r="C2567" i="3" s="1"/>
  <c r="F2681" i="3"/>
  <c r="K2681" i="3" s="1"/>
  <c r="B2503" i="3"/>
  <c r="C2503" i="3" s="1"/>
  <c r="J2462" i="3"/>
  <c r="G2328" i="3"/>
  <c r="J2503" i="3"/>
  <c r="B2248" i="3"/>
  <c r="C2248" i="3" s="1"/>
  <c r="G2142" i="3"/>
  <c r="F2139" i="3"/>
  <c r="K2139" i="3" s="1"/>
  <c r="H1752" i="3"/>
  <c r="I1128" i="3"/>
  <c r="B2262" i="3"/>
  <c r="C2262" i="3" s="1"/>
  <c r="I2135" i="3"/>
  <c r="H2147" i="3"/>
  <c r="F1773" i="3"/>
  <c r="K1773" i="3" s="1"/>
  <c r="G1744" i="3"/>
  <c r="J1782" i="3"/>
  <c r="F1347" i="3"/>
  <c r="K1347" i="3" s="1"/>
  <c r="J1370" i="3"/>
  <c r="H1370" i="3"/>
  <c r="I1980" i="3"/>
  <c r="J1606" i="3"/>
  <c r="G2654" i="3"/>
  <c r="F2824" i="3"/>
  <c r="K2824" i="3" s="1"/>
  <c r="I3142" i="3"/>
  <c r="H3053" i="3"/>
  <c r="I2956" i="3"/>
  <c r="G2933" i="3"/>
  <c r="I2903" i="3"/>
  <c r="F2654" i="3"/>
  <c r="K2654" i="3" s="1"/>
  <c r="F2649" i="3"/>
  <c r="K2649" i="3" s="1"/>
  <c r="H2681" i="3"/>
  <c r="F2173" i="3"/>
  <c r="K2173" i="3" s="1"/>
  <c r="J2142" i="3"/>
  <c r="I2157" i="3"/>
  <c r="G2111" i="3"/>
  <c r="G2139" i="3"/>
  <c r="I1744" i="3"/>
  <c r="I1752" i="3"/>
  <c r="B1301" i="3"/>
  <c r="C1301" i="3" s="1"/>
  <c r="I2504" i="3"/>
  <c r="B1744" i="3"/>
  <c r="C1744" i="3" s="1"/>
  <c r="I1782" i="3"/>
  <c r="F1370" i="3"/>
  <c r="K1370" i="3" s="1"/>
  <c r="I1606" i="3"/>
  <c r="G2278" i="3"/>
  <c r="J2454" i="3"/>
  <c r="J1482" i="3"/>
  <c r="J1656" i="3"/>
  <c r="G1656" i="3"/>
  <c r="G2943" i="3"/>
  <c r="B2654" i="3"/>
  <c r="C2654" i="3" s="1"/>
  <c r="H2527" i="3"/>
  <c r="F2473" i="3"/>
  <c r="K2473" i="3" s="1"/>
  <c r="F2248" i="3"/>
  <c r="K2248" i="3" s="1"/>
  <c r="I1901" i="3"/>
  <c r="I1879" i="3"/>
  <c r="B1697" i="3"/>
  <c r="C1697" i="3" s="1"/>
  <c r="B1671" i="3"/>
  <c r="C1671" i="3" s="1"/>
  <c r="H1290" i="3"/>
  <c r="G1290" i="3"/>
  <c r="G1301" i="3"/>
  <c r="H1106" i="3"/>
  <c r="F2137" i="3"/>
  <c r="K2137" i="3" s="1"/>
  <c r="H2177" i="3"/>
  <c r="J1892" i="3"/>
  <c r="G1397" i="3"/>
  <c r="H1656" i="3"/>
  <c r="G2527" i="3"/>
  <c r="F1744" i="3"/>
  <c r="K1744" i="3" s="1"/>
  <c r="J3110" i="3"/>
  <c r="G3008" i="3"/>
  <c r="H2943" i="3"/>
  <c r="H2694" i="3"/>
  <c r="F2992" i="3"/>
  <c r="K2992" i="3" s="1"/>
  <c r="B2663" i="3"/>
  <c r="C2663" i="3" s="1"/>
  <c r="I2684" i="3"/>
  <c r="J2527" i="3"/>
  <c r="J2492" i="3"/>
  <c r="G2158" i="3"/>
  <c r="G2248" i="3"/>
  <c r="F2157" i="3"/>
  <c r="K2157" i="3" s="1"/>
  <c r="G1849" i="3"/>
  <c r="F1697" i="3"/>
  <c r="K1697" i="3" s="1"/>
  <c r="I1106" i="3"/>
  <c r="K2187" i="3"/>
  <c r="F2147" i="3"/>
  <c r="K2147" i="3" s="1"/>
  <c r="I1656" i="3"/>
  <c r="I1896" i="3"/>
  <c r="G1798" i="3"/>
  <c r="I2142" i="3"/>
  <c r="H2956" i="3"/>
  <c r="H2926" i="3"/>
  <c r="I2681" i="3"/>
  <c r="I2252" i="3"/>
  <c r="I2527" i="3"/>
  <c r="F2311" i="3"/>
  <c r="K2311" i="3" s="1"/>
  <c r="H2274" i="3"/>
  <c r="H2248" i="3"/>
  <c r="J2111" i="3"/>
  <c r="I2154" i="3"/>
  <c r="F2154" i="3"/>
  <c r="K2154" i="3" s="1"/>
  <c r="B2020" i="3"/>
  <c r="C2020" i="3" s="1"/>
  <c r="J1861" i="3"/>
  <c r="F1748" i="3"/>
  <c r="K1748" i="3" s="1"/>
  <c r="G1861" i="3"/>
  <c r="B1748" i="3"/>
  <c r="C1748" i="3" s="1"/>
  <c r="I1724" i="3"/>
  <c r="G1697" i="3"/>
  <c r="F1290" i="3"/>
  <c r="K1290" i="3" s="1"/>
  <c r="J1397" i="3"/>
  <c r="B1656" i="3"/>
  <c r="C1656" i="3" s="1"/>
  <c r="B1519" i="3"/>
  <c r="C1519" i="3" s="1"/>
  <c r="F1141" i="3"/>
  <c r="K1141" i="3" s="1"/>
  <c r="J1141" i="3" s="1"/>
  <c r="G2926" i="3"/>
  <c r="J2764" i="3"/>
  <c r="F3093" i="3"/>
  <c r="K3093" i="3" s="1"/>
  <c r="J3053" i="3"/>
  <c r="F2867" i="3"/>
  <c r="K2867" i="3" s="1"/>
  <c r="G2834" i="3"/>
  <c r="I2926" i="3"/>
  <c r="G2694" i="3"/>
  <c r="B2692" i="3"/>
  <c r="C2692" i="3" s="1"/>
  <c r="B2278" i="3"/>
  <c r="C2278" i="3" s="1"/>
  <c r="F2219" i="3"/>
  <c r="K2219" i="3" s="1"/>
  <c r="J2017" i="3"/>
  <c r="H1748" i="3"/>
  <c r="B1849" i="3"/>
  <c r="C1849" i="3" s="1"/>
  <c r="H1744" i="3"/>
  <c r="J1599" i="3"/>
  <c r="H1697" i="3"/>
  <c r="G1365" i="3"/>
  <c r="I1230" i="3"/>
  <c r="H2273" i="3"/>
  <c r="J2147" i="3"/>
  <c r="I1239" i="3"/>
  <c r="G1519" i="3"/>
  <c r="H1519" i="3"/>
  <c r="B1370" i="3"/>
  <c r="C1370" i="3" s="1"/>
  <c r="H2983" i="3"/>
  <c r="B2952" i="3"/>
  <c r="C2952" i="3" s="1"/>
  <c r="I2908" i="3"/>
  <c r="B2926" i="3"/>
  <c r="C2926" i="3" s="1"/>
  <c r="F2822" i="3"/>
  <c r="K2822" i="3" s="1"/>
  <c r="I2694" i="3"/>
  <c r="F2684" i="3"/>
  <c r="K2684" i="3" s="1"/>
  <c r="F2692" i="3"/>
  <c r="K2692" i="3" s="1"/>
  <c r="F2485" i="3"/>
  <c r="K2485" i="3" s="1"/>
  <c r="G2479" i="3"/>
  <c r="I2273" i="3"/>
  <c r="B2424" i="3"/>
  <c r="C2424" i="3" s="1"/>
  <c r="H2139" i="3"/>
  <c r="G2219" i="3"/>
  <c r="G2020" i="3"/>
  <c r="B1999" i="3"/>
  <c r="C1999" i="3" s="1"/>
  <c r="I1773" i="3"/>
  <c r="G2454" i="3"/>
  <c r="H1892" i="3"/>
  <c r="J1519" i="3"/>
  <c r="G1501" i="3"/>
  <c r="H1663" i="3"/>
  <c r="H2454" i="3"/>
  <c r="H2508" i="3"/>
  <c r="G1516" i="3"/>
  <c r="F2908" i="3"/>
  <c r="K2908" i="3" s="1"/>
  <c r="I2654" i="3"/>
  <c r="H2663" i="3"/>
  <c r="G2508" i="3"/>
  <c r="F2454" i="3"/>
  <c r="K2454" i="3" s="1"/>
  <c r="H2278" i="3"/>
  <c r="H2311" i="3"/>
  <c r="G2330" i="3"/>
  <c r="B2274" i="3"/>
  <c r="C2274" i="3" s="1"/>
  <c r="B2112" i="3"/>
  <c r="C2112" i="3" s="1"/>
  <c r="G2101" i="3"/>
  <c r="J1901" i="3"/>
  <c r="I1861" i="3"/>
  <c r="G1999" i="3"/>
  <c r="J1849" i="3"/>
  <c r="I1999" i="3"/>
  <c r="F1861" i="3"/>
  <c r="K1861" i="3" s="1"/>
  <c r="H1724" i="3"/>
  <c r="B1501" i="3"/>
  <c r="C1501" i="3" s="1"/>
  <c r="I1365" i="3"/>
  <c r="H1365" i="3"/>
  <c r="B1230" i="3"/>
  <c r="C1230" i="3" s="1"/>
  <c r="I2454" i="3"/>
  <c r="G2038" i="3"/>
  <c r="I2177" i="3"/>
  <c r="B1803" i="3"/>
  <c r="C1803" i="3" s="1"/>
  <c r="H1397" i="3"/>
  <c r="G1482" i="3"/>
  <c r="B1716" i="3"/>
  <c r="C1716" i="3" s="1"/>
  <c r="F1903" i="3"/>
  <c r="K1903" i="3" s="1"/>
  <c r="G1724" i="3"/>
  <c r="B1648" i="3"/>
  <c r="C1648" i="3" s="1"/>
  <c r="H2038" i="3"/>
  <c r="B3142" i="3"/>
  <c r="C3142" i="3" s="1"/>
  <c r="J2278" i="3"/>
  <c r="I1738" i="3"/>
  <c r="G1239" i="3"/>
  <c r="G1716" i="3"/>
  <c r="I1903" i="3"/>
  <c r="B1724" i="3"/>
  <c r="C1724" i="3" s="1"/>
  <c r="B1206" i="3"/>
  <c r="C1206" i="3" s="1"/>
  <c r="F1980" i="3"/>
  <c r="K1980" i="3" s="1"/>
  <c r="H2219" i="3"/>
  <c r="I2824" i="3"/>
  <c r="B2447" i="3"/>
  <c r="C2447" i="3" s="1"/>
  <c r="H2492" i="3"/>
  <c r="H2173" i="3"/>
  <c r="B2418" i="3"/>
  <c r="C2418" i="3" s="1"/>
  <c r="J1896" i="3"/>
  <c r="J1999" i="3"/>
  <c r="J1501" i="3"/>
  <c r="G1128" i="3"/>
  <c r="J1347" i="3"/>
  <c r="I3105" i="3"/>
  <c r="H2473" i="3"/>
  <c r="B2492" i="3"/>
  <c r="C2492" i="3" s="1"/>
  <c r="G2262" i="3"/>
  <c r="I2330" i="3"/>
  <c r="H2040" i="3"/>
  <c r="F2274" i="3"/>
  <c r="K2274" i="3" s="1"/>
  <c r="F2112" i="3"/>
  <c r="K2112" i="3" s="1"/>
  <c r="B2111" i="3"/>
  <c r="C2111" i="3" s="1"/>
  <c r="F2418" i="3"/>
  <c r="K2418" i="3" s="1"/>
  <c r="G1896" i="3"/>
  <c r="F1752" i="3"/>
  <c r="K1752" i="3" s="1"/>
  <c r="I1347" i="3"/>
  <c r="G2274" i="3"/>
  <c r="G2486" i="3"/>
  <c r="J2020" i="3"/>
  <c r="G2187" i="3"/>
  <c r="F1482" i="3"/>
  <c r="K1482" i="3" s="1"/>
  <c r="H1716" i="3"/>
  <c r="H1903" i="3"/>
  <c r="H1980" i="3"/>
  <c r="J2983" i="3"/>
  <c r="I2778" i="3"/>
  <c r="I2253" i="3"/>
  <c r="J2112" i="3"/>
  <c r="H2330" i="3"/>
  <c r="F2111" i="3"/>
  <c r="K2111" i="3" s="1"/>
  <c r="B2990" i="3"/>
  <c r="C2990" i="3" s="1"/>
  <c r="G2792" i="3"/>
  <c r="G2774" i="3"/>
  <c r="J2694" i="3"/>
  <c r="H2654" i="3"/>
  <c r="J2473" i="3"/>
  <c r="I2311" i="3"/>
  <c r="G2424" i="3"/>
  <c r="F2813" i="3"/>
  <c r="K2813" i="3" s="1"/>
  <c r="J2330" i="3"/>
  <c r="I2111" i="3"/>
  <c r="G2418" i="3"/>
  <c r="I1849" i="3"/>
  <c r="I1516" i="3"/>
  <c r="F1365" i="3"/>
  <c r="K1365" i="3" s="1"/>
  <c r="B1365" i="3"/>
  <c r="C1365" i="3" s="1"/>
  <c r="B2187" i="3"/>
  <c r="C2187" i="3" s="1"/>
  <c r="B1705" i="3"/>
  <c r="C1705" i="3" s="1"/>
  <c r="I1716" i="3"/>
  <c r="B1239" i="3"/>
  <c r="C1239" i="3" s="1"/>
  <c r="G1648" i="3"/>
  <c r="G1387" i="3"/>
  <c r="B1896" i="3"/>
  <c r="C1896" i="3" s="1"/>
  <c r="G1477" i="3"/>
  <c r="J1980" i="3"/>
  <c r="G2983" i="3"/>
  <c r="G2684" i="3"/>
  <c r="I2485" i="3"/>
  <c r="G2485" i="3"/>
  <c r="G2813" i="3"/>
  <c r="K2330" i="3"/>
  <c r="J2248" i="3"/>
  <c r="G2112" i="3"/>
  <c r="B2173" i="3"/>
  <c r="C2173" i="3" s="1"/>
  <c r="H2418" i="3"/>
  <c r="B1879" i="3"/>
  <c r="C1879" i="3" s="1"/>
  <c r="B1599" i="3"/>
  <c r="C1599" i="3" s="1"/>
  <c r="I1301" i="3"/>
  <c r="G2177" i="3"/>
  <c r="F1871" i="3"/>
  <c r="K1871" i="3" s="1"/>
  <c r="J1798" i="3"/>
  <c r="F1705" i="3"/>
  <c r="K1705" i="3" s="1"/>
  <c r="I1482" i="3"/>
  <c r="J1716" i="3"/>
  <c r="H1896" i="3"/>
  <c r="G1980" i="3"/>
  <c r="J2158" i="3"/>
  <c r="H1773" i="3"/>
  <c r="I1599" i="3"/>
  <c r="B1752" i="3"/>
  <c r="C1752" i="3" s="1"/>
  <c r="F1671" i="3"/>
  <c r="K1671" i="3" s="1"/>
  <c r="J1516" i="3"/>
  <c r="F1477" i="3"/>
  <c r="K1477" i="3" s="1"/>
  <c r="B2177" i="3"/>
  <c r="C2177" i="3" s="1"/>
  <c r="I1798" i="3"/>
  <c r="B1128" i="3"/>
  <c r="C1128" i="3" s="1"/>
  <c r="B3082" i="3"/>
  <c r="C3082" i="3" s="1"/>
  <c r="B3012" i="3"/>
  <c r="C3012" i="3" s="1"/>
  <c r="B3026" i="3"/>
  <c r="C3026" i="3" s="1"/>
  <c r="I2756" i="3"/>
  <c r="B2824" i="3"/>
  <c r="C2824" i="3" s="1"/>
  <c r="G2824" i="3"/>
  <c r="I2486" i="3"/>
  <c r="H2462" i="3"/>
  <c r="J2813" i="3"/>
  <c r="G2154" i="3"/>
  <c r="G1748" i="3"/>
  <c r="G1903" i="3"/>
  <c r="F1771" i="3"/>
  <c r="K1771" i="3" s="1"/>
  <c r="G1599" i="3"/>
  <c r="G1671" i="3"/>
  <c r="H1128" i="3"/>
  <c r="H1477" i="3"/>
  <c r="H2153" i="3"/>
  <c r="I1705" i="3"/>
  <c r="B2080" i="3"/>
  <c r="C2080" i="3" s="1"/>
  <c r="H3026" i="3"/>
  <c r="B2694" i="3"/>
  <c r="C2694" i="3" s="1"/>
  <c r="J2424" i="3"/>
  <c r="I2153" i="3"/>
  <c r="F1803" i="3"/>
  <c r="K1803" i="3" s="1"/>
  <c r="B1782" i="3"/>
  <c r="C1782" i="3" s="1"/>
  <c r="B1798" i="3"/>
  <c r="C1798" i="3" s="1"/>
  <c r="F2328" i="3"/>
  <c r="K2328" i="3" s="1"/>
  <c r="I2813" i="3"/>
  <c r="F2017" i="3"/>
  <c r="K2017" i="3" s="1"/>
  <c r="I3026" i="3"/>
  <c r="F2926" i="3"/>
  <c r="K2926" i="3" s="1"/>
  <c r="J2824" i="3"/>
  <c r="J2485" i="3"/>
  <c r="J2252" i="3"/>
  <c r="F2278" i="3"/>
  <c r="K2278" i="3" s="1"/>
  <c r="G2017" i="3"/>
  <c r="J2157" i="3"/>
  <c r="G2157" i="3"/>
  <c r="I2139" i="3"/>
  <c r="B1903" i="3"/>
  <c r="C1903" i="3" s="1"/>
  <c r="J1773" i="3"/>
  <c r="J1871" i="3"/>
  <c r="I1671" i="3"/>
  <c r="F1301" i="3"/>
  <c r="K1301" i="3" s="1"/>
  <c r="H1347" i="3"/>
  <c r="J2187" i="3"/>
  <c r="F1663" i="3"/>
  <c r="K1663" i="3" s="1"/>
  <c r="F1798" i="3"/>
  <c r="K1798" i="3" s="1"/>
  <c r="B1146" i="3"/>
  <c r="C1146" i="3" s="1"/>
  <c r="J1651" i="3"/>
  <c r="I2462" i="3"/>
  <c r="G2399" i="3"/>
  <c r="H1671" i="3"/>
  <c r="F3008" i="3"/>
  <c r="K3008" i="3" s="1"/>
  <c r="F2983" i="3"/>
  <c r="K2983" i="3" s="1"/>
  <c r="F3012" i="3"/>
  <c r="K3012" i="3" s="1"/>
  <c r="J2447" i="3"/>
  <c r="H2112" i="3"/>
  <c r="H2157" i="3"/>
  <c r="J2154" i="3"/>
  <c r="B2154" i="3"/>
  <c r="C2154" i="3" s="1"/>
  <c r="K1599" i="3"/>
  <c r="J1290" i="3"/>
  <c r="H2187" i="3"/>
  <c r="G1347" i="3"/>
  <c r="I1651" i="3"/>
  <c r="F3129" i="3"/>
  <c r="K3129" i="3" s="1"/>
  <c r="I3099" i="3"/>
  <c r="J3068" i="3"/>
  <c r="G2741" i="3"/>
  <c r="F2741" i="3"/>
  <c r="K2741" i="3" s="1"/>
  <c r="F2827" i="3"/>
  <c r="K2827" i="3" s="1"/>
  <c r="G2412" i="3"/>
  <c r="F1643" i="3"/>
  <c r="K1643" i="3" s="1"/>
  <c r="F3052" i="3"/>
  <c r="K3052" i="3" s="1"/>
  <c r="H2466" i="3"/>
  <c r="H2412" i="3"/>
  <c r="I1643" i="3"/>
  <c r="H1756" i="3"/>
  <c r="G3104" i="3"/>
  <c r="G3052" i="3"/>
  <c r="I3104" i="3"/>
  <c r="F3024" i="3"/>
  <c r="K3024" i="3" s="1"/>
  <c r="G3024" i="3"/>
  <c r="I3023" i="3"/>
  <c r="F3026" i="3"/>
  <c r="K3026" i="3" s="1"/>
  <c r="B2823" i="3"/>
  <c r="C2823" i="3" s="1"/>
  <c r="G2095" i="3"/>
  <c r="I3024" i="3"/>
  <c r="J3017" i="3"/>
  <c r="F3023" i="3"/>
  <c r="K3023" i="3" s="1"/>
  <c r="B2831" i="3"/>
  <c r="C2831" i="3" s="1"/>
  <c r="G2326" i="3"/>
  <c r="G3026" i="3"/>
  <c r="F3017" i="3"/>
  <c r="K3017" i="3" s="1"/>
  <c r="G2185" i="3"/>
  <c r="J1934" i="3"/>
  <c r="B3022" i="3"/>
  <c r="C3022" i="3" s="1"/>
  <c r="B1756" i="3"/>
  <c r="C1756" i="3" s="1"/>
  <c r="G3022" i="3"/>
  <c r="H3017" i="3"/>
  <c r="B2993" i="3"/>
  <c r="C2993" i="3" s="1"/>
  <c r="B3017" i="3"/>
  <c r="C3017" i="3" s="1"/>
  <c r="I1756" i="3"/>
  <c r="B1643" i="3"/>
  <c r="C1643" i="3" s="1"/>
  <c r="H3101" i="3"/>
  <c r="G2885" i="3"/>
  <c r="G2252" i="3"/>
  <c r="G2492" i="3"/>
  <c r="H1871" i="3"/>
  <c r="F2225" i="3"/>
  <c r="K2225" i="3" s="1"/>
  <c r="B3025" i="3"/>
  <c r="C3025" i="3" s="1"/>
  <c r="I2847" i="3"/>
  <c r="F2492" i="3"/>
  <c r="K2492" i="3" s="1"/>
  <c r="F2014" i="3"/>
  <c r="K2014" i="3" s="1"/>
  <c r="G2225" i="3"/>
  <c r="H2890" i="3"/>
  <c r="B2486" i="3"/>
  <c r="C2486" i="3" s="1"/>
  <c r="H2225" i="3"/>
  <c r="I2225" i="3"/>
  <c r="G3125" i="3"/>
  <c r="I2936" i="3"/>
  <c r="G2966" i="3"/>
  <c r="J2890" i="3"/>
  <c r="G2744" i="3"/>
  <c r="G2893" i="3"/>
  <c r="G2537" i="3"/>
  <c r="I2412" i="3"/>
  <c r="H2252" i="3"/>
  <c r="H2477" i="3"/>
  <c r="F2246" i="3"/>
  <c r="K2246" i="3" s="1"/>
  <c r="G2327" i="3"/>
  <c r="B2115" i="3"/>
  <c r="C2115" i="3" s="1"/>
  <c r="F1953" i="3"/>
  <c r="K1953" i="3" s="1"/>
  <c r="I2885" i="3"/>
  <c r="B2435" i="3"/>
  <c r="C2435" i="3" s="1"/>
  <c r="I2327" i="3"/>
  <c r="J1953" i="3"/>
  <c r="J1762" i="3"/>
  <c r="B3069" i="3"/>
  <c r="C3069" i="3" s="1"/>
  <c r="J2847" i="3"/>
  <c r="G2507" i="3"/>
  <c r="I2537" i="3"/>
  <c r="J2274" i="3"/>
  <c r="G1246" i="3"/>
  <c r="G2920" i="3"/>
  <c r="J2438" i="3"/>
  <c r="B2043" i="3"/>
  <c r="C2043" i="3" s="1"/>
  <c r="J3050" i="3"/>
  <c r="G2043" i="3"/>
  <c r="F3113" i="3"/>
  <c r="K3113" i="3" s="1"/>
  <c r="B2976" i="3"/>
  <c r="C2976" i="3" s="1"/>
  <c r="J2923" i="3"/>
  <c r="B2994" i="3"/>
  <c r="C2994" i="3" s="1"/>
  <c r="H2643" i="3"/>
  <c r="J2043" i="3"/>
  <c r="H1762" i="3"/>
  <c r="I2917" i="3"/>
  <c r="F2994" i="3"/>
  <c r="K2994" i="3" s="1"/>
  <c r="G2500" i="3"/>
  <c r="J2855" i="3"/>
  <c r="G2923" i="3"/>
  <c r="H2994" i="3"/>
  <c r="I2500" i="3"/>
  <c r="I1427" i="3"/>
  <c r="B1319" i="3"/>
  <c r="C1319" i="3" s="1"/>
  <c r="B3010" i="3"/>
  <c r="C3010" i="3" s="1"/>
  <c r="I2994" i="3"/>
  <c r="F2725" i="3"/>
  <c r="K2725" i="3" s="1"/>
  <c r="F2477" i="3"/>
  <c r="K2477" i="3" s="1"/>
  <c r="K2500" i="3"/>
  <c r="G2055" i="3"/>
  <c r="F1727" i="3"/>
  <c r="K1727" i="3" s="1"/>
  <c r="I3010" i="3"/>
  <c r="F2252" i="3"/>
  <c r="K2252" i="3" s="1"/>
  <c r="H2095" i="3"/>
  <c r="H1668" i="3"/>
  <c r="G1267" i="3"/>
  <c r="F1607" i="3"/>
  <c r="K1607" i="3" s="1"/>
  <c r="G1576" i="3"/>
  <c r="H2859" i="3"/>
  <c r="H2338" i="3"/>
  <c r="G2380" i="3"/>
  <c r="H1812" i="3"/>
  <c r="J1618" i="3"/>
  <c r="H1114" i="3"/>
  <c r="I1097" i="3"/>
  <c r="I2167" i="3"/>
  <c r="G1261" i="3"/>
  <c r="G1494" i="3"/>
  <c r="B2169" i="3"/>
  <c r="C2169" i="3" s="1"/>
  <c r="F1360" i="3"/>
  <c r="K1360" i="3" s="1"/>
  <c r="F2859" i="3"/>
  <c r="K2859" i="3" s="1"/>
  <c r="H2702" i="3"/>
  <c r="J1812" i="3"/>
  <c r="I2269" i="3"/>
  <c r="J2160" i="3"/>
  <c r="H2380" i="3"/>
  <c r="B1769" i="3"/>
  <c r="C1769" i="3" s="1"/>
  <c r="H1629" i="3"/>
  <c r="B1780" i="3"/>
  <c r="C1780" i="3" s="1"/>
  <c r="G1379" i="3"/>
  <c r="F1214" i="3"/>
  <c r="I1261" i="3"/>
  <c r="B1078" i="3"/>
  <c r="C1078" i="3" s="1"/>
  <c r="I2413" i="3"/>
  <c r="B2253" i="3"/>
  <c r="C2253" i="3" s="1"/>
  <c r="H1502" i="3"/>
  <c r="B1261" i="3"/>
  <c r="C1261" i="3" s="1"/>
  <c r="I1196" i="3"/>
  <c r="H2169" i="3"/>
  <c r="I2702" i="3"/>
  <c r="B2702" i="3"/>
  <c r="C2702" i="3" s="1"/>
  <c r="H2413" i="3"/>
  <c r="H2366" i="3"/>
  <c r="B2221" i="3"/>
  <c r="C2221" i="3" s="1"/>
  <c r="I2160" i="3"/>
  <c r="J2380" i="3"/>
  <c r="I2380" i="3"/>
  <c r="G2230" i="3"/>
  <c r="H1904" i="3"/>
  <c r="B1904" i="3"/>
  <c r="C1904" i="3" s="1"/>
  <c r="F1799" i="3"/>
  <c r="K1799" i="3" s="1"/>
  <c r="B1812" i="3"/>
  <c r="C1812" i="3" s="1"/>
  <c r="G1713" i="3"/>
  <c r="F1780" i="3"/>
  <c r="K1780" i="3" s="1"/>
  <c r="F1699" i="3"/>
  <c r="K1699" i="3" s="1"/>
  <c r="G1077" i="3"/>
  <c r="G2221" i="3"/>
  <c r="I1271" i="3"/>
  <c r="G1196" i="3"/>
  <c r="J2169" i="3"/>
  <c r="G3129" i="3"/>
  <c r="J3129" i="3"/>
  <c r="H2428" i="3"/>
  <c r="H2512" i="3"/>
  <c r="J2230" i="3"/>
  <c r="B2380" i="3"/>
  <c r="C2380" i="3" s="1"/>
  <c r="H2230" i="3"/>
  <c r="H1799" i="3"/>
  <c r="G1780" i="3"/>
  <c r="G1699" i="3"/>
  <c r="G1517" i="3"/>
  <c r="B1517" i="3"/>
  <c r="C1517" i="3" s="1"/>
  <c r="I2603" i="3"/>
  <c r="B2399" i="3"/>
  <c r="C2399" i="3" s="1"/>
  <c r="B2095" i="3"/>
  <c r="C2095" i="3" s="1"/>
  <c r="J1271" i="3"/>
  <c r="F1502" i="3"/>
  <c r="K1502" i="3" s="1"/>
  <c r="G1271" i="3"/>
  <c r="F1471" i="3"/>
  <c r="K1471" i="3" s="1"/>
  <c r="G2169" i="3"/>
  <c r="G1260" i="3"/>
  <c r="I2428" i="3"/>
  <c r="F2413" i="3"/>
  <c r="K2413" i="3" s="1"/>
  <c r="B2487" i="3"/>
  <c r="C2487" i="3" s="1"/>
  <c r="B2512" i="3"/>
  <c r="C2512" i="3" s="1"/>
  <c r="I2230" i="3"/>
  <c r="G1790" i="3"/>
  <c r="F1790" i="3"/>
  <c r="K1790" i="3" s="1"/>
  <c r="G1812" i="3"/>
  <c r="J1804" i="3"/>
  <c r="H1780" i="3"/>
  <c r="B1800" i="3"/>
  <c r="C1800" i="3" s="1"/>
  <c r="H1699" i="3"/>
  <c r="B1116" i="3"/>
  <c r="C1116" i="3" s="1"/>
  <c r="I2399" i="3"/>
  <c r="J2155" i="3"/>
  <c r="B2161" i="3"/>
  <c r="C2161" i="3" s="1"/>
  <c r="F1261" i="3"/>
  <c r="K1261" i="3" s="1"/>
  <c r="F2556" i="3"/>
  <c r="K2556" i="3" s="1"/>
  <c r="B2603" i="3"/>
  <c r="C2603" i="3" s="1"/>
  <c r="F2366" i="3"/>
  <c r="K2366" i="3" s="1"/>
  <c r="G2512" i="3"/>
  <c r="B2379" i="3"/>
  <c r="C2379" i="3" s="1"/>
  <c r="I1790" i="3"/>
  <c r="B1799" i="3"/>
  <c r="C1799" i="3" s="1"/>
  <c r="J1713" i="3"/>
  <c r="B1649" i="3"/>
  <c r="C1649" i="3" s="1"/>
  <c r="I1780" i="3"/>
  <c r="F1800" i="3"/>
  <c r="K1800" i="3" s="1"/>
  <c r="I1699" i="3"/>
  <c r="J1360" i="3"/>
  <c r="I1114" i="3"/>
  <c r="G1218" i="3"/>
  <c r="F1116" i="3"/>
  <c r="O974" i="2" s="1"/>
  <c r="P974" i="2" s="1"/>
  <c r="Q974" i="2" s="1"/>
  <c r="F1097" i="3"/>
  <c r="K1097" i="3" s="1"/>
  <c r="J1097" i="3" s="1"/>
  <c r="I2090" i="3"/>
  <c r="H2155" i="3"/>
  <c r="G2161" i="3"/>
  <c r="I2095" i="3"/>
  <c r="G1360" i="3"/>
  <c r="H1260" i="3"/>
  <c r="I2859" i="3"/>
  <c r="G2859" i="3"/>
  <c r="H2603" i="3"/>
  <c r="I2338" i="3"/>
  <c r="F2169" i="3"/>
  <c r="K2169" i="3" s="1"/>
  <c r="F2379" i="3"/>
  <c r="K2379" i="3" s="1"/>
  <c r="B1749" i="3"/>
  <c r="C1749" i="3" s="1"/>
  <c r="G1800" i="3"/>
  <c r="J1699" i="3"/>
  <c r="J1408" i="3"/>
  <c r="I1408" i="3"/>
  <c r="H1261" i="3"/>
  <c r="G1116" i="3"/>
  <c r="G1097" i="3"/>
  <c r="F1713" i="3"/>
  <c r="K1713" i="3" s="1"/>
  <c r="F2095" i="3"/>
  <c r="K2095" i="3" s="1"/>
  <c r="H1385" i="3"/>
  <c r="G1285" i="3"/>
  <c r="B1285" i="3"/>
  <c r="C1285" i="3" s="1"/>
  <c r="H1223" i="3"/>
  <c r="B2859" i="3"/>
  <c r="C2859" i="3" s="1"/>
  <c r="G2542" i="3"/>
  <c r="F2603" i="3"/>
  <c r="K2603" i="3" s="1"/>
  <c r="I2156" i="3"/>
  <c r="G2379" i="3"/>
  <c r="H1800" i="3"/>
  <c r="F1408" i="3"/>
  <c r="K1408" i="3" s="1"/>
  <c r="F1168" i="3"/>
  <c r="K1168" i="3" s="1"/>
  <c r="J1168" i="3" s="1"/>
  <c r="J1379" i="3"/>
  <c r="H1116" i="3"/>
  <c r="H1097" i="3"/>
  <c r="F2167" i="3"/>
  <c r="K2167" i="3" s="1"/>
  <c r="I2053" i="3"/>
  <c r="H1183" i="3"/>
  <c r="B1618" i="3"/>
  <c r="C1618" i="3" s="1"/>
  <c r="B1077" i="3"/>
  <c r="C1077" i="3" s="1"/>
  <c r="H2697" i="3"/>
  <c r="B2298" i="3"/>
  <c r="C2298" i="3" s="1"/>
  <c r="K2160" i="3"/>
  <c r="H2379" i="3"/>
  <c r="H1804" i="3"/>
  <c r="F1804" i="3"/>
  <c r="K1804" i="3" s="1"/>
  <c r="I1800" i="3"/>
  <c r="B1629" i="3"/>
  <c r="C1629" i="3" s="1"/>
  <c r="G1214" i="3"/>
  <c r="F2155" i="3"/>
  <c r="K2155" i="3" s="1"/>
  <c r="H1655" i="3"/>
  <c r="J2053" i="3"/>
  <c r="H1618" i="3"/>
  <c r="I1360" i="3"/>
  <c r="I1223" i="3"/>
  <c r="B1706" i="3"/>
  <c r="C1706" i="3" s="1"/>
  <c r="G1319" i="3"/>
  <c r="I2487" i="3"/>
  <c r="G2338" i="3"/>
  <c r="H2156" i="3"/>
  <c r="F2156" i="3"/>
  <c r="K2156" i="3" s="1"/>
  <c r="F1816" i="3"/>
  <c r="K1816" i="3" s="1"/>
  <c r="F1908" i="3"/>
  <c r="K1908" i="3" s="1"/>
  <c r="F1802" i="3"/>
  <c r="K1802" i="3" s="1"/>
  <c r="B2160" i="3"/>
  <c r="C2160" i="3" s="1"/>
  <c r="G1749" i="3"/>
  <c r="H2053" i="3"/>
  <c r="F1285" i="3"/>
  <c r="K1285" i="3" s="1"/>
  <c r="B1360" i="3"/>
  <c r="C1360" i="3" s="1"/>
  <c r="G2697" i="3"/>
  <c r="I2494" i="3"/>
  <c r="F1629" i="3"/>
  <c r="K1629" i="3" s="1"/>
  <c r="J1260" i="3"/>
  <c r="F1218" i="3"/>
  <c r="B1218" i="3"/>
  <c r="C1218" i="3" s="1"/>
  <c r="F1078" i="3"/>
  <c r="K1078" i="3" s="1"/>
  <c r="J1078" i="3" s="1"/>
  <c r="H1649" i="3"/>
  <c r="F1183" i="3"/>
  <c r="J1196" i="3"/>
  <c r="J1904" i="3"/>
  <c r="F1706" i="3"/>
  <c r="K1706" i="3" s="1"/>
  <c r="G1706" i="3"/>
  <c r="F3084" i="3"/>
  <c r="K3084" i="3" s="1"/>
  <c r="F2911" i="3"/>
  <c r="K2911" i="3" s="1"/>
  <c r="G2702" i="3"/>
  <c r="G2875" i="3"/>
  <c r="G2487" i="3"/>
  <c r="F2487" i="3"/>
  <c r="K2487" i="3" s="1"/>
  <c r="F1812" i="3"/>
  <c r="K1812" i="3" s="1"/>
  <c r="G1908" i="3"/>
  <c r="I1629" i="3"/>
  <c r="F1459" i="3"/>
  <c r="K1459" i="3" s="1"/>
  <c r="H1408" i="3"/>
  <c r="B1114" i="3"/>
  <c r="C1114" i="3" s="1"/>
  <c r="H1078" i="3"/>
  <c r="F2158" i="3"/>
  <c r="K2158" i="3" s="1"/>
  <c r="F2161" i="3"/>
  <c r="K2161" i="3" s="1"/>
  <c r="G1816" i="3"/>
  <c r="I1385" i="3"/>
  <c r="G3084" i="3"/>
  <c r="K2702" i="3"/>
  <c r="G2366" i="3"/>
  <c r="H2160" i="3"/>
  <c r="F2230" i="3"/>
  <c r="K2230" i="3" s="1"/>
  <c r="G1802" i="3"/>
  <c r="F1618" i="3"/>
  <c r="K1618" i="3" s="1"/>
  <c r="I1078" i="3"/>
  <c r="I1816" i="3"/>
  <c r="G1264" i="3"/>
  <c r="F1264" i="3"/>
  <c r="K1264" i="3" s="1"/>
  <c r="J1264" i="3"/>
  <c r="I3084" i="3"/>
  <c r="H2785" i="3"/>
  <c r="I2697" i="3"/>
  <c r="J2697" i="3"/>
  <c r="F2542" i="3"/>
  <c r="K2542" i="3" s="1"/>
  <c r="B2413" i="3"/>
  <c r="C2413" i="3" s="1"/>
  <c r="H2161" i="3"/>
  <c r="B2395" i="3"/>
  <c r="C2395" i="3" s="1"/>
  <c r="I1799" i="3"/>
  <c r="F1769" i="3"/>
  <c r="K1769" i="3" s="1"/>
  <c r="H1713" i="3"/>
  <c r="I1168" i="3"/>
  <c r="G1168" i="3"/>
  <c r="G2413" i="3"/>
  <c r="H2269" i="3"/>
  <c r="J1816" i="3"/>
  <c r="G1502" i="3"/>
  <c r="G2932" i="3"/>
  <c r="G2269" i="3"/>
  <c r="I2161" i="3"/>
  <c r="F2395" i="3"/>
  <c r="K2395" i="3" s="1"/>
  <c r="B1908" i="3"/>
  <c r="C1908" i="3" s="1"/>
  <c r="H1168" i="3"/>
  <c r="F1114" i="3"/>
  <c r="K1114" i="3" s="1"/>
  <c r="J1114" i="3" s="1"/>
  <c r="J2269" i="3"/>
  <c r="H1816" i="3"/>
  <c r="J1502" i="3"/>
  <c r="B1494" i="3"/>
  <c r="C1494" i="3" s="1"/>
  <c r="F2269" i="3"/>
  <c r="K2269" i="3" s="1"/>
  <c r="H2221" i="3"/>
  <c r="G2395" i="3"/>
  <c r="J1790" i="3"/>
  <c r="G1799" i="3"/>
  <c r="F1649" i="3"/>
  <c r="K1649" i="3" s="1"/>
  <c r="I1379" i="3"/>
  <c r="B1502" i="3"/>
  <c r="C1502" i="3" s="1"/>
  <c r="F1494" i="3"/>
  <c r="K1494" i="3" s="1"/>
  <c r="G1649" i="3"/>
  <c r="I1077" i="3"/>
  <c r="H2298" i="3"/>
  <c r="I2221" i="3"/>
  <c r="H2395" i="3"/>
  <c r="G1904" i="3"/>
  <c r="H1790" i="3"/>
  <c r="I1713" i="3"/>
  <c r="F1379" i="3"/>
  <c r="K1379" i="3" s="1"/>
  <c r="J1649" i="3"/>
  <c r="B1260" i="3"/>
  <c r="C1260" i="3" s="1"/>
  <c r="B1408" i="3"/>
  <c r="C1408" i="3" s="1"/>
  <c r="H1271" i="3"/>
  <c r="I1494" i="3"/>
  <c r="H1494" i="3"/>
  <c r="K1077" i="3"/>
  <c r="J1077" i="3" s="1"/>
  <c r="G1385" i="3"/>
  <c r="F1260" i="3"/>
  <c r="K1260" i="3" s="1"/>
  <c r="J2221" i="3"/>
  <c r="G2160" i="3"/>
  <c r="J2395" i="3"/>
  <c r="H1459" i="3"/>
  <c r="B1385" i="3"/>
  <c r="C1385" i="3" s="1"/>
  <c r="G2603" i="3"/>
  <c r="G1629" i="3"/>
  <c r="F1385" i="3"/>
  <c r="K1385" i="3" s="1"/>
  <c r="B1379" i="3"/>
  <c r="C1379" i="3" s="1"/>
  <c r="H1077" i="3"/>
  <c r="F1271" i="3"/>
  <c r="K1271" i="3" s="1"/>
  <c r="F2553" i="3"/>
  <c r="K2553" i="3" s="1"/>
  <c r="H2263" i="3"/>
  <c r="G2263" i="3"/>
  <c r="B2263" i="3"/>
  <c r="C2263" i="3" s="1"/>
  <c r="J1964" i="3"/>
  <c r="J2263" i="3"/>
  <c r="G2578" i="3"/>
  <c r="B2553" i="3"/>
  <c r="C2553" i="3" s="1"/>
  <c r="I3063" i="3"/>
  <c r="J3104" i="3"/>
  <c r="J3008" i="3"/>
  <c r="I2982" i="3"/>
  <c r="F3109" i="3"/>
  <c r="K3109" i="3" s="1"/>
  <c r="H2823" i="3"/>
  <c r="I2745" i="3"/>
  <c r="H2836" i="3"/>
  <c r="B2712" i="3"/>
  <c r="C2712" i="3" s="1"/>
  <c r="J2659" i="3"/>
  <c r="G2564" i="3"/>
  <c r="H2880" i="3"/>
  <c r="I2647" i="3"/>
  <c r="H2692" i="3"/>
  <c r="H2467" i="3"/>
  <c r="H2499" i="3"/>
  <c r="H2578" i="3"/>
  <c r="F2317" i="3"/>
  <c r="K2317" i="3" s="1"/>
  <c r="G1801" i="3"/>
  <c r="G1856" i="3"/>
  <c r="J1963" i="3"/>
  <c r="I1110" i="3"/>
  <c r="H2464" i="3"/>
  <c r="H2096" i="3"/>
  <c r="J2078" i="3"/>
  <c r="F2332" i="3"/>
  <c r="K2332" i="3" s="1"/>
  <c r="I1835" i="3"/>
  <c r="G1569" i="3"/>
  <c r="G2053" i="3"/>
  <c r="I2795" i="3"/>
  <c r="I3109" i="3"/>
  <c r="H3074" i="3"/>
  <c r="F2840" i="3"/>
  <c r="K2840" i="3" s="1"/>
  <c r="G2656" i="3"/>
  <c r="J2692" i="3"/>
  <c r="F2534" i="3"/>
  <c r="K2534" i="3" s="1"/>
  <c r="I2578" i="3"/>
  <c r="H2471" i="3"/>
  <c r="B2471" i="3"/>
  <c r="C2471" i="3" s="1"/>
  <c r="F2552" i="3"/>
  <c r="K2552" i="3" s="1"/>
  <c r="K2196" i="3"/>
  <c r="G2317" i="3"/>
  <c r="G2008" i="3"/>
  <c r="H1958" i="3"/>
  <c r="K1819" i="3"/>
  <c r="B2362" i="3"/>
  <c r="C2362" i="3" s="1"/>
  <c r="H2343" i="3"/>
  <c r="I2263" i="3"/>
  <c r="I2064" i="3"/>
  <c r="I2078" i="3"/>
  <c r="J1912" i="3"/>
  <c r="G2332" i="3"/>
  <c r="I1678" i="3"/>
  <c r="G1532" i="3"/>
  <c r="J2932" i="3"/>
  <c r="H2795" i="3"/>
  <c r="F1954" i="3"/>
  <c r="K1954" i="3" s="1"/>
  <c r="F2656" i="3"/>
  <c r="K2656" i="3" s="1"/>
  <c r="G2343" i="3"/>
  <c r="F2801" i="3"/>
  <c r="K2801" i="3" s="1"/>
  <c r="G2692" i="3"/>
  <c r="J2552" i="3"/>
  <c r="H2317" i="3"/>
  <c r="B1958" i="3"/>
  <c r="C1958" i="3" s="1"/>
  <c r="I1923" i="3"/>
  <c r="I2348" i="3"/>
  <c r="I2062" i="3"/>
  <c r="B1881" i="3"/>
  <c r="C1881" i="3" s="1"/>
  <c r="I2317" i="3"/>
  <c r="B2785" i="3"/>
  <c r="C2785" i="3" s="1"/>
  <c r="F3119" i="3"/>
  <c r="K3119" i="3" s="1"/>
  <c r="F3028" i="3"/>
  <c r="K3028" i="3" s="1"/>
  <c r="G2960" i="3"/>
  <c r="B3109" i="3"/>
  <c r="C3109" i="3" s="1"/>
  <c r="G2455" i="3"/>
  <c r="I2425" i="3"/>
  <c r="J2471" i="3"/>
  <c r="J2578" i="3"/>
  <c r="G3119" i="3"/>
  <c r="J3028" i="3"/>
  <c r="I2942" i="3"/>
  <c r="B3105" i="3"/>
  <c r="C3105" i="3" s="1"/>
  <c r="H2952" i="3"/>
  <c r="H2714" i="3"/>
  <c r="H2762" i="3"/>
  <c r="F2758" i="3"/>
  <c r="K2758" i="3" s="1"/>
  <c r="G2724" i="3"/>
  <c r="F2455" i="3"/>
  <c r="K2455" i="3" s="1"/>
  <c r="I2374" i="3"/>
  <c r="B2813" i="3"/>
  <c r="C2813" i="3" s="1"/>
  <c r="F2242" i="3"/>
  <c r="K2242" i="3" s="1"/>
  <c r="B2242" i="3"/>
  <c r="C2242" i="3" s="1"/>
  <c r="J1954" i="3"/>
  <c r="H1923" i="3"/>
  <c r="J2643" i="3"/>
  <c r="F2035" i="3"/>
  <c r="K2035" i="3" s="1"/>
  <c r="H1959" i="3"/>
  <c r="G1561" i="3"/>
  <c r="I1561" i="3"/>
  <c r="H1963" i="3"/>
  <c r="B2317" i="3"/>
  <c r="C2317" i="3" s="1"/>
  <c r="G2321" i="3"/>
  <c r="H1954" i="3"/>
  <c r="I1963" i="3"/>
  <c r="I3119" i="3"/>
  <c r="H2936" i="3"/>
  <c r="F2991" i="3"/>
  <c r="K2991" i="3" s="1"/>
  <c r="F3090" i="3"/>
  <c r="K3090" i="3" s="1"/>
  <c r="J2785" i="3"/>
  <c r="F2882" i="3"/>
  <c r="K2882" i="3" s="1"/>
  <c r="G2785" i="3"/>
  <c r="I2840" i="3"/>
  <c r="J2711" i="3"/>
  <c r="G2758" i="3"/>
  <c r="I2656" i="3"/>
  <c r="H2553" i="3"/>
  <c r="I2343" i="3"/>
  <c r="F2343" i="3"/>
  <c r="K2343" i="3" s="1"/>
  <c r="G2242" i="3"/>
  <c r="H1819" i="3"/>
  <c r="H2360" i="3"/>
  <c r="J2362" i="3"/>
  <c r="J2062" i="3"/>
  <c r="J1959" i="3"/>
  <c r="H1814" i="3"/>
  <c r="F1866" i="3"/>
  <c r="K1866" i="3" s="1"/>
  <c r="F1968" i="3"/>
  <c r="K1968" i="3" s="1"/>
  <c r="H2035" i="3"/>
  <c r="H2242" i="3"/>
  <c r="B1968" i="3"/>
  <c r="C1968" i="3" s="1"/>
  <c r="F1814" i="3"/>
  <c r="K1814" i="3" s="1"/>
  <c r="B1912" i="3"/>
  <c r="C1912" i="3" s="1"/>
  <c r="G3090" i="3"/>
  <c r="I1912" i="3"/>
  <c r="B1866" i="3"/>
  <c r="C1866" i="3" s="1"/>
  <c r="J3090" i="3"/>
  <c r="J3074" i="3"/>
  <c r="B2936" i="3"/>
  <c r="C2936" i="3" s="1"/>
  <c r="H2882" i="3"/>
  <c r="G2862" i="3"/>
  <c r="G2714" i="3"/>
  <c r="I3042" i="3"/>
  <c r="B2711" i="3"/>
  <c r="C2711" i="3" s="1"/>
  <c r="B2455" i="3"/>
  <c r="C2455" i="3" s="1"/>
  <c r="B1925" i="3"/>
  <c r="C1925" i="3" s="1"/>
  <c r="J2242" i="3"/>
  <c r="F1964" i="3"/>
  <c r="K1964" i="3" s="1"/>
  <c r="J1856" i="3"/>
  <c r="I2509" i="3"/>
  <c r="K2263" i="3"/>
  <c r="H2264" i="3"/>
  <c r="H1181" i="3"/>
  <c r="G1544" i="3"/>
  <c r="B3042" i="3"/>
  <c r="C3042" i="3" s="1"/>
  <c r="G2711" i="3"/>
  <c r="I2196" i="3"/>
  <c r="H2509" i="3"/>
  <c r="B2096" i="3"/>
  <c r="C2096" i="3" s="1"/>
  <c r="F1110" i="3"/>
  <c r="K1110" i="3" s="1"/>
  <c r="J1110" i="3" s="1"/>
  <c r="B1225" i="3"/>
  <c r="C1225" i="3" s="1"/>
  <c r="B2007" i="3"/>
  <c r="C2007" i="3" s="1"/>
  <c r="H3028" i="3"/>
  <c r="J2840" i="3"/>
  <c r="H2455" i="3"/>
  <c r="H2425" i="3"/>
  <c r="B2343" i="3"/>
  <c r="C2343" i="3" s="1"/>
  <c r="I2035" i="3"/>
  <c r="J2196" i="3"/>
  <c r="H2196" i="3"/>
  <c r="G2481" i="3"/>
  <c r="G2196" i="3"/>
  <c r="J1819" i="3"/>
  <c r="I1954" i="3"/>
  <c r="G1923" i="3"/>
  <c r="J1390" i="3"/>
  <c r="F2439" i="3"/>
  <c r="K2439" i="3" s="1"/>
  <c r="I2247" i="3"/>
  <c r="H1912" i="3"/>
  <c r="B2656" i="3"/>
  <c r="C2656" i="3" s="1"/>
  <c r="G2425" i="3"/>
  <c r="B1819" i="3"/>
  <c r="C1819" i="3" s="1"/>
  <c r="J1923" i="3"/>
  <c r="I2466" i="3"/>
  <c r="G2466" i="3"/>
  <c r="F2096" i="3"/>
  <c r="K2096" i="3" s="1"/>
  <c r="B2196" i="3"/>
  <c r="C2196" i="3" s="1"/>
  <c r="B1864" i="3"/>
  <c r="C1864" i="3" s="1"/>
  <c r="J2481" i="3"/>
  <c r="B1923" i="3"/>
  <c r="C1923" i="3" s="1"/>
  <c r="I1864" i="3"/>
  <c r="J1269" i="3"/>
  <c r="H2564" i="3"/>
  <c r="F2711" i="3"/>
  <c r="K2711" i="3" s="1"/>
  <c r="I3090" i="3"/>
  <c r="K1240" i="3"/>
  <c r="J1240" i="3" s="1"/>
  <c r="B2425" i="3"/>
  <c r="C2425" i="3" s="1"/>
  <c r="I2481" i="3"/>
  <c r="F2321" i="3"/>
  <c r="K2321" i="3" s="1"/>
  <c r="F1912" i="3"/>
  <c r="K1912" i="3" s="1"/>
  <c r="H2321" i="3"/>
  <c r="B1856" i="3"/>
  <c r="C1856" i="3" s="1"/>
  <c r="B2564" i="3"/>
  <c r="C2564" i="3" s="1"/>
  <c r="J2064" i="3"/>
  <c r="J2039" i="3"/>
  <c r="I2022" i="3"/>
  <c r="H2062" i="3"/>
  <c r="G2882" i="3"/>
  <c r="G3042" i="3"/>
  <c r="B2795" i="3"/>
  <c r="C2795" i="3" s="1"/>
  <c r="H2481" i="3"/>
  <c r="H2711" i="3"/>
  <c r="J2022" i="3"/>
  <c r="H1856" i="3"/>
  <c r="H2862" i="3"/>
  <c r="B2801" i="3"/>
  <c r="C2801" i="3" s="1"/>
  <c r="J2795" i="3"/>
  <c r="J2656" i="3"/>
  <c r="F2425" i="3"/>
  <c r="K2425" i="3" s="1"/>
  <c r="B2481" i="3"/>
  <c r="C2481" i="3" s="1"/>
  <c r="I2321" i="3"/>
  <c r="I2096" i="3"/>
  <c r="F2062" i="3"/>
  <c r="K2062" i="3" s="1"/>
  <c r="J3042" i="3"/>
  <c r="B2552" i="3"/>
  <c r="C2552" i="3" s="1"/>
  <c r="I2553" i="3"/>
  <c r="B2853" i="3"/>
  <c r="C2853" i="3" s="1"/>
  <c r="I2932" i="3"/>
  <c r="B2932" i="3"/>
  <c r="C2932" i="3" s="1"/>
  <c r="G2764" i="3"/>
  <c r="I2534" i="3"/>
  <c r="J2035" i="3"/>
  <c r="J2008" i="3"/>
  <c r="B2321" i="3"/>
  <c r="C2321" i="3" s="1"/>
  <c r="I1819" i="3"/>
  <c r="F1963" i="3"/>
  <c r="K1963" i="3" s="1"/>
  <c r="F2360" i="3"/>
  <c r="K2360" i="3" s="1"/>
  <c r="J2027" i="3"/>
  <c r="H1524" i="3"/>
  <c r="I2564" i="3"/>
  <c r="B3119" i="3"/>
  <c r="C3119" i="3" s="1"/>
  <c r="F2932" i="3"/>
  <c r="K2932" i="3" s="1"/>
  <c r="J2553" i="3"/>
  <c r="I2552" i="3"/>
  <c r="H2552" i="3"/>
  <c r="J2455" i="3"/>
  <c r="J1509" i="3"/>
  <c r="B2466" i="3"/>
  <c r="C2466" i="3" s="1"/>
  <c r="F1315" i="3"/>
  <c r="K1315" i="3" s="1"/>
  <c r="F1359" i="3"/>
  <c r="K1359" i="3" s="1"/>
  <c r="G2124" i="3"/>
  <c r="B1835" i="3"/>
  <c r="C1835" i="3" s="1"/>
  <c r="H1544" i="3"/>
  <c r="F1474" i="3"/>
  <c r="K1474" i="3" s="1"/>
  <c r="I1539" i="3"/>
  <c r="I3002" i="3"/>
  <c r="J3033" i="3"/>
  <c r="J2935" i="3"/>
  <c r="F2781" i="3"/>
  <c r="K2781" i="3" s="1"/>
  <c r="B2781" i="3"/>
  <c r="C2781" i="3" s="1"/>
  <c r="B2414" i="3"/>
  <c r="C2414" i="3" s="1"/>
  <c r="F2523" i="3"/>
  <c r="K2523" i="3" s="1"/>
  <c r="I2194" i="3"/>
  <c r="B2152" i="3"/>
  <c r="C2152" i="3" s="1"/>
  <c r="J1801" i="3"/>
  <c r="I1951" i="3"/>
  <c r="J1419" i="3"/>
  <c r="H1315" i="3"/>
  <c r="I3106" i="3"/>
  <c r="I3054" i="3"/>
  <c r="B3002" i="3"/>
  <c r="C3002" i="3" s="1"/>
  <c r="F3033" i="3"/>
  <c r="K3033" i="3" s="1"/>
  <c r="H2982" i="3"/>
  <c r="F2993" i="3"/>
  <c r="K2993" i="3" s="1"/>
  <c r="I2776" i="3"/>
  <c r="B2841" i="3"/>
  <c r="C2841" i="3" s="1"/>
  <c r="B2857" i="3"/>
  <c r="C2857" i="3" s="1"/>
  <c r="I2627" i="3"/>
  <c r="B2953" i="3"/>
  <c r="C2953" i="3" s="1"/>
  <c r="H2640" i="3"/>
  <c r="B2594" i="3"/>
  <c r="C2594" i="3" s="1"/>
  <c r="G2818" i="3"/>
  <c r="G2120" i="3"/>
  <c r="B1907" i="3"/>
  <c r="C1907" i="3" s="1"/>
  <c r="B1878" i="3"/>
  <c r="C1878" i="3" s="1"/>
  <c r="F1951" i="3"/>
  <c r="K1951" i="3" s="1"/>
  <c r="I1997" i="3"/>
  <c r="B1627" i="3"/>
  <c r="C1627" i="3" s="1"/>
  <c r="B1349" i="3"/>
  <c r="C1349" i="3" s="1"/>
  <c r="H1098" i="3"/>
  <c r="F1118" i="3"/>
  <c r="K1118" i="3" s="1"/>
  <c r="J1118" i="3" s="1"/>
  <c r="G2444" i="3"/>
  <c r="J2327" i="3"/>
  <c r="I1636" i="3"/>
  <c r="H1269" i="3"/>
  <c r="B1544" i="3"/>
  <c r="C1544" i="3" s="1"/>
  <c r="H1213" i="3"/>
  <c r="F1865" i="3"/>
  <c r="K1865" i="3" s="1"/>
  <c r="B1524" i="3"/>
  <c r="C1524" i="3" s="1"/>
  <c r="G1582" i="3"/>
  <c r="J1315" i="3"/>
  <c r="I3033" i="3"/>
  <c r="G2870" i="3"/>
  <c r="G2953" i="3"/>
  <c r="H2511" i="3"/>
  <c r="J2523" i="3"/>
  <c r="F2194" i="3"/>
  <c r="K2194" i="3" s="1"/>
  <c r="J2015" i="3"/>
  <c r="I2045" i="3"/>
  <c r="H1907" i="3"/>
  <c r="F1419" i="3"/>
  <c r="K1419" i="3" s="1"/>
  <c r="H1419" i="3"/>
  <c r="J1497" i="3"/>
  <c r="I1122" i="3"/>
  <c r="B2563" i="3"/>
  <c r="C2563" i="3" s="1"/>
  <c r="H1582" i="3"/>
  <c r="G1472" i="3"/>
  <c r="F3004" i="3"/>
  <c r="K3004" i="3" s="1"/>
  <c r="G2986" i="3"/>
  <c r="I2857" i="3"/>
  <c r="H2873" i="3"/>
  <c r="H2627" i="3"/>
  <c r="F2627" i="3"/>
  <c r="K2627" i="3" s="1"/>
  <c r="H2953" i="3"/>
  <c r="G2511" i="3"/>
  <c r="G2414" i="3"/>
  <c r="H2194" i="3"/>
  <c r="B2120" i="3"/>
  <c r="C2120" i="3" s="1"/>
  <c r="I1605" i="3"/>
  <c r="H1428" i="3"/>
  <c r="H1148" i="3"/>
  <c r="G1188" i="3"/>
  <c r="F1188" i="3"/>
  <c r="H1122" i="3"/>
  <c r="J2563" i="3"/>
  <c r="F1532" i="3"/>
  <c r="K1532" i="3" s="1"/>
  <c r="I1888" i="3"/>
  <c r="I1240" i="3"/>
  <c r="I1582" i="3"/>
  <c r="H1371" i="3"/>
  <c r="I1472" i="3"/>
  <c r="G1179" i="3"/>
  <c r="H1472" i="3"/>
  <c r="G1524" i="3"/>
  <c r="J1532" i="3"/>
  <c r="I3004" i="3"/>
  <c r="B1118" i="3"/>
  <c r="C1118" i="3" s="1"/>
  <c r="G2323" i="3"/>
  <c r="F2563" i="3"/>
  <c r="K2563" i="3" s="1"/>
  <c r="G1888" i="3"/>
  <c r="F1835" i="3"/>
  <c r="K1835" i="3" s="1"/>
  <c r="I1225" i="3"/>
  <c r="F1181" i="3"/>
  <c r="F1582" i="3"/>
  <c r="K1582" i="3" s="1"/>
  <c r="G1539" i="3"/>
  <c r="F1605" i="3"/>
  <c r="K1605" i="3" s="1"/>
  <c r="F1524" i="3"/>
  <c r="K1524" i="3" s="1"/>
  <c r="B1098" i="3"/>
  <c r="C1098" i="3" s="1"/>
  <c r="F2906" i="3"/>
  <c r="K2906" i="3" s="1"/>
  <c r="F2511" i="3"/>
  <c r="K2511" i="3" s="1"/>
  <c r="B2422" i="3"/>
  <c r="C2422" i="3" s="1"/>
  <c r="H2773" i="3"/>
  <c r="J2422" i="3"/>
  <c r="G1349" i="3"/>
  <c r="I1419" i="3"/>
  <c r="H1179" i="3"/>
  <c r="F1098" i="3"/>
  <c r="K1098" i="3" s="1"/>
  <c r="J1098" i="3" s="1"/>
  <c r="F1497" i="3"/>
  <c r="K1497" i="3" s="1"/>
  <c r="J1544" i="3"/>
  <c r="F1544" i="3"/>
  <c r="K1544" i="3" s="1"/>
  <c r="F1371" i="3"/>
  <c r="K1371" i="3" s="1"/>
  <c r="J1472" i="3"/>
  <c r="H1539" i="3"/>
  <c r="B1448" i="3"/>
  <c r="C1448" i="3" s="1"/>
  <c r="J2364" i="3"/>
  <c r="B1428" i="3"/>
  <c r="C1428" i="3" s="1"/>
  <c r="J2993" i="3"/>
  <c r="G2841" i="3"/>
  <c r="J2732" i="3"/>
  <c r="J2953" i="3"/>
  <c r="G2906" i="3"/>
  <c r="I2593" i="3"/>
  <c r="H1910" i="3"/>
  <c r="F1801" i="3"/>
  <c r="K1801" i="3" s="1"/>
  <c r="K1888" i="3"/>
  <c r="B3054" i="3"/>
  <c r="C3054" i="3" s="1"/>
  <c r="I3048" i="3"/>
  <c r="I2935" i="3"/>
  <c r="B3048" i="3"/>
  <c r="C3048" i="3" s="1"/>
  <c r="J2857" i="3"/>
  <c r="F2832" i="3"/>
  <c r="K2832" i="3" s="1"/>
  <c r="I2906" i="3"/>
  <c r="B2793" i="3"/>
  <c r="C2793" i="3" s="1"/>
  <c r="B2493" i="3"/>
  <c r="C2493" i="3" s="1"/>
  <c r="H2422" i="3"/>
  <c r="G1907" i="3"/>
  <c r="B1801" i="3"/>
  <c r="C1801" i="3" s="1"/>
  <c r="G1509" i="3"/>
  <c r="H1497" i="3"/>
  <c r="B1996" i="3"/>
  <c r="C1996" i="3" s="1"/>
  <c r="G1959" i="3"/>
  <c r="B1865" i="3"/>
  <c r="C1865" i="3" s="1"/>
  <c r="F1539" i="3"/>
  <c r="K1539" i="3" s="1"/>
  <c r="F1448" i="3"/>
  <c r="K1448" i="3" s="1"/>
  <c r="G1240" i="3"/>
  <c r="H3019" i="3"/>
  <c r="I1359" i="3"/>
  <c r="I3123" i="3"/>
  <c r="H1390" i="3"/>
  <c r="F1390" i="3"/>
  <c r="K1390" i="3" s="1"/>
  <c r="B2832" i="3"/>
  <c r="C2832" i="3" s="1"/>
  <c r="H3124" i="3"/>
  <c r="F3054" i="3"/>
  <c r="K3054" i="3" s="1"/>
  <c r="B3004" i="3"/>
  <c r="C3004" i="3" s="1"/>
  <c r="B2972" i="3"/>
  <c r="C2972" i="3" s="1"/>
  <c r="H2906" i="3"/>
  <c r="F2793" i="3"/>
  <c r="K2793" i="3" s="1"/>
  <c r="F2640" i="3"/>
  <c r="K2640" i="3" s="1"/>
  <c r="H2440" i="3"/>
  <c r="B2523" i="3"/>
  <c r="C2523" i="3" s="1"/>
  <c r="F2522" i="3"/>
  <c r="K2522" i="3" s="1"/>
  <c r="B2522" i="3"/>
  <c r="C2522" i="3" s="1"/>
  <c r="H2015" i="3"/>
  <c r="J2011" i="3"/>
  <c r="F1984" i="3"/>
  <c r="K1984" i="3" s="1"/>
  <c r="I1188" i="3"/>
  <c r="F1148" i="3"/>
  <c r="B1390" i="3"/>
  <c r="C1390" i="3" s="1"/>
  <c r="J1796" i="3"/>
  <c r="I1524" i="3"/>
  <c r="J1371" i="3"/>
  <c r="G3054" i="3"/>
  <c r="J3054" i="3"/>
  <c r="I2841" i="3"/>
  <c r="F2972" i="3"/>
  <c r="K2972" i="3" s="1"/>
  <c r="J2913" i="3"/>
  <c r="J2906" i="3"/>
  <c r="H2793" i="3"/>
  <c r="G2793" i="3"/>
  <c r="I2511" i="3"/>
  <c r="I2493" i="3"/>
  <c r="H2403" i="3"/>
  <c r="F2239" i="3"/>
  <c r="K2239" i="3" s="1"/>
  <c r="G1984" i="3"/>
  <c r="H1951" i="3"/>
  <c r="J1951" i="3"/>
  <c r="B1582" i="3"/>
  <c r="C1582" i="3" s="1"/>
  <c r="G2045" i="3"/>
  <c r="H1939" i="3"/>
  <c r="J1865" i="3"/>
  <c r="B1269" i="3"/>
  <c r="C1269" i="3" s="1"/>
  <c r="F1472" i="3"/>
  <c r="K1472" i="3" s="1"/>
  <c r="G1098" i="3"/>
  <c r="G1627" i="3"/>
  <c r="F2414" i="3"/>
  <c r="K2414" i="3" s="1"/>
  <c r="B3106" i="3"/>
  <c r="C3106" i="3" s="1"/>
  <c r="F3039" i="3"/>
  <c r="K3039" i="3" s="1"/>
  <c r="H2832" i="3"/>
  <c r="F2841" i="3"/>
  <c r="K2841" i="3" s="1"/>
  <c r="B2873" i="3"/>
  <c r="C2873" i="3" s="1"/>
  <c r="G2972" i="3"/>
  <c r="B2773" i="3"/>
  <c r="C2773" i="3" s="1"/>
  <c r="I2793" i="3"/>
  <c r="G2239" i="3"/>
  <c r="H1984" i="3"/>
  <c r="I1380" i="3"/>
  <c r="B1571" i="3"/>
  <c r="C1571" i="3" s="1"/>
  <c r="F1959" i="3"/>
  <c r="K1959" i="3" s="1"/>
  <c r="G1865" i="3"/>
  <c r="J1939" i="3"/>
  <c r="B1240" i="3"/>
  <c r="C1240" i="3" s="1"/>
  <c r="G1371" i="3"/>
  <c r="F2440" i="3"/>
  <c r="K2440" i="3" s="1"/>
  <c r="G3102" i="3"/>
  <c r="H2841" i="3"/>
  <c r="J2870" i="3"/>
  <c r="H2870" i="3"/>
  <c r="H2972" i="3"/>
  <c r="F2732" i="3"/>
  <c r="K2732" i="3" s="1"/>
  <c r="F2773" i="3"/>
  <c r="K2773" i="3" s="1"/>
  <c r="I2563" i="3"/>
  <c r="I2640" i="3"/>
  <c r="G2522" i="3"/>
  <c r="H2239" i="3"/>
  <c r="B1188" i="3"/>
  <c r="C1188" i="3" s="1"/>
  <c r="F1571" i="3"/>
  <c r="K1571" i="3" s="1"/>
  <c r="I1118" i="3"/>
  <c r="F1122" i="3"/>
  <c r="K1122" i="3" s="1"/>
  <c r="J1122" i="3" s="1"/>
  <c r="J1474" i="3"/>
  <c r="F1627" i="3"/>
  <c r="K1627" i="3" s="1"/>
  <c r="G2732" i="3"/>
  <c r="G2773" i="3"/>
  <c r="I2239" i="3"/>
  <c r="H2152" i="3"/>
  <c r="G1977" i="3"/>
  <c r="H1801" i="3"/>
  <c r="G1390" i="3"/>
  <c r="G1571" i="3"/>
  <c r="G1359" i="3"/>
  <c r="G2224" i="3"/>
  <c r="J2032" i="3"/>
  <c r="F1225" i="3"/>
  <c r="H1627" i="3"/>
  <c r="B1380" i="3"/>
  <c r="C1380" i="3" s="1"/>
  <c r="B3102" i="3"/>
  <c r="C3102" i="3" s="1"/>
  <c r="B3006" i="3"/>
  <c r="C3006" i="3" s="1"/>
  <c r="B2194" i="3"/>
  <c r="C2194" i="3" s="1"/>
  <c r="H2224" i="3"/>
  <c r="H1888" i="3"/>
  <c r="I1627" i="3"/>
  <c r="G1380" i="3"/>
  <c r="H1474" i="3"/>
  <c r="H2910" i="3"/>
  <c r="J2972" i="3"/>
  <c r="H2732" i="3"/>
  <c r="I2732" i="3"/>
  <c r="F1997" i="3"/>
  <c r="K1997" i="3" s="1"/>
  <c r="B1679" i="3"/>
  <c r="C1679" i="3" s="1"/>
  <c r="I1571" i="3"/>
  <c r="F1535" i="3"/>
  <c r="K1535" i="3" s="1"/>
  <c r="G1448" i="3"/>
  <c r="J2224" i="3"/>
  <c r="H1605" i="3"/>
  <c r="I1371" i="3"/>
  <c r="I2773" i="3"/>
  <c r="H1571" i="3"/>
  <c r="B1535" i="3"/>
  <c r="C1535" i="3" s="1"/>
  <c r="G2440" i="3"/>
  <c r="G2523" i="3"/>
  <c r="H2522" i="3"/>
  <c r="F1977" i="3"/>
  <c r="K1977" i="3" s="1"/>
  <c r="I1977" i="3"/>
  <c r="B1910" i="3"/>
  <c r="C1910" i="3" s="1"/>
  <c r="B3124" i="3"/>
  <c r="C3124" i="3" s="1"/>
  <c r="B3072" i="3"/>
  <c r="C3072" i="3" s="1"/>
  <c r="F3006" i="3"/>
  <c r="K3006" i="3" s="1"/>
  <c r="G2913" i="3"/>
  <c r="G2627" i="3"/>
  <c r="G2593" i="3"/>
  <c r="I2522" i="3"/>
  <c r="J2414" i="3"/>
  <c r="B1977" i="3"/>
  <c r="C1977" i="3" s="1"/>
  <c r="I2011" i="3"/>
  <c r="B1997" i="3"/>
  <c r="C1997" i="3" s="1"/>
  <c r="B1539" i="3"/>
  <c r="C1539" i="3" s="1"/>
  <c r="F1679" i="3"/>
  <c r="K1679" i="3" s="1"/>
  <c r="H1188" i="3"/>
  <c r="G1148" i="3"/>
  <c r="G1428" i="3"/>
  <c r="G1535" i="3"/>
  <c r="I1448" i="3"/>
  <c r="J1907" i="3"/>
  <c r="H1240" i="3"/>
  <c r="H1380" i="3"/>
  <c r="F3124" i="3"/>
  <c r="K3124" i="3" s="1"/>
  <c r="H3072" i="3"/>
  <c r="G2982" i="3"/>
  <c r="H2913" i="3"/>
  <c r="G2493" i="3"/>
  <c r="H2593" i="3"/>
  <c r="G1951" i="3"/>
  <c r="G1679" i="3"/>
  <c r="F1428" i="3"/>
  <c r="K1428" i="3" s="1"/>
  <c r="I1428" i="3"/>
  <c r="H1535" i="3"/>
  <c r="J1448" i="3"/>
  <c r="G1110" i="3"/>
  <c r="G2549" i="3"/>
  <c r="H2549" i="3"/>
  <c r="B2627" i="3"/>
  <c r="C2627" i="3" s="1"/>
  <c r="H1865" i="3"/>
  <c r="B1213" i="3"/>
  <c r="C1213" i="3" s="1"/>
  <c r="B2511" i="3"/>
  <c r="C2511" i="3" s="1"/>
  <c r="H1977" i="3"/>
  <c r="F1349" i="3"/>
  <c r="K1349" i="3" s="1"/>
  <c r="G3019" i="3"/>
  <c r="F2364" i="3"/>
  <c r="K2364" i="3" s="1"/>
  <c r="G3124" i="3"/>
  <c r="I3072" i="3"/>
  <c r="G2993" i="3"/>
  <c r="H2986" i="3"/>
  <c r="J2440" i="3"/>
  <c r="B1532" i="3"/>
  <c r="C1532" i="3" s="1"/>
  <c r="H1679" i="3"/>
  <c r="I1679" i="3"/>
  <c r="I1179" i="3"/>
  <c r="G1419" i="3"/>
  <c r="J1535" i="3"/>
  <c r="J2549" i="3"/>
  <c r="J1888" i="3"/>
  <c r="G1835" i="3"/>
  <c r="F1179" i="3"/>
  <c r="J1349" i="3"/>
  <c r="I1349" i="3"/>
  <c r="F1907" i="3"/>
  <c r="K1907" i="3" s="1"/>
  <c r="I1509" i="3"/>
  <c r="J2873" i="3"/>
  <c r="G3006" i="3"/>
  <c r="H3006" i="3"/>
  <c r="I2364" i="3"/>
  <c r="I3006" i="3"/>
  <c r="B2982" i="3"/>
  <c r="C2982" i="3" s="1"/>
  <c r="F2852" i="3"/>
  <c r="K2852" i="3" s="1"/>
  <c r="H2414" i="3"/>
  <c r="K2493" i="3"/>
  <c r="H2493" i="3"/>
  <c r="G2152" i="3"/>
  <c r="I1148" i="3"/>
  <c r="H1118" i="3"/>
  <c r="B1110" i="3"/>
  <c r="C1110" i="3" s="1"/>
  <c r="B1888" i="3"/>
  <c r="C1888" i="3" s="1"/>
  <c r="H1835" i="3"/>
  <c r="B1122" i="3"/>
  <c r="C1122" i="3" s="1"/>
  <c r="F1380" i="3"/>
  <c r="K1380" i="3" s="1"/>
  <c r="H1532" i="3"/>
  <c r="B2946" i="3"/>
  <c r="C2946" i="3" s="1"/>
  <c r="G2429" i="3"/>
  <c r="G3122" i="3"/>
  <c r="G2997" i="3"/>
  <c r="G2942" i="3"/>
  <c r="B2467" i="3"/>
  <c r="C2467" i="3" s="1"/>
  <c r="F2946" i="3"/>
  <c r="K2946" i="3" s="1"/>
  <c r="F2467" i="3"/>
  <c r="K2467" i="3" s="1"/>
  <c r="B3122" i="3"/>
  <c r="C3122" i="3" s="1"/>
  <c r="F2696" i="3"/>
  <c r="K2696" i="3" s="1"/>
  <c r="I2696" i="3"/>
  <c r="I2618" i="3"/>
  <c r="F2497" i="3"/>
  <c r="K2497" i="3" s="1"/>
  <c r="B2997" i="3"/>
  <c r="C2997" i="3" s="1"/>
  <c r="H2942" i="3"/>
  <c r="G2955" i="3"/>
  <c r="G2723" i="3"/>
  <c r="J2696" i="3"/>
  <c r="J2695" i="3"/>
  <c r="G2695" i="3"/>
  <c r="B2620" i="3"/>
  <c r="C2620" i="3" s="1"/>
  <c r="H2270" i="3"/>
  <c r="I2497" i="3"/>
  <c r="F2466" i="3"/>
  <c r="K2466" i="3" s="1"/>
  <c r="J2997" i="3"/>
  <c r="B2874" i="3"/>
  <c r="C2874" i="3" s="1"/>
  <c r="H2897" i="3"/>
  <c r="B2679" i="3"/>
  <c r="C2679" i="3" s="1"/>
  <c r="H2429" i="3"/>
  <c r="I2955" i="3"/>
  <c r="I2285" i="3"/>
  <c r="F2622" i="3"/>
  <c r="K2622" i="3" s="1"/>
  <c r="I2467" i="3"/>
  <c r="B2285" i="3"/>
  <c r="C2285" i="3" s="1"/>
  <c r="F2874" i="3"/>
  <c r="K2874" i="3" s="1"/>
  <c r="B2696" i="3"/>
  <c r="C2696" i="3" s="1"/>
  <c r="H3046" i="3"/>
  <c r="H2696" i="3"/>
  <c r="G2467" i="3"/>
  <c r="G2946" i="3"/>
  <c r="B2752" i="3"/>
  <c r="C2752" i="3" s="1"/>
  <c r="F2620" i="3"/>
  <c r="K2620" i="3" s="1"/>
  <c r="I2429" i="3"/>
  <c r="J2429" i="3"/>
  <c r="H2946" i="3"/>
  <c r="I2946" i="3"/>
  <c r="G2752" i="3"/>
  <c r="H2620" i="3"/>
  <c r="F2897" i="3"/>
  <c r="K2897" i="3" s="1"/>
  <c r="H2752" i="3"/>
  <c r="F2429" i="3"/>
  <c r="K2429" i="3" s="1"/>
  <c r="H3132" i="3"/>
  <c r="H2930" i="3"/>
  <c r="F2974" i="3"/>
  <c r="K2974" i="3" s="1"/>
  <c r="J2068" i="3"/>
  <c r="F3059" i="3"/>
  <c r="K3059" i="3" s="1"/>
  <c r="G2974" i="3"/>
  <c r="H1244" i="3"/>
  <c r="G3092" i="3"/>
  <c r="G3059" i="3"/>
  <c r="F2886" i="3"/>
  <c r="K2886" i="3" s="1"/>
  <c r="H2974" i="3"/>
  <c r="H2498" i="3"/>
  <c r="H2146" i="3"/>
  <c r="I3059" i="3"/>
  <c r="J2974" i="3"/>
  <c r="G2963" i="3"/>
  <c r="B2803" i="3"/>
  <c r="C2803" i="3" s="1"/>
  <c r="J2276" i="3"/>
  <c r="G2498" i="3"/>
  <c r="J1392" i="3"/>
  <c r="G2803" i="3"/>
  <c r="B2498" i="3"/>
  <c r="C2498" i="3" s="1"/>
  <c r="F1392" i="3"/>
  <c r="K1392" i="3" s="1"/>
  <c r="G3134" i="3"/>
  <c r="F3134" i="3"/>
  <c r="K3134" i="3" s="1"/>
  <c r="F3114" i="3"/>
  <c r="K3114" i="3" s="1"/>
  <c r="I3132" i="3"/>
  <c r="G3114" i="3"/>
  <c r="I3134" i="3"/>
  <c r="J3092" i="3"/>
  <c r="H3114" i="3"/>
  <c r="H3059" i="3"/>
  <c r="I2601" i="3"/>
  <c r="I2502" i="3"/>
  <c r="B2502" i="3"/>
  <c r="C2502" i="3" s="1"/>
  <c r="B3092" i="3"/>
  <c r="C3092" i="3" s="1"/>
  <c r="G3132" i="3"/>
  <c r="J3134" i="3"/>
  <c r="J3059" i="3"/>
  <c r="J2601" i="3"/>
  <c r="H2329" i="3"/>
  <c r="B1603" i="3"/>
  <c r="C1603" i="3" s="1"/>
  <c r="G1756" i="3"/>
  <c r="F1795" i="3"/>
  <c r="K1795" i="3" s="1"/>
  <c r="H2803" i="3"/>
  <c r="B2601" i="3"/>
  <c r="C2601" i="3" s="1"/>
  <c r="I2329" i="3"/>
  <c r="J1743" i="3"/>
  <c r="J2329" i="3"/>
  <c r="B3112" i="3"/>
  <c r="C3112" i="3" s="1"/>
  <c r="H2601" i="3"/>
  <c r="F2601" i="3"/>
  <c r="K2601" i="3" s="1"/>
  <c r="I2963" i="3"/>
  <c r="F2803" i="3"/>
  <c r="K2803" i="3" s="1"/>
  <c r="J2080" i="3"/>
  <c r="G2080" i="3"/>
  <c r="J2177" i="3"/>
  <c r="J1603" i="3"/>
  <c r="B1581" i="3"/>
  <c r="C1581" i="3" s="1"/>
  <c r="B2886" i="3"/>
  <c r="C2886" i="3" s="1"/>
  <c r="B2974" i="3"/>
  <c r="C2974" i="3" s="1"/>
  <c r="I2068" i="3"/>
  <c r="K2177" i="3"/>
  <c r="B2085" i="3"/>
  <c r="C2085" i="3" s="1"/>
  <c r="H1393" i="3"/>
  <c r="G2903" i="3"/>
  <c r="B2778" i="3"/>
  <c r="C2778" i="3" s="1"/>
  <c r="I2489" i="3"/>
  <c r="B2489" i="3"/>
  <c r="C2489" i="3" s="1"/>
  <c r="G2189" i="3"/>
  <c r="G2102" i="3"/>
  <c r="J1569" i="3"/>
  <c r="J1484" i="3"/>
  <c r="F1071" i="3"/>
  <c r="K1071" i="3" s="1"/>
  <c r="J1071" i="3" s="1"/>
  <c r="I1645" i="3"/>
  <c r="H2933" i="3"/>
  <c r="H3125" i="3"/>
  <c r="F2942" i="3"/>
  <c r="K2942" i="3" s="1"/>
  <c r="G3029" i="3"/>
  <c r="I2814" i="3"/>
  <c r="F2855" i="3"/>
  <c r="K2855" i="3" s="1"/>
  <c r="B2850" i="3"/>
  <c r="C2850" i="3" s="1"/>
  <c r="I2933" i="3"/>
  <c r="F2778" i="3"/>
  <c r="K2778" i="3" s="1"/>
  <c r="F2724" i="3"/>
  <c r="K2724" i="3" s="1"/>
  <c r="H2724" i="3"/>
  <c r="F2635" i="3"/>
  <c r="K2635" i="3" s="1"/>
  <c r="B2613" i="3"/>
  <c r="C2613" i="3" s="1"/>
  <c r="F2585" i="3"/>
  <c r="K2585" i="3" s="1"/>
  <c r="G2489" i="3"/>
  <c r="G2238" i="3"/>
  <c r="G2064" i="3"/>
  <c r="I2097" i="3"/>
  <c r="B1520" i="3"/>
  <c r="C1520" i="3" s="1"/>
  <c r="I2102" i="3"/>
  <c r="H1283" i="3"/>
  <c r="G1645" i="3"/>
  <c r="J2593" i="3"/>
  <c r="G3069" i="3"/>
  <c r="F3050" i="3"/>
  <c r="K3050" i="3" s="1"/>
  <c r="I2912" i="3"/>
  <c r="I2879" i="3"/>
  <c r="G2912" i="3"/>
  <c r="I2943" i="3"/>
  <c r="B2836" i="3"/>
  <c r="C2836" i="3" s="1"/>
  <c r="G2778" i="3"/>
  <c r="B2992" i="3"/>
  <c r="C2992" i="3" s="1"/>
  <c r="G2635" i="3"/>
  <c r="B2572" i="3"/>
  <c r="C2572" i="3" s="1"/>
  <c r="G2585" i="3"/>
  <c r="F2512" i="3"/>
  <c r="K2512" i="3" s="1"/>
  <c r="J2458" i="3"/>
  <c r="F2458" i="3"/>
  <c r="K2458" i="3" s="1"/>
  <c r="J2238" i="3"/>
  <c r="F2203" i="3"/>
  <c r="K2203" i="3" s="1"/>
  <c r="H2036" i="3"/>
  <c r="J2363" i="3"/>
  <c r="J2102" i="3"/>
  <c r="G1071" i="3"/>
  <c r="I1393" i="3"/>
  <c r="I2267" i="3"/>
  <c r="G2267" i="3"/>
  <c r="G2458" i="3"/>
  <c r="I2224" i="3"/>
  <c r="H2203" i="3"/>
  <c r="J2213" i="3"/>
  <c r="G2036" i="3"/>
  <c r="B2036" i="3"/>
  <c r="C2036" i="3" s="1"/>
  <c r="G2462" i="3"/>
  <c r="B2102" i="3"/>
  <c r="C2102" i="3" s="1"/>
  <c r="I1283" i="3"/>
  <c r="G1857" i="3"/>
  <c r="B3129" i="3"/>
  <c r="C3129" i="3" s="1"/>
  <c r="I3050" i="3"/>
  <c r="H3050" i="3"/>
  <c r="G2867" i="3"/>
  <c r="G2879" i="3"/>
  <c r="F3010" i="3"/>
  <c r="K3010" i="3" s="1"/>
  <c r="B2943" i="3"/>
  <c r="C2943" i="3" s="1"/>
  <c r="J2822" i="3"/>
  <c r="H2831" i="3"/>
  <c r="J2954" i="3"/>
  <c r="J2778" i="3"/>
  <c r="B2753" i="3"/>
  <c r="C2753" i="3" s="1"/>
  <c r="G2992" i="3"/>
  <c r="G2572" i="3"/>
  <c r="B2585" i="3"/>
  <c r="C2585" i="3" s="1"/>
  <c r="J2585" i="3"/>
  <c r="J2487" i="3"/>
  <c r="I2512" i="3"/>
  <c r="G2268" i="3"/>
  <c r="H2085" i="3"/>
  <c r="F2436" i="3"/>
  <c r="K2436" i="3" s="1"/>
  <c r="B2224" i="3"/>
  <c r="C2224" i="3" s="1"/>
  <c r="G2213" i="3"/>
  <c r="B2053" i="3"/>
  <c r="C2053" i="3" s="1"/>
  <c r="H3039" i="3"/>
  <c r="G2980" i="3"/>
  <c r="F2980" i="3"/>
  <c r="K2980" i="3" s="1"/>
  <c r="J3029" i="3"/>
  <c r="B2942" i="3"/>
  <c r="C2942" i="3" s="1"/>
  <c r="J2879" i="3"/>
  <c r="I2794" i="3"/>
  <c r="J2836" i="3"/>
  <c r="J2943" i="3"/>
  <c r="G2794" i="3"/>
  <c r="I2822" i="3"/>
  <c r="F2753" i="3"/>
  <c r="K2753" i="3" s="1"/>
  <c r="H2992" i="3"/>
  <c r="H2572" i="3"/>
  <c r="H2268" i="3"/>
  <c r="K1848" i="3"/>
  <c r="G2295" i="3"/>
  <c r="G2436" i="3"/>
  <c r="H2213" i="3"/>
  <c r="I2003" i="3"/>
  <c r="F1703" i="3"/>
  <c r="K1703" i="3" s="1"/>
  <c r="B1818" i="3"/>
  <c r="C1818" i="3" s="1"/>
  <c r="H1111" i="3"/>
  <c r="F3031" i="3"/>
  <c r="K3031" i="3" s="1"/>
  <c r="H3110" i="3"/>
  <c r="F3110" i="3"/>
  <c r="K3110" i="3" s="1"/>
  <c r="F3105" i="3"/>
  <c r="K3105" i="3" s="1"/>
  <c r="I2992" i="3"/>
  <c r="I2572" i="3"/>
  <c r="J2267" i="3"/>
  <c r="H2064" i="3"/>
  <c r="I1547" i="3"/>
  <c r="H2855" i="3"/>
  <c r="B3046" i="3"/>
  <c r="C3046" i="3" s="1"/>
  <c r="B2879" i="3"/>
  <c r="C2879" i="3" s="1"/>
  <c r="F2489" i="3"/>
  <c r="K2489" i="3" s="1"/>
  <c r="H2256" i="3"/>
  <c r="H2332" i="3"/>
  <c r="G2855" i="3"/>
  <c r="B2912" i="3"/>
  <c r="C2912" i="3" s="1"/>
  <c r="H2489" i="3"/>
  <c r="B2065" i="3"/>
  <c r="C2065" i="3" s="1"/>
  <c r="J2256" i="3"/>
  <c r="F1645" i="3"/>
  <c r="K1645" i="3" s="1"/>
  <c r="F1393" i="3"/>
  <c r="K1393" i="3" s="1"/>
  <c r="F3049" i="3"/>
  <c r="K3049" i="3" s="1"/>
  <c r="F2912" i="3"/>
  <c r="K2912" i="3" s="1"/>
  <c r="J2933" i="3"/>
  <c r="B2051" i="3"/>
  <c r="C2051" i="3" s="1"/>
  <c r="G2256" i="3"/>
  <c r="H1645" i="3"/>
  <c r="J1678" i="3"/>
  <c r="B2458" i="3"/>
  <c r="C2458" i="3" s="1"/>
  <c r="J2912" i="3"/>
  <c r="H3049" i="3"/>
  <c r="J3105" i="3"/>
  <c r="I3029" i="3"/>
  <c r="F2952" i="3"/>
  <c r="K2952" i="3" s="1"/>
  <c r="B2855" i="3"/>
  <c r="C2855" i="3" s="1"/>
  <c r="I2615" i="3"/>
  <c r="I2089" i="3"/>
  <c r="H1678" i="3"/>
  <c r="J1283" i="3"/>
  <c r="I1743" i="3"/>
  <c r="B3049" i="3"/>
  <c r="C3049" i="3" s="1"/>
  <c r="G2952" i="3"/>
  <c r="B2903" i="3"/>
  <c r="C2903" i="3" s="1"/>
  <c r="G2375" i="3"/>
  <c r="B2239" i="3"/>
  <c r="C2239" i="3" s="1"/>
  <c r="J2952" i="3"/>
  <c r="F2903" i="3"/>
  <c r="K2903" i="3" s="1"/>
  <c r="B2593" i="3"/>
  <c r="C2593" i="3" s="1"/>
  <c r="F2375" i="3"/>
  <c r="K2375" i="3" s="1"/>
  <c r="B2436" i="3"/>
  <c r="C2436" i="3" s="1"/>
  <c r="G1111" i="3"/>
  <c r="J1393" i="3"/>
  <c r="G1393" i="3"/>
  <c r="F2879" i="3"/>
  <c r="K2879" i="3" s="1"/>
  <c r="H2763" i="3"/>
  <c r="G2524" i="3"/>
  <c r="I2458" i="3"/>
  <c r="J2210" i="3"/>
  <c r="J2356" i="3"/>
  <c r="G2078" i="3"/>
  <c r="B1569" i="3"/>
  <c r="C1569" i="3" s="1"/>
  <c r="B2462" i="3"/>
  <c r="C2462" i="3" s="1"/>
  <c r="J2876" i="3"/>
  <c r="B1743" i="3"/>
  <c r="C1743" i="3" s="1"/>
  <c r="J1879" i="3"/>
  <c r="J1967" i="3"/>
  <c r="F1879" i="3"/>
  <c r="K1879" i="3" s="1"/>
  <c r="H3104" i="3"/>
  <c r="H2339" i="3"/>
  <c r="B2068" i="3"/>
  <c r="C2068" i="3" s="1"/>
  <c r="B3104" i="3"/>
  <c r="C3104" i="3" s="1"/>
  <c r="G2360" i="3"/>
  <c r="F3062" i="3"/>
  <c r="K3062" i="3" s="1"/>
  <c r="F3099" i="3"/>
  <c r="K3099" i="3" s="1"/>
  <c r="J2854" i="3"/>
  <c r="I2854" i="3"/>
  <c r="I2880" i="3"/>
  <c r="H2970" i="3"/>
  <c r="I2758" i="3"/>
  <c r="H3022" i="3"/>
  <c r="F2963" i="3"/>
  <c r="K2963" i="3" s="1"/>
  <c r="G3017" i="3"/>
  <c r="H2886" i="3"/>
  <c r="H2854" i="3"/>
  <c r="F2847" i="3"/>
  <c r="K2847" i="3" s="1"/>
  <c r="H2524" i="3"/>
  <c r="I2513" i="3"/>
  <c r="G1577" i="3"/>
  <c r="I3112" i="3"/>
  <c r="B3114" i="3"/>
  <c r="C3114" i="3" s="1"/>
  <c r="B2524" i="3"/>
  <c r="C2524" i="3" s="1"/>
  <c r="F1577" i="3"/>
  <c r="K1577" i="3" s="1"/>
  <c r="J2677" i="3"/>
  <c r="B2534" i="3"/>
  <c r="C2534" i="3" s="1"/>
  <c r="B3134" i="3"/>
  <c r="C3134" i="3" s="1"/>
  <c r="H3092" i="3"/>
  <c r="I3069" i="3"/>
  <c r="J3114" i="3"/>
  <c r="G2812" i="3"/>
  <c r="F2823" i="3"/>
  <c r="K2823" i="3" s="1"/>
  <c r="J2900" i="3"/>
  <c r="F2890" i="3"/>
  <c r="K2890" i="3" s="1"/>
  <c r="H2705" i="3"/>
  <c r="G2480" i="3"/>
  <c r="H2534" i="3"/>
  <c r="G2496" i="3"/>
  <c r="B2517" i="3"/>
  <c r="C2517" i="3" s="1"/>
  <c r="H1728" i="3"/>
  <c r="G1978" i="3"/>
  <c r="F1614" i="3"/>
  <c r="K1614" i="3" s="1"/>
  <c r="J2705" i="3"/>
  <c r="G2534" i="3"/>
  <c r="J2513" i="3"/>
  <c r="B2977" i="3"/>
  <c r="C2977" i="3" s="1"/>
  <c r="J2524" i="3"/>
  <c r="B2812" i="3"/>
  <c r="C2812" i="3" s="1"/>
  <c r="F2524" i="3"/>
  <c r="K2524" i="3" s="1"/>
  <c r="F2831" i="3"/>
  <c r="K2831" i="3" s="1"/>
  <c r="J2831" i="3"/>
  <c r="G2900" i="3"/>
  <c r="I2900" i="3"/>
  <c r="H2977" i="3"/>
  <c r="J2667" i="3"/>
  <c r="F2667" i="3"/>
  <c r="K2667" i="3" s="1"/>
  <c r="H1841" i="3"/>
  <c r="F1841" i="3"/>
  <c r="K1841" i="3" s="1"/>
  <c r="I1350" i="3"/>
  <c r="J1350" i="3"/>
  <c r="G1350" i="3"/>
  <c r="H1350" i="3"/>
  <c r="I1612" i="3"/>
  <c r="J1612" i="3"/>
  <c r="G1449" i="3"/>
  <c r="F1449" i="3"/>
  <c r="K1449" i="3" s="1"/>
  <c r="I1449" i="3"/>
  <c r="I1826" i="3"/>
  <c r="B1826" i="3"/>
  <c r="C1826" i="3" s="1"/>
  <c r="J1826" i="3"/>
  <c r="H1826" i="3"/>
  <c r="G1826" i="3"/>
  <c r="F1826" i="3"/>
  <c r="K1826" i="3" s="1"/>
  <c r="B1623" i="3"/>
  <c r="C1623" i="3" s="1"/>
  <c r="H1623" i="3"/>
  <c r="G1623" i="3"/>
  <c r="J1623" i="3"/>
  <c r="I1623" i="3"/>
  <c r="F1623" i="3"/>
  <c r="K1623" i="3" s="1"/>
  <c r="H1767" i="3"/>
  <c r="F1767" i="3"/>
  <c r="K1767" i="3" s="1"/>
  <c r="G1767" i="3"/>
  <c r="J1767" i="3"/>
  <c r="J1807" i="3"/>
  <c r="G1807" i="3"/>
  <c r="I1807" i="3"/>
  <c r="H1807" i="3"/>
  <c r="F1807" i="3"/>
  <c r="K1807" i="3" s="1"/>
  <c r="I1306" i="3"/>
  <c r="F1306" i="3"/>
  <c r="K1306" i="3" s="1"/>
  <c r="J1306" i="3"/>
  <c r="F1083" i="3"/>
  <c r="K1083" i="3" s="1"/>
  <c r="J1083" i="3" s="1"/>
  <c r="H1083" i="3"/>
  <c r="I1083" i="3"/>
  <c r="J1265" i="3"/>
  <c r="H1265" i="3"/>
  <c r="J1292" i="3"/>
  <c r="H1292" i="3"/>
  <c r="F1292" i="3"/>
  <c r="K1292" i="3" s="1"/>
  <c r="I1292" i="3"/>
  <c r="G1292" i="3"/>
  <c r="B1292" i="3"/>
  <c r="C1292" i="3" s="1"/>
  <c r="B1725" i="3"/>
  <c r="C1725" i="3" s="1"/>
  <c r="I1725" i="3"/>
  <c r="J1725" i="3"/>
  <c r="H1725" i="3"/>
  <c r="F1725" i="3"/>
  <c r="K1725" i="3" s="1"/>
  <c r="G1725" i="3"/>
  <c r="B1310" i="3"/>
  <c r="C1310" i="3" s="1"/>
  <c r="J1310" i="3"/>
  <c r="H1696" i="3"/>
  <c r="K1696" i="3"/>
  <c r="B1696" i="3"/>
  <c r="C1696" i="3" s="1"/>
  <c r="G1696" i="3"/>
  <c r="I1696" i="3"/>
  <c r="J1696" i="3"/>
  <c r="B1159" i="3"/>
  <c r="C1159" i="3" s="1"/>
  <c r="F1159" i="3"/>
  <c r="G1159" i="3"/>
  <c r="J1626" i="3"/>
  <c r="B1626" i="3"/>
  <c r="C1626" i="3" s="1"/>
  <c r="G1626" i="3"/>
  <c r="I1626" i="3"/>
  <c r="F1626" i="3"/>
  <c r="K1626" i="3" s="1"/>
  <c r="H1626" i="3"/>
  <c r="F1303" i="3"/>
  <c r="K1303" i="3" s="1"/>
  <c r="J1303" i="3"/>
  <c r="J1683" i="3"/>
  <c r="H1683" i="3"/>
  <c r="B1683" i="3"/>
  <c r="C1683" i="3" s="1"/>
  <c r="F1683" i="3"/>
  <c r="K1683" i="3" s="1"/>
  <c r="G1683" i="3"/>
  <c r="I1683" i="3"/>
  <c r="F1123" i="3"/>
  <c r="K1123" i="3" s="1"/>
  <c r="J1123" i="3" s="1"/>
  <c r="I1123" i="3"/>
  <c r="H1123" i="3"/>
  <c r="G1123" i="3"/>
  <c r="B1899" i="3"/>
  <c r="C1899" i="3" s="1"/>
  <c r="I1899" i="3"/>
  <c r="H1899" i="3"/>
  <c r="F1899" i="3"/>
  <c r="K1899" i="3" s="1"/>
  <c r="J1899" i="3"/>
  <c r="G1899" i="3"/>
  <c r="H1073" i="3"/>
  <c r="G1073" i="3"/>
  <c r="B1073" i="3"/>
  <c r="C1073" i="3" s="1"/>
  <c r="F1568" i="3"/>
  <c r="K1568" i="3" s="1"/>
  <c r="G1568" i="3"/>
  <c r="I3025" i="3"/>
  <c r="G2667" i="3"/>
  <c r="I2677" i="3"/>
  <c r="B2758" i="3"/>
  <c r="C2758" i="3" s="1"/>
  <c r="I1841" i="3"/>
  <c r="G1841" i="3"/>
  <c r="H1345" i="3"/>
  <c r="B1832" i="3"/>
  <c r="C1832" i="3" s="1"/>
  <c r="F2004" i="3"/>
  <c r="K2004" i="3" s="1"/>
  <c r="B2004" i="3"/>
  <c r="C2004" i="3" s="1"/>
  <c r="H2004" i="3"/>
  <c r="J2004" i="3"/>
  <c r="G1936" i="3"/>
  <c r="H1936" i="3"/>
  <c r="F1936" i="3"/>
  <c r="K1936" i="3" s="1"/>
  <c r="I2515" i="3"/>
  <c r="J2515" i="3"/>
  <c r="H1986" i="3"/>
  <c r="F1986" i="3"/>
  <c r="K1986" i="3" s="1"/>
  <c r="I2138" i="3"/>
  <c r="G2138" i="3"/>
  <c r="B2138" i="3"/>
  <c r="C2138" i="3" s="1"/>
  <c r="F2138" i="3"/>
  <c r="K2138" i="3" s="1"/>
  <c r="J1886" i="3"/>
  <c r="H1886" i="3"/>
  <c r="F1886" i="3"/>
  <c r="K1886" i="3" s="1"/>
  <c r="B1886" i="3"/>
  <c r="C1886" i="3" s="1"/>
  <c r="I2596" i="3"/>
  <c r="J2596" i="3"/>
  <c r="B1568" i="3"/>
  <c r="C1568" i="3" s="1"/>
  <c r="I2803" i="3"/>
  <c r="F2812" i="3"/>
  <c r="K2812" i="3" s="1"/>
  <c r="B2667" i="3"/>
  <c r="C2667" i="3" s="1"/>
  <c r="F1612" i="3"/>
  <c r="K1612" i="3" s="1"/>
  <c r="I1577" i="3"/>
  <c r="J1345" i="3"/>
  <c r="H1832" i="3"/>
  <c r="F2677" i="3"/>
  <c r="K2677" i="3" s="1"/>
  <c r="F2338" i="3"/>
  <c r="K2338" i="3" s="1"/>
  <c r="I2977" i="3"/>
  <c r="I2542" i="3"/>
  <c r="H2542" i="3"/>
  <c r="J2428" i="3"/>
  <c r="B2428" i="3"/>
  <c r="C2428" i="3" s="1"/>
  <c r="G2428" i="3"/>
  <c r="I2389" i="3"/>
  <c r="J2389" i="3"/>
  <c r="H2389" i="3"/>
  <c r="F2389" i="3"/>
  <c r="K2389" i="3" s="1"/>
  <c r="G2389" i="3"/>
  <c r="I1345" i="3"/>
  <c r="F1345" i="3"/>
  <c r="K1345" i="3" s="1"/>
  <c r="J2040" i="3"/>
  <c r="I2040" i="3"/>
  <c r="B2040" i="3"/>
  <c r="C2040" i="3" s="1"/>
  <c r="I2507" i="3"/>
  <c r="I2275" i="3"/>
  <c r="F2253" i="3"/>
  <c r="K2253" i="3" s="1"/>
  <c r="B2185" i="3"/>
  <c r="C2185" i="3" s="1"/>
  <c r="H1769" i="3"/>
  <c r="G2272" i="3"/>
  <c r="B2247" i="3"/>
  <c r="C2247" i="3" s="1"/>
  <c r="B2008" i="3"/>
  <c r="C2008" i="3" s="1"/>
  <c r="G1769" i="3"/>
  <c r="F2914" i="3"/>
  <c r="K2914" i="3" s="1"/>
  <c r="I2629" i="3"/>
  <c r="B2579" i="3"/>
  <c r="C2579" i="3" s="1"/>
  <c r="J2370" i="3"/>
  <c r="G2370" i="3"/>
  <c r="B2327" i="3"/>
  <c r="C2327" i="3" s="1"/>
  <c r="I2174" i="3"/>
  <c r="F2247" i="3"/>
  <c r="K2247" i="3" s="1"/>
  <c r="J1769" i="3"/>
  <c r="J2174" i="3"/>
  <c r="G2247" i="3"/>
  <c r="I1934" i="3"/>
  <c r="J2564" i="3"/>
  <c r="H2158" i="3"/>
  <c r="F2327" i="3"/>
  <c r="K2327" i="3" s="1"/>
  <c r="I2155" i="3"/>
  <c r="B1934" i="3"/>
  <c r="C1934" i="3" s="1"/>
  <c r="G2528" i="3"/>
  <c r="I1967" i="3"/>
  <c r="G1764" i="3"/>
  <c r="I2528" i="3"/>
  <c r="H2349" i="3"/>
  <c r="J2282" i="3"/>
  <c r="B2155" i="3"/>
  <c r="C2155" i="3" s="1"/>
  <c r="L24" i="6"/>
  <c r="B2282" i="3"/>
  <c r="C2282" i="3" s="1"/>
  <c r="O82" i="2"/>
  <c r="P82" i="2" s="1"/>
  <c r="Q82" i="2" s="1"/>
  <c r="F2181" i="3"/>
  <c r="K2181" i="3" s="1"/>
  <c r="F3094" i="3"/>
  <c r="K3094" i="3" s="1"/>
  <c r="H2805" i="3"/>
  <c r="B2954" i="3"/>
  <c r="C2954" i="3" s="1"/>
  <c r="J2685" i="3"/>
  <c r="B2296" i="3"/>
  <c r="C2296" i="3" s="1"/>
  <c r="H2372" i="3"/>
  <c r="I1838" i="3"/>
  <c r="G1880" i="3"/>
  <c r="H1647" i="3"/>
  <c r="F1860" i="3"/>
  <c r="K1860" i="3" s="1"/>
  <c r="H1515" i="3"/>
  <c r="I1273" i="3"/>
  <c r="H1169" i="3"/>
  <c r="O50" i="2"/>
  <c r="P50" i="2" s="1"/>
  <c r="Q50" i="2" s="1"/>
  <c r="O10" i="2"/>
  <c r="P10" i="2" s="1"/>
  <c r="Q10" i="2" s="1"/>
  <c r="O271" i="2"/>
  <c r="P271" i="2" s="1"/>
  <c r="Q271" i="2" s="1"/>
  <c r="O198" i="2"/>
  <c r="P198" i="2" s="1"/>
  <c r="Q198" i="2" s="1"/>
  <c r="O164" i="2"/>
  <c r="P164" i="2" s="1"/>
  <c r="Q164" i="2" s="1"/>
  <c r="O482" i="2"/>
  <c r="P482" i="2" s="1"/>
  <c r="Q482" i="2" s="1"/>
  <c r="F2484" i="3"/>
  <c r="K2484" i="3" s="1"/>
  <c r="I1778" i="3"/>
  <c r="I1883" i="3"/>
  <c r="G1140" i="3"/>
  <c r="I1485" i="3"/>
  <c r="B1342" i="3"/>
  <c r="C1342" i="3" s="1"/>
  <c r="K1675" i="3"/>
  <c r="I1205" i="3"/>
  <c r="F1205" i="3"/>
  <c r="K1205" i="3" s="1"/>
  <c r="J1205" i="3" s="1"/>
  <c r="H1386" i="3"/>
  <c r="J1386" i="3"/>
  <c r="G1182" i="3"/>
  <c r="B1182" i="3"/>
  <c r="C1182" i="3" s="1"/>
  <c r="J1312" i="3"/>
  <c r="H1312" i="3"/>
  <c r="J1445" i="3"/>
  <c r="I1445" i="3"/>
  <c r="G1445" i="3"/>
  <c r="H1160" i="3"/>
  <c r="I1160" i="3"/>
  <c r="G1160" i="3"/>
  <c r="F1160" i="3"/>
  <c r="K1160" i="3" s="1"/>
  <c r="J1160" i="3" s="1"/>
  <c r="B1160" i="3"/>
  <c r="C1160" i="3" s="1"/>
  <c r="B1075" i="3"/>
  <c r="C1075" i="3" s="1"/>
  <c r="I1075" i="3"/>
  <c r="F1075" i="3"/>
  <c r="K1075" i="3" s="1"/>
  <c r="J1075" i="3" s="1"/>
  <c r="J1777" i="3"/>
  <c r="B1299" i="3"/>
  <c r="C1299" i="3" s="1"/>
  <c r="J1565" i="3"/>
  <c r="B1565" i="3"/>
  <c r="C1565" i="3" s="1"/>
  <c r="I1221" i="3"/>
  <c r="B1221" i="3"/>
  <c r="C1221" i="3" s="1"/>
  <c r="J1323" i="3"/>
  <c r="G1323" i="3"/>
  <c r="B1191" i="3"/>
  <c r="C1191" i="3" s="1"/>
  <c r="I1508" i="3"/>
  <c r="F1508" i="3"/>
  <c r="K1508" i="3" s="1"/>
  <c r="G1388" i="3"/>
  <c r="F1388" i="3"/>
  <c r="K1388" i="3" s="1"/>
  <c r="I3065" i="3"/>
  <c r="F2902" i="3"/>
  <c r="K2902" i="3" s="1"/>
  <c r="I2691" i="3"/>
  <c r="G2691" i="3"/>
  <c r="F2954" i="3"/>
  <c r="K2954" i="3" s="1"/>
  <c r="F2296" i="3"/>
  <c r="K2296" i="3" s="1"/>
  <c r="J2372" i="3"/>
  <c r="G2281" i="3"/>
  <c r="G2191" i="3"/>
  <c r="F1777" i="3"/>
  <c r="K1777" i="3" s="1"/>
  <c r="H1860" i="3"/>
  <c r="J1273" i="3"/>
  <c r="O5" i="2"/>
  <c r="P5" i="2" s="1"/>
  <c r="Q5" i="2" s="1"/>
  <c r="O141" i="2"/>
  <c r="P141" i="2" s="1"/>
  <c r="Q141" i="2" s="1"/>
  <c r="O371" i="2"/>
  <c r="P371" i="2" s="1"/>
  <c r="Q371" i="2" s="1"/>
  <c r="O299" i="2"/>
  <c r="P299" i="2" s="1"/>
  <c r="Q299" i="2" s="1"/>
  <c r="O217" i="2"/>
  <c r="P217" i="2" s="1"/>
  <c r="Q217" i="2" s="1"/>
  <c r="O298" i="2"/>
  <c r="P298" i="2" s="1"/>
  <c r="Q298" i="2" s="1"/>
  <c r="I2484" i="3"/>
  <c r="B2354" i="3"/>
  <c r="C2354" i="3" s="1"/>
  <c r="B1855" i="3"/>
  <c r="C1855" i="3" s="1"/>
  <c r="B1409" i="3"/>
  <c r="C1409" i="3" s="1"/>
  <c r="B1140" i="3"/>
  <c r="C1140" i="3" s="1"/>
  <c r="F1574" i="3"/>
  <c r="K1574" i="3" s="1"/>
  <c r="I1299" i="3"/>
  <c r="J1485" i="3"/>
  <c r="H1339" i="3"/>
  <c r="J1339" i="3"/>
  <c r="G1339" i="3"/>
  <c r="F1339" i="3"/>
  <c r="K1339" i="3" s="1"/>
  <c r="I1241" i="3"/>
  <c r="I1484" i="3"/>
  <c r="B1484" i="3"/>
  <c r="C1484" i="3" s="1"/>
  <c r="I1642" i="3"/>
  <c r="B1642" i="3"/>
  <c r="C1642" i="3" s="1"/>
  <c r="J1412" i="3"/>
  <c r="B1412" i="3"/>
  <c r="C1412" i="3" s="1"/>
  <c r="B1216" i="3"/>
  <c r="C1216" i="3" s="1"/>
  <c r="G1216" i="3"/>
  <c r="G1518" i="3"/>
  <c r="I1518" i="3"/>
  <c r="I1203" i="3"/>
  <c r="G3121" i="3"/>
  <c r="G3094" i="3"/>
  <c r="G2902" i="3"/>
  <c r="I2805" i="3"/>
  <c r="F2934" i="3"/>
  <c r="K2934" i="3" s="1"/>
  <c r="H2888" i="3"/>
  <c r="G2954" i="3"/>
  <c r="H2718" i="3"/>
  <c r="G2634" i="3"/>
  <c r="F2451" i="3"/>
  <c r="K2451" i="3" s="1"/>
  <c r="G2075" i="3"/>
  <c r="I2191" i="3"/>
  <c r="H2191" i="3"/>
  <c r="F2259" i="3"/>
  <c r="K2259" i="3" s="1"/>
  <c r="K2191" i="3"/>
  <c r="I1860" i="3"/>
  <c r="F1499" i="3"/>
  <c r="K1499" i="3" s="1"/>
  <c r="G1273" i="3"/>
  <c r="G1191" i="3"/>
  <c r="O69" i="2"/>
  <c r="P69" i="2" s="1"/>
  <c r="Q69" i="2" s="1"/>
  <c r="O162" i="2"/>
  <c r="P162" i="2" s="1"/>
  <c r="Q162" i="2" s="1"/>
  <c r="O91" i="2"/>
  <c r="P91" i="2" s="1"/>
  <c r="Q91" i="2" s="1"/>
  <c r="O27" i="2"/>
  <c r="P27" i="2" s="1"/>
  <c r="Q27" i="2" s="1"/>
  <c r="O239" i="2"/>
  <c r="P239" i="2" s="1"/>
  <c r="Q239" i="2" s="1"/>
  <c r="O492" i="2"/>
  <c r="P492" i="2" s="1"/>
  <c r="Q492" i="2" s="1"/>
  <c r="O312" i="2"/>
  <c r="P312" i="2" s="1"/>
  <c r="Q312" i="2" s="1"/>
  <c r="O254" i="2"/>
  <c r="P254" i="2" s="1"/>
  <c r="Q254" i="2" s="1"/>
  <c r="O26" i="2"/>
  <c r="P26" i="2" s="1"/>
  <c r="Q26" i="2" s="1"/>
  <c r="O34" i="2"/>
  <c r="P34" i="2" s="1"/>
  <c r="Q34" i="2" s="1"/>
  <c r="J2484" i="3"/>
  <c r="H1883" i="3"/>
  <c r="B1553" i="3"/>
  <c r="C1553" i="3" s="1"/>
  <c r="O701" i="2"/>
  <c r="P701" i="2" s="1"/>
  <c r="Q701" i="2" s="1"/>
  <c r="F1398" i="3"/>
  <c r="K1398" i="3" s="1"/>
  <c r="J1574" i="3"/>
  <c r="B1509" i="3"/>
  <c r="C1509" i="3" s="1"/>
  <c r="F1509" i="3"/>
  <c r="K1509" i="3" s="1"/>
  <c r="B1315" i="3"/>
  <c r="C1315" i="3" s="1"/>
  <c r="G1315" i="3"/>
  <c r="I1269" i="3"/>
  <c r="F1269" i="3"/>
  <c r="K1269" i="3" s="1"/>
  <c r="I1796" i="3"/>
  <c r="H1796" i="3"/>
  <c r="G1796" i="3"/>
  <c r="B1796" i="3"/>
  <c r="C1796" i="3" s="1"/>
  <c r="B1474" i="3"/>
  <c r="C1474" i="3" s="1"/>
  <c r="I1474" i="3"/>
  <c r="J1605" i="3"/>
  <c r="G1605" i="3"/>
  <c r="G1497" i="3"/>
  <c r="B1497" i="3"/>
  <c r="C1497" i="3" s="1"/>
  <c r="H1359" i="3"/>
  <c r="B1359" i="3"/>
  <c r="C1359" i="3" s="1"/>
  <c r="G1225" i="3"/>
  <c r="B1181" i="3"/>
  <c r="C1181" i="3" s="1"/>
  <c r="I1181" i="3"/>
  <c r="G1635" i="3"/>
  <c r="F1635" i="3"/>
  <c r="K1635" i="3" s="1"/>
  <c r="O238" i="2"/>
  <c r="P238" i="2" s="1"/>
  <c r="Q238" i="2" s="1"/>
  <c r="I1169" i="3"/>
  <c r="O61" i="2"/>
  <c r="P61" i="2" s="1"/>
  <c r="Q61" i="2" s="1"/>
  <c r="O210" i="2"/>
  <c r="P210" i="2" s="1"/>
  <c r="Q210" i="2" s="1"/>
  <c r="O150" i="2"/>
  <c r="P150" i="2" s="1"/>
  <c r="Q150" i="2" s="1"/>
  <c r="O51" i="2"/>
  <c r="P51" i="2" s="1"/>
  <c r="Q51" i="2" s="1"/>
  <c r="O118" i="2"/>
  <c r="P118" i="2" s="1"/>
  <c r="Q118" i="2" s="1"/>
  <c r="O265" i="2"/>
  <c r="P265" i="2" s="1"/>
  <c r="Q265" i="2" s="1"/>
  <c r="H2484" i="3"/>
  <c r="B1682" i="3"/>
  <c r="C1682" i="3" s="1"/>
  <c r="K1089" i="3"/>
  <c r="J1089" i="3" s="1"/>
  <c r="H1221" i="3"/>
  <c r="G1221" i="3"/>
  <c r="F1553" i="3"/>
  <c r="K1553" i="3" s="1"/>
  <c r="G1553" i="3"/>
  <c r="G1409" i="3"/>
  <c r="B1323" i="3"/>
  <c r="C1323" i="3" s="1"/>
  <c r="J1783" i="3"/>
  <c r="G1783" i="3"/>
  <c r="G1825" i="3"/>
  <c r="J1825" i="3"/>
  <c r="B1255" i="3"/>
  <c r="C1255" i="3" s="1"/>
  <c r="I1255" i="3"/>
  <c r="H1255" i="3"/>
  <c r="G1255" i="3"/>
  <c r="H1372" i="3"/>
  <c r="I1372" i="3"/>
  <c r="G1439" i="3"/>
  <c r="I1439" i="3"/>
  <c r="F1439" i="3"/>
  <c r="K1439" i="3" s="1"/>
  <c r="G1464" i="3"/>
  <c r="I1464" i="3"/>
  <c r="F1464" i="3"/>
  <c r="K1464" i="3" s="1"/>
  <c r="O319" i="2"/>
  <c r="P319" i="2" s="1"/>
  <c r="Q319" i="2" s="1"/>
  <c r="H2902" i="3"/>
  <c r="H2934" i="3"/>
  <c r="H2691" i="3"/>
  <c r="I2954" i="3"/>
  <c r="B2651" i="3"/>
  <c r="C2651" i="3" s="1"/>
  <c r="H2337" i="3"/>
  <c r="B2451" i="3"/>
  <c r="C2451" i="3" s="1"/>
  <c r="J2178" i="3"/>
  <c r="H2181" i="3"/>
  <c r="B2075" i="3"/>
  <c r="C2075" i="3" s="1"/>
  <c r="B2259" i="3"/>
  <c r="C2259" i="3" s="1"/>
  <c r="H2259" i="3"/>
  <c r="F2281" i="3"/>
  <c r="K2281" i="3" s="1"/>
  <c r="B1777" i="3"/>
  <c r="C1777" i="3" s="1"/>
  <c r="B1809" i="3"/>
  <c r="C1809" i="3" s="1"/>
  <c r="I1647" i="3"/>
  <c r="H1624" i="3"/>
  <c r="B1485" i="3"/>
  <c r="C1485" i="3" s="1"/>
  <c r="G1398" i="3"/>
  <c r="O970" i="2"/>
  <c r="P970" i="2" s="1"/>
  <c r="Q970" i="2" s="1"/>
  <c r="I1191" i="3"/>
  <c r="K1090" i="3"/>
  <c r="J1090" i="3" s="1"/>
  <c r="O291" i="2"/>
  <c r="P291" i="2" s="1"/>
  <c r="Q291" i="2" s="1"/>
  <c r="O6" i="2"/>
  <c r="P6" i="2" s="1"/>
  <c r="Q6" i="2" s="1"/>
  <c r="O120" i="2"/>
  <c r="P120" i="2" s="1"/>
  <c r="Q120" i="2" s="1"/>
  <c r="O248" i="2"/>
  <c r="P248" i="2" s="1"/>
  <c r="Q248" i="2" s="1"/>
  <c r="O67" i="2"/>
  <c r="P67" i="2" s="1"/>
  <c r="Q67" i="2" s="1"/>
  <c r="O390" i="2"/>
  <c r="P390" i="2" s="1"/>
  <c r="Q390" i="2" s="1"/>
  <c r="O295" i="2"/>
  <c r="P295" i="2" s="1"/>
  <c r="Q295" i="2" s="1"/>
  <c r="B2244" i="3"/>
  <c r="C2244" i="3" s="1"/>
  <c r="G1574" i="3"/>
  <c r="F1121" i="3"/>
  <c r="K1121" i="3" s="1"/>
  <c r="J1121" i="3" s="1"/>
  <c r="J1822" i="3"/>
  <c r="H1553" i="3"/>
  <c r="G1675" i="3"/>
  <c r="J1244" i="3"/>
  <c r="I1244" i="3"/>
  <c r="F1244" i="3"/>
  <c r="K1244" i="3" s="1"/>
  <c r="B1244" i="3"/>
  <c r="C1244" i="3" s="1"/>
  <c r="J1523" i="3"/>
  <c r="B1523" i="3"/>
  <c r="C1523" i="3" s="1"/>
  <c r="B1383" i="3"/>
  <c r="C1383" i="3" s="1"/>
  <c r="G1383" i="3"/>
  <c r="G1492" i="3"/>
  <c r="H1492" i="3"/>
  <c r="B1492" i="3"/>
  <c r="C1492" i="3" s="1"/>
  <c r="B1462" i="3"/>
  <c r="C1462" i="3" s="1"/>
  <c r="F1462" i="3"/>
  <c r="K1462" i="3" s="1"/>
  <c r="G1308" i="3"/>
  <c r="I1308" i="3"/>
  <c r="O11" i="2"/>
  <c r="P11" i="2" s="1"/>
  <c r="Q11" i="2" s="1"/>
  <c r="O13" i="2"/>
  <c r="P13" i="2" s="1"/>
  <c r="Q13" i="2" s="1"/>
  <c r="O137" i="2"/>
  <c r="P137" i="2" s="1"/>
  <c r="Q137" i="2" s="1"/>
  <c r="O333" i="2"/>
  <c r="P333" i="2" s="1"/>
  <c r="Q333" i="2" s="1"/>
  <c r="O71" i="2"/>
  <c r="P71" i="2" s="1"/>
  <c r="Q71" i="2" s="1"/>
  <c r="O24" i="2"/>
  <c r="P24" i="2" s="1"/>
  <c r="Q24" i="2" s="1"/>
  <c r="O192" i="2"/>
  <c r="P192" i="2" s="1"/>
  <c r="Q192" i="2" s="1"/>
  <c r="H2244" i="3"/>
  <c r="H1822" i="3"/>
  <c r="J1553" i="3"/>
  <c r="B2063" i="3"/>
  <c r="C2063" i="3" s="1"/>
  <c r="I1364" i="3"/>
  <c r="B1721" i="3"/>
  <c r="C1721" i="3" s="1"/>
  <c r="F1721" i="3"/>
  <c r="K1721" i="3" s="1"/>
  <c r="H1246" i="3"/>
  <c r="I1246" i="3"/>
  <c r="H1714" i="3"/>
  <c r="I1714" i="3"/>
  <c r="I1234" i="3"/>
  <c r="B1403" i="3"/>
  <c r="C1403" i="3" s="1"/>
  <c r="J1403" i="3"/>
  <c r="I1496" i="3"/>
  <c r="H1496" i="3"/>
  <c r="F1233" i="3"/>
  <c r="K1233" i="3" s="1"/>
  <c r="J1233" i="3" s="1"/>
  <c r="H1233" i="3"/>
  <c r="B1233" i="3"/>
  <c r="C1233" i="3" s="1"/>
  <c r="G2934" i="3"/>
  <c r="G2259" i="3"/>
  <c r="I2934" i="3"/>
  <c r="F2178" i="3"/>
  <c r="K2178" i="3" s="1"/>
  <c r="I2651" i="3"/>
  <c r="B2718" i="3"/>
  <c r="C2718" i="3" s="1"/>
  <c r="B2842" i="3"/>
  <c r="C2842" i="3" s="1"/>
  <c r="J2312" i="3"/>
  <c r="G2337" i="3"/>
  <c r="G2586" i="3"/>
  <c r="J2191" i="3"/>
  <c r="G2178" i="3"/>
  <c r="H1838" i="3"/>
  <c r="F1515" i="3"/>
  <c r="K1515" i="3" s="1"/>
  <c r="I1499" i="3"/>
  <c r="H1499" i="3"/>
  <c r="O21" i="2"/>
  <c r="P21" i="2" s="1"/>
  <c r="Q21" i="2" s="1"/>
  <c r="O158" i="2"/>
  <c r="P158" i="2" s="1"/>
  <c r="Q158" i="2" s="1"/>
  <c r="O125" i="2"/>
  <c r="P125" i="2" s="1"/>
  <c r="Q125" i="2" s="1"/>
  <c r="O75" i="2"/>
  <c r="P75" i="2" s="1"/>
  <c r="Q75" i="2" s="1"/>
  <c r="O28" i="2"/>
  <c r="P28" i="2" s="1"/>
  <c r="Q28" i="2" s="1"/>
  <c r="O693" i="2"/>
  <c r="P693" i="2" s="1"/>
  <c r="Q693" i="2" s="1"/>
  <c r="B2203" i="3"/>
  <c r="C2203" i="3" s="1"/>
  <c r="J2244" i="3"/>
  <c r="F1778" i="3"/>
  <c r="K1778" i="3" s="1"/>
  <c r="I1140" i="3"/>
  <c r="H1857" i="3"/>
  <c r="B1684" i="3"/>
  <c r="C1684" i="3" s="1"/>
  <c r="G1684" i="3"/>
  <c r="F1684" i="3"/>
  <c r="K1684" i="3" s="1"/>
  <c r="H1238" i="3"/>
  <c r="F1238" i="3"/>
  <c r="B1238" i="3"/>
  <c r="C1238" i="3" s="1"/>
  <c r="G1238" i="3"/>
  <c r="I1238" i="3"/>
  <c r="G1698" i="3"/>
  <c r="I1698" i="3"/>
  <c r="I1602" i="3"/>
  <c r="J1602" i="3"/>
  <c r="H1602" i="3"/>
  <c r="H1174" i="3"/>
  <c r="I1174" i="3"/>
  <c r="J1341" i="3"/>
  <c r="I1341" i="3"/>
  <c r="I1622" i="3"/>
  <c r="H1622" i="3"/>
  <c r="F1622" i="3"/>
  <c r="K1622" i="3" s="1"/>
  <c r="F1596" i="3"/>
  <c r="K1596" i="3" s="1"/>
  <c r="G1596" i="3"/>
  <c r="H1069" i="3"/>
  <c r="F1069" i="3"/>
  <c r="K1069" i="3" s="1"/>
  <c r="J1069" i="3" s="1"/>
  <c r="H1185" i="3"/>
  <c r="F1185" i="3"/>
  <c r="K1185" i="3" s="1"/>
  <c r="J1185" i="3" s="1"/>
  <c r="B1185" i="3"/>
  <c r="C1185" i="3" s="1"/>
  <c r="G1232" i="3"/>
  <c r="H1232" i="3"/>
  <c r="F1099" i="3"/>
  <c r="K1099" i="3" s="1"/>
  <c r="J1099" i="3" s="1"/>
  <c r="G1099" i="3"/>
  <c r="I1250" i="3"/>
  <c r="G1250" i="3"/>
  <c r="H1331" i="3"/>
  <c r="F1331" i="3"/>
  <c r="K1331" i="3" s="1"/>
  <c r="I1242" i="3"/>
  <c r="O190" i="2"/>
  <c r="P190" i="2" s="1"/>
  <c r="Q190" i="2" s="1"/>
  <c r="J1860" i="3"/>
  <c r="J2934" i="3"/>
  <c r="B2888" i="3"/>
  <c r="C2888" i="3" s="1"/>
  <c r="G2994" i="3"/>
  <c r="G2718" i="3"/>
  <c r="J2586" i="3"/>
  <c r="H2586" i="3"/>
  <c r="H2168" i="3"/>
  <c r="H2178" i="3"/>
  <c r="H2063" i="3"/>
  <c r="G2063" i="3"/>
  <c r="B2228" i="3"/>
  <c r="C2228" i="3" s="1"/>
  <c r="H2281" i="3"/>
  <c r="H1831" i="3"/>
  <c r="B1647" i="3"/>
  <c r="C1647" i="3" s="1"/>
  <c r="I1515" i="3"/>
  <c r="J1499" i="3"/>
  <c r="O45" i="2"/>
  <c r="P45" i="2" s="1"/>
  <c r="Q45" i="2" s="1"/>
  <c r="O179" i="2"/>
  <c r="P179" i="2" s="1"/>
  <c r="Q179" i="2" s="1"/>
  <c r="O146" i="2"/>
  <c r="P146" i="2" s="1"/>
  <c r="Q146" i="2" s="1"/>
  <c r="O96" i="2"/>
  <c r="P96" i="2" s="1"/>
  <c r="Q96" i="2" s="1"/>
  <c r="O40" i="2"/>
  <c r="P40" i="2" s="1"/>
  <c r="Q40" i="2" s="1"/>
  <c r="I1857" i="3"/>
  <c r="F1924" i="3"/>
  <c r="K1924" i="3" s="1"/>
  <c r="I1304" i="3"/>
  <c r="G1299" i="3"/>
  <c r="F1756" i="3"/>
  <c r="K1756" i="3" s="1"/>
  <c r="G1402" i="3"/>
  <c r="F1402" i="3"/>
  <c r="K1402" i="3" s="1"/>
  <c r="I1434" i="3"/>
  <c r="H1434" i="3"/>
  <c r="F1640" i="3"/>
  <c r="K1640" i="3" s="1"/>
  <c r="I1640" i="3"/>
  <c r="H1163" i="3"/>
  <c r="B1163" i="3"/>
  <c r="C1163" i="3" s="1"/>
  <c r="I1580" i="3"/>
  <c r="G1580" i="3"/>
  <c r="B1355" i="3"/>
  <c r="C1355" i="3" s="1"/>
  <c r="H1355" i="3"/>
  <c r="J1548" i="3"/>
  <c r="G1548" i="3"/>
  <c r="I1082" i="3"/>
  <c r="B1082" i="3"/>
  <c r="C1082" i="3" s="1"/>
  <c r="H1082" i="3"/>
  <c r="B1537" i="3"/>
  <c r="C1537" i="3" s="1"/>
  <c r="J1537" i="3"/>
  <c r="I1207" i="3"/>
  <c r="H1207" i="3"/>
  <c r="B1222" i="3"/>
  <c r="C1222" i="3" s="1"/>
  <c r="G1222" i="3"/>
  <c r="G2999" i="3"/>
  <c r="I3094" i="3"/>
  <c r="F2962" i="3"/>
  <c r="K2962" i="3" s="1"/>
  <c r="B1880" i="3"/>
  <c r="C1880" i="3" s="1"/>
  <c r="I1398" i="3"/>
  <c r="B12" i="8"/>
  <c r="C12" i="8" s="1"/>
  <c r="F2999" i="3"/>
  <c r="K2999" i="3" s="1"/>
  <c r="I2843" i="3"/>
  <c r="J2888" i="3"/>
  <c r="I2586" i="3"/>
  <c r="I2281" i="3"/>
  <c r="F1838" i="3"/>
  <c r="K1838" i="3" s="1"/>
  <c r="G1647" i="3"/>
  <c r="H1323" i="3"/>
  <c r="G1508" i="3"/>
  <c r="H1273" i="3"/>
  <c r="B1089" i="3"/>
  <c r="C1089" i="3" s="1"/>
  <c r="H1090" i="3"/>
  <c r="B1090" i="3"/>
  <c r="C1090" i="3" s="1"/>
  <c r="O53" i="2"/>
  <c r="P53" i="2" s="1"/>
  <c r="Q53" i="2" s="1"/>
  <c r="O197" i="2"/>
  <c r="P197" i="2" s="1"/>
  <c r="Q197" i="2" s="1"/>
  <c r="O167" i="2"/>
  <c r="P167" i="2" s="1"/>
  <c r="Q167" i="2" s="1"/>
  <c r="O113" i="2"/>
  <c r="P113" i="2" s="1"/>
  <c r="Q113" i="2" s="1"/>
  <c r="O64" i="2"/>
  <c r="P64" i="2" s="1"/>
  <c r="Q64" i="2" s="1"/>
  <c r="O78" i="2"/>
  <c r="P78" i="2" s="1"/>
  <c r="Q78" i="2" s="1"/>
  <c r="O42" i="2"/>
  <c r="P42" i="2" s="1"/>
  <c r="Q42" i="2" s="1"/>
  <c r="O20" i="2"/>
  <c r="P20" i="2" s="1"/>
  <c r="Q20" i="2" s="1"/>
  <c r="B1883" i="3"/>
  <c r="C1883" i="3" s="1"/>
  <c r="B1675" i="3"/>
  <c r="C1675" i="3" s="1"/>
  <c r="H2008" i="3"/>
  <c r="J1857" i="3"/>
  <c r="H1924" i="3"/>
  <c r="F1565" i="3"/>
  <c r="K1565" i="3" s="1"/>
  <c r="H1606" i="3"/>
  <c r="G1606" i="3"/>
  <c r="F1606" i="3"/>
  <c r="K1606" i="3" s="1"/>
  <c r="G1268" i="3"/>
  <c r="F1268" i="3"/>
  <c r="K1268" i="3" s="1"/>
  <c r="F1340" i="3"/>
  <c r="K1340" i="3" s="1"/>
  <c r="H1340" i="3"/>
  <c r="I1340" i="3"/>
  <c r="J1340" i="3"/>
  <c r="I1141" i="3"/>
  <c r="H1141" i="3"/>
  <c r="G1141" i="3"/>
  <c r="J1423" i="3"/>
  <c r="I1423" i="3"/>
  <c r="H1423" i="3"/>
  <c r="G1423" i="3"/>
  <c r="G1382" i="3"/>
  <c r="F1382" i="3"/>
  <c r="K1382" i="3" s="1"/>
  <c r="B1382" i="3"/>
  <c r="C1382" i="3" s="1"/>
  <c r="J1469" i="3"/>
  <c r="F1469" i="3"/>
  <c r="K1469" i="3" s="1"/>
  <c r="I1384" i="3"/>
  <c r="H1384" i="3"/>
  <c r="G1384" i="3"/>
  <c r="I1314" i="3"/>
  <c r="B1314" i="3"/>
  <c r="C1314" i="3" s="1"/>
  <c r="B1131" i="3"/>
  <c r="C1131" i="3" s="1"/>
  <c r="J1131" i="3"/>
  <c r="F1119" i="3"/>
  <c r="K1119" i="3" s="1"/>
  <c r="J1119" i="3" s="1"/>
  <c r="G1119" i="3"/>
  <c r="F3065" i="3"/>
  <c r="K3065" i="3" s="1"/>
  <c r="F2586" i="3"/>
  <c r="K2586" i="3" s="1"/>
  <c r="I2178" i="3"/>
  <c r="I2259" i="3"/>
  <c r="F1682" i="3"/>
  <c r="K1682" i="3" s="1"/>
  <c r="F2718" i="3"/>
  <c r="K2718" i="3" s="1"/>
  <c r="F2452" i="3"/>
  <c r="K2452" i="3" s="1"/>
  <c r="B2217" i="3"/>
  <c r="C2217" i="3" s="1"/>
  <c r="J2281" i="3"/>
  <c r="H1788" i="3"/>
  <c r="F1822" i="3"/>
  <c r="K1822" i="3" s="1"/>
  <c r="F1880" i="3"/>
  <c r="K1880" i="3" s="1"/>
  <c r="F1624" i="3"/>
  <c r="K1624" i="3" s="1"/>
  <c r="G1169" i="3"/>
  <c r="H1089" i="3"/>
  <c r="G1089" i="3"/>
  <c r="O22" i="2"/>
  <c r="P22" i="2" s="1"/>
  <c r="Q22" i="2" s="1"/>
  <c r="O231" i="2"/>
  <c r="P231" i="2" s="1"/>
  <c r="Q231" i="2" s="1"/>
  <c r="O202" i="2"/>
  <c r="P202" i="2" s="1"/>
  <c r="Q202" i="2" s="1"/>
  <c r="O134" i="2"/>
  <c r="P134" i="2" s="1"/>
  <c r="Q134" i="2" s="1"/>
  <c r="O135" i="2"/>
  <c r="P135" i="2" s="1"/>
  <c r="Q135" i="2" s="1"/>
  <c r="J2075" i="3"/>
  <c r="I1914" i="3"/>
  <c r="G1778" i="3"/>
  <c r="F2126" i="3"/>
  <c r="K2126" i="3" s="1"/>
  <c r="J1883" i="3"/>
  <c r="I1675" i="3"/>
  <c r="F1221" i="3"/>
  <c r="H1388" i="3"/>
  <c r="B2191" i="3"/>
  <c r="C2191" i="3" s="1"/>
  <c r="J1254" i="3"/>
  <c r="B1254" i="3"/>
  <c r="C1254" i="3" s="1"/>
  <c r="H1112" i="3"/>
  <c r="I1112" i="3"/>
  <c r="G1112" i="3"/>
  <c r="I1276" i="3"/>
  <c r="J1276" i="3"/>
  <c r="B1276" i="3"/>
  <c r="C1276" i="3" s="1"/>
  <c r="F1406" i="3"/>
  <c r="K1406" i="3" s="1"/>
  <c r="H1406" i="3"/>
  <c r="J1676" i="3"/>
  <c r="B1676" i="3"/>
  <c r="C1676" i="3" s="1"/>
  <c r="G1667" i="3"/>
  <c r="F1667" i="3"/>
  <c r="K1667" i="3" s="1"/>
  <c r="F1579" i="3"/>
  <c r="K1579" i="3" s="1"/>
  <c r="B1579" i="3"/>
  <c r="C1579" i="3" s="1"/>
  <c r="G1100" i="3"/>
  <c r="I1100" i="3"/>
  <c r="H1554" i="3"/>
  <c r="J1554" i="3"/>
  <c r="I1554" i="3"/>
  <c r="G1091" i="3"/>
  <c r="H1091" i="3"/>
  <c r="O340" i="2"/>
  <c r="P340" i="2" s="1"/>
  <c r="Q340" i="2" s="1"/>
  <c r="H3065" i="3"/>
  <c r="J2767" i="3"/>
  <c r="G2962" i="3"/>
  <c r="J2805" i="3"/>
  <c r="J2651" i="3"/>
  <c r="H2634" i="3"/>
  <c r="H2651" i="3"/>
  <c r="G2842" i="3"/>
  <c r="G2451" i="3"/>
  <c r="F2217" i="3"/>
  <c r="K2217" i="3" s="1"/>
  <c r="G1838" i="3"/>
  <c r="F1831" i="3"/>
  <c r="K1831" i="3" s="1"/>
  <c r="J1788" i="3"/>
  <c r="F1647" i="3"/>
  <c r="K1647" i="3" s="1"/>
  <c r="H1565" i="3"/>
  <c r="I1089" i="3"/>
  <c r="O959" i="2"/>
  <c r="P959" i="2" s="1"/>
  <c r="Q959" i="2" s="1"/>
  <c r="O30" i="2"/>
  <c r="P30" i="2" s="1"/>
  <c r="Q30" i="2" s="1"/>
  <c r="O450" i="2"/>
  <c r="P450" i="2" s="1"/>
  <c r="Q450" i="2" s="1"/>
  <c r="O341" i="2"/>
  <c r="P341" i="2" s="1"/>
  <c r="Q341" i="2" s="1"/>
  <c r="O227" i="2"/>
  <c r="P227" i="2" s="1"/>
  <c r="Q227" i="2" s="1"/>
  <c r="O245" i="2"/>
  <c r="P245" i="2" s="1"/>
  <c r="Q245" i="2" s="1"/>
  <c r="I2532" i="3"/>
  <c r="B2427" i="3"/>
  <c r="C2427" i="3" s="1"/>
  <c r="F2329" i="3"/>
  <c r="K2329" i="3" s="1"/>
  <c r="F2146" i="3"/>
  <c r="K2146" i="3" s="1"/>
  <c r="F2244" i="3"/>
  <c r="K2244" i="3" s="1"/>
  <c r="B2204" i="3"/>
  <c r="C2204" i="3" s="1"/>
  <c r="G2126" i="3"/>
  <c r="F2008" i="3"/>
  <c r="K2008" i="3" s="1"/>
  <c r="G1485" i="3"/>
  <c r="J1342" i="3"/>
  <c r="B1846" i="3"/>
  <c r="C1846" i="3" s="1"/>
  <c r="H1682" i="3"/>
  <c r="F1323" i="3"/>
  <c r="K1323" i="3" s="1"/>
  <c r="I1565" i="3"/>
  <c r="F1672" i="3"/>
  <c r="K1672" i="3" s="1"/>
  <c r="G1672" i="3"/>
  <c r="B1672" i="3"/>
  <c r="C1672" i="3" s="1"/>
  <c r="H1672" i="3"/>
  <c r="B1577" i="3"/>
  <c r="C1577" i="3" s="1"/>
  <c r="J1577" i="3"/>
  <c r="J1449" i="3"/>
  <c r="B1449" i="3"/>
  <c r="C1449" i="3" s="1"/>
  <c r="J1573" i="3"/>
  <c r="G1573" i="3"/>
  <c r="F1573" i="3"/>
  <c r="K1573" i="3" s="1"/>
  <c r="B1573" i="3"/>
  <c r="C1573" i="3" s="1"/>
  <c r="G1212" i="3"/>
  <c r="H1212" i="3"/>
  <c r="G1083" i="3"/>
  <c r="B1083" i="3"/>
  <c r="C1083" i="3" s="1"/>
  <c r="I1310" i="3"/>
  <c r="F1310" i="3"/>
  <c r="K1310" i="3" s="1"/>
  <c r="I1424" i="3"/>
  <c r="J1424" i="3"/>
  <c r="H1424" i="3"/>
  <c r="G1424" i="3"/>
  <c r="B1424" i="3"/>
  <c r="C1424" i="3" s="1"/>
  <c r="B1303" i="3"/>
  <c r="C1303" i="3" s="1"/>
  <c r="G1303" i="3"/>
  <c r="B1123" i="3"/>
  <c r="C1123" i="3" s="1"/>
  <c r="H1568" i="3"/>
  <c r="J1568" i="3"/>
  <c r="I1568" i="3"/>
  <c r="B2999" i="3"/>
  <c r="C2999" i="3" s="1"/>
  <c r="H2842" i="3"/>
  <c r="J2228" i="3"/>
  <c r="F2250" i="3"/>
  <c r="K2250" i="3" s="1"/>
  <c r="J2308" i="3"/>
  <c r="G1777" i="3"/>
  <c r="B1515" i="3"/>
  <c r="C1515" i="3" s="1"/>
  <c r="H1508" i="3"/>
  <c r="J1388" i="3"/>
  <c r="O683" i="2"/>
  <c r="P683" i="2" s="1"/>
  <c r="Q683" i="2" s="1"/>
  <c r="O38" i="2"/>
  <c r="P38" i="2" s="1"/>
  <c r="Q38" i="2" s="1"/>
  <c r="O54" i="2"/>
  <c r="P54" i="2" s="1"/>
  <c r="Q54" i="2" s="1"/>
  <c r="O621" i="2"/>
  <c r="P621" i="2" s="1"/>
  <c r="Q621" i="2" s="1"/>
  <c r="O109" i="2"/>
  <c r="P109" i="2" s="1"/>
  <c r="Q109" i="2" s="1"/>
  <c r="O262" i="2"/>
  <c r="P262" i="2" s="1"/>
  <c r="Q262" i="2" s="1"/>
  <c r="B2532" i="3"/>
  <c r="C2532" i="3" s="1"/>
  <c r="F2427" i="3"/>
  <c r="K2427" i="3" s="1"/>
  <c r="G2329" i="3"/>
  <c r="J2190" i="3"/>
  <c r="H2126" i="3"/>
  <c r="G1855" i="3"/>
  <c r="I1624" i="3"/>
  <c r="F1140" i="3"/>
  <c r="K1140" i="3" s="1"/>
  <c r="J1140" i="3" s="1"/>
  <c r="F1846" i="3"/>
  <c r="K1846" i="3" s="1"/>
  <c r="I1682" i="3"/>
  <c r="I1806" i="3"/>
  <c r="H1806" i="3"/>
  <c r="B1564" i="3"/>
  <c r="C1564" i="3" s="1"/>
  <c r="F1564" i="3"/>
  <c r="K1564" i="3" s="1"/>
  <c r="B1336" i="3"/>
  <c r="C1336" i="3" s="1"/>
  <c r="F1336" i="3"/>
  <c r="K1336" i="3" s="1"/>
  <c r="I1432" i="3"/>
  <c r="J1432" i="3"/>
  <c r="G1432" i="3"/>
  <c r="F1432" i="3"/>
  <c r="K1432" i="3" s="1"/>
  <c r="B1432" i="3"/>
  <c r="C1432" i="3" s="1"/>
  <c r="I1307" i="3"/>
  <c r="B1307" i="3"/>
  <c r="C1307" i="3" s="1"/>
  <c r="F1546" i="3"/>
  <c r="K1546" i="3" s="1"/>
  <c r="J1546" i="3"/>
  <c r="I1546" i="3"/>
  <c r="G1170" i="3"/>
  <c r="F1170" i="3"/>
  <c r="H1170" i="3"/>
  <c r="F1326" i="3"/>
  <c r="K1326" i="3" s="1"/>
  <c r="H1326" i="3"/>
  <c r="I1702" i="3"/>
  <c r="H1702" i="3"/>
  <c r="G1172" i="3"/>
  <c r="H1172" i="3"/>
  <c r="J1391" i="3"/>
  <c r="B1391" i="3"/>
  <c r="C1391" i="3" s="1"/>
  <c r="F2308" i="3"/>
  <c r="K2308" i="3" s="1"/>
  <c r="G2250" i="3"/>
  <c r="K2168" i="3"/>
  <c r="G1831" i="3"/>
  <c r="B1822" i="3"/>
  <c r="C1822" i="3" s="1"/>
  <c r="J1508" i="3"/>
  <c r="O2" i="2"/>
  <c r="P2" i="2" s="1"/>
  <c r="Q2" i="2" s="1"/>
  <c r="O58" i="2"/>
  <c r="P58" i="2" s="1"/>
  <c r="Q58" i="2" s="1"/>
  <c r="O104" i="2"/>
  <c r="P104" i="2" s="1"/>
  <c r="Q104" i="2" s="1"/>
  <c r="O194" i="2"/>
  <c r="P194" i="2" s="1"/>
  <c r="Q194" i="2" s="1"/>
  <c r="O127" i="2"/>
  <c r="P127" i="2" s="1"/>
  <c r="Q127" i="2" s="1"/>
  <c r="B2484" i="3"/>
  <c r="C2484" i="3" s="1"/>
  <c r="F2476" i="3"/>
  <c r="K2476" i="3" s="1"/>
  <c r="G2427" i="3"/>
  <c r="I2126" i="3"/>
  <c r="J1624" i="3"/>
  <c r="H1121" i="3"/>
  <c r="J1463" i="3"/>
  <c r="G1121" i="3"/>
  <c r="G1463" i="3"/>
  <c r="H1846" i="3"/>
  <c r="F1191" i="3"/>
  <c r="H1325" i="3"/>
  <c r="F1325" i="3"/>
  <c r="K1325" i="3" s="1"/>
  <c r="H1367" i="3"/>
  <c r="B1367" i="3"/>
  <c r="C1367" i="3" s="1"/>
  <c r="H1343" i="3"/>
  <c r="J1343" i="3"/>
  <c r="I1343" i="3"/>
  <c r="B1343" i="3"/>
  <c r="C1343" i="3" s="1"/>
  <c r="B1202" i="3"/>
  <c r="C1202" i="3" s="1"/>
  <c r="F1202" i="3"/>
  <c r="J1666" i="3"/>
  <c r="F1666" i="3"/>
  <c r="K1666" i="3" s="1"/>
  <c r="J1184" i="3"/>
  <c r="B1184" i="3"/>
  <c r="C1184" i="3" s="1"/>
  <c r="G1184" i="3"/>
  <c r="B1296" i="3"/>
  <c r="C1296" i="3" s="1"/>
  <c r="J1296" i="3"/>
  <c r="G1296" i="3"/>
  <c r="H1191" i="3"/>
  <c r="G1090" i="3"/>
  <c r="I1090" i="3"/>
  <c r="O65" i="2"/>
  <c r="P65" i="2" s="1"/>
  <c r="Q65" i="2" s="1"/>
  <c r="O70" i="2"/>
  <c r="P70" i="2" s="1"/>
  <c r="Q70" i="2" s="1"/>
  <c r="O163" i="2"/>
  <c r="P163" i="2" s="1"/>
  <c r="Q163" i="2" s="1"/>
  <c r="O255" i="2"/>
  <c r="P255" i="2" s="1"/>
  <c r="Q255" i="2" s="1"/>
  <c r="O81" i="2"/>
  <c r="P81" i="2" s="1"/>
  <c r="Q81" i="2" s="1"/>
  <c r="G2476" i="3"/>
  <c r="H2427" i="3"/>
  <c r="B2168" i="3"/>
  <c r="C2168" i="3" s="1"/>
  <c r="B1778" i="3"/>
  <c r="C1778" i="3" s="1"/>
  <c r="J2126" i="3"/>
  <c r="J1299" i="3"/>
  <c r="H1463" i="3"/>
  <c r="J1809" i="3"/>
  <c r="G1565" i="3"/>
  <c r="F1299" i="3"/>
  <c r="K1299" i="3" s="1"/>
  <c r="H1398" i="3"/>
  <c r="I1615" i="3"/>
  <c r="G1615" i="3"/>
  <c r="I1305" i="3"/>
  <c r="F1305" i="3"/>
  <c r="K1305" i="3" s="1"/>
  <c r="B1536" i="3"/>
  <c r="C1536" i="3" s="1"/>
  <c r="F1536" i="3"/>
  <c r="K1536" i="3" s="1"/>
  <c r="B1375" i="3"/>
  <c r="C1375" i="3" s="1"/>
  <c r="H1375" i="3"/>
  <c r="G1375" i="3"/>
  <c r="B1313" i="3"/>
  <c r="C1313" i="3" s="1"/>
  <c r="F1313" i="3"/>
  <c r="K1313" i="3" s="1"/>
  <c r="B1504" i="3"/>
  <c r="C1504" i="3" s="1"/>
  <c r="F1504" i="3"/>
  <c r="K1504" i="3" s="1"/>
  <c r="H1747" i="3"/>
  <c r="I1747" i="3"/>
  <c r="B1320" i="3"/>
  <c r="C1320" i="3" s="1"/>
  <c r="I1320" i="3"/>
  <c r="J1320" i="3"/>
  <c r="I1353" i="3"/>
  <c r="B1353" i="3"/>
  <c r="C1353" i="3" s="1"/>
  <c r="J1470" i="3"/>
  <c r="H1470" i="3"/>
  <c r="G1470" i="3"/>
  <c r="B1470" i="3"/>
  <c r="C1470" i="3" s="1"/>
  <c r="G1348" i="3"/>
  <c r="I1348" i="3"/>
  <c r="G1758" i="3"/>
  <c r="F1758" i="3"/>
  <c r="K1758" i="3" s="1"/>
  <c r="F1193" i="3"/>
  <c r="I1193" i="3"/>
  <c r="B1193" i="3"/>
  <c r="C1193" i="3" s="1"/>
  <c r="H1220" i="3"/>
  <c r="B1220" i="3"/>
  <c r="C1220" i="3" s="1"/>
  <c r="I1220" i="3"/>
  <c r="G1220" i="3"/>
  <c r="F1220" i="3"/>
  <c r="K1220" i="3" s="1"/>
  <c r="J1220" i="3" s="1"/>
  <c r="J1456" i="3"/>
  <c r="F1456" i="3"/>
  <c r="K1456" i="3" s="1"/>
  <c r="F2063" i="3"/>
  <c r="K2063" i="3" s="1"/>
  <c r="B1463" i="3"/>
  <c r="C1463" i="3" s="1"/>
  <c r="B2334" i="3"/>
  <c r="C2334" i="3" s="1"/>
  <c r="G2217" i="3"/>
  <c r="G2308" i="3"/>
  <c r="F1809" i="3"/>
  <c r="K1809" i="3" s="1"/>
  <c r="G1499" i="3"/>
  <c r="J2634" i="3"/>
  <c r="G2733" i="3"/>
  <c r="G2228" i="3"/>
  <c r="H2308" i="3"/>
  <c r="I2250" i="3"/>
  <c r="B1838" i="3"/>
  <c r="C1838" i="3" s="1"/>
  <c r="F1342" i="3"/>
  <c r="K1342" i="3" s="1"/>
  <c r="O9" i="2"/>
  <c r="P9" i="2" s="1"/>
  <c r="Q9" i="2" s="1"/>
  <c r="O74" i="2"/>
  <c r="P74" i="2" s="1"/>
  <c r="Q74" i="2" s="1"/>
  <c r="O272" i="2"/>
  <c r="P272" i="2" s="1"/>
  <c r="Q272" i="2" s="1"/>
  <c r="O314" i="2"/>
  <c r="P314" i="2" s="1"/>
  <c r="Q314" i="2" s="1"/>
  <c r="O119" i="2"/>
  <c r="P119" i="2" s="1"/>
  <c r="Q119" i="2" s="1"/>
  <c r="H2476" i="3"/>
  <c r="J2168" i="3"/>
  <c r="F1463" i="3"/>
  <c r="K1463" i="3" s="1"/>
  <c r="G1846" i="3"/>
  <c r="I1809" i="3"/>
  <c r="H1574" i="3"/>
  <c r="J1477" i="3"/>
  <c r="B1477" i="3"/>
  <c r="C1477" i="3" s="1"/>
  <c r="B1516" i="3"/>
  <c r="C1516" i="3" s="1"/>
  <c r="F1516" i="3"/>
  <c r="K1516" i="3" s="1"/>
  <c r="H1230" i="3"/>
  <c r="G1230" i="3"/>
  <c r="F1230" i="3"/>
  <c r="K1230" i="3" s="1"/>
  <c r="J1230" i="3" s="1"/>
  <c r="H1501" i="3"/>
  <c r="I1501" i="3"/>
  <c r="J1771" i="3"/>
  <c r="B1771" i="3"/>
  <c r="C1771" i="3" s="1"/>
  <c r="H1263" i="3"/>
  <c r="I1263" i="3"/>
  <c r="H1332" i="3"/>
  <c r="I1332" i="3"/>
  <c r="F1332" i="3"/>
  <c r="K1332" i="3" s="1"/>
  <c r="H1190" i="3"/>
  <c r="G1190" i="3"/>
  <c r="J2691" i="3"/>
  <c r="J2452" i="3"/>
  <c r="F2634" i="3"/>
  <c r="K2634" i="3" s="1"/>
  <c r="H2451" i="3"/>
  <c r="I1777" i="3"/>
  <c r="J2718" i="3"/>
  <c r="G2452" i="3"/>
  <c r="J2451" i="3"/>
  <c r="O57" i="2"/>
  <c r="P57" i="2" s="1"/>
  <c r="Q57" i="2" s="1"/>
  <c r="O95" i="2"/>
  <c r="P95" i="2" s="1"/>
  <c r="Q95" i="2" s="1"/>
  <c r="O100" i="2"/>
  <c r="P100" i="2" s="1"/>
  <c r="Q100" i="2" s="1"/>
  <c r="O88" i="2"/>
  <c r="P88" i="2" s="1"/>
  <c r="Q88" i="2" s="1"/>
  <c r="O281" i="2"/>
  <c r="P281" i="2" s="1"/>
  <c r="Q281" i="2" s="1"/>
  <c r="J2476" i="3"/>
  <c r="H2296" i="3"/>
  <c r="H2228" i="3"/>
  <c r="F1914" i="3"/>
  <c r="K1914" i="3" s="1"/>
  <c r="I1846" i="3"/>
  <c r="F1150" i="3"/>
  <c r="K1150" i="3" s="1"/>
  <c r="J1150" i="3" s="1"/>
  <c r="B1574" i="3"/>
  <c r="C1574" i="3" s="1"/>
  <c r="J1471" i="3"/>
  <c r="H1471" i="3"/>
  <c r="G1471" i="3"/>
  <c r="B1471" i="3"/>
  <c r="C1471" i="3" s="1"/>
  <c r="J1285" i="3"/>
  <c r="I1285" i="3"/>
  <c r="I1459" i="3"/>
  <c r="G1459" i="3"/>
  <c r="B1459" i="3"/>
  <c r="C1459" i="3" s="1"/>
  <c r="H1706" i="3"/>
  <c r="J1706" i="3"/>
  <c r="I1749" i="3"/>
  <c r="J1749" i="3"/>
  <c r="H1749" i="3"/>
  <c r="H1214" i="3"/>
  <c r="I1214" i="3"/>
  <c r="B1223" i="3"/>
  <c r="C1223" i="3" s="1"/>
  <c r="F1223" i="3"/>
  <c r="K1223" i="3" s="1"/>
  <c r="J1223" i="3" s="1"/>
  <c r="J1517" i="3"/>
  <c r="H1517" i="3"/>
  <c r="F1517" i="3"/>
  <c r="K1517" i="3" s="1"/>
  <c r="H1264" i="3"/>
  <c r="B1264" i="3"/>
  <c r="C1264" i="3" s="1"/>
  <c r="G1183" i="3"/>
  <c r="I1183" i="3"/>
  <c r="I1165" i="3"/>
  <c r="J2902" i="3"/>
  <c r="H3126" i="3"/>
  <c r="F2842" i="3"/>
  <c r="K2842" i="3" s="1"/>
  <c r="F2733" i="3"/>
  <c r="K2733" i="3" s="1"/>
  <c r="I2063" i="3"/>
  <c r="F2228" i="3"/>
  <c r="K2228" i="3" s="1"/>
  <c r="H2250" i="3"/>
  <c r="J2999" i="3"/>
  <c r="I2733" i="3"/>
  <c r="I2337" i="3"/>
  <c r="I2308" i="3"/>
  <c r="J2250" i="3"/>
  <c r="G1682" i="3"/>
  <c r="I2999" i="3"/>
  <c r="F2651" i="3"/>
  <c r="K2651" i="3" s="1"/>
  <c r="J2733" i="3"/>
  <c r="F2334" i="3"/>
  <c r="K2334" i="3" s="1"/>
  <c r="B2372" i="3"/>
  <c r="C2372" i="3" s="1"/>
  <c r="H2217" i="3"/>
  <c r="B1831" i="3"/>
  <c r="C1831" i="3" s="1"/>
  <c r="B1624" i="3"/>
  <c r="C1624" i="3" s="1"/>
  <c r="H1409" i="3"/>
  <c r="H1342" i="3"/>
  <c r="F1273" i="3"/>
  <c r="K1273" i="3" s="1"/>
  <c r="O3" i="2"/>
  <c r="P3" i="2" s="1"/>
  <c r="Q3" i="2" s="1"/>
  <c r="O175" i="2"/>
  <c r="P175" i="2" s="1"/>
  <c r="Q175" i="2" s="1"/>
  <c r="O117" i="2"/>
  <c r="P117" i="2" s="1"/>
  <c r="Q117" i="2" s="1"/>
  <c r="O105" i="2"/>
  <c r="P105" i="2" s="1"/>
  <c r="Q105" i="2" s="1"/>
  <c r="O136" i="2"/>
  <c r="P136" i="2" s="1"/>
  <c r="Q136" i="2" s="1"/>
  <c r="I2476" i="3"/>
  <c r="I2296" i="3"/>
  <c r="G1914" i="3"/>
  <c r="B1304" i="3"/>
  <c r="C1304" i="3" s="1"/>
  <c r="B1398" i="3"/>
  <c r="C1398" i="3" s="1"/>
  <c r="G1304" i="3"/>
  <c r="F1350" i="3"/>
  <c r="K1350" i="3" s="1"/>
  <c r="B1247" i="3"/>
  <c r="C1247" i="3" s="1"/>
  <c r="F1247" i="3"/>
  <c r="K1247" i="3" s="1"/>
  <c r="F1483" i="3"/>
  <c r="K1483" i="3" s="1"/>
  <c r="H1483" i="3"/>
  <c r="G1483" i="3"/>
  <c r="J1483" i="3"/>
  <c r="H1411" i="3"/>
  <c r="B1411" i="3"/>
  <c r="C1411" i="3" s="1"/>
  <c r="F1489" i="3"/>
  <c r="K1489" i="3" s="1"/>
  <c r="B1489" i="3"/>
  <c r="C1489" i="3" s="1"/>
  <c r="I1187" i="3"/>
  <c r="H1187" i="3"/>
  <c r="J1302" i="3"/>
  <c r="F1302" i="3"/>
  <c r="K1302" i="3" s="1"/>
  <c r="I1092" i="3"/>
  <c r="B1092" i="3"/>
  <c r="C1092" i="3" s="1"/>
  <c r="F1291" i="3"/>
  <c r="K1291" i="3" s="1"/>
  <c r="H1291" i="3"/>
  <c r="G1124" i="3"/>
  <c r="B1124" i="3"/>
  <c r="C1124" i="3" s="1"/>
  <c r="F1124" i="3"/>
  <c r="K1124" i="3" s="1"/>
  <c r="J1124" i="3" s="1"/>
  <c r="H1195" i="3"/>
  <c r="F1143" i="3"/>
  <c r="K1143" i="3" s="1"/>
  <c r="J1143" i="3" s="1"/>
  <c r="B1150" i="3"/>
  <c r="C1150" i="3" s="1"/>
  <c r="I2634" i="3"/>
  <c r="I1822" i="3"/>
  <c r="B2452" i="3"/>
  <c r="C2452" i="3" s="1"/>
  <c r="J1880" i="3"/>
  <c r="O4" i="2"/>
  <c r="P4" i="2" s="1"/>
  <c r="Q4" i="2" s="1"/>
  <c r="O17" i="2"/>
  <c r="P17" i="2" s="1"/>
  <c r="Q17" i="2" s="1"/>
  <c r="O206" i="2"/>
  <c r="P206" i="2" s="1"/>
  <c r="Q206" i="2" s="1"/>
  <c r="O138" i="2"/>
  <c r="P138" i="2" s="1"/>
  <c r="Q138" i="2" s="1"/>
  <c r="O203" i="2"/>
  <c r="P203" i="2" s="1"/>
  <c r="Q203" i="2" s="1"/>
  <c r="O532" i="2"/>
  <c r="P532" i="2" s="1"/>
  <c r="Q532" i="2" s="1"/>
  <c r="O8" i="2"/>
  <c r="P8" i="2" s="1"/>
  <c r="Q8" i="2" s="1"/>
  <c r="J2427" i="3"/>
  <c r="J2296" i="3"/>
  <c r="H2276" i="3"/>
  <c r="H1914" i="3"/>
  <c r="H1150" i="3"/>
  <c r="H1745" i="3"/>
  <c r="H1451" i="3"/>
  <c r="G1451" i="3"/>
  <c r="B1451" i="3"/>
  <c r="C1451" i="3" s="1"/>
  <c r="I1451" i="3"/>
  <c r="B1235" i="3"/>
  <c r="C1235" i="3" s="1"/>
  <c r="J1634" i="3"/>
  <c r="F1634" i="3"/>
  <c r="K1634" i="3" s="1"/>
  <c r="J1431" i="3"/>
  <c r="B1431" i="3"/>
  <c r="C1431" i="3" s="1"/>
  <c r="F1431" i="3"/>
  <c r="K1431" i="3" s="1"/>
  <c r="J1755" i="3"/>
  <c r="G1755" i="3"/>
  <c r="G1560" i="3"/>
  <c r="F1560" i="3"/>
  <c r="K1560" i="3" s="1"/>
  <c r="H1120" i="3"/>
  <c r="F1120" i="3"/>
  <c r="K1120" i="3" s="1"/>
  <c r="J1120" i="3" s="1"/>
  <c r="H1436" i="3"/>
  <c r="B1436" i="3"/>
  <c r="C1436" i="3" s="1"/>
  <c r="J1329" i="3"/>
  <c r="H1329" i="3"/>
  <c r="F1329" i="3"/>
  <c r="K1329" i="3" s="1"/>
  <c r="B1196" i="3"/>
  <c r="C1196" i="3" s="1"/>
  <c r="H1196" i="3"/>
  <c r="B1364" i="3"/>
  <c r="C1364" i="3" s="1"/>
  <c r="J1364" i="3"/>
  <c r="G1364" i="3"/>
  <c r="F1364" i="3"/>
  <c r="K1364" i="3" s="1"/>
  <c r="H2962" i="3"/>
  <c r="I2842" i="3"/>
  <c r="B2962" i="3"/>
  <c r="C2962" i="3" s="1"/>
  <c r="H2452" i="3"/>
  <c r="F2372" i="3"/>
  <c r="K2372" i="3" s="1"/>
  <c r="J1409" i="3"/>
  <c r="I1150" i="3"/>
  <c r="B3094" i="3"/>
  <c r="C3094" i="3" s="1"/>
  <c r="G1788" i="3"/>
  <c r="H1880" i="3"/>
  <c r="I1323" i="3"/>
  <c r="B1508" i="3"/>
  <c r="C1508" i="3" s="1"/>
  <c r="F1169" i="3"/>
  <c r="O18" i="2"/>
  <c r="P18" i="2" s="1"/>
  <c r="Q18" i="2" s="1"/>
  <c r="O33" i="2"/>
  <c r="P33" i="2" s="1"/>
  <c r="Q33" i="2" s="1"/>
  <c r="O220" i="2"/>
  <c r="P220" i="2" s="1"/>
  <c r="Q220" i="2" s="1"/>
  <c r="O159" i="2"/>
  <c r="P159" i="2" s="1"/>
  <c r="Q159" i="2" s="1"/>
  <c r="O84" i="2"/>
  <c r="P84" i="2" s="1"/>
  <c r="Q84" i="2" s="1"/>
  <c r="O264" i="2"/>
  <c r="P264" i="2" s="1"/>
  <c r="Q264" i="2" s="1"/>
  <c r="I1996" i="3"/>
  <c r="J1675" i="3"/>
  <c r="H1304" i="3"/>
  <c r="B1388" i="3"/>
  <c r="C1388" i="3" s="1"/>
  <c r="G1313" i="3"/>
  <c r="J1718" i="3"/>
  <c r="B1718" i="3"/>
  <c r="C1718" i="3" s="1"/>
  <c r="B1335" i="3"/>
  <c r="C1335" i="3" s="1"/>
  <c r="J1335" i="3"/>
  <c r="G1525" i="3"/>
  <c r="I1525" i="3"/>
  <c r="G1600" i="3"/>
  <c r="F1600" i="3"/>
  <c r="K1600" i="3" s="1"/>
  <c r="I1186" i="3"/>
  <c r="B1186" i="3"/>
  <c r="C1186" i="3" s="1"/>
  <c r="I1430" i="3"/>
  <c r="F1430" i="3"/>
  <c r="K1430" i="3" s="1"/>
  <c r="F1441" i="3"/>
  <c r="K1441" i="3" s="1"/>
  <c r="I1441" i="3"/>
  <c r="I1476" i="3"/>
  <c r="J1476" i="3"/>
  <c r="H1476" i="3"/>
  <c r="I1362" i="3"/>
  <c r="J1362" i="3"/>
  <c r="H1461" i="3"/>
  <c r="I1461" i="3"/>
  <c r="G1461" i="3"/>
  <c r="F1461" i="3"/>
  <c r="K1461" i="3" s="1"/>
  <c r="F1274" i="3"/>
  <c r="K1274" i="3" s="1"/>
  <c r="H1274" i="3"/>
  <c r="G1274" i="3"/>
  <c r="H1105" i="3"/>
  <c r="B1105" i="3"/>
  <c r="C1105" i="3" s="1"/>
  <c r="G1072" i="3"/>
  <c r="I1072" i="3"/>
  <c r="H1072" i="3"/>
  <c r="F1072" i="3"/>
  <c r="K1072" i="3" s="1"/>
  <c r="J1072" i="3" s="1"/>
  <c r="B1072" i="3"/>
  <c r="C1072" i="3" s="1"/>
  <c r="I1147" i="3"/>
  <c r="G1147" i="3"/>
  <c r="H1147" i="3"/>
  <c r="I1145" i="3"/>
  <c r="B1145" i="3"/>
  <c r="C1145" i="3" s="1"/>
  <c r="J1145" i="3"/>
  <c r="O234" i="2"/>
  <c r="P234" i="2" s="1"/>
  <c r="Q234" i="2" s="1"/>
  <c r="O240" i="2"/>
  <c r="P240" i="2" s="1"/>
  <c r="Q240" i="2" s="1"/>
  <c r="O115" i="2"/>
  <c r="P115" i="2" s="1"/>
  <c r="Q115" i="2" s="1"/>
  <c r="O289" i="2"/>
  <c r="P289" i="2" s="1"/>
  <c r="Q289" i="2" s="1"/>
  <c r="O415" i="2"/>
  <c r="P415" i="2" s="1"/>
  <c r="Q415" i="2" s="1"/>
  <c r="O424" i="2"/>
  <c r="P424" i="2" s="1"/>
  <c r="Q424" i="2" s="1"/>
  <c r="O542" i="2"/>
  <c r="P542" i="2" s="1"/>
  <c r="Q542" i="2" s="1"/>
  <c r="O629" i="2"/>
  <c r="P629" i="2" s="1"/>
  <c r="Q629" i="2" s="1"/>
  <c r="O349" i="2"/>
  <c r="P349" i="2" s="1"/>
  <c r="Q349" i="2" s="1"/>
  <c r="O421" i="2"/>
  <c r="P421" i="2" s="1"/>
  <c r="Q421" i="2" s="1"/>
  <c r="O577" i="2"/>
  <c r="O877" i="2"/>
  <c r="P877" i="2" s="1"/>
  <c r="Q877" i="2" s="1"/>
  <c r="J1956" i="3"/>
  <c r="F1956" i="3"/>
  <c r="K1956" i="3" s="1"/>
  <c r="B1956" i="3"/>
  <c r="C1956" i="3" s="1"/>
  <c r="J2315" i="3"/>
  <c r="H2315" i="3"/>
  <c r="G2315" i="3"/>
  <c r="F2315" i="3"/>
  <c r="K2315" i="3" s="1"/>
  <c r="B2315" i="3"/>
  <c r="C2315" i="3" s="1"/>
  <c r="H2121" i="3"/>
  <c r="B2121" i="3"/>
  <c r="C2121" i="3" s="1"/>
  <c r="G2121" i="3"/>
  <c r="F2121" i="3"/>
  <c r="K2121" i="3" s="1"/>
  <c r="J1928" i="3"/>
  <c r="I1928" i="3"/>
  <c r="H1928" i="3"/>
  <c r="F1928" i="3"/>
  <c r="K1928" i="3" s="1"/>
  <c r="I1936" i="3"/>
  <c r="B1936" i="3"/>
  <c r="C1936" i="3" s="1"/>
  <c r="H2025" i="3"/>
  <c r="G2025" i="3"/>
  <c r="J2025" i="3"/>
  <c r="J1986" i="3"/>
  <c r="G1986" i="3"/>
  <c r="G2353" i="3"/>
  <c r="B2353" i="3"/>
  <c r="C2353" i="3" s="1"/>
  <c r="I2353" i="3"/>
  <c r="H2353" i="3"/>
  <c r="I1886" i="3"/>
  <c r="G1886" i="3"/>
  <c r="O310" i="2"/>
  <c r="P310" i="2" s="1"/>
  <c r="Q310" i="2" s="1"/>
  <c r="O436" i="2"/>
  <c r="P436" i="2" s="1"/>
  <c r="Q436" i="2" s="1"/>
  <c r="O441" i="2"/>
  <c r="P441" i="2" s="1"/>
  <c r="Q441" i="2" s="1"/>
  <c r="O551" i="2"/>
  <c r="P551" i="2" s="1"/>
  <c r="Q551" i="2" s="1"/>
  <c r="O781" i="2"/>
  <c r="P781" i="2" s="1"/>
  <c r="Q781" i="2" s="1"/>
  <c r="O370" i="2"/>
  <c r="P370" i="2" s="1"/>
  <c r="Q370" i="2" s="1"/>
  <c r="O438" i="2"/>
  <c r="P438" i="2" s="1"/>
  <c r="Q438" i="2" s="1"/>
  <c r="O605" i="2"/>
  <c r="P605" i="2" s="1"/>
  <c r="Q605" i="2" s="1"/>
  <c r="O728" i="2"/>
  <c r="P728" i="2" s="1"/>
  <c r="Q728" i="2" s="1"/>
  <c r="J2124" i="3"/>
  <c r="I2124" i="3"/>
  <c r="G2245" i="3"/>
  <c r="F2245" i="3"/>
  <c r="K2245" i="3" s="1"/>
  <c r="I2245" i="3"/>
  <c r="J2245" i="3"/>
  <c r="H2245" i="3"/>
  <c r="B2245" i="3"/>
  <c r="C2245" i="3" s="1"/>
  <c r="H1921" i="3"/>
  <c r="G1921" i="3"/>
  <c r="F1921" i="3"/>
  <c r="K1921" i="3" s="1"/>
  <c r="F2045" i="3"/>
  <c r="K2045" i="3" s="1"/>
  <c r="J2045" i="3"/>
  <c r="B2015" i="3"/>
  <c r="C2015" i="3" s="1"/>
  <c r="I2015" i="3"/>
  <c r="F2015" i="3"/>
  <c r="K2015" i="3" s="1"/>
  <c r="F1636" i="3"/>
  <c r="K1636" i="3" s="1"/>
  <c r="J1636" i="3"/>
  <c r="B1636" i="3"/>
  <c r="C1636" i="3" s="1"/>
  <c r="F1969" i="3"/>
  <c r="K1969" i="3" s="1"/>
  <c r="J1969" i="3"/>
  <c r="I1969" i="3"/>
  <c r="G1969" i="3"/>
  <c r="J1984" i="3"/>
  <c r="B1984" i="3"/>
  <c r="C1984" i="3" s="1"/>
  <c r="H2032" i="3"/>
  <c r="B2032" i="3"/>
  <c r="C2032" i="3" s="1"/>
  <c r="F1955" i="3"/>
  <c r="K1955" i="3" s="1"/>
  <c r="J1955" i="3"/>
  <c r="H1955" i="3"/>
  <c r="B1955" i="3"/>
  <c r="C1955" i="3" s="1"/>
  <c r="I1955" i="3"/>
  <c r="G1955" i="3"/>
  <c r="H1997" i="3"/>
  <c r="J1997" i="3"/>
  <c r="G1939" i="3"/>
  <c r="I1939" i="3"/>
  <c r="B1939" i="3"/>
  <c r="C1939" i="3" s="1"/>
  <c r="H2011" i="3"/>
  <c r="G2011" i="3"/>
  <c r="F2011" i="3"/>
  <c r="K2011" i="3" s="1"/>
  <c r="H2364" i="3"/>
  <c r="G2364" i="3"/>
  <c r="I2120" i="3"/>
  <c r="F2120" i="3"/>
  <c r="K2120" i="3" s="1"/>
  <c r="J2120" i="3"/>
  <c r="O32" i="2"/>
  <c r="P32" i="2" s="1"/>
  <c r="Q32" i="2" s="1"/>
  <c r="O89" i="2"/>
  <c r="P89" i="2" s="1"/>
  <c r="Q89" i="2" s="1"/>
  <c r="O102" i="2"/>
  <c r="P102" i="2" s="1"/>
  <c r="Q102" i="2" s="1"/>
  <c r="O153" i="2"/>
  <c r="P153" i="2" s="1"/>
  <c r="Q153" i="2" s="1"/>
  <c r="O657" i="2"/>
  <c r="P657" i="2" s="1"/>
  <c r="Q657" i="2" s="1"/>
  <c r="O445" i="2"/>
  <c r="P445" i="2" s="1"/>
  <c r="Q445" i="2" s="1"/>
  <c r="O473" i="2"/>
  <c r="P473" i="2" s="1"/>
  <c r="Q473" i="2" s="1"/>
  <c r="O565" i="2"/>
  <c r="P565" i="2" s="1"/>
  <c r="Q565" i="2" s="1"/>
  <c r="O252" i="2"/>
  <c r="P252" i="2" s="1"/>
  <c r="Q252" i="2" s="1"/>
  <c r="O408" i="2"/>
  <c r="P408" i="2" s="1"/>
  <c r="Q408" i="2" s="1"/>
  <c r="O456" i="2"/>
  <c r="P456" i="2" s="1"/>
  <c r="Q456" i="2" s="1"/>
  <c r="O270" i="2"/>
  <c r="P270" i="2" s="1"/>
  <c r="Q270" i="2" s="1"/>
  <c r="O861" i="2"/>
  <c r="P861" i="2" s="1"/>
  <c r="Q861" i="2" s="1"/>
  <c r="H2086" i="3"/>
  <c r="G2313" i="3"/>
  <c r="J2313" i="3"/>
  <c r="B2313" i="3"/>
  <c r="C2313" i="3" s="1"/>
  <c r="F2376" i="3"/>
  <c r="K2376" i="3" s="1"/>
  <c r="J2376" i="3"/>
  <c r="G2376" i="3"/>
  <c r="H2134" i="3"/>
  <c r="G2134" i="3"/>
  <c r="I2266" i="3"/>
  <c r="B2266" i="3"/>
  <c r="C2266" i="3" s="1"/>
  <c r="F2465" i="3"/>
  <c r="K2465" i="3" s="1"/>
  <c r="G2465" i="3"/>
  <c r="F2460" i="3"/>
  <c r="K2460" i="3" s="1"/>
  <c r="J2460" i="3"/>
  <c r="G2166" i="3"/>
  <c r="I2166" i="3"/>
  <c r="J2166" i="3"/>
  <c r="B2166" i="3"/>
  <c r="C2166" i="3" s="1"/>
  <c r="H2166" i="3"/>
  <c r="F2166" i="3"/>
  <c r="K2166" i="3" s="1"/>
  <c r="J2024" i="3"/>
  <c r="I2024" i="3"/>
  <c r="G2024" i="3"/>
  <c r="F2024" i="3"/>
  <c r="K2024" i="3" s="1"/>
  <c r="H1601" i="3"/>
  <c r="J1601" i="3"/>
  <c r="G1601" i="3"/>
  <c r="H2044" i="3"/>
  <c r="J2044" i="3"/>
  <c r="G2044" i="3"/>
  <c r="B2044" i="3"/>
  <c r="C2044" i="3" s="1"/>
  <c r="F1918" i="3"/>
  <c r="K1918" i="3" s="1"/>
  <c r="H1918" i="3"/>
  <c r="O342" i="2"/>
  <c r="P342" i="2" s="1"/>
  <c r="Q342" i="2" s="1"/>
  <c r="O222" i="2"/>
  <c r="P222" i="2" s="1"/>
  <c r="Q222" i="2" s="1"/>
  <c r="O36" i="2"/>
  <c r="P36" i="2" s="1"/>
  <c r="Q36" i="2" s="1"/>
  <c r="O110" i="2"/>
  <c r="P110" i="2" s="1"/>
  <c r="Q110" i="2" s="1"/>
  <c r="O123" i="2"/>
  <c r="P123" i="2" s="1"/>
  <c r="Q123" i="2" s="1"/>
  <c r="O174" i="2"/>
  <c r="P174" i="2" s="1"/>
  <c r="Q174" i="2" s="1"/>
  <c r="O86" i="2"/>
  <c r="P86" i="2" s="1"/>
  <c r="Q86" i="2" s="1"/>
  <c r="O477" i="2"/>
  <c r="P477" i="2" s="1"/>
  <c r="Q477" i="2" s="1"/>
  <c r="O505" i="2"/>
  <c r="P505" i="2" s="1"/>
  <c r="Q505" i="2" s="1"/>
  <c r="O575" i="2"/>
  <c r="P575" i="2" s="1"/>
  <c r="Q575" i="2" s="1"/>
  <c r="O273" i="2"/>
  <c r="P273" i="2" s="1"/>
  <c r="Q273" i="2" s="1"/>
  <c r="O429" i="2"/>
  <c r="P429" i="2" s="1"/>
  <c r="Q429" i="2" s="1"/>
  <c r="O470" i="2"/>
  <c r="P470" i="2" s="1"/>
  <c r="Q470" i="2" s="1"/>
  <c r="O367" i="2"/>
  <c r="P367" i="2" s="1"/>
  <c r="Q367" i="2" s="1"/>
  <c r="O862" i="2"/>
  <c r="P862" i="2" s="1"/>
  <c r="Q862" i="2" s="1"/>
  <c r="F2374" i="3"/>
  <c r="K2374" i="3" s="1"/>
  <c r="H2374" i="3"/>
  <c r="G2374" i="3"/>
  <c r="J2406" i="3"/>
  <c r="G2406" i="3"/>
  <c r="F2406" i="3"/>
  <c r="K2406" i="3" s="1"/>
  <c r="I2406" i="3"/>
  <c r="H2144" i="3"/>
  <c r="G2144" i="3"/>
  <c r="I2303" i="3"/>
  <c r="H2303" i="3"/>
  <c r="F2303" i="3"/>
  <c r="K2303" i="3" s="1"/>
  <c r="B2303" i="3"/>
  <c r="C2303" i="3" s="1"/>
  <c r="B2431" i="3"/>
  <c r="C2431" i="3" s="1"/>
  <c r="F2431" i="3"/>
  <c r="K2431" i="3" s="1"/>
  <c r="G2431" i="3"/>
  <c r="B2419" i="3"/>
  <c r="C2419" i="3" s="1"/>
  <c r="H2419" i="3"/>
  <c r="F2419" i="3"/>
  <c r="K2419" i="3" s="1"/>
  <c r="J2419" i="3"/>
  <c r="G2419" i="3"/>
  <c r="F2108" i="3"/>
  <c r="K2108" i="3" s="1"/>
  <c r="I2108" i="3"/>
  <c r="B2108" i="3"/>
  <c r="C2108" i="3" s="1"/>
  <c r="J1685" i="3"/>
  <c r="G1685" i="3"/>
  <c r="F1685" i="3"/>
  <c r="K1685" i="3" s="1"/>
  <c r="J1995" i="3"/>
  <c r="H1995" i="3"/>
  <c r="F1995" i="3"/>
  <c r="K1995" i="3" s="1"/>
  <c r="F2059" i="3"/>
  <c r="K2059" i="3" s="1"/>
  <c r="J2059" i="3"/>
  <c r="G2059" i="3"/>
  <c r="B2059" i="3"/>
  <c r="C2059" i="3" s="1"/>
  <c r="H2059" i="3"/>
  <c r="H2009" i="3"/>
  <c r="I2009" i="3"/>
  <c r="F2265" i="3"/>
  <c r="K2265" i="3" s="1"/>
  <c r="J2265" i="3"/>
  <c r="I2052" i="3"/>
  <c r="G2052" i="3"/>
  <c r="F2052" i="3"/>
  <c r="K2052" i="3" s="1"/>
  <c r="B2052" i="3"/>
  <c r="C2052" i="3" s="1"/>
  <c r="J2052" i="3"/>
  <c r="B1940" i="3"/>
  <c r="C1940" i="3" s="1"/>
  <c r="F1940" i="3"/>
  <c r="K1940" i="3" s="1"/>
  <c r="H2172" i="3"/>
  <c r="B2172" i="3"/>
  <c r="C2172" i="3" s="1"/>
  <c r="O131" i="2"/>
  <c r="P131" i="2" s="1"/>
  <c r="Q131" i="2" s="1"/>
  <c r="O144" i="2"/>
  <c r="P144" i="2" s="1"/>
  <c r="Q144" i="2" s="1"/>
  <c r="O187" i="2"/>
  <c r="P187" i="2" s="1"/>
  <c r="Q187" i="2" s="1"/>
  <c r="O107" i="2"/>
  <c r="P107" i="2" s="1"/>
  <c r="Q107" i="2" s="1"/>
  <c r="O509" i="2"/>
  <c r="O528" i="2"/>
  <c r="P528" i="2" s="1"/>
  <c r="Q528" i="2" s="1"/>
  <c r="O580" i="2"/>
  <c r="P580" i="2" s="1"/>
  <c r="Q580" i="2" s="1"/>
  <c r="O311" i="2"/>
  <c r="P311" i="2" s="1"/>
  <c r="Q311" i="2" s="1"/>
  <c r="O497" i="2"/>
  <c r="P497" i="2" s="1"/>
  <c r="Q497" i="2" s="1"/>
  <c r="O479" i="2"/>
  <c r="P479" i="2" s="1"/>
  <c r="Q479" i="2" s="1"/>
  <c r="O489" i="2"/>
  <c r="P489" i="2" s="1"/>
  <c r="Q489" i="2" s="1"/>
  <c r="O844" i="2"/>
  <c r="P844" i="2" s="1"/>
  <c r="Q844" i="2" s="1"/>
  <c r="H2447" i="3"/>
  <c r="F2447" i="3"/>
  <c r="K2447" i="3" s="1"/>
  <c r="J2253" i="3"/>
  <c r="H2253" i="3"/>
  <c r="B2017" i="3"/>
  <c r="C2017" i="3" s="1"/>
  <c r="I2017" i="3"/>
  <c r="H2392" i="3"/>
  <c r="J2392" i="3"/>
  <c r="B2392" i="3"/>
  <c r="C2392" i="3" s="1"/>
  <c r="I2392" i="3"/>
  <c r="H2371" i="3"/>
  <c r="G2371" i="3"/>
  <c r="I2371" i="3"/>
  <c r="B2371" i="3"/>
  <c r="C2371" i="3" s="1"/>
  <c r="J2371" i="3"/>
  <c r="F2371" i="3"/>
  <c r="K2371" i="3" s="1"/>
  <c r="B1900" i="3"/>
  <c r="C1900" i="3" s="1"/>
  <c r="J1900" i="3"/>
  <c r="H1900" i="3"/>
  <c r="F1900" i="3"/>
  <c r="K1900" i="3" s="1"/>
  <c r="I2355" i="3"/>
  <c r="J2355" i="3"/>
  <c r="F2031" i="3"/>
  <c r="K2031" i="3" s="1"/>
  <c r="G2031" i="3"/>
  <c r="J2031" i="3"/>
  <c r="H2047" i="3"/>
  <c r="I2047" i="3"/>
  <c r="I1669" i="3"/>
  <c r="J1669" i="3"/>
  <c r="G2010" i="3"/>
  <c r="I2010" i="3"/>
  <c r="F2293" i="3"/>
  <c r="K2293" i="3" s="1"/>
  <c r="H2293" i="3"/>
  <c r="B2293" i="3"/>
  <c r="C2293" i="3" s="1"/>
  <c r="J2293" i="3"/>
  <c r="G2293" i="3"/>
  <c r="F2060" i="3"/>
  <c r="K2060" i="3" s="1"/>
  <c r="G2060" i="3"/>
  <c r="B2060" i="3"/>
  <c r="C2060" i="3" s="1"/>
  <c r="I2060" i="3"/>
  <c r="N285" i="5"/>
  <c r="O300" i="2"/>
  <c r="P300" i="2" s="1"/>
  <c r="Q300" i="2" s="1"/>
  <c r="O44" i="2"/>
  <c r="P44" i="2" s="1"/>
  <c r="Q44" i="2" s="1"/>
  <c r="O152" i="2"/>
  <c r="P152" i="2" s="1"/>
  <c r="Q152" i="2" s="1"/>
  <c r="O161" i="2"/>
  <c r="P161" i="2" s="1"/>
  <c r="Q161" i="2" s="1"/>
  <c r="O205" i="2"/>
  <c r="P205" i="2" s="1"/>
  <c r="Q205" i="2" s="1"/>
  <c r="O128" i="2"/>
  <c r="P128" i="2" s="1"/>
  <c r="Q128" i="2" s="1"/>
  <c r="O541" i="2"/>
  <c r="P541" i="2" s="1"/>
  <c r="Q541" i="2" s="1"/>
  <c r="O560" i="2"/>
  <c r="P560" i="2" s="1"/>
  <c r="Q560" i="2" s="1"/>
  <c r="O674" i="2"/>
  <c r="P674" i="2" s="1"/>
  <c r="Q674" i="2" s="1"/>
  <c r="O332" i="2"/>
  <c r="P332" i="2" s="1"/>
  <c r="Q332" i="2" s="1"/>
  <c r="O529" i="2"/>
  <c r="P529" i="2" s="1"/>
  <c r="Q529" i="2" s="1"/>
  <c r="O511" i="2"/>
  <c r="P511" i="2" s="1"/>
  <c r="Q511" i="2" s="1"/>
  <c r="O283" i="2"/>
  <c r="P283" i="2" s="1"/>
  <c r="Q283" i="2" s="1"/>
  <c r="O884" i="2"/>
  <c r="P884" i="2" s="1"/>
  <c r="Q884" i="2" s="1"/>
  <c r="B2358" i="3"/>
  <c r="C2358" i="3" s="1"/>
  <c r="F2358" i="3"/>
  <c r="K2358" i="3" s="1"/>
  <c r="H2041" i="3"/>
  <c r="J2041" i="3"/>
  <c r="G2041" i="3"/>
  <c r="B2041" i="3"/>
  <c r="C2041" i="3" s="1"/>
  <c r="J2377" i="3"/>
  <c r="I2377" i="3"/>
  <c r="G2377" i="3"/>
  <c r="F2377" i="3"/>
  <c r="K2377" i="3" s="1"/>
  <c r="G1878" i="3"/>
  <c r="H1878" i="3"/>
  <c r="J1878" i="3"/>
  <c r="I1878" i="3"/>
  <c r="G2141" i="3"/>
  <c r="B2141" i="3"/>
  <c r="C2141" i="3" s="1"/>
  <c r="G2212" i="3"/>
  <c r="B2212" i="3"/>
  <c r="C2212" i="3" s="1"/>
  <c r="F2212" i="3"/>
  <c r="K2212" i="3" s="1"/>
  <c r="H2212" i="3"/>
  <c r="F2039" i="3"/>
  <c r="K2039" i="3" s="1"/>
  <c r="B2039" i="3"/>
  <c r="C2039" i="3" s="1"/>
  <c r="B2057" i="3"/>
  <c r="C2057" i="3" s="1"/>
  <c r="H2057" i="3"/>
  <c r="J1703" i="3"/>
  <c r="H1703" i="3"/>
  <c r="J2066" i="3"/>
  <c r="I2066" i="3"/>
  <c r="F2066" i="3"/>
  <c r="K2066" i="3" s="1"/>
  <c r="B2087" i="3"/>
  <c r="C2087" i="3" s="1"/>
  <c r="I2087" i="3"/>
  <c r="F2087" i="3"/>
  <c r="K2087" i="3" s="1"/>
  <c r="G2042" i="3"/>
  <c r="B2042" i="3"/>
  <c r="C2042" i="3" s="1"/>
  <c r="F2042" i="3"/>
  <c r="K2042" i="3" s="1"/>
  <c r="H2162" i="3"/>
  <c r="J2162" i="3"/>
  <c r="I2162" i="3"/>
  <c r="G2162" i="3"/>
  <c r="F2162" i="3"/>
  <c r="K2162" i="3" s="1"/>
  <c r="B2162" i="3"/>
  <c r="C2162" i="3" s="1"/>
  <c r="G2026" i="3"/>
  <c r="J2026" i="3"/>
  <c r="I2026" i="3"/>
  <c r="F2026" i="3"/>
  <c r="K2026" i="3" s="1"/>
  <c r="H2026" i="3"/>
  <c r="B2026" i="3"/>
  <c r="C2026" i="3" s="1"/>
  <c r="F1989" i="3"/>
  <c r="K1989" i="3" s="1"/>
  <c r="H1989" i="3"/>
  <c r="I1989" i="3"/>
  <c r="O25" i="2"/>
  <c r="P25" i="2" s="1"/>
  <c r="Q25" i="2" s="1"/>
  <c r="O253" i="2"/>
  <c r="P253" i="2" s="1"/>
  <c r="Q253" i="2" s="1"/>
  <c r="O432" i="2"/>
  <c r="P432" i="2" s="1"/>
  <c r="Q432" i="2" s="1"/>
  <c r="O83" i="2"/>
  <c r="P83" i="2" s="1"/>
  <c r="Q83" i="2" s="1"/>
  <c r="O260" i="2"/>
  <c r="P260" i="2" s="1"/>
  <c r="Q260" i="2" s="1"/>
  <c r="O155" i="2"/>
  <c r="P155" i="2" s="1"/>
  <c r="Q155" i="2" s="1"/>
  <c r="O126" i="2"/>
  <c r="O491" i="2"/>
  <c r="P491" i="2" s="1"/>
  <c r="Q491" i="2" s="1"/>
  <c r="O48" i="2"/>
  <c r="P48" i="2" s="1"/>
  <c r="Q48" i="2" s="1"/>
  <c r="O169" i="2"/>
  <c r="P169" i="2" s="1"/>
  <c r="Q169" i="2" s="1"/>
  <c r="O191" i="2"/>
  <c r="P191" i="2" s="1"/>
  <c r="Q191" i="2" s="1"/>
  <c r="O230" i="2"/>
  <c r="P230" i="2" s="1"/>
  <c r="Q230" i="2" s="1"/>
  <c r="O145" i="2"/>
  <c r="P145" i="2" s="1"/>
  <c r="Q145" i="2" s="1"/>
  <c r="O564" i="2"/>
  <c r="P564" i="2" s="1"/>
  <c r="Q564" i="2" s="1"/>
  <c r="O570" i="2"/>
  <c r="P570" i="2" s="1"/>
  <c r="Q570" i="2" s="1"/>
  <c r="O790" i="2"/>
  <c r="P790" i="2" s="1"/>
  <c r="Q790" i="2" s="1"/>
  <c r="O374" i="2"/>
  <c r="P374" i="2" s="1"/>
  <c r="Q374" i="2" s="1"/>
  <c r="O561" i="2"/>
  <c r="P561" i="2" s="1"/>
  <c r="Q561" i="2" s="1"/>
  <c r="O520" i="2"/>
  <c r="P520" i="2" s="1"/>
  <c r="Q520" i="2" s="1"/>
  <c r="O304" i="2"/>
  <c r="P304" i="2" s="1"/>
  <c r="Q304" i="2" s="1"/>
  <c r="O873" i="2"/>
  <c r="P873" i="2" s="1"/>
  <c r="Q873" i="2" s="1"/>
  <c r="F2399" i="3"/>
  <c r="K2399" i="3" s="1"/>
  <c r="F2367" i="3"/>
  <c r="K2367" i="3" s="1"/>
  <c r="F2285" i="3"/>
  <c r="K2285" i="3" s="1"/>
  <c r="H2285" i="3"/>
  <c r="G2285" i="3"/>
  <c r="G2341" i="3"/>
  <c r="I2341" i="3"/>
  <c r="J2341" i="3"/>
  <c r="H2341" i="3"/>
  <c r="H1982" i="3"/>
  <c r="I1982" i="3"/>
  <c r="G1982" i="3"/>
  <c r="J2345" i="3"/>
  <c r="B2345" i="3"/>
  <c r="C2345" i="3" s="1"/>
  <c r="F2345" i="3"/>
  <c r="K2345" i="3" s="1"/>
  <c r="I2085" i="3"/>
  <c r="J2085" i="3"/>
  <c r="F1686" i="3"/>
  <c r="K1686" i="3" s="1"/>
  <c r="G1686" i="3"/>
  <c r="J1686" i="3"/>
  <c r="I1686" i="3"/>
  <c r="H1686" i="3"/>
  <c r="B1686" i="3"/>
  <c r="C1686" i="3" s="1"/>
  <c r="I2350" i="3"/>
  <c r="J2350" i="3"/>
  <c r="J2129" i="3"/>
  <c r="H2129" i="3"/>
  <c r="G2129" i="3"/>
  <c r="B2129" i="3"/>
  <c r="C2129" i="3" s="1"/>
  <c r="J1586" i="3"/>
  <c r="H1586" i="3"/>
  <c r="G1586" i="3"/>
  <c r="F1586" i="3"/>
  <c r="K1586" i="3" s="1"/>
  <c r="B1586" i="3"/>
  <c r="C1586" i="3" s="1"/>
  <c r="H2209" i="3"/>
  <c r="F2209" i="3"/>
  <c r="K2209" i="3" s="1"/>
  <c r="F1950" i="3"/>
  <c r="K1950" i="3" s="1"/>
  <c r="H1950" i="3"/>
  <c r="O176" i="2"/>
  <c r="P176" i="2" s="1"/>
  <c r="Q176" i="2" s="1"/>
  <c r="O147" i="2"/>
  <c r="P147" i="2" s="1"/>
  <c r="Q147" i="2" s="1"/>
  <c r="O500" i="2"/>
  <c r="P500" i="2" s="1"/>
  <c r="Q500" i="2" s="1"/>
  <c r="O52" i="2"/>
  <c r="P52" i="2" s="1"/>
  <c r="Q52" i="2" s="1"/>
  <c r="O195" i="2"/>
  <c r="P195" i="2" s="1"/>
  <c r="Q195" i="2" s="1"/>
  <c r="O209" i="2"/>
  <c r="P209" i="2" s="1"/>
  <c r="Q209" i="2" s="1"/>
  <c r="O331" i="2"/>
  <c r="P331" i="2" s="1"/>
  <c r="Q331" i="2" s="1"/>
  <c r="O166" i="2"/>
  <c r="P166" i="2" s="1"/>
  <c r="Q166" i="2" s="1"/>
  <c r="O574" i="2"/>
  <c r="P574" i="2" s="1"/>
  <c r="Q574" i="2" s="1"/>
  <c r="O585" i="2"/>
  <c r="P585" i="2" s="1"/>
  <c r="Q585" i="2" s="1"/>
  <c r="O218" i="2"/>
  <c r="P218" i="2" s="1"/>
  <c r="Q218" i="2" s="1"/>
  <c r="O391" i="2"/>
  <c r="P391" i="2" s="1"/>
  <c r="Q391" i="2" s="1"/>
  <c r="O566" i="2"/>
  <c r="P566" i="2" s="1"/>
  <c r="Q566" i="2" s="1"/>
  <c r="O534" i="2"/>
  <c r="P534" i="2" s="1"/>
  <c r="Q534" i="2" s="1"/>
  <c r="O553" i="2"/>
  <c r="P553" i="2" s="1"/>
  <c r="Q553" i="2" s="1"/>
  <c r="O823" i="2"/>
  <c r="P823" i="2" s="1"/>
  <c r="Q823" i="2" s="1"/>
  <c r="I2235" i="3"/>
  <c r="H2235" i="3"/>
  <c r="G2235" i="3"/>
  <c r="B2235" i="3"/>
  <c r="C2235" i="3" s="1"/>
  <c r="H2292" i="3"/>
  <c r="F2292" i="3"/>
  <c r="K2292" i="3" s="1"/>
  <c r="B2292" i="3"/>
  <c r="C2292" i="3" s="1"/>
  <c r="F2349" i="3"/>
  <c r="K2349" i="3" s="1"/>
  <c r="I2349" i="3"/>
  <c r="G2349" i="3"/>
  <c r="B2117" i="3"/>
  <c r="C2117" i="3" s="1"/>
  <c r="I2117" i="3"/>
  <c r="H2117" i="3"/>
  <c r="J2417" i="3"/>
  <c r="F2417" i="3"/>
  <c r="K2417" i="3" s="1"/>
  <c r="B2071" i="3"/>
  <c r="C2071" i="3" s="1"/>
  <c r="G2071" i="3"/>
  <c r="J2164" i="3"/>
  <c r="F2164" i="3"/>
  <c r="K2164" i="3" s="1"/>
  <c r="B2387" i="3"/>
  <c r="C2387" i="3" s="1"/>
  <c r="J2387" i="3"/>
  <c r="H1723" i="3"/>
  <c r="B1723" i="3"/>
  <c r="C1723" i="3" s="1"/>
  <c r="J2081" i="3"/>
  <c r="I2081" i="3"/>
  <c r="G2081" i="3"/>
  <c r="B2081" i="3"/>
  <c r="C2081" i="3" s="1"/>
  <c r="J1595" i="3"/>
  <c r="G1595" i="3"/>
  <c r="J2226" i="3"/>
  <c r="B2226" i="3"/>
  <c r="C2226" i="3" s="1"/>
  <c r="I2226" i="3"/>
  <c r="G2226" i="3"/>
  <c r="H2226" i="3"/>
  <c r="K1101" i="3"/>
  <c r="J1101" i="3" s="1"/>
  <c r="O29" i="2"/>
  <c r="P29" i="2" s="1"/>
  <c r="Q29" i="2" s="1"/>
  <c r="O41" i="2"/>
  <c r="P41" i="2" s="1"/>
  <c r="Q41" i="2" s="1"/>
  <c r="O459" i="2"/>
  <c r="P459" i="2" s="1"/>
  <c r="Q459" i="2" s="1"/>
  <c r="O112" i="2"/>
  <c r="P112" i="2" s="1"/>
  <c r="Q112" i="2" s="1"/>
  <c r="O121" i="2"/>
  <c r="P121" i="2" s="1"/>
  <c r="Q121" i="2" s="1"/>
  <c r="O19" i="2"/>
  <c r="P19" i="2" s="1"/>
  <c r="Q19" i="2" s="1"/>
  <c r="O185" i="2"/>
  <c r="P185" i="2" s="1"/>
  <c r="Q185" i="2" s="1"/>
  <c r="O168" i="2"/>
  <c r="P168" i="2" s="1"/>
  <c r="Q168" i="2" s="1"/>
  <c r="O80" i="2"/>
  <c r="P80" i="2" s="1"/>
  <c r="Q80" i="2" s="1"/>
  <c r="O56" i="2"/>
  <c r="P56" i="2" s="1"/>
  <c r="Q56" i="2" s="1"/>
  <c r="O213" i="2"/>
  <c r="P213" i="2" s="1"/>
  <c r="Q213" i="2" s="1"/>
  <c r="O77" i="2"/>
  <c r="P77" i="2" s="1"/>
  <c r="Q77" i="2" s="1"/>
  <c r="O369" i="2"/>
  <c r="P369" i="2" s="1"/>
  <c r="Q369" i="2" s="1"/>
  <c r="O183" i="2"/>
  <c r="P183" i="2" s="1"/>
  <c r="Q183" i="2" s="1"/>
  <c r="O407" i="2"/>
  <c r="P407" i="2" s="1"/>
  <c r="Q407" i="2" s="1"/>
  <c r="O591" i="2"/>
  <c r="P591" i="2" s="1"/>
  <c r="Q591" i="2" s="1"/>
  <c r="O235" i="2"/>
  <c r="P235" i="2" s="1"/>
  <c r="Q235" i="2" s="1"/>
  <c r="O451" i="2"/>
  <c r="P451" i="2" s="1"/>
  <c r="Q451" i="2" s="1"/>
  <c r="O223" i="2"/>
  <c r="P223" i="2" s="1"/>
  <c r="Q223" i="2" s="1"/>
  <c r="O552" i="2"/>
  <c r="P552" i="2" s="1"/>
  <c r="Q552" i="2" s="1"/>
  <c r="O422" i="2"/>
  <c r="P422" i="2" s="1"/>
  <c r="Q422" i="2" s="1"/>
  <c r="O610" i="2"/>
  <c r="P610" i="2" s="1"/>
  <c r="Q610" i="2" s="1"/>
  <c r="G2532" i="3"/>
  <c r="J1921" i="3"/>
  <c r="J2399" i="3"/>
  <c r="I2103" i="3"/>
  <c r="I2367" i="3"/>
  <c r="J2247" i="3"/>
  <c r="H2006" i="3"/>
  <c r="B2058" i="3"/>
  <c r="C2058" i="3" s="1"/>
  <c r="G2334" i="3"/>
  <c r="I2334" i="3"/>
  <c r="J2334" i="3"/>
  <c r="F2337" i="3"/>
  <c r="K2337" i="3" s="1"/>
  <c r="B2337" i="3"/>
  <c r="C2337" i="3" s="1"/>
  <c r="B2347" i="3"/>
  <c r="C2347" i="3" s="1"/>
  <c r="I2347" i="3"/>
  <c r="J2347" i="3"/>
  <c r="H2347" i="3"/>
  <c r="G2347" i="3"/>
  <c r="F2347" i="3"/>
  <c r="K2347" i="3" s="1"/>
  <c r="J2354" i="3"/>
  <c r="I2354" i="3"/>
  <c r="G2354" i="3"/>
  <c r="F2354" i="3"/>
  <c r="K2354" i="3" s="1"/>
  <c r="J2273" i="3"/>
  <c r="F2273" i="3"/>
  <c r="K2273" i="3" s="1"/>
  <c r="G2273" i="3"/>
  <c r="H2142" i="3"/>
  <c r="B2142" i="3"/>
  <c r="C2142" i="3" s="1"/>
  <c r="H2101" i="3"/>
  <c r="J2101" i="3"/>
  <c r="F2101" i="3"/>
  <c r="K2101" i="3" s="1"/>
  <c r="J2135" i="3"/>
  <c r="G2135" i="3"/>
  <c r="H2135" i="3"/>
  <c r="F2135" i="3"/>
  <c r="K2135" i="3" s="1"/>
  <c r="F2080" i="3"/>
  <c r="K2080" i="3" s="1"/>
  <c r="I2080" i="3"/>
  <c r="I1592" i="3"/>
  <c r="B1592" i="3"/>
  <c r="C1592" i="3" s="1"/>
  <c r="G2127" i="3"/>
  <c r="J2127" i="3"/>
  <c r="I2092" i="3"/>
  <c r="F2092" i="3"/>
  <c r="K2092" i="3" s="1"/>
  <c r="K1112" i="3"/>
  <c r="J1112" i="3" s="1"/>
  <c r="O37" i="2"/>
  <c r="P37" i="2" s="1"/>
  <c r="Q37" i="2" s="1"/>
  <c r="O49" i="2"/>
  <c r="P49" i="2" s="1"/>
  <c r="Q49" i="2" s="1"/>
  <c r="O468" i="2"/>
  <c r="P468" i="2" s="1"/>
  <c r="Q468" i="2" s="1"/>
  <c r="O129" i="2"/>
  <c r="P129" i="2" s="1"/>
  <c r="Q129" i="2" s="1"/>
  <c r="O142" i="2"/>
  <c r="P142" i="2" s="1"/>
  <c r="Q142" i="2" s="1"/>
  <c r="O23" i="2"/>
  <c r="P23" i="2" s="1"/>
  <c r="Q23" i="2" s="1"/>
  <c r="O207" i="2"/>
  <c r="P207" i="2" s="1"/>
  <c r="Q207" i="2" s="1"/>
  <c r="O181" i="2"/>
  <c r="P181" i="2" s="1"/>
  <c r="Q181" i="2" s="1"/>
  <c r="O97" i="2"/>
  <c r="P97" i="2" s="1"/>
  <c r="Q97" i="2" s="1"/>
  <c r="O60" i="2"/>
  <c r="P60" i="2" s="1"/>
  <c r="Q60" i="2" s="1"/>
  <c r="O251" i="2"/>
  <c r="P251" i="2" s="1"/>
  <c r="Q251" i="2" s="1"/>
  <c r="O98" i="2"/>
  <c r="P98" i="2" s="1"/>
  <c r="Q98" i="2" s="1"/>
  <c r="O411" i="2"/>
  <c r="P411" i="2" s="1"/>
  <c r="Q411" i="2" s="1"/>
  <c r="O201" i="2"/>
  <c r="P201" i="2" s="1"/>
  <c r="Q201" i="2" s="1"/>
  <c r="O428" i="2"/>
  <c r="P428" i="2" s="1"/>
  <c r="Q428" i="2" s="1"/>
  <c r="O615" i="2"/>
  <c r="P615" i="2" s="1"/>
  <c r="Q615" i="2" s="1"/>
  <c r="O256" i="2"/>
  <c r="P256" i="2" s="1"/>
  <c r="Q256" i="2" s="1"/>
  <c r="O460" i="2"/>
  <c r="P460" i="2" s="1"/>
  <c r="Q460" i="2" s="1"/>
  <c r="O244" i="2"/>
  <c r="P244" i="2" s="1"/>
  <c r="Q244" i="2" s="1"/>
  <c r="O645" i="2"/>
  <c r="P645" i="2" s="1"/>
  <c r="Q645" i="2" s="1"/>
  <c r="O494" i="2"/>
  <c r="P494" i="2" s="1"/>
  <c r="Q494" i="2" s="1"/>
  <c r="O920" i="2"/>
  <c r="P920" i="2" s="1"/>
  <c r="Q920" i="2" s="1"/>
  <c r="F2235" i="3"/>
  <c r="K2235" i="3" s="1"/>
  <c r="I2447" i="3"/>
  <c r="H2532" i="3"/>
  <c r="B1969" i="3"/>
  <c r="C1969" i="3" s="1"/>
  <c r="J2175" i="3"/>
  <c r="H2045" i="3"/>
  <c r="B2175" i="3"/>
  <c r="C2175" i="3" s="1"/>
  <c r="B1914" i="3"/>
  <c r="C1914" i="3" s="1"/>
  <c r="I1685" i="3"/>
  <c r="G2316" i="3"/>
  <c r="J2316" i="3"/>
  <c r="I2316" i="3"/>
  <c r="G2146" i="3"/>
  <c r="J2146" i="3"/>
  <c r="F1766" i="3"/>
  <c r="K1766" i="3" s="1"/>
  <c r="B1766" i="3"/>
  <c r="C1766" i="3" s="1"/>
  <c r="J1766" i="3"/>
  <c r="I1766" i="3"/>
  <c r="H1766" i="3"/>
  <c r="G1766" i="3"/>
  <c r="I2237" i="3"/>
  <c r="H2237" i="3"/>
  <c r="G2286" i="3"/>
  <c r="B2286" i="3"/>
  <c r="C2286" i="3" s="1"/>
  <c r="I2286" i="3"/>
  <c r="J2286" i="3"/>
  <c r="F2286" i="3"/>
  <c r="K2286" i="3" s="1"/>
  <c r="H2286" i="3"/>
  <c r="B2504" i="3"/>
  <c r="C2504" i="3" s="1"/>
  <c r="J2504" i="3"/>
  <c r="B2122" i="3"/>
  <c r="C2122" i="3" s="1"/>
  <c r="I2122" i="3"/>
  <c r="H2122" i="3"/>
  <c r="F2122" i="3"/>
  <c r="K2122" i="3" s="1"/>
  <c r="I2113" i="3"/>
  <c r="J2113" i="3"/>
  <c r="F2113" i="3"/>
  <c r="K2113" i="3" s="1"/>
  <c r="I2147" i="3"/>
  <c r="B2147" i="3"/>
  <c r="C2147" i="3" s="1"/>
  <c r="F2114" i="3"/>
  <c r="K2114" i="3" s="1"/>
  <c r="B2114" i="3"/>
  <c r="C2114" i="3" s="1"/>
  <c r="I1608" i="3"/>
  <c r="J1608" i="3"/>
  <c r="H1608" i="3"/>
  <c r="I1803" i="3"/>
  <c r="J1803" i="3"/>
  <c r="G1803" i="3"/>
  <c r="I2208" i="3"/>
  <c r="H2208" i="3"/>
  <c r="H1619" i="3"/>
  <c r="J1619" i="3"/>
  <c r="B2340" i="3"/>
  <c r="C2340" i="3" s="1"/>
  <c r="G2340" i="3"/>
  <c r="H2340" i="3"/>
  <c r="J2086" i="3"/>
  <c r="G2086" i="3"/>
  <c r="J2544" i="3"/>
  <c r="B2544" i="3"/>
  <c r="C2544" i="3" s="1"/>
  <c r="J2322" i="3"/>
  <c r="F2322" i="3"/>
  <c r="K2322" i="3" s="1"/>
  <c r="F2326" i="3"/>
  <c r="K2326" i="3" s="1"/>
  <c r="H2326" i="3"/>
  <c r="J2229" i="3"/>
  <c r="H2229" i="3"/>
  <c r="H1889" i="3"/>
  <c r="B1889" i="3"/>
  <c r="C1889" i="3" s="1"/>
  <c r="J1889" i="3"/>
  <c r="I1889" i="3"/>
  <c r="F1889" i="3"/>
  <c r="K1889" i="3" s="1"/>
  <c r="B1804" i="3"/>
  <c r="C1804" i="3" s="1"/>
  <c r="G1804" i="3"/>
  <c r="I2298" i="3"/>
  <c r="J2298" i="3"/>
  <c r="J2176" i="3"/>
  <c r="I2176" i="3"/>
  <c r="G2176" i="3"/>
  <c r="F2176" i="3"/>
  <c r="K2176" i="3" s="1"/>
  <c r="B2176" i="3"/>
  <c r="C2176" i="3" s="1"/>
  <c r="B2167" i="3"/>
  <c r="C2167" i="3" s="1"/>
  <c r="J2167" i="3"/>
  <c r="G2167" i="3"/>
  <c r="G1655" i="3"/>
  <c r="I1655" i="3"/>
  <c r="B1655" i="3"/>
  <c r="C1655" i="3" s="1"/>
  <c r="F2149" i="3"/>
  <c r="K2149" i="3" s="1"/>
  <c r="J2149" i="3"/>
  <c r="I2149" i="3"/>
  <c r="H2149" i="3"/>
  <c r="G2149" i="3"/>
  <c r="B2149" i="3"/>
  <c r="C2149" i="3" s="1"/>
  <c r="J1908" i="3"/>
  <c r="I1908" i="3"/>
  <c r="J2366" i="3"/>
  <c r="B2366" i="3"/>
  <c r="C2366" i="3" s="1"/>
  <c r="O171" i="2"/>
  <c r="P171" i="2" s="1"/>
  <c r="Q171" i="2" s="1"/>
  <c r="O189" i="2"/>
  <c r="P189" i="2" s="1"/>
  <c r="Q189" i="2" s="1"/>
  <c r="O31" i="2"/>
  <c r="P31" i="2" s="1"/>
  <c r="Q31" i="2" s="1"/>
  <c r="O373" i="2"/>
  <c r="P373" i="2" s="1"/>
  <c r="Q373" i="2" s="1"/>
  <c r="O233" i="2"/>
  <c r="P233" i="2" s="1"/>
  <c r="Q233" i="2" s="1"/>
  <c r="O139" i="2"/>
  <c r="P139" i="2" s="1"/>
  <c r="Q139" i="2" s="1"/>
  <c r="O68" i="2"/>
  <c r="P68" i="2" s="1"/>
  <c r="Q68" i="2" s="1"/>
  <c r="O274" i="2"/>
  <c r="P274" i="2" s="1"/>
  <c r="Q274" i="2" s="1"/>
  <c r="O140" i="2"/>
  <c r="P140" i="2" s="1"/>
  <c r="Q140" i="2" s="1"/>
  <c r="O90" i="2"/>
  <c r="P90" i="2" s="1"/>
  <c r="Q90" i="2" s="1"/>
  <c r="O282" i="2"/>
  <c r="P282" i="2" s="1"/>
  <c r="Q282" i="2" s="1"/>
  <c r="O514" i="2"/>
  <c r="P514" i="2" s="1"/>
  <c r="Q514" i="2" s="1"/>
  <c r="O361" i="2"/>
  <c r="P361" i="2" s="1"/>
  <c r="Q361" i="2" s="1"/>
  <c r="O315" i="2"/>
  <c r="P315" i="2" s="1"/>
  <c r="Q315" i="2" s="1"/>
  <c r="O506" i="2"/>
  <c r="P506" i="2" s="1"/>
  <c r="Q506" i="2" s="1"/>
  <c r="O286" i="2"/>
  <c r="P286" i="2" s="1"/>
  <c r="Q286" i="2" s="1"/>
  <c r="O337" i="2"/>
  <c r="P337" i="2" s="1"/>
  <c r="Q337" i="2" s="1"/>
  <c r="O212" i="2"/>
  <c r="P212" i="2" s="1"/>
  <c r="Q212" i="2" s="1"/>
  <c r="O811" i="2"/>
  <c r="P811" i="2" s="1"/>
  <c r="Q811" i="2" s="1"/>
  <c r="F2099" i="3"/>
  <c r="K2099" i="3" s="1"/>
  <c r="G2099" i="3"/>
  <c r="G2348" i="3"/>
  <c r="H2348" i="3"/>
  <c r="F2205" i="3"/>
  <c r="K2205" i="3" s="1"/>
  <c r="B2205" i="3"/>
  <c r="C2205" i="3" s="1"/>
  <c r="H2205" i="3"/>
  <c r="J2205" i="3"/>
  <c r="I2205" i="3"/>
  <c r="G2205" i="3"/>
  <c r="I2143" i="3"/>
  <c r="H2143" i="3"/>
  <c r="H2075" i="3"/>
  <c r="I2075" i="3"/>
  <c r="F2312" i="3"/>
  <c r="K2312" i="3" s="1"/>
  <c r="B2312" i="3"/>
  <c r="C2312" i="3" s="1"/>
  <c r="H2312" i="3"/>
  <c r="G2312" i="3"/>
  <c r="J2186" i="3"/>
  <c r="I2186" i="3"/>
  <c r="H2186" i="3"/>
  <c r="G2186" i="3"/>
  <c r="B2186" i="3"/>
  <c r="C2186" i="3" s="1"/>
  <c r="I2204" i="3"/>
  <c r="F2204" i="3"/>
  <c r="K2204" i="3" s="1"/>
  <c r="G2204" i="3"/>
  <c r="I2168" i="3"/>
  <c r="G2168" i="3"/>
  <c r="H1665" i="3"/>
  <c r="J1665" i="3"/>
  <c r="I1665" i="3"/>
  <c r="G1665" i="3"/>
  <c r="F1665" i="3"/>
  <c r="K1665" i="3" s="1"/>
  <c r="B1665" i="3"/>
  <c r="C1665" i="3" s="1"/>
  <c r="J2181" i="3"/>
  <c r="G2181" i="3"/>
  <c r="B2181" i="3"/>
  <c r="C2181" i="3" s="1"/>
  <c r="B1933" i="3"/>
  <c r="C1933" i="3" s="1"/>
  <c r="H1933" i="3"/>
  <c r="I1933" i="3"/>
  <c r="G1933" i="3"/>
  <c r="F1933" i="3"/>
  <c r="K1933" i="3" s="1"/>
  <c r="O7" i="2"/>
  <c r="P7" i="2" s="1"/>
  <c r="Q7" i="2" s="1"/>
  <c r="O103" i="2"/>
  <c r="P103" i="2" s="1"/>
  <c r="Q103" i="2" s="1"/>
  <c r="O62" i="2"/>
  <c r="P62" i="2" s="1"/>
  <c r="Q62" i="2" s="1"/>
  <c r="O193" i="2"/>
  <c r="P193" i="2" s="1"/>
  <c r="Q193" i="2" s="1"/>
  <c r="O211" i="2"/>
  <c r="P211" i="2" s="1"/>
  <c r="Q211" i="2" s="1"/>
  <c r="O35" i="2"/>
  <c r="P35" i="2" s="1"/>
  <c r="Q35" i="2" s="1"/>
  <c r="O380" i="2"/>
  <c r="P380" i="2" s="1"/>
  <c r="Q380" i="2" s="1"/>
  <c r="O261" i="2"/>
  <c r="P261" i="2" s="1"/>
  <c r="Q261" i="2" s="1"/>
  <c r="O160" i="2"/>
  <c r="P160" i="2" s="1"/>
  <c r="Q160" i="2" s="1"/>
  <c r="O72" i="2"/>
  <c r="P72" i="2" s="1"/>
  <c r="Q72" i="2" s="1"/>
  <c r="O352" i="2"/>
  <c r="P352" i="2" s="1"/>
  <c r="Q352" i="2" s="1"/>
  <c r="O157" i="2"/>
  <c r="P157" i="2" s="1"/>
  <c r="Q157" i="2" s="1"/>
  <c r="O111" i="2"/>
  <c r="P111" i="2" s="1"/>
  <c r="Q111" i="2" s="1"/>
  <c r="O354" i="2"/>
  <c r="P354" i="2" s="1"/>
  <c r="Q354" i="2" s="1"/>
  <c r="O537" i="2"/>
  <c r="P537" i="2" s="1"/>
  <c r="Q537" i="2" s="1"/>
  <c r="O382" i="2"/>
  <c r="P382" i="2" s="1"/>
  <c r="Q382" i="2" s="1"/>
  <c r="O378" i="2"/>
  <c r="P378" i="2" s="1"/>
  <c r="Q378" i="2" s="1"/>
  <c r="O515" i="2"/>
  <c r="P515" i="2" s="1"/>
  <c r="Q515" i="2" s="1"/>
  <c r="O324" i="2"/>
  <c r="P324" i="2" s="1"/>
  <c r="Q324" i="2" s="1"/>
  <c r="O396" i="2"/>
  <c r="O296" i="2"/>
  <c r="P296" i="2" s="1"/>
  <c r="Q296" i="2" s="1"/>
  <c r="O859" i="2"/>
  <c r="P859" i="2" s="1"/>
  <c r="Q859" i="2" s="1"/>
  <c r="I2533" i="3"/>
  <c r="J2134" i="3"/>
  <c r="I2134" i="3"/>
  <c r="I2039" i="3"/>
  <c r="F1934" i="3"/>
  <c r="K1934" i="3" s="1"/>
  <c r="B2232" i="3"/>
  <c r="C2232" i="3" s="1"/>
  <c r="F2383" i="3"/>
  <c r="K2383" i="3" s="1"/>
  <c r="H2383" i="3"/>
  <c r="I2383" i="3"/>
  <c r="G2357" i="3"/>
  <c r="J2357" i="3"/>
  <c r="I2369" i="3"/>
  <c r="J2369" i="3"/>
  <c r="H2369" i="3"/>
  <c r="G2369" i="3"/>
  <c r="B2369" i="3"/>
  <c r="C2369" i="3" s="1"/>
  <c r="J2309" i="3"/>
  <c r="H2309" i="3"/>
  <c r="F2342" i="3"/>
  <c r="K2342" i="3" s="1"/>
  <c r="J2215" i="3"/>
  <c r="H2215" i="3"/>
  <c r="F2215" i="3"/>
  <c r="K2215" i="3" s="1"/>
  <c r="I2258" i="3"/>
  <c r="J2258" i="3"/>
  <c r="B1820" i="3"/>
  <c r="C1820" i="3" s="1"/>
  <c r="G1820" i="3"/>
  <c r="J1820" i="3"/>
  <c r="J2277" i="3"/>
  <c r="I2277" i="3"/>
  <c r="H2216" i="3"/>
  <c r="J2216" i="3"/>
  <c r="G1830" i="3"/>
  <c r="I1830" i="3"/>
  <c r="J1830" i="3"/>
  <c r="F1830" i="3"/>
  <c r="K1830" i="3" s="1"/>
  <c r="J2284" i="3"/>
  <c r="G2284" i="3"/>
  <c r="F2284" i="3"/>
  <c r="K2284" i="3" s="1"/>
  <c r="B2284" i="3"/>
  <c r="C2284" i="3" s="1"/>
  <c r="I2284" i="3"/>
  <c r="H3090" i="3"/>
  <c r="H3042" i="3"/>
  <c r="O14" i="2"/>
  <c r="P14" i="2" s="1"/>
  <c r="Q14" i="2" s="1"/>
  <c r="O124" i="2"/>
  <c r="P124" i="2" s="1"/>
  <c r="Q124" i="2" s="1"/>
  <c r="O66" i="2"/>
  <c r="P66" i="2" s="1"/>
  <c r="Q66" i="2" s="1"/>
  <c r="O226" i="2"/>
  <c r="P226" i="2" s="1"/>
  <c r="Q226" i="2" s="1"/>
  <c r="O232" i="2"/>
  <c r="P232" i="2" s="1"/>
  <c r="Q232" i="2" s="1"/>
  <c r="O39" i="2"/>
  <c r="P39" i="2" s="1"/>
  <c r="Q39" i="2" s="1"/>
  <c r="O546" i="2"/>
  <c r="P546" i="2" s="1"/>
  <c r="Q546" i="2" s="1"/>
  <c r="O279" i="2"/>
  <c r="P279" i="2" s="1"/>
  <c r="Q279" i="2" s="1"/>
  <c r="O177" i="2"/>
  <c r="P177" i="2" s="1"/>
  <c r="Q177" i="2" s="1"/>
  <c r="O76" i="2"/>
  <c r="P76" i="2" s="1"/>
  <c r="Q76" i="2" s="1"/>
  <c r="O359" i="2"/>
  <c r="P359" i="2" s="1"/>
  <c r="Q359" i="2" s="1"/>
  <c r="O178" i="2"/>
  <c r="P178" i="2" s="1"/>
  <c r="Q178" i="2" s="1"/>
  <c r="O132" i="2"/>
  <c r="P132" i="2" s="1"/>
  <c r="Q132" i="2" s="1"/>
  <c r="O276" i="2"/>
  <c r="P276" i="2" s="1"/>
  <c r="Q276" i="2" s="1"/>
  <c r="O596" i="2"/>
  <c r="P596" i="2" s="1"/>
  <c r="Q596" i="2" s="1"/>
  <c r="O420" i="2"/>
  <c r="P420" i="2" s="1"/>
  <c r="Q420" i="2" s="1"/>
  <c r="O395" i="2"/>
  <c r="P395" i="2" s="1"/>
  <c r="Q395" i="2" s="1"/>
  <c r="O524" i="2"/>
  <c r="P524" i="2" s="1"/>
  <c r="Q524" i="2" s="1"/>
  <c r="O345" i="2"/>
  <c r="P345" i="2" s="1"/>
  <c r="Q345" i="2" s="1"/>
  <c r="O417" i="2"/>
  <c r="P417" i="2" s="1"/>
  <c r="Q417" i="2" s="1"/>
  <c r="O517" i="2"/>
  <c r="P517" i="2" s="1"/>
  <c r="Q517" i="2" s="1"/>
  <c r="O923" i="2"/>
  <c r="P923" i="2" s="1"/>
  <c r="Q923" i="2" s="1"/>
  <c r="J2497" i="3"/>
  <c r="G2303" i="3"/>
  <c r="H2563" i="3"/>
  <c r="G2266" i="3"/>
  <c r="I2419" i="3"/>
  <c r="J2533" i="3"/>
  <c r="G2509" i="3"/>
  <c r="I2265" i="3"/>
  <c r="F2124" i="3"/>
  <c r="K2124" i="3" s="1"/>
  <c r="B2124" i="3"/>
  <c r="C2124" i="3" s="1"/>
  <c r="B2024" i="3"/>
  <c r="C2024" i="3" s="1"/>
  <c r="H2068" i="3"/>
  <c r="I2244" i="3"/>
  <c r="B2035" i="3"/>
  <c r="C2035" i="3" s="1"/>
  <c r="I1959" i="3"/>
  <c r="H1934" i="3"/>
  <c r="G2232" i="3"/>
  <c r="I1924" i="3"/>
  <c r="F2365" i="3"/>
  <c r="K2365" i="3" s="1"/>
  <c r="B2365" i="3"/>
  <c r="C2365" i="3" s="1"/>
  <c r="B2359" i="3"/>
  <c r="C2359" i="3" s="1"/>
  <c r="J2359" i="3"/>
  <c r="B2055" i="3"/>
  <c r="C2055" i="3" s="1"/>
  <c r="I2055" i="3"/>
  <c r="J2132" i="3"/>
  <c r="H2132" i="3"/>
  <c r="F2132" i="3"/>
  <c r="K2132" i="3" s="1"/>
  <c r="H2013" i="3"/>
  <c r="F2013" i="3"/>
  <c r="K2013" i="3" s="1"/>
  <c r="I2013" i="3"/>
  <c r="J2324" i="3"/>
  <c r="H2324" i="3"/>
  <c r="F2324" i="3"/>
  <c r="K2324" i="3" s="1"/>
  <c r="F2227" i="3"/>
  <c r="K2227" i="3" s="1"/>
  <c r="J2227" i="3"/>
  <c r="I2227" i="3"/>
  <c r="H2227" i="3"/>
  <c r="F2275" i="3"/>
  <c r="K2275" i="3" s="1"/>
  <c r="G2275" i="3"/>
  <c r="J2233" i="3"/>
  <c r="G2233" i="3"/>
  <c r="B2233" i="3"/>
  <c r="C2233" i="3" s="1"/>
  <c r="F2233" i="3"/>
  <c r="K2233" i="3" s="1"/>
  <c r="H2233" i="3"/>
  <c r="I1874" i="3"/>
  <c r="H1874" i="3"/>
  <c r="O243" i="2"/>
  <c r="P243" i="2" s="1"/>
  <c r="Q243" i="2" s="1"/>
  <c r="O43" i="2"/>
  <c r="P43" i="2" s="1"/>
  <c r="Q43" i="2" s="1"/>
  <c r="O555" i="2"/>
  <c r="P555" i="2" s="1"/>
  <c r="Q555" i="2" s="1"/>
  <c r="O293" i="2"/>
  <c r="P293" i="2" s="1"/>
  <c r="Q293" i="2" s="1"/>
  <c r="O199" i="2"/>
  <c r="P199" i="2" s="1"/>
  <c r="Q199" i="2" s="1"/>
  <c r="O93" i="2"/>
  <c r="P93" i="2" s="1"/>
  <c r="Q93" i="2" s="1"/>
  <c r="O85" i="2"/>
  <c r="P85" i="2" s="1"/>
  <c r="Q85" i="2" s="1"/>
  <c r="O224" i="2"/>
  <c r="P224" i="2" s="1"/>
  <c r="Q224" i="2" s="1"/>
  <c r="O149" i="2"/>
  <c r="P149" i="2" s="1"/>
  <c r="Q149" i="2" s="1"/>
  <c r="O297" i="2"/>
  <c r="P297" i="2" s="1"/>
  <c r="Q297" i="2" s="1"/>
  <c r="O306" i="2"/>
  <c r="P306" i="2" s="1"/>
  <c r="Q306" i="2" s="1"/>
  <c r="O446" i="2"/>
  <c r="P446" i="2" s="1"/>
  <c r="Q446" i="2" s="1"/>
  <c r="O416" i="2"/>
  <c r="P416" i="2" s="1"/>
  <c r="Q416" i="2" s="1"/>
  <c r="O538" i="2"/>
  <c r="P538" i="2" s="1"/>
  <c r="Q538" i="2" s="1"/>
  <c r="O366" i="2"/>
  <c r="P366" i="2" s="1"/>
  <c r="Q366" i="2" s="1"/>
  <c r="O493" i="2"/>
  <c r="P493" i="2" s="1"/>
  <c r="Q493" i="2" s="1"/>
  <c r="O540" i="2"/>
  <c r="P540" i="2" s="1"/>
  <c r="F2533" i="3"/>
  <c r="K2533" i="3" s="1"/>
  <c r="I2144" i="3"/>
  <c r="F2232" i="3"/>
  <c r="K2232" i="3" s="1"/>
  <c r="J2156" i="3"/>
  <c r="B2156" i="3"/>
  <c r="C2156" i="3" s="1"/>
  <c r="I1802" i="3"/>
  <c r="B1802" i="3"/>
  <c r="C1802" i="3" s="1"/>
  <c r="J1802" i="3"/>
  <c r="J2368" i="3"/>
  <c r="H2368" i="3"/>
  <c r="F2368" i="3"/>
  <c r="K2368" i="3" s="1"/>
  <c r="I2368" i="3"/>
  <c r="G2368" i="3"/>
  <c r="B2368" i="3"/>
  <c r="C2368" i="3" s="1"/>
  <c r="H2021" i="3"/>
  <c r="G2021" i="3"/>
  <c r="B2021" i="3"/>
  <c r="C2021" i="3" s="1"/>
  <c r="F2021" i="3"/>
  <c r="K2021" i="3" s="1"/>
  <c r="I1897" i="3"/>
  <c r="H1897" i="3"/>
  <c r="J2023" i="3"/>
  <c r="B2023" i="3"/>
  <c r="C2023" i="3" s="1"/>
  <c r="H2023" i="3"/>
  <c r="G2023" i="3"/>
  <c r="B2240" i="3"/>
  <c r="C2240" i="3" s="1"/>
  <c r="I2240" i="3"/>
  <c r="I1944" i="3"/>
  <c r="J1944" i="3"/>
  <c r="H1944" i="3"/>
  <c r="G1944" i="3"/>
  <c r="F1944" i="3"/>
  <c r="K1944" i="3" s="1"/>
  <c r="B1944" i="3"/>
  <c r="C1944" i="3" s="1"/>
  <c r="J2302" i="3"/>
  <c r="B2302" i="3"/>
  <c r="C2302" i="3" s="1"/>
  <c r="F2302" i="3"/>
  <c r="K2302" i="3" s="1"/>
  <c r="J2331" i="3"/>
  <c r="B2331" i="3"/>
  <c r="C2331" i="3" s="1"/>
  <c r="G1894" i="3"/>
  <c r="H1894" i="3"/>
  <c r="H1715" i="3"/>
  <c r="G1715" i="3"/>
  <c r="F1715" i="3"/>
  <c r="K1715" i="3" s="1"/>
  <c r="B1715" i="3"/>
  <c r="C1715" i="3" s="1"/>
  <c r="J1715" i="3"/>
  <c r="I1715" i="3"/>
  <c r="J1727" i="3"/>
  <c r="I1727" i="3"/>
  <c r="H1727" i="3"/>
  <c r="J2003" i="3"/>
  <c r="B2003" i="3"/>
  <c r="C2003" i="3" s="1"/>
  <c r="G2003" i="3"/>
  <c r="F2003" i="3"/>
  <c r="K2003" i="3" s="1"/>
  <c r="O47" i="2"/>
  <c r="P47" i="2" s="1"/>
  <c r="Q47" i="2" s="1"/>
  <c r="O92" i="2"/>
  <c r="P92" i="2" s="1"/>
  <c r="Q92" i="2" s="1"/>
  <c r="O321" i="2"/>
  <c r="P321" i="2" s="1"/>
  <c r="Q321" i="2" s="1"/>
  <c r="O268" i="2"/>
  <c r="P268" i="2" s="1"/>
  <c r="Q268" i="2" s="1"/>
  <c r="O114" i="2"/>
  <c r="P114" i="2" s="1"/>
  <c r="Q114" i="2" s="1"/>
  <c r="O106" i="2"/>
  <c r="P106" i="2" s="1"/>
  <c r="Q106" i="2" s="1"/>
  <c r="O269" i="2"/>
  <c r="P269" i="2" s="1"/>
  <c r="Q269" i="2" s="1"/>
  <c r="O170" i="2"/>
  <c r="P170" i="2" s="1"/>
  <c r="Q170" i="2" s="1"/>
  <c r="O318" i="2"/>
  <c r="P318" i="2" s="1"/>
  <c r="Q318" i="2" s="1"/>
  <c r="O323" i="2"/>
  <c r="P323" i="2" s="1"/>
  <c r="Q323" i="2" s="1"/>
  <c r="O478" i="2"/>
  <c r="P478" i="2" s="1"/>
  <c r="Q478" i="2" s="1"/>
  <c r="O437" i="2"/>
  <c r="P437" i="2" s="1"/>
  <c r="Q437" i="2" s="1"/>
  <c r="O547" i="2"/>
  <c r="P547" i="2" s="1"/>
  <c r="Q547" i="2" s="1"/>
  <c r="O404" i="2"/>
  <c r="P404" i="2" s="1"/>
  <c r="Q404" i="2" s="1"/>
  <c r="O525" i="2"/>
  <c r="P525" i="2" s="1"/>
  <c r="Q525" i="2" s="1"/>
  <c r="O589" i="2"/>
  <c r="P589" i="2" s="1"/>
  <c r="Q589" i="2" s="1"/>
  <c r="H2533" i="3"/>
  <c r="B2105" i="3"/>
  <c r="C2105" i="3" s="1"/>
  <c r="J2318" i="3"/>
  <c r="B2144" i="3"/>
  <c r="C2144" i="3" s="1"/>
  <c r="J1974" i="3"/>
  <c r="F1974" i="3"/>
  <c r="K1974" i="3" s="1"/>
  <c r="F2189" i="3"/>
  <c r="K2189" i="3" s="1"/>
  <c r="F2295" i="3"/>
  <c r="K2295" i="3" s="1"/>
  <c r="J2295" i="3"/>
  <c r="B2295" i="3"/>
  <c r="C2295" i="3" s="1"/>
  <c r="I2295" i="3"/>
  <c r="F2412" i="3"/>
  <c r="K2412" i="3" s="1"/>
  <c r="J2412" i="3"/>
  <c r="I2415" i="3"/>
  <c r="H2415" i="3"/>
  <c r="H1821" i="3"/>
  <c r="B1821" i="3"/>
  <c r="C1821" i="3" s="1"/>
  <c r="I1821" i="3"/>
  <c r="F1821" i="3"/>
  <c r="K1821" i="3" s="1"/>
  <c r="J1821" i="3"/>
  <c r="G1821" i="3"/>
  <c r="H1942" i="3"/>
  <c r="B1942" i="3"/>
  <c r="C1942" i="3" s="1"/>
  <c r="G1942" i="3"/>
  <c r="F1919" i="3"/>
  <c r="K1919" i="3" s="1"/>
  <c r="H1919" i="3"/>
  <c r="J1919" i="3"/>
  <c r="I1919" i="3"/>
  <c r="B1919" i="3"/>
  <c r="C1919" i="3" s="1"/>
  <c r="H2046" i="3"/>
  <c r="J2046" i="3"/>
  <c r="I2046" i="3"/>
  <c r="B2046" i="3"/>
  <c r="C2046" i="3" s="1"/>
  <c r="G2046" i="3"/>
  <c r="F2046" i="3"/>
  <c r="K2046" i="3" s="1"/>
  <c r="F2255" i="3"/>
  <c r="K2255" i="3" s="1"/>
  <c r="G2255" i="3"/>
  <c r="I2255" i="3"/>
  <c r="J2255" i="3"/>
  <c r="H2255" i="3"/>
  <c r="I1953" i="3"/>
  <c r="H1953" i="3"/>
  <c r="G1953" i="3"/>
  <c r="I2328" i="3"/>
  <c r="B2328" i="3"/>
  <c r="C2328" i="3" s="1"/>
  <c r="G1871" i="3"/>
  <c r="I1871" i="3"/>
  <c r="H1901" i="3"/>
  <c r="G1901" i="3"/>
  <c r="G2361" i="3"/>
  <c r="B2361" i="3"/>
  <c r="C2361" i="3" s="1"/>
  <c r="I2361" i="3"/>
  <c r="H2361" i="3"/>
  <c r="F2361" i="3"/>
  <c r="K2361" i="3" s="1"/>
  <c r="J2361" i="3"/>
  <c r="J2262" i="3"/>
  <c r="F2262" i="3"/>
  <c r="K2262" i="3" s="1"/>
  <c r="H1926" i="3"/>
  <c r="I1926" i="3"/>
  <c r="G1926" i="3"/>
  <c r="J1926" i="3"/>
  <c r="B1926" i="3"/>
  <c r="C1926" i="3" s="1"/>
  <c r="G1738" i="3"/>
  <c r="B1738" i="3"/>
  <c r="C1738" i="3" s="1"/>
  <c r="H1981" i="3"/>
  <c r="I1981" i="3"/>
  <c r="B1981" i="3"/>
  <c r="C1981" i="3" s="1"/>
  <c r="J1981" i="3"/>
  <c r="G1981" i="3"/>
  <c r="F1981" i="3"/>
  <c r="K1981" i="3" s="1"/>
  <c r="O214" i="2"/>
  <c r="P214" i="2" s="1"/>
  <c r="Q214" i="2" s="1"/>
  <c r="O335" i="2"/>
  <c r="P335" i="2" s="1"/>
  <c r="Q335" i="2" s="1"/>
  <c r="O344" i="2"/>
  <c r="P344" i="2" s="1"/>
  <c r="Q344" i="2" s="1"/>
  <c r="O487" i="2"/>
  <c r="P487" i="2" s="1"/>
  <c r="Q487" i="2" s="1"/>
  <c r="O469" i="2"/>
  <c r="P469" i="2" s="1"/>
  <c r="Q469" i="2" s="1"/>
  <c r="O556" i="2"/>
  <c r="P556" i="2" s="1"/>
  <c r="Q556" i="2" s="1"/>
  <c r="O425" i="2"/>
  <c r="P425" i="2" s="1"/>
  <c r="Q425" i="2" s="1"/>
  <c r="O685" i="2"/>
  <c r="P685" i="2" s="1"/>
  <c r="Q685" i="2" s="1"/>
  <c r="O259" i="2"/>
  <c r="P259" i="2" s="1"/>
  <c r="Q259" i="2" s="1"/>
  <c r="F2392" i="3"/>
  <c r="K2392" i="3" s="1"/>
  <c r="B2374" i="3"/>
  <c r="C2374" i="3" s="1"/>
  <c r="H2193" i="3"/>
  <c r="I2339" i="3"/>
  <c r="B2086" i="3"/>
  <c r="C2086" i="3" s="1"/>
  <c r="B2264" i="3"/>
  <c r="C2264" i="3" s="1"/>
  <c r="I2318" i="3"/>
  <c r="B2134" i="3"/>
  <c r="C2134" i="3" s="1"/>
  <c r="B2311" i="3"/>
  <c r="C2311" i="3" s="1"/>
  <c r="J2144" i="3"/>
  <c r="G2016" i="3"/>
  <c r="F1996" i="3"/>
  <c r="K1996" i="3" s="1"/>
  <c r="G1636" i="3"/>
  <c r="G2004" i="3"/>
  <c r="J2076" i="3"/>
  <c r="H2076" i="3"/>
  <c r="B2009" i="3"/>
  <c r="C2009" i="3" s="1"/>
  <c r="B1967" i="3"/>
  <c r="C1967" i="3" s="1"/>
  <c r="H1974" i="3"/>
  <c r="B2210" i="3"/>
  <c r="C2210" i="3" s="1"/>
  <c r="F2210" i="3"/>
  <c r="K2210" i="3" s="1"/>
  <c r="B2267" i="3"/>
  <c r="C2267" i="3" s="1"/>
  <c r="F2267" i="3"/>
  <c r="K2267" i="3" s="1"/>
  <c r="J2289" i="3"/>
  <c r="H2289" i="3"/>
  <c r="J2054" i="3"/>
  <c r="I2054" i="3"/>
  <c r="F2325" i="3"/>
  <c r="K2325" i="3" s="1"/>
  <c r="J2325" i="3"/>
  <c r="I2325" i="3"/>
  <c r="J1960" i="3"/>
  <c r="H1960" i="3"/>
  <c r="F2287" i="3"/>
  <c r="K2287" i="3" s="1"/>
  <c r="B2287" i="3"/>
  <c r="C2287" i="3" s="1"/>
  <c r="H2287" i="3"/>
  <c r="J2287" i="3"/>
  <c r="I2287" i="3"/>
  <c r="B1937" i="3"/>
  <c r="C1937" i="3" s="1"/>
  <c r="J1937" i="3"/>
  <c r="G1937" i="3"/>
  <c r="I1872" i="3"/>
  <c r="J1872" i="3"/>
  <c r="G1872" i="3"/>
  <c r="H1872" i="3"/>
  <c r="G1916" i="3"/>
  <c r="F1916" i="3"/>
  <c r="K1916" i="3" s="1"/>
  <c r="J2306" i="3"/>
  <c r="B2306" i="3"/>
  <c r="C2306" i="3" s="1"/>
  <c r="J1946" i="3"/>
  <c r="I1946" i="3"/>
  <c r="F1946" i="3"/>
  <c r="K1946" i="3" s="1"/>
  <c r="F1785" i="3"/>
  <c r="K1785" i="3" s="1"/>
  <c r="I1785" i="3"/>
  <c r="J1785" i="3"/>
  <c r="H1785" i="3"/>
  <c r="J2002" i="3"/>
  <c r="B2002" i="3"/>
  <c r="C2002" i="3" s="1"/>
  <c r="F2002" i="3"/>
  <c r="K2002" i="3" s="1"/>
  <c r="J3119" i="3"/>
  <c r="O46" i="2"/>
  <c r="P46" i="2" s="1"/>
  <c r="Q46" i="2" s="1"/>
  <c r="O394" i="2"/>
  <c r="P394" i="2" s="1"/>
  <c r="Q394" i="2" s="1"/>
  <c r="O116" i="2"/>
  <c r="P116" i="2" s="1"/>
  <c r="Q116" i="2" s="1"/>
  <c r="O348" i="2"/>
  <c r="P348" i="2" s="1"/>
  <c r="Q348" i="2" s="1"/>
  <c r="O320" i="2"/>
  <c r="P320" i="2" s="1"/>
  <c r="Q320" i="2" s="1"/>
  <c r="O55" i="2"/>
  <c r="P55" i="2" s="1"/>
  <c r="Q55" i="2" s="1"/>
  <c r="O130" i="2"/>
  <c r="P130" i="2" s="1"/>
  <c r="Q130" i="2" s="1"/>
  <c r="O101" i="2"/>
  <c r="P101" i="2" s="1"/>
  <c r="Q101" i="2" s="1"/>
  <c r="O12" i="2"/>
  <c r="P12" i="2" s="1"/>
  <c r="Q12" i="2" s="1"/>
  <c r="O156" i="2"/>
  <c r="P156" i="2" s="1"/>
  <c r="Q156" i="2" s="1"/>
  <c r="O148" i="2"/>
  <c r="P148" i="2" s="1"/>
  <c r="Q148" i="2" s="1"/>
  <c r="O302" i="2"/>
  <c r="P302" i="2" s="1"/>
  <c r="Q302" i="2" s="1"/>
  <c r="O219" i="2"/>
  <c r="P219" i="2" s="1"/>
  <c r="Q219" i="2" s="1"/>
  <c r="O356" i="2"/>
  <c r="P356" i="2" s="1"/>
  <c r="Q356" i="2" s="1"/>
  <c r="O365" i="2"/>
  <c r="P365" i="2" s="1"/>
  <c r="Q365" i="2" s="1"/>
  <c r="O496" i="2"/>
  <c r="P496" i="2" s="1"/>
  <c r="Q496" i="2" s="1"/>
  <c r="O501" i="2"/>
  <c r="P501" i="2" s="1"/>
  <c r="Q501" i="2" s="1"/>
  <c r="O636" i="2"/>
  <c r="P636" i="2" s="1"/>
  <c r="Q636" i="2" s="1"/>
  <c r="O488" i="2"/>
  <c r="P488" i="2" s="1"/>
  <c r="Q488" i="2" s="1"/>
  <c r="O466" i="2"/>
  <c r="P466" i="2" s="1"/>
  <c r="Q466" i="2" s="1"/>
  <c r="O579" i="2"/>
  <c r="P579" i="2" s="1"/>
  <c r="Q579" i="2" s="1"/>
  <c r="H2460" i="3"/>
  <c r="B2376" i="3"/>
  <c r="C2376" i="3" s="1"/>
  <c r="J2235" i="3"/>
  <c r="B2406" i="3"/>
  <c r="C2406" i="3" s="1"/>
  <c r="I2360" i="3"/>
  <c r="H2377" i="3"/>
  <c r="G2203" i="3"/>
  <c r="B2339" i="3"/>
  <c r="C2339" i="3" s="1"/>
  <c r="I2158" i="3"/>
  <c r="F2086" i="3"/>
  <c r="K2086" i="3" s="1"/>
  <c r="I2086" i="3"/>
  <c r="F2264" i="3"/>
  <c r="K2264" i="3" s="1"/>
  <c r="G2206" i="3"/>
  <c r="I2036" i="3"/>
  <c r="G2103" i="3"/>
  <c r="H1996" i="3"/>
  <c r="J2204" i="3"/>
  <c r="I2004" i="3"/>
  <c r="I2076" i="3"/>
  <c r="G2009" i="3"/>
  <c r="G2305" i="3"/>
  <c r="I1603" i="3"/>
  <c r="F1967" i="3"/>
  <c r="K1967" i="3" s="1"/>
  <c r="G1603" i="3"/>
  <c r="I1974" i="3"/>
  <c r="B2219" i="3"/>
  <c r="C2219" i="3" s="1"/>
  <c r="J2219" i="3"/>
  <c r="G2283" i="3"/>
  <c r="F2283" i="3"/>
  <c r="K2283" i="3" s="1"/>
  <c r="I2283" i="3"/>
  <c r="H2283" i="3"/>
  <c r="B2283" i="3"/>
  <c r="C2283" i="3" s="1"/>
  <c r="J1834" i="3"/>
  <c r="F1834" i="3"/>
  <c r="K1834" i="3" s="1"/>
  <c r="I2185" i="3"/>
  <c r="J2185" i="3"/>
  <c r="I1958" i="3"/>
  <c r="G1958" i="3"/>
  <c r="F1958" i="3"/>
  <c r="K1958" i="3" s="1"/>
  <c r="H1968" i="3"/>
  <c r="J1968" i="3"/>
  <c r="F1884" i="3"/>
  <c r="K1884" i="3" s="1"/>
  <c r="J1884" i="3"/>
  <c r="H1884" i="3"/>
  <c r="B1884" i="3"/>
  <c r="C1884" i="3" s="1"/>
  <c r="I1884" i="3"/>
  <c r="G1884" i="3"/>
  <c r="J2304" i="3"/>
  <c r="F2304" i="3"/>
  <c r="K2304" i="3" s="1"/>
  <c r="I2304" i="3"/>
  <c r="G2304" i="3"/>
  <c r="H2304" i="3"/>
  <c r="F1925" i="3"/>
  <c r="K1925" i="3" s="1"/>
  <c r="H1925" i="3"/>
  <c r="J1925" i="3"/>
  <c r="G1925" i="3"/>
  <c r="J1843" i="3"/>
  <c r="G1843" i="3"/>
  <c r="I1843" i="3"/>
  <c r="H1843" i="3"/>
  <c r="F1843" i="3"/>
  <c r="K1843" i="3" s="1"/>
  <c r="B1843" i="3"/>
  <c r="C1843" i="3" s="1"/>
  <c r="I1964" i="3"/>
  <c r="G1964" i="3"/>
  <c r="B1964" i="3"/>
  <c r="C1964" i="3" s="1"/>
  <c r="B1814" i="3"/>
  <c r="C1814" i="3" s="1"/>
  <c r="J1814" i="3"/>
  <c r="I1814" i="3"/>
  <c r="B2022" i="3"/>
  <c r="C2022" i="3" s="1"/>
  <c r="F2022" i="3"/>
  <c r="K2022" i="3" s="1"/>
  <c r="H2022" i="3"/>
  <c r="I2033" i="3"/>
  <c r="B2033" i="3"/>
  <c r="C2033" i="3" s="1"/>
  <c r="O133" i="2"/>
  <c r="P133" i="2" s="1"/>
  <c r="Q133" i="2" s="1"/>
  <c r="O87" i="2"/>
  <c r="P87" i="2" s="1"/>
  <c r="Q87" i="2" s="1"/>
  <c r="O327" i="2"/>
  <c r="P327" i="2" s="1"/>
  <c r="Q327" i="2" s="1"/>
  <c r="O59" i="2"/>
  <c r="P59" i="2" s="1"/>
  <c r="Q59" i="2" s="1"/>
  <c r="O151" i="2"/>
  <c r="P151" i="2" s="1"/>
  <c r="Q151" i="2" s="1"/>
  <c r="O122" i="2"/>
  <c r="P122" i="2" s="1"/>
  <c r="Q122" i="2" s="1"/>
  <c r="O16" i="2"/>
  <c r="P16" i="2" s="1"/>
  <c r="Q16" i="2" s="1"/>
  <c r="O173" i="2"/>
  <c r="P173" i="2" s="1"/>
  <c r="Q173" i="2" s="1"/>
  <c r="O165" i="2"/>
  <c r="P165" i="2" s="1"/>
  <c r="Q165" i="2" s="1"/>
  <c r="O73" i="2"/>
  <c r="P73" i="2" s="1"/>
  <c r="Q73" i="2" s="1"/>
  <c r="O241" i="2"/>
  <c r="P241" i="2" s="1"/>
  <c r="Q241" i="2" s="1"/>
  <c r="O377" i="2"/>
  <c r="P377" i="2" s="1"/>
  <c r="Q377" i="2" s="1"/>
  <c r="O386" i="2"/>
  <c r="P386" i="2" s="1"/>
  <c r="Q386" i="2" s="1"/>
  <c r="O510" i="2"/>
  <c r="P510" i="2" s="1"/>
  <c r="Q510" i="2" s="1"/>
  <c r="O533" i="2"/>
  <c r="P533" i="2" s="1"/>
  <c r="Q533" i="2" s="1"/>
  <c r="O290" i="2"/>
  <c r="P290" i="2" s="1"/>
  <c r="Q290" i="2" s="1"/>
  <c r="O379" i="2"/>
  <c r="P379" i="2" s="1"/>
  <c r="Q379" i="2" s="1"/>
  <c r="O516" i="2"/>
  <c r="P516" i="2" s="1"/>
  <c r="Q516" i="2" s="1"/>
  <c r="O708" i="2"/>
  <c r="P708" i="2" s="1"/>
  <c r="Q708" i="2" s="1"/>
  <c r="I2460" i="3"/>
  <c r="B2497" i="3"/>
  <c r="C2497" i="3" s="1"/>
  <c r="B2355" i="3"/>
  <c r="C2355" i="3" s="1"/>
  <c r="F2441" i="3"/>
  <c r="K2441" i="3" s="1"/>
  <c r="J2542" i="3"/>
  <c r="J2182" i="3"/>
  <c r="F2339" i="3"/>
  <c r="K2339" i="3" s="1"/>
  <c r="F2081" i="3"/>
  <c r="K2081" i="3" s="1"/>
  <c r="I2264" i="3"/>
  <c r="G2175" i="3"/>
  <c r="B2272" i="3"/>
  <c r="C2272" i="3" s="1"/>
  <c r="I1986" i="3"/>
  <c r="F2032" i="3"/>
  <c r="K2032" i="3" s="1"/>
  <c r="B1986" i="3"/>
  <c r="C1986" i="3" s="1"/>
  <c r="F2424" i="3"/>
  <c r="K2424" i="3" s="1"/>
  <c r="G2039" i="3"/>
  <c r="F2171" i="3"/>
  <c r="K2171" i="3" s="1"/>
  <c r="G1723" i="3"/>
  <c r="B2076" i="3"/>
  <c r="C2076" i="3" s="1"/>
  <c r="F2000" i="3"/>
  <c r="K2000" i="3" s="1"/>
  <c r="J1778" i="3"/>
  <c r="H2305" i="3"/>
  <c r="G1967" i="3"/>
  <c r="B1974" i="3"/>
  <c r="C1974" i="3" s="1"/>
  <c r="H2323" i="3"/>
  <c r="F2323" i="3"/>
  <c r="K2323" i="3" s="1"/>
  <c r="I2323" i="3"/>
  <c r="B2323" i="3"/>
  <c r="C2323" i="3" s="1"/>
  <c r="F1910" i="3"/>
  <c r="K1910" i="3" s="1"/>
  <c r="J1910" i="3"/>
  <c r="I1910" i="3"/>
  <c r="F2131" i="3"/>
  <c r="K2131" i="3" s="1"/>
  <c r="H2131" i="3"/>
  <c r="G2131" i="3"/>
  <c r="G1966" i="3"/>
  <c r="I1966" i="3"/>
  <c r="J1966" i="3"/>
  <c r="H1966" i="3"/>
  <c r="F1966" i="3"/>
  <c r="K1966" i="3" s="1"/>
  <c r="G2083" i="3"/>
  <c r="I2083" i="3"/>
  <c r="I2385" i="3"/>
  <c r="G2385" i="3"/>
  <c r="J2385" i="3"/>
  <c r="J1930" i="3"/>
  <c r="H1930" i="3"/>
  <c r="F1930" i="3"/>
  <c r="K1930" i="3" s="1"/>
  <c r="H1979" i="3"/>
  <c r="I1979" i="3"/>
  <c r="B1979" i="3"/>
  <c r="C1979" i="3" s="1"/>
  <c r="F1945" i="3"/>
  <c r="K1945" i="3" s="1"/>
  <c r="H1945" i="3"/>
  <c r="J1945" i="3"/>
  <c r="G1945" i="3"/>
  <c r="G1851" i="3"/>
  <c r="J1851" i="3"/>
  <c r="H1851" i="3"/>
  <c r="I1851" i="3"/>
  <c r="F1851" i="3"/>
  <c r="K1851" i="3" s="1"/>
  <c r="G1973" i="3"/>
  <c r="F1973" i="3"/>
  <c r="K1973" i="3" s="1"/>
  <c r="H1973" i="3"/>
  <c r="J1973" i="3"/>
  <c r="I1973" i="3"/>
  <c r="B1973" i="3"/>
  <c r="C1973" i="3" s="1"/>
  <c r="H2223" i="3"/>
  <c r="I2223" i="3"/>
  <c r="J1823" i="3"/>
  <c r="I1823" i="3"/>
  <c r="G1823" i="3"/>
  <c r="H2074" i="3"/>
  <c r="I2074" i="3"/>
  <c r="G2074" i="3"/>
  <c r="B2074" i="3"/>
  <c r="C2074" i="3" s="1"/>
  <c r="J2074" i="3"/>
  <c r="F2074" i="3"/>
  <c r="K2074" i="3" s="1"/>
  <c r="B2106" i="3"/>
  <c r="C2106" i="3" s="1"/>
  <c r="H2106" i="3"/>
  <c r="I2106" i="3"/>
  <c r="G2106" i="3"/>
  <c r="F2106" i="3"/>
  <c r="K2106" i="3" s="1"/>
  <c r="O15" i="2"/>
  <c r="P15" i="2" s="1"/>
  <c r="Q15" i="2" s="1"/>
  <c r="O99" i="2"/>
  <c r="P99" i="2" s="1"/>
  <c r="Q99" i="2" s="1"/>
  <c r="O154" i="2"/>
  <c r="P154" i="2" s="1"/>
  <c r="Q154" i="2" s="1"/>
  <c r="O108" i="2"/>
  <c r="P108" i="2" s="1"/>
  <c r="Q108" i="2" s="1"/>
  <c r="O79" i="2"/>
  <c r="P79" i="2" s="1"/>
  <c r="Q79" i="2" s="1"/>
  <c r="O63" i="2"/>
  <c r="P63" i="2" s="1"/>
  <c r="Q63" i="2" s="1"/>
  <c r="O172" i="2"/>
  <c r="P172" i="2" s="1"/>
  <c r="Q172" i="2" s="1"/>
  <c r="O143" i="2"/>
  <c r="P143" i="2" s="1"/>
  <c r="Q143" i="2" s="1"/>
  <c r="O186" i="2"/>
  <c r="P186" i="2" s="1"/>
  <c r="Q186" i="2" s="1"/>
  <c r="O182" i="2"/>
  <c r="P182" i="2" s="1"/>
  <c r="Q182" i="2" s="1"/>
  <c r="O94" i="2"/>
  <c r="P94" i="2" s="1"/>
  <c r="Q94" i="2" s="1"/>
  <c r="O247" i="2"/>
  <c r="P247" i="2" s="1"/>
  <c r="Q247" i="2" s="1"/>
  <c r="O398" i="2"/>
  <c r="P398" i="2" s="1"/>
  <c r="Q398" i="2" s="1"/>
  <c r="O403" i="2"/>
  <c r="P403" i="2" s="1"/>
  <c r="Q403" i="2" s="1"/>
  <c r="O519" i="2"/>
  <c r="P519" i="2" s="1"/>
  <c r="Q519" i="2" s="1"/>
  <c r="O597" i="2"/>
  <c r="P597" i="2" s="1"/>
  <c r="Q597" i="2" s="1"/>
  <c r="O307" i="2"/>
  <c r="P307" i="2" s="1"/>
  <c r="Q307" i="2" s="1"/>
  <c r="O400" i="2"/>
  <c r="P400" i="2" s="1"/>
  <c r="Q400" i="2" s="1"/>
  <c r="O539" i="2"/>
  <c r="P539" i="2" s="1"/>
  <c r="Q539" i="2" s="1"/>
  <c r="O750" i="2"/>
  <c r="P750" i="2" s="1"/>
  <c r="Q750" i="2" s="1"/>
  <c r="O285" i="2"/>
  <c r="P285" i="2" s="1"/>
  <c r="Q285" i="2" s="1"/>
  <c r="O413" i="2"/>
  <c r="P413" i="2" s="1"/>
  <c r="Q413" i="2" s="1"/>
  <c r="H2376" i="3"/>
  <c r="B2460" i="3"/>
  <c r="C2460" i="3" s="1"/>
  <c r="B2344" i="3"/>
  <c r="C2344" i="3" s="1"/>
  <c r="G2497" i="3"/>
  <c r="J2378" i="3"/>
  <c r="B2338" i="3"/>
  <c r="C2338" i="3" s="1"/>
  <c r="J2509" i="3"/>
  <c r="I2146" i="3"/>
  <c r="H2081" i="3"/>
  <c r="G2264" i="3"/>
  <c r="B2069" i="3"/>
  <c r="C2069" i="3" s="1"/>
  <c r="H2138" i="3"/>
  <c r="B2109" i="3"/>
  <c r="C2109" i="3" s="1"/>
  <c r="I2032" i="3"/>
  <c r="H2089" i="3"/>
  <c r="F2089" i="3"/>
  <c r="K2089" i="3" s="1"/>
  <c r="B2016" i="3"/>
  <c r="C2016" i="3" s="1"/>
  <c r="G2171" i="3"/>
  <c r="B1685" i="3"/>
  <c r="C1685" i="3" s="1"/>
  <c r="I1703" i="3"/>
  <c r="H1809" i="3"/>
  <c r="B2251" i="3"/>
  <c r="C2251" i="3" s="1"/>
  <c r="J2251" i="3"/>
  <c r="G2333" i="3"/>
  <c r="B2333" i="3"/>
  <c r="C2333" i="3" s="1"/>
  <c r="G2183" i="3"/>
  <c r="F2183" i="3"/>
  <c r="K2183" i="3" s="1"/>
  <c r="I2183" i="3"/>
  <c r="H2183" i="3"/>
  <c r="B2183" i="3"/>
  <c r="C2183" i="3" s="1"/>
  <c r="J1927" i="3"/>
  <c r="I1927" i="3"/>
  <c r="G2388" i="3"/>
  <c r="B2388" i="3"/>
  <c r="C2388" i="3" s="1"/>
  <c r="J2388" i="3"/>
  <c r="H2388" i="3"/>
  <c r="F2388" i="3"/>
  <c r="K2388" i="3" s="1"/>
  <c r="H2020" i="3"/>
  <c r="I2020" i="3"/>
  <c r="B1987" i="3"/>
  <c r="C1987" i="3" s="1"/>
  <c r="F1987" i="3"/>
  <c r="K1987" i="3" s="1"/>
  <c r="I1987" i="3"/>
  <c r="G2027" i="3"/>
  <c r="I2027" i="3"/>
  <c r="H2027" i="3"/>
  <c r="H1881" i="3"/>
  <c r="F1881" i="3"/>
  <c r="K1881" i="3" s="1"/>
  <c r="F1962" i="3"/>
  <c r="K1962" i="3" s="1"/>
  <c r="J1962" i="3"/>
  <c r="H1962" i="3"/>
  <c r="G1962" i="3"/>
  <c r="B1962" i="3"/>
  <c r="C1962" i="3" s="1"/>
  <c r="I1962" i="3"/>
  <c r="G1864" i="3"/>
  <c r="F1864" i="3"/>
  <c r="K1864" i="3" s="1"/>
  <c r="F2362" i="3"/>
  <c r="K2362" i="3" s="1"/>
  <c r="I2362" i="3"/>
  <c r="J1988" i="3"/>
  <c r="F1988" i="3"/>
  <c r="K1988" i="3" s="1"/>
  <c r="H2307" i="3"/>
  <c r="G2307" i="3"/>
  <c r="J1866" i="3"/>
  <c r="I1866" i="3"/>
  <c r="H2082" i="3"/>
  <c r="J2082" i="3"/>
  <c r="G2082" i="3"/>
  <c r="I2082" i="3"/>
  <c r="I1952" i="3"/>
  <c r="G1952" i="3"/>
  <c r="O308" i="2"/>
  <c r="P308" i="2" s="1"/>
  <c r="Q308" i="2" s="1"/>
  <c r="O426" i="2"/>
  <c r="P426" i="2" s="1"/>
  <c r="Q426" i="2" s="1"/>
  <c r="O180" i="2"/>
  <c r="P180" i="2" s="1"/>
  <c r="Q180" i="2" s="1"/>
  <c r="O435" i="2"/>
  <c r="P435" i="2" s="1"/>
  <c r="Q435" i="2" s="1"/>
  <c r="O499" i="2"/>
  <c r="P499" i="2" s="1"/>
  <c r="Q499" i="2" s="1"/>
  <c r="O449" i="2"/>
  <c r="P449" i="2" s="1"/>
  <c r="Q449" i="2" s="1"/>
  <c r="O648" i="2"/>
  <c r="P648" i="2" s="1"/>
  <c r="Q648" i="2" s="1"/>
  <c r="O527" i="2"/>
  <c r="P527" i="2" s="1"/>
  <c r="Q527" i="2" s="1"/>
  <c r="O649" i="2"/>
  <c r="P649" i="2" s="1"/>
  <c r="Q649" i="2" s="1"/>
  <c r="O650" i="2"/>
  <c r="P650" i="2" s="1"/>
  <c r="Q650" i="2" s="1"/>
  <c r="O623" i="2"/>
  <c r="P623" i="2" s="1"/>
  <c r="Q623" i="2" s="1"/>
  <c r="O706" i="2"/>
  <c r="P706" i="2" s="1"/>
  <c r="Q706" i="2" s="1"/>
  <c r="O794" i="2"/>
  <c r="P794" i="2" s="1"/>
  <c r="Q794" i="2" s="1"/>
  <c r="O839" i="2"/>
  <c r="P839" i="2" s="1"/>
  <c r="Q839" i="2" s="1"/>
  <c r="O795" i="2"/>
  <c r="P795" i="2" s="1"/>
  <c r="Q795" i="2" s="1"/>
  <c r="O831" i="2"/>
  <c r="P831" i="2" s="1"/>
  <c r="Q831" i="2" s="1"/>
  <c r="O796" i="2"/>
  <c r="P796" i="2" s="1"/>
  <c r="Q796" i="2" s="1"/>
  <c r="O752" i="2"/>
  <c r="P752" i="2" s="1"/>
  <c r="Q752" i="2" s="1"/>
  <c r="O598" i="2"/>
  <c r="P598" i="2" s="1"/>
  <c r="Q598" i="2" s="1"/>
  <c r="O788" i="2"/>
  <c r="P788" i="2" s="1"/>
  <c r="Q788" i="2" s="1"/>
  <c r="O824" i="2"/>
  <c r="P824" i="2" s="1"/>
  <c r="Q824" i="2" s="1"/>
  <c r="O740" i="2"/>
  <c r="P740" i="2" s="1"/>
  <c r="Q740" i="2" s="1"/>
  <c r="O948" i="2"/>
  <c r="P948" i="2" s="1"/>
  <c r="Q948" i="2" s="1"/>
  <c r="O882" i="2"/>
  <c r="P882" i="2" s="1"/>
  <c r="Q882" i="2" s="1"/>
  <c r="B3118" i="3"/>
  <c r="C3118" i="3" s="1"/>
  <c r="I3118" i="3"/>
  <c r="J3118" i="3"/>
  <c r="G3118" i="3"/>
  <c r="H3118" i="3"/>
  <c r="F3118" i="3"/>
  <c r="K3118" i="3" s="1"/>
  <c r="I2945" i="3"/>
  <c r="B2945" i="3"/>
  <c r="C2945" i="3" s="1"/>
  <c r="J2945" i="3"/>
  <c r="F2945" i="3"/>
  <c r="K2945" i="3" s="1"/>
  <c r="H2945" i="3"/>
  <c r="G3000" i="3"/>
  <c r="J3000" i="3"/>
  <c r="F3000" i="3"/>
  <c r="K3000" i="3" s="1"/>
  <c r="H3000" i="3"/>
  <c r="H2876" i="3"/>
  <c r="B2876" i="3"/>
  <c r="C2876" i="3" s="1"/>
  <c r="I2876" i="3"/>
  <c r="G2876" i="3"/>
  <c r="J3085" i="3"/>
  <c r="F3085" i="3"/>
  <c r="K3085" i="3" s="1"/>
  <c r="I3085" i="3"/>
  <c r="B3085" i="3"/>
  <c r="C3085" i="3" s="1"/>
  <c r="H2821" i="3"/>
  <c r="J2821" i="3"/>
  <c r="I2821" i="3"/>
  <c r="I2931" i="3"/>
  <c r="H2931" i="3"/>
  <c r="J2931" i="3"/>
  <c r="B2931" i="3"/>
  <c r="C2931" i="3" s="1"/>
  <c r="H2980" i="3"/>
  <c r="J2980" i="3"/>
  <c r="I2980" i="3"/>
  <c r="J2892" i="3"/>
  <c r="I2892" i="3"/>
  <c r="F2719" i="3"/>
  <c r="K2719" i="3" s="1"/>
  <c r="G2719" i="3"/>
  <c r="J2719" i="3"/>
  <c r="I2719" i="3"/>
  <c r="H2719" i="3"/>
  <c r="G2580" i="3"/>
  <c r="F2580" i="3"/>
  <c r="K2580" i="3" s="1"/>
  <c r="B2580" i="3"/>
  <c r="C2580" i="3" s="1"/>
  <c r="H2580" i="3"/>
  <c r="I2535" i="3"/>
  <c r="J2535" i="3"/>
  <c r="H2535" i="3"/>
  <c r="G2626" i="3"/>
  <c r="J2626" i="3"/>
  <c r="I2626" i="3"/>
  <c r="H2626" i="3"/>
  <c r="F2626" i="3"/>
  <c r="K2626" i="3" s="1"/>
  <c r="B2626" i="3"/>
  <c r="C2626" i="3" s="1"/>
  <c r="F2653" i="3"/>
  <c r="K2653" i="3" s="1"/>
  <c r="G2653" i="3"/>
  <c r="J2653" i="3"/>
  <c r="I2653" i="3"/>
  <c r="H2653" i="3"/>
  <c r="G2499" i="3"/>
  <c r="B2499" i="3"/>
  <c r="C2499" i="3" s="1"/>
  <c r="I2950" i="3"/>
  <c r="J2950" i="3"/>
  <c r="G2950" i="3"/>
  <c r="F2950" i="3"/>
  <c r="K2950" i="3" s="1"/>
  <c r="G2614" i="3"/>
  <c r="I2614" i="3"/>
  <c r="B2470" i="3"/>
  <c r="C2470" i="3" s="1"/>
  <c r="I2470" i="3"/>
  <c r="J2470" i="3"/>
  <c r="H2470" i="3"/>
  <c r="G2470" i="3"/>
  <c r="F2470" i="3"/>
  <c r="K2470" i="3" s="1"/>
  <c r="B2516" i="3"/>
  <c r="C2516" i="3" s="1"/>
  <c r="J2516" i="3"/>
  <c r="H2516" i="3"/>
  <c r="F2516" i="3"/>
  <c r="K2516" i="3" s="1"/>
  <c r="J3076" i="3"/>
  <c r="H3076" i="3"/>
  <c r="B3076" i="3"/>
  <c r="C3076" i="3" s="1"/>
  <c r="G3076" i="3"/>
  <c r="I3076" i="3"/>
  <c r="F3076" i="3"/>
  <c r="K3076" i="3" s="1"/>
  <c r="J2678" i="3"/>
  <c r="G2678" i="3"/>
  <c r="H2678" i="3"/>
  <c r="F2678" i="3"/>
  <c r="K2678" i="3" s="1"/>
  <c r="O557" i="2"/>
  <c r="P557" i="2" s="1"/>
  <c r="Q557" i="2" s="1"/>
  <c r="O434" i="2"/>
  <c r="P434" i="2" s="1"/>
  <c r="Q434" i="2" s="1"/>
  <c r="O329" i="2"/>
  <c r="P329" i="2" s="1"/>
  <c r="Q329" i="2" s="1"/>
  <c r="O448" i="2"/>
  <c r="P448" i="2" s="1"/>
  <c r="Q448" i="2" s="1"/>
  <c r="O184" i="2"/>
  <c r="P184" i="2" s="1"/>
  <c r="Q184" i="2" s="1"/>
  <c r="O453" i="2"/>
  <c r="P453" i="2" s="1"/>
  <c r="Q453" i="2" s="1"/>
  <c r="O508" i="2"/>
  <c r="P508" i="2" s="1"/>
  <c r="Q508" i="2" s="1"/>
  <c r="O522" i="2"/>
  <c r="P522" i="2" s="1"/>
  <c r="Q522" i="2" s="1"/>
  <c r="O221" i="2"/>
  <c r="P221" i="2" s="1"/>
  <c r="Q221" i="2" s="1"/>
  <c r="O536" i="2"/>
  <c r="P536" i="2" s="1"/>
  <c r="Q536" i="2" s="1"/>
  <c r="O663" i="2"/>
  <c r="P663" i="2" s="1"/>
  <c r="Q663" i="2" s="1"/>
  <c r="O690" i="2"/>
  <c r="P690" i="2" s="1"/>
  <c r="Q690" i="2" s="1"/>
  <c r="O637" i="2"/>
  <c r="P637" i="2" s="1"/>
  <c r="Q637" i="2" s="1"/>
  <c r="O736" i="2"/>
  <c r="P736" i="2" s="1"/>
  <c r="Q736" i="2" s="1"/>
  <c r="O825" i="2"/>
  <c r="P825" i="2" s="1"/>
  <c r="Q825" i="2" s="1"/>
  <c r="O848" i="2"/>
  <c r="P848" i="2" s="1"/>
  <c r="Q848" i="2" s="1"/>
  <c r="O804" i="2"/>
  <c r="P804" i="2" s="1"/>
  <c r="Q804" i="2" s="1"/>
  <c r="O840" i="2"/>
  <c r="P840" i="2" s="1"/>
  <c r="Q840" i="2" s="1"/>
  <c r="O827" i="2"/>
  <c r="P827" i="2" s="1"/>
  <c r="Q827" i="2" s="1"/>
  <c r="O783" i="2"/>
  <c r="P783" i="2" s="1"/>
  <c r="Q783" i="2" s="1"/>
  <c r="O602" i="2"/>
  <c r="P602" i="2" s="1"/>
  <c r="Q602" i="2" s="1"/>
  <c r="O819" i="2"/>
  <c r="P819" i="2" s="1"/>
  <c r="Q819" i="2" s="1"/>
  <c r="O860" i="2"/>
  <c r="P860" i="2" s="1"/>
  <c r="Q860" i="2" s="1"/>
  <c r="O771" i="2"/>
  <c r="P771" i="2" s="1"/>
  <c r="Q771" i="2" s="1"/>
  <c r="O885" i="2"/>
  <c r="P885" i="2" s="1"/>
  <c r="Q885" i="2" s="1"/>
  <c r="O903" i="2"/>
  <c r="P903" i="2" s="1"/>
  <c r="Q903" i="2" s="1"/>
  <c r="B3110" i="3"/>
  <c r="C3110" i="3" s="1"/>
  <c r="I3110" i="3"/>
  <c r="H2867" i="3"/>
  <c r="J2867" i="3"/>
  <c r="I2867" i="3"/>
  <c r="J3012" i="3"/>
  <c r="I3012" i="3"/>
  <c r="G3012" i="3"/>
  <c r="I2800" i="3"/>
  <c r="J2800" i="3"/>
  <c r="G2800" i="3"/>
  <c r="H2800" i="3"/>
  <c r="F2800" i="3"/>
  <c r="K2800" i="3" s="1"/>
  <c r="B2822" i="3"/>
  <c r="C2822" i="3" s="1"/>
  <c r="G2822" i="3"/>
  <c r="B3138" i="3"/>
  <c r="C3138" i="3" s="1"/>
  <c r="H3138" i="3"/>
  <c r="F3138" i="3"/>
  <c r="K3138" i="3" s="1"/>
  <c r="J3138" i="3"/>
  <c r="I3138" i="3"/>
  <c r="G3138" i="3"/>
  <c r="H2605" i="3"/>
  <c r="J2605" i="3"/>
  <c r="I2605" i="3"/>
  <c r="F2605" i="3"/>
  <c r="K2605" i="3" s="1"/>
  <c r="J2676" i="3"/>
  <c r="G2676" i="3"/>
  <c r="F2676" i="3"/>
  <c r="K2676" i="3" s="1"/>
  <c r="B2670" i="3"/>
  <c r="C2670" i="3" s="1"/>
  <c r="H2670" i="3"/>
  <c r="G2670" i="3"/>
  <c r="F2670" i="3"/>
  <c r="K2670" i="3" s="1"/>
  <c r="J2670" i="3"/>
  <c r="I2670" i="3"/>
  <c r="H2582" i="3"/>
  <c r="G2582" i="3"/>
  <c r="F2582" i="3"/>
  <c r="K2582" i="3" s="1"/>
  <c r="B2582" i="3"/>
  <c r="C2582" i="3" s="1"/>
  <c r="J2582" i="3"/>
  <c r="I2582" i="3"/>
  <c r="B2621" i="3"/>
  <c r="C2621" i="3" s="1"/>
  <c r="I2621" i="3"/>
  <c r="J2559" i="3"/>
  <c r="B2559" i="3"/>
  <c r="C2559" i="3" s="1"/>
  <c r="I2559" i="3"/>
  <c r="H2559" i="3"/>
  <c r="G2559" i="3"/>
  <c r="F2559" i="3"/>
  <c r="K2559" i="3" s="1"/>
  <c r="F2623" i="3"/>
  <c r="K2623" i="3" s="1"/>
  <c r="B2623" i="3"/>
  <c r="C2623" i="3" s="1"/>
  <c r="B2734" i="3"/>
  <c r="C2734" i="3" s="1"/>
  <c r="F2734" i="3"/>
  <c r="K2734" i="3" s="1"/>
  <c r="H2716" i="3"/>
  <c r="F2716" i="3"/>
  <c r="K2716" i="3" s="1"/>
  <c r="B2716" i="3"/>
  <c r="C2716" i="3" s="1"/>
  <c r="O399" i="2"/>
  <c r="P399" i="2" s="1"/>
  <c r="Q399" i="2" s="1"/>
  <c r="O277" i="2"/>
  <c r="P277" i="2" s="1"/>
  <c r="Q277" i="2" s="1"/>
  <c r="O353" i="2"/>
  <c r="P353" i="2" s="1"/>
  <c r="Q353" i="2" s="1"/>
  <c r="O387" i="2"/>
  <c r="P387" i="2" s="1"/>
  <c r="Q387" i="2" s="1"/>
  <c r="O465" i="2"/>
  <c r="P465" i="2" s="1"/>
  <c r="Q465" i="2" s="1"/>
  <c r="O624" i="2"/>
  <c r="P624" i="2" s="1"/>
  <c r="Q624" i="2" s="1"/>
  <c r="O452" i="2"/>
  <c r="P452" i="2" s="1"/>
  <c r="Q452" i="2" s="1"/>
  <c r="O350" i="2"/>
  <c r="P350" i="2" s="1"/>
  <c r="Q350" i="2" s="1"/>
  <c r="O521" i="2"/>
  <c r="P521" i="2" s="1"/>
  <c r="Q521" i="2" s="1"/>
  <c r="O188" i="2"/>
  <c r="P188" i="2" s="1"/>
  <c r="Q188" i="2" s="1"/>
  <c r="O485" i="2"/>
  <c r="P485" i="2" s="1"/>
  <c r="Q485" i="2" s="1"/>
  <c r="O531" i="2"/>
  <c r="P531" i="2" s="1"/>
  <c r="Q531" i="2" s="1"/>
  <c r="O554" i="2"/>
  <c r="P554" i="2" s="1"/>
  <c r="Q554" i="2" s="1"/>
  <c r="O242" i="2"/>
  <c r="P242" i="2" s="1"/>
  <c r="Q242" i="2" s="1"/>
  <c r="O550" i="2"/>
  <c r="P550" i="2" s="1"/>
  <c r="Q550" i="2" s="1"/>
  <c r="O678" i="2"/>
  <c r="P678" i="2" s="1"/>
  <c r="Q678" i="2" s="1"/>
  <c r="O741" i="2"/>
  <c r="P741" i="2" s="1"/>
  <c r="Q741" i="2" s="1"/>
  <c r="O711" i="2"/>
  <c r="P711" i="2" s="1"/>
  <c r="Q711" i="2" s="1"/>
  <c r="O687" i="2"/>
  <c r="P687" i="2" s="1"/>
  <c r="Q687" i="2" s="1"/>
  <c r="O834" i="2"/>
  <c r="P834" i="2" s="1"/>
  <c r="Q834" i="2" s="1"/>
  <c r="O857" i="2"/>
  <c r="P857" i="2" s="1"/>
  <c r="Q857" i="2" s="1"/>
  <c r="O835" i="2"/>
  <c r="P835" i="2" s="1"/>
  <c r="Q835" i="2" s="1"/>
  <c r="O858" i="2"/>
  <c r="P858" i="2" s="1"/>
  <c r="Q858" i="2" s="1"/>
  <c r="O836" i="2"/>
  <c r="P836" i="2" s="1"/>
  <c r="Q836" i="2" s="1"/>
  <c r="O792" i="2"/>
  <c r="P792" i="2" s="1"/>
  <c r="Q792" i="2" s="1"/>
  <c r="O606" i="2"/>
  <c r="P606" i="2" s="1"/>
  <c r="Q606" i="2" s="1"/>
  <c r="O828" i="2"/>
  <c r="P828" i="2" s="1"/>
  <c r="Q828" i="2" s="1"/>
  <c r="O672" i="2"/>
  <c r="P672" i="2" s="1"/>
  <c r="Q672" i="2" s="1"/>
  <c r="O780" i="2"/>
  <c r="P780" i="2" s="1"/>
  <c r="Q780" i="2" s="1"/>
  <c r="O855" i="2"/>
  <c r="P855" i="2" s="1"/>
  <c r="Q855" i="2" s="1"/>
  <c r="O902" i="2"/>
  <c r="P902" i="2" s="1"/>
  <c r="Q902" i="2" s="1"/>
  <c r="O924" i="2"/>
  <c r="P924" i="2" s="1"/>
  <c r="Q924" i="2" s="1"/>
  <c r="B2898" i="3"/>
  <c r="C2898" i="3" s="1"/>
  <c r="J2898" i="3"/>
  <c r="I2898" i="3"/>
  <c r="G2898" i="3"/>
  <c r="H2898" i="3"/>
  <c r="F2898" i="3"/>
  <c r="K2898" i="3" s="1"/>
  <c r="F2977" i="3"/>
  <c r="K2977" i="3" s="1"/>
  <c r="G2977" i="3"/>
  <c r="I2812" i="3"/>
  <c r="J2812" i="3"/>
  <c r="H2801" i="3"/>
  <c r="J2801" i="3"/>
  <c r="I2801" i="3"/>
  <c r="H2864" i="3"/>
  <c r="J2864" i="3"/>
  <c r="G2864" i="3"/>
  <c r="I2864" i="3"/>
  <c r="F2864" i="3"/>
  <c r="K2864" i="3" s="1"/>
  <c r="B2864" i="3"/>
  <c r="C2864" i="3" s="1"/>
  <c r="J3057" i="3"/>
  <c r="F3057" i="3"/>
  <c r="K3057" i="3" s="1"/>
  <c r="G3057" i="3"/>
  <c r="H3057" i="3"/>
  <c r="B3057" i="3"/>
  <c r="C3057" i="3" s="1"/>
  <c r="F2794" i="3"/>
  <c r="K2794" i="3" s="1"/>
  <c r="J2794" i="3"/>
  <c r="B2794" i="3"/>
  <c r="C2794" i="3" s="1"/>
  <c r="F2836" i="3"/>
  <c r="K2836" i="3" s="1"/>
  <c r="G2836" i="3"/>
  <c r="H3142" i="3"/>
  <c r="J3142" i="3"/>
  <c r="F3142" i="3"/>
  <c r="K3142" i="3" s="1"/>
  <c r="J2806" i="3"/>
  <c r="H2806" i="3"/>
  <c r="G2806" i="3"/>
  <c r="F2806" i="3"/>
  <c r="K2806" i="3" s="1"/>
  <c r="I2806" i="3"/>
  <c r="B2806" i="3"/>
  <c r="C2806" i="3" s="1"/>
  <c r="I2617" i="3"/>
  <c r="J2617" i="3"/>
  <c r="F2617" i="3"/>
  <c r="K2617" i="3" s="1"/>
  <c r="B2740" i="3"/>
  <c r="C2740" i="3" s="1"/>
  <c r="J2740" i="3"/>
  <c r="H2740" i="3"/>
  <c r="F2740" i="3"/>
  <c r="K2740" i="3" s="1"/>
  <c r="I2740" i="3"/>
  <c r="G2740" i="3"/>
  <c r="J2566" i="3"/>
  <c r="I2566" i="3"/>
  <c r="H2566" i="3"/>
  <c r="G2566" i="3"/>
  <c r="F2566" i="3"/>
  <c r="K2566" i="3" s="1"/>
  <c r="B2566" i="3"/>
  <c r="C2566" i="3" s="1"/>
  <c r="F2652" i="3"/>
  <c r="K2652" i="3" s="1"/>
  <c r="B2652" i="3"/>
  <c r="C2652" i="3" s="1"/>
  <c r="G2742" i="3"/>
  <c r="J2742" i="3"/>
  <c r="B2742" i="3"/>
  <c r="C2742" i="3" s="1"/>
  <c r="B2708" i="3"/>
  <c r="C2708" i="3" s="1"/>
  <c r="H2708" i="3"/>
  <c r="G2708" i="3"/>
  <c r="F2708" i="3"/>
  <c r="K2708" i="3" s="1"/>
  <c r="J2708" i="3"/>
  <c r="I2708" i="3"/>
  <c r="B2744" i="3"/>
  <c r="C2744" i="3" s="1"/>
  <c r="I2744" i="3"/>
  <c r="B2588" i="3"/>
  <c r="C2588" i="3" s="1"/>
  <c r="J2588" i="3"/>
  <c r="H2588" i="3"/>
  <c r="G2588" i="3"/>
  <c r="F2588" i="3"/>
  <c r="K2588" i="3" s="1"/>
  <c r="H2662" i="3"/>
  <c r="J2662" i="3"/>
  <c r="F2543" i="3"/>
  <c r="K2543" i="3" s="1"/>
  <c r="B2543" i="3"/>
  <c r="C2543" i="3" s="1"/>
  <c r="G2543" i="3"/>
  <c r="I2568" i="3"/>
  <c r="G2568" i="3"/>
  <c r="J2568" i="3"/>
  <c r="H2568" i="3"/>
  <c r="F2739" i="3"/>
  <c r="K2739" i="3" s="1"/>
  <c r="J2739" i="3"/>
  <c r="I2739" i="3"/>
  <c r="H2739" i="3"/>
  <c r="G2739" i="3"/>
  <c r="H3095" i="3"/>
  <c r="J3095" i="3"/>
  <c r="I3095" i="3"/>
  <c r="B3095" i="3"/>
  <c r="C3095" i="3" s="1"/>
  <c r="F3095" i="3"/>
  <c r="K3095" i="3" s="1"/>
  <c r="I2889" i="3"/>
  <c r="G2889" i="3"/>
  <c r="B2889" i="3"/>
  <c r="C2889" i="3" s="1"/>
  <c r="H2889" i="3"/>
  <c r="J2889" i="3"/>
  <c r="F2889" i="3"/>
  <c r="K2889" i="3" s="1"/>
  <c r="G2936" i="3"/>
  <c r="F2936" i="3"/>
  <c r="K2936" i="3" s="1"/>
  <c r="G2807" i="3"/>
  <c r="I2807" i="3"/>
  <c r="B2807" i="3"/>
  <c r="C2807" i="3" s="1"/>
  <c r="H2807" i="3"/>
  <c r="J2869" i="3"/>
  <c r="H2869" i="3"/>
  <c r="F2869" i="3"/>
  <c r="K2869" i="3" s="1"/>
  <c r="G2869" i="3"/>
  <c r="I2869" i="3"/>
  <c r="B2869" i="3"/>
  <c r="C2869" i="3" s="1"/>
  <c r="H2959" i="3"/>
  <c r="I2959" i="3"/>
  <c r="J2959" i="3"/>
  <c r="B2959" i="3"/>
  <c r="C2959" i="3" s="1"/>
  <c r="F2959" i="3"/>
  <c r="K2959" i="3" s="1"/>
  <c r="G3063" i="3"/>
  <c r="F3063" i="3"/>
  <c r="K3063" i="3" s="1"/>
  <c r="H3063" i="3"/>
  <c r="B3063" i="3"/>
  <c r="C3063" i="3" s="1"/>
  <c r="H2960" i="3"/>
  <c r="J2960" i="3"/>
  <c r="I2960" i="3"/>
  <c r="F2779" i="3"/>
  <c r="K2779" i="3" s="1"/>
  <c r="J2779" i="3"/>
  <c r="H2779" i="3"/>
  <c r="I2779" i="3"/>
  <c r="G2779" i="3"/>
  <c r="I2826" i="3"/>
  <c r="G2826" i="3"/>
  <c r="J2826" i="3"/>
  <c r="H2826" i="3"/>
  <c r="B2826" i="3"/>
  <c r="C2826" i="3" s="1"/>
  <c r="F2826" i="3"/>
  <c r="K2826" i="3" s="1"/>
  <c r="J2635" i="3"/>
  <c r="B2635" i="3"/>
  <c r="C2635" i="3" s="1"/>
  <c r="H2625" i="3"/>
  <c r="B2625" i="3"/>
  <c r="C2625" i="3" s="1"/>
  <c r="I2625" i="3"/>
  <c r="G2625" i="3"/>
  <c r="F2625" i="3"/>
  <c r="K2625" i="3" s="1"/>
  <c r="J2602" i="3"/>
  <c r="I2602" i="3"/>
  <c r="H2602" i="3"/>
  <c r="G2602" i="3"/>
  <c r="F2602" i="3"/>
  <c r="K2602" i="3" s="1"/>
  <c r="B2602" i="3"/>
  <c r="C2602" i="3" s="1"/>
  <c r="I2666" i="3"/>
  <c r="H2666" i="3"/>
  <c r="G2666" i="3"/>
  <c r="F2666" i="3"/>
  <c r="K2666" i="3" s="1"/>
  <c r="B2666" i="3"/>
  <c r="C2666" i="3" s="1"/>
  <c r="J2666" i="3"/>
  <c r="J2835" i="3"/>
  <c r="B2835" i="3"/>
  <c r="C2835" i="3" s="1"/>
  <c r="J2947" i="3"/>
  <c r="H2947" i="3"/>
  <c r="F2947" i="3"/>
  <c r="K2947" i="3" s="1"/>
  <c r="I2947" i="3"/>
  <c r="G2947" i="3"/>
  <c r="B2947" i="3"/>
  <c r="C2947" i="3" s="1"/>
  <c r="J2557" i="3"/>
  <c r="F2557" i="3"/>
  <c r="K2557" i="3" s="1"/>
  <c r="B2557" i="3"/>
  <c r="C2557" i="3" s="1"/>
  <c r="J2591" i="3"/>
  <c r="I2591" i="3"/>
  <c r="H2591" i="3"/>
  <c r="F2591" i="3"/>
  <c r="K2591" i="3" s="1"/>
  <c r="J2668" i="3"/>
  <c r="H2668" i="3"/>
  <c r="G2668" i="3"/>
  <c r="F2668" i="3"/>
  <c r="K2668" i="3" s="1"/>
  <c r="B2668" i="3"/>
  <c r="C2668" i="3" s="1"/>
  <c r="I2668" i="3"/>
  <c r="G2574" i="3"/>
  <c r="B2574" i="3"/>
  <c r="C2574" i="3" s="1"/>
  <c r="J2574" i="3"/>
  <c r="I2574" i="3"/>
  <c r="H2574" i="3"/>
  <c r="F2574" i="3"/>
  <c r="K2574" i="3" s="1"/>
  <c r="F2598" i="3"/>
  <c r="K2598" i="3" s="1"/>
  <c r="H2598" i="3"/>
  <c r="I2598" i="3"/>
  <c r="J2674" i="3"/>
  <c r="B2674" i="3"/>
  <c r="C2674" i="3" s="1"/>
  <c r="H2674" i="3"/>
  <c r="O571" i="2"/>
  <c r="P571" i="2" s="1"/>
  <c r="Q571" i="2" s="1"/>
  <c r="O215" i="2"/>
  <c r="P215" i="2" s="1"/>
  <c r="Q215" i="2" s="1"/>
  <c r="O475" i="2"/>
  <c r="P475" i="2" s="1"/>
  <c r="Q475" i="2" s="1"/>
  <c r="O388" i="2"/>
  <c r="P388" i="2" s="1"/>
  <c r="Q388" i="2" s="1"/>
  <c r="O558" i="2"/>
  <c r="P558" i="2" s="1"/>
  <c r="Q558" i="2" s="1"/>
  <c r="O196" i="2"/>
  <c r="P196" i="2" s="1"/>
  <c r="Q196" i="2" s="1"/>
  <c r="O549" i="2"/>
  <c r="P549" i="2" s="1"/>
  <c r="Q549" i="2" s="1"/>
  <c r="O568" i="2"/>
  <c r="P568" i="2" s="1"/>
  <c r="Q568" i="2" s="1"/>
  <c r="O607" i="2"/>
  <c r="P607" i="2" s="1"/>
  <c r="Q607" i="2" s="1"/>
  <c r="O280" i="2"/>
  <c r="P280" i="2" s="1"/>
  <c r="Q280" i="2" s="1"/>
  <c r="O584" i="2"/>
  <c r="P584" i="2" s="1"/>
  <c r="Q584" i="2" s="1"/>
  <c r="O616" i="2"/>
  <c r="P616" i="2" s="1"/>
  <c r="Q616" i="2" s="1"/>
  <c r="O821" i="2"/>
  <c r="P821" i="2" s="1"/>
  <c r="Q821" i="2" s="1"/>
  <c r="O443" i="2"/>
  <c r="P443" i="2" s="1"/>
  <c r="Q443" i="2" s="1"/>
  <c r="O807" i="2"/>
  <c r="P807" i="2" s="1"/>
  <c r="Q807" i="2" s="1"/>
  <c r="O866" i="2"/>
  <c r="P866" i="2" s="1"/>
  <c r="Q866" i="2" s="1"/>
  <c r="O883" i="2"/>
  <c r="P883" i="2" s="1"/>
  <c r="Q883" i="2" s="1"/>
  <c r="O867" i="2"/>
  <c r="P867" i="2" s="1"/>
  <c r="Q867" i="2" s="1"/>
  <c r="O890" i="2"/>
  <c r="P890" i="2" s="1"/>
  <c r="Q890" i="2" s="1"/>
  <c r="O879" i="2"/>
  <c r="P879" i="2" s="1"/>
  <c r="Q879" i="2" s="1"/>
  <c r="O832" i="2"/>
  <c r="O614" i="2"/>
  <c r="P614" i="2" s="1"/>
  <c r="Q614" i="2" s="1"/>
  <c r="O722" i="2"/>
  <c r="P722" i="2" s="1"/>
  <c r="Q722" i="2" s="1"/>
  <c r="O714" i="2"/>
  <c r="P714" i="2" s="1"/>
  <c r="Q714" i="2" s="1"/>
  <c r="O820" i="2"/>
  <c r="P820" i="2" s="1"/>
  <c r="Q820" i="2" s="1"/>
  <c r="O880" i="2"/>
  <c r="P880" i="2" s="1"/>
  <c r="Q880" i="2" s="1"/>
  <c r="O899" i="2"/>
  <c r="P899" i="2" s="1"/>
  <c r="Q899" i="2" s="1"/>
  <c r="H3055" i="3"/>
  <c r="J3055" i="3"/>
  <c r="I3055" i="3"/>
  <c r="B3055" i="3"/>
  <c r="C3055" i="3" s="1"/>
  <c r="F3055" i="3"/>
  <c r="K3055" i="3" s="1"/>
  <c r="H2741" i="3"/>
  <c r="J2741" i="3"/>
  <c r="I2741" i="3"/>
  <c r="I2911" i="3"/>
  <c r="J2911" i="3"/>
  <c r="B2911" i="3"/>
  <c r="C2911" i="3" s="1"/>
  <c r="H2911" i="3"/>
  <c r="F3100" i="3"/>
  <c r="K3100" i="3" s="1"/>
  <c r="B3100" i="3"/>
  <c r="C3100" i="3" s="1"/>
  <c r="I3100" i="3"/>
  <c r="J3100" i="3"/>
  <c r="H3100" i="3"/>
  <c r="H3135" i="3"/>
  <c r="B3135" i="3"/>
  <c r="C3135" i="3" s="1"/>
  <c r="J3135" i="3"/>
  <c r="F3135" i="3"/>
  <c r="K3135" i="3" s="1"/>
  <c r="I3135" i="3"/>
  <c r="J2810" i="3"/>
  <c r="F2810" i="3"/>
  <c r="K2810" i="3" s="1"/>
  <c r="H2810" i="3"/>
  <c r="B2810" i="3"/>
  <c r="C2810" i="3" s="1"/>
  <c r="I2810" i="3"/>
  <c r="G2810" i="3"/>
  <c r="B2975" i="3"/>
  <c r="C2975" i="3" s="1"/>
  <c r="F2975" i="3"/>
  <c r="K2975" i="3" s="1"/>
  <c r="H2975" i="3"/>
  <c r="G3071" i="3"/>
  <c r="J3071" i="3"/>
  <c r="B3071" i="3"/>
  <c r="C3071" i="3" s="1"/>
  <c r="F3071" i="3"/>
  <c r="K3071" i="3" s="1"/>
  <c r="I3071" i="3"/>
  <c r="I2987" i="3"/>
  <c r="F2987" i="3"/>
  <c r="K2987" i="3" s="1"/>
  <c r="G2987" i="3"/>
  <c r="B2987" i="3"/>
  <c r="C2987" i="3" s="1"/>
  <c r="H2987" i="3"/>
  <c r="J2987" i="3"/>
  <c r="I2772" i="3"/>
  <c r="J2772" i="3"/>
  <c r="F3086" i="3"/>
  <c r="K3086" i="3" s="1"/>
  <c r="J3086" i="3"/>
  <c r="G3086" i="3"/>
  <c r="B2938" i="3"/>
  <c r="C2938" i="3" s="1"/>
  <c r="J2938" i="3"/>
  <c r="H2938" i="3"/>
  <c r="F2938" i="3"/>
  <c r="K2938" i="3" s="1"/>
  <c r="I2938" i="3"/>
  <c r="G2938" i="3"/>
  <c r="J2669" i="3"/>
  <c r="I2669" i="3"/>
  <c r="H2669" i="3"/>
  <c r="G2669" i="3"/>
  <c r="F2669" i="3"/>
  <c r="K2669" i="3" s="1"/>
  <c r="B2669" i="3"/>
  <c r="C2669" i="3" s="1"/>
  <c r="I2675" i="3"/>
  <c r="G2675" i="3"/>
  <c r="J2675" i="3"/>
  <c r="H2675" i="3"/>
  <c r="B2675" i="3"/>
  <c r="C2675" i="3" s="1"/>
  <c r="I2965" i="3"/>
  <c r="B2965" i="3"/>
  <c r="C2965" i="3" s="1"/>
  <c r="H2965" i="3"/>
  <c r="J2965" i="3"/>
  <c r="F2965" i="3"/>
  <c r="K2965" i="3" s="1"/>
  <c r="J2606" i="3"/>
  <c r="B2606" i="3"/>
  <c r="C2606" i="3" s="1"/>
  <c r="F2682" i="3"/>
  <c r="K2682" i="3" s="1"/>
  <c r="J2682" i="3"/>
  <c r="H2682" i="3"/>
  <c r="I2682" i="3"/>
  <c r="B2682" i="3"/>
  <c r="C2682" i="3" s="1"/>
  <c r="F2850" i="3"/>
  <c r="K2850" i="3" s="1"/>
  <c r="G2850" i="3"/>
  <c r="J2672" i="3"/>
  <c r="B2672" i="3"/>
  <c r="C2672" i="3" s="1"/>
  <c r="F2672" i="3"/>
  <c r="K2672" i="3" s="1"/>
  <c r="H2633" i="3"/>
  <c r="I2633" i="3"/>
  <c r="G2633" i="3"/>
  <c r="J2633" i="3"/>
  <c r="G2710" i="3"/>
  <c r="F2710" i="3"/>
  <c r="K2710" i="3" s="1"/>
  <c r="I2710" i="3"/>
  <c r="J2710" i="3"/>
  <c r="B2710" i="3"/>
  <c r="C2710" i="3" s="1"/>
  <c r="H2710" i="3"/>
  <c r="F2759" i="3"/>
  <c r="K2759" i="3" s="1"/>
  <c r="J2759" i="3"/>
  <c r="H2759" i="3"/>
  <c r="G2759" i="3"/>
  <c r="I2759" i="3"/>
  <c r="O455" i="2"/>
  <c r="P455" i="2" s="1"/>
  <c r="Q455" i="2" s="1"/>
  <c r="O336" i="2"/>
  <c r="P336" i="2" s="1"/>
  <c r="Q336" i="2" s="1"/>
  <c r="O412" i="2"/>
  <c r="P412" i="2" s="1"/>
  <c r="Q412" i="2" s="1"/>
  <c r="O442" i="2"/>
  <c r="P442" i="2" s="1"/>
  <c r="Q442" i="2" s="1"/>
  <c r="O592" i="2"/>
  <c r="P592" i="2" s="1"/>
  <c r="Q592" i="2" s="1"/>
  <c r="O236" i="2"/>
  <c r="P236" i="2" s="1"/>
  <c r="Q236" i="2" s="1"/>
  <c r="O484" i="2"/>
  <c r="P484" i="2" s="1"/>
  <c r="Q484" i="2" s="1"/>
  <c r="O409" i="2"/>
  <c r="P409" i="2" s="1"/>
  <c r="Q409" i="2" s="1"/>
  <c r="O588" i="2"/>
  <c r="P588" i="2" s="1"/>
  <c r="Q588" i="2" s="1"/>
  <c r="O200" i="2"/>
  <c r="P200" i="2" s="1"/>
  <c r="Q200" i="2" s="1"/>
  <c r="O583" i="2"/>
  <c r="P583" i="2" s="1"/>
  <c r="Q583" i="2" s="1"/>
  <c r="O573" i="2"/>
  <c r="P573" i="2" s="1"/>
  <c r="Q573" i="2" s="1"/>
  <c r="O225" i="2"/>
  <c r="P225" i="2" s="1"/>
  <c r="Q225" i="2" s="1"/>
  <c r="O301" i="2"/>
  <c r="P301" i="2" s="1"/>
  <c r="Q301" i="2" s="1"/>
  <c r="O664" i="2"/>
  <c r="P664" i="2" s="1"/>
  <c r="Q664" i="2" s="1"/>
  <c r="O635" i="2"/>
  <c r="P635" i="2" s="1"/>
  <c r="Q635" i="2" s="1"/>
  <c r="O830" i="2"/>
  <c r="P830" i="2" s="1"/>
  <c r="Q830" i="2" s="1"/>
  <c r="O483" i="2"/>
  <c r="P483" i="2" s="1"/>
  <c r="Q483" i="2" s="1"/>
  <c r="O816" i="2"/>
  <c r="P816" i="2" s="1"/>
  <c r="Q816" i="2" s="1"/>
  <c r="O871" i="2"/>
  <c r="P871" i="2" s="1"/>
  <c r="Q871" i="2" s="1"/>
  <c r="O661" i="2"/>
  <c r="P661" i="2" s="1"/>
  <c r="Q661" i="2" s="1"/>
  <c r="O872" i="2"/>
  <c r="P872" i="2" s="1"/>
  <c r="Q872" i="2" s="1"/>
  <c r="O921" i="2"/>
  <c r="P921" i="2" s="1"/>
  <c r="Q921" i="2" s="1"/>
  <c r="O864" i="2"/>
  <c r="P864" i="2" s="1"/>
  <c r="Q864" i="2" s="1"/>
  <c r="O618" i="2"/>
  <c r="P618" i="2" s="1"/>
  <c r="Q618" i="2" s="1"/>
  <c r="O757" i="2"/>
  <c r="P757" i="2" s="1"/>
  <c r="Q757" i="2" s="1"/>
  <c r="O753" i="2"/>
  <c r="P753" i="2" s="1"/>
  <c r="Q753" i="2" s="1"/>
  <c r="O851" i="2"/>
  <c r="P851" i="2" s="1"/>
  <c r="Q851" i="2" s="1"/>
  <c r="O901" i="2"/>
  <c r="P901" i="2" s="1"/>
  <c r="Q901" i="2" s="1"/>
  <c r="O965" i="2"/>
  <c r="P965" i="2" s="1"/>
  <c r="Q965" i="2" s="1"/>
  <c r="G3111" i="3"/>
  <c r="H3111" i="3"/>
  <c r="J3111" i="3"/>
  <c r="I3111" i="3"/>
  <c r="B3111" i="3"/>
  <c r="C3111" i="3" s="1"/>
  <c r="F3111" i="3"/>
  <c r="K3111" i="3" s="1"/>
  <c r="G3043" i="3"/>
  <c r="H3043" i="3"/>
  <c r="B3043" i="3"/>
  <c r="C3043" i="3" s="1"/>
  <c r="F3043" i="3"/>
  <c r="K3043" i="3" s="1"/>
  <c r="J3043" i="3"/>
  <c r="B3116" i="3"/>
  <c r="C3116" i="3" s="1"/>
  <c r="I3116" i="3"/>
  <c r="G3116" i="3"/>
  <c r="H3116" i="3"/>
  <c r="F3116" i="3"/>
  <c r="K3116" i="3" s="1"/>
  <c r="J3116" i="3"/>
  <c r="B2860" i="3"/>
  <c r="C2860" i="3" s="1"/>
  <c r="I2860" i="3"/>
  <c r="H2860" i="3"/>
  <c r="J2860" i="3"/>
  <c r="G2827" i="3"/>
  <c r="I2827" i="3"/>
  <c r="H2827" i="3"/>
  <c r="B2827" i="3"/>
  <c r="C2827" i="3" s="1"/>
  <c r="H3044" i="3"/>
  <c r="B3044" i="3"/>
  <c r="C3044" i="3" s="1"/>
  <c r="F3014" i="3"/>
  <c r="K3014" i="3" s="1"/>
  <c r="G3014" i="3"/>
  <c r="H3014" i="3"/>
  <c r="B3014" i="3"/>
  <c r="C3014" i="3" s="1"/>
  <c r="F2754" i="3"/>
  <c r="K2754" i="3" s="1"/>
  <c r="J2754" i="3"/>
  <c r="B2754" i="3"/>
  <c r="C2754" i="3" s="1"/>
  <c r="J3066" i="3"/>
  <c r="F3066" i="3"/>
  <c r="K3066" i="3" s="1"/>
  <c r="G3066" i="3"/>
  <c r="J2921" i="3"/>
  <c r="G2921" i="3"/>
  <c r="B2921" i="3"/>
  <c r="C2921" i="3" s="1"/>
  <c r="H2921" i="3"/>
  <c r="F2921" i="3"/>
  <c r="K2921" i="3" s="1"/>
  <c r="B3083" i="3"/>
  <c r="C3083" i="3" s="1"/>
  <c r="H3083" i="3"/>
  <c r="F3083" i="3"/>
  <c r="K3083" i="3" s="1"/>
  <c r="G3083" i="3"/>
  <c r="J2618" i="3"/>
  <c r="H2618" i="3"/>
  <c r="G2618" i="3"/>
  <c r="F2618" i="3"/>
  <c r="K2618" i="3" s="1"/>
  <c r="F2699" i="3"/>
  <c r="K2699" i="3" s="1"/>
  <c r="J2699" i="3"/>
  <c r="I2699" i="3"/>
  <c r="H2699" i="3"/>
  <c r="G2699" i="3"/>
  <c r="I2790" i="3"/>
  <c r="G2790" i="3"/>
  <c r="J2790" i="3"/>
  <c r="H2790" i="3"/>
  <c r="B2790" i="3"/>
  <c r="C2790" i="3" s="1"/>
  <c r="F2790" i="3"/>
  <c r="K2790" i="3" s="1"/>
  <c r="B2474" i="3"/>
  <c r="C2474" i="3" s="1"/>
  <c r="J2474" i="3"/>
  <c r="H2474" i="3"/>
  <c r="F2474" i="3"/>
  <c r="K2474" i="3" s="1"/>
  <c r="F2597" i="3"/>
  <c r="K2597" i="3" s="1"/>
  <c r="J2597" i="3"/>
  <c r="I2597" i="3"/>
  <c r="H2597" i="3"/>
  <c r="G2597" i="3"/>
  <c r="B2597" i="3"/>
  <c r="C2597" i="3" s="1"/>
  <c r="J2679" i="3"/>
  <c r="I2679" i="3"/>
  <c r="G2679" i="3"/>
  <c r="H2638" i="3"/>
  <c r="B2638" i="3"/>
  <c r="C2638" i="3" s="1"/>
  <c r="I2638" i="3"/>
  <c r="F2638" i="3"/>
  <c r="K2638" i="3" s="1"/>
  <c r="J2638" i="3"/>
  <c r="B2729" i="3"/>
  <c r="C2729" i="3" s="1"/>
  <c r="J2729" i="3"/>
  <c r="I2729" i="3"/>
  <c r="H2729" i="3"/>
  <c r="F2729" i="3"/>
  <c r="K2729" i="3" s="1"/>
  <c r="G2729" i="3"/>
  <c r="O464" i="2"/>
  <c r="P464" i="2" s="1"/>
  <c r="Q464" i="2" s="1"/>
  <c r="O357" i="2"/>
  <c r="P357" i="2" s="1"/>
  <c r="Q357" i="2" s="1"/>
  <c r="O433" i="2"/>
  <c r="P433" i="2" s="1"/>
  <c r="Q433" i="2" s="1"/>
  <c r="O474" i="2"/>
  <c r="P474" i="2" s="1"/>
  <c r="Q474" i="2" s="1"/>
  <c r="O362" i="2"/>
  <c r="P362" i="2" s="1"/>
  <c r="Q362" i="2" s="1"/>
  <c r="O257" i="2"/>
  <c r="P257" i="2" s="1"/>
  <c r="Q257" i="2" s="1"/>
  <c r="O498" i="2"/>
  <c r="P498" i="2" s="1"/>
  <c r="Q498" i="2" s="1"/>
  <c r="O430" i="2"/>
  <c r="P430" i="2" s="1"/>
  <c r="Q430" i="2" s="1"/>
  <c r="O612" i="2"/>
  <c r="P612" i="2" s="1"/>
  <c r="Q612" i="2" s="1"/>
  <c r="O204" i="2"/>
  <c r="P204" i="2" s="1"/>
  <c r="Q204" i="2" s="1"/>
  <c r="O632" i="2"/>
  <c r="P632" i="2" s="1"/>
  <c r="Q632" i="2" s="1"/>
  <c r="O600" i="2"/>
  <c r="P600" i="2" s="1"/>
  <c r="Q600" i="2" s="1"/>
  <c r="O246" i="2"/>
  <c r="P246" i="2" s="1"/>
  <c r="Q246" i="2" s="1"/>
  <c r="O322" i="2"/>
  <c r="P322" i="2" s="1"/>
  <c r="Q322" i="2" s="1"/>
  <c r="O643" i="2"/>
  <c r="P643" i="2" s="1"/>
  <c r="Q643" i="2" s="1"/>
  <c r="O695" i="2"/>
  <c r="P695" i="2" s="1"/>
  <c r="Q695" i="2" s="1"/>
  <c r="O608" i="2"/>
  <c r="P608" i="2" s="1"/>
  <c r="Q608" i="2" s="1"/>
  <c r="O523" i="2"/>
  <c r="P523" i="2" s="1"/>
  <c r="Q523" i="2" s="1"/>
  <c r="O727" i="2"/>
  <c r="P727" i="2" s="1"/>
  <c r="Q727" i="2" s="1"/>
  <c r="O763" i="2"/>
  <c r="P763" i="2" s="1"/>
  <c r="Q763" i="2" s="1"/>
  <c r="O682" i="2"/>
  <c r="P682" i="2" s="1"/>
  <c r="Q682" i="2" s="1"/>
  <c r="O712" i="2"/>
  <c r="P712" i="2" s="1"/>
  <c r="Q712" i="2" s="1"/>
  <c r="O725" i="2"/>
  <c r="P725" i="2" s="1"/>
  <c r="Q725" i="2" s="1"/>
  <c r="O658" i="2"/>
  <c r="P658" i="2" s="1"/>
  <c r="Q658" i="2" s="1"/>
  <c r="O913" i="2"/>
  <c r="P913" i="2" s="1"/>
  <c r="Q913" i="2" s="1"/>
  <c r="O622" i="2"/>
  <c r="P622" i="2" s="1"/>
  <c r="Q622" i="2" s="1"/>
  <c r="O766" i="2"/>
  <c r="P766" i="2" s="1"/>
  <c r="Q766" i="2" s="1"/>
  <c r="O762" i="2"/>
  <c r="P762" i="2" s="1"/>
  <c r="Q762" i="2" s="1"/>
  <c r="O908" i="2"/>
  <c r="P908" i="2" s="1"/>
  <c r="Q908" i="2" s="1"/>
  <c r="O918" i="2"/>
  <c r="P918" i="2" s="1"/>
  <c r="Q918" i="2" s="1"/>
  <c r="O898" i="2"/>
  <c r="P898" i="2" s="1"/>
  <c r="Q898" i="2" s="1"/>
  <c r="H3036" i="3"/>
  <c r="B3036" i="3"/>
  <c r="C3036" i="3" s="1"/>
  <c r="J3036" i="3"/>
  <c r="I3036" i="3"/>
  <c r="F3036" i="3"/>
  <c r="K3036" i="3" s="1"/>
  <c r="G3036" i="3"/>
  <c r="F3080" i="3"/>
  <c r="K3080" i="3" s="1"/>
  <c r="I3080" i="3"/>
  <c r="B3080" i="3"/>
  <c r="C3080" i="3" s="1"/>
  <c r="H3080" i="3"/>
  <c r="J3080" i="3"/>
  <c r="B3058" i="3"/>
  <c r="C3058" i="3" s="1"/>
  <c r="G3058" i="3"/>
  <c r="F3058" i="3"/>
  <c r="K3058" i="3" s="1"/>
  <c r="J3058" i="3"/>
  <c r="H3058" i="3"/>
  <c r="I3058" i="3"/>
  <c r="F2854" i="3"/>
  <c r="K2854" i="3" s="1"/>
  <c r="J2811" i="3"/>
  <c r="F2811" i="3"/>
  <c r="K2811" i="3" s="1"/>
  <c r="B3018" i="3"/>
  <c r="C3018" i="3" s="1"/>
  <c r="J3018" i="3"/>
  <c r="G3018" i="3"/>
  <c r="I3018" i="3"/>
  <c r="F3018" i="3"/>
  <c r="K3018" i="3" s="1"/>
  <c r="H3018" i="3"/>
  <c r="J2746" i="3"/>
  <c r="I2746" i="3"/>
  <c r="G2746" i="3"/>
  <c r="H2746" i="3"/>
  <c r="F2746" i="3"/>
  <c r="K2746" i="3" s="1"/>
  <c r="B2746" i="3"/>
  <c r="C2746" i="3" s="1"/>
  <c r="H2940" i="3"/>
  <c r="I2940" i="3"/>
  <c r="J2940" i="3"/>
  <c r="I2905" i="3"/>
  <c r="J2905" i="3"/>
  <c r="F2905" i="3"/>
  <c r="K2905" i="3" s="1"/>
  <c r="H2905" i="3"/>
  <c r="B2905" i="3"/>
  <c r="C2905" i="3" s="1"/>
  <c r="G2706" i="3"/>
  <c r="I2706" i="3"/>
  <c r="F2706" i="3"/>
  <c r="K2706" i="3" s="1"/>
  <c r="J2706" i="3"/>
  <c r="H2706" i="3"/>
  <c r="B2706" i="3"/>
  <c r="C2706" i="3" s="1"/>
  <c r="F2471" i="3"/>
  <c r="K2471" i="3" s="1"/>
  <c r="I2471" i="3"/>
  <c r="J2647" i="3"/>
  <c r="H2647" i="3"/>
  <c r="G2647" i="3"/>
  <c r="F2647" i="3"/>
  <c r="K2647" i="3" s="1"/>
  <c r="J2714" i="3"/>
  <c r="F2714" i="3"/>
  <c r="K2714" i="3" s="1"/>
  <c r="B2714" i="3"/>
  <c r="C2714" i="3" s="1"/>
  <c r="B2918" i="3"/>
  <c r="C2918" i="3" s="1"/>
  <c r="I2918" i="3"/>
  <c r="G2918" i="3"/>
  <c r="J2918" i="3"/>
  <c r="H2918" i="3"/>
  <c r="F2918" i="3"/>
  <c r="K2918" i="3" s="1"/>
  <c r="H2919" i="3"/>
  <c r="B2919" i="3"/>
  <c r="C2919" i="3" s="1"/>
  <c r="J2919" i="3"/>
  <c r="F2919" i="3"/>
  <c r="K2919" i="3" s="1"/>
  <c r="I2919" i="3"/>
  <c r="J2609" i="3"/>
  <c r="I2609" i="3"/>
  <c r="H2609" i="3"/>
  <c r="G2609" i="3"/>
  <c r="F2609" i="3"/>
  <c r="K2609" i="3" s="1"/>
  <c r="B2609" i="3"/>
  <c r="C2609" i="3" s="1"/>
  <c r="H2628" i="3"/>
  <c r="G2628" i="3"/>
  <c r="F2628" i="3"/>
  <c r="K2628" i="3" s="1"/>
  <c r="B2628" i="3"/>
  <c r="C2628" i="3" s="1"/>
  <c r="I2628" i="3"/>
  <c r="J2628" i="3"/>
  <c r="I2690" i="3"/>
  <c r="H2690" i="3"/>
  <c r="F2690" i="3"/>
  <c r="K2690" i="3" s="1"/>
  <c r="J2690" i="3"/>
  <c r="G2690" i="3"/>
  <c r="B2690" i="3"/>
  <c r="C2690" i="3" s="1"/>
  <c r="H2650" i="3"/>
  <c r="B2650" i="3"/>
  <c r="C2650" i="3" s="1"/>
  <c r="J2650" i="3"/>
  <c r="I2650" i="3"/>
  <c r="F2650" i="3"/>
  <c r="K2650" i="3" s="1"/>
  <c r="G2650" i="3"/>
  <c r="H2786" i="3"/>
  <c r="G2786" i="3"/>
  <c r="F2786" i="3"/>
  <c r="K2786" i="3" s="1"/>
  <c r="B2786" i="3"/>
  <c r="C2786" i="3" s="1"/>
  <c r="J2786" i="3"/>
  <c r="I2786" i="3"/>
  <c r="I2764" i="3"/>
  <c r="B2764" i="3"/>
  <c r="C2764" i="3" s="1"/>
  <c r="F2764" i="3"/>
  <c r="K2764" i="3" s="1"/>
  <c r="B2737" i="3"/>
  <c r="C2737" i="3" s="1"/>
  <c r="F2737" i="3"/>
  <c r="K2737" i="3" s="1"/>
  <c r="H2737" i="3"/>
  <c r="I2737" i="3"/>
  <c r="G2737" i="3"/>
  <c r="O278" i="2"/>
  <c r="P278" i="2" s="1"/>
  <c r="Q278" i="2" s="1"/>
  <c r="O507" i="2"/>
  <c r="P507" i="2" s="1"/>
  <c r="Q507" i="2" s="1"/>
  <c r="O457" i="2"/>
  <c r="P457" i="2" s="1"/>
  <c r="Q457" i="2" s="1"/>
  <c r="O401" i="2"/>
  <c r="P401" i="2" s="1"/>
  <c r="Q401" i="2" s="1"/>
  <c r="O208" i="2"/>
  <c r="P208" i="2" s="1"/>
  <c r="Q208" i="2" s="1"/>
  <c r="O292" i="2"/>
  <c r="P292" i="2" s="1"/>
  <c r="Q292" i="2" s="1"/>
  <c r="O613" i="2"/>
  <c r="P613" i="2" s="1"/>
  <c r="Q613" i="2" s="1"/>
  <c r="O263" i="2"/>
  <c r="P263" i="2" s="1"/>
  <c r="Q263" i="2" s="1"/>
  <c r="O339" i="2"/>
  <c r="P339" i="2" s="1"/>
  <c r="Q339" i="2" s="1"/>
  <c r="O677" i="2"/>
  <c r="P677" i="2" s="1"/>
  <c r="Q677" i="2" s="1"/>
  <c r="O702" i="2"/>
  <c r="P702" i="2" s="1"/>
  <c r="Q702" i="2" s="1"/>
  <c r="O627" i="2"/>
  <c r="P627" i="2" s="1"/>
  <c r="Q627" i="2" s="1"/>
  <c r="O563" i="2"/>
  <c r="P563" i="2" s="1"/>
  <c r="Q563" i="2" s="1"/>
  <c r="O749" i="2"/>
  <c r="P749" i="2" s="1"/>
  <c r="Q749" i="2" s="1"/>
  <c r="O772" i="2"/>
  <c r="P772" i="2" s="1"/>
  <c r="Q772" i="2" s="1"/>
  <c r="O703" i="2"/>
  <c r="P703" i="2" s="1"/>
  <c r="Q703" i="2" s="1"/>
  <c r="O733" i="2"/>
  <c r="P733" i="2" s="1"/>
  <c r="Q733" i="2" s="1"/>
  <c r="O738" i="2"/>
  <c r="P738" i="2" s="1"/>
  <c r="Q738" i="2" s="1"/>
  <c r="O679" i="2"/>
  <c r="P679" i="2" s="1"/>
  <c r="Q679" i="2" s="1"/>
  <c r="O688" i="2"/>
  <c r="P688" i="2" s="1"/>
  <c r="Q688" i="2" s="1"/>
  <c r="O626" i="2"/>
  <c r="P626" i="2" s="1"/>
  <c r="Q626" i="2" s="1"/>
  <c r="O797" i="2"/>
  <c r="P797" i="2" s="1"/>
  <c r="Q797" i="2" s="1"/>
  <c r="O793" i="2"/>
  <c r="P793" i="2" s="1"/>
  <c r="Q793" i="2" s="1"/>
  <c r="O919" i="2"/>
  <c r="P919" i="2" s="1"/>
  <c r="Q919" i="2" s="1"/>
  <c r="I2820" i="3"/>
  <c r="J2820" i="3"/>
  <c r="G2820" i="3"/>
  <c r="F2820" i="3"/>
  <c r="K2820" i="3" s="1"/>
  <c r="H2820" i="3"/>
  <c r="F3040" i="3"/>
  <c r="K3040" i="3" s="1"/>
  <c r="I3040" i="3"/>
  <c r="B3040" i="3"/>
  <c r="C3040" i="3" s="1"/>
  <c r="J3040" i="3"/>
  <c r="H3040" i="3"/>
  <c r="B2895" i="3"/>
  <c r="C2895" i="3" s="1"/>
  <c r="H2895" i="3"/>
  <c r="F2895" i="3"/>
  <c r="K2895" i="3" s="1"/>
  <c r="H3024" i="3"/>
  <c r="B3024" i="3"/>
  <c r="C3024" i="3" s="1"/>
  <c r="I2925" i="3"/>
  <c r="J2925" i="3"/>
  <c r="H2925" i="3"/>
  <c r="F2925" i="3"/>
  <c r="K2925" i="3" s="1"/>
  <c r="B2925" i="3"/>
  <c r="C2925" i="3" s="1"/>
  <c r="G2988" i="3"/>
  <c r="H2988" i="3"/>
  <c r="B2988" i="3"/>
  <c r="C2988" i="3" s="1"/>
  <c r="J2861" i="3"/>
  <c r="F2861" i="3"/>
  <c r="K2861" i="3" s="1"/>
  <c r="J2589" i="3"/>
  <c r="I2589" i="3"/>
  <c r="H2589" i="3"/>
  <c r="G2589" i="3"/>
  <c r="F2589" i="3"/>
  <c r="K2589" i="3" s="1"/>
  <c r="B2589" i="3"/>
  <c r="C2589" i="3" s="1"/>
  <c r="J2749" i="3"/>
  <c r="I2749" i="3"/>
  <c r="G2749" i="3"/>
  <c r="B2749" i="3"/>
  <c r="C2749" i="3" s="1"/>
  <c r="H2749" i="3"/>
  <c r="F2749" i="3"/>
  <c r="K2749" i="3" s="1"/>
  <c r="J2774" i="3"/>
  <c r="B2774" i="3"/>
  <c r="C2774" i="3" s="1"/>
  <c r="F2774" i="3"/>
  <c r="K2774" i="3" s="1"/>
  <c r="J2479" i="3"/>
  <c r="I2479" i="3"/>
  <c r="H2479" i="3"/>
  <c r="B2479" i="3"/>
  <c r="C2479" i="3" s="1"/>
  <c r="G2726" i="3"/>
  <c r="J2726" i="3"/>
  <c r="I2726" i="3"/>
  <c r="H2726" i="3"/>
  <c r="F2726" i="3"/>
  <c r="K2726" i="3" s="1"/>
  <c r="B2726" i="3"/>
  <c r="C2726" i="3" s="1"/>
  <c r="I2944" i="3"/>
  <c r="G2944" i="3"/>
  <c r="B2944" i="3"/>
  <c r="C2944" i="3" s="1"/>
  <c r="J2944" i="3"/>
  <c r="F2944" i="3"/>
  <c r="K2944" i="3" s="1"/>
  <c r="I2508" i="3"/>
  <c r="B2508" i="3"/>
  <c r="C2508" i="3" s="1"/>
  <c r="F2508" i="3"/>
  <c r="K2508" i="3" s="1"/>
  <c r="G2632" i="3"/>
  <c r="J2632" i="3"/>
  <c r="I2632" i="3"/>
  <c r="H2632" i="3"/>
  <c r="B2632" i="3"/>
  <c r="C2632" i="3" s="1"/>
  <c r="I2649" i="3"/>
  <c r="J2649" i="3"/>
  <c r="B2649" i="3"/>
  <c r="C2649" i="3" s="1"/>
  <c r="G2747" i="3"/>
  <c r="I2747" i="3"/>
  <c r="H2747" i="3"/>
  <c r="B2747" i="3"/>
  <c r="C2747" i="3" s="1"/>
  <c r="F2686" i="3"/>
  <c r="K2686" i="3" s="1"/>
  <c r="B2686" i="3"/>
  <c r="C2686" i="3" s="1"/>
  <c r="J2686" i="3"/>
  <c r="I2686" i="3"/>
  <c r="G2686" i="3"/>
  <c r="H2686" i="3"/>
  <c r="G2663" i="3"/>
  <c r="I2663" i="3"/>
  <c r="J2829" i="3"/>
  <c r="H2829" i="3"/>
  <c r="G2829" i="3"/>
  <c r="F2829" i="3"/>
  <c r="K2829" i="3" s="1"/>
  <c r="B2829" i="3"/>
  <c r="C2829" i="3" s="1"/>
  <c r="I2829" i="3"/>
  <c r="I2792" i="3"/>
  <c r="J2792" i="3"/>
  <c r="H2756" i="3"/>
  <c r="F2756" i="3"/>
  <c r="K2756" i="3" s="1"/>
  <c r="B2756" i="3"/>
  <c r="C2756" i="3" s="1"/>
  <c r="G2756" i="3"/>
  <c r="O313" i="2"/>
  <c r="P313" i="2" s="1"/>
  <c r="Q313" i="2" s="1"/>
  <c r="O655" i="2"/>
  <c r="P655" i="2" s="1"/>
  <c r="Q655" i="2" s="1"/>
  <c r="O284" i="2"/>
  <c r="P284" i="2" s="1"/>
  <c r="Q284" i="2" s="1"/>
  <c r="O360" i="2"/>
  <c r="P360" i="2" s="1"/>
  <c r="Q360" i="2" s="1"/>
  <c r="O587" i="2"/>
  <c r="P587" i="2" s="1"/>
  <c r="Q587" i="2" s="1"/>
  <c r="O654" i="2"/>
  <c r="P654" i="2" s="1"/>
  <c r="Q654" i="2" s="1"/>
  <c r="O641" i="2"/>
  <c r="P641" i="2" s="1"/>
  <c r="Q641" i="2" s="1"/>
  <c r="O595" i="2"/>
  <c r="P595" i="2" s="1"/>
  <c r="Q595" i="2" s="1"/>
  <c r="O758" i="2"/>
  <c r="P758" i="2" s="1"/>
  <c r="Q758" i="2" s="1"/>
  <c r="O803" i="2"/>
  <c r="P803" i="2" s="1"/>
  <c r="Q803" i="2" s="1"/>
  <c r="O720" i="2"/>
  <c r="P720" i="2" s="1"/>
  <c r="Q720" i="2" s="1"/>
  <c r="O742" i="2"/>
  <c r="P742" i="2" s="1"/>
  <c r="Q742" i="2" s="1"/>
  <c r="O769" i="2"/>
  <c r="P769" i="2" s="1"/>
  <c r="Q769" i="2" s="1"/>
  <c r="O696" i="2"/>
  <c r="P696" i="2" s="1"/>
  <c r="Q696" i="2" s="1"/>
  <c r="O709" i="2"/>
  <c r="P709" i="2" s="1"/>
  <c r="Q709" i="2" s="1"/>
  <c r="O630" i="2"/>
  <c r="P630" i="2" s="1"/>
  <c r="Q630" i="2" s="1"/>
  <c r="O806" i="2"/>
  <c r="P806" i="2" s="1"/>
  <c r="Q806" i="2" s="1"/>
  <c r="O802" i="2"/>
  <c r="P802" i="2" s="1"/>
  <c r="Q802" i="2" s="1"/>
  <c r="O967" i="2"/>
  <c r="P967" i="2" s="1"/>
  <c r="Q967" i="2" s="1"/>
  <c r="O874" i="2"/>
  <c r="P874" i="2" s="1"/>
  <c r="Q874" i="2" s="1"/>
  <c r="I3093" i="3"/>
  <c r="B3093" i="3"/>
  <c r="C3093" i="3" s="1"/>
  <c r="G3093" i="3"/>
  <c r="B3008" i="3"/>
  <c r="C3008" i="3" s="1"/>
  <c r="H3008" i="3"/>
  <c r="I2990" i="3"/>
  <c r="J2990" i="3"/>
  <c r="F2990" i="3"/>
  <c r="K2990" i="3" s="1"/>
  <c r="G2990" i="3"/>
  <c r="I3005" i="3"/>
  <c r="J3005" i="3"/>
  <c r="G3005" i="3"/>
  <c r="H3005" i="3"/>
  <c r="F3005" i="3"/>
  <c r="K3005" i="3" s="1"/>
  <c r="B3005" i="3"/>
  <c r="C3005" i="3" s="1"/>
  <c r="H3082" i="3"/>
  <c r="J3082" i="3"/>
  <c r="F3082" i="3"/>
  <c r="K3082" i="3" s="1"/>
  <c r="F2851" i="3"/>
  <c r="K2851" i="3" s="1"/>
  <c r="B2851" i="3"/>
  <c r="C2851" i="3" s="1"/>
  <c r="J2851" i="3"/>
  <c r="H2851" i="3"/>
  <c r="I2851" i="3"/>
  <c r="G2851" i="3"/>
  <c r="I3053" i="3"/>
  <c r="B3053" i="3"/>
  <c r="C3053" i="3" s="1"/>
  <c r="G3053" i="3"/>
  <c r="I2964" i="3"/>
  <c r="G2964" i="3"/>
  <c r="B2964" i="3"/>
  <c r="C2964" i="3" s="1"/>
  <c r="J2964" i="3"/>
  <c r="F2964" i="3"/>
  <c r="K2964" i="3" s="1"/>
  <c r="H2834" i="3"/>
  <c r="F2834" i="3"/>
  <c r="K2834" i="3" s="1"/>
  <c r="J2834" i="3"/>
  <c r="B2834" i="3"/>
  <c r="C2834" i="3" s="1"/>
  <c r="I2610" i="3"/>
  <c r="J2610" i="3"/>
  <c r="H2610" i="3"/>
  <c r="G2610" i="3"/>
  <c r="F2610" i="3"/>
  <c r="K2610" i="3" s="1"/>
  <c r="B2610" i="3"/>
  <c r="C2610" i="3" s="1"/>
  <c r="G2762" i="3"/>
  <c r="B2762" i="3"/>
  <c r="C2762" i="3" s="1"/>
  <c r="J2762" i="3"/>
  <c r="F2816" i="3"/>
  <c r="K2816" i="3" s="1"/>
  <c r="H2816" i="3"/>
  <c r="G2816" i="3"/>
  <c r="G2707" i="3"/>
  <c r="F2707" i="3"/>
  <c r="K2707" i="3" s="1"/>
  <c r="I2707" i="3"/>
  <c r="H2707" i="3"/>
  <c r="B2707" i="3"/>
  <c r="C2707" i="3" s="1"/>
  <c r="I2766" i="3"/>
  <c r="J2766" i="3"/>
  <c r="H2766" i="3"/>
  <c r="G2766" i="3"/>
  <c r="B2766" i="3"/>
  <c r="C2766" i="3" s="1"/>
  <c r="F2766" i="3"/>
  <c r="K2766" i="3" s="1"/>
  <c r="I2970" i="3"/>
  <c r="J2970" i="3"/>
  <c r="G2970" i="3"/>
  <c r="F2970" i="3"/>
  <c r="K2970" i="3" s="1"/>
  <c r="F2448" i="3"/>
  <c r="K2448" i="3" s="1"/>
  <c r="J2448" i="3"/>
  <c r="I2448" i="3"/>
  <c r="H2448" i="3"/>
  <c r="G2448" i="3"/>
  <c r="B2448" i="3"/>
  <c r="C2448" i="3" s="1"/>
  <c r="G2677" i="3"/>
  <c r="H2677" i="3"/>
  <c r="F2705" i="3"/>
  <c r="K2705" i="3" s="1"/>
  <c r="B2705" i="3"/>
  <c r="C2705" i="3" s="1"/>
  <c r="G2705" i="3"/>
  <c r="J2748" i="3"/>
  <c r="H2748" i="3"/>
  <c r="F2748" i="3"/>
  <c r="K2748" i="3" s="1"/>
  <c r="B2748" i="3"/>
  <c r="C2748" i="3" s="1"/>
  <c r="G2748" i="3"/>
  <c r="I2748" i="3"/>
  <c r="H3075" i="3"/>
  <c r="J3075" i="3"/>
  <c r="F3075" i="3"/>
  <c r="K3075" i="3" s="1"/>
  <c r="B3075" i="3"/>
  <c r="C3075" i="3" s="1"/>
  <c r="I3075" i="3"/>
  <c r="F2745" i="3"/>
  <c r="K2745" i="3" s="1"/>
  <c r="J2775" i="3"/>
  <c r="G2775" i="3"/>
  <c r="O316" i="2"/>
  <c r="P316" i="2" s="1"/>
  <c r="Q316" i="2" s="1"/>
  <c r="O530" i="2"/>
  <c r="P530" i="2" s="1"/>
  <c r="Q530" i="2" s="1"/>
  <c r="O567" i="2"/>
  <c r="P567" i="2" s="1"/>
  <c r="Q567" i="2" s="1"/>
  <c r="O439" i="2"/>
  <c r="O216" i="2"/>
  <c r="P216" i="2" s="1"/>
  <c r="Q216" i="2" s="1"/>
  <c r="O334" i="2"/>
  <c r="O229" i="2"/>
  <c r="P229" i="2" s="1"/>
  <c r="Q229" i="2" s="1"/>
  <c r="O305" i="2"/>
  <c r="P305" i="2" s="1"/>
  <c r="Q305" i="2" s="1"/>
  <c r="O381" i="2"/>
  <c r="P381" i="2" s="1"/>
  <c r="Q381" i="2" s="1"/>
  <c r="O601" i="2"/>
  <c r="P601" i="2" s="1"/>
  <c r="Q601" i="2" s="1"/>
  <c r="O715" i="2"/>
  <c r="P715" i="2" s="1"/>
  <c r="Q715" i="2" s="1"/>
  <c r="O660" i="2"/>
  <c r="P660" i="2" s="1"/>
  <c r="Q660" i="2" s="1"/>
  <c r="O609" i="2"/>
  <c r="P609" i="2" s="1"/>
  <c r="Q609" i="2" s="1"/>
  <c r="O789" i="2"/>
  <c r="P789" i="2" s="1"/>
  <c r="Q789" i="2" s="1"/>
  <c r="O812" i="2"/>
  <c r="P812" i="2" s="1"/>
  <c r="Q812" i="2" s="1"/>
  <c r="O737" i="2"/>
  <c r="P737" i="2" s="1"/>
  <c r="Q737" i="2" s="1"/>
  <c r="O773" i="2"/>
  <c r="P773" i="2" s="1"/>
  <c r="Q773" i="2" s="1"/>
  <c r="O778" i="2"/>
  <c r="P778" i="2" s="1"/>
  <c r="Q778" i="2" s="1"/>
  <c r="O717" i="2"/>
  <c r="P717" i="2" s="1"/>
  <c r="Q717" i="2" s="1"/>
  <c r="O730" i="2"/>
  <c r="P730" i="2" s="1"/>
  <c r="Q730" i="2" s="1"/>
  <c r="O634" i="2"/>
  <c r="P634" i="2" s="1"/>
  <c r="Q634" i="2" s="1"/>
  <c r="O837" i="2"/>
  <c r="P837" i="2" s="1"/>
  <c r="Q837" i="2" s="1"/>
  <c r="O833" i="2"/>
  <c r="P833" i="2" s="1"/>
  <c r="Q833" i="2" s="1"/>
  <c r="O875" i="2"/>
  <c r="P875" i="2" s="1"/>
  <c r="O876" i="2"/>
  <c r="P876" i="2" s="1"/>
  <c r="Q876" i="2" s="1"/>
  <c r="O894" i="2"/>
  <c r="P894" i="2" s="1"/>
  <c r="Q894" i="2" s="1"/>
  <c r="O895" i="2"/>
  <c r="P895" i="2" s="1"/>
  <c r="Q895" i="2" s="1"/>
  <c r="F3140" i="3"/>
  <c r="K3140" i="3" s="1"/>
  <c r="J3140" i="3"/>
  <c r="I3140" i="3"/>
  <c r="B3140" i="3"/>
  <c r="C3140" i="3" s="1"/>
  <c r="H3140" i="3"/>
  <c r="J3097" i="3"/>
  <c r="H3097" i="3"/>
  <c r="F3097" i="3"/>
  <c r="K3097" i="3" s="1"/>
  <c r="G3097" i="3"/>
  <c r="B3097" i="3"/>
  <c r="C3097" i="3" s="1"/>
  <c r="H3136" i="3"/>
  <c r="B3136" i="3"/>
  <c r="C3136" i="3" s="1"/>
  <c r="F3136" i="3"/>
  <c r="K3136" i="3" s="1"/>
  <c r="I3136" i="3"/>
  <c r="G3136" i="3"/>
  <c r="J3136" i="3"/>
  <c r="G2995" i="3"/>
  <c r="J2995" i="3"/>
  <c r="H2995" i="3"/>
  <c r="I2995" i="3"/>
  <c r="F2995" i="3"/>
  <c r="K2995" i="3" s="1"/>
  <c r="B2995" i="3"/>
  <c r="C2995" i="3" s="1"/>
  <c r="I2951" i="3"/>
  <c r="H2951" i="3"/>
  <c r="B2951" i="3"/>
  <c r="C2951" i="3" s="1"/>
  <c r="J2951" i="3"/>
  <c r="G3011" i="3"/>
  <c r="I3011" i="3"/>
  <c r="B3011" i="3"/>
  <c r="C3011" i="3" s="1"/>
  <c r="J3011" i="3"/>
  <c r="G2877" i="3"/>
  <c r="B2877" i="3"/>
  <c r="C2877" i="3" s="1"/>
  <c r="I2877" i="3"/>
  <c r="J2877" i="3"/>
  <c r="H2877" i="3"/>
  <c r="J2872" i="3"/>
  <c r="I2872" i="3"/>
  <c r="G2872" i="3"/>
  <c r="H2872" i="3"/>
  <c r="F2957" i="3"/>
  <c r="K2957" i="3" s="1"/>
  <c r="G2957" i="3"/>
  <c r="B2957" i="3"/>
  <c r="C2957" i="3" s="1"/>
  <c r="J2809" i="3"/>
  <c r="G2809" i="3"/>
  <c r="F2809" i="3"/>
  <c r="K2809" i="3" s="1"/>
  <c r="I2809" i="3"/>
  <c r="H2809" i="3"/>
  <c r="B2809" i="3"/>
  <c r="C2809" i="3" s="1"/>
  <c r="I2616" i="3"/>
  <c r="B2616" i="3"/>
  <c r="C2616" i="3" s="1"/>
  <c r="H2787" i="3"/>
  <c r="B2787" i="3"/>
  <c r="C2787" i="3" s="1"/>
  <c r="I2787" i="3"/>
  <c r="G2787" i="3"/>
  <c r="J2550" i="3"/>
  <c r="I2550" i="3"/>
  <c r="H2550" i="3"/>
  <c r="G2550" i="3"/>
  <c r="F2550" i="3"/>
  <c r="K2550" i="3" s="1"/>
  <c r="B2550" i="3"/>
  <c r="C2550" i="3" s="1"/>
  <c r="B2777" i="3"/>
  <c r="C2777" i="3" s="1"/>
  <c r="I2777" i="3"/>
  <c r="H2777" i="3"/>
  <c r="G2777" i="3"/>
  <c r="F2777" i="3"/>
  <c r="K2777" i="3" s="1"/>
  <c r="J2998" i="3"/>
  <c r="I2998" i="3"/>
  <c r="G2998" i="3"/>
  <c r="F2998" i="3"/>
  <c r="K2998" i="3" s="1"/>
  <c r="B2998" i="3"/>
  <c r="C2998" i="3" s="1"/>
  <c r="H2998" i="3"/>
  <c r="G2453" i="3"/>
  <c r="H2453" i="3"/>
  <c r="B2453" i="3"/>
  <c r="C2453" i="3" s="1"/>
  <c r="F2453" i="3"/>
  <c r="K2453" i="3" s="1"/>
  <c r="B2717" i="3"/>
  <c r="C2717" i="3" s="1"/>
  <c r="G2717" i="3"/>
  <c r="F2717" i="3"/>
  <c r="K2717" i="3" s="1"/>
  <c r="I2717" i="3"/>
  <c r="H2717" i="3"/>
  <c r="G2782" i="3"/>
  <c r="J2782" i="3"/>
  <c r="B2782" i="3"/>
  <c r="C2782" i="3" s="1"/>
  <c r="B2784" i="3"/>
  <c r="C2784" i="3" s="1"/>
  <c r="I2784" i="3"/>
  <c r="B2760" i="3"/>
  <c r="C2760" i="3" s="1"/>
  <c r="J2760" i="3"/>
  <c r="I2760" i="3"/>
  <c r="G2760" i="3"/>
  <c r="F2760" i="3"/>
  <c r="K2760" i="3" s="1"/>
  <c r="H2760" i="3"/>
  <c r="J2689" i="3"/>
  <c r="G2689" i="3"/>
  <c r="F2689" i="3"/>
  <c r="K2689" i="3" s="1"/>
  <c r="B2689" i="3"/>
  <c r="C2689" i="3" s="1"/>
  <c r="I2689" i="3"/>
  <c r="H2689" i="3"/>
  <c r="F287" i="5"/>
  <c r="O599" i="2"/>
  <c r="P599" i="2" s="1"/>
  <c r="Q599" i="2" s="1"/>
  <c r="O462" i="2"/>
  <c r="P462" i="2" s="1"/>
  <c r="Q462" i="2" s="1"/>
  <c r="O237" i="2"/>
  <c r="P237" i="2" s="1"/>
  <c r="Q237" i="2" s="1"/>
  <c r="O351" i="2"/>
  <c r="P351" i="2" s="1"/>
  <c r="Q351" i="2" s="1"/>
  <c r="O250" i="2"/>
  <c r="P250" i="2" s="1"/>
  <c r="Q250" i="2" s="1"/>
  <c r="O326" i="2"/>
  <c r="P326" i="2" s="1"/>
  <c r="Q326" i="2" s="1"/>
  <c r="O402" i="2"/>
  <c r="P402" i="2" s="1"/>
  <c r="Q402" i="2" s="1"/>
  <c r="O653" i="2"/>
  <c r="P653" i="2" s="1"/>
  <c r="Q653" i="2" s="1"/>
  <c r="O723" i="2"/>
  <c r="P723" i="2" s="1"/>
  <c r="O670" i="2"/>
  <c r="P670" i="2" s="1"/>
  <c r="Q670" i="2" s="1"/>
  <c r="O681" i="2"/>
  <c r="P681" i="2" s="1"/>
  <c r="Q681" i="2" s="1"/>
  <c r="O798" i="2"/>
  <c r="P798" i="2" s="1"/>
  <c r="Q798" i="2" s="1"/>
  <c r="O843" i="2"/>
  <c r="P843" i="2" s="1"/>
  <c r="Q843" i="2" s="1"/>
  <c r="O746" i="2"/>
  <c r="P746" i="2" s="1"/>
  <c r="Q746" i="2" s="1"/>
  <c r="O782" i="2"/>
  <c r="P782" i="2" s="1"/>
  <c r="Q782" i="2" s="1"/>
  <c r="O809" i="2"/>
  <c r="P809" i="2" s="1"/>
  <c r="Q809" i="2" s="1"/>
  <c r="O734" i="2"/>
  <c r="P734" i="2" s="1"/>
  <c r="Q734" i="2" s="1"/>
  <c r="O761" i="2"/>
  <c r="P761" i="2" s="1"/>
  <c r="Q761" i="2" s="1"/>
  <c r="O638" i="2"/>
  <c r="P638" i="2" s="1"/>
  <c r="Q638" i="2" s="1"/>
  <c r="O846" i="2"/>
  <c r="P846" i="2" s="1"/>
  <c r="Q846" i="2" s="1"/>
  <c r="O842" i="2"/>
  <c r="P842" i="2" s="1"/>
  <c r="Q842" i="2" s="1"/>
  <c r="O896" i="2"/>
  <c r="P896" i="2" s="1"/>
  <c r="Q896" i="2" s="1"/>
  <c r="O897" i="2"/>
  <c r="P897" i="2" s="1"/>
  <c r="Q897" i="2" s="1"/>
  <c r="O915" i="2"/>
  <c r="P915" i="2" s="1"/>
  <c r="Q915" i="2" s="1"/>
  <c r="O916" i="2"/>
  <c r="P916" i="2" s="1"/>
  <c r="Q916" i="2" s="1"/>
  <c r="J3112" i="3"/>
  <c r="F3112" i="3"/>
  <c r="K3112" i="3" s="1"/>
  <c r="G3112" i="3"/>
  <c r="B3127" i="3"/>
  <c r="C3127" i="3" s="1"/>
  <c r="I3127" i="3"/>
  <c r="H3127" i="3"/>
  <c r="F3127" i="3"/>
  <c r="K3127" i="3" s="1"/>
  <c r="G3127" i="3"/>
  <c r="J3127" i="3"/>
  <c r="B2978" i="3"/>
  <c r="C2978" i="3" s="1"/>
  <c r="G2978" i="3"/>
  <c r="F2978" i="3"/>
  <c r="K2978" i="3" s="1"/>
  <c r="J2978" i="3"/>
  <c r="H2978" i="3"/>
  <c r="I2978" i="3"/>
  <c r="J2963" i="3"/>
  <c r="B2963" i="3"/>
  <c r="C2963" i="3" s="1"/>
  <c r="B3038" i="3"/>
  <c r="C3038" i="3" s="1"/>
  <c r="H3038" i="3"/>
  <c r="J3038" i="3"/>
  <c r="G3038" i="3"/>
  <c r="F3038" i="3"/>
  <c r="K3038" i="3" s="1"/>
  <c r="I3038" i="3"/>
  <c r="I2886" i="3"/>
  <c r="G2886" i="3"/>
  <c r="F3092" i="3"/>
  <c r="K3092" i="3" s="1"/>
  <c r="J3132" i="3"/>
  <c r="F3132" i="3"/>
  <c r="K3132" i="3" s="1"/>
  <c r="B2865" i="3"/>
  <c r="C2865" i="3" s="1"/>
  <c r="J2865" i="3"/>
  <c r="I2865" i="3"/>
  <c r="H2865" i="3"/>
  <c r="F2865" i="3"/>
  <c r="K2865" i="3" s="1"/>
  <c r="G2865" i="3"/>
  <c r="I2930" i="3"/>
  <c r="J2930" i="3"/>
  <c r="F2930" i="3"/>
  <c r="K2930" i="3" s="1"/>
  <c r="G2930" i="3"/>
  <c r="J3117" i="3"/>
  <c r="B3117" i="3"/>
  <c r="C3117" i="3" s="1"/>
  <c r="H3117" i="3"/>
  <c r="F3117" i="3"/>
  <c r="K3117" i="3" s="1"/>
  <c r="G3117" i="3"/>
  <c r="I2646" i="3"/>
  <c r="J2646" i="3"/>
  <c r="H2646" i="3"/>
  <c r="G2646" i="3"/>
  <c r="F2646" i="3"/>
  <c r="K2646" i="3" s="1"/>
  <c r="B2646" i="3"/>
  <c r="C2646" i="3" s="1"/>
  <c r="G2830" i="3"/>
  <c r="B2830" i="3"/>
  <c r="C2830" i="3" s="1"/>
  <c r="I2830" i="3"/>
  <c r="F2830" i="3"/>
  <c r="K2830" i="3" s="1"/>
  <c r="J2830" i="3"/>
  <c r="H2830" i="3"/>
  <c r="I2518" i="3"/>
  <c r="B2518" i="3"/>
  <c r="C2518" i="3" s="1"/>
  <c r="H2518" i="3"/>
  <c r="G2518" i="3"/>
  <c r="F2518" i="3"/>
  <c r="K2518" i="3" s="1"/>
  <c r="B2560" i="3"/>
  <c r="C2560" i="3" s="1"/>
  <c r="J2560" i="3"/>
  <c r="F2560" i="3"/>
  <c r="K2560" i="3" s="1"/>
  <c r="G2560" i="3"/>
  <c r="H3056" i="3"/>
  <c r="J3056" i="3"/>
  <c r="G3056" i="3"/>
  <c r="I3056" i="3"/>
  <c r="F3056" i="3"/>
  <c r="K3056" i="3" s="1"/>
  <c r="B3056" i="3"/>
  <c r="C3056" i="3" s="1"/>
  <c r="B2469" i="3"/>
  <c r="C2469" i="3" s="1"/>
  <c r="F2469" i="3"/>
  <c r="K2469" i="3" s="1"/>
  <c r="J2469" i="3"/>
  <c r="I2469" i="3"/>
  <c r="G2469" i="3"/>
  <c r="H2469" i="3"/>
  <c r="I2576" i="3"/>
  <c r="B2576" i="3"/>
  <c r="C2576" i="3" s="1"/>
  <c r="J2576" i="3"/>
  <c r="H2576" i="3"/>
  <c r="G2576" i="3"/>
  <c r="B2780" i="3"/>
  <c r="C2780" i="3" s="1"/>
  <c r="H2780" i="3"/>
  <c r="G2780" i="3"/>
  <c r="F2780" i="3"/>
  <c r="K2780" i="3" s="1"/>
  <c r="J2780" i="3"/>
  <c r="I2780" i="3"/>
  <c r="H2796" i="3"/>
  <c r="G2796" i="3"/>
  <c r="F2796" i="3"/>
  <c r="K2796" i="3" s="1"/>
  <c r="B2796" i="3"/>
  <c r="C2796" i="3" s="1"/>
  <c r="B2797" i="3"/>
  <c r="C2797" i="3" s="1"/>
  <c r="I2797" i="3"/>
  <c r="H2797" i="3"/>
  <c r="F2797" i="3"/>
  <c r="K2797" i="3" s="1"/>
  <c r="G2797" i="3"/>
  <c r="B2958" i="3"/>
  <c r="C2958" i="3" s="1"/>
  <c r="J2958" i="3"/>
  <c r="H2958" i="3"/>
  <c r="I2958" i="3"/>
  <c r="G2958" i="3"/>
  <c r="F2958" i="3"/>
  <c r="K2958" i="3" s="1"/>
  <c r="O447" i="2"/>
  <c r="P447" i="2" s="1"/>
  <c r="Q447" i="2" s="1"/>
  <c r="O358" i="2"/>
  <c r="P358" i="2" s="1"/>
  <c r="Q358" i="2" s="1"/>
  <c r="O548" i="2"/>
  <c r="P548" i="2" s="1"/>
  <c r="Q548" i="2" s="1"/>
  <c r="O669" i="2"/>
  <c r="P669" i="2" s="1"/>
  <c r="Q669" i="2" s="1"/>
  <c r="O471" i="2"/>
  <c r="P471" i="2" s="1"/>
  <c r="Q471" i="2" s="1"/>
  <c r="O258" i="2"/>
  <c r="P258" i="2" s="1"/>
  <c r="Q258" i="2" s="1"/>
  <c r="O372" i="2"/>
  <c r="P372" i="2" s="1"/>
  <c r="Q372" i="2" s="1"/>
  <c r="O267" i="2"/>
  <c r="P267" i="2" s="1"/>
  <c r="O343" i="2"/>
  <c r="P343" i="2" s="1"/>
  <c r="Q343" i="2" s="1"/>
  <c r="O419" i="2"/>
  <c r="P419" i="2" s="1"/>
  <c r="Q419" i="2" s="1"/>
  <c r="O694" i="2"/>
  <c r="P694" i="2" s="1"/>
  <c r="Q694" i="2" s="1"/>
  <c r="O593" i="2"/>
  <c r="P593" i="2" s="1"/>
  <c r="Q593" i="2" s="1"/>
  <c r="O680" i="2"/>
  <c r="P680" i="2" s="1"/>
  <c r="Q680" i="2" s="1"/>
  <c r="O572" i="2"/>
  <c r="P572" i="2" s="1"/>
  <c r="Q572" i="2" s="1"/>
  <c r="O829" i="2"/>
  <c r="P829" i="2" s="1"/>
  <c r="Q829" i="2" s="1"/>
  <c r="O852" i="2"/>
  <c r="P852" i="2" s="1"/>
  <c r="Q852" i="2" s="1"/>
  <c r="O777" i="2"/>
  <c r="P777" i="2" s="1"/>
  <c r="Q777" i="2" s="1"/>
  <c r="O813" i="2"/>
  <c r="P813" i="2" s="1"/>
  <c r="Q813" i="2" s="1"/>
  <c r="O818" i="2"/>
  <c r="P818" i="2" s="1"/>
  <c r="Q818" i="2" s="1"/>
  <c r="O765" i="2"/>
  <c r="P765" i="2" s="1"/>
  <c r="Q765" i="2" s="1"/>
  <c r="O770" i="2"/>
  <c r="P770" i="2" s="1"/>
  <c r="Q770" i="2" s="1"/>
  <c r="O642" i="2"/>
  <c r="P642" i="2" s="1"/>
  <c r="Q642" i="2" s="1"/>
  <c r="O892" i="2"/>
  <c r="P892" i="2" s="1"/>
  <c r="Q892" i="2" s="1"/>
  <c r="O865" i="2"/>
  <c r="P865" i="2" s="1"/>
  <c r="Q865" i="2" s="1"/>
  <c r="O917" i="2"/>
  <c r="P917" i="2" s="1"/>
  <c r="Q917" i="2" s="1"/>
  <c r="O914" i="2"/>
  <c r="P914" i="2" s="1"/>
  <c r="Q914" i="2" s="1"/>
  <c r="O870" i="2"/>
  <c r="P870" i="2" s="1"/>
  <c r="J3125" i="3"/>
  <c r="I3125" i="3"/>
  <c r="B3125" i="3"/>
  <c r="C3125" i="3" s="1"/>
  <c r="I3101" i="3"/>
  <c r="J3101" i="3"/>
  <c r="F3101" i="3"/>
  <c r="K3101" i="3" s="1"/>
  <c r="B3101" i="3"/>
  <c r="C3101" i="3" s="1"/>
  <c r="J3025" i="3"/>
  <c r="F3025" i="3"/>
  <c r="K3025" i="3" s="1"/>
  <c r="H3025" i="3"/>
  <c r="B3103" i="3"/>
  <c r="C3103" i="3" s="1"/>
  <c r="H3103" i="3"/>
  <c r="F3103" i="3"/>
  <c r="K3103" i="3" s="1"/>
  <c r="G3103" i="3"/>
  <c r="J2920" i="3"/>
  <c r="I2920" i="3"/>
  <c r="B2966" i="3"/>
  <c r="C2966" i="3" s="1"/>
  <c r="F2966" i="3"/>
  <c r="K2966" i="3" s="1"/>
  <c r="H2979" i="3"/>
  <c r="I2979" i="3"/>
  <c r="J2979" i="3"/>
  <c r="F2979" i="3"/>
  <c r="K2979" i="3" s="1"/>
  <c r="B2979" i="3"/>
  <c r="C2979" i="3" s="1"/>
  <c r="J3069" i="3"/>
  <c r="H3069" i="3"/>
  <c r="B2720" i="3"/>
  <c r="C2720" i="3" s="1"/>
  <c r="J2720" i="3"/>
  <c r="H2720" i="3"/>
  <c r="I2720" i="3"/>
  <c r="F2720" i="3"/>
  <c r="K2720" i="3" s="1"/>
  <c r="G2720" i="3"/>
  <c r="I2890" i="3"/>
  <c r="B2890" i="3"/>
  <c r="C2890" i="3" s="1"/>
  <c r="J3115" i="3"/>
  <c r="H3115" i="3"/>
  <c r="F3115" i="3"/>
  <c r="K3115" i="3" s="1"/>
  <c r="I3115" i="3"/>
  <c r="B3115" i="3"/>
  <c r="C3115" i="3" s="1"/>
  <c r="B3098" i="3"/>
  <c r="C3098" i="3" s="1"/>
  <c r="G3098" i="3"/>
  <c r="F3098" i="3"/>
  <c r="K3098" i="3" s="1"/>
  <c r="I3098" i="3"/>
  <c r="J3098" i="3"/>
  <c r="H3098" i="3"/>
  <c r="B2847" i="3"/>
  <c r="C2847" i="3" s="1"/>
  <c r="G2847" i="3"/>
  <c r="J2917" i="3"/>
  <c r="G2917" i="3"/>
  <c r="H2917" i="3"/>
  <c r="B2917" i="3"/>
  <c r="C2917" i="3" s="1"/>
  <c r="J2770" i="3"/>
  <c r="G2770" i="3"/>
  <c r="F2770" i="3"/>
  <c r="K2770" i="3" s="1"/>
  <c r="H2770" i="3"/>
  <c r="B2770" i="3"/>
  <c r="C2770" i="3" s="1"/>
  <c r="I2770" i="3"/>
  <c r="B2680" i="3"/>
  <c r="C2680" i="3" s="1"/>
  <c r="F2680" i="3"/>
  <c r="K2680" i="3" s="1"/>
  <c r="J2680" i="3"/>
  <c r="I2680" i="3"/>
  <c r="H2680" i="3"/>
  <c r="G2680" i="3"/>
  <c r="J2846" i="3"/>
  <c r="B2846" i="3"/>
  <c r="C2846" i="3" s="1"/>
  <c r="G2846" i="3"/>
  <c r="F2846" i="3"/>
  <c r="K2846" i="3" s="1"/>
  <c r="I2846" i="3"/>
  <c r="H2846" i="3"/>
  <c r="J2636" i="3"/>
  <c r="H2636" i="3"/>
  <c r="G2636" i="3"/>
  <c r="F2636" i="3"/>
  <c r="K2636" i="3" s="1"/>
  <c r="B2636" i="3"/>
  <c r="C2636" i="3" s="1"/>
  <c r="J2789" i="3"/>
  <c r="I2789" i="3"/>
  <c r="G2789" i="3"/>
  <c r="B2789" i="3"/>
  <c r="C2789" i="3" s="1"/>
  <c r="H2789" i="3"/>
  <c r="F2789" i="3"/>
  <c r="K2789" i="3" s="1"/>
  <c r="G3091" i="3"/>
  <c r="I3091" i="3"/>
  <c r="F3091" i="3"/>
  <c r="K3091" i="3" s="1"/>
  <c r="H3091" i="3"/>
  <c r="B3091" i="3"/>
  <c r="C3091" i="3" s="1"/>
  <c r="J3091" i="3"/>
  <c r="J2426" i="3"/>
  <c r="B2426" i="3"/>
  <c r="C2426" i="3" s="1"/>
  <c r="H2426" i="3"/>
  <c r="G2426" i="3"/>
  <c r="F2426" i="3"/>
  <c r="K2426" i="3" s="1"/>
  <c r="I2426" i="3"/>
  <c r="J2791" i="3"/>
  <c r="F2791" i="3"/>
  <c r="K2791" i="3" s="1"/>
  <c r="F2709" i="3"/>
  <c r="K2709" i="3" s="1"/>
  <c r="I2709" i="3"/>
  <c r="G2709" i="3"/>
  <c r="J2709" i="3"/>
  <c r="H2709" i="3"/>
  <c r="B2709" i="3"/>
  <c r="C2709" i="3" s="1"/>
  <c r="I2883" i="3"/>
  <c r="G2883" i="3"/>
  <c r="B2883" i="3"/>
  <c r="C2883" i="3" s="1"/>
  <c r="G2828" i="3"/>
  <c r="B2828" i="3"/>
  <c r="C2828" i="3" s="1"/>
  <c r="J2828" i="3"/>
  <c r="I2828" i="3"/>
  <c r="F2828" i="3"/>
  <c r="K2828" i="3" s="1"/>
  <c r="H2828" i="3"/>
  <c r="I2984" i="3"/>
  <c r="J2984" i="3"/>
  <c r="F2984" i="3"/>
  <c r="K2984" i="3" s="1"/>
  <c r="G2984" i="3"/>
  <c r="B2984" i="3"/>
  <c r="C2984" i="3" s="1"/>
  <c r="I2731" i="3"/>
  <c r="F2731" i="3"/>
  <c r="K2731" i="3" s="1"/>
  <c r="J2802" i="3"/>
  <c r="B2802" i="3"/>
  <c r="C2802" i="3" s="1"/>
  <c r="G2802" i="3"/>
  <c r="O375" i="2"/>
  <c r="P375" i="2" s="1"/>
  <c r="Q375" i="2" s="1"/>
  <c r="O562" i="2"/>
  <c r="P562" i="2" s="1"/>
  <c r="Q562" i="2" s="1"/>
  <c r="O266" i="2"/>
  <c r="P266" i="2" s="1"/>
  <c r="Q266" i="2" s="1"/>
  <c r="O480" i="2"/>
  <c r="P480" i="2" s="1"/>
  <c r="Q480" i="2" s="1"/>
  <c r="O275" i="2"/>
  <c r="P275" i="2" s="1"/>
  <c r="Q275" i="2" s="1"/>
  <c r="O393" i="2"/>
  <c r="P393" i="2" s="1"/>
  <c r="Q393" i="2" s="1"/>
  <c r="O288" i="2"/>
  <c r="P288" i="2" s="1"/>
  <c r="Q288" i="2" s="1"/>
  <c r="O364" i="2"/>
  <c r="P364" i="2" s="1"/>
  <c r="Q364" i="2" s="1"/>
  <c r="O440" i="2"/>
  <c r="P440" i="2" s="1"/>
  <c r="Q440" i="2" s="1"/>
  <c r="O569" i="2"/>
  <c r="P569" i="2" s="1"/>
  <c r="Q569" i="2" s="1"/>
  <c r="O640" i="2"/>
  <c r="P640" i="2" s="1"/>
  <c r="Q640" i="2" s="1"/>
  <c r="O691" i="2"/>
  <c r="P691" i="2" s="1"/>
  <c r="Q691" i="2" s="1"/>
  <c r="O581" i="2"/>
  <c r="P581" i="2" s="1"/>
  <c r="Q581" i="2" s="1"/>
  <c r="O838" i="2"/>
  <c r="P838" i="2" s="1"/>
  <c r="Q838" i="2" s="1"/>
  <c r="O888" i="2"/>
  <c r="P888" i="2" s="1"/>
  <c r="Q888" i="2" s="1"/>
  <c r="O786" i="2"/>
  <c r="P786" i="2" s="1"/>
  <c r="Q786" i="2" s="1"/>
  <c r="O822" i="2"/>
  <c r="P822" i="2" s="1"/>
  <c r="Q822" i="2" s="1"/>
  <c r="O849" i="2"/>
  <c r="P849" i="2" s="1"/>
  <c r="Q849" i="2" s="1"/>
  <c r="O774" i="2"/>
  <c r="P774" i="2" s="1"/>
  <c r="Q774" i="2" s="1"/>
  <c r="O801" i="2"/>
  <c r="P801" i="2" s="1"/>
  <c r="O646" i="2"/>
  <c r="P646" i="2" s="1"/>
  <c r="Q646" i="2" s="1"/>
  <c r="O676" i="2"/>
  <c r="P676" i="2" s="1"/>
  <c r="Q676" i="2" s="1"/>
  <c r="O881" i="2"/>
  <c r="P881" i="2" s="1"/>
  <c r="Q881" i="2" s="1"/>
  <c r="O934" i="2"/>
  <c r="P934" i="2" s="1"/>
  <c r="Q934" i="2" s="1"/>
  <c r="O935" i="2"/>
  <c r="P935" i="2" s="1"/>
  <c r="Q935" i="2" s="1"/>
  <c r="O911" i="2"/>
  <c r="P911" i="2" s="1"/>
  <c r="Q911" i="2" s="1"/>
  <c r="O891" i="2"/>
  <c r="P891" i="2" s="1"/>
  <c r="Q891" i="2" s="1"/>
  <c r="F3120" i="3"/>
  <c r="K3120" i="3" s="1"/>
  <c r="J3120" i="3"/>
  <c r="H3120" i="3"/>
  <c r="B3120" i="3"/>
  <c r="C3120" i="3" s="1"/>
  <c r="I3120" i="3"/>
  <c r="B3065" i="3"/>
  <c r="C3065" i="3" s="1"/>
  <c r="J3065" i="3"/>
  <c r="G2888" i="3"/>
  <c r="F2888" i="3"/>
  <c r="K2888" i="3" s="1"/>
  <c r="I3041" i="3"/>
  <c r="H3041" i="3"/>
  <c r="J3041" i="3"/>
  <c r="F3041" i="3"/>
  <c r="K3041" i="3" s="1"/>
  <c r="B3041" i="3"/>
  <c r="C3041" i="3" s="1"/>
  <c r="I2909" i="3"/>
  <c r="H2909" i="3"/>
  <c r="G2909" i="3"/>
  <c r="B2909" i="3"/>
  <c r="C2909" i="3" s="1"/>
  <c r="J2909" i="3"/>
  <c r="F2909" i="3"/>
  <c r="K2909" i="3" s="1"/>
  <c r="F3126" i="3"/>
  <c r="K3126" i="3" s="1"/>
  <c r="J3126" i="3"/>
  <c r="G3126" i="3"/>
  <c r="I3121" i="3"/>
  <c r="F3121" i="3"/>
  <c r="K3121" i="3" s="1"/>
  <c r="B3121" i="3"/>
  <c r="C3121" i="3" s="1"/>
  <c r="J3121" i="3"/>
  <c r="B3087" i="3"/>
  <c r="C3087" i="3" s="1"/>
  <c r="J3087" i="3"/>
  <c r="H3087" i="3"/>
  <c r="I3087" i="3"/>
  <c r="G3087" i="3"/>
  <c r="F3087" i="3"/>
  <c r="K3087" i="3" s="1"/>
  <c r="G2843" i="3"/>
  <c r="B2843" i="3"/>
  <c r="C2843" i="3" s="1"/>
  <c r="H2843" i="3"/>
  <c r="F2843" i="3"/>
  <c r="K2843" i="3" s="1"/>
  <c r="G2767" i="3"/>
  <c r="I2767" i="3"/>
  <c r="H2767" i="3"/>
  <c r="B2767" i="3"/>
  <c r="C2767" i="3" s="1"/>
  <c r="J2570" i="3"/>
  <c r="I2570" i="3"/>
  <c r="H2570" i="3"/>
  <c r="F2570" i="3"/>
  <c r="K2570" i="3" s="1"/>
  <c r="B2570" i="3"/>
  <c r="C2570" i="3" s="1"/>
  <c r="G2570" i="3"/>
  <c r="F2805" i="3"/>
  <c r="K2805" i="3" s="1"/>
  <c r="G2526" i="3"/>
  <c r="I2526" i="3"/>
  <c r="H2526" i="3"/>
  <c r="F2526" i="3"/>
  <c r="K2526" i="3" s="1"/>
  <c r="B2526" i="3"/>
  <c r="C2526" i="3" s="1"/>
  <c r="J2526" i="3"/>
  <c r="J2490" i="3"/>
  <c r="B2490" i="3"/>
  <c r="C2490" i="3" s="1"/>
  <c r="G2490" i="3"/>
  <c r="F2490" i="3"/>
  <c r="K2490" i="3" s="1"/>
  <c r="I2490" i="3"/>
  <c r="H2490" i="3"/>
  <c r="J2612" i="3"/>
  <c r="F2612" i="3"/>
  <c r="K2612" i="3" s="1"/>
  <c r="I2612" i="3"/>
  <c r="H2612" i="3"/>
  <c r="G2808" i="3"/>
  <c r="B2808" i="3"/>
  <c r="C2808" i="3" s="1"/>
  <c r="I2808" i="3"/>
  <c r="H2808" i="3"/>
  <c r="F2808" i="3"/>
  <c r="K2808" i="3" s="1"/>
  <c r="J2808" i="3"/>
  <c r="I2904" i="3"/>
  <c r="J2904" i="3"/>
  <c r="G2904" i="3"/>
  <c r="F2904" i="3"/>
  <c r="K2904" i="3" s="1"/>
  <c r="B2904" i="3"/>
  <c r="C2904" i="3" s="1"/>
  <c r="H2884" i="3"/>
  <c r="J2884" i="3"/>
  <c r="G2884" i="3"/>
  <c r="I2884" i="3"/>
  <c r="F2884" i="3"/>
  <c r="K2884" i="3" s="1"/>
  <c r="B2884" i="3"/>
  <c r="C2884" i="3" s="1"/>
  <c r="J2381" i="3"/>
  <c r="H2381" i="3"/>
  <c r="G2381" i="3"/>
  <c r="F2381" i="3"/>
  <c r="K2381" i="3" s="1"/>
  <c r="B2381" i="3"/>
  <c r="C2381" i="3" s="1"/>
  <c r="F2637" i="3"/>
  <c r="K2637" i="3" s="1"/>
  <c r="J2637" i="3"/>
  <c r="I2637" i="3"/>
  <c r="B2637" i="3"/>
  <c r="C2637" i="3" s="1"/>
  <c r="H2637" i="3"/>
  <c r="G2637" i="3"/>
  <c r="I2685" i="3"/>
  <c r="G2685" i="3"/>
  <c r="F2685" i="3"/>
  <c r="K2685" i="3" s="1"/>
  <c r="B2685" i="3"/>
  <c r="C2685" i="3" s="1"/>
  <c r="O414" i="2"/>
  <c r="P414" i="2" s="1"/>
  <c r="Q414" i="2" s="1"/>
  <c r="O309" i="2"/>
  <c r="P309" i="2" s="1"/>
  <c r="Q309" i="2" s="1"/>
  <c r="O385" i="2"/>
  <c r="P385" i="2" s="1"/>
  <c r="Q385" i="2" s="1"/>
  <c r="O454" i="2"/>
  <c r="P454" i="2" s="1"/>
  <c r="Q454" i="2" s="1"/>
  <c r="O578" i="2"/>
  <c r="P578" i="2" s="1"/>
  <c r="Q578" i="2" s="1"/>
  <c r="O659" i="2"/>
  <c r="P659" i="2" s="1"/>
  <c r="Q659" i="2" s="1"/>
  <c r="O704" i="2"/>
  <c r="P704" i="2" s="1"/>
  <c r="Q704" i="2" s="1"/>
  <c r="O628" i="2"/>
  <c r="P628" i="2" s="1"/>
  <c r="Q628" i="2" s="1"/>
  <c r="O856" i="2"/>
  <c r="P856" i="2" s="1"/>
  <c r="Q856" i="2" s="1"/>
  <c r="O686" i="2"/>
  <c r="P686" i="2" s="1"/>
  <c r="Q686" i="2" s="1"/>
  <c r="O817" i="2"/>
  <c r="P817" i="2" s="1"/>
  <c r="Q817" i="2" s="1"/>
  <c r="O853" i="2"/>
  <c r="P853" i="2" s="1"/>
  <c r="Q853" i="2" s="1"/>
  <c r="O863" i="2"/>
  <c r="P863" i="2" s="1"/>
  <c r="Q863" i="2" s="1"/>
  <c r="O805" i="2"/>
  <c r="P805" i="2" s="1"/>
  <c r="Q805" i="2" s="1"/>
  <c r="O810" i="2"/>
  <c r="P810" i="2" s="1"/>
  <c r="Q810" i="2" s="1"/>
  <c r="O667" i="2"/>
  <c r="P667" i="2" s="1"/>
  <c r="Q667" i="2" s="1"/>
  <c r="O697" i="2"/>
  <c r="P697" i="2" s="1"/>
  <c r="Q697" i="2" s="1"/>
  <c r="O887" i="2"/>
  <c r="P887" i="2" s="1"/>
  <c r="Q887" i="2" s="1"/>
  <c r="O893" i="2"/>
  <c r="P893" i="2" s="1"/>
  <c r="Q893" i="2" s="1"/>
  <c r="O912" i="2"/>
  <c r="P912" i="2" s="1"/>
  <c r="Q912" i="2" s="1"/>
  <c r="I3130" i="3"/>
  <c r="B3130" i="3"/>
  <c r="C3130" i="3" s="1"/>
  <c r="I3073" i="3"/>
  <c r="B3073" i="3"/>
  <c r="C3073" i="3" s="1"/>
  <c r="G3073" i="3"/>
  <c r="G2868" i="3"/>
  <c r="B2868" i="3"/>
  <c r="C2868" i="3" s="1"/>
  <c r="H2868" i="3"/>
  <c r="B3007" i="3"/>
  <c r="C3007" i="3" s="1"/>
  <c r="J3007" i="3"/>
  <c r="I3007" i="3"/>
  <c r="H3007" i="3"/>
  <c r="G3007" i="3"/>
  <c r="F3007" i="3"/>
  <c r="K3007" i="3" s="1"/>
  <c r="J2837" i="3"/>
  <c r="I2837" i="3"/>
  <c r="G2837" i="3"/>
  <c r="F2837" i="3"/>
  <c r="K2837" i="3" s="1"/>
  <c r="H2837" i="3"/>
  <c r="H2761" i="3"/>
  <c r="J2761" i="3"/>
  <c r="I2761" i="3"/>
  <c r="G2928" i="3"/>
  <c r="H2928" i="3"/>
  <c r="I2928" i="3"/>
  <c r="B2928" i="3"/>
  <c r="C2928" i="3" s="1"/>
  <c r="J3077" i="3"/>
  <c r="F3077" i="3"/>
  <c r="K3077" i="3" s="1"/>
  <c r="H3077" i="3"/>
  <c r="B3077" i="3"/>
  <c r="C3077" i="3" s="1"/>
  <c r="G3077" i="3"/>
  <c r="B2817" i="3"/>
  <c r="C2817" i="3" s="1"/>
  <c r="H2817" i="3"/>
  <c r="F2817" i="3"/>
  <c r="K2817" i="3" s="1"/>
  <c r="G2817" i="3"/>
  <c r="I2817" i="3"/>
  <c r="F2825" i="3"/>
  <c r="K2825" i="3" s="1"/>
  <c r="B2915" i="3"/>
  <c r="C2915" i="3" s="1"/>
  <c r="F2915" i="3"/>
  <c r="K2915" i="3" s="1"/>
  <c r="H2915" i="3"/>
  <c r="B2757" i="3"/>
  <c r="C2757" i="3" s="1"/>
  <c r="H2757" i="3"/>
  <c r="G2757" i="3"/>
  <c r="I2757" i="3"/>
  <c r="F2757" i="3"/>
  <c r="K2757" i="3" s="1"/>
  <c r="I2887" i="3"/>
  <c r="G2887" i="3"/>
  <c r="F2887" i="3"/>
  <c r="K2887" i="3" s="1"/>
  <c r="B2887" i="3"/>
  <c r="C2887" i="3" s="1"/>
  <c r="J2887" i="3"/>
  <c r="H2887" i="3"/>
  <c r="G2736" i="3"/>
  <c r="B2736" i="3"/>
  <c r="C2736" i="3" s="1"/>
  <c r="H2736" i="3"/>
  <c r="F2736" i="3"/>
  <c r="K2736" i="3" s="1"/>
  <c r="F2799" i="3"/>
  <c r="K2799" i="3" s="1"/>
  <c r="I2799" i="3"/>
  <c r="H2799" i="3"/>
  <c r="G2799" i="3"/>
  <c r="J2799" i="3"/>
  <c r="F2989" i="3"/>
  <c r="K2989" i="3" s="1"/>
  <c r="J2989" i="3"/>
  <c r="H2989" i="3"/>
  <c r="B2989" i="3"/>
  <c r="C2989" i="3" s="1"/>
  <c r="I2989" i="3"/>
  <c r="G2989" i="3"/>
  <c r="H2575" i="3"/>
  <c r="J2575" i="3"/>
  <c r="I2575" i="3"/>
  <c r="F2575" i="3"/>
  <c r="K2575" i="3" s="1"/>
  <c r="B2575" i="3"/>
  <c r="C2575" i="3" s="1"/>
  <c r="G2575" i="3"/>
  <c r="I2688" i="3"/>
  <c r="B2688" i="3"/>
  <c r="C2688" i="3" s="1"/>
  <c r="J2688" i="3"/>
  <c r="H2688" i="3"/>
  <c r="G2688" i="3"/>
  <c r="F2688" i="3"/>
  <c r="K2688" i="3" s="1"/>
  <c r="F2819" i="3"/>
  <c r="K2819" i="3" s="1"/>
  <c r="I2819" i="3"/>
  <c r="G2819" i="3"/>
  <c r="J2819" i="3"/>
  <c r="H2819" i="3"/>
  <c r="J2531" i="3"/>
  <c r="G2531" i="3"/>
  <c r="F2531" i="3"/>
  <c r="K2531" i="3" s="1"/>
  <c r="B2531" i="3"/>
  <c r="C2531" i="3" s="1"/>
  <c r="I2531" i="3"/>
  <c r="H2531" i="3"/>
  <c r="I2473" i="3"/>
  <c r="B2473" i="3"/>
  <c r="C2473" i="3" s="1"/>
  <c r="H2503" i="3"/>
  <c r="G2503" i="3"/>
  <c r="I2503" i="3"/>
  <c r="H2769" i="3"/>
  <c r="J2769" i="3"/>
  <c r="I2769" i="3"/>
  <c r="G2769" i="3"/>
  <c r="B2769" i="3"/>
  <c r="C2769" i="3" s="1"/>
  <c r="F2769" i="3"/>
  <c r="K2769" i="3" s="1"/>
  <c r="F2956" i="3"/>
  <c r="K2956" i="3" s="1"/>
  <c r="G2956" i="3"/>
  <c r="F2483" i="3"/>
  <c r="K2483" i="3" s="1"/>
  <c r="J2483" i="3"/>
  <c r="H2483" i="3"/>
  <c r="I2483" i="3"/>
  <c r="G2483" i="3"/>
  <c r="B2483" i="3"/>
  <c r="C2483" i="3" s="1"/>
  <c r="B2657" i="3"/>
  <c r="C2657" i="3" s="1"/>
  <c r="J2657" i="3"/>
  <c r="I2657" i="3"/>
  <c r="G2657" i="3"/>
  <c r="H2657" i="3"/>
  <c r="I2665" i="3"/>
  <c r="G2665" i="3"/>
  <c r="F2665" i="3"/>
  <c r="K2665" i="3" s="1"/>
  <c r="B2665" i="3"/>
  <c r="C2665" i="3" s="1"/>
  <c r="O503" i="2"/>
  <c r="P503" i="2" s="1"/>
  <c r="Q503" i="2" s="1"/>
  <c r="O317" i="2"/>
  <c r="P317" i="2" s="1"/>
  <c r="Q317" i="2" s="1"/>
  <c r="O431" i="2"/>
  <c r="P431" i="2" s="1"/>
  <c r="Q431" i="2" s="1"/>
  <c r="O330" i="2"/>
  <c r="P330" i="2" s="1"/>
  <c r="Q330" i="2" s="1"/>
  <c r="O406" i="2"/>
  <c r="P406" i="2" s="1"/>
  <c r="Q406" i="2" s="1"/>
  <c r="O463" i="2"/>
  <c r="P463" i="2" s="1"/>
  <c r="Q463" i="2" s="1"/>
  <c r="O620" i="2"/>
  <c r="P620" i="2" s="1"/>
  <c r="Q620" i="2" s="1"/>
  <c r="O732" i="2"/>
  <c r="P732" i="2" s="1"/>
  <c r="Q732" i="2" s="1"/>
  <c r="O656" i="2"/>
  <c r="P656" i="2" s="1"/>
  <c r="Q656" i="2" s="1"/>
  <c r="O647" i="2"/>
  <c r="P647" i="2" s="1"/>
  <c r="Q647" i="2" s="1"/>
  <c r="O900" i="2"/>
  <c r="P900" i="2" s="1"/>
  <c r="Q900" i="2" s="1"/>
  <c r="O707" i="2"/>
  <c r="P707" i="2" s="1"/>
  <c r="Q707" i="2" s="1"/>
  <c r="O826" i="2"/>
  <c r="P826" i="2" s="1"/>
  <c r="Q826" i="2" s="1"/>
  <c r="O878" i="2"/>
  <c r="P878" i="2" s="1"/>
  <c r="Q878" i="2" s="1"/>
  <c r="O904" i="2"/>
  <c r="P904" i="2" s="1"/>
  <c r="Q904" i="2" s="1"/>
  <c r="O814" i="2"/>
  <c r="P814" i="2" s="1"/>
  <c r="Q814" i="2" s="1"/>
  <c r="O841" i="2"/>
  <c r="P841" i="2" s="1"/>
  <c r="Q841" i="2" s="1"/>
  <c r="O684" i="2"/>
  <c r="P684" i="2" s="1"/>
  <c r="Q684" i="2" s="1"/>
  <c r="O718" i="2"/>
  <c r="P718" i="2" s="1"/>
  <c r="Q718" i="2" s="1"/>
  <c r="O951" i="2"/>
  <c r="P951" i="2" s="1"/>
  <c r="Q951" i="2" s="1"/>
  <c r="O910" i="2"/>
  <c r="P910" i="2" s="1"/>
  <c r="Q910" i="2" s="1"/>
  <c r="I2845" i="3"/>
  <c r="G2845" i="3"/>
  <c r="B2845" i="3"/>
  <c r="C2845" i="3" s="1"/>
  <c r="F2845" i="3"/>
  <c r="K2845" i="3" s="1"/>
  <c r="J2845" i="3"/>
  <c r="H2845" i="3"/>
  <c r="I2991" i="3"/>
  <c r="B2991" i="3"/>
  <c r="C2991" i="3" s="1"/>
  <c r="J2991" i="3"/>
  <c r="H2991" i="3"/>
  <c r="J2882" i="3"/>
  <c r="I2882" i="3"/>
  <c r="H2929" i="3"/>
  <c r="G2929" i="3"/>
  <c r="B2929" i="3"/>
  <c r="C2929" i="3" s="1"/>
  <c r="J2929" i="3"/>
  <c r="I2929" i="3"/>
  <c r="F2929" i="3"/>
  <c r="K2929" i="3" s="1"/>
  <c r="I3016" i="3"/>
  <c r="G3016" i="3"/>
  <c r="J3016" i="3"/>
  <c r="H3016" i="3"/>
  <c r="F3016" i="3"/>
  <c r="K3016" i="3" s="1"/>
  <c r="B3016" i="3"/>
  <c r="C3016" i="3" s="1"/>
  <c r="B2840" i="3"/>
  <c r="C2840" i="3" s="1"/>
  <c r="G2840" i="3"/>
  <c r="F2785" i="3"/>
  <c r="K2785" i="3" s="1"/>
  <c r="B3067" i="3"/>
  <c r="C3067" i="3" s="1"/>
  <c r="H3067" i="3"/>
  <c r="J3067" i="3"/>
  <c r="I3067" i="3"/>
  <c r="G3067" i="3"/>
  <c r="F3067" i="3"/>
  <c r="K3067" i="3" s="1"/>
  <c r="J2768" i="3"/>
  <c r="H2768" i="3"/>
  <c r="F2768" i="3"/>
  <c r="K2768" i="3" s="1"/>
  <c r="B2768" i="3"/>
  <c r="C2768" i="3" s="1"/>
  <c r="I2768" i="3"/>
  <c r="G2768" i="3"/>
  <c r="B3028" i="3"/>
  <c r="C3028" i="3" s="1"/>
  <c r="G3028" i="3"/>
  <c r="J2878" i="3"/>
  <c r="I2878" i="3"/>
  <c r="H2878" i="3"/>
  <c r="B2878" i="3"/>
  <c r="C2878" i="3" s="1"/>
  <c r="G2878" i="3"/>
  <c r="F2878" i="3"/>
  <c r="K2878" i="3" s="1"/>
  <c r="G3131" i="3"/>
  <c r="F3131" i="3"/>
  <c r="K3131" i="3" s="1"/>
  <c r="B3131" i="3"/>
  <c r="C3131" i="3" s="1"/>
  <c r="J3131" i="3"/>
  <c r="I3131" i="3"/>
  <c r="H3131" i="3"/>
  <c r="J2567" i="3"/>
  <c r="H2567" i="3"/>
  <c r="F2567" i="3"/>
  <c r="K2567" i="3" s="1"/>
  <c r="G2567" i="3"/>
  <c r="I2907" i="3"/>
  <c r="J2907" i="3"/>
  <c r="G2907" i="3"/>
  <c r="B2907" i="3"/>
  <c r="C2907" i="3" s="1"/>
  <c r="H2907" i="3"/>
  <c r="F2907" i="3"/>
  <c r="K2907" i="3" s="1"/>
  <c r="B2391" i="3"/>
  <c r="C2391" i="3" s="1"/>
  <c r="J2391" i="3"/>
  <c r="I2391" i="3"/>
  <c r="H2391" i="3"/>
  <c r="F2391" i="3"/>
  <c r="K2391" i="3" s="1"/>
  <c r="G2391" i="3"/>
  <c r="H2595" i="3"/>
  <c r="J2595" i="3"/>
  <c r="I2595" i="3"/>
  <c r="G2595" i="3"/>
  <c r="B2595" i="3"/>
  <c r="C2595" i="3" s="1"/>
  <c r="F2595" i="3"/>
  <c r="K2595" i="3" s="1"/>
  <c r="I2724" i="3"/>
  <c r="B2724" i="3"/>
  <c r="C2724" i="3" s="1"/>
  <c r="J2849" i="3"/>
  <c r="H2849" i="3"/>
  <c r="F2849" i="3"/>
  <c r="K2849" i="3" s="1"/>
  <c r="I2849" i="3"/>
  <c r="B2849" i="3"/>
  <c r="C2849" i="3" s="1"/>
  <c r="G2849" i="3"/>
  <c r="I2556" i="3"/>
  <c r="J2556" i="3"/>
  <c r="G2556" i="3"/>
  <c r="B2556" i="3"/>
  <c r="C2556" i="3" s="1"/>
  <c r="F2494" i="3"/>
  <c r="K2494" i="3" s="1"/>
  <c r="B2494" i="3"/>
  <c r="C2494" i="3" s="1"/>
  <c r="J2494" i="3"/>
  <c r="H2494" i="3"/>
  <c r="B2700" i="3"/>
  <c r="C2700" i="3" s="1"/>
  <c r="F2700" i="3"/>
  <c r="K2700" i="3" s="1"/>
  <c r="I2700" i="3"/>
  <c r="G2700" i="3"/>
  <c r="H2700" i="3"/>
  <c r="J2700" i="3"/>
  <c r="I3003" i="3"/>
  <c r="G3003" i="3"/>
  <c r="J3003" i="3"/>
  <c r="F3003" i="3"/>
  <c r="K3003" i="3" s="1"/>
  <c r="B3003" i="3"/>
  <c r="C3003" i="3" s="1"/>
  <c r="J3037" i="3"/>
  <c r="G3037" i="3"/>
  <c r="H3037" i="3"/>
  <c r="F3037" i="3"/>
  <c r="K3037" i="3" s="1"/>
  <c r="B3037" i="3"/>
  <c r="C3037" i="3" s="1"/>
  <c r="B2858" i="3"/>
  <c r="C2858" i="3" s="1"/>
  <c r="F2858" i="3"/>
  <c r="K2858" i="3" s="1"/>
  <c r="I2858" i="3"/>
  <c r="G2858" i="3"/>
  <c r="H2858" i="3"/>
  <c r="O303" i="2"/>
  <c r="P303" i="2" s="1"/>
  <c r="Q303" i="2" s="1"/>
  <c r="O502" i="2"/>
  <c r="P502" i="2" s="1"/>
  <c r="Q502" i="2" s="1"/>
  <c r="O461" i="2"/>
  <c r="P461" i="2" s="1"/>
  <c r="Q461" i="2" s="1"/>
  <c r="O631" i="2"/>
  <c r="P631" i="2" s="1"/>
  <c r="Q631" i="2" s="1"/>
  <c r="O325" i="2"/>
  <c r="P325" i="2" s="1"/>
  <c r="Q325" i="2" s="1"/>
  <c r="O512" i="2"/>
  <c r="P512" i="2" s="1"/>
  <c r="Q512" i="2" s="1"/>
  <c r="O338" i="2"/>
  <c r="P338" i="2" s="1"/>
  <c r="Q338" i="2" s="1"/>
  <c r="O444" i="2"/>
  <c r="P444" i="2" s="1"/>
  <c r="Q444" i="2" s="1"/>
  <c r="O347" i="2"/>
  <c r="P347" i="2" s="1"/>
  <c r="Q347" i="2" s="1"/>
  <c r="O423" i="2"/>
  <c r="P423" i="2" s="1"/>
  <c r="Q423" i="2" s="1"/>
  <c r="O472" i="2"/>
  <c r="P472" i="2" s="1"/>
  <c r="Q472" i="2" s="1"/>
  <c r="O639" i="2"/>
  <c r="P639" i="2" s="1"/>
  <c r="Q639" i="2" s="1"/>
  <c r="O767" i="2"/>
  <c r="P767" i="2" s="1"/>
  <c r="Q767" i="2" s="1"/>
  <c r="O665" i="2"/>
  <c r="P665" i="2" s="1"/>
  <c r="Q665" i="2" s="1"/>
  <c r="O652" i="2"/>
  <c r="P652" i="2" s="1"/>
  <c r="Q652" i="2" s="1"/>
  <c r="O925" i="2"/>
  <c r="P925" i="2" s="1"/>
  <c r="Q925" i="2" s="1"/>
  <c r="O724" i="2"/>
  <c r="P724" i="2" s="1"/>
  <c r="Q724" i="2" s="1"/>
  <c r="O729" i="2"/>
  <c r="P729" i="2" s="1"/>
  <c r="Q729" i="2" s="1"/>
  <c r="O700" i="2"/>
  <c r="P700" i="2" s="1"/>
  <c r="Q700" i="2" s="1"/>
  <c r="O845" i="2"/>
  <c r="P845" i="2" s="1"/>
  <c r="Q845" i="2" s="1"/>
  <c r="O850" i="2"/>
  <c r="P850" i="2" s="1"/>
  <c r="Q850" i="2" s="1"/>
  <c r="O705" i="2"/>
  <c r="P705" i="2" s="1"/>
  <c r="Q705" i="2" s="1"/>
  <c r="O735" i="2"/>
  <c r="P735" i="2" s="1"/>
  <c r="Q735" i="2" s="1"/>
  <c r="O651" i="2"/>
  <c r="P651" i="2" s="1"/>
  <c r="Q651" i="2" s="1"/>
  <c r="O909" i="2"/>
  <c r="P909" i="2" s="1"/>
  <c r="Q909" i="2" s="1"/>
  <c r="O869" i="2"/>
  <c r="P869" i="2" s="1"/>
  <c r="G3106" i="3"/>
  <c r="F3106" i="3"/>
  <c r="K3106" i="3" s="1"/>
  <c r="J3106" i="3"/>
  <c r="B3033" i="3"/>
  <c r="C3033" i="3" s="1"/>
  <c r="G3033" i="3"/>
  <c r="B3027" i="3"/>
  <c r="C3027" i="3" s="1"/>
  <c r="I3027" i="3"/>
  <c r="G3027" i="3"/>
  <c r="J3027" i="3"/>
  <c r="F3027" i="3"/>
  <c r="K3027" i="3" s="1"/>
  <c r="H3027" i="3"/>
  <c r="I2832" i="3"/>
  <c r="J2832" i="3"/>
  <c r="J2967" i="3"/>
  <c r="H2967" i="3"/>
  <c r="I2967" i="3"/>
  <c r="G2967" i="3"/>
  <c r="F2967" i="3"/>
  <c r="K2967" i="3" s="1"/>
  <c r="B2967" i="3"/>
  <c r="C2967" i="3" s="1"/>
  <c r="G2873" i="3"/>
  <c r="F2873" i="3"/>
  <c r="K2873" i="3" s="1"/>
  <c r="B2935" i="3"/>
  <c r="C2935" i="3" s="1"/>
  <c r="F2935" i="3"/>
  <c r="K2935" i="3" s="1"/>
  <c r="H2935" i="3"/>
  <c r="J3034" i="3"/>
  <c r="H3034" i="3"/>
  <c r="G3034" i="3"/>
  <c r="F3034" i="3"/>
  <c r="K3034" i="3" s="1"/>
  <c r="I3034" i="3"/>
  <c r="G2857" i="3"/>
  <c r="F2857" i="3"/>
  <c r="K2857" i="3" s="1"/>
  <c r="H2939" i="3"/>
  <c r="I2939" i="3"/>
  <c r="J2939" i="3"/>
  <c r="F2939" i="3"/>
  <c r="K2939" i="3" s="1"/>
  <c r="B2939" i="3"/>
  <c r="C2939" i="3" s="1"/>
  <c r="G3004" i="3"/>
  <c r="H3004" i="3"/>
  <c r="J3019" i="3"/>
  <c r="I3019" i="3"/>
  <c r="I2870" i="3"/>
  <c r="B2870" i="3"/>
  <c r="C2870" i="3" s="1"/>
  <c r="J3015" i="3"/>
  <c r="H3015" i="3"/>
  <c r="F3015" i="3"/>
  <c r="K3015" i="3" s="1"/>
  <c r="B3015" i="3"/>
  <c r="C3015" i="3" s="1"/>
  <c r="I3015" i="3"/>
  <c r="J2405" i="3"/>
  <c r="I2405" i="3"/>
  <c r="H2405" i="3"/>
  <c r="G2405" i="3"/>
  <c r="F2405" i="3"/>
  <c r="K2405" i="3" s="1"/>
  <c r="B2405" i="3"/>
  <c r="C2405" i="3" s="1"/>
  <c r="F2750" i="3"/>
  <c r="K2750" i="3" s="1"/>
  <c r="I2750" i="3"/>
  <c r="H2750" i="3"/>
  <c r="B2750" i="3"/>
  <c r="C2750" i="3" s="1"/>
  <c r="J2750" i="3"/>
  <c r="G2750" i="3"/>
  <c r="J2996" i="3"/>
  <c r="H2996" i="3"/>
  <c r="F2996" i="3"/>
  <c r="K2996" i="3" s="1"/>
  <c r="B2996" i="3"/>
  <c r="C2996" i="3" s="1"/>
  <c r="I2996" i="3"/>
  <c r="G2996" i="3"/>
  <c r="B2581" i="3"/>
  <c r="C2581" i="3" s="1"/>
  <c r="H2581" i="3"/>
  <c r="G2581" i="3"/>
  <c r="F2581" i="3"/>
  <c r="K2581" i="3" s="1"/>
  <c r="J2581" i="3"/>
  <c r="I2581" i="3"/>
  <c r="J2498" i="3"/>
  <c r="F2498" i="3"/>
  <c r="K2498" i="3" s="1"/>
  <c r="G2519" i="3"/>
  <c r="F2519" i="3"/>
  <c r="K2519" i="3" s="1"/>
  <c r="B2519" i="3"/>
  <c r="C2519" i="3" s="1"/>
  <c r="J2519" i="3"/>
  <c r="H2519" i="3"/>
  <c r="I2519" i="3"/>
  <c r="G2853" i="3"/>
  <c r="J2853" i="3"/>
  <c r="I2853" i="3"/>
  <c r="H2853" i="3"/>
  <c r="J2901" i="3"/>
  <c r="G2901" i="3"/>
  <c r="B2901" i="3"/>
  <c r="C2901" i="3" s="1"/>
  <c r="H2901" i="3"/>
  <c r="F2901" i="3"/>
  <c r="K2901" i="3" s="1"/>
  <c r="F2396" i="3"/>
  <c r="K2396" i="3" s="1"/>
  <c r="B2396" i="3"/>
  <c r="C2396" i="3" s="1"/>
  <c r="G2396" i="3"/>
  <c r="B2409" i="3"/>
  <c r="C2409" i="3" s="1"/>
  <c r="H2409" i="3"/>
  <c r="G2409" i="3"/>
  <c r="F2409" i="3"/>
  <c r="K2409" i="3" s="1"/>
  <c r="J2409" i="3"/>
  <c r="I2409" i="3"/>
  <c r="J2501" i="3"/>
  <c r="G2501" i="3"/>
  <c r="F2501" i="3"/>
  <c r="K2501" i="3" s="1"/>
  <c r="I2728" i="3"/>
  <c r="H2728" i="3"/>
  <c r="F2728" i="3"/>
  <c r="K2728" i="3" s="1"/>
  <c r="J2728" i="3"/>
  <c r="G2728" i="3"/>
  <c r="B2728" i="3"/>
  <c r="C2728" i="3" s="1"/>
  <c r="O228" i="2"/>
  <c r="P228" i="2" s="1"/>
  <c r="Q228" i="2" s="1"/>
  <c r="O346" i="2"/>
  <c r="P346" i="2" s="1"/>
  <c r="Q346" i="2" s="1"/>
  <c r="O526" i="2"/>
  <c r="P526" i="2" s="1"/>
  <c r="Q526" i="2" s="1"/>
  <c r="O355" i="2"/>
  <c r="P355" i="2" s="1"/>
  <c r="Q355" i="2" s="1"/>
  <c r="O458" i="2"/>
  <c r="P458" i="2" s="1"/>
  <c r="Q458" i="2" s="1"/>
  <c r="O368" i="2"/>
  <c r="P368" i="2" s="1"/>
  <c r="Q368" i="2" s="1"/>
  <c r="O481" i="2"/>
  <c r="P481" i="2" s="1"/>
  <c r="Q481" i="2" s="1"/>
  <c r="O486" i="2"/>
  <c r="P486" i="2" s="1"/>
  <c r="Q486" i="2" s="1"/>
  <c r="O611" i="2"/>
  <c r="P611" i="2" s="1"/>
  <c r="Q611" i="2" s="1"/>
  <c r="O776" i="2"/>
  <c r="P776" i="2" s="1"/>
  <c r="Q776" i="2" s="1"/>
  <c r="O675" i="2"/>
  <c r="P675" i="2" s="1"/>
  <c r="Q675" i="2" s="1"/>
  <c r="O619" i="2"/>
  <c r="P619" i="2" s="1"/>
  <c r="Q619" i="2" s="1"/>
  <c r="O719" i="2"/>
  <c r="P719" i="2" s="1"/>
  <c r="Q719" i="2" s="1"/>
  <c r="O759" i="2"/>
  <c r="P759" i="2" s="1"/>
  <c r="Q759" i="2" s="1"/>
  <c r="O699" i="2"/>
  <c r="P699" i="2" s="1"/>
  <c r="Q699" i="2" s="1"/>
  <c r="O751" i="2"/>
  <c r="P751" i="2" s="1"/>
  <c r="Q751" i="2" s="1"/>
  <c r="O721" i="2"/>
  <c r="P721" i="2" s="1"/>
  <c r="Q721" i="2" s="1"/>
  <c r="O854" i="2"/>
  <c r="P854" i="2" s="1"/>
  <c r="Q854" i="2" s="1"/>
  <c r="O582" i="2"/>
  <c r="P582" i="2" s="1"/>
  <c r="Q582" i="2" s="1"/>
  <c r="O726" i="2"/>
  <c r="P726" i="2" s="1"/>
  <c r="Q726" i="2" s="1"/>
  <c r="O744" i="2"/>
  <c r="P744" i="2" s="1"/>
  <c r="O668" i="2"/>
  <c r="P668" i="2" s="1"/>
  <c r="Q668" i="2" s="1"/>
  <c r="O947" i="2"/>
  <c r="P947" i="2" s="1"/>
  <c r="Q947" i="2" s="1"/>
  <c r="O868" i="2"/>
  <c r="P868" i="2" s="1"/>
  <c r="Q868" i="2" s="1"/>
  <c r="O886" i="2"/>
  <c r="P886" i="2" s="1"/>
  <c r="O971" i="2"/>
  <c r="P971" i="2" s="1"/>
  <c r="Q971" i="2" s="1"/>
  <c r="B3107" i="3"/>
  <c r="C3107" i="3" s="1"/>
  <c r="G3107" i="3"/>
  <c r="F3107" i="3"/>
  <c r="K3107" i="3" s="1"/>
  <c r="I3107" i="3"/>
  <c r="J3107" i="3"/>
  <c r="H3107" i="3"/>
  <c r="G3046" i="3"/>
  <c r="J3046" i="3"/>
  <c r="F3046" i="3"/>
  <c r="K3046" i="3" s="1"/>
  <c r="I3001" i="3"/>
  <c r="H3001" i="3"/>
  <c r="F3001" i="3"/>
  <c r="K3001" i="3" s="1"/>
  <c r="G3001" i="3"/>
  <c r="J3001" i="3"/>
  <c r="B2814" i="3"/>
  <c r="C2814" i="3" s="1"/>
  <c r="H2814" i="3"/>
  <c r="J2814" i="3"/>
  <c r="F2814" i="3"/>
  <c r="K2814" i="3" s="1"/>
  <c r="H2844" i="3"/>
  <c r="J2844" i="3"/>
  <c r="G2844" i="3"/>
  <c r="F2844" i="3"/>
  <c r="K2844" i="3" s="1"/>
  <c r="I2844" i="3"/>
  <c r="G3031" i="3"/>
  <c r="J3031" i="3"/>
  <c r="B3031" i="3"/>
  <c r="C3031" i="3" s="1"/>
  <c r="I3031" i="3"/>
  <c r="J3049" i="3"/>
  <c r="G3049" i="3"/>
  <c r="J2881" i="3"/>
  <c r="I2881" i="3"/>
  <c r="G2881" i="3"/>
  <c r="H2881" i="3"/>
  <c r="B2881" i="3"/>
  <c r="C2881" i="3" s="1"/>
  <c r="G2897" i="3"/>
  <c r="J2897" i="3"/>
  <c r="B2897" i="3"/>
  <c r="C2897" i="3" s="1"/>
  <c r="B2955" i="3"/>
  <c r="C2955" i="3" s="1"/>
  <c r="H2955" i="3"/>
  <c r="F2955" i="3"/>
  <c r="K2955" i="3" s="1"/>
  <c r="H3122" i="3"/>
  <c r="J3122" i="3"/>
  <c r="F3122" i="3"/>
  <c r="K3122" i="3" s="1"/>
  <c r="I2997" i="3"/>
  <c r="H2997" i="3"/>
  <c r="F2862" i="3"/>
  <c r="K2862" i="3" s="1"/>
  <c r="J2655" i="3"/>
  <c r="B2655" i="3"/>
  <c r="C2655" i="3" s="1"/>
  <c r="H3123" i="3"/>
  <c r="F3123" i="3"/>
  <c r="K3123" i="3" s="1"/>
  <c r="B3123" i="3"/>
  <c r="C3123" i="3" s="1"/>
  <c r="G3123" i="3"/>
  <c r="F2422" i="3"/>
  <c r="K2422" i="3" s="1"/>
  <c r="I2422" i="3"/>
  <c r="J2640" i="3"/>
  <c r="B2640" i="3"/>
  <c r="C2640" i="3" s="1"/>
  <c r="H2776" i="3"/>
  <c r="G2776" i="3"/>
  <c r="B2776" i="3"/>
  <c r="C2776" i="3" s="1"/>
  <c r="F2776" i="3"/>
  <c r="K2776" i="3" s="1"/>
  <c r="I3021" i="3"/>
  <c r="G3021" i="3"/>
  <c r="B3021" i="3"/>
  <c r="C3021" i="3" s="1"/>
  <c r="J3021" i="3"/>
  <c r="F3021" i="3"/>
  <c r="K3021" i="3" s="1"/>
  <c r="H2584" i="3"/>
  <c r="I2584" i="3"/>
  <c r="J2584" i="3"/>
  <c r="G2584" i="3"/>
  <c r="B2584" i="3"/>
  <c r="C2584" i="3" s="1"/>
  <c r="G2619" i="3"/>
  <c r="H2619" i="3"/>
  <c r="F2619" i="3"/>
  <c r="K2619" i="3" s="1"/>
  <c r="J2619" i="3"/>
  <c r="I2619" i="3"/>
  <c r="F3002" i="3"/>
  <c r="K3002" i="3" s="1"/>
  <c r="J3002" i="3"/>
  <c r="H3002" i="3"/>
  <c r="F2403" i="3"/>
  <c r="K2403" i="3" s="1"/>
  <c r="B2403" i="3"/>
  <c r="C2403" i="3" s="1"/>
  <c r="J2403" i="3"/>
  <c r="G2403" i="3"/>
  <c r="B2913" i="3"/>
  <c r="C2913" i="3" s="1"/>
  <c r="F2913" i="3"/>
  <c r="K2913" i="3" s="1"/>
  <c r="O249" i="2"/>
  <c r="P249" i="2" s="1"/>
  <c r="Q249" i="2" s="1"/>
  <c r="O363" i="2"/>
  <c r="P363" i="2" s="1"/>
  <c r="Q363" i="2" s="1"/>
  <c r="O535" i="2"/>
  <c r="P535" i="2" s="1"/>
  <c r="Q535" i="2" s="1"/>
  <c r="O376" i="2"/>
  <c r="P376" i="2" s="1"/>
  <c r="Q376" i="2" s="1"/>
  <c r="O467" i="2"/>
  <c r="P467" i="2" s="1"/>
  <c r="Q467" i="2" s="1"/>
  <c r="O389" i="2"/>
  <c r="P389" i="2" s="1"/>
  <c r="Q389" i="2" s="1"/>
  <c r="O513" i="2"/>
  <c r="P513" i="2" s="1"/>
  <c r="Q513" i="2" s="1"/>
  <c r="O495" i="2"/>
  <c r="P495" i="2" s="1"/>
  <c r="Q495" i="2" s="1"/>
  <c r="O625" i="2"/>
  <c r="P625" i="2" s="1"/>
  <c r="Q625" i="2" s="1"/>
  <c r="O847" i="2"/>
  <c r="P847" i="2" s="1"/>
  <c r="Q847" i="2" s="1"/>
  <c r="O698" i="2"/>
  <c r="P698" i="2" s="1"/>
  <c r="Q698" i="2" s="1"/>
  <c r="O633" i="2"/>
  <c r="P633" i="2" s="1"/>
  <c r="Q633" i="2" s="1"/>
  <c r="O745" i="2"/>
  <c r="P745" i="2" s="1"/>
  <c r="Q745" i="2" s="1"/>
  <c r="O768" i="2"/>
  <c r="P768" i="2" s="1"/>
  <c r="Q768" i="2" s="1"/>
  <c r="O716" i="2"/>
  <c r="P716" i="2" s="1"/>
  <c r="Q716" i="2" s="1"/>
  <c r="O760" i="2"/>
  <c r="P760" i="2" s="1"/>
  <c r="Q760" i="2" s="1"/>
  <c r="O747" i="2"/>
  <c r="P747" i="2" s="1"/>
  <c r="Q747" i="2" s="1"/>
  <c r="O692" i="2"/>
  <c r="P692" i="2" s="1"/>
  <c r="Q692" i="2" s="1"/>
  <c r="O586" i="2"/>
  <c r="P586" i="2" s="1"/>
  <c r="Q586" i="2" s="1"/>
  <c r="O739" i="2"/>
  <c r="P739" i="2" s="1"/>
  <c r="Q739" i="2" s="1"/>
  <c r="O775" i="2"/>
  <c r="P775" i="2" s="1"/>
  <c r="Q775" i="2" s="1"/>
  <c r="O689" i="2"/>
  <c r="P689" i="2" s="1"/>
  <c r="Q689" i="2" s="1"/>
  <c r="O889" i="2"/>
  <c r="P889" i="2" s="1"/>
  <c r="Q889" i="2" s="1"/>
  <c r="O907" i="2"/>
  <c r="P907" i="2" s="1"/>
  <c r="Q907" i="2" s="1"/>
  <c r="I3113" i="3"/>
  <c r="G3113" i="3"/>
  <c r="B3113" i="3"/>
  <c r="C3113" i="3" s="1"/>
  <c r="I3061" i="3"/>
  <c r="J3061" i="3"/>
  <c r="B3061" i="3"/>
  <c r="C3061" i="3" s="1"/>
  <c r="F3061" i="3"/>
  <c r="K3061" i="3" s="1"/>
  <c r="J3137" i="3"/>
  <c r="B3137" i="3"/>
  <c r="C3137" i="3" s="1"/>
  <c r="H3137" i="3"/>
  <c r="G3137" i="3"/>
  <c r="F3137" i="3"/>
  <c r="K3137" i="3" s="1"/>
  <c r="I2927" i="3"/>
  <c r="G2927" i="3"/>
  <c r="B2927" i="3"/>
  <c r="C2927" i="3" s="1"/>
  <c r="J2927" i="3"/>
  <c r="H2927" i="3"/>
  <c r="F2927" i="3"/>
  <c r="K2927" i="3" s="1"/>
  <c r="H2838" i="3"/>
  <c r="J2838" i="3"/>
  <c r="I2838" i="3"/>
  <c r="F2838" i="3"/>
  <c r="K2838" i="3" s="1"/>
  <c r="G2838" i="3"/>
  <c r="B2838" i="3"/>
  <c r="C2838" i="3" s="1"/>
  <c r="B3047" i="3"/>
  <c r="C3047" i="3" s="1"/>
  <c r="F3047" i="3"/>
  <c r="K3047" i="3" s="1"/>
  <c r="J3047" i="3"/>
  <c r="H3047" i="3"/>
  <c r="G3047" i="3"/>
  <c r="I3047" i="3"/>
  <c r="H3096" i="3"/>
  <c r="F3096" i="3"/>
  <c r="K3096" i="3" s="1"/>
  <c r="B3096" i="3"/>
  <c r="C3096" i="3" s="1"/>
  <c r="J3096" i="3"/>
  <c r="G3096" i="3"/>
  <c r="I3096" i="3"/>
  <c r="J2885" i="3"/>
  <c r="B2885" i="3"/>
  <c r="C2885" i="3" s="1"/>
  <c r="I2924" i="3"/>
  <c r="G2924" i="3"/>
  <c r="J2924" i="3"/>
  <c r="F2924" i="3"/>
  <c r="K2924" i="3" s="1"/>
  <c r="B2924" i="3"/>
  <c r="C2924" i="3" s="1"/>
  <c r="G2976" i="3"/>
  <c r="F2976" i="3"/>
  <c r="K2976" i="3" s="1"/>
  <c r="B2949" i="3"/>
  <c r="C2949" i="3" s="1"/>
  <c r="G2949" i="3"/>
  <c r="J2949" i="3"/>
  <c r="H2949" i="3"/>
  <c r="F2949" i="3"/>
  <c r="K2949" i="3" s="1"/>
  <c r="I2949" i="3"/>
  <c r="J2981" i="3"/>
  <c r="B2981" i="3"/>
  <c r="C2981" i="3" s="1"/>
  <c r="G2981" i="3"/>
  <c r="H2981" i="3"/>
  <c r="F2981" i="3"/>
  <c r="K2981" i="3" s="1"/>
  <c r="J2815" i="3"/>
  <c r="B2815" i="3"/>
  <c r="C2815" i="3" s="1"/>
  <c r="I2727" i="3"/>
  <c r="H2727" i="3"/>
  <c r="F2727" i="3"/>
  <c r="K2727" i="3" s="1"/>
  <c r="B2727" i="3"/>
  <c r="C2727" i="3" s="1"/>
  <c r="G2727" i="3"/>
  <c r="I2658" i="3"/>
  <c r="F2658" i="3"/>
  <c r="K2658" i="3" s="1"/>
  <c r="J2658" i="3"/>
  <c r="H2658" i="3"/>
  <c r="B2658" i="3"/>
  <c r="C2658" i="3" s="1"/>
  <c r="G3051" i="3"/>
  <c r="B3051" i="3"/>
  <c r="C3051" i="3" s="1"/>
  <c r="J3051" i="3"/>
  <c r="I3051" i="3"/>
  <c r="F2590" i="3"/>
  <c r="K2590" i="3" s="1"/>
  <c r="I2590" i="3"/>
  <c r="H2590" i="3"/>
  <c r="G2590" i="3"/>
  <c r="B2590" i="3"/>
  <c r="C2590" i="3" s="1"/>
  <c r="J2590" i="3"/>
  <c r="I2536" i="3"/>
  <c r="F2536" i="3"/>
  <c r="K2536" i="3" s="1"/>
  <c r="B2536" i="3"/>
  <c r="C2536" i="3" s="1"/>
  <c r="J2839" i="3"/>
  <c r="H2839" i="3"/>
  <c r="I2839" i="3"/>
  <c r="G2839" i="3"/>
  <c r="B2839" i="3"/>
  <c r="C2839" i="3" s="1"/>
  <c r="F2839" i="3"/>
  <c r="K2839" i="3" s="1"/>
  <c r="B2420" i="3"/>
  <c r="C2420" i="3" s="1"/>
  <c r="I2420" i="3"/>
  <c r="F2420" i="3"/>
  <c r="K2420" i="3" s="1"/>
  <c r="J2420" i="3"/>
  <c r="J2446" i="3"/>
  <c r="B2446" i="3"/>
  <c r="C2446" i="3" s="1"/>
  <c r="I2446" i="3"/>
  <c r="G2446" i="3"/>
  <c r="F2446" i="3"/>
  <c r="K2446" i="3" s="1"/>
  <c r="H2446" i="3"/>
  <c r="O384" i="2"/>
  <c r="P384" i="2" s="1"/>
  <c r="Q384" i="2" s="1"/>
  <c r="O544" i="2"/>
  <c r="P544" i="2" s="1"/>
  <c r="Q544" i="2" s="1"/>
  <c r="O397" i="2"/>
  <c r="P397" i="2" s="1"/>
  <c r="Q397" i="2" s="1"/>
  <c r="O476" i="2"/>
  <c r="P476" i="2" s="1"/>
  <c r="Q476" i="2" s="1"/>
  <c r="O410" i="2"/>
  <c r="P410" i="2" s="1"/>
  <c r="Q410" i="2" s="1"/>
  <c r="O545" i="2"/>
  <c r="P545" i="2" s="1"/>
  <c r="Q545" i="2" s="1"/>
  <c r="O504" i="2"/>
  <c r="P504" i="2" s="1"/>
  <c r="Q504" i="2" s="1"/>
  <c r="O673" i="2"/>
  <c r="P673" i="2" s="1"/>
  <c r="Q673" i="2" s="1"/>
  <c r="O603" i="2"/>
  <c r="P603" i="2" s="1"/>
  <c r="Q603" i="2" s="1"/>
  <c r="O576" i="2"/>
  <c r="P576" i="2" s="1"/>
  <c r="Q576" i="2" s="1"/>
  <c r="O666" i="2"/>
  <c r="P666" i="2" s="1"/>
  <c r="Q666" i="2" s="1"/>
  <c r="O754" i="2"/>
  <c r="P754" i="2" s="1"/>
  <c r="Q754" i="2" s="1"/>
  <c r="O799" i="2"/>
  <c r="P799" i="2" s="1"/>
  <c r="Q799" i="2" s="1"/>
  <c r="O755" i="2"/>
  <c r="P755" i="2" s="1"/>
  <c r="Q755" i="2" s="1"/>
  <c r="O791" i="2"/>
  <c r="P791" i="2" s="1"/>
  <c r="Q791" i="2" s="1"/>
  <c r="O756" i="2"/>
  <c r="P756" i="2" s="1"/>
  <c r="Q756" i="2" s="1"/>
  <c r="O713" i="2"/>
  <c r="P713" i="2" s="1"/>
  <c r="Q713" i="2" s="1"/>
  <c r="O590" i="2"/>
  <c r="P590" i="2" s="1"/>
  <c r="Q590" i="2" s="1"/>
  <c r="O748" i="2"/>
  <c r="P748" i="2" s="1"/>
  <c r="Q748" i="2" s="1"/>
  <c r="O784" i="2"/>
  <c r="P784" i="2" s="1"/>
  <c r="Q784" i="2" s="1"/>
  <c r="O710" i="2"/>
  <c r="P710" i="2" s="1"/>
  <c r="O905" i="2"/>
  <c r="P905" i="2" s="1"/>
  <c r="Q905" i="2" s="1"/>
  <c r="O906" i="2"/>
  <c r="P906" i="2" s="1"/>
  <c r="Q906" i="2" s="1"/>
  <c r="H3102" i="3"/>
  <c r="J3102" i="3"/>
  <c r="F3102" i="3"/>
  <c r="K3102" i="3" s="1"/>
  <c r="G3072" i="3"/>
  <c r="F3072" i="3"/>
  <c r="K3072" i="3" s="1"/>
  <c r="I2985" i="3"/>
  <c r="H2985" i="3"/>
  <c r="B2985" i="3"/>
  <c r="C2985" i="3" s="1"/>
  <c r="F2985" i="3"/>
  <c r="K2985" i="3" s="1"/>
  <c r="J2985" i="3"/>
  <c r="F3060" i="3"/>
  <c r="K3060" i="3" s="1"/>
  <c r="I3060" i="3"/>
  <c r="J3060" i="3"/>
  <c r="H3060" i="3"/>
  <c r="B3060" i="3"/>
  <c r="C3060" i="3" s="1"/>
  <c r="I2910" i="3"/>
  <c r="J2910" i="3"/>
  <c r="F2910" i="3"/>
  <c r="K2910" i="3" s="1"/>
  <c r="G2910" i="3"/>
  <c r="B2986" i="3"/>
  <c r="C2986" i="3" s="1"/>
  <c r="F2986" i="3"/>
  <c r="K2986" i="3" s="1"/>
  <c r="J2941" i="3"/>
  <c r="G2941" i="3"/>
  <c r="F2941" i="3"/>
  <c r="K2941" i="3" s="1"/>
  <c r="B2941" i="3"/>
  <c r="C2941" i="3" s="1"/>
  <c r="H2941" i="3"/>
  <c r="I2971" i="3"/>
  <c r="J2971" i="3"/>
  <c r="H2971" i="3"/>
  <c r="B2971" i="3"/>
  <c r="C2971" i="3" s="1"/>
  <c r="G2891" i="3"/>
  <c r="J2891" i="3"/>
  <c r="I2891" i="3"/>
  <c r="H2891" i="3"/>
  <c r="B2891" i="3"/>
  <c r="C2891" i="3" s="1"/>
  <c r="H2781" i="3"/>
  <c r="I2781" i="3"/>
  <c r="J2781" i="3"/>
  <c r="B2639" i="3"/>
  <c r="C2639" i="3" s="1"/>
  <c r="F2639" i="3"/>
  <c r="K2639" i="3" s="1"/>
  <c r="F2583" i="3"/>
  <c r="K2583" i="3" s="1"/>
  <c r="J2583" i="3"/>
  <c r="I2583" i="3"/>
  <c r="H2583" i="3"/>
  <c r="B2583" i="3"/>
  <c r="C2583" i="3" s="1"/>
  <c r="J2687" i="3"/>
  <c r="H2687" i="3"/>
  <c r="I2871" i="3"/>
  <c r="H2871" i="3"/>
  <c r="H2608" i="3"/>
  <c r="G2608" i="3"/>
  <c r="B2608" i="3"/>
  <c r="C2608" i="3" s="1"/>
  <c r="J2546" i="3"/>
  <c r="G2546" i="3"/>
  <c r="F2546" i="3"/>
  <c r="K2546" i="3" s="1"/>
  <c r="B2546" i="3"/>
  <c r="C2546" i="3" s="1"/>
  <c r="I2546" i="3"/>
  <c r="H2546" i="3"/>
  <c r="H2648" i="3"/>
  <c r="F2648" i="3"/>
  <c r="K2648" i="3" s="1"/>
  <c r="G2648" i="3"/>
  <c r="B2648" i="3"/>
  <c r="C2648" i="3" s="1"/>
  <c r="I2648" i="3"/>
  <c r="J2648" i="3"/>
  <c r="F2459" i="3"/>
  <c r="K2459" i="3" s="1"/>
  <c r="I2459" i="3"/>
  <c r="I2577" i="3"/>
  <c r="G2577" i="3"/>
  <c r="B2577" i="3"/>
  <c r="C2577" i="3" s="1"/>
  <c r="J2577" i="3"/>
  <c r="I2432" i="3"/>
  <c r="G2432" i="3"/>
  <c r="B2432" i="3"/>
  <c r="C2432" i="3" s="1"/>
  <c r="J2432" i="3"/>
  <c r="H2432" i="3"/>
  <c r="B2475" i="3"/>
  <c r="C2475" i="3" s="1"/>
  <c r="I2475" i="3"/>
  <c r="G2475" i="3"/>
  <c r="F2475" i="3"/>
  <c r="K2475" i="3" s="1"/>
  <c r="J2475" i="3"/>
  <c r="H2475" i="3"/>
  <c r="J2630" i="3"/>
  <c r="I2630" i="3"/>
  <c r="H2630" i="3"/>
  <c r="G2630" i="3"/>
  <c r="F2630" i="3"/>
  <c r="K2630" i="3" s="1"/>
  <c r="B2630" i="3"/>
  <c r="C2630" i="3" s="1"/>
  <c r="G2968" i="3"/>
  <c r="B2968" i="3"/>
  <c r="C2968" i="3" s="1"/>
  <c r="H2968" i="3"/>
  <c r="O294" i="2"/>
  <c r="P294" i="2" s="1"/>
  <c r="Q294" i="2" s="1"/>
  <c r="O328" i="2"/>
  <c r="P328" i="2" s="1"/>
  <c r="Q328" i="2" s="1"/>
  <c r="O383" i="2"/>
  <c r="P383" i="2" s="1"/>
  <c r="Q383" i="2" s="1"/>
  <c r="O543" i="2"/>
  <c r="P543" i="2" s="1"/>
  <c r="Q543" i="2" s="1"/>
  <c r="O392" i="2"/>
  <c r="P392" i="2" s="1"/>
  <c r="Q392" i="2" s="1"/>
  <c r="O287" i="2"/>
  <c r="P287" i="2" s="1"/>
  <c r="Q287" i="2" s="1"/>
  <c r="O405" i="2"/>
  <c r="P405" i="2" s="1"/>
  <c r="Q405" i="2" s="1"/>
  <c r="O662" i="2"/>
  <c r="P662" i="2" s="1"/>
  <c r="Q662" i="2" s="1"/>
  <c r="O418" i="2"/>
  <c r="P418" i="2" s="1"/>
  <c r="Q418" i="2" s="1"/>
  <c r="O490" i="2"/>
  <c r="P490" i="2" s="1"/>
  <c r="Q490" i="2" s="1"/>
  <c r="O427" i="2"/>
  <c r="P427" i="2" s="1"/>
  <c r="Q427" i="2" s="1"/>
  <c r="O559" i="2"/>
  <c r="P559" i="2" s="1"/>
  <c r="Q559" i="2" s="1"/>
  <c r="O518" i="2"/>
  <c r="P518" i="2" s="1"/>
  <c r="O644" i="2"/>
  <c r="P644" i="2" s="1"/>
  <c r="Q644" i="2" s="1"/>
  <c r="O617" i="2"/>
  <c r="P617" i="2" s="1"/>
  <c r="Q617" i="2" s="1"/>
  <c r="O604" i="2"/>
  <c r="P604" i="2" s="1"/>
  <c r="Q604" i="2" s="1"/>
  <c r="O671" i="2"/>
  <c r="P671" i="2" s="1"/>
  <c r="Q671" i="2" s="1"/>
  <c r="O785" i="2"/>
  <c r="P785" i="2" s="1"/>
  <c r="Q785" i="2" s="1"/>
  <c r="O808" i="2"/>
  <c r="P808" i="2" s="1"/>
  <c r="Q808" i="2" s="1"/>
  <c r="O764" i="2"/>
  <c r="P764" i="2" s="1"/>
  <c r="Q764" i="2" s="1"/>
  <c r="O800" i="2"/>
  <c r="P800" i="2" s="1"/>
  <c r="Q800" i="2" s="1"/>
  <c r="O787" i="2"/>
  <c r="P787" i="2" s="1"/>
  <c r="Q787" i="2" s="1"/>
  <c r="O743" i="2"/>
  <c r="P743" i="2" s="1"/>
  <c r="Q743" i="2" s="1"/>
  <c r="O594" i="2"/>
  <c r="P594" i="2" s="1"/>
  <c r="Q594" i="2" s="1"/>
  <c r="O779" i="2"/>
  <c r="P779" i="2" s="1"/>
  <c r="Q779" i="2" s="1"/>
  <c r="O815" i="2"/>
  <c r="P815" i="2" s="1"/>
  <c r="Q815" i="2" s="1"/>
  <c r="O731" i="2"/>
  <c r="P731" i="2" s="1"/>
  <c r="Q731" i="2" s="1"/>
  <c r="O922" i="2"/>
  <c r="P922" i="2" s="1"/>
  <c r="Q922" i="2" s="1"/>
  <c r="O966" i="2"/>
  <c r="P966" i="2" s="1"/>
  <c r="Q966" i="2" s="1"/>
  <c r="I3133" i="3"/>
  <c r="B3133" i="3"/>
  <c r="C3133" i="3" s="1"/>
  <c r="G3133" i="3"/>
  <c r="I3081" i="3"/>
  <c r="F3081" i="3"/>
  <c r="K3081" i="3" s="1"/>
  <c r="B3081" i="3"/>
  <c r="C3081" i="3" s="1"/>
  <c r="J3081" i="3"/>
  <c r="J2961" i="3"/>
  <c r="B2961" i="3"/>
  <c r="C2961" i="3" s="1"/>
  <c r="H2961" i="3"/>
  <c r="F2961" i="3"/>
  <c r="K2961" i="3" s="1"/>
  <c r="G2961" i="3"/>
  <c r="F3035" i="3"/>
  <c r="K3035" i="3" s="1"/>
  <c r="J3035" i="3"/>
  <c r="H3035" i="3"/>
  <c r="B3035" i="3"/>
  <c r="C3035" i="3" s="1"/>
  <c r="I3035" i="3"/>
  <c r="B2896" i="3"/>
  <c r="C2896" i="3" s="1"/>
  <c r="F2896" i="3"/>
  <c r="K2896" i="3" s="1"/>
  <c r="J2730" i="3"/>
  <c r="I2730" i="3"/>
  <c r="H2730" i="3"/>
  <c r="F2730" i="3"/>
  <c r="K2730" i="3" s="1"/>
  <c r="G2730" i="3"/>
  <c r="B2730" i="3"/>
  <c r="C2730" i="3" s="1"/>
  <c r="B3078" i="3"/>
  <c r="C3078" i="3" s="1"/>
  <c r="G3078" i="3"/>
  <c r="J3078" i="3"/>
  <c r="H3078" i="3"/>
  <c r="F3078" i="3"/>
  <c r="K3078" i="3" s="1"/>
  <c r="I3078" i="3"/>
  <c r="H2788" i="3"/>
  <c r="J2788" i="3"/>
  <c r="G2788" i="3"/>
  <c r="F2788" i="3"/>
  <c r="K2788" i="3" s="1"/>
  <c r="B2788" i="3"/>
  <c r="C2788" i="3" s="1"/>
  <c r="I2788" i="3"/>
  <c r="H2969" i="3"/>
  <c r="F2969" i="3"/>
  <c r="K2969" i="3" s="1"/>
  <c r="J2969" i="3"/>
  <c r="I2969" i="3"/>
  <c r="G2969" i="3"/>
  <c r="B2969" i="3"/>
  <c r="C2969" i="3" s="1"/>
  <c r="H3030" i="3"/>
  <c r="G3030" i="3"/>
  <c r="F3030" i="3"/>
  <c r="K3030" i="3" s="1"/>
  <c r="I3030" i="3"/>
  <c r="B3030" i="3"/>
  <c r="C3030" i="3" s="1"/>
  <c r="G2948" i="3"/>
  <c r="H2948" i="3"/>
  <c r="B2948" i="3"/>
  <c r="C2948" i="3" s="1"/>
  <c r="H2738" i="3"/>
  <c r="F2738" i="3"/>
  <c r="K2738" i="3" s="1"/>
  <c r="I2738" i="3"/>
  <c r="J2738" i="3"/>
  <c r="H2545" i="3"/>
  <c r="J2545" i="3"/>
  <c r="G2545" i="3"/>
  <c r="F2545" i="3"/>
  <c r="K2545" i="3" s="1"/>
  <c r="B2545" i="3"/>
  <c r="C2545" i="3" s="1"/>
  <c r="I2545" i="3"/>
  <c r="J2698" i="3"/>
  <c r="B2698" i="3"/>
  <c r="C2698" i="3" s="1"/>
  <c r="F3020" i="3"/>
  <c r="K3020" i="3" s="1"/>
  <c r="I3020" i="3"/>
  <c r="J3020" i="3"/>
  <c r="H3020" i="3"/>
  <c r="B3020" i="3"/>
  <c r="C3020" i="3" s="1"/>
  <c r="B2611" i="3"/>
  <c r="C2611" i="3" s="1"/>
  <c r="H2611" i="3"/>
  <c r="G2611" i="3"/>
  <c r="F2611" i="3"/>
  <c r="K2611" i="3" s="1"/>
  <c r="H2642" i="3"/>
  <c r="G2642" i="3"/>
  <c r="F2642" i="3"/>
  <c r="K2642" i="3" s="1"/>
  <c r="B2642" i="3"/>
  <c r="C2642" i="3" s="1"/>
  <c r="I2642" i="3"/>
  <c r="B2561" i="3"/>
  <c r="C2561" i="3" s="1"/>
  <c r="H2561" i="3"/>
  <c r="G2561" i="3"/>
  <c r="J2561" i="3"/>
  <c r="J2660" i="3"/>
  <c r="B2660" i="3"/>
  <c r="C2660" i="3" s="1"/>
  <c r="J2482" i="3"/>
  <c r="I2482" i="3"/>
  <c r="H2482" i="3"/>
  <c r="G2482" i="3"/>
  <c r="F2482" i="3"/>
  <c r="K2482" i="3" s="1"/>
  <c r="B2482" i="3"/>
  <c r="C2482" i="3" s="1"/>
  <c r="H2899" i="3"/>
  <c r="I2899" i="3"/>
  <c r="J2899" i="3"/>
  <c r="F2899" i="3"/>
  <c r="K2899" i="3" s="1"/>
  <c r="B2899" i="3"/>
  <c r="C2899" i="3" s="1"/>
  <c r="F2604" i="3"/>
  <c r="K2604" i="3" s="1"/>
  <c r="H2604" i="3"/>
  <c r="G2604" i="3"/>
  <c r="B2604" i="3"/>
  <c r="C2604" i="3" s="1"/>
  <c r="I2604" i="3"/>
  <c r="J2604" i="3"/>
  <c r="B2449" i="3"/>
  <c r="C2449" i="3" s="1"/>
  <c r="I2449" i="3"/>
  <c r="J2449" i="3"/>
  <c r="H2449" i="3"/>
  <c r="G2449" i="3"/>
  <c r="F2449" i="3"/>
  <c r="K2449" i="3" s="1"/>
  <c r="G2491" i="3"/>
  <c r="F2491" i="3"/>
  <c r="K2491" i="3" s="1"/>
  <c r="I2491" i="3"/>
  <c r="H2491" i="3"/>
  <c r="J2491" i="3"/>
  <c r="G2554" i="3"/>
  <c r="J2554" i="3"/>
  <c r="I2554" i="3"/>
  <c r="H2554" i="3"/>
  <c r="F2554" i="3"/>
  <c r="K2554" i="3" s="1"/>
  <c r="B2554" i="3"/>
  <c r="C2554" i="3" s="1"/>
  <c r="I3141" i="3"/>
  <c r="H3141" i="3"/>
  <c r="J3141" i="3"/>
  <c r="B3141" i="3"/>
  <c r="C3141" i="3" s="1"/>
  <c r="I2644" i="3"/>
  <c r="J2644" i="3"/>
  <c r="B2644" i="3"/>
  <c r="C2644" i="3" s="1"/>
  <c r="C287" i="5"/>
  <c r="H287" i="5"/>
  <c r="J287" i="5"/>
  <c r="I287" i="5"/>
  <c r="K287" i="5"/>
  <c r="N286" i="5"/>
  <c r="B287" i="5"/>
  <c r="B288" i="5" s="1"/>
  <c r="N283" i="5"/>
  <c r="O940" i="2"/>
  <c r="D287" i="5"/>
  <c r="L287" i="5"/>
  <c r="E287" i="5"/>
  <c r="M287" i="5"/>
  <c r="N284" i="5"/>
  <c r="G287" i="5"/>
  <c r="P1059" i="2" l="1"/>
  <c r="Q1059" i="2"/>
  <c r="P1057" i="2"/>
  <c r="Q1057" i="2"/>
  <c r="P1054" i="2"/>
  <c r="Q1054" i="2"/>
  <c r="P1048" i="2"/>
  <c r="Q1048" i="2" s="1"/>
  <c r="P1042" i="2"/>
  <c r="Q1042" i="2"/>
  <c r="P1031" i="2"/>
  <c r="Q1031" i="2" s="1"/>
  <c r="P1024" i="2"/>
  <c r="Q1024" i="2" s="1"/>
  <c r="P1016" i="2"/>
  <c r="Q1016" i="2" s="1"/>
  <c r="P1010" i="2"/>
  <c r="Q1010" i="2" s="1"/>
  <c r="O1100" i="2"/>
  <c r="P1100" i="2" s="1"/>
  <c r="P1005" i="2"/>
  <c r="Q1005" i="2" s="1"/>
  <c r="P1003" i="2"/>
  <c r="Q1003" i="2" s="1"/>
  <c r="K1181" i="3"/>
  <c r="J1181" i="3" s="1"/>
  <c r="O1039" i="2"/>
  <c r="K1188" i="3"/>
  <c r="J1188" i="3" s="1"/>
  <c r="O1046" i="2"/>
  <c r="K1183" i="3"/>
  <c r="J1183" i="3" s="1"/>
  <c r="O1041" i="2"/>
  <c r="O1043" i="2"/>
  <c r="K1231" i="3"/>
  <c r="J1231" i="3" s="1"/>
  <c r="O1089" i="2"/>
  <c r="P1089" i="2" s="1"/>
  <c r="K1197" i="3"/>
  <c r="J1197" i="3" s="1"/>
  <c r="O1055" i="2"/>
  <c r="O1070" i="2"/>
  <c r="P1070" i="2" s="1"/>
  <c r="K1193" i="3"/>
  <c r="J1193" i="3" s="1"/>
  <c r="O1051" i="2"/>
  <c r="K1224" i="3"/>
  <c r="J1224" i="3" s="1"/>
  <c r="O1082" i="2"/>
  <c r="P1082" i="2" s="1"/>
  <c r="O1038" i="2"/>
  <c r="K1228" i="3"/>
  <c r="J1228" i="3" s="1"/>
  <c r="O1086" i="2"/>
  <c r="P1086" i="2" s="1"/>
  <c r="O1087" i="2"/>
  <c r="P1087" i="2" s="1"/>
  <c r="K1218" i="3"/>
  <c r="J1218" i="3" s="1"/>
  <c r="O1076" i="2"/>
  <c r="P1076" i="2" s="1"/>
  <c r="K1214" i="3"/>
  <c r="J1214" i="3" s="1"/>
  <c r="O1072" i="2"/>
  <c r="P1072" i="2" s="1"/>
  <c r="K1204" i="3"/>
  <c r="J1204" i="3" s="1"/>
  <c r="O1062" i="2"/>
  <c r="O1094" i="2"/>
  <c r="P1094" i="2" s="1"/>
  <c r="K1235" i="3"/>
  <c r="J1235" i="3" s="1"/>
  <c r="O1093" i="2"/>
  <c r="P1093" i="2" s="1"/>
  <c r="K1192" i="3"/>
  <c r="J1192" i="3" s="1"/>
  <c r="O1050" i="2"/>
  <c r="O1078" i="2"/>
  <c r="P1078" i="2" s="1"/>
  <c r="K1217" i="3"/>
  <c r="J1217" i="3" s="1"/>
  <c r="O1075" i="2"/>
  <c r="P1075" i="2" s="1"/>
  <c r="K1186" i="3"/>
  <c r="J1186" i="3" s="1"/>
  <c r="O1044" i="2"/>
  <c r="O1084" i="2"/>
  <c r="P1084" i="2" s="1"/>
  <c r="K1182" i="3"/>
  <c r="J1182" i="3" s="1"/>
  <c r="O1040" i="2"/>
  <c r="K1200" i="3"/>
  <c r="J1200" i="3" s="1"/>
  <c r="O1058" i="2"/>
  <c r="O1090" i="2"/>
  <c r="P1090" i="2" s="1"/>
  <c r="K1191" i="3"/>
  <c r="J1191" i="3" s="1"/>
  <c r="O1049" i="2"/>
  <c r="K1225" i="3"/>
  <c r="J1225" i="3" s="1"/>
  <c r="O1083" i="2"/>
  <c r="P1083" i="2" s="1"/>
  <c r="K1187" i="3"/>
  <c r="J1187" i="3" s="1"/>
  <c r="O1045" i="2"/>
  <c r="O1101" i="2"/>
  <c r="P1101" i="2" s="1"/>
  <c r="K1238" i="3"/>
  <c r="J1238" i="3" s="1"/>
  <c r="O1096" i="2"/>
  <c r="P1096" i="2" s="1"/>
  <c r="O1085" i="2"/>
  <c r="P1085" i="2" s="1"/>
  <c r="K1241" i="3"/>
  <c r="J1241" i="3" s="1"/>
  <c r="O1099" i="2"/>
  <c r="P1099" i="2" s="1"/>
  <c r="O1088" i="2"/>
  <c r="P1088" i="2" s="1"/>
  <c r="K1211" i="3"/>
  <c r="J1211" i="3" s="1"/>
  <c r="O1069" i="2"/>
  <c r="P1069" i="2" s="1"/>
  <c r="K1195" i="3"/>
  <c r="J1195" i="3" s="1"/>
  <c r="O1053" i="2"/>
  <c r="K1203" i="3"/>
  <c r="J1203" i="3" s="1"/>
  <c r="O1061" i="2"/>
  <c r="O1063" i="2"/>
  <c r="P1063" i="2" s="1"/>
  <c r="K1221" i="3"/>
  <c r="J1221" i="3" s="1"/>
  <c r="O1079" i="2"/>
  <c r="P1079" i="2" s="1"/>
  <c r="K1239" i="3"/>
  <c r="J1239" i="3" s="1"/>
  <c r="O1097" i="2"/>
  <c r="P1097" i="2" s="1"/>
  <c r="K1178" i="3"/>
  <c r="J1178" i="3" s="1"/>
  <c r="O1036" i="2"/>
  <c r="O1091" i="2"/>
  <c r="P1091" i="2" s="1"/>
  <c r="K1234" i="3"/>
  <c r="J1234" i="3" s="1"/>
  <c r="O1092" i="2"/>
  <c r="P1092" i="2" s="1"/>
  <c r="K1219" i="3"/>
  <c r="J1219" i="3" s="1"/>
  <c r="O1077" i="2"/>
  <c r="P1077" i="2" s="1"/>
  <c r="K1194" i="3"/>
  <c r="J1194" i="3" s="1"/>
  <c r="O1052" i="2"/>
  <c r="K1176" i="3"/>
  <c r="J1176" i="3" s="1"/>
  <c r="O1034" i="2"/>
  <c r="O1035" i="2"/>
  <c r="K1198" i="3"/>
  <c r="J1198" i="3" s="1"/>
  <c r="O1056" i="2"/>
  <c r="K1189" i="3"/>
  <c r="J1189" i="3" s="1"/>
  <c r="O1047" i="2"/>
  <c r="O1064" i="2"/>
  <c r="P1064" i="2" s="1"/>
  <c r="K1179" i="3"/>
  <c r="J1179" i="3" s="1"/>
  <c r="O1037" i="2"/>
  <c r="K1207" i="3"/>
  <c r="J1207" i="3" s="1"/>
  <c r="O1065" i="2"/>
  <c r="P1065" i="2" s="1"/>
  <c r="O1081" i="2"/>
  <c r="P1081" i="2" s="1"/>
  <c r="K1202" i="3"/>
  <c r="J1202" i="3" s="1"/>
  <c r="O1060" i="2"/>
  <c r="K1209" i="3"/>
  <c r="J1209" i="3" s="1"/>
  <c r="O1067" i="2"/>
  <c r="P1067" i="2" s="1"/>
  <c r="O1073" i="2"/>
  <c r="P1073" i="2" s="1"/>
  <c r="K1156" i="3"/>
  <c r="J1156" i="3" s="1"/>
  <c r="O1014" i="2"/>
  <c r="O1026" i="2"/>
  <c r="K1162" i="3"/>
  <c r="J1162" i="3" s="1"/>
  <c r="O1020" i="2"/>
  <c r="K1146" i="3"/>
  <c r="J1146" i="3" s="1"/>
  <c r="O1004" i="2"/>
  <c r="K1175" i="3"/>
  <c r="J1175" i="3" s="1"/>
  <c r="O1033" i="2"/>
  <c r="O1022" i="2"/>
  <c r="K1154" i="3"/>
  <c r="J1154" i="3" s="1"/>
  <c r="O1012" i="2"/>
  <c r="O1023" i="2"/>
  <c r="O1018" i="2"/>
  <c r="K1155" i="3"/>
  <c r="J1155" i="3" s="1"/>
  <c r="O1013" i="2"/>
  <c r="O1029" i="2"/>
  <c r="K1166" i="3"/>
  <c r="J1166" i="3" s="1"/>
  <c r="K1170" i="3"/>
  <c r="J1170" i="3" s="1"/>
  <c r="O1028" i="2"/>
  <c r="K1159" i="3"/>
  <c r="J1159" i="3" s="1"/>
  <c r="O1017" i="2"/>
  <c r="O1008" i="2"/>
  <c r="K1169" i="3"/>
  <c r="J1169" i="3" s="1"/>
  <c r="O1027" i="2"/>
  <c r="K1151" i="3"/>
  <c r="J1151" i="3" s="1"/>
  <c r="O1009" i="2"/>
  <c r="K1174" i="3"/>
  <c r="J1174" i="3" s="1"/>
  <c r="O1032" i="2"/>
  <c r="K1148" i="3"/>
  <c r="J1148" i="3" s="1"/>
  <c r="O1006" i="2"/>
  <c r="O1011" i="2"/>
  <c r="K1149" i="3"/>
  <c r="J1149" i="3" s="1"/>
  <c r="O1007" i="2"/>
  <c r="K1161" i="3"/>
  <c r="J1161" i="3" s="1"/>
  <c r="O1019" i="2"/>
  <c r="O1025" i="2"/>
  <c r="K1163" i="3"/>
  <c r="J1163" i="3" s="1"/>
  <c r="O1021" i="2"/>
  <c r="O1030" i="2"/>
  <c r="O1015" i="2"/>
  <c r="K1139" i="3"/>
  <c r="J1139" i="3" s="1"/>
  <c r="O997" i="2"/>
  <c r="O1000" i="2"/>
  <c r="O1002" i="2"/>
  <c r="O998" i="2"/>
  <c r="O999" i="2"/>
  <c r="O1001" i="2"/>
  <c r="P991" i="2"/>
  <c r="Q991" i="2" s="1"/>
  <c r="P989" i="2"/>
  <c r="Q989" i="2" s="1"/>
  <c r="P986" i="2"/>
  <c r="Q986" i="2" s="1"/>
  <c r="O937" i="2"/>
  <c r="P937" i="2" s="1"/>
  <c r="Q937" i="2" s="1"/>
  <c r="O996" i="2"/>
  <c r="O993" i="2"/>
  <c r="O987" i="2"/>
  <c r="O984" i="2"/>
  <c r="O990" i="2"/>
  <c r="O985" i="2"/>
  <c r="O992" i="2"/>
  <c r="O983" i="2"/>
  <c r="O982" i="2"/>
  <c r="O994" i="2"/>
  <c r="O981" i="2"/>
  <c r="O988" i="2"/>
  <c r="O995" i="2"/>
  <c r="B95" i="4"/>
  <c r="B103" i="4"/>
  <c r="B115" i="4"/>
  <c r="J19" i="5"/>
  <c r="B27" i="4"/>
  <c r="B16" i="4"/>
  <c r="D19" i="5"/>
  <c r="M19" i="5"/>
  <c r="K1091" i="3"/>
  <c r="J1091" i="3" s="1"/>
  <c r="B110" i="4"/>
  <c r="B122" i="4"/>
  <c r="B56" i="4"/>
  <c r="B62" i="4"/>
  <c r="E19" i="5"/>
  <c r="N6" i="5"/>
  <c r="N11" i="5"/>
  <c r="N9" i="5"/>
  <c r="B40" i="4"/>
  <c r="N12" i="5"/>
  <c r="N10" i="5"/>
  <c r="B19" i="5"/>
  <c r="H19" i="5"/>
  <c r="N7" i="5"/>
  <c r="G19" i="5"/>
  <c r="F19" i="5"/>
  <c r="N17" i="5"/>
  <c r="N13" i="5"/>
  <c r="B77" i="4"/>
  <c r="I19" i="5"/>
  <c r="C19" i="5"/>
  <c r="K19" i="5"/>
  <c r="L19" i="5"/>
  <c r="N14" i="5"/>
  <c r="N16" i="5"/>
  <c r="N15" i="5"/>
  <c r="B6" i="4"/>
  <c r="N8" i="5"/>
  <c r="O931" i="2"/>
  <c r="P931" i="2" s="1"/>
  <c r="Q931" i="2" s="1"/>
  <c r="O944" i="2"/>
  <c r="P944" i="2" s="1"/>
  <c r="Q944" i="2" s="1"/>
  <c r="O956" i="2"/>
  <c r="P956" i="2" s="1"/>
  <c r="Q956" i="2" s="1"/>
  <c r="O950" i="2"/>
  <c r="P950" i="2" s="1"/>
  <c r="Q950" i="2" s="1"/>
  <c r="O968" i="2"/>
  <c r="P968" i="2" s="1"/>
  <c r="Q968" i="2" s="1"/>
  <c r="O953" i="2"/>
  <c r="P953" i="2" s="1"/>
  <c r="Q953" i="2" s="1"/>
  <c r="O960" i="2"/>
  <c r="P960" i="2" s="1"/>
  <c r="Q960" i="2" s="1"/>
  <c r="O945" i="2"/>
  <c r="P945" i="2" s="1"/>
  <c r="Q945" i="2" s="1"/>
  <c r="O954" i="2"/>
  <c r="P954" i="2" s="1"/>
  <c r="Q954" i="2" s="1"/>
  <c r="O963" i="2"/>
  <c r="P963" i="2" s="1"/>
  <c r="Q963" i="2" s="1"/>
  <c r="O975" i="2"/>
  <c r="P975" i="2" s="1"/>
  <c r="Q975" i="2" s="1"/>
  <c r="K1088" i="3"/>
  <c r="J1088" i="3" s="1"/>
  <c r="O958" i="2"/>
  <c r="P958" i="2" s="1"/>
  <c r="Q958" i="2" s="1"/>
  <c r="O943" i="2"/>
  <c r="P943" i="2" s="1"/>
  <c r="Q943" i="2" s="1"/>
  <c r="O936" i="2"/>
  <c r="P936" i="2" s="1"/>
  <c r="Q936" i="2" s="1"/>
  <c r="O939" i="2"/>
  <c r="P939" i="2" s="1"/>
  <c r="Q939" i="2" s="1"/>
  <c r="O962" i="2"/>
  <c r="P962" i="2" s="1"/>
  <c r="Q962" i="2" s="1"/>
  <c r="O942" i="2"/>
  <c r="P942" i="2" s="1"/>
  <c r="Q942" i="2" s="1"/>
  <c r="O938" i="2"/>
  <c r="P938" i="2" s="1"/>
  <c r="Q938" i="2" s="1"/>
  <c r="O928" i="2"/>
  <c r="P928" i="2" s="1"/>
  <c r="Q928" i="2" s="1"/>
  <c r="O926" i="2"/>
  <c r="P926" i="2" s="1"/>
  <c r="Q926" i="2" s="1"/>
  <c r="O961" i="2"/>
  <c r="P961" i="2" s="1"/>
  <c r="Q961" i="2" s="1"/>
  <c r="O964" i="2"/>
  <c r="P964" i="2" s="1"/>
  <c r="Q964" i="2" s="1"/>
  <c r="O952" i="2"/>
  <c r="P952" i="2" s="1"/>
  <c r="Q952" i="2" s="1"/>
  <c r="O930" i="2"/>
  <c r="P930" i="2" s="1"/>
  <c r="Q930" i="2" s="1"/>
  <c r="O979" i="2"/>
  <c r="P979" i="2" s="1"/>
  <c r="Q979" i="2" s="1"/>
  <c r="O976" i="2"/>
  <c r="P976" i="2" s="1"/>
  <c r="Q976" i="2" s="1"/>
  <c r="K1115" i="3"/>
  <c r="J1115" i="3" s="1"/>
  <c r="O955" i="2"/>
  <c r="P955" i="2" s="1"/>
  <c r="Q955" i="2" s="1"/>
  <c r="O972" i="2"/>
  <c r="P972" i="2" s="1"/>
  <c r="Q972" i="2" s="1"/>
  <c r="O957" i="2"/>
  <c r="P957" i="2" s="1"/>
  <c r="Q957" i="2" s="1"/>
  <c r="O929" i="2"/>
  <c r="P929" i="2" s="1"/>
  <c r="Q929" i="2" s="1"/>
  <c r="O977" i="2"/>
  <c r="P977" i="2" s="1"/>
  <c r="Q977" i="2" s="1"/>
  <c r="O969" i="2"/>
  <c r="P969" i="2" s="1"/>
  <c r="Q969" i="2" s="1"/>
  <c r="O933" i="2"/>
  <c r="P933" i="2" s="1"/>
  <c r="Q933" i="2" s="1"/>
  <c r="O980" i="2"/>
  <c r="P980" i="2" s="1"/>
  <c r="Q980" i="2" s="1"/>
  <c r="K1116" i="3"/>
  <c r="J1116" i="3" s="1"/>
  <c r="O927" i="2"/>
  <c r="P927" i="2" s="1"/>
  <c r="Q927" i="2" s="1"/>
  <c r="O932" i="2"/>
  <c r="P932" i="2" s="1"/>
  <c r="Q932" i="2" s="1"/>
  <c r="O978" i="2"/>
  <c r="P978" i="2" s="1"/>
  <c r="Q978" i="2" s="1"/>
  <c r="B191" i="5"/>
  <c r="B266" i="5"/>
  <c r="Q744" i="2"/>
  <c r="Q518" i="2"/>
  <c r="C124" i="5"/>
  <c r="C179" i="5"/>
  <c r="B270" i="5"/>
  <c r="G18" i="5"/>
  <c r="G20" i="5" s="1"/>
  <c r="C173" i="5"/>
  <c r="P832" i="2"/>
  <c r="Q832" i="2" s="1"/>
  <c r="O941" i="2"/>
  <c r="P941" i="2" s="1"/>
  <c r="Q941" i="2" s="1"/>
  <c r="B194" i="5"/>
  <c r="C249" i="5"/>
  <c r="L25" i="6"/>
  <c r="Q886" i="2"/>
  <c r="B242" i="5"/>
  <c r="C211" i="5"/>
  <c r="B10" i="8"/>
  <c r="C10" i="8" s="1"/>
  <c r="C188" i="5"/>
  <c r="B137" i="5"/>
  <c r="C180" i="5"/>
  <c r="C183" i="5"/>
  <c r="B201" i="5"/>
  <c r="B147" i="5"/>
  <c r="B143" i="5"/>
  <c r="C210" i="5"/>
  <c r="B15" i="8"/>
  <c r="C15" i="8" s="1"/>
  <c r="C220" i="5"/>
  <c r="B180" i="5"/>
  <c r="B203" i="5"/>
  <c r="C113" i="5"/>
  <c r="B197" i="5"/>
  <c r="B254" i="5"/>
  <c r="C254" i="5"/>
  <c r="C184" i="5"/>
  <c r="B275" i="5"/>
  <c r="Q870" i="2"/>
  <c r="Q267" i="2"/>
  <c r="B207" i="5"/>
  <c r="B133" i="5"/>
  <c r="B228" i="5"/>
  <c r="B157" i="5"/>
  <c r="C203" i="5"/>
  <c r="B149" i="5"/>
  <c r="C231" i="5"/>
  <c r="B122" i="5"/>
  <c r="B141" i="5"/>
  <c r="C208" i="5"/>
  <c r="I18" i="5"/>
  <c r="I20" i="5" s="1"/>
  <c r="B168" i="5"/>
  <c r="Q710" i="2"/>
  <c r="C236" i="5"/>
  <c r="C257" i="5"/>
  <c r="C119" i="5"/>
  <c r="B135" i="5"/>
  <c r="B185" i="5"/>
  <c r="C174" i="5"/>
  <c r="B124" i="5"/>
  <c r="Q540" i="2"/>
  <c r="B165" i="5"/>
  <c r="B219" i="5"/>
  <c r="C219" i="5"/>
  <c r="Q875" i="2"/>
  <c r="C137" i="5"/>
  <c r="B154" i="5"/>
  <c r="C185" i="5"/>
  <c r="Q869" i="2"/>
  <c r="B265" i="5"/>
  <c r="C164" i="5"/>
  <c r="F18" i="5"/>
  <c r="F20" i="5" s="1"/>
  <c r="C268" i="5"/>
  <c r="C187" i="5"/>
  <c r="C146" i="5"/>
  <c r="B261" i="5"/>
  <c r="C20" i="1"/>
  <c r="M18" i="5"/>
  <c r="M20" i="5" s="1"/>
  <c r="B224" i="5"/>
  <c r="B269" i="5"/>
  <c r="C275" i="5"/>
  <c r="B175" i="5"/>
  <c r="C260" i="5"/>
  <c r="C235" i="5"/>
  <c r="B209" i="5"/>
  <c r="C141" i="5"/>
  <c r="B220" i="5"/>
  <c r="C240" i="5"/>
  <c r="B148" i="5"/>
  <c r="B267" i="5"/>
  <c r="B193" i="5"/>
  <c r="B200" i="5"/>
  <c r="C242" i="5"/>
  <c r="B171" i="5"/>
  <c r="C207" i="5"/>
  <c r="C160" i="5"/>
  <c r="B186" i="5"/>
  <c r="B151" i="5"/>
  <c r="C151" i="5"/>
  <c r="B116" i="5"/>
  <c r="B134" i="5"/>
  <c r="B114" i="5"/>
  <c r="C233" i="5"/>
  <c r="C222" i="5"/>
  <c r="B173" i="5"/>
  <c r="C198" i="5"/>
  <c r="C209" i="5"/>
  <c r="B250" i="5"/>
  <c r="B167" i="5"/>
  <c r="B120" i="5"/>
  <c r="C158" i="5"/>
  <c r="C237" i="5"/>
  <c r="B215" i="5"/>
  <c r="B260" i="5"/>
  <c r="B240" i="5"/>
  <c r="C206" i="5"/>
  <c r="B246" i="5"/>
  <c r="C152" i="5"/>
  <c r="B117" i="5"/>
  <c r="B169" i="5"/>
  <c r="C195" i="5"/>
  <c r="C216" i="5"/>
  <c r="C118" i="5"/>
  <c r="B226" i="5"/>
  <c r="B205" i="5"/>
  <c r="C163" i="5"/>
  <c r="B190" i="5"/>
  <c r="C181" i="5"/>
  <c r="B233" i="5"/>
  <c r="P126" i="2"/>
  <c r="Q126" i="2" s="1"/>
  <c r="B213" i="5"/>
  <c r="C230" i="5"/>
  <c r="B278" i="5"/>
  <c r="C182" i="5"/>
  <c r="C189" i="5"/>
  <c r="C278" i="5"/>
  <c r="C170" i="5"/>
  <c r="C162" i="5"/>
  <c r="C232" i="5"/>
  <c r="C156" i="5"/>
  <c r="C147" i="5"/>
  <c r="C117" i="5"/>
  <c r="B225" i="5"/>
  <c r="P577" i="2"/>
  <c r="Q577" i="2" s="1"/>
  <c r="B249" i="5"/>
  <c r="B129" i="5"/>
  <c r="C244" i="5"/>
  <c r="B142" i="5"/>
  <c r="C175" i="5"/>
  <c r="C202" i="5"/>
  <c r="B221" i="5"/>
  <c r="B239" i="5"/>
  <c r="B192" i="5"/>
  <c r="C129" i="5"/>
  <c r="C273" i="5"/>
  <c r="B146" i="5"/>
  <c r="C115" i="5"/>
  <c r="B113" i="5"/>
  <c r="Q801" i="2"/>
  <c r="B164" i="5"/>
  <c r="B121" i="5"/>
  <c r="C200" i="5"/>
  <c r="B252" i="5"/>
  <c r="B248" i="5"/>
  <c r="B245" i="5"/>
  <c r="C226" i="5"/>
  <c r="C205" i="5"/>
  <c r="B241" i="5"/>
  <c r="B158" i="5"/>
  <c r="B128" i="4"/>
  <c r="C228" i="5"/>
  <c r="C246" i="5"/>
  <c r="C155" i="5"/>
  <c r="C134" i="5"/>
  <c r="P396" i="2"/>
  <c r="Q396" i="2" s="1"/>
  <c r="C258" i="5"/>
  <c r="C123" i="5"/>
  <c r="B263" i="5"/>
  <c r="B268" i="5"/>
  <c r="B234" i="5"/>
  <c r="C247" i="5"/>
  <c r="B160" i="5"/>
  <c r="B218" i="5"/>
  <c r="B214" i="5"/>
  <c r="B189" i="5"/>
  <c r="C171" i="5"/>
  <c r="B244" i="5"/>
  <c r="B188" i="5"/>
  <c r="C138" i="5"/>
  <c r="C178" i="5"/>
  <c r="C142" i="5"/>
  <c r="C150" i="5"/>
  <c r="K18" i="5"/>
  <c r="K20" i="5" s="1"/>
  <c r="B256" i="5"/>
  <c r="C253" i="5"/>
  <c r="B222" i="5"/>
  <c r="C263" i="5"/>
  <c r="B140" i="5"/>
  <c r="B198" i="5"/>
  <c r="C252" i="5"/>
  <c r="C18" i="5"/>
  <c r="C20" i="5" s="1"/>
  <c r="B210" i="5"/>
  <c r="B18" i="5"/>
  <c r="B20" i="5" s="1"/>
  <c r="B163" i="5"/>
  <c r="C120" i="5"/>
  <c r="C194" i="5"/>
  <c r="B159" i="5"/>
  <c r="B155" i="5"/>
  <c r="B227" i="5"/>
  <c r="B181" i="5"/>
  <c r="B136" i="5"/>
  <c r="C218" i="5"/>
  <c r="B178" i="5"/>
  <c r="B162" i="5"/>
  <c r="C172" i="5"/>
  <c r="B251" i="5"/>
  <c r="B247" i="5"/>
  <c r="B145" i="5"/>
  <c r="B123" i="5"/>
  <c r="C176" i="5"/>
  <c r="B238" i="5"/>
  <c r="C204" i="5"/>
  <c r="B177" i="5"/>
  <c r="C114" i="5"/>
  <c r="C225" i="5"/>
  <c r="C248" i="5"/>
  <c r="B237" i="5"/>
  <c r="B152" i="5"/>
  <c r="B179" i="5"/>
  <c r="C177" i="5"/>
  <c r="C186" i="5"/>
  <c r="B272" i="5"/>
  <c r="C243" i="5"/>
  <c r="B253" i="5"/>
  <c r="C125" i="5"/>
  <c r="C251" i="5"/>
  <c r="B196" i="5"/>
  <c r="B259" i="5"/>
  <c r="B211" i="5"/>
  <c r="B182" i="5"/>
  <c r="C241" i="5"/>
  <c r="B264" i="5"/>
  <c r="C201" i="5"/>
  <c r="B199" i="5"/>
  <c r="B118" i="5"/>
  <c r="B132" i="5"/>
  <c r="C270" i="5"/>
  <c r="B257" i="5"/>
  <c r="C261" i="5"/>
  <c r="C122" i="5"/>
  <c r="C133" i="5"/>
  <c r="C191" i="5"/>
  <c r="C223" i="5"/>
  <c r="B208" i="5"/>
  <c r="C167" i="5"/>
  <c r="C234" i="5"/>
  <c r="C288" i="5"/>
  <c r="D288" i="5" s="1"/>
  <c r="E288" i="5" s="1"/>
  <c r="F288" i="5" s="1"/>
  <c r="G288" i="5" s="1"/>
  <c r="H288" i="5" s="1"/>
  <c r="I288" i="5" s="1"/>
  <c r="J288" i="5" s="1"/>
  <c r="K288" i="5" s="1"/>
  <c r="L288" i="5" s="1"/>
  <c r="M288" i="5" s="1"/>
  <c r="C165" i="5"/>
  <c r="C145" i="5"/>
  <c r="C264" i="5"/>
  <c r="C161" i="5"/>
  <c r="P509" i="2"/>
  <c r="Q509" i="2" s="1"/>
  <c r="B130" i="5"/>
  <c r="C126" i="5"/>
  <c r="P334" i="2"/>
  <c r="Q334" i="2" s="1"/>
  <c r="B126" i="5"/>
  <c r="C135" i="5"/>
  <c r="B212" i="5"/>
  <c r="C121" i="5"/>
  <c r="B217" i="5"/>
  <c r="C250" i="5"/>
  <c r="C149" i="5"/>
  <c r="C199" i="5"/>
  <c r="C256" i="5"/>
  <c r="B229" i="5"/>
  <c r="C277" i="5"/>
  <c r="B183" i="5"/>
  <c r="B127" i="5"/>
  <c r="C269" i="5"/>
  <c r="B206" i="5"/>
  <c r="B139" i="5"/>
  <c r="C139" i="5"/>
  <c r="C154" i="5"/>
  <c r="B176" i="5"/>
  <c r="B235" i="5"/>
  <c r="B243" i="5"/>
  <c r="C227" i="5"/>
  <c r="B174" i="5"/>
  <c r="C274" i="5"/>
  <c r="C131" i="5"/>
  <c r="B271" i="5"/>
  <c r="B184" i="5"/>
  <c r="C229" i="5"/>
  <c r="B125" i="5"/>
  <c r="B216" i="5"/>
  <c r="B187" i="5"/>
  <c r="C259" i="5"/>
  <c r="B230" i="5"/>
  <c r="D18" i="5"/>
  <c r="D20" i="5" s="1"/>
  <c r="B156" i="5"/>
  <c r="C140" i="5"/>
  <c r="C266" i="5"/>
  <c r="C130" i="5"/>
  <c r="C212" i="5"/>
  <c r="C262" i="5"/>
  <c r="C217" i="5"/>
  <c r="B204" i="5"/>
  <c r="C197" i="5"/>
  <c r="C143" i="5"/>
  <c r="L18" i="5"/>
  <c r="L20" i="5" s="1"/>
  <c r="C255" i="5"/>
  <c r="C190" i="5"/>
  <c r="C271" i="5"/>
  <c r="C214" i="5"/>
  <c r="B223" i="5"/>
  <c r="C215" i="5"/>
  <c r="B202" i="5"/>
  <c r="C153" i="5"/>
  <c r="C272" i="5"/>
  <c r="C196" i="5"/>
  <c r="B255" i="5"/>
  <c r="B273" i="5"/>
  <c r="C239" i="5"/>
  <c r="B172" i="5"/>
  <c r="B170" i="5"/>
  <c r="B150" i="5"/>
  <c r="E18" i="5"/>
  <c r="E20" i="5" s="1"/>
  <c r="B276" i="5"/>
  <c r="C168" i="5"/>
  <c r="Q723" i="2"/>
  <c r="B231" i="5"/>
  <c r="P439" i="2"/>
  <c r="Q439" i="2" s="1"/>
  <c r="C128" i="5"/>
  <c r="B115" i="5"/>
  <c r="C265" i="5"/>
  <c r="B161" i="5"/>
  <c r="B232" i="5"/>
  <c r="B195" i="5"/>
  <c r="C169" i="5"/>
  <c r="C221" i="5"/>
  <c r="B138" i="5"/>
  <c r="C136" i="5"/>
  <c r="C116" i="5"/>
  <c r="B262" i="5"/>
  <c r="B128" i="5"/>
  <c r="C144" i="5"/>
  <c r="C159" i="5"/>
  <c r="H18" i="5"/>
  <c r="H20" i="5" s="1"/>
  <c r="C157" i="5"/>
  <c r="C276" i="5"/>
  <c r="C132" i="5"/>
  <c r="B277" i="5"/>
  <c r="J18" i="5"/>
  <c r="J20" i="5" s="1"/>
  <c r="C148" i="5"/>
  <c r="B236" i="5"/>
  <c r="C267" i="5"/>
  <c r="C193" i="5"/>
  <c r="C213" i="5"/>
  <c r="B166" i="5"/>
  <c r="B144" i="5"/>
  <c r="C238" i="5"/>
  <c r="B153" i="5"/>
  <c r="B131" i="5"/>
  <c r="C166" i="5"/>
  <c r="C245" i="5"/>
  <c r="B23" i="8"/>
  <c r="D23" i="8" s="1"/>
  <c r="C192" i="5"/>
  <c r="B258" i="5"/>
  <c r="C224" i="5"/>
  <c r="B119" i="5"/>
  <c r="B274" i="5"/>
  <c r="C127" i="5"/>
  <c r="P940" i="2"/>
  <c r="Q940" i="2" s="1"/>
  <c r="N287" i="5"/>
  <c r="P1062" i="2" l="1"/>
  <c r="Q1062" i="2" s="1"/>
  <c r="P1061" i="2"/>
  <c r="Q1061" i="2"/>
  <c r="P1060" i="2"/>
  <c r="Q1060" i="2"/>
  <c r="P1058" i="2"/>
  <c r="Q1058" i="2" s="1"/>
  <c r="P1056" i="2"/>
  <c r="Q1056" i="2" s="1"/>
  <c r="P1055" i="2"/>
  <c r="Q1055" i="2" s="1"/>
  <c r="P1053" i="2"/>
  <c r="Q1053" i="2" s="1"/>
  <c r="P1052" i="2"/>
  <c r="Q1052" i="2" s="1"/>
  <c r="P1051" i="2"/>
  <c r="Q1051" i="2" s="1"/>
  <c r="P1050" i="2"/>
  <c r="Q1050" i="2" s="1"/>
  <c r="P1049" i="2"/>
  <c r="Q1049" i="2"/>
  <c r="P1047" i="2"/>
  <c r="Q1047" i="2" s="1"/>
  <c r="P1046" i="2"/>
  <c r="Q1046" i="2"/>
  <c r="P1045" i="2"/>
  <c r="Q1045" i="2" s="1"/>
  <c r="P1044" i="2"/>
  <c r="Q1044" i="2" s="1"/>
  <c r="P1043" i="2"/>
  <c r="Q1043" i="2" s="1"/>
  <c r="P1041" i="2"/>
  <c r="Q1041" i="2" s="1"/>
  <c r="P1040" i="2"/>
  <c r="Q1040" i="2" s="1"/>
  <c r="P1039" i="2"/>
  <c r="Q1039" i="2" s="1"/>
  <c r="P1038" i="2"/>
  <c r="Q1038" i="2" s="1"/>
  <c r="P1037" i="2"/>
  <c r="Q1037" i="2" s="1"/>
  <c r="P1036" i="2"/>
  <c r="Q1036" i="2" s="1"/>
  <c r="P1035" i="2"/>
  <c r="Q1035" i="2" s="1"/>
  <c r="P1034" i="2"/>
  <c r="Q1034" i="2" s="1"/>
  <c r="P1033" i="2"/>
  <c r="Q1033" i="2" s="1"/>
  <c r="P1032" i="2"/>
  <c r="Q1032" i="2" s="1"/>
  <c r="P1030" i="2"/>
  <c r="Q1030" i="2" s="1"/>
  <c r="P1028" i="2"/>
  <c r="Q1028" i="2" s="1"/>
  <c r="P1029" i="2"/>
  <c r="Q1029" i="2" s="1"/>
  <c r="P1027" i="2"/>
  <c r="Q1027" i="2" s="1"/>
  <c r="P1025" i="2"/>
  <c r="Q1025" i="2" s="1"/>
  <c r="P1026" i="2"/>
  <c r="Q1026" i="2" s="1"/>
  <c r="P1023" i="2"/>
  <c r="Q1023" i="2" s="1"/>
  <c r="P1021" i="2"/>
  <c r="Q1021" i="2" s="1"/>
  <c r="P1022" i="2"/>
  <c r="Q1022" i="2" s="1"/>
  <c r="P1020" i="2"/>
  <c r="Q1020" i="2" s="1"/>
  <c r="P1019" i="2"/>
  <c r="Q1019" i="2" s="1"/>
  <c r="P1018" i="2"/>
  <c r="Q1018" i="2" s="1"/>
  <c r="P1017" i="2"/>
  <c r="Q1017" i="2" s="1"/>
  <c r="P1015" i="2"/>
  <c r="Q1015" i="2" s="1"/>
  <c r="P1014" i="2"/>
  <c r="Q1014" i="2" s="1"/>
  <c r="P1013" i="2"/>
  <c r="Q1013" i="2" s="1"/>
  <c r="P1012" i="2"/>
  <c r="Q1012" i="2" s="1"/>
  <c r="P1011" i="2"/>
  <c r="Q1011" i="2" s="1"/>
  <c r="P1009" i="2"/>
  <c r="Q1009" i="2" s="1"/>
  <c r="P1008" i="2"/>
  <c r="Q1008" i="2" s="1"/>
  <c r="P1007" i="2"/>
  <c r="Q1007" i="2" s="1"/>
  <c r="P1006" i="2"/>
  <c r="Q1006" i="2" s="1"/>
  <c r="P1004" i="2"/>
  <c r="Q1004" i="2" s="1"/>
  <c r="P1002" i="2"/>
  <c r="Q1002" i="2" s="1"/>
  <c r="P1001" i="2"/>
  <c r="Q1001" i="2" s="1"/>
  <c r="P1000" i="2"/>
  <c r="Q1000" i="2" s="1"/>
  <c r="P999" i="2"/>
  <c r="Q999" i="2" s="1"/>
  <c r="P998" i="2"/>
  <c r="Q998" i="2" s="1"/>
  <c r="P997" i="2"/>
  <c r="Q997" i="2" s="1"/>
  <c r="P996" i="2"/>
  <c r="Q996" i="2" s="1"/>
  <c r="P995" i="2"/>
  <c r="Q995" i="2" s="1"/>
  <c r="P994" i="2"/>
  <c r="Q994" i="2" s="1"/>
  <c r="P993" i="2"/>
  <c r="Q993" i="2" s="1"/>
  <c r="P992" i="2"/>
  <c r="Q992" i="2" s="1"/>
  <c r="P990" i="2"/>
  <c r="Q990" i="2" s="1"/>
  <c r="P988" i="2"/>
  <c r="Q988" i="2" s="1"/>
  <c r="P987" i="2"/>
  <c r="Q987" i="2" s="1"/>
  <c r="P985" i="2"/>
  <c r="Q985" i="2" s="1"/>
  <c r="P984" i="2"/>
  <c r="Q984" i="2" s="1"/>
  <c r="P983" i="2"/>
  <c r="Q983" i="2" s="1"/>
  <c r="P982" i="2"/>
  <c r="Q982" i="2" s="1"/>
  <c r="P981" i="2"/>
  <c r="Q981" i="2" s="1"/>
  <c r="B15" i="4"/>
  <c r="B26" i="8" s="1"/>
  <c r="N19" i="5"/>
  <c r="B25" i="8" s="1"/>
  <c r="C23" i="1"/>
  <c r="C24" i="1"/>
  <c r="C25" i="8"/>
  <c r="B17" i="8"/>
  <c r="C17" i="8" s="1"/>
  <c r="B16" i="8"/>
  <c r="C16" i="8" s="1"/>
  <c r="C17" i="1"/>
  <c r="C18" i="1"/>
  <c r="L26" i="6"/>
  <c r="N18" i="5"/>
  <c r="N20" i="5" s="1"/>
  <c r="C15" i="1" l="1"/>
  <c r="B9" i="8"/>
  <c r="C9" i="8" s="1"/>
  <c r="B7" i="8"/>
  <c r="C7" i="8" s="1"/>
  <c r="C14" i="1"/>
  <c r="C13" i="1"/>
  <c r="C16" i="1" s="1"/>
  <c r="B8" i="8"/>
  <c r="C8" i="8" s="1"/>
  <c r="E8" i="1"/>
  <c r="B130" i="4"/>
  <c r="C26" i="8" s="1"/>
  <c r="D26" i="8" s="1"/>
  <c r="D25" i="8"/>
  <c r="L27" i="6"/>
  <c r="L28" i="6" l="1"/>
  <c r="L29" i="6" l="1"/>
  <c r="L30" i="6" l="1"/>
  <c r="L31" i="6" l="1"/>
  <c r="K258" i="3" s="1"/>
  <c r="K335" i="3" l="1"/>
  <c r="K570" i="3"/>
  <c r="K572" i="3"/>
  <c r="K57" i="3"/>
  <c r="K222" i="3"/>
  <c r="K989" i="3"/>
  <c r="K300" i="3"/>
  <c r="K318" i="3"/>
  <c r="K461" i="3"/>
  <c r="K994" i="3"/>
  <c r="K501" i="3"/>
  <c r="K198" i="3"/>
  <c r="K366" i="3"/>
  <c r="K759" i="3"/>
  <c r="K182" i="3"/>
  <c r="K598" i="3"/>
  <c r="K207" i="3"/>
  <c r="K927" i="3"/>
  <c r="K43" i="3"/>
  <c r="K454" i="3"/>
  <c r="K786" i="3"/>
  <c r="K384" i="3"/>
  <c r="K886" i="3"/>
  <c r="K743" i="3"/>
  <c r="K389" i="3"/>
  <c r="K231" i="3"/>
  <c r="K103" i="3"/>
  <c r="K259" i="3"/>
  <c r="K139" i="3"/>
  <c r="K145" i="3"/>
  <c r="K1051" i="3"/>
  <c r="K609" i="3"/>
  <c r="K213" i="3"/>
  <c r="K467" i="3"/>
  <c r="K115" i="3"/>
  <c r="K282" i="3"/>
  <c r="K805" i="3"/>
  <c r="K789" i="3"/>
  <c r="K892" i="3"/>
  <c r="K380" i="3"/>
  <c r="K246" i="3"/>
  <c r="K644" i="3"/>
  <c r="K112" i="3"/>
  <c r="K765" i="3"/>
  <c r="K110" i="3"/>
  <c r="K446" i="3"/>
  <c r="K914" i="3"/>
  <c r="K97" i="3"/>
  <c r="K18" i="3"/>
  <c r="K798" i="3"/>
  <c r="K1055" i="3"/>
  <c r="K352" i="3"/>
  <c r="K965" i="3"/>
  <c r="K937" i="3"/>
  <c r="K778" i="3"/>
  <c r="K524" i="3"/>
  <c r="K1001" i="3"/>
  <c r="K105" i="3"/>
  <c r="K949" i="3"/>
  <c r="K233" i="3"/>
  <c r="K1026" i="3"/>
  <c r="K961" i="3"/>
  <c r="K528" i="3"/>
  <c r="K33" i="3"/>
  <c r="K648" i="3"/>
  <c r="K1054" i="3"/>
  <c r="K17" i="3"/>
  <c r="K79" i="3"/>
  <c r="K867" i="3"/>
  <c r="K179" i="3"/>
  <c r="K890" i="3"/>
  <c r="K244" i="3"/>
  <c r="K88" i="3"/>
  <c r="K947" i="3"/>
  <c r="K339" i="3"/>
  <c r="K602" i="3"/>
  <c r="K216" i="3"/>
  <c r="K574" i="3"/>
  <c r="K68" i="3"/>
  <c r="K25" i="3"/>
  <c r="K278" i="3"/>
  <c r="K13" i="3"/>
  <c r="K773" i="3"/>
  <c r="K504" i="3"/>
  <c r="K1047" i="3"/>
  <c r="K654" i="3"/>
  <c r="K878" i="3"/>
  <c r="K672" i="3"/>
  <c r="K229" i="3"/>
  <c r="K1024" i="3"/>
  <c r="K469" i="3"/>
  <c r="K129" i="3"/>
  <c r="K703" i="3"/>
  <c r="K361" i="3"/>
  <c r="K489" i="3"/>
  <c r="K975" i="3"/>
  <c r="K370" i="3"/>
  <c r="K101" i="3"/>
  <c r="K62" i="3"/>
  <c r="K691" i="3"/>
  <c r="K631" i="3"/>
  <c r="K1031" i="3"/>
  <c r="K215" i="3"/>
  <c r="K552" i="3"/>
  <c r="K73" i="3"/>
  <c r="K660" i="3"/>
  <c r="K1003" i="3"/>
  <c r="K708" i="3"/>
  <c r="K158" i="3"/>
  <c r="K152" i="3"/>
  <c r="K724" i="3"/>
  <c r="K42" i="3"/>
  <c r="K717" i="3"/>
  <c r="K938" i="3"/>
  <c r="K221" i="3"/>
  <c r="K472" i="3"/>
  <c r="K240" i="3"/>
  <c r="K100" i="3"/>
  <c r="K928" i="3"/>
  <c r="K864" i="3"/>
  <c r="K10" i="3"/>
  <c r="K87" i="3"/>
  <c r="K800" i="3"/>
  <c r="K24" i="3"/>
  <c r="K771" i="3"/>
  <c r="K919" i="3"/>
  <c r="K715" i="3"/>
  <c r="K458" i="3"/>
  <c r="K860" i="3"/>
  <c r="K166" i="3"/>
  <c r="K588" i="3"/>
  <c r="K371" i="3"/>
  <c r="K28" i="3"/>
  <c r="K553" i="3"/>
  <c r="K686" i="3"/>
  <c r="K539" i="3"/>
  <c r="K730" i="3"/>
  <c r="K396" i="3"/>
  <c r="K684" i="3"/>
  <c r="K819" i="3"/>
  <c r="K804" i="3"/>
  <c r="K689" i="3"/>
  <c r="K326" i="3"/>
  <c r="K658" i="3"/>
  <c r="K702" i="3"/>
  <c r="K638" i="3"/>
  <c r="K534" i="3"/>
  <c r="K421" i="3"/>
  <c r="K1021" i="3"/>
  <c r="K871" i="3"/>
  <c r="K271" i="3"/>
  <c r="K61" i="3"/>
  <c r="K748" i="3"/>
  <c r="K1015" i="3"/>
  <c r="K847" i="3"/>
  <c r="K150" i="3"/>
  <c r="K677" i="3"/>
  <c r="K506" i="3"/>
  <c r="K1029" i="3"/>
  <c r="K381" i="3"/>
  <c r="K177" i="3"/>
  <c r="K141" i="3"/>
  <c r="K191" i="3"/>
  <c r="K793" i="3"/>
  <c r="K687" i="3"/>
  <c r="K465" i="3"/>
  <c r="K1036" i="3"/>
  <c r="K559" i="3"/>
  <c r="K135" i="3"/>
  <c r="K621" i="3"/>
  <c r="K794" i="3"/>
  <c r="K197" i="3"/>
  <c r="K424" i="3"/>
  <c r="K832" i="3"/>
  <c r="K457" i="3"/>
  <c r="K682" i="3"/>
  <c r="K134" i="3"/>
  <c r="K55" i="3"/>
  <c r="K526" i="3"/>
  <c r="K976" i="3"/>
  <c r="K869" i="3"/>
  <c r="K659" i="3"/>
  <c r="K957" i="3"/>
  <c r="K420" i="3"/>
  <c r="K781" i="3"/>
  <c r="K967" i="3"/>
  <c r="K205" i="3"/>
  <c r="K484" i="3"/>
  <c r="K268" i="3"/>
  <c r="K308" i="3"/>
  <c r="K753" i="3"/>
  <c r="K345" i="3"/>
  <c r="K90" i="3"/>
  <c r="K831" i="3"/>
  <c r="K896" i="3"/>
  <c r="K14" i="3"/>
  <c r="K200" i="3"/>
  <c r="K48" i="3"/>
  <c r="K1065" i="3"/>
  <c r="K594" i="3"/>
  <c r="K632" i="3"/>
  <c r="K388" i="3"/>
  <c r="K39" i="3"/>
  <c r="K437" i="3"/>
  <c r="K2" i="3"/>
  <c r="K970" i="3"/>
  <c r="K473" i="3"/>
  <c r="K11" i="3"/>
  <c r="K46" i="3"/>
  <c r="K162" i="3"/>
  <c r="K149" i="3"/>
  <c r="K382" i="3"/>
  <c r="K845" i="3"/>
  <c r="K639" i="3"/>
  <c r="K738" i="3"/>
  <c r="K360" i="3"/>
  <c r="K447" i="3"/>
  <c r="K325" i="3"/>
  <c r="K492" i="3"/>
  <c r="K807" i="3"/>
  <c r="K710" i="3"/>
  <c r="K616" i="3"/>
  <c r="K931" i="3"/>
  <c r="K495" i="3"/>
  <c r="K901" i="3"/>
  <c r="K340" i="3"/>
  <c r="K270" i="3"/>
  <c r="K761" i="3"/>
  <c r="K954" i="3"/>
  <c r="K167" i="3"/>
  <c r="K58" i="3"/>
  <c r="K194" i="3"/>
  <c r="K411" i="3"/>
  <c r="K751" i="3"/>
  <c r="K378" i="3"/>
  <c r="K796" i="3"/>
  <c r="K56" i="3"/>
  <c r="K376" i="3"/>
  <c r="K184" i="3"/>
  <c r="K511" i="3"/>
  <c r="K558" i="3"/>
  <c r="K456" i="3"/>
  <c r="K993" i="3"/>
  <c r="K417" i="3"/>
  <c r="K718" i="3"/>
  <c r="K611" i="3"/>
  <c r="K733" i="3"/>
  <c r="K51" i="3"/>
  <c r="K701" i="3"/>
  <c r="K934" i="3"/>
  <c r="K181" i="3"/>
  <c r="K803" i="3"/>
  <c r="K889" i="3"/>
  <c r="K732" i="3"/>
  <c r="K802" i="3"/>
  <c r="K342" i="3"/>
  <c r="K617" i="3"/>
  <c r="K390" i="3"/>
  <c r="K599" i="3"/>
  <c r="K747" i="3"/>
  <c r="K674" i="3"/>
  <c r="K772" i="3"/>
  <c r="K408" i="3"/>
  <c r="K587" i="3"/>
  <c r="K423" i="3"/>
  <c r="K8" i="3"/>
  <c r="K1034" i="3"/>
  <c r="K933" i="3"/>
  <c r="K821" i="3"/>
  <c r="K303" i="3"/>
  <c r="K275" i="3"/>
  <c r="K386" i="3"/>
  <c r="K193" i="3"/>
  <c r="K669" i="3"/>
  <c r="K171" i="3"/>
  <c r="K560" i="3"/>
  <c r="K234" i="3"/>
  <c r="K40" i="3"/>
  <c r="K705" i="3"/>
  <c r="K583" i="3"/>
  <c r="K953" i="3"/>
  <c r="K547" i="3"/>
  <c r="K83" i="3"/>
  <c r="K661" i="3"/>
  <c r="K811" i="3"/>
  <c r="K591" i="3"/>
  <c r="K443" i="3"/>
  <c r="K561" i="3"/>
  <c r="K290" i="3"/>
  <c r="K497" i="3"/>
  <c r="K959" i="3"/>
  <c r="K32" i="3"/>
  <c r="K946" i="3"/>
  <c r="K755" i="3"/>
  <c r="K663" i="3"/>
  <c r="K151" i="3"/>
  <c r="K453" i="3"/>
  <c r="K1048" i="3"/>
  <c r="K66" i="3"/>
  <c r="K519" i="3"/>
  <c r="K249" i="3"/>
  <c r="K725" i="3"/>
  <c r="K1040" i="3"/>
  <c r="K885" i="3"/>
  <c r="K1010" i="3"/>
  <c r="K22" i="3"/>
  <c r="K374" i="3"/>
  <c r="K984" i="3"/>
  <c r="K841" i="3"/>
  <c r="K642" i="3"/>
  <c r="K750" i="3"/>
  <c r="K332" i="3"/>
  <c r="K735" i="3"/>
  <c r="K863" i="3"/>
  <c r="K872" i="3"/>
  <c r="K562" i="3"/>
  <c r="K35" i="3"/>
  <c r="K496" i="3"/>
  <c r="K977" i="3"/>
  <c r="K341" i="3"/>
  <c r="K146" i="3"/>
  <c r="K367" i="3"/>
  <c r="K406" i="3"/>
  <c r="K418" i="3"/>
  <c r="K53" i="3"/>
  <c r="K605" i="3"/>
  <c r="K664" i="3"/>
  <c r="K673" i="3"/>
  <c r="K608" i="3"/>
  <c r="K298" i="3"/>
  <c r="K893" i="3"/>
  <c r="K517" i="3"/>
  <c r="K286" i="3"/>
  <c r="K60" i="3"/>
  <c r="K749" i="3"/>
  <c r="K206" i="3"/>
  <c r="K219" i="3"/>
  <c r="K442" i="3"/>
  <c r="K399" i="3"/>
  <c r="K329" i="3"/>
  <c r="K410" i="3"/>
  <c r="K746" i="3"/>
  <c r="K118" i="3"/>
  <c r="K466" i="3"/>
  <c r="K440" i="3"/>
  <c r="K795" i="3"/>
  <c r="K284" i="3"/>
  <c r="K774" i="3"/>
  <c r="K125" i="3"/>
  <c r="K130" i="3"/>
  <c r="K704" i="3"/>
  <c r="K133" i="3"/>
  <c r="K468" i="3"/>
  <c r="K444" i="3"/>
  <c r="K586" i="3"/>
  <c r="K775" i="3"/>
  <c r="K296" i="3"/>
  <c r="K653" i="3"/>
  <c r="K879" i="3"/>
  <c r="K791" i="3"/>
  <c r="K178" i="3"/>
  <c r="K262" i="3"/>
  <c r="K106" i="3"/>
  <c r="K826" i="3"/>
  <c r="K147" i="3"/>
  <c r="K108" i="3"/>
  <c r="K1049" i="3"/>
  <c r="K475" i="3"/>
  <c r="K159" i="3"/>
  <c r="K606" i="3"/>
  <c r="K1058" i="3"/>
  <c r="K72" i="3"/>
  <c r="K859" i="3"/>
  <c r="K402" i="3"/>
  <c r="K624" i="3"/>
  <c r="K387" i="3"/>
  <c r="K347" i="3"/>
  <c r="K906" i="3"/>
  <c r="K780" i="3"/>
  <c r="K324" i="3"/>
  <c r="K480" i="3"/>
  <c r="K675" i="3"/>
  <c r="K557" i="3"/>
  <c r="K299" i="3"/>
  <c r="K223" i="3"/>
  <c r="K690" i="3"/>
  <c r="K525" i="3"/>
  <c r="K566" i="3"/>
  <c r="K93" i="3"/>
  <c r="K571" i="3"/>
  <c r="K214" i="3"/>
  <c r="K727" i="3"/>
  <c r="K76" i="3"/>
  <c r="K391" i="3"/>
  <c r="K280" i="3"/>
  <c r="K908" i="3"/>
  <c r="K188" i="3"/>
  <c r="K917" i="3"/>
  <c r="K487" i="3"/>
  <c r="K769" i="3"/>
  <c r="K698" i="3"/>
  <c r="K67" i="3"/>
  <c r="K164" i="3"/>
  <c r="K230" i="3"/>
  <c r="K820" i="3"/>
  <c r="K359" i="3"/>
  <c r="K254" i="3"/>
  <c r="K357" i="3"/>
  <c r="K170" i="3"/>
  <c r="K54" i="3"/>
  <c r="K494" i="3"/>
  <c r="K855" i="3"/>
  <c r="K172" i="3"/>
  <c r="K449" i="3"/>
  <c r="K596" i="3"/>
  <c r="K692" i="3"/>
  <c r="K930" i="3"/>
  <c r="K306" i="3"/>
  <c r="K622" i="3"/>
  <c r="K945" i="3"/>
  <c r="K540" i="3"/>
  <c r="K578" i="3"/>
  <c r="K251" i="3"/>
  <c r="K196" i="3"/>
  <c r="K111" i="3"/>
  <c r="K414" i="3"/>
  <c r="K375" i="3"/>
  <c r="K875" i="3"/>
  <c r="K392" i="3"/>
  <c r="K619" i="3"/>
  <c r="K311" i="3"/>
  <c r="K852" i="3"/>
  <c r="K114" i="3"/>
  <c r="K766" i="3"/>
  <c r="K369" i="3"/>
  <c r="K577" i="3"/>
  <c r="K828" i="3"/>
  <c r="K787" i="3"/>
  <c r="K549" i="3"/>
  <c r="K711" i="3"/>
  <c r="K752" i="3"/>
  <c r="K228" i="3"/>
  <c r="K694" i="3"/>
  <c r="K719" i="3"/>
  <c r="K554" i="3"/>
  <c r="K362" i="3"/>
  <c r="K429" i="3"/>
  <c r="K281" i="3"/>
  <c r="K144" i="3"/>
  <c r="K848" i="3"/>
  <c r="K898" i="3"/>
  <c r="K533" i="3"/>
  <c r="K516" i="3"/>
  <c r="K21" i="3"/>
  <c r="K960" i="3"/>
  <c r="K643" i="3"/>
  <c r="K293" i="3"/>
  <c r="K924" i="3"/>
  <c r="K636" i="3"/>
  <c r="K891" i="3"/>
  <c r="K899" i="3"/>
  <c r="K314" i="3"/>
  <c r="K884" i="3"/>
  <c r="K742" i="3"/>
  <c r="K712" i="3"/>
  <c r="K348" i="3"/>
  <c r="K538" i="3"/>
  <c r="K824" i="3"/>
  <c r="K950" i="3"/>
  <c r="K551" i="3"/>
  <c r="K1016" i="3"/>
  <c r="K1006" i="3"/>
  <c r="K471" i="3"/>
  <c r="K316" i="3"/>
  <c r="K808" i="3"/>
  <c r="K777" i="3"/>
  <c r="K338" i="3"/>
  <c r="K261" i="3"/>
  <c r="K6" i="3"/>
  <c r="K1013" i="3"/>
  <c r="K615" i="3"/>
  <c r="K806" i="3"/>
  <c r="K834" i="3"/>
  <c r="K277" i="3"/>
  <c r="K29" i="3"/>
  <c r="K576" i="3"/>
  <c r="K140" i="3"/>
  <c r="K861" i="3"/>
  <c r="K74" i="3"/>
  <c r="K714" i="3"/>
  <c r="K95" i="3"/>
  <c r="K637" i="3"/>
  <c r="K235" i="3"/>
  <c r="K589" i="3"/>
  <c r="K185" i="3"/>
  <c r="K124" i="3"/>
  <c r="K943" i="3"/>
  <c r="K412" i="3"/>
  <c r="K70" i="3"/>
  <c r="K521" i="3"/>
  <c r="K156" i="3"/>
  <c r="K579" i="3"/>
  <c r="K1067" i="3"/>
  <c r="K568" i="3"/>
  <c r="K1053" i="3"/>
  <c r="K397" i="3"/>
  <c r="K840" i="3"/>
  <c r="K963" i="3"/>
  <c r="K1002" i="3"/>
  <c r="K400" i="3"/>
  <c r="K266" i="3"/>
  <c r="K535" i="3"/>
  <c r="K792" i="3"/>
  <c r="K50" i="3"/>
  <c r="K1042" i="3"/>
  <c r="K590" i="3"/>
  <c r="K1063" i="3"/>
  <c r="K647" i="3"/>
  <c r="K782" i="3"/>
  <c r="K839" i="3"/>
  <c r="K990" i="3"/>
  <c r="K641" i="3"/>
  <c r="K688" i="3"/>
  <c r="K323" i="3"/>
  <c r="K126" i="3"/>
  <c r="K401" i="3"/>
  <c r="K829" i="3"/>
  <c r="K337" i="3"/>
  <c r="K20" i="3"/>
  <c r="K971" i="3"/>
  <c r="K252" i="3"/>
  <c r="K52" i="3"/>
  <c r="K973" i="3"/>
  <c r="K696" i="3"/>
  <c r="K741" i="3"/>
  <c r="K3" i="3"/>
  <c r="K900" i="3"/>
  <c r="K618" i="3"/>
  <c r="K987" i="3"/>
  <c r="K317" i="3"/>
  <c r="K137" i="3"/>
  <c r="K488" i="3"/>
  <c r="K944" i="3"/>
  <c r="K225" i="3"/>
  <c r="K584" i="3"/>
  <c r="K274" i="3"/>
  <c r="K41" i="3"/>
  <c r="K779" i="3"/>
  <c r="K330" i="3"/>
  <c r="K138" i="3"/>
  <c r="K336" i="3"/>
  <c r="K104" i="3"/>
  <c r="K426" i="3"/>
  <c r="K543" i="3"/>
  <c r="K450" i="3"/>
  <c r="K593" i="3"/>
  <c r="K678" i="3"/>
  <c r="K283" i="3"/>
  <c r="K96" i="3"/>
  <c r="K581" i="3"/>
  <c r="K19" i="3"/>
  <c r="K169" i="3"/>
  <c r="K968" i="3"/>
  <c r="K850" i="3"/>
  <c r="K7" i="3"/>
  <c r="K784" i="3"/>
  <c r="K305" i="3"/>
  <c r="K916" i="3"/>
  <c r="K435" i="3"/>
  <c r="K679" i="3"/>
  <c r="K981" i="3"/>
  <c r="K438" i="3"/>
  <c r="K356" i="3"/>
  <c r="K992" i="3"/>
  <c r="K757" i="3"/>
  <c r="K346" i="3"/>
  <c r="K474" i="3"/>
  <c r="K1064" i="3"/>
  <c r="K838" i="3"/>
  <c r="K522" i="3"/>
  <c r="K887" i="3"/>
  <c r="K247" i="3"/>
  <c r="K685" i="3"/>
  <c r="K895" i="3"/>
  <c r="K544" i="3"/>
  <c r="K740" i="3"/>
  <c r="K926" i="3"/>
  <c r="K837" i="3"/>
  <c r="K513" i="3"/>
  <c r="K477" i="3"/>
  <c r="K1050" i="3"/>
  <c r="K565" i="3"/>
  <c r="K237" i="3"/>
  <c r="K1023" i="3"/>
  <c r="K833" i="3"/>
  <c r="K434" i="3"/>
  <c r="K331" i="3"/>
  <c r="K433" i="3"/>
  <c r="K600" i="3"/>
  <c r="K912" i="3"/>
  <c r="K232" i="3"/>
  <c r="K918" i="3"/>
  <c r="K853" i="3"/>
  <c r="K897" i="3"/>
  <c r="K913" i="3"/>
  <c r="K818" i="3"/>
  <c r="K762" i="3"/>
  <c r="K312" i="3"/>
  <c r="K368" i="3"/>
  <c r="K830" i="3"/>
  <c r="K1052" i="3"/>
  <c r="K486" i="3"/>
  <c r="K227" i="3"/>
  <c r="K857" i="3"/>
  <c r="K1041" i="3"/>
  <c r="K498" i="3"/>
  <c r="K825" i="3"/>
  <c r="K322" i="3"/>
  <c r="K292" i="3"/>
  <c r="K427" i="3"/>
  <c r="K510" i="3"/>
  <c r="K843" i="3"/>
  <c r="K463" i="3"/>
  <c r="K523" i="3"/>
  <c r="K302" i="3"/>
  <c r="K656" i="3"/>
  <c r="K515" i="3"/>
  <c r="K767" i="3"/>
  <c r="K505" i="3"/>
  <c r="K363" i="3"/>
  <c r="K962" i="3"/>
  <c r="K595" i="3"/>
  <c r="K815" i="3"/>
  <c r="K508" i="3"/>
  <c r="K541" i="3"/>
  <c r="K353" i="3"/>
  <c r="K823" i="3"/>
  <c r="K634" i="3"/>
  <c r="K405" i="3"/>
  <c r="K986" i="3"/>
  <c r="K597" i="3"/>
  <c r="K1020" i="3"/>
  <c r="K723" i="3"/>
  <c r="K876" i="3"/>
  <c r="K343" i="3"/>
  <c r="K809" i="3"/>
  <c r="K507" i="3"/>
  <c r="K902" i="3"/>
  <c r="K736" i="3"/>
  <c r="K409" i="3"/>
  <c r="K580" i="3"/>
  <c r="K842" i="3"/>
  <c r="K729" i="3"/>
  <c r="K744" i="3"/>
  <c r="K907" i="3"/>
  <c r="K603" i="3"/>
  <c r="K827" i="3"/>
  <c r="K974" i="3"/>
  <c r="K575" i="3"/>
  <c r="K915" i="3"/>
  <c r="K358" i="3"/>
  <c r="K428" i="3"/>
  <c r="K313" i="3"/>
  <c r="K482" i="3"/>
  <c r="K512" i="3"/>
  <c r="K372" i="3"/>
  <c r="K978" i="3"/>
  <c r="K307" i="3"/>
  <c r="K272" i="3"/>
  <c r="K905" i="3"/>
  <c r="K788" i="3"/>
  <c r="K502" i="3"/>
  <c r="K1046" i="3"/>
  <c r="K529" i="3"/>
  <c r="K935" i="3"/>
  <c r="K500" i="3"/>
  <c r="K1030" i="3"/>
  <c r="K940" i="3"/>
  <c r="K814" i="3"/>
  <c r="K1008" i="3"/>
  <c r="K319" i="3"/>
  <c r="K921" i="3"/>
  <c r="K991" i="3"/>
  <c r="K425" i="3"/>
  <c r="K1062" i="3"/>
  <c r="K728" i="3"/>
  <c r="K518" i="3"/>
  <c r="K530" i="3"/>
  <c r="K257" i="3"/>
  <c r="K613" i="3"/>
  <c r="K71" i="3"/>
  <c r="K92" i="3"/>
  <c r="K350" i="3"/>
  <c r="K431" i="3"/>
  <c r="K217" i="3"/>
  <c r="K460" i="3"/>
  <c r="K932" i="3"/>
  <c r="K883" i="3"/>
  <c r="K245" i="3"/>
  <c r="K441" i="3"/>
  <c r="K26" i="3"/>
  <c r="K670" i="3"/>
  <c r="K1043" i="3"/>
  <c r="K942" i="3"/>
  <c r="K224" i="3"/>
  <c r="K1057" i="3"/>
  <c r="K888" i="3"/>
  <c r="K722" i="3"/>
  <c r="K776" i="3"/>
  <c r="K351" i="3"/>
  <c r="K858" i="3"/>
  <c r="K398" i="3"/>
  <c r="K662" i="3"/>
  <c r="K972" i="3"/>
  <c r="K922" i="3"/>
  <c r="K333" i="3"/>
  <c r="K948" i="3"/>
  <c r="K870" i="3"/>
  <c r="K295" i="3"/>
  <c r="K695" i="3"/>
  <c r="K810" i="3"/>
  <c r="K273" i="3"/>
  <c r="K239" i="3"/>
  <c r="K377" i="3"/>
  <c r="K697" i="3"/>
  <c r="K657" i="3"/>
  <c r="K537" i="3"/>
  <c r="K201" i="3"/>
  <c r="K983" i="3"/>
  <c r="K531" i="3"/>
  <c r="K720" i="3"/>
  <c r="K448" i="3"/>
  <c r="K161" i="3"/>
  <c r="K999" i="3"/>
  <c r="K89" i="3"/>
  <c r="K451" i="3"/>
  <c r="K731" i="3"/>
  <c r="K760" i="3"/>
  <c r="K790" i="3"/>
  <c r="K113" i="3"/>
  <c r="K416" i="3"/>
  <c r="K614" i="3"/>
  <c r="K709" i="3"/>
  <c r="K941" i="3"/>
  <c r="K86" i="3"/>
  <c r="K16" i="3"/>
  <c r="K186" i="3"/>
  <c r="K969" i="3"/>
  <c r="K123" i="3"/>
  <c r="K655" i="3"/>
  <c r="K929" i="3"/>
  <c r="K445" i="3"/>
  <c r="K142" i="3"/>
  <c r="K415" i="3"/>
  <c r="K671" i="3"/>
  <c r="K107" i="3"/>
  <c r="K315" i="3"/>
  <c r="K925" i="3"/>
  <c r="K1025" i="3"/>
  <c r="K241" i="3"/>
  <c r="K545" i="3"/>
  <c r="K117" i="3"/>
  <c r="K267" i="3"/>
  <c r="K478" i="3"/>
  <c r="K23" i="3"/>
  <c r="K982" i="3"/>
  <c r="K951" i="3"/>
  <c r="K354" i="3"/>
  <c r="K45" i="3"/>
  <c r="K36" i="3"/>
  <c r="K12" i="3"/>
  <c r="K407" i="3"/>
  <c r="K564" i="3"/>
  <c r="K155" i="3"/>
  <c r="K143" i="3"/>
  <c r="K269" i="3"/>
  <c r="K520" i="3"/>
  <c r="K649" i="3"/>
  <c r="K812" i="3"/>
  <c r="K646" i="3"/>
  <c r="K116" i="3"/>
  <c r="K734" i="3"/>
  <c r="K47" i="3"/>
  <c r="K99" i="3"/>
  <c r="K816" i="3"/>
  <c r="K610" i="3"/>
  <c r="K939" i="3"/>
  <c r="K491" i="3"/>
  <c r="K264" i="3"/>
  <c r="K75" i="3"/>
  <c r="K582" i="3"/>
  <c r="K485" i="3"/>
  <c r="K569" i="3"/>
  <c r="K85" i="3"/>
  <c r="K256" i="3"/>
  <c r="K770" i="3"/>
  <c r="K817" i="3"/>
  <c r="K514" i="3"/>
  <c r="K894" i="3"/>
  <c r="K881" i="3"/>
  <c r="K349" i="3"/>
  <c r="K1028" i="3"/>
  <c r="K745" i="3"/>
  <c r="K432" i="3"/>
  <c r="K157" i="3"/>
  <c r="K979" i="3"/>
  <c r="K192" i="3"/>
  <c r="K955" i="3"/>
  <c r="K4" i="3"/>
  <c r="K120" i="3"/>
  <c r="K721" i="3"/>
  <c r="K1044" i="3"/>
  <c r="K623" i="3"/>
  <c r="K509" i="3"/>
  <c r="K882" i="3"/>
  <c r="K243" i="3"/>
  <c r="K77" i="3"/>
  <c r="K452" i="3"/>
  <c r="K199" i="3"/>
  <c r="K707" i="3"/>
  <c r="K287" i="3"/>
  <c r="K849" i="3"/>
  <c r="K334" i="3"/>
  <c r="K607" i="3"/>
  <c r="K680" i="3"/>
  <c r="K998" i="3"/>
  <c r="K127" i="3"/>
  <c r="K69" i="3"/>
  <c r="K676" i="3"/>
  <c r="K479" i="3"/>
  <c r="K91" i="3"/>
  <c r="K797" i="3"/>
  <c r="K592" i="3"/>
  <c r="K44" i="3"/>
  <c r="K483" i="3"/>
  <c r="K327" i="3"/>
  <c r="K601" i="3"/>
  <c r="K84" i="3"/>
  <c r="K754" i="3"/>
  <c r="K490" i="3"/>
  <c r="K168" i="3"/>
  <c r="K210" i="3"/>
  <c r="K470" i="3"/>
  <c r="K629" i="3"/>
  <c r="K128" i="3"/>
  <c r="K289" i="3"/>
  <c r="K822" i="3"/>
  <c r="K208" i="3"/>
  <c r="K532" i="3"/>
  <c r="K109" i="3"/>
  <c r="K209" i="3"/>
  <c r="K31" i="3"/>
  <c r="K304" i="3"/>
  <c r="K476" i="3"/>
  <c r="K148" i="3"/>
  <c r="K844" i="3"/>
  <c r="K988" i="3"/>
  <c r="K873" i="3"/>
  <c r="K645" i="3"/>
  <c r="K395" i="3"/>
  <c r="K612" i="3"/>
  <c r="K9" i="3"/>
  <c r="K716" i="3"/>
  <c r="K301" i="3"/>
  <c r="K550" i="3"/>
  <c r="K668" i="3"/>
  <c r="K288" i="3"/>
  <c r="K204" i="3"/>
  <c r="K693" i="3"/>
  <c r="K294" i="3"/>
  <c r="K667" i="3"/>
  <c r="K265" i="3"/>
  <c r="K321" i="3"/>
  <c r="K344" i="3"/>
  <c r="K625" i="3"/>
  <c r="K393" i="3"/>
  <c r="K630" i="3"/>
  <c r="K956" i="3"/>
  <c r="K49" i="3"/>
  <c r="K320" i="3"/>
  <c r="K904" i="3"/>
  <c r="K758" i="3"/>
  <c r="K874" i="3"/>
  <c r="K203" i="3"/>
  <c r="K1056" i="3"/>
  <c r="K242" i="3"/>
  <c r="K80" i="3"/>
  <c r="K236" i="3"/>
  <c r="K556" i="3"/>
  <c r="K626" i="3"/>
  <c r="K379" i="3"/>
  <c r="K548" i="3"/>
  <c r="K903" i="3"/>
  <c r="K868" i="3"/>
  <c r="K706" i="3"/>
  <c r="K700" i="3"/>
  <c r="K764" i="3"/>
  <c r="K923" i="3"/>
  <c r="K785" i="3"/>
  <c r="K163" i="3"/>
  <c r="K253" i="3"/>
  <c r="K5" i="3"/>
  <c r="K536" i="3"/>
  <c r="K64" i="3"/>
  <c r="K122" i="3"/>
  <c r="K542" i="3"/>
  <c r="K936" i="3"/>
  <c r="K121" i="3"/>
  <c r="K119" i="3"/>
  <c r="K952" i="3"/>
  <c r="K763" i="3"/>
  <c r="K180" i="3"/>
  <c r="K856" i="3"/>
  <c r="K211" i="3"/>
  <c r="K202" i="3"/>
  <c r="K131" i="3"/>
  <c r="K846" i="3"/>
  <c r="K279" i="3"/>
  <c r="K459" i="3"/>
  <c r="K1032" i="3"/>
  <c r="K737" i="3"/>
  <c r="K383" i="3"/>
  <c r="K666" i="3"/>
  <c r="K63" i="3"/>
  <c r="K985" i="3"/>
  <c r="K373" i="3"/>
  <c r="K187" i="3"/>
  <c r="K238" i="3"/>
  <c r="K966" i="3"/>
  <c r="K683" i="3"/>
  <c r="K713" i="3"/>
  <c r="K419" i="3"/>
  <c r="K851" i="3"/>
  <c r="K34" i="3"/>
  <c r="K527" i="3"/>
  <c r="K78" i="3"/>
  <c r="K585" i="3"/>
  <c r="K65" i="3"/>
  <c r="K82" i="3"/>
  <c r="K555" i="3"/>
  <c r="K1060" i="3"/>
  <c r="K220" i="3"/>
  <c r="K291" i="3"/>
  <c r="K430" i="3"/>
  <c r="K620" i="3"/>
  <c r="K81" i="3"/>
  <c r="K212" i="3"/>
  <c r="K174" i="3"/>
  <c r="K439" i="3"/>
  <c r="K801" i="3"/>
  <c r="K297" i="3"/>
  <c r="K665" i="3"/>
  <c r="K563" i="3"/>
  <c r="K404" i="3"/>
  <c r="K263" i="3"/>
  <c r="K250" i="3"/>
  <c r="K628" i="3"/>
  <c r="K877" i="3"/>
  <c r="K567" i="3"/>
  <c r="K627" i="3"/>
  <c r="K15" i="3"/>
  <c r="K739" i="3"/>
  <c r="K136" i="3"/>
  <c r="K813" i="3"/>
  <c r="K1035" i="3"/>
  <c r="K160" i="3"/>
  <c r="K355" i="3"/>
  <c r="K30" i="3"/>
  <c r="K328" i="3"/>
  <c r="K154" i="3"/>
  <c r="K481" i="3"/>
  <c r="K699" i="3"/>
  <c r="K403" i="3"/>
  <c r="K835" i="3"/>
  <c r="K651" i="3"/>
  <c r="K783" i="3"/>
  <c r="K635" i="3"/>
  <c r="K652" i="3"/>
  <c r="K462" i="3"/>
  <c r="K285" i="3"/>
  <c r="K276" i="3"/>
  <c r="K640" i="3"/>
  <c r="K153" i="3"/>
  <c r="K173" i="3"/>
  <c r="K650" i="3"/>
  <c r="K394" i="3"/>
  <c r="K499" i="3"/>
  <c r="K189" i="3"/>
  <c r="K98" i="3"/>
  <c r="K59" i="3"/>
  <c r="K911" i="3"/>
  <c r="K503" i="3"/>
  <c r="K218" i="3"/>
  <c r="K455" i="3"/>
  <c r="K422" i="3"/>
  <c r="K726" i="3"/>
  <c r="K633" i="3"/>
  <c r="K436" i="3"/>
  <c r="K964" i="3"/>
  <c r="K385" i="3"/>
  <c r="K132" i="3"/>
  <c r="K756" i="3"/>
  <c r="K309" i="3"/>
  <c r="K365" i="3"/>
  <c r="K862" i="3"/>
  <c r="K866" i="3"/>
  <c r="K546" i="3"/>
  <c r="K190" i="3"/>
  <c r="K255" i="3"/>
  <c r="K681" i="3"/>
  <c r="K176" i="3"/>
  <c r="K768" i="3"/>
  <c r="K248" i="3"/>
  <c r="K958" i="3"/>
  <c r="K102" i="3"/>
  <c r="K175" i="3"/>
  <c r="K165" i="3"/>
  <c r="K183" i="3"/>
  <c r="K310" i="3"/>
  <c r="K854" i="3"/>
  <c r="K27" i="3"/>
  <c r="K260" i="3"/>
  <c r="K413" i="3"/>
  <c r="K493" i="3"/>
  <c r="K995" i="3"/>
  <c r="K920" i="3"/>
  <c r="K865" i="3"/>
  <c r="K464" i="3"/>
  <c r="K880" i="3"/>
  <c r="K226" i="3"/>
  <c r="K364" i="3"/>
  <c r="K195" i="3"/>
  <c r="K1066" i="3"/>
  <c r="K836" i="3"/>
  <c r="K9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" authorId="0" shapeId="0" xr:uid="{00000000-0006-0000-0300-000003000000}">
      <text>
        <r>
          <rPr>
            <sz val="10"/>
            <rFont val="Arial"/>
            <family val="2"/>
          </rPr>
          <t>Célula técnica: converte o mês escolhido no critério usado pelas fórmulas SOMASES. Não apagar.</t>
        </r>
      </text>
    </comment>
    <comment ref="B6" authorId="0" shapeId="0" xr:uid="{00000000-0006-0000-0300-000001000000}">
      <text>
        <r>
          <rPr>
            <sz val="10"/>
            <rFont val="Arial"/>
            <family val="2"/>
          </rPr>
          <t>ENTRADAS = soma das entradas MENOS as aplicacoes financeiras, exatamente como no modelo de prestacao de contas (linha '(-) Aplicacoes Financeiras'). A aplicacao e subtraida duas vezes na formula porque tambem entrou na soma do intervalo.</t>
        </r>
      </text>
    </comment>
    <comment ref="B15" authorId="0" shapeId="0" xr:uid="{00000000-0006-0000-0300-000002000000}">
      <text>
        <r>
          <rPr>
            <sz val="10"/>
            <rFont val="Arial"/>
            <family val="2"/>
          </rPr>
          <t>DESPESAS = soma das 11 categorias de despesa.
PONTO PARA REVISAO: no modelo original esta formula subtraia a linha 'Repasse Piso Salarial enfermagem', que e uma ENTRADA. Nao reproduzi essa subtracao para nao misturar entrada com despesa. Se voce quiser o valor liquido do piso, use a linha de memoria logo abaixo do SALDO.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9" authorId="0" shapeId="0" xr:uid="{00000000-0006-0000-0400-000001000000}">
      <text>
        <r>
          <rPr>
            <sz val="10"/>
            <rFont val="Arial"/>
            <family val="2"/>
          </rPr>
          <t>Soma apenas as 11 categorias de despesa. Nao inclui a linha '(sem categoria definida)' logo acima, porque ali pode haver tanto despesa quanto entrada ainda sem classificacao.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500-000001000000}">
      <text>
        <r>
          <rPr>
            <sz val="10"/>
            <rFont val="Arial"/>
            <family val="2"/>
          </rPr>
          <t>PREENCHER: saldo real da conta corrente em 31/12/2025, conforme o extrato.
Enquanto estiver zero, o saldo acumulado do EXTRATO representa apenas a movimentacao de 2026, nao o saldo real em conta.</t>
        </r>
      </text>
    </comment>
  </commentList>
</comments>
</file>

<file path=xl/sharedStrings.xml><?xml version="1.0" encoding="utf-8"?>
<sst xmlns="http://schemas.openxmlformats.org/spreadsheetml/2006/main" count="13939" uniqueCount="3238">
  <si>
    <t>BIORENAL - PAINEL FINANCEIRO 2026</t>
  </si>
  <si>
    <t>Centro de Hemodiálise de Santa Inês - MA | dados da aba EXTRATO e RATEIOS</t>
  </si>
  <si>
    <t>TOTAL DE ENTRADAS</t>
  </si>
  <si>
    <t>TOTAL DE SAÍDAS</t>
  </si>
  <si>
    <t>TOTAL DE DESPESAS CLASSIFICADAS</t>
  </si>
  <si>
    <t>SITUAÇÃO DO TRABALHO</t>
  </si>
  <si>
    <t>Movimentos bancários registrados</t>
  </si>
  <si>
    <t>Movimentos com rateio OK</t>
  </si>
  <si>
    <t>Movimentos NÃO classificados</t>
  </si>
  <si>
    <t>Movimentos com DIVERGÊNCIA de rateio</t>
  </si>
  <si>
    <t>% classificado</t>
  </si>
  <si>
    <t>Linhas de rateio marcadas SUGERIDO (conferir)</t>
  </si>
  <si>
    <t>Linhas de rateio PENDENTES (preencher)</t>
  </si>
  <si>
    <t>Conciliados com o extrato</t>
  </si>
  <si>
    <t>Valor ainda sem classificação</t>
  </si>
  <si>
    <t>MAIOR CATEGORIA DE DESPESA (ano)</t>
  </si>
  <si>
    <t>Categoria</t>
  </si>
  <si>
    <t>Valor</t>
  </si>
  <si>
    <t>COMO USAR</t>
  </si>
  <si>
    <t>4. PRESTAÇÃO DE CONTAS - escolha o mês no topo. Os valores aparecem automaticamente.</t>
  </si>
  <si>
    <t>5. ANÁLISES - visão por categoria, subcategoria, fornecedor e mês. Nada para digitar.</t>
  </si>
  <si>
    <t>6. INTEGRIDADE - confira antes de fechar o mês. Tudo deve estar OK.</t>
  </si>
  <si>
    <t>LEGENDA</t>
  </si>
  <si>
    <t>Célula que você preenche</t>
  </si>
  <si>
    <t>OK / conciliado</t>
  </si>
  <si>
    <t>Precisa da sua atenção (sugerido, pendente ou a verificar)</t>
  </si>
  <si>
    <t>Divergência — resolver antes de fechar o mês</t>
  </si>
  <si>
    <t>ID_LANC</t>
  </si>
  <si>
    <t>DATA</t>
  </si>
  <si>
    <t>MÊS</t>
  </si>
  <si>
    <t>TIPO DE PAGAMENTO</t>
  </si>
  <si>
    <t>TIPO DE MOVIMENTAÇÃO</t>
  </si>
  <si>
    <t>HISTÓRICO DO BANCO</t>
  </si>
  <si>
    <t>FORNECEDOR/FAVORECIDO</t>
  </si>
  <si>
    <t>DOCUMENTO</t>
  </si>
  <si>
    <t>ENTRADA</t>
  </si>
  <si>
    <t>SAÍDA</t>
  </si>
  <si>
    <t>APLICAÇÃO</t>
  </si>
  <si>
    <t>RESGATE</t>
  </si>
  <si>
    <t>SALDO ACUMULADO</t>
  </si>
  <si>
    <t>TOTAL RATEADO</t>
  </si>
  <si>
    <t>DIFERENÇA</t>
  </si>
  <si>
    <t>STATUS DO RATEIO</t>
  </si>
  <si>
    <t>STATUS DA CONCILIAÇÃO</t>
  </si>
  <si>
    <t>OBSERVAÇÃO</t>
  </si>
  <si>
    <t>RESGATE BB CDB DI</t>
  </si>
  <si>
    <t>BANCO DO BRASIL - CDB DI</t>
  </si>
  <si>
    <t>ANA CLAUDIA A. VARÃO (NF - VARÃO E ALMEIDA - ESSENCIAL PHARMA) - REF. IODETO DE POTÁSSIO</t>
  </si>
  <si>
    <t>ANA CLAUDIA A. VARÃO</t>
  </si>
  <si>
    <t>245</t>
  </si>
  <si>
    <t>ALLMED PRONEFRO (REF. LINHA ARTERIAL E LINHA VENOSA) 1/3</t>
  </si>
  <si>
    <t>ALLMED PRONEFRO</t>
  </si>
  <si>
    <t>86260</t>
  </si>
  <si>
    <t>ALLMED PRONEFRO (REF. LINHA ARTERIAL E LINHA VENOSA) 2/2</t>
  </si>
  <si>
    <t>85727</t>
  </si>
  <si>
    <t>OMNIELMASTER HEMOMED (REF. CATETER) 2/2</t>
  </si>
  <si>
    <t>OMNIELMASTER HEMOMED</t>
  </si>
  <si>
    <t>26229</t>
  </si>
  <si>
    <t>DIALISE COMÉRCIO (REF. ÁCIDO E ISOLADOR) 2/2</t>
  </si>
  <si>
    <t>DIALISE COMERCIO</t>
  </si>
  <si>
    <t>11363</t>
  </si>
  <si>
    <t>DIÁLISE COMÉRCIO (REF. ÁCIDO PERACETICO E ISOLADOR) 1/2</t>
  </si>
  <si>
    <t>87</t>
  </si>
  <si>
    <t>BB RENDE FÁCIL</t>
  </si>
  <si>
    <t>BRANDÃO &amp; BRANDÃO (REF. MATERIAL DE LIMPEZA) 1/1</t>
  </si>
  <si>
    <t>BRANDÃO &amp; BRANDÃO</t>
  </si>
  <si>
    <t>106199</t>
  </si>
  <si>
    <t>CASSIANO &amp; CASSINOS CONTABILIDADE</t>
  </si>
  <si>
    <t>826</t>
  </si>
  <si>
    <t>GAS SÃO JOSE (NF - J V L NOBRE) - GÁS PARA A COPA</t>
  </si>
  <si>
    <t>GAS SÃO JOSE</t>
  </si>
  <si>
    <t>5321</t>
  </si>
  <si>
    <t>PIX</t>
  </si>
  <si>
    <t>MARKETPLACE (NF - L C BRASIL IMPORT) - REF. SUPORTE PARA JALECOS</t>
  </si>
  <si>
    <t>MARKETPLACE MERCADO LIVRE</t>
  </si>
  <si>
    <t>191282</t>
  </si>
  <si>
    <t>MA FES ENFERMAGEM (REF. PISO SALARIAL ENFERMAGEM - COMP. DEZ/2025)</t>
  </si>
  <si>
    <t>MA FES ENFERMAGEM</t>
  </si>
  <si>
    <t>CASSIANO &amp; CASSINOS CONTABILIDADE (REF. CERTIFICAÇÃO DIGITAL - PJ)</t>
  </si>
  <si>
    <t>822</t>
  </si>
  <si>
    <t>CRISTALIA PRODUTOS (REF. HEPARINAS) 1/3</t>
  </si>
  <si>
    <t>CRISTALIA PRODUTOS</t>
  </si>
  <si>
    <t>862145</t>
  </si>
  <si>
    <t>EQUATORIAL MARANHÃO (ENERGIA - CASA ALUGUEL)</t>
  </si>
  <si>
    <t>EQUATORIAL MARANHÃO</t>
  </si>
  <si>
    <t>ANTONIO SANTOS L. FILHO (REF. ALUGUEL CASA DE APOIO)</t>
  </si>
  <si>
    <t>ANTONIO SANTOS L. FILHO</t>
  </si>
  <si>
    <t>SEM NF</t>
  </si>
  <si>
    <t>ALECRIM INDUSTRIA (REF. PAPEL TOALHA) 1/1</t>
  </si>
  <si>
    <t>ALECRIM INDUSTRIA</t>
  </si>
  <si>
    <t>7657</t>
  </si>
  <si>
    <t>BANCO VOLKSWAGEN (NF - CAVEPEL - REF. PRESTAÇÃO CARRO) 5/48</t>
  </si>
  <si>
    <t>BANCO VOLKSWAGEN</t>
  </si>
  <si>
    <t>38758</t>
  </si>
  <si>
    <t>TARIFA PAGAMENTO DE SALÁRIO</t>
  </si>
  <si>
    <t>EQUATORIAL MARANHÃO (REF. ENERGIA ELÉTRICA DA CLÍNICA) - REF. DEZ/25</t>
  </si>
  <si>
    <t>A C R DA SILVA E CIA (SUPERMERCADO CAMINO - REF. COMPRAS QUINZENAIS - 08/12 E 23/12 )</t>
  </si>
  <si>
    <t>A C R DA SILVA E CIA (SUPERMERCADO CAMINO)</t>
  </si>
  <si>
    <t>NF 10175 / NF 10256</t>
  </si>
  <si>
    <t>J G MARQUES CONVENIENCIA (REF. ALMOÇO HELENAS BRISTRÔ - AFONSO E EMANUELLE)</t>
  </si>
  <si>
    <t>J G MARQUES CONVENIENCIA</t>
  </si>
  <si>
    <t>CUPOM FISCAL</t>
  </si>
  <si>
    <t>MARKETPLACE (NF - LOJA KICAPACHO) - REF. COMPRA DE 03 TAPETES SINALIZADORES</t>
  </si>
  <si>
    <t>7410 / 7411 / 7412</t>
  </si>
  <si>
    <t>CDB/RDB</t>
  </si>
  <si>
    <t>TIM S/A</t>
  </si>
  <si>
    <t>BRITO, TORRES &amp; LOBO (REF. ESTORNO DO PAGAMENTO TIM S/A)</t>
  </si>
  <si>
    <t>BRITO, TORRES &amp; LOBO</t>
  </si>
  <si>
    <t>FERCASTRO (REF. BOTAS, SILICONE E PARAFUSO)</t>
  </si>
  <si>
    <t>FERCASTRO</t>
  </si>
  <si>
    <t>7496</t>
  </si>
  <si>
    <t>M E S XAVIER (REF. CARGA DE 02 OXIGÊNIOS MEDICINAL)</t>
  </si>
  <si>
    <t>M E S XAVIER</t>
  </si>
  <si>
    <t>273</t>
  </si>
  <si>
    <t>INDIFILTROS FILTROS (RE. FILTROS, CARCAÇA, CHAVES) 2/2</t>
  </si>
  <si>
    <t>INDIFILTROS FILTROS</t>
  </si>
  <si>
    <t>53977</t>
  </si>
  <si>
    <t>TARIFA PACOTE DE SERVIÇOS</t>
  </si>
  <si>
    <t>BOLETO</t>
  </si>
  <si>
    <t>MARANET TELECOM (REF. INTERNET)</t>
  </si>
  <si>
    <t>MARANET TELECOM</t>
  </si>
  <si>
    <t>63448</t>
  </si>
  <si>
    <t>FOLHA DE PAGAMENTO (REF. PISO SALARIAL DA ENFERMAGEM - COMP. DEZ/2025)</t>
  </si>
  <si>
    <t>FOLHA DE PAGAMENTO</t>
  </si>
  <si>
    <t>ISS (MUNICIPIO DE SANTA INÊS) - NF 04 (REF. COMP. 10/2025) - NF EMITIDA EM 04/12/2025</t>
  </si>
  <si>
    <t>ISS</t>
  </si>
  <si>
    <t>PAGAMENTO DE IPTU (2026)</t>
  </si>
  <si>
    <t>PAGAMENTO DE IPTU</t>
  </si>
  <si>
    <t>ISS (MUNICIPIO DE SANTA INÊS) - NF 05 (REF. COMP. 11/2025) - NF EMITIDA EM 16/12/2025</t>
  </si>
  <si>
    <t>BB PAY (FORTES)</t>
  </si>
  <si>
    <t>BB PAY</t>
  </si>
  <si>
    <t>408235 / 408236 / 359628</t>
  </si>
  <si>
    <t>103856 / 366901</t>
  </si>
  <si>
    <t>BIOGREEN INCINERAÇÃO DE RESIDUOS (REF. COLETO LIXO INFECTANTE) - REF.  DEZ/2025</t>
  </si>
  <si>
    <t>BIOGREEN INCINERAÇÃO DE RESIDUOS</t>
  </si>
  <si>
    <t>112</t>
  </si>
  <si>
    <t>LEMOS BRANCO &amp; CIA - POSTO PREMIUM (COMBUSTÍVEL CARRO)</t>
  </si>
  <si>
    <t>LEMOS BRANCO &amp; CIA</t>
  </si>
  <si>
    <t>2440</t>
  </si>
  <si>
    <t>FARMARIN INDUST. (REF. SORO DE 100 ML E 500 ML) 2/2</t>
  </si>
  <si>
    <t>FARMARIN INDUST</t>
  </si>
  <si>
    <t>445944</t>
  </si>
  <si>
    <t>NIPRO MEDICAL (REF. FILTROS MÁQUINAS) 2/2</t>
  </si>
  <si>
    <t>NIPRO</t>
  </si>
  <si>
    <t>22585</t>
  </si>
  <si>
    <t>FARMARIN INDUST. (REF. SOROS) 1/2</t>
  </si>
  <si>
    <t>449787</t>
  </si>
  <si>
    <t>FARMARIN INDUST. (REF. SOLUÇÕES) 1/2</t>
  </si>
  <si>
    <t>449808</t>
  </si>
  <si>
    <t>E G BISPO TRANSPORTES (REF. FRETE DE MERCADORIA)</t>
  </si>
  <si>
    <t>E G BISPO TRANSPORTES</t>
  </si>
  <si>
    <t>1189</t>
  </si>
  <si>
    <t>E M GONÇALVES PADARIA (REF. FORNEC. DE PÃES E BOLOS - DEZ/25) - FAVORECIDO: EDILBERTO M. GONÇALVES</t>
  </si>
  <si>
    <t>E M GONÇALVES PADARIA</t>
  </si>
  <si>
    <t>164</t>
  </si>
  <si>
    <t>I F DA SILVA &amp; CIA LTDA (REF. DEZ/2025)</t>
  </si>
  <si>
    <t>I F DA SILVA &amp; CIA LTDA</t>
  </si>
  <si>
    <t>3</t>
  </si>
  <si>
    <t>CASAMATER (REF. NOV/2025)</t>
  </si>
  <si>
    <t>CASAMATER</t>
  </si>
  <si>
    <t>70375</t>
  </si>
  <si>
    <t>CRISTALIA PRODUTOS (REF. HEPARINAS) 3/3</t>
  </si>
  <si>
    <t>818699</t>
  </si>
  <si>
    <t>FGTS (13º SALÁRIO)</t>
  </si>
  <si>
    <t>FGTS</t>
  </si>
  <si>
    <t>FGTS (12/2025)</t>
  </si>
  <si>
    <t>INSS (12/2025)</t>
  </si>
  <si>
    <t>INSS</t>
  </si>
  <si>
    <t>DARF - RETENÇÕES (PIS/COFINS/CSLL)</t>
  </si>
  <si>
    <t>DARF</t>
  </si>
  <si>
    <t>DARF - RETENÇÕES (IRRF)</t>
  </si>
  <si>
    <t>J SUL DISTRIBUIDORA (REF. INSUMOS) 2/3</t>
  </si>
  <si>
    <t>J SUL DISTRIBUIDORA</t>
  </si>
  <si>
    <t>47395</t>
  </si>
  <si>
    <t>NIPRO MEDICAL (REF. CAPILAR 190) 2/2</t>
  </si>
  <si>
    <t>179173</t>
  </si>
  <si>
    <t>CLAUDIANE C. SILVA (REF. HAVER VIAGEM PARA HTI - 24/01)</t>
  </si>
  <si>
    <t>CLAUDIANE C. SILVA</t>
  </si>
  <si>
    <t>NF AVULSA - 2477</t>
  </si>
  <si>
    <t>PIS</t>
  </si>
  <si>
    <t>COFINS</t>
  </si>
  <si>
    <t>A A DA SILVA LTDA (REF. FARDAMENTOS FUNCIONÁRIOS) - HAVER</t>
  </si>
  <si>
    <t>A A DA SILVA LTDA</t>
  </si>
  <si>
    <t>1449</t>
  </si>
  <si>
    <t>COOP. UNIMED (REF. COMPRESA DE GAZE) 1/3</t>
  </si>
  <si>
    <t>COOP. UNIMED</t>
  </si>
  <si>
    <t>628262</t>
  </si>
  <si>
    <t>BIOCOMPANY (REF. CURATIVOS, CATETER E PERMICATH) 2/2</t>
  </si>
  <si>
    <t>BIOCOMPANY</t>
  </si>
  <si>
    <t>76843</t>
  </si>
  <si>
    <t>ULTRAMEGA DISTRIBUIDORA (REF. INSUMOS: AGULHAS, FITAS, SERINGAS...ETC) 2/2</t>
  </si>
  <si>
    <t>ULTRAMEGA DISTRIBUIDORA</t>
  </si>
  <si>
    <t>273457</t>
  </si>
  <si>
    <t>FARMARIN INDUSTRIA (RE. SOLUÇÃO ÁCIDA E SOLUÇÃO BÁSICA) 2/2</t>
  </si>
  <si>
    <t>FARMARIN INDUSTRIA</t>
  </si>
  <si>
    <t>446875</t>
  </si>
  <si>
    <t>MED VITTA (REF. INSUMOS E MEDICAMENTOS) 2/2</t>
  </si>
  <si>
    <t>MED VITTA</t>
  </si>
  <si>
    <t>67359</t>
  </si>
  <si>
    <t>J SUL DISTRIBUIDORA (REF.  INSUMOS) 1/3</t>
  </si>
  <si>
    <t>47808</t>
  </si>
  <si>
    <t>MARKETPLACE (NF - U Z INDUSTRIA - CASA E SEGURANÇA) - REF. FECHADURA DIGITAL</t>
  </si>
  <si>
    <t>392488</t>
  </si>
  <si>
    <t>SUPERMÉDICA (REF. INSUMOS E MEDICAMENTOS) 2/2</t>
  </si>
  <si>
    <t>SUPERMÉDICA</t>
  </si>
  <si>
    <t>371993</t>
  </si>
  <si>
    <t>BIOPAR (REF. CAMPO CIRURGICO) 1/1</t>
  </si>
  <si>
    <t>BIOPAR</t>
  </si>
  <si>
    <t>13362</t>
  </si>
  <si>
    <t>NIPRO MEDICAL (REF. AGULHAS, CAPILARES E FILTROS) 1/2</t>
  </si>
  <si>
    <t>22879</t>
  </si>
  <si>
    <t>G OLIVEIRA ARAUJO (REF. CONSERTO OSMOSE - TROCA RELE (FALTA DE FASE) E MÃO DE OBRA)</t>
  </si>
  <si>
    <t>G OLIVEIRA ARAUJO</t>
  </si>
  <si>
    <t>202600000000006</t>
  </si>
  <si>
    <t>IRPJ (REF. 4º TRIM/25)</t>
  </si>
  <si>
    <t>IRPJ</t>
  </si>
  <si>
    <t>CSLL (REF. 4º TRIM/25)</t>
  </si>
  <si>
    <t>CSLL</t>
  </si>
  <si>
    <t>QUALIÁGUA (REF. EXAME MICROBIOLÓGICO) 1/1</t>
  </si>
  <si>
    <t>QUALIÁGUA</t>
  </si>
  <si>
    <t>328</t>
  </si>
  <si>
    <t>QUALIÁGUA (REF. EXAME FISICO QUIMICO) 1/1</t>
  </si>
  <si>
    <t>336</t>
  </si>
  <si>
    <t>NIPRO (REF. COMPRA DE 21 MÁQUINAS DE HD) - PARCELA 04/24</t>
  </si>
  <si>
    <t>18971</t>
  </si>
  <si>
    <t>NIPRO (REF. COMPRA DE 04 MÁQUINAS DE HD) - PARCELA 04/24</t>
  </si>
  <si>
    <t>158863</t>
  </si>
  <si>
    <t>CRM-MA (REF. AUNIDADE PJ - 2026) - PARCELA ÚNICA</t>
  </si>
  <si>
    <t>CRM</t>
  </si>
  <si>
    <t>FOLHA DE PAGAMENTO (REF. PAGAMENTO DE SALÁRIO - COMP. DEZ/2025)</t>
  </si>
  <si>
    <t>(SALDO ANTERIOR)</t>
  </si>
  <si>
    <t>DIÁLISE COMÉRCIO (REF. ÁCIDO PERACETICO E ISOLADOR) 2/2</t>
  </si>
  <si>
    <t>BIOCOMPANY (REF. CATETER, CURATIVO E TAMPAS DE CATETER) 1/1</t>
  </si>
  <si>
    <t>77189</t>
  </si>
  <si>
    <t>MARKETPLACE (NF - JOSE RIBEIRO) - REF. COMPRA COMPUTADOR ADMINISTRAÇÃO</t>
  </si>
  <si>
    <t>1103</t>
  </si>
  <si>
    <t>ALLMED PRONEFRO (REF. LINHA ARTERIAL E LINHA VENOSA) 2/3</t>
  </si>
  <si>
    <t>DIÁLISE COMÉRCIO (REF. BELL FOAM, CAPILAR DESCARTÁVEL E ISOLADOR) 1/2</t>
  </si>
  <si>
    <t>12104</t>
  </si>
  <si>
    <t>BRANDÃO E BRANDÃO (REF. MATERIAL DE LIMPEZA) 1/2</t>
  </si>
  <si>
    <t>BRANDÃO E BRANDÃO</t>
  </si>
  <si>
    <t>106457</t>
  </si>
  <si>
    <t>DIÁLISE COMÉRCIO (REF. ÁCIDO CITRICO, ÁCIDO PERACÉTICO E ISOLADOR DE PRESSÃO) 1/2</t>
  </si>
  <si>
    <t>184</t>
  </si>
  <si>
    <t>MANOEL FAGNER DA CONCEIÇÃO (REF. HAVER DA INSTALAÇÃO DA CERCA ELÉTRICA - REPAROS)</t>
  </si>
  <si>
    <t>MANOEL FAGNER DA CONCEIÇÃO</t>
  </si>
  <si>
    <t>NF NO VALOR DE R$ 950,00 (HAVER DE R$ 500,00 - DIA 03/02) E PAGAMENTO RESTANTE (R$ 450,00 - 10/02) - NF EMITIDA 10/02</t>
  </si>
  <si>
    <t>DELBRANDO DA S. AMORIM (NF - RAIMUNDO NONATO DOS S. SOUSA) - REF. SERV. PINTURA REUSO</t>
  </si>
  <si>
    <t>DELBRANDO DA S. AMORIM</t>
  </si>
  <si>
    <t>4</t>
  </si>
  <si>
    <t>252</t>
  </si>
  <si>
    <t>FARMACE (REF. SOLUÇÕES E MEDICAMENTOS) 1/2</t>
  </si>
  <si>
    <t>FARMACE</t>
  </si>
  <si>
    <t>354029</t>
  </si>
  <si>
    <t>NEPHROSYS SUPORTE E MANUTENÇÃO (REF. SISTEMA - MENSALIDADE) 1/1</t>
  </si>
  <si>
    <t>NEPHROSYS SUPORTE E MANUTENÇÃO</t>
  </si>
  <si>
    <t>1152</t>
  </si>
  <si>
    <t>ULTRAMEGA DISTRIBUIDORA (REF. MATERIAIS E MEDICAMENTOS) 1/2</t>
  </si>
  <si>
    <t>277348</t>
  </si>
  <si>
    <t>RICEK INDUSTRIA E COMÉRCIO (REF. DICLOR - HIPOCLORITO) 1/1</t>
  </si>
  <si>
    <t>RICEK INDUSTRIA E COMÉRCIO</t>
  </si>
  <si>
    <t>20994</t>
  </si>
  <si>
    <t>SUPERMÉDICA (REF. MATERIAIS E MEDICAMENTOS) 1/2</t>
  </si>
  <si>
    <t>378654</t>
  </si>
  <si>
    <t>REMORA HOSPITALAR (REF. MATERIAIS) 1/2</t>
  </si>
  <si>
    <t>REMORA HOSPITALAR</t>
  </si>
  <si>
    <t>12919</t>
  </si>
  <si>
    <t>837</t>
  </si>
  <si>
    <t>BIOGREEN INCINERAÇÃO DE RESIDUOS (REF. COLETO LIXO INFECTANTE) - REF.  JAN/26</t>
  </si>
  <si>
    <t>121</t>
  </si>
  <si>
    <t>FOLHA DE PAGAMENTO (REF. PAGAMENTO DE SALÁRIO - COMP. JAN/26)</t>
  </si>
  <si>
    <t>FARMACE (REF. SORO E SOLUÇÕES) 1/2</t>
  </si>
  <si>
    <t>354096</t>
  </si>
  <si>
    <t>CRISTALIA PRODUTOS (REF. HEPARINAS) 2/3</t>
  </si>
  <si>
    <t>DIÁLISE COMÉRCIO (REF. BELL FOAM) 1/2</t>
  </si>
  <si>
    <t>12188</t>
  </si>
  <si>
    <t>TARIFA BANCÁRIA (SALÁRIO CRÉD. CONTA)</t>
  </si>
  <si>
    <t>TARIFA BANCÁRIA</t>
  </si>
  <si>
    <t>EQUATORIAL MARANHÃO (REF. ENERGIA ELÉTRICA DA CLÍNICA) - REF. JAN/26</t>
  </si>
  <si>
    <t>BANCO VOLKSWAGEN (NF - CAVEPEL - REF. PRESTAÇÃO CARRO) 6/48</t>
  </si>
  <si>
    <t>BIOPAR (FUNDO DE INVESTIMENTO)</t>
  </si>
  <si>
    <t>13419</t>
  </si>
  <si>
    <t>ALECRIM INDUSTRIA E COMÉRCIO (REF. PAPEL TOALHA) 1/1</t>
  </si>
  <si>
    <t>ALECRIM INDUSTRIA E COMÉRCIO</t>
  </si>
  <si>
    <t>7754</t>
  </si>
  <si>
    <t>NIPRO MEDICAL (REF. AGULHAS E FILTROS) 1/2</t>
  </si>
  <si>
    <t>23054</t>
  </si>
  <si>
    <t>TRANSFERÊNCIA</t>
  </si>
  <si>
    <t>A C R DA SILVA E CIA (SUPERMERCADO CAMINO - REF. COMPRAS QUINZENAIS - 07/01 E 21/01 )</t>
  </si>
  <si>
    <t>NF 10308 / NF 10362</t>
  </si>
  <si>
    <t>NF 10308 (R$ 1.382,50) - 08/01 -- NF 10362 (R$ 2.031,63) - 21/01</t>
  </si>
  <si>
    <t>ALLMED PRONEFRO (REF. LINHA ARTERIAL E LINHA VENOSA) 1/2</t>
  </si>
  <si>
    <t>86658</t>
  </si>
  <si>
    <t>CLAUDIANE CARDOSO SILVA (REF. VIAGEM HTI)</t>
  </si>
  <si>
    <t>CLAUDIANE CARDOSO SILVA</t>
  </si>
  <si>
    <t>MANOEL FAGNER DA CONCEIÇÃO (REF. RESTANTE DA INSTALAÇÃO DA CERCA ELÉTRICA - REPAROS)</t>
  </si>
  <si>
    <t>84284</t>
  </si>
  <si>
    <t>TARIFA BANCÁRIA (PACOTE DE SERVIÇOS)</t>
  </si>
  <si>
    <t>ORDEM BANCÁRIA (REF. PISO SALARIAL ENFERMAGEM - COMP. JAN/26)</t>
  </si>
  <si>
    <t>ORDEM BANCÁRIA</t>
  </si>
  <si>
    <t>FOLHA DE PAGAMENTO (REF. PISO SALARIAL ENFERMAGEM - COMP. JAN/26)</t>
  </si>
  <si>
    <t>2488</t>
  </si>
  <si>
    <t>TARIFA BANCÁRIA (PAG. SALÁRIO CRÉD. CONTA)</t>
  </si>
  <si>
    <t>FARMARIN INDUST. (REF. SOLUÇÕES) 2/2</t>
  </si>
  <si>
    <t>FARMARIN INDUST. (REF. SOROS) 2/2</t>
  </si>
  <si>
    <t>BB PAY (FORTES) - RELÓGIO DE PONTO</t>
  </si>
  <si>
    <t>NF 666 / NF 371811</t>
  </si>
  <si>
    <t>424227 / 424228 / 376328</t>
  </si>
  <si>
    <t>INSS (01/2026)</t>
  </si>
  <si>
    <t>FGTS (01/2026)</t>
  </si>
  <si>
    <t>NIPRO MEDICAL (REF. FILTROS DE ENDOTOXINA) 1/2</t>
  </si>
  <si>
    <t>23113</t>
  </si>
  <si>
    <t>DIÁLISE COMÉRCIO (REF. CAPILAR 20 H - BRAIN) 1/2</t>
  </si>
  <si>
    <t>12312</t>
  </si>
  <si>
    <t>J SUL DISTRIBUIDORA (REF. INSUMOS) 3/3</t>
  </si>
  <si>
    <t>HELENA BISTRO (REF. ALIMENTAÇÃO: AFONSO, EMANUELLE E LÍVIA)</t>
  </si>
  <si>
    <t>HELENA BISTRO</t>
  </si>
  <si>
    <t>EQUATORIAL MARANHÃO (REF. ENERGIA ELÉTRICA CASA DE APOIO) - REF. JAN/26</t>
  </si>
  <si>
    <t>K S S DE S NERES (CHURRASCARIA PICANHA PAULISTA) - REF. REFEIÇÕES TÉCNICOS (ATÉ DIA 04/02)</t>
  </si>
  <si>
    <t>K S S DE S NERES</t>
  </si>
  <si>
    <t>322</t>
  </si>
  <si>
    <t>E M GONÇALVES PADARIA (REF. FORNEC. DE PÃES E BOLOS - JAN/26) - FAVORECIDO: EDILBERTO M. GONÇALVES</t>
  </si>
  <si>
    <t>165</t>
  </si>
  <si>
    <t>COOP. UNIMED (REF. COMPRESA DE GAZE) 2/3</t>
  </si>
  <si>
    <t>21040</t>
  </si>
  <si>
    <t>NORTE FLOW (REF. KIT DUREZA) 1/1</t>
  </si>
  <si>
    <t>NORTE FLOW</t>
  </si>
  <si>
    <t>1758</t>
  </si>
  <si>
    <t>J SUL DISTRIBUIDORA (REF.  INSUMOS) 2/3</t>
  </si>
  <si>
    <t>IPVA 2026 (COTA ÚNICA)</t>
  </si>
  <si>
    <t>IPVA 2026</t>
  </si>
  <si>
    <t>EQUATORIAL MARANHÃO (REF. ENERGIA ELÉTRICA CASA DE APOIO) - REF. FEV/26</t>
  </si>
  <si>
    <t>MARCELO DA COSTA MIGON (RECEITA) / FABIANA C. B. TORRES</t>
  </si>
  <si>
    <t>MARCELO DA COSTA MIGON</t>
  </si>
  <si>
    <t>ADELIA DALVA DA SILVA (RECEITA)</t>
  </si>
  <si>
    <t>ADELIA DALVA DA SILVA</t>
  </si>
  <si>
    <t>GLADSTONE SANTOS SILVA (RECEITA)</t>
  </si>
  <si>
    <t>GLADSTONE SANTOS SILVA</t>
  </si>
  <si>
    <t>1711</t>
  </si>
  <si>
    <t>DMW ELETROMEDICINA LTDA (REF. ORING DA VARETA CONCENTRADO E FILTROS) 1/2</t>
  </si>
  <si>
    <t>DMW ELETROMEDICINA LTDA</t>
  </si>
  <si>
    <t>11373</t>
  </si>
  <si>
    <t>VENC. PARA DIA 04/03, PORÉM PAGO EM 03/03</t>
  </si>
  <si>
    <t>BIOCOMPANY (PERMICATH E TAMPA PARA CATETER) 1/2</t>
  </si>
  <si>
    <t>77628</t>
  </si>
  <si>
    <t>DIÁLISE COMÉRCIO (REF. BELL FOAM, CAPILAR DESCARTÁVEL E ISOLADOR) 2/2</t>
  </si>
  <si>
    <t>MOISES DA S. OLIVEIRA (RECEITA)</t>
  </si>
  <si>
    <t>MOISES DA S. OLIVEIRA</t>
  </si>
  <si>
    <t>ANDERSON RAFAEL SALVIANO (RECEITA)</t>
  </si>
  <si>
    <t>ANDERSON RAFAEL SALVIANO</t>
  </si>
  <si>
    <t>FRANCISCO HAMILTON SOUSA (RECEITA)</t>
  </si>
  <si>
    <t>FRANCISCO HAMILTON SOUSA</t>
  </si>
  <si>
    <t>JOYCE KAROLINA (RECEITA) / PATRICK DULF</t>
  </si>
  <si>
    <t>JOYCE KAROLINA</t>
  </si>
  <si>
    <t>MARTE CIENTÍFICA (REF. PASTILHAS CLORO LIVRE) 1/1 (À VISTA)</t>
  </si>
  <si>
    <t>MARTE CIENTÍFICA</t>
  </si>
  <si>
    <t>134756</t>
  </si>
  <si>
    <t>1149</t>
  </si>
  <si>
    <t>NF N°1149 EMITIDA EM: 04/03/2026 - ADIANTAMENTO DE R$455,00 FEITO EM 26/01 - QUITAÇÃO EM 04/03 NO VALOR DE R$ 525,00</t>
  </si>
  <si>
    <t>NORTE FLOW (REF. TUBO INDUSTRIAL/ADAPTADOR CURTO/JOELHO 90°/UNIAO 1" PVC) 1/1 (À VISTA)</t>
  </si>
  <si>
    <t>1812</t>
  </si>
  <si>
    <t>CELINA T C B C DE MIRANDA (RECEITA)</t>
  </si>
  <si>
    <t>CELINA T C B C DE MIRANDA</t>
  </si>
  <si>
    <t>AFONSO PAULO C. FERRO (RECEITA)</t>
  </si>
  <si>
    <t>AFONSO PAULO C. FERRO</t>
  </si>
  <si>
    <t>106887</t>
  </si>
  <si>
    <t>QUALIÁGUA (REF. EXAME FISICO-QUÍMICO) 1/1</t>
  </si>
  <si>
    <t>816</t>
  </si>
  <si>
    <t>REF. AMOSTRA POÇO DESATIVADO</t>
  </si>
  <si>
    <t>FOLHA DE PAGAMENTO (REF. PAGAMENTO DE SALÁRIO - COMP. 02/2026)</t>
  </si>
  <si>
    <t>GUIA DE RECOLHIMENTO DE ALVARÁ AMBIENTAL</t>
  </si>
  <si>
    <t>NIPRO (REF. COMPRA DE 21 MÁQUINAS DE HD) - PARCELA 05/24</t>
  </si>
  <si>
    <t>ISS (MUNICIPIO DE SANTA INÊS) - NF 202600000000001 (REF. COMP. 12/2025) - NF EMITIDA EM 28/01/26</t>
  </si>
  <si>
    <t>FARMACE (REF. SORO E SOLUÇÕES) 2/2</t>
  </si>
  <si>
    <t>EQUATORIAL MARANHÃO (REF. ENERGIA ELÉTRICA DA CLÍNICA) - REF. FEV/26</t>
  </si>
  <si>
    <t>NIPRO (REF. COMPRA DE 04 MÁQUINAS DE HD) - PARCELA 05/24</t>
  </si>
  <si>
    <t>I F DA SILVA &amp; CIA LTDA (REF. JAN/26)</t>
  </si>
  <si>
    <t>5</t>
  </si>
  <si>
    <t>NIPRO MEDICAL (REF. AGULHAS, CAPILARES E FILTROS) 2/2</t>
  </si>
  <si>
    <t>NIPRO MEDICAL (REF. CAPILARES) 1/2</t>
  </si>
  <si>
    <t>23202</t>
  </si>
  <si>
    <t>NIPRO MEDICAL (REF. AGULHAS E FILTROS) 2/2</t>
  </si>
  <si>
    <t>ORDEM BANCÁRIA ESTADO MA - REPASSE FINANCEIRO (NF - 202600000000001 - REF. COMP. DEZ/25 - EMITIDA EM 28/01/26)</t>
  </si>
  <si>
    <t>ORDEM BANCÁRIA ESTADO MA</t>
  </si>
  <si>
    <t>A C R DA SILVA E CIA (SUPERMERCADO CAMINO - REF. COMPRAS QUINZENAIS - DATAS 02/02 E 17/02)</t>
  </si>
  <si>
    <t>NF 10404 / NF 10472</t>
  </si>
  <si>
    <t>SUPERMÉDICA (REF. MATERIAIS E MEDICAMENTOS) 2/2</t>
  </si>
  <si>
    <t>VENC. ERA DIA 07/03 - CONFIRMAR VALOR COM NF</t>
  </si>
  <si>
    <t>REMORA HOSPITALAR (REF. MATERIAIS) 2/2</t>
  </si>
  <si>
    <t>282065</t>
  </si>
  <si>
    <t>ULTRAMEGA DISTRIBUIDORA (REF. MATERIAIS E MEDICAMENTOS) 2/2</t>
  </si>
  <si>
    <t>VENC. ERA DIA 06/03 - CONFIRMAR VALOR COM NF</t>
  </si>
  <si>
    <t>ALLMED PRONEFRO (REF. LINHAS E KIT DE LINHAS) 1/2</t>
  </si>
  <si>
    <t>86855</t>
  </si>
  <si>
    <t>385479</t>
  </si>
  <si>
    <t>BANCO VOLKSWAGEN (NF - CAVEPEL - REF. PRESTAÇÃO CARRO) 7/48</t>
  </si>
  <si>
    <t>862</t>
  </si>
  <si>
    <t>ALLMED PRONEFRO (REF. LINHA ARTERIAL E LINHA VENOSA) 3/3</t>
  </si>
  <si>
    <t>REMORA HOSPITALAR (REF. MATERIAIS E MEDICAMENTOS) 1/2</t>
  </si>
  <si>
    <t>13169</t>
  </si>
  <si>
    <t>BRANDÃO E BRANDÃO (REF. MATERIAL DE LIMPEZA) 2/2</t>
  </si>
  <si>
    <t>MARKETPLACE MARKETPLACE MERCADO LIVRE (NF - MTL COMERCIO IMPORTACAO LTDA) - REF. CARRINHO DE IXO P/ SALA HD</t>
  </si>
  <si>
    <t>16031</t>
  </si>
  <si>
    <t>C C OLIVEIRA LEITE (CONSTRUORTE)</t>
  </si>
  <si>
    <t>C C OLIVEIRA LEITE</t>
  </si>
  <si>
    <t>81826</t>
  </si>
  <si>
    <t>MARKETPLACE MARKETPLACE MERCADO LIVRE (NF - RRJ RODAS E RODIZIOS FERRAGENS LTDA) - REF. 04 KITS DE RODÍZIOS PARA POLTRONAS</t>
  </si>
  <si>
    <t>242107</t>
  </si>
  <si>
    <t>108316</t>
  </si>
  <si>
    <t>VENCIMENTO TODO DIA 10 - NF E BOLETO NO EMAIL</t>
  </si>
  <si>
    <t>PATRICK DULFF (REF. PLANTÕES MÉDICOS EM DEZ/25)</t>
  </si>
  <si>
    <t>PATRICK DULFF</t>
  </si>
  <si>
    <t>-</t>
  </si>
  <si>
    <t>UNICLINICA (REF. EXAMES DE PACIENTES - DEZ/25)</t>
  </si>
  <si>
    <t>UNICLINICA</t>
  </si>
  <si>
    <t>202500000000 2426</t>
  </si>
  <si>
    <t>FABIANA CRISTINA (REF. PLANTÕES MÉDICOS EM DEZ/25)</t>
  </si>
  <si>
    <t>FABIANA CRISTINA</t>
  </si>
  <si>
    <t>L F ALBUQUERQUE DA SILVA (DR. LUCAS - REF. PLANTÕES MÉDICOS EM DEZ/25)</t>
  </si>
  <si>
    <t>L F ALBUQUERQUE DA SILVA</t>
  </si>
  <si>
    <t>2026000000000 8</t>
  </si>
  <si>
    <t>MOISES DA S. OLIVEIRA (REF. PLANTÕES MÉDICOS EM DEZ/25)</t>
  </si>
  <si>
    <t>GLADSTONE SANTOS SILVA (REF. PLANTÕES MÉDICOS EM DEZ/25)</t>
  </si>
  <si>
    <t>ANDERSON RAFAEL SALVIANO (REF. PLANTÕES MÉDICOS EM DEZ/25)</t>
  </si>
  <si>
    <t>MARTINS MACHADO SAUDE E E (DR. HOZANO - REF. PLANTÕES MÉDICOS EM DEZ/25)</t>
  </si>
  <si>
    <t>MARTINS MACHADO SAUDE E E</t>
  </si>
  <si>
    <t>2026000000000 02</t>
  </si>
  <si>
    <t>HR MANUTENÇÃO HOSPITALAR (REF. PREST. DE SERV. HUGO RAMON) - DEZ/2025 + 01 VISITA EXTRA</t>
  </si>
  <si>
    <t>HR MANUTENÇÃO HOSPITALAR</t>
  </si>
  <si>
    <t>NIPRO MEDICAL (REF. CAPILAR 21H) 1/2</t>
  </si>
  <si>
    <t>23327</t>
  </si>
  <si>
    <t>VENC. ERA DIA 10/03</t>
  </si>
  <si>
    <t>NIPRO MEDICAL (REF. AGULHA 16 E CAPILAR 19H) 1/2</t>
  </si>
  <si>
    <t>23301</t>
  </si>
  <si>
    <t>VENC. ERA DIA 04/03</t>
  </si>
  <si>
    <t>849</t>
  </si>
  <si>
    <t>PROT-MED (REF. AVENTAIS E CAPAS PROTETORAS) 1/1</t>
  </si>
  <si>
    <t>PROT</t>
  </si>
  <si>
    <t>1098</t>
  </si>
  <si>
    <t>R CASSIA V LAGO SILVA (REBECA DE CÁSSIA - REF. PRESTAÇÃO DE SERV. FARMACÊUTICOS - DEZ/25)</t>
  </si>
  <si>
    <t>R CASSIA V LAGO SILVA</t>
  </si>
  <si>
    <t>22</t>
  </si>
  <si>
    <t>ORDEM BANCÁRIA (REF. PISO SALARIAL ENFERMAGEM - COMP. FEV/26)</t>
  </si>
  <si>
    <t>BIOGREEN INCINERAÇÃO DE RESIDUOS (REF. COLETO LIXO INFECTANTE) - REF. 02/26</t>
  </si>
  <si>
    <t>133</t>
  </si>
  <si>
    <t>DR. RENATO (CIRURGIÃO VASCULAR) - S M D MATOS ASSOC. (REF. DEZ/2025)</t>
  </si>
  <si>
    <t>DR. RENATO</t>
  </si>
  <si>
    <t>4852</t>
  </si>
  <si>
    <t>BIOPAR (REF. CAMPO CIRURGICO) 1/1 - FAVORECIDO: CMF FUNDO INVESTIMENTOS</t>
  </si>
  <si>
    <t>13502</t>
  </si>
  <si>
    <t>DR. WILSON (CIRUGIÃO VASCULAR) - COELHO E OLIVEIRA SERV. MÉDICOS (REF. DEZ/2025)</t>
  </si>
  <si>
    <t>DR. WILSON</t>
  </si>
  <si>
    <t>3228</t>
  </si>
  <si>
    <t>7836</t>
  </si>
  <si>
    <t>MOISES DA S. OLIVEIRA (REF. NF - IPÊ MOVÉIS - COMPRA DE LONGARINAS/4 UNIDADES - R$ 4.294,12) - PARC. 05/05</t>
  </si>
  <si>
    <t>8735</t>
  </si>
  <si>
    <t>M MUNIZ (REF. FORNECIMENTO DE LANCHES - DEZ/2025)</t>
  </si>
  <si>
    <t>M MUNIZ</t>
  </si>
  <si>
    <t>NF PENDENTE</t>
  </si>
  <si>
    <t>UNICLINICA (REF. EXAMES ADMISSIONAIS DE COLABORADORES - DEZ/25)</t>
  </si>
  <si>
    <t>202500000000 2427</t>
  </si>
  <si>
    <t>RENATO MOREIRA GOMES (REF. A FRETE DE 06 MÁQUINAS E 04 POLTRONAS)</t>
  </si>
  <si>
    <t>RENATO MOREIRA GOMES</t>
  </si>
  <si>
    <t>PRESTADOR DE SERVIÇO NÃO EMITE NOTA FISCAL</t>
  </si>
  <si>
    <t>LEMOS BRANCO &amp; CIA - POSTO PREMIUM (COMBUSTÍVEL CARRO - FEV/26)</t>
  </si>
  <si>
    <t>2528</t>
  </si>
  <si>
    <t>NADJA KARINA BUNA ASSSUNCA - CARTÓRIO 1° OFÍCIO - (REF. PROTOCOLO DE ALTERAÇÃO DE CERTIDÃO DE INTEIRO TEOR)</t>
  </si>
  <si>
    <t>NADJA KARINA BUNA ASSSUNCA</t>
  </si>
  <si>
    <t>ORDEM DE SERVIÇO</t>
  </si>
  <si>
    <t>CARTÓRIO NÃO EMITE NOTA FISCAL - APENAS ORDEM DE SERVIÇO</t>
  </si>
  <si>
    <t>FARMACE (REF. SOLUÇÕES E MEDICAMENTOS) 2/2</t>
  </si>
  <si>
    <t>VENC. ERA DIA 06/03 - GUIA ATUALIZADA PARA VENCIMENTO EM 16/03</t>
  </si>
  <si>
    <t>908883</t>
  </si>
  <si>
    <t>DIÁLISE COMÉRCIO (REF. ÁCIDO CITRICO, ÁCIDO PERACÉTICO E ISOLADOR DE PRESSÃO) 2/2</t>
  </si>
  <si>
    <t>VENC. ERA DIA 02/03 - GUIA ATUALIZADA PARA VENCIMENTO PARA DIA 16/03</t>
  </si>
  <si>
    <t>GILMARLISON MENDONCA SOUSA ME (PANELA VELHA) - QUENTINHAS TÉCNICOS (04/02 A 28/02)</t>
  </si>
  <si>
    <t>GILMARLISON MENDONCA SOUSA ME</t>
  </si>
  <si>
    <t>FOLHA DE PAGAMENTO (REF. PISO SALARIAL ENFERMAGEM - COMP. FEV/26)</t>
  </si>
  <si>
    <t>DIÁLISE COMÉRCIO (REF. DIALL 5 L - PEROXIDE 5 %) 1/2</t>
  </si>
  <si>
    <t>338</t>
  </si>
  <si>
    <t>87406</t>
  </si>
  <si>
    <t>J PAULINO DA SILVA (REF. MANUTENÇÃO DO GERADOR)</t>
  </si>
  <si>
    <t>J PAULINO DA SILVA</t>
  </si>
  <si>
    <t>2026000000000 9</t>
  </si>
  <si>
    <t>VENC. ERA DIA 09/03 - GUIA ATUALIZADA PARA VENCIMENTO PARA DIA 16/03</t>
  </si>
  <si>
    <t>SUPERMÉDICA (REF. FITA CREPE) 1/2</t>
  </si>
  <si>
    <t>386348</t>
  </si>
  <si>
    <t>NADJA KARINA BUNA ASSSUNCA - CARTÓRIO 1° OFÍCIO -  (REF. REGISTRO DE AVERBAÇÃO NA MATRICULA DA BIORENAL (22639))</t>
  </si>
  <si>
    <t>1477 / 385320</t>
  </si>
  <si>
    <t>(NF 1477 - R R SISTEMA - R$ 82,70 - 11/02) E (NF 385320  - FORTES TECNOLOGIA - R$ 124,30 - 27/02)</t>
  </si>
  <si>
    <t>441181 / 432609 / 387115</t>
  </si>
  <si>
    <t>(NF 441181 - SKY ONE - R$ 38,57 - 25/02), (NF 432609 - SKY ONE - R$ 27,93 - 20/02) E (NF 387115 - FORTES TECNOLOGIA - R$ 28,50 - 28/02)</t>
  </si>
  <si>
    <t>FARMACE (REF. SOROS, SOLUÇÕES E DIPIRONA INJETÁVEL) 1/2</t>
  </si>
  <si>
    <t>355624</t>
  </si>
  <si>
    <t>VENC. ERA DIA 16/03 - NO VALOR DE R$ 19.055,50</t>
  </si>
  <si>
    <t>TOTAL FRIO COMERCIO SERVICOS LTDA (REF. A LIMPEZA DOS 04 ARES-CONDICIONADOS DA SALA DE HD, CAPACITOR AR CONDICIONADO DA RECEPÇÃO E RECARGA DE GÁS)</t>
  </si>
  <si>
    <t>TOTAL FRIO COMERCIO SERVICOS LTDA</t>
  </si>
  <si>
    <t>2026000000000 12</t>
  </si>
  <si>
    <t>JOSE RAIMUNDO VASCONCELOS - NF AGUAGEO-COMERCIO E CONSTRUCAO DE POCOS TUBULARES LTDA (REF. CORREÇÃO DE LICENÇA DE PERFURAÇÃO DO POÇO)</t>
  </si>
  <si>
    <t>JOSE RAIMUNDO VASCONCELOS</t>
  </si>
  <si>
    <t>86</t>
  </si>
  <si>
    <t>MARKETPLACE MERCADO LIVRE (VÁRIOS FORNECEDORES) - REF. MATERIAIS DE ESCRITÓRIO E BANDEJAS  P/ MÁQUINAS</t>
  </si>
  <si>
    <t>157782 / 295351 / 3410 / 372331 / 14595 / 118408 / 3965 / 72938</t>
  </si>
  <si>
    <t>COLOCAR OBSERVAÇÕES DE TODAS AS NOTAS FISCAIS E VALORES DE CADA UMA E FRETE, CASO HOUVER</t>
  </si>
  <si>
    <t>GUIA DE RECOLHIMENTO DE ALVARÁ FUNCIONAMENTO 2026</t>
  </si>
  <si>
    <t>CHEQUE</t>
  </si>
  <si>
    <t>HR MANUTENÇÃO HOSPITALAR (REF. PREST. DE SERV. ASSESSORIA ADMINISTRATIVA - REF. DEZ/25)</t>
  </si>
  <si>
    <t>7</t>
  </si>
  <si>
    <t>NIPRO MEDICAL (REF. FILTROS DE ENDOTOXINA) 2/2</t>
  </si>
  <si>
    <t>NOTA FISCAL AVULSA Nº 2493 NO VALOR DE R$ 1.400,00 - DESCONTO DE 11% DE INSS (R$ 154,00)</t>
  </si>
  <si>
    <t>TED</t>
  </si>
  <si>
    <t>BIO RENAL LTDA (REF. TAXA DE MANUTENÇÃO DA CONTA - BANCO DO NORDESTE)</t>
  </si>
  <si>
    <t>BIORENAL LTDA</t>
  </si>
  <si>
    <t>CASSIANO E CASSIANO (REF. SISTEMA FINANCEIRO)</t>
  </si>
  <si>
    <t>CASSIANO E CASSIANO</t>
  </si>
  <si>
    <t>857</t>
  </si>
  <si>
    <t>VENC. ERA DIA 20/03</t>
  </si>
  <si>
    <t>TAXA DE PROCESSAMENTO DE CHEQUE</t>
  </si>
  <si>
    <t>INSS (02/2026)</t>
  </si>
  <si>
    <t>FGTS (02/2026)</t>
  </si>
  <si>
    <t>CASAMATER (REF. DEZ/2025)</t>
  </si>
  <si>
    <t>70877</t>
  </si>
  <si>
    <t>DIÁLISE COMÉRCIO (REF. CAPILAR 20 H - BRAIN) 2/2</t>
  </si>
  <si>
    <t>NIPRO MEDICAL (REF. AGULHA 17 E FILTRO ENDOTOXINA) 1/2</t>
  </si>
  <si>
    <t>182408</t>
  </si>
  <si>
    <t>VENC. ERA DIA 05/03 - HOUVE ATRASO NA ENTREGA DA MERCADORIA E VENC. FOI ALTERADO PARA DIA 23/03</t>
  </si>
  <si>
    <t>COOP. UNIMED (REF. COMPRESA DE GAZE) 3/3</t>
  </si>
  <si>
    <t>ORDEM BANCÁRIA ESTADO MA - REPASSE FINANCEIRO (NF - 202600000000002 - REF. COMP. JAN/26 - EMITIDA EM 02/03/26)</t>
  </si>
  <si>
    <t>E G BISPO TRANSPORTES (REF. FRETE DE MERCADORIA) - JAN/26</t>
  </si>
  <si>
    <t>1205</t>
  </si>
  <si>
    <t>PATRICK DULFF (REF. PLANTÕES MÉDICOS EM JAN/26)</t>
  </si>
  <si>
    <t>UNICLINICA (REF. EXAMES DE PACIENTES - JAN/26)</t>
  </si>
  <si>
    <t>202600000000183</t>
  </si>
  <si>
    <t>FABIANA CRISTINA (REF. PLANTÕES MÉDICOS EM JAN/26)</t>
  </si>
  <si>
    <t>ANDERSON RAFAEL SALVIANO (REF. PLANTÕES MÉDICOS EM JAN/26)</t>
  </si>
  <si>
    <t>HR MANUTENÇÃO HOSPITALAR (REF. PREST. DE SERV. ASSESSORIA ADMINISTRATIVA - REF. JAN/26)</t>
  </si>
  <si>
    <t>8</t>
  </si>
  <si>
    <t>MOISES DA S. OLIVEIRA (REF. PLANTÕES MÉDICOS EM JAN/26)</t>
  </si>
  <si>
    <t>NIPRO MEDICAL (REF. CAPILARES) 2/2</t>
  </si>
  <si>
    <t>MARTINS MACHADO SAUDE E E (DR. HOZANO - REF. PLANTÕES MÉDICOS EM JAN/26)</t>
  </si>
  <si>
    <t>2026000000000 03</t>
  </si>
  <si>
    <t>L F ALBUQUERQUE DA SILVA (DR. LUCAS - REF. PLANTÕES MÉDICOS EM JAN/26)</t>
  </si>
  <si>
    <t>2026000000000 11</t>
  </si>
  <si>
    <t>GLADSTONE SANTOS SILVA (REF. PLANTÕES MÉDICOS EM JAN/26)</t>
  </si>
  <si>
    <t>HR MANUTENCAO HOSPITALAR E TRAT. DE AGUA (REF. PREST. DE SERV. HUGO RAMON) - JAN/26</t>
  </si>
  <si>
    <t>HR MANUTENCAO HOSPITALAR</t>
  </si>
  <si>
    <t>R CASSIA V LAGO SILVA (REBECA DE CÁSSIA - REF. PRESTAÇÃO DE SERV. FARMACÊUTICOS - JAN/26)</t>
  </si>
  <si>
    <t>24</t>
  </si>
  <si>
    <t>DR. WILSON (CIRURGIÃO VASCULAR) - COELHO E OLIVEIRA SERV. MÉDICOS (REF. JAN/26)</t>
  </si>
  <si>
    <t>3258</t>
  </si>
  <si>
    <t>DR. RENATO (CIRURGIÃO VASCULAR) - S M D MATOS ASSOC. (REF. JAN/26)</t>
  </si>
  <si>
    <t>4869</t>
  </si>
  <si>
    <t>M MUNIZ (REF. FORNECIMENTO DE LANCHES - JAN/26)</t>
  </si>
  <si>
    <t>UNICLINICA (REF. EXAMES DE ADMISSIONAIS DE COLABORADORES - JAN/26)</t>
  </si>
  <si>
    <t>202600000000184</t>
  </si>
  <si>
    <t>TARIFA PIX</t>
  </si>
  <si>
    <t>I F DA SILVA &amp; CIA LTDA (REF. FEV/26)</t>
  </si>
  <si>
    <t>J PAULINO DA SILVA - REF. A MANUTENÇÃO ELÉTRICA E REVISÃO (TROCA DE ÓLEO E FILTROS) 1/2</t>
  </si>
  <si>
    <t>PAGAMENTO 1/2 REF. A NF 202600000000011</t>
  </si>
  <si>
    <t>1168</t>
  </si>
  <si>
    <t>636796</t>
  </si>
  <si>
    <t>J SUL DISTRIBUIDORA (REF.  INSUMOS) 3/3</t>
  </si>
  <si>
    <t>NIPRO (REF. COMPRA DE 21 MÁQUINAS DE HD) - PARCELA 06/24</t>
  </si>
  <si>
    <t>NIPRO (REF. COMPRA DE 04 MÁQUINAS DE HD) - PARCELA 06/24</t>
  </si>
  <si>
    <t>DIÁLISE COMÉRCIO (REF. TAUROLOCK) 1/1</t>
  </si>
  <si>
    <t>12712</t>
  </si>
  <si>
    <t>J PAULINO DA SILVA - REF. A MANUTENÇÃO ELÉTRICA E REVISÃO (TROCA DE ÓLEO E FILTROS) 2/2</t>
  </si>
  <si>
    <t>PAGAMENTO 2/2 REF. A NF 202600000000011</t>
  </si>
  <si>
    <t>POSTO MAGNOLIA - REF. DIESEL S10 PARA GERADOR</t>
  </si>
  <si>
    <t>POSTO MAGNOLIA</t>
  </si>
  <si>
    <t>40285</t>
  </si>
  <si>
    <t>NADJA KARINA BUNA ASSSUNCA - CARTÓRIO 1° OFÍCIO - (REF. EMISSÃO DE CERTIDÃO DE ÔNUS)</t>
  </si>
  <si>
    <t>HERVAL NORDESTE E INDUSTRIA DE MOVEIS, COLCHOES E ESPUMAS (REF. POLTRONAS RECLINÁVEIS)</t>
  </si>
  <si>
    <t>HERVAL NORDESTE E INDUSTRIA DE MOVEIS, COLCHOES E ESPUMAS</t>
  </si>
  <si>
    <t>126702</t>
  </si>
  <si>
    <t>NIPRO MEDICAL (REF. AGULHA 16 E CAPILAR 19H) 2/2</t>
  </si>
  <si>
    <t>BIOCOMPANY (PERMCATH (28CM E 32CM), CURATIVOS E BANDAGEM) 1/2</t>
  </si>
  <si>
    <t>78081</t>
  </si>
  <si>
    <t>71388</t>
  </si>
  <si>
    <t>2260</t>
  </si>
  <si>
    <t>EXPRESSO RODOVIÁRIO (REF. FRETE DAS POLTRANAS) 1/1</t>
  </si>
  <si>
    <t>EXPRESSO RODOVIÁRIO</t>
  </si>
  <si>
    <t>CT-E (BOLETO)</t>
  </si>
  <si>
    <t>CONHECIMENTO DE FRETE - BOLETO</t>
  </si>
  <si>
    <t>DIÁLISE COMÉRCIO (REF. DIALL 5 L - PEROXIDE 5 %) 2/2</t>
  </si>
  <si>
    <t>BIOCOMPANY (PERMICATH E TAMPA PARA CATETER) 2/2</t>
  </si>
  <si>
    <t>NIPRO MEDICAL (REF. AGULHA 17 E FILTRO ENDOTOXINA) 2/2</t>
  </si>
  <si>
    <t>FOLHA DE PAGAMENTO (REF. PAGAMENTO DE SALÁRIO - COMP. 03/2026)</t>
  </si>
  <si>
    <t>BIO RENAL LTDA (REF. TARIFA DE CONTRATAÇÃO EMPRÉSTIMO)</t>
  </si>
  <si>
    <t>SEGUNDA E ÚLTIMA PARCELA DA TARIFA DE CONTRATAÇÃO DO FINANCIAMENTO</t>
  </si>
  <si>
    <t>MARKETPLACE MERCADO LIVRE (NF - RRJ RODAS E RODIZIOS FERRAGENS LTDA) - REF. VÁLVULA SOLENÓIDE P/ OSMOSE</t>
  </si>
  <si>
    <t>78544</t>
  </si>
  <si>
    <t>VIVER BEM PRIME (REF. IODETO DE POTÁSSIO)</t>
  </si>
  <si>
    <t>VIVER BEM PRIME</t>
  </si>
  <si>
    <t>2026000000000 55</t>
  </si>
  <si>
    <t>864</t>
  </si>
  <si>
    <t>7926</t>
  </si>
  <si>
    <t>DMW ELETROMEDICINA LTDA (REF. ORING DA VARETA CONCENTRADO E FILTROS) 2/2</t>
  </si>
  <si>
    <t>BRANDÃO E BRANDÃO (REF. MATERIAL DE LIMPEZA) 1/1</t>
  </si>
  <si>
    <t>107354</t>
  </si>
  <si>
    <t>EQUATORIAL MARANHÃO (REF. ENERGIA ELÉTRICA DA CLÍNICA) - REF. 03/2026</t>
  </si>
  <si>
    <t>DIÁLISE COMÉRCIO (REF. DIALL 5 L - PEROXIDE 5 % E ISOLADOR DE PRESSÃO) 1/2</t>
  </si>
  <si>
    <t>509</t>
  </si>
  <si>
    <t>MARKETPLACE MERCADO LIVRE (NF - THEUSHOP ELETRONICA LTDA/ NF - URBAN MIX STORE LTDA) - REF. CORRIMÃO PARA RAMPA E ASPIRADOR DE PÓ</t>
  </si>
  <si>
    <t>10702 / 889</t>
  </si>
  <si>
    <t>CORRIMÃO DE PAREDE VALOR DE R$ 280,00, ASPIRADOR DE PÓ VALOR DE R$ 387,78 - FRETE R$ 27,99</t>
  </si>
  <si>
    <t>NIPRO MEDICAL (REF. CAPILAR 21H) 2/2</t>
  </si>
  <si>
    <t>REMORA HOSPITALAR (REF. MATERIAIS E MEDICAMENTOS) 2/2</t>
  </si>
  <si>
    <t>ALLMED PRONEFRO (REF. LINHAS E KIT DE LINHAS) 2/2</t>
  </si>
  <si>
    <t>NF CONSTA VENC. EM 3 X (05/02 - 09/03 - 06/04) - PARCELA EM 2 X R$ 2.156,72 (09/03 E 07/04)</t>
  </si>
  <si>
    <t>KÁTIA CILENE DOS SANTOS NUNES - (REF. RESCISÃO DE CONTRATO - 10 DIAS TRABALHADOS EM MAR/26)</t>
  </si>
  <si>
    <t>KÁTIA CILENE DOS SANTOS NUNES</t>
  </si>
  <si>
    <t>RESCISÃO DE CONTRATO</t>
  </si>
  <si>
    <t>BANCO VOLKSWAGEN (NF - CAVEPEL - REF. PRESTAÇÃO CARRO) 8/48</t>
  </si>
  <si>
    <t>ORDEM BANCÁRIA (REF. PISO SALARIAL ENFERMAGEM - COMP. MAR/26)</t>
  </si>
  <si>
    <t>NIPRO MEDICAL (REF. AGULHA 17, CAPILAR ELISIO 19H E FILTRO DE ENDOTOXINA) 1/2</t>
  </si>
  <si>
    <t>23725</t>
  </si>
  <si>
    <t>EXCELLENCE DISTRIBUIÇÃO (REF. HEPARINAS) 1/2</t>
  </si>
  <si>
    <t>EXCELLENCE DISTRIBUIÇÃO</t>
  </si>
  <si>
    <t>892</t>
  </si>
  <si>
    <t>GUIA DE RECOLHIMENTO</t>
  </si>
  <si>
    <t>ISS (MUNICIPIO DE SANTA INÊS) - NF 202600000000002 (REF. COMP. 01/2026) - EMITIDA EM 02/03/2026</t>
  </si>
  <si>
    <t>135348</t>
  </si>
  <si>
    <t>BIOGREEN INCINERAÇÃO DE RESIDUOS (REF. COLETO LIXO INFECTANTE) - REF. 03/26</t>
  </si>
  <si>
    <t>144</t>
  </si>
  <si>
    <t>FRANCISCO DAS CHAGAS DA SILVA COSTA (REF. ARMÁRIO DA COPA) - 50% ADIATAMENTO</t>
  </si>
  <si>
    <t>FRANCISCO DAS CHAGAS DA SILVA COSTA</t>
  </si>
  <si>
    <t>1</t>
  </si>
  <si>
    <t>DEPÓSITO REALIZADO EM CONTA DE PESSOA FÍSICA</t>
  </si>
  <si>
    <t>FOLHA DE PAGAMENTO (REF. PISO SALARIAL ENFERMAGEM - COMP. MAR/26)</t>
  </si>
  <si>
    <t>MEDVITA (REF. MATERIAIS E MEDICAMENTOS) 1/2</t>
  </si>
  <si>
    <t>71285</t>
  </si>
  <si>
    <t>BRANDÃO E BRANDÃO (REF. SABONETE LIQUIDO) 1/1</t>
  </si>
  <si>
    <t>107454</t>
  </si>
  <si>
    <t>EQUATORIAL MARANHÃO (REF. CASA DE APOIO) - REF. 03/2026</t>
  </si>
  <si>
    <t>SUPERMÉDICA (REF. FITA CREPE) 2/2</t>
  </si>
  <si>
    <t>CASAMATER (REF. FEV/2026)</t>
  </si>
  <si>
    <t>71897</t>
  </si>
  <si>
    <t>PAGAMENTO FEITO EM DUAS VEZES POR ENGANO, RESTANTE FOI REALIZADO EM 20/04 NO VALOR DE R$ 200,00</t>
  </si>
  <si>
    <t>A C R DA SILVA E CIA (SUPERMERCADO CAMINO - REF. COMPRAS QUINZENAIS - DATAS 04/03/26; 17/03/2026 E 30/03/2026)</t>
  </si>
  <si>
    <t>NF 10536 / NF 10592 / NF 10665</t>
  </si>
  <si>
    <t>NF 10536 (R$ 2.173,34) / NF 10592 (R$ 2.435,47) / NF 10665 (R$ 1.257,09)</t>
  </si>
  <si>
    <t>LUCIANA CASTELO BRANCO TRIFONI (REF. RECONHECIMENTO DE FIRMA DR. ANDERSON POR SEMELHANÇA DE CÉDULAS BANCÁRIAS DE EMPRÉSTIMO)</t>
  </si>
  <si>
    <t>LUCIANA CASTELO BRANCO TRIFONI</t>
  </si>
  <si>
    <t>NÃO TEM NOTA FISCAL, MAS TEM O COMPROVANTE DE PAGAMENTO EM NOME DO DR. ANDERSON</t>
  </si>
  <si>
    <t>FARMACE (REF. SOROS, SOLUÇÕES E DIPIRONA INJETÁVEL) 2/2</t>
  </si>
  <si>
    <t>SUPERMÉDICA (REF. MATERIAIS, HEPARINAS E MUPIROCINA) 1/3</t>
  </si>
  <si>
    <t>392882</t>
  </si>
  <si>
    <t>NF 392043 / NF 458419 / NF 458420</t>
  </si>
  <si>
    <t>(NF 458420 - SKY ONE - R$ 38,57 - 18/03), (NF 458419 - SKY ONE - R$ 27,93 - 18/03) E (NF 392043 - FORTES TECNOLOGIA - R$ 28,50 - 19/03)</t>
  </si>
  <si>
    <t>NF 1936 / NF 396381</t>
  </si>
  <si>
    <t>(NF 1936 - R R SISTEMA - R$ 82,70 - 04/03) E (NF 396381 - FORTES TECNOLOGIA - R$ 124,30 - 24/03)</t>
  </si>
  <si>
    <t>13559</t>
  </si>
  <si>
    <t>VENC. ERA DIA 01/04/2026 - ALTERADO PARA DIA 15/04/2026</t>
  </si>
  <si>
    <t>2565</t>
  </si>
  <si>
    <t>357095</t>
  </si>
  <si>
    <t>GRACE CASTELO BRANCO FREITAS (REF. RECONHECIMENTO DE FIRMA AFONSO POR SEMELHANÇA DE CÉDULAS BANCÁRIAS DE EMPRÉSTIMO)</t>
  </si>
  <si>
    <t>GRACE CASTELO BRANCO FREITAS</t>
  </si>
  <si>
    <t>GILMARLISON MENDONCA SOUSA ME (PANELA VELHA) - QUENTINHAS TÉCNICOS (MAR/26)</t>
  </si>
  <si>
    <t>2</t>
  </si>
  <si>
    <t>L F ALBUQUERQUE DA SILVA - (FARMACÊUTICA GARDÊNIA) - REF. PRESTAÇÃO DE SERV. FARMACÊUTICOS FEV/26</t>
  </si>
  <si>
    <t>2026000000000 14</t>
  </si>
  <si>
    <t>QUITAÇÃO DO PAGAMENTO</t>
  </si>
  <si>
    <t>FGTS (03/2026)</t>
  </si>
  <si>
    <t>INSS (03/2026)</t>
  </si>
  <si>
    <t>872</t>
  </si>
  <si>
    <t>NADJA KARINA BUNA ASSSUNCA - CARTÓRIO 1° OFÍCIO - (REF. PRENOTAÇÃO DE TÍTULO PARA REGISTRO OU AVERBAÇÃO)</t>
  </si>
  <si>
    <t>ANTONIO SANTOS LIMA FILHO (REF. COMPRA DE DIESEL S10 PARA GERADOR)</t>
  </si>
  <si>
    <t>ANTONIO SANTOS LIMA FILHO</t>
  </si>
  <si>
    <t>1594</t>
  </si>
  <si>
    <t>ESTADO DO MARANHÃO - SEC. DE ESTADO DA FAZENDA (REF. CERTIDÃO SIMPLIFICADA JUCEMA)</t>
  </si>
  <si>
    <t>ESTADO DO MARANHÃO</t>
  </si>
  <si>
    <t>FATURA</t>
  </si>
  <si>
    <t>FRANCISCO DAS CHAGAS DA SILVA COSTA (REF. ARMÁRIO DA COPA) - QUITAÇÃO</t>
  </si>
  <si>
    <t>NADJA KARINA BUNA ASSSUNCA - CARTÓRIO 1° OFÍCIO (REF. REGISTRO DE CÉDULA BANCÁRIA E REGISTRO DA HIPOTECA)</t>
  </si>
  <si>
    <t>ORÇAMENTO</t>
  </si>
  <si>
    <t>MARKETPLACE MERCADO LIVRE (NF - DUTRAL COMERCIO DE ARTIGOS LABORATORIAIS) - REF. FITA INDICADORA DE PH</t>
  </si>
  <si>
    <t>6389</t>
  </si>
  <si>
    <t>ABCDT - ASSOC BRAS C D TRANSPLANTE - REF. MENSALIDADE</t>
  </si>
  <si>
    <t>ABCDT</t>
  </si>
  <si>
    <t>82970</t>
  </si>
  <si>
    <t>NIPRO (REF. CAPILAR 21H) 1/2</t>
  </si>
  <si>
    <t>23970</t>
  </si>
  <si>
    <t>2726</t>
  </si>
  <si>
    <t>IRPJ (REF. 1º TRIM/2026)</t>
  </si>
  <si>
    <t>CSLL (REF. 1º TRIM/2026)</t>
  </si>
  <si>
    <t>NIPRO (REF. COMPRA DE 04 MÁQUINAS DE HD) - PARCELA 07/24</t>
  </si>
  <si>
    <t>NIPRO (REF. COMPRA DE 21 MÁQUINAS DE HD) - PARCELA 07/24</t>
  </si>
  <si>
    <t>EXCELLENCE DISTRIBUIÇÃO (REF. HEPARINAS) 2/2</t>
  </si>
  <si>
    <t>EXCELLENCE DISTRIBUIÇÃO (REF.MEDICAMENTOS E MATERIAIS) 1/3</t>
  </si>
  <si>
    <t>1086</t>
  </si>
  <si>
    <t>DIÁLISE COMÉRCIO (REF. CAPILAR 20 H - BRAIN E PEROXIDE 5%) 1/2</t>
  </si>
  <si>
    <t>616</t>
  </si>
  <si>
    <t>NF CONSTA AS DATA DE VENC. NOS DIAS 27/04 E 26/05 - CONSIDERAR AS DATAS 02/05 E 02/06</t>
  </si>
  <si>
    <t>BIOCOMPANY (PERMCATH (28CM E 32CM), CURATIVOS E BANDAGEM) 2/2</t>
  </si>
  <si>
    <t>BIOCOMPANY (PERMCATH (28CM E 32CM), CURATIVOS E CATETER DUPLO LUMEN 15CM E 20CM) 1/2</t>
  </si>
  <si>
    <t>78601</t>
  </si>
  <si>
    <t>883</t>
  </si>
  <si>
    <t>DIÁLISE COMÉRCIO (REF. DIALL 5 L - PEROXIDE 5 % E ISOLADOR DE PRESSÃO) 2/2</t>
  </si>
  <si>
    <t>FABIANA CRISTINA BARROS (RECEITA)</t>
  </si>
  <si>
    <t>FABIANA CRISTINA BARROS</t>
  </si>
  <si>
    <t>FOLHA DE PAGAMENTO (REF. PAGAMENTO DE SALÁRIO - COMP. 04/2026)</t>
  </si>
  <si>
    <t>AFONSO PAULO COSTA FERRO (RECEITA)</t>
  </si>
  <si>
    <t>AFONSO PAULO COSTA FERRO</t>
  </si>
  <si>
    <t>291248</t>
  </si>
  <si>
    <t>VENC. ERA DIA 07/05 - NO VALOR DE R$ 2.873,02 (JUROS DE R$ 65,12)</t>
  </si>
  <si>
    <t>ULTRAMEGA DISTRIBUIDORA (REF. MATERIAIS) 1/2</t>
  </si>
  <si>
    <t>4464</t>
  </si>
  <si>
    <t>VENC. ERA DIA 07/05 - NO VALOR DE R$ 2.448,11 (JUROS DE R$ 55,49)</t>
  </si>
  <si>
    <t>M E S XAVIER (REF. CARGA DE 01 OXIGÊNIOS MEDICINAL)</t>
  </si>
  <si>
    <t>378</t>
  </si>
  <si>
    <t>CELINA TCBC DE MIRANDA (RECEITA)</t>
  </si>
  <si>
    <t>CELINA TCBC DE MIRANDA</t>
  </si>
  <si>
    <t>PATRICK DULFF (RECEITA)</t>
  </si>
  <si>
    <t>ORDEM BANCÁRIA (REF. PISO SALARIAL ENFERMAGEM - COMP. ABR/26) 1/2</t>
  </si>
  <si>
    <t>I F DA SILVA &amp; CIA LTDA (REF. MAR/26)</t>
  </si>
  <si>
    <t>10</t>
  </si>
  <si>
    <t>A C R DA SILVA E CIA (SUPERMERCADO CAMINO - REF. COMPRAS QUINZENAIS - DATAS 14/04/26 E 27/04/2026)</t>
  </si>
  <si>
    <t>NF 10724 / NF 10776
 / NF 10777</t>
  </si>
  <si>
    <t>NF 10724 (R$ 2.981,10) / NF 10776 (R$ 1.542,52) / NF 10777 (R$ 594,24) REF. LEITES</t>
  </si>
  <si>
    <t>L F ALBUQUERQUE DA SILVA - (FARMACÊUTICA GARDÊNIA) - REF. PRESTAÇÃO DE SERV. FARMACÊUTICOS MAR/26</t>
  </si>
  <si>
    <t>2026000000000 19</t>
  </si>
  <si>
    <t>ORDEM BANCÁRIA (REF. PISO SALARIAL ENFERMAGEM - COMP. ABR/26) 2/2</t>
  </si>
  <si>
    <t>5663</t>
  </si>
  <si>
    <t>BANCO VOLKSWAGEN (NF - CAVEPEL - REF. PRESTAÇÃO CARRO) 9/48</t>
  </si>
  <si>
    <t>VENC. ERA DIA 08/05 - NO VALOR DE R$ 1.935,40 (JUROS DE R$ 66,36)</t>
  </si>
  <si>
    <t>INSS (04/2026)</t>
  </si>
  <si>
    <t>EQUATORIAL MARANHÃO (REF. ENERGIA ELÉTRICA DA CLÍNICA) - REF. 04/2026</t>
  </si>
  <si>
    <t>FARMACE (REF. SOLUÇÕES, DIPIRONA INJETÁVEL, CLORETO DE SÓDIO 10% E ÁGUA DESTILADA) 1/2</t>
  </si>
  <si>
    <t>358237</t>
  </si>
  <si>
    <t>VENC. ERA DIA 06/05 - BOLETO ATUALIZADO PARA DIA 20/05</t>
  </si>
  <si>
    <t>FABIANA CRISTINA BARROS   (REF. PLANTÕES MÉDICOS DE FEV/26 + DEVOLUÇÃO DO VALOR PAGO PELO SEGURO ICATU)</t>
  </si>
  <si>
    <t>L F ALBUQUERQUE DA SILVA (DR. LUCAS - REF. PLANTÕES MÉDICOS EM FEV/25)</t>
  </si>
  <si>
    <t>2026000000000 21</t>
  </si>
  <si>
    <t>PATRICK DULFF LOBO ARAUJO  (REF. PLANTÕES MÉDICOS DE FEV/26 + DEVOLUÇÃO DO VALOR PAGO PELO SEGURO ICATU)</t>
  </si>
  <si>
    <t>PATRICK DULFF LOBO ARAUJO</t>
  </si>
  <si>
    <t>ANDERSON RAFAEL SALVIANO  (REF. PLANTÕES MÉDICOS DE FEV/26 + DEVOLUÇÃO DO VALOR PAGO PELO SEGURO ICATU)</t>
  </si>
  <si>
    <t>UNICLINICA (REF. EXAMES DE PACIENTES) - FEV/26</t>
  </si>
  <si>
    <t>202600000000 383</t>
  </si>
  <si>
    <t>SUPERMÉDICA (REF. MATERIAIS, HEPARINAS E MUPIROCINA) 2/3</t>
  </si>
  <si>
    <t>VENC. ERA DIA 15/05 - NO VALOR DE R$ 8.192,69- JUROS/MULTA DE R$ 245,78</t>
  </si>
  <si>
    <t>FGTS (04/2026)</t>
  </si>
  <si>
    <t>MOISES S OLIVEIRA  (REF. PLANTÕES MÉDICOS DE FEV/26 + DEVOLUÇÃO DO VALOR PAGO PELO SEGURO ICATU)</t>
  </si>
  <si>
    <t>MOISES S OLIVEIRA</t>
  </si>
  <si>
    <t>MARTINS MACHADO SAUDE E E (DR. HOZANO - REF. PLANTÕES MÉDICOS EM FEV/26)</t>
  </si>
  <si>
    <t>2026000000000 10</t>
  </si>
  <si>
    <t>NFS 202600000000008 CANCELADA POR DESCRIÇÃO DE COMPETÊNCIA ERRADA - SUBSTITUIDA POR NFS 202600000000010</t>
  </si>
  <si>
    <t>CELINA TCBC DE MIRANDA  (REF. DEVOLUÇÃO DO VALOR PAGO PELO SEGURO ICATU)</t>
  </si>
  <si>
    <t>AFONSO PAULO COSTA FERRO (REF. DEVOLUÇÃO DO VALOR PAGO PELO SEGURO ICATU)</t>
  </si>
  <si>
    <t>VENC. ERA DIA 14/05 NO VALOR DE R$ 5.166,15 - JUROS/MULTA DE R$ 41,31</t>
  </si>
  <si>
    <t>NIPRO MEDICAL (REF. AGULHA 17, CAPILAR ELISIO 19H E FILTRO DE ENDOTOXINA) 2/2</t>
  </si>
  <si>
    <t>NIPRO MEDICAL (REF. FILTRO DE ENDOTOXINA E INDICADOR DE ÁCIDO PERACÉTICO) 1/2</t>
  </si>
  <si>
    <t>24169</t>
  </si>
  <si>
    <t>VENC. ERA DIA 12/05 - BOLETO ATUALIZADO PARA DIA 20/05</t>
  </si>
  <si>
    <t>ADELIA DALVA DA SILVA OLIVEIRA (REF. DEVOLUÇÃO DO VALOR PAGO PELO SEGURO ICATU)</t>
  </si>
  <si>
    <t>ADELIA DALVA DA SILVA OLIVEIRA</t>
  </si>
  <si>
    <t>GLADSTONE SANTOS SILVA  (REF. PLANTÕES MÉDICOS DE FEV/26 + DEVOLUÇÃO DO VALOR PAGO PELO SEGURO ICATU)</t>
  </si>
  <si>
    <t>FRANCISCO H SOUSA (REF. DEVOLUÇÃO DO VALOR PAGO PELO SEGURO ICATU)</t>
  </si>
  <si>
    <t>FRANCISCO H SOUSA</t>
  </si>
  <si>
    <t>MEDVITA (REF. MATERIAIS E MEDICAMENTOS) 2/2</t>
  </si>
  <si>
    <t>VENC. ERA DIA 12/05 - NO VALOR DE R$ 2.449,52 - JUROS/MULTA DE R$ 106,13</t>
  </si>
  <si>
    <t>DR. WILSON (CIRURGIÃO VASCULAR) - COELHO E OLIVEIRA SERV. MÉDICOS (REF. FEV E MAR/26)</t>
  </si>
  <si>
    <t>3294</t>
  </si>
  <si>
    <t>643603</t>
  </si>
  <si>
    <t>VENC. ERA DIA 06/05 - NO VALOR DE R$ 1.791,00 - JUROS/MULTA DE R$ 33,46</t>
  </si>
  <si>
    <t>13654</t>
  </si>
  <si>
    <t>VENC. ERA DIA 15/05 - NO VALOR DE R$ 1.588,00 - JUROS/MULTA DE R$ 63,51</t>
  </si>
  <si>
    <t>BIOGREEN INCINERAÇÃO DE RESIDUOS (REF. COLETO LIXO INFECTANTE) - REF. 04/26</t>
  </si>
  <si>
    <t>154</t>
  </si>
  <si>
    <t>VENC. ERA DIA 11/05 NO VALOR DE R$ 1.600,00 - JUROS/MULTA DE R$ 36,79</t>
  </si>
  <si>
    <t>87898</t>
  </si>
  <si>
    <t>VENC. ERA DIA 04/05 NO VALOR DE R$ 1.561,00 - JUROS/MULTA DE R$ 47,86</t>
  </si>
  <si>
    <t>1992</t>
  </si>
  <si>
    <t>DIÁLISE COMÉRCIO (REF. TAUROLOCK) - 1/2</t>
  </si>
  <si>
    <t>13101</t>
  </si>
  <si>
    <t>RICEK INDUSTRIA E COMÉRCIO (REF. DICLOR -  SACO DE LIXO E HIPOCLORITO) 1/2</t>
  </si>
  <si>
    <t>21261</t>
  </si>
  <si>
    <t>VENC. ERA DIA 08/05 - BOLETO PRORROGADO PARA DIA 20/05</t>
  </si>
  <si>
    <t>M MUNIZ (REF. FORNECIMENTO DE LANCHES - FEV/26)</t>
  </si>
  <si>
    <t>E M GONÇALVES PADARIA (REF. FORNEC. DE PÃES E BOLOS - FEV/26) - FAVORECIDO: EDILBERTO M. GONÇALVES</t>
  </si>
  <si>
    <t>168</t>
  </si>
  <si>
    <t>ALECRIM INDUSTRIA E COMÉRCIO (REF. PAPEL TOALHA E PAPEL HIGIÊNICO) 1/2</t>
  </si>
  <si>
    <t>8053</t>
  </si>
  <si>
    <t>DR. RENATO (CIRURGIÃO VASCULAR) - S M D MATOS ASSOC. (REF.FEV/26)</t>
  </si>
  <si>
    <t>4930</t>
  </si>
  <si>
    <t>E G BISPO TRANSPORTES (REF. FRETE DE MERCADORIA) - FEV/26</t>
  </si>
  <si>
    <t>1223</t>
  </si>
  <si>
    <t>107865</t>
  </si>
  <si>
    <t>VENC. ERA DIA 10/05 - BOLETO ATUALIZADO PARA DIA 20/05</t>
  </si>
  <si>
    <t>2604</t>
  </si>
  <si>
    <t>VENC. ERA DIA 15/05</t>
  </si>
  <si>
    <t>NF 2665 / NF 407782</t>
  </si>
  <si>
    <t>VENC. ERA DIA 15/05 - NO VALOR DE R$ 207,00 - JUROS/MULTA DE R$ 5,51</t>
  </si>
  <si>
    <t>NF 484482 / NF 484483 / NF 404717</t>
  </si>
  <si>
    <t>VENC. ERA DIA 15/05 - NO VALOR DE R$ 95,00 - JUROS/MULTA DE R$ 2,53</t>
  </si>
  <si>
    <t>EQUATORIAL MARANHÃO (REF. CASA DE APOIO) - REF. 04/2026</t>
  </si>
  <si>
    <t>ORDEM BANCÁRIA ESTADO MA - REPASSE FINANCEIRO (NF - 202600000000003 - REF. COMP. FEV/26 - EMITIDA EM 01/04/26)</t>
  </si>
  <si>
    <t>FABIANA CRISTINA BARROS (REF. PLANTÕES MÉDICOS DE MAR/26 + DEVOLUÇÃO DO ADIANTAMENTO DE RECURSOS DOS SÓCIOS + REEMBOLSO DO SERVIÇO DE ENGENHARIA</t>
  </si>
  <si>
    <t>ANDERSON RAFAEL SALVIANO (REF. PLANTÕES MÉDICOS DE MAR/26 + DEVOLUÇÃO DO ADIANTAMENTO DE RECURSOS DOS SÓCIOS + REEMBOLSO DO SERVIÇO DE ENGENHARIA)</t>
  </si>
  <si>
    <t>CELINA TCBC DE MIRANDA (REF. DEVOLUÇÃO DO REPASSE + PAGAMENTO DO ENGENHEIRO)</t>
  </si>
  <si>
    <t>AFONSO PAULO COSTA FERRO (REF. DEVOLUÇÃO DO ADIANTAMENTO DE RECURSOS DOS SÓCIOS + REEMBOLSO DO SERVIÇO DE ENGENHARIA)</t>
  </si>
  <si>
    <t>ISS (MUNICIPIO DE SANTA INÊS) - NF 202600000000003 (REF. COMP. FEV/26  - EMITIDA EM 01/04/2026)</t>
  </si>
  <si>
    <t>PATRICK DULFF LOBO ARAUJO (REF. PLANTÕES MÉDICOS DE MAR/26 + DEVOLUÇÃO DO ADIANTAMENTO DE RECURSOS DOS SÓCIOS + REEMBOLSO DO SERVIÇO DE ENGENHARIA)</t>
  </si>
  <si>
    <t>MOISES S OLIVEIRA (REF. PLANTÕES MÉDICOS DE MAR/26 + DEVOLUÇÃO DO REPASSE + PAGAMENTO DO ENGENHEIRO)</t>
  </si>
  <si>
    <t>GLADSTONE SANTOS SILVA (REF. PLANTÕES MÉDICOS DE MAR/26 + DEVOLUÇÃO DO REPASSE + PAGAMENTO DO ENGENHEIRO)</t>
  </si>
  <si>
    <t>L F ALBUQUERQUE DA SILVA (DR. LUCAS - REF. PLANTÕES MÉDICOS EM MAR/25)</t>
  </si>
  <si>
    <t>MARTINS MACHADO SAUDE E E (DR. HOZANO - REF. PLANTÕES MÉDICOS EM MAR/26)</t>
  </si>
  <si>
    <t>2026000000000 09</t>
  </si>
  <si>
    <t>BIORENAL LTDA (REF. DEPÓSITO DO FINANCIAMENTO)</t>
  </si>
  <si>
    <t>FARMACE (REF. SOROS, SOLUÇÕES, DIPIRONA INJETÁVEL, CLORETO DE SÓDIO 10%, ÁGUA DESTILADA E PARACETAMOL) 1/2</t>
  </si>
  <si>
    <t>359089</t>
  </si>
  <si>
    <t>UNICLINICA (REF. EXAMES DE PACIENTES) - MAR/26</t>
  </si>
  <si>
    <t>202600000000 636</t>
  </si>
  <si>
    <t>HR MANUTENÇÃO HOSPITALAR (REF. PREST. DE SERV. ASSESSORIA ADMINISTRATIVA - REF. FEV/26)</t>
  </si>
  <si>
    <t>HR MANUTENÇÃO HOSPITALAR (REF. PREST. DE SERV. ASSESSORIA ADMINISTRATIVA - REF. MAR/26)</t>
  </si>
  <si>
    <t>NIPRO MEDICAL (REF. AGULHA 16, CAPILAR ELISIO 19H E FILTRO DE ENDOTOXINA) 1/2</t>
  </si>
  <si>
    <t>23828</t>
  </si>
  <si>
    <t>HR MANUTENCAO HOSPITALAR E TRAT. DE AGUA (REF. PREST. DE SERV. HUGO RAMON) - MAR/26 + DUAS VISITAS EXTRAS</t>
  </si>
  <si>
    <t>9</t>
  </si>
  <si>
    <t>FARMACE (REF. SOROS) 1/2</t>
  </si>
  <si>
    <t>359090</t>
  </si>
  <si>
    <t>CASAMATER (REF. MAR/2026)</t>
  </si>
  <si>
    <t>72339</t>
  </si>
  <si>
    <t>NF AVULSA 2540</t>
  </si>
  <si>
    <t>E M GONÇALVES PADARIA (REF. FORNEC. DE PÃES E BOLOS - ABR/26) - FAVORECIDO: EDILBERTO M. GONÇALVES</t>
  </si>
  <si>
    <t>173</t>
  </si>
  <si>
    <t>E M GONÇALVES PADARIA (REF. FORNEC. DE PÃES E BOLOS - MAR/26) - FAVORECIDO: EDILBERTO M. GONÇALVES</t>
  </si>
  <si>
    <t>172</t>
  </si>
  <si>
    <t>M MUNIZ (REF. FORNECIMENTO DE LANCHES - MAR/26)</t>
  </si>
  <si>
    <t>E G BISPO TRANSPORTES (REF. FRETE DE MERCADORIA) - MAR/26</t>
  </si>
  <si>
    <t>1238</t>
  </si>
  <si>
    <t>UNICLINICA (REF. EXAMES DE ADMISSIONAIS DE COLABORADORES - MAR/26)</t>
  </si>
  <si>
    <t>202600000000 637</t>
  </si>
  <si>
    <t>VENC. ERA DIA 17/05 - BOLETO PRORROGADO PARA DIA 25/05</t>
  </si>
  <si>
    <t>ADELIA DALVA DA SILVA OLIVEIRA (REF. DEVOLUÇÃO DO ADIANTAMENTO DE RECURSOS DOS SÓCIOS + REEMBOLSO DO SERVIÇO DE ENGENHARIA)</t>
  </si>
  <si>
    <t>FRANCISCO H SOUSA (REF. DEVOLUÇÃO DO ADIANTAMENTO DE RECURSOS DOS SÓCIOS + REEMBOLSO DO SERVIÇO DE ENGENHARIA)</t>
  </si>
  <si>
    <t>I F DA SILVA &amp; CIA LTDA (REF. ABR/26)</t>
  </si>
  <si>
    <t>12</t>
  </si>
  <si>
    <t>FARMACE (REF. SOROS 500ML) 1/2</t>
  </si>
  <si>
    <t>358238</t>
  </si>
  <si>
    <t>VENC. ERA DIA 06/05 - BOLETO ATUALIZADO PARA DIA 25/05</t>
  </si>
  <si>
    <t>JG CONSTRUCOES (REF. ??????????)</t>
  </si>
  <si>
    <t>JG CONSTRUCOES</t>
  </si>
  <si>
    <t>FERCASTRO BR (REF. BOTA DE EPI PARA FUNCIONÁRIOS)</t>
  </si>
  <si>
    <t>FERCASTRO BR</t>
  </si>
  <si>
    <t>8492</t>
  </si>
  <si>
    <t>NIPRO (REF. CAPILAR 21H) 2/2</t>
  </si>
  <si>
    <t>DMW ELETROMEDICINA LTDA (REF. POTENCIOMETRO, SENSOR DO FLUXOMETRO E CHAVE DO SENSOR) 1/2</t>
  </si>
  <si>
    <t>11429</t>
  </si>
  <si>
    <t>RICEK INDUSTRIA E COMÉRCIO (REF. DICLOR -  SACO DE LIXO E HIPOCLORITO) 2/2</t>
  </si>
  <si>
    <t>ALECRIM INDUSTRIA E COMÉRCIO (REF. PAPEL TOALHA E PAPEL HIGIÊNICO) 2/2</t>
  </si>
  <si>
    <t>HR MANUTENCAO HOSPITALAR E TRAT. DE AGUA (REF. PREST. DE SERV. HUGO RAMON) - FEV/26</t>
  </si>
  <si>
    <t>6</t>
  </si>
  <si>
    <t>DR. RENATO (CIRURGIÃO VASCULAR) - S M D MATOS ASSOC. (REF.MAR/26)</t>
  </si>
  <si>
    <t>MASTER GRAFICA DIGITAL (REF. PRODUÇÃO DE 10 BLOCOS DE FICHAS DE SALA E 10 BLOCOS DE SOLICITAÇÃO DE MATERIAL)</t>
  </si>
  <si>
    <t>MASTER GRAFICA DIGITAL</t>
  </si>
  <si>
    <t>2026000000000 82</t>
  </si>
  <si>
    <t>NIPRO (REF. COMPRA DE 21 MÁQUINAS DE HD) - PARCELA 08/24</t>
  </si>
  <si>
    <t>NIPRO (REF. COMPRA DE 04 MÁQUINAS DE HD) - PARCELA 08/24</t>
  </si>
  <si>
    <t>NIPRO MEDICAL (REF. CAPILAR ELISIO 21H,  CAPILAR ELISIO 19H E FILTRO DE ENDOTOXINA) 1/2</t>
  </si>
  <si>
    <t>24337</t>
  </si>
  <si>
    <t>EQUATORIAL MARANHÃO (REF. CASA DE APOIO) - REF. 05/2026</t>
  </si>
  <si>
    <t>DIÁLISE COMÉRCIO (REF. DIALL 5 L - PEROXIDE 5 %, CAPILAR 2.0 B-20HF, INDICADOR DE ÁCIDO PERACÉTICO E TAMPA) 1/2</t>
  </si>
  <si>
    <t>733</t>
  </si>
  <si>
    <t>BIOCOMPANY (PERMCATH (28CM E 32CM), CURATIVOS E CATETER DUPLO LUMEN 15CM E 20CM) 2/2</t>
  </si>
  <si>
    <t>FARMACE (REF. SOLUÇÕES) 1/2</t>
  </si>
  <si>
    <t>359498</t>
  </si>
  <si>
    <t>VENC. ERA DIA 01/06 - NO VALOR DE R$ 15.970,00 - PAGAMENTO COM JUROS DE R$ 26,07</t>
  </si>
  <si>
    <t>3285</t>
  </si>
  <si>
    <t>VENC. ERA DIA 01/06 - NO VALOR DE R$ 2.938,40 - PAGAMENTO COM JUROS DE R$ 59,73</t>
  </si>
  <si>
    <t>EQUATORIAL MARANHÃO (REF. ENERGIA ELÉTRICA DA CLÍNICA) - REF. 05/2026</t>
  </si>
  <si>
    <t>DIÁLISE COMÉRCIO (REF. CAPILAR 20 H - BRAIN E PEROXIDE 5%) 2/2</t>
  </si>
  <si>
    <t>EXCELLENCE DISTRIBUIÇÃO (REF.MEDICAMENTOS E MATERIAIS) 2/3</t>
  </si>
  <si>
    <t>EDVALDO LIMA DA ROCHA (REF. DESINSETIZAÇÃO E DESCUPINIZAÇÃO NA CLINICA E DEPÓSITOS)</t>
  </si>
  <si>
    <t>EDVALDO LIMA DA ROCHA</t>
  </si>
  <si>
    <t>1821</t>
  </si>
  <si>
    <t>J E ALVES DOS SANTOS (REF. LAVANDERIA - LAVAGEM DE CAMPO SIMPLES E FENESTRADO)</t>
  </si>
  <si>
    <t>J E ALVES DOS SANTOS</t>
  </si>
  <si>
    <t>FOLHA DE PAGAMENTO (REF. PAGAMENTO DE SALÁRIO - COMP. 05/2026)</t>
  </si>
  <si>
    <t>978149</t>
  </si>
  <si>
    <t>SUPERMÉDICA (REF. MATERIAIS E MEDICAMENTOS) 1/1</t>
  </si>
  <si>
    <t>404199</t>
  </si>
  <si>
    <t>REMORA HOSPITALAR (REF. MATERIAIS E MEDICAMENTOS) 1/3</t>
  </si>
  <si>
    <t>13785</t>
  </si>
  <si>
    <t>FARMACE (REF. SOROS 500ML)</t>
  </si>
  <si>
    <t>FARMACE (REF. SOROS, SOLUÇÕES, DIPIRONA INJETÁVEL, CLORETO DE SÓDIO 10% E ÁGUA DESTILADA) 2/2</t>
  </si>
  <si>
    <t>DIÁLISE COMÉRCIO (REF. TAUROLOCK) - 2/2</t>
  </si>
  <si>
    <t>BIOGREEN INCINERAÇÃO DE RESIDUOS (REF. COLETO LIXO INFECTANTE) - REF. 05/26</t>
  </si>
  <si>
    <t>RICEK INDUSTRIA E COMÉRCIO (REF. PAPEL TOALHA E SACO DE LIXO INFEC. 50L) 1/2</t>
  </si>
  <si>
    <t>21343</t>
  </si>
  <si>
    <t>ULTRAMEGA DISTRIBUIDORA (REF. MATERIAIS E MEDICAMENTO) 1/2</t>
  </si>
  <si>
    <t>296367</t>
  </si>
  <si>
    <t>BOLETO ATUALIZADO - DESCONTO DE ÁGUA DESTILADA</t>
  </si>
  <si>
    <t>6476</t>
  </si>
  <si>
    <t>ORDEM BANCÁRIA ESTADO MA - REPASSE FINANCEIRO (NF - 202600000000004 - REF. COMP. MAR/26 - EMITIDA EM 04/05/26)</t>
  </si>
  <si>
    <t>CELINA TCBC DE MIRANDA (REF. DISTRIBUIÇÃO DE LUCROS)</t>
  </si>
  <si>
    <t>AFONSO PAULO COSTA FERRO (REF. DISTRIBUIÇÃO DE LUCROS + PRÓ-LABORE COMO SÓCIO ADMINISTRADOR)</t>
  </si>
  <si>
    <t>FABIANA CRISTINA BARROS (REF. PLANTÕES MÉDICOS DE ABR/26 + DISTRIBUIÇÃO DE LUCROS)</t>
  </si>
  <si>
    <t>PATRICK DULFF LOBO ARAUJO (REF. PLANTÕES MÉDICOS DE ABR/26 + DISTRIBUIÇÃO DE LUCROS)</t>
  </si>
  <si>
    <t>REF. 06 PLANTÕES EM ABRIL/2026</t>
  </si>
  <si>
    <t>ADELIA DALVA DA SILVA OLIVEIRA (REF. DISTRIBUIÇÃO DE LUCROS)</t>
  </si>
  <si>
    <t>MOISES S OLIVEIRA (REF. PLANTÕES MÉDICOS DE ABR/26 + DISTRIBUIÇÃO DE LUCROS)</t>
  </si>
  <si>
    <t>GLADSTONE SANTOS SILVA (REF. PLANTÕES MÉDICOS DE ABR/26 + DISTRIBUIÇÃO DE LUCROS)</t>
  </si>
  <si>
    <t>ANDERSON RAFAEL SALVIANO (REF. PLANTÕES MÉDICOS DE ABR/26 + PRÓ-LABORE COMO SÓCIO ADMINISTRADOR + RESPONSABILIDADE TÉCNICA + DISTRIBUIÇÃO DE LUCROS)</t>
  </si>
  <si>
    <t>FRANCISCO H SOUSA (REF. DISTRIBUIÇÃO DE LUCROS)</t>
  </si>
  <si>
    <t>A C R DA SILVA E CIA (SUPERMERCADO CAMINO - REF. COMPRAS QUINZENAIS - DATAS 11/05 E 26/05)</t>
  </si>
  <si>
    <t>NF 10835 / NF 10857 / NF 10905 / NF 10917 / NF 10953</t>
  </si>
  <si>
    <t>BANCO VOLKSWAGEN (NF - CAVEPEL - REF. PRESTAÇÃO CARRO) 10/48</t>
  </si>
  <si>
    <t>ULTRAMEGA DISTRIBUIDORA (REF. MATERIAIS) 2/2</t>
  </si>
  <si>
    <t>NIPRO MEDICAL (REF. FILTRO DE ENDOTOXINA E INDICADOR DE ÁCIDO PERACÉTICO) 2/2</t>
  </si>
  <si>
    <t>CASAMATER (REF. ABR/2026)</t>
  </si>
  <si>
    <t>72851</t>
  </si>
  <si>
    <t>M MUNIZ (REF. FORNECIMENTO DE LANCHES - ABR/2026)</t>
  </si>
  <si>
    <t>M MUNIZ (REF. FORNECIMENTO DE LANCHES - MAI/2026)</t>
  </si>
  <si>
    <t>UNICLINICA (REF. EXAMES DE PACIENTES) - ABR/2026</t>
  </si>
  <si>
    <t>202600000000 780</t>
  </si>
  <si>
    <t>MOTORISTA VIAGEM TERESINA - MAI/26</t>
  </si>
  <si>
    <t>MOTORISTA VIAGEM TERESINA</t>
  </si>
  <si>
    <t>E G BISPO TRANSPORTES (REF. FRETE DE MERCADORIA) - ABR/2026</t>
  </si>
  <si>
    <t>1258</t>
  </si>
  <si>
    <t>E M GONÇALVES PADARIA (REF. FORNEC. DE PÃES E BOLOS - MAI/26) - FAVORECIDO: EDILBERTO M. GONÇALVES</t>
  </si>
  <si>
    <t>175</t>
  </si>
  <si>
    <t>HR MANUTENCAO HOSPITALAR E TRAT. DE AGUA (REF. PREST. DE SERV. HUGO RAMON) - ABR/2026</t>
  </si>
  <si>
    <t>DR. WILSON (CIRURGIÃO VASCULAR) - COELHO E OLIVEIRA SERV. MÉDICOS (REF. ABR/26)</t>
  </si>
  <si>
    <t>3337</t>
  </si>
  <si>
    <t>GILMARLISON MENDONCA SOUSA ME (PANELA VELHA - REF. QUENTINHAS TÉCNICOS (MAI/2026) + DUAS MARMITAS EM JUN/26</t>
  </si>
  <si>
    <t>FARMACÊUTICA (GARDÊNIA) - REF. PRESTAÇÃO DE SERV. FARMACÊUTICOS - ABR/2026)</t>
  </si>
  <si>
    <t>FARMACÊUTICA</t>
  </si>
  <si>
    <t>DIÁLISE COMÉRCIO (REF. FITA INDICADORA DE ÁCIDO PERACÉTICO E CAPILAR 20 H) 1/2</t>
  </si>
  <si>
    <t>803</t>
  </si>
  <si>
    <t>DR. RENATO (CIRURGIÃO VASCULAR) - S M D MATOS ASSOC. (REF. ABR/26)</t>
  </si>
  <si>
    <t>ORDEM BANCÁRIA (REF. PISO SALARIAL ENFERMAGEM - COMP. MAI/26) 1/2</t>
  </si>
  <si>
    <t>JOEL</t>
  </si>
  <si>
    <t>FORNECEDOR NÃO EMITE NOTA FISCAL</t>
  </si>
  <si>
    <t>HR MANUTENÇÃO HOSPITALAR (REF. PREST. DE SERV. ASSESSORIA ADMINISTRATIVA - REF. ABR/26)</t>
  </si>
  <si>
    <t>11</t>
  </si>
  <si>
    <t>FERCASTRO (REF. COMPRA DE BOTINA DE EPI E BOTA DE PVC PARA REUSO)</t>
  </si>
  <si>
    <t>8646</t>
  </si>
  <si>
    <t>FARMACÊUTICA (GARDÊNIA) - REF. PRESTAÇÃO DE SERV. FARMACÊUTICOS - MAI/2026)</t>
  </si>
  <si>
    <t>BIOPAR (REF. CAMPO CIRURGICO E LENÇOL E DESCARTÉVEL) - 1/1</t>
  </si>
  <si>
    <t>13738</t>
  </si>
  <si>
    <t>2638</t>
  </si>
  <si>
    <t>FOLHA DE PAGAMENTO (REF. PISO SALARIAL ENFERMAGEM - COMP. MAI/26)</t>
  </si>
  <si>
    <t>SUPERMÉDICA (REF. MATERIAIS, HEPARINAS E MUPIROCINA) 3/3</t>
  </si>
  <si>
    <t>NF 416370 / NF 3470</t>
  </si>
  <si>
    <t>NF 414120 / NF 501494 / NF 501495</t>
  </si>
  <si>
    <t>MARTINS MACHADO SAUDE E E (DR. HOZANO - REF. PLANTÕES MÉDICOS EM ABR/26)</t>
  </si>
  <si>
    <t>L F ALBUQUERQUE DA SILVA (DR. LUCAS - REF. PLANTÕES MÉDICOS EM ABR/26)</t>
  </si>
  <si>
    <t>2026000000000 26</t>
  </si>
  <si>
    <t>REF. 04 PLANTÕES EM ABRIL/2026</t>
  </si>
  <si>
    <t>LUANA MELO VIEGAS (REF. ASSSESORIA ADMINISTRATIVA - REF. ABR/26</t>
  </si>
  <si>
    <t>LUANA MELO VIEGAS</t>
  </si>
  <si>
    <t>WILSON DE FREITAS SORIANO (BOTECO DO TARCISIO) - REF. QUENTINHAS TÉCNICOS PRIMEIRA QUINZENA DE JUNHO (03/06 A 15/06)</t>
  </si>
  <si>
    <t>WILSON DE FREITAS SORIANO</t>
  </si>
  <si>
    <t>34</t>
  </si>
  <si>
    <t>ESTADO DO MARANHÃO - SECRETARIA DE ESTADO DA FAZENDA (REF. TAXA DE RENOVAÇÃO DO ALVARÁ DE LICENÇA AMBIENTAL)</t>
  </si>
  <si>
    <t>ISS (MUNICIPIO DE SANTA INÊS) - NF 202600000000003 (REF. COMP. 03/2026) - EMITIDA EM 04/05/2026</t>
  </si>
  <si>
    <t>FARMACE (REF. SORO 100ML, SOLUÇÕES E CLORETO DE SÓDIO 10%) 1/2</t>
  </si>
  <si>
    <t>360402</t>
  </si>
  <si>
    <t>2460</t>
  </si>
  <si>
    <t>NIPRO (REF.CAPILAR 19, AGULHA 16G E FILTRO DE ENDOTOXINA) 2/2</t>
  </si>
  <si>
    <t>BIOCOMPANY (REF. PERMICATH E CURATIVOS) 1/1</t>
  </si>
  <si>
    <t>79110</t>
  </si>
  <si>
    <t>FGTS (05/2026)</t>
  </si>
  <si>
    <t>INSS (05/2026)</t>
  </si>
  <si>
    <t>I F DA SILVA &amp; CIA LTDA (REF. MAI/26) + ADIÇÃO DE PSICOLÓGA</t>
  </si>
  <si>
    <t>13</t>
  </si>
  <si>
    <t>FARMACE (REF. SOROS, SOLUÇÕES, DIPIRONA INJETÁVEL, CLORETO DE SÓDIO 10%, ÁGUA DESTILADA E PARACETAMOL) 2/2</t>
  </si>
  <si>
    <t>ALLMED PRONEFRO (REF. LINHA ARTERIAL, LINHA VENOSA E ISOLADOR DE PRESSÃO) 1/3</t>
  </si>
  <si>
    <t>88245</t>
  </si>
  <si>
    <t>FARMACE (REF. SOROS) 2/2</t>
  </si>
  <si>
    <t>DMW ELETROMEDICINA LTDA (REF. POTENCIOMETRO, SENSOR DO FLUXOMETRO E CHAVE DO SENSOR) 2/2</t>
  </si>
  <si>
    <t>MARKETPLACE MARKETPLACE MERCADO LIVRE (NF - B. G. DOS SANTOS COMERCIO VAREJISTA LTDA - ME E BENVINE OFICIAL
LTDA) - REF. 02 REFLETORES 400W E 02 KIT DE PILHAS RECARREGÁVEIS)</t>
  </si>
  <si>
    <t>PIS (REF. NF 202600000000003 – COMP. FEV/2026 – RECEB. MAIO/2026)</t>
  </si>
  <si>
    <t>COFINS (REF. NF 202600000000003 – COMP. FEV/2026 – RECEB. MAIO/2026)</t>
  </si>
  <si>
    <t>DARE</t>
  </si>
  <si>
    <t>SECRETARIA DE ESTADO DA FAZENDA (REF. MULTA POR AVANÇAR SINAL VERMELHO EM 09/03/2026)</t>
  </si>
  <si>
    <t>SECRETARIA DE ESTADO DA FAZENDA</t>
  </si>
  <si>
    <t>SECRETARIA DE ESTADO DA FAZENDA (REF. MULTA POR AVANÇAR SINAL VERMELHO EM 26/12/2025)</t>
  </si>
  <si>
    <t>RICEK INDUSTRIA E COMÉRCIO (REF. PAPEL TOALHA E SACO DE LIXO INFEC. 50L) 2/2</t>
  </si>
  <si>
    <t>L M BITTENCOURT LTDA (REF. CONSULTORIA PARA EMISSÃO DE CACB)</t>
  </si>
  <si>
    <t>L M BITTENCOURT LTDA</t>
  </si>
  <si>
    <t>BIOCOMPANY (REF. CURATIVOS, CATETER DUPLO LUMEN (15CM E 20CM) E TAMPA PARA CATETER) 1/2</t>
  </si>
  <si>
    <t>79493</t>
  </si>
  <si>
    <t>BIOCOMPANY (REF. PERMCATCH 28CM) 1/2</t>
  </si>
  <si>
    <t>79523</t>
  </si>
  <si>
    <t>SECRETARIA DE ESTADO DA FAZENDA (REF. LICENCIAMENTO VEICULO 2026)</t>
  </si>
  <si>
    <t>FARMACE (REF. SOLUÇÕES) 2/2</t>
  </si>
  <si>
    <t>3752</t>
  </si>
  <si>
    <t>NIPRO (REF. COMPRA DE 21 MÁQUINAS DE HD) - PARCELA 09/24</t>
  </si>
  <si>
    <t>NIPRO (REF. COMPRA DE 04 MÁQUINAS DE HD) - PARCELA 09/24</t>
  </si>
  <si>
    <t>NIPRO MEDICAL (REF. CAPILAR ELISIO 21H,  CAPILAR ELISIO 19H E FILTRO DE ENDOTOXINA) 2/2</t>
  </si>
  <si>
    <t>EXCELLENCE DISTRIBUIÇÃO (REF.MEDICAMENTOS E MATERIAIS) 3/3</t>
  </si>
  <si>
    <t>ERONLIMP (REF. SACOS DE LIXO BRANCO E SUPORTE DE MOP E FIBRAS PARA LIMPEZA)</t>
  </si>
  <si>
    <t>ERONLIMP</t>
  </si>
  <si>
    <t>2615</t>
  </si>
  <si>
    <t>DIÁLISE COMÉRCIO (REF. PEROXIDE 50%, FITA INDICADORA DE ÁCIDO PERACÉTICO E CAPILAR 20 H) 1/2</t>
  </si>
  <si>
    <t>880</t>
  </si>
  <si>
    <t>ALLMED PRONEFRO (REF. LINHA DUPLA, LINHA ARTERIAL, LINHA VENOSA E ISOLADOR DE PRESSÃO) 1/3</t>
  </si>
  <si>
    <t>88576</t>
  </si>
  <si>
    <t>J. V. L. NOBRE - SÓ GÁS (REF. 02 GÁS DE COZINHA PARA COPA EM JUNHO/26)</t>
  </si>
  <si>
    <t>J. V. L. NOBRE</t>
  </si>
  <si>
    <t>5766</t>
  </si>
  <si>
    <t>DIÁLISE COMÉRCIO (REF. DIALL 5 L - PEROXIDE 5 %, CAPILAR 2.0 B-20HF, INDICADOR DE ÁCIDO PERACÉTICO E TAMPA) 2/2</t>
  </si>
  <si>
    <t>WILSON DE FREITAS SORIANO (BOTECO DO TARCISIO) - REF. QUENTINHAS TÉCNICOS PRIMEIRA QUINZENA DE JUNHO (04/06 A 30/06)</t>
  </si>
  <si>
    <t>39</t>
  </si>
  <si>
    <t>CONSTRUNORTE (REF. VALVULA DE REPARO PARA SANITÁRIO)</t>
  </si>
  <si>
    <t>CONSTRUNORTE</t>
  </si>
  <si>
    <t>84767</t>
  </si>
  <si>
    <t>FARMACE (REF. SORO 500ML, SOLUÇÕES E CLORETO DE SÓDIO 10%) 1/2</t>
  </si>
  <si>
    <t>361352</t>
  </si>
  <si>
    <t>DIEGO FERNANDES BRANDÃO (REF. CURSO DA BRIGADA DE INCÊNDIO)</t>
  </si>
  <si>
    <t>DIEGO FERNANDES BRANDÃO</t>
  </si>
  <si>
    <t>REMORA HOSPITALAR (REF. MATERIAIS E MEDICAMENTOS) 2/3</t>
  </si>
  <si>
    <t>EQUATORIAL MARANHÃO (REF. ENERGIA ELÉTRICA DA CLÍNICA) - REF. 06/2026</t>
  </si>
  <si>
    <t>ULTRAMEGA DISTRIBUIDORA (REF. MATERIAIS E MEDICAMENTO) 2/2</t>
  </si>
  <si>
    <t>FOLHA DE PAGAMENTO (REF. PAGAMENTO DE SALÁRIO - COMP. 06/2026)</t>
  </si>
  <si>
    <t>MOTORISTA VIAGEM TERESINA - JUN/26</t>
  </si>
  <si>
    <t>NF AVULSA 2601</t>
  </si>
  <si>
    <t>NIPRO MEDICAL (REF. CAPILAR 17H, 19H E 21H) 1/2</t>
  </si>
  <si>
    <t>24709</t>
  </si>
  <si>
    <t>BANCO VOLKSWAGEN (NF - CAVEPEL - REF. PRESTAÇÃO CARRO) 11/48</t>
  </si>
  <si>
    <t>NIPRO MEDICAL (REF. AGULHA 16G) - 1/2</t>
  </si>
  <si>
    <t>188519</t>
  </si>
  <si>
    <t>DIÁLISE COMÉRCIO (REF. FITA INDICADORA DE ÁCIDO PERACÉTICO E CAPILAR 20 H) 2/2</t>
  </si>
  <si>
    <t>BIOGREEN INCINERAÇÃO DE RESIDUOS (REF. COLETO LIXO INFECTANTE) - REF. 06/26</t>
  </si>
  <si>
    <t>20</t>
  </si>
  <si>
    <t>ISS (MUNICIPIO DE SANTA INÊS) - NF 202600000000005 (REF. COMP. 04/2026  - EMITIDA EM 08/06/2026)</t>
  </si>
  <si>
    <t>2673</t>
  </si>
  <si>
    <t>A C R DA SILVA E CIA (SUPERMERCADO CAMINO - REF. COMPRAS QUINZENAIS - DATAS 09/06 E 23/06)</t>
  </si>
  <si>
    <t>NF 10974 / NF 11039</t>
  </si>
  <si>
    <t>1014688</t>
  </si>
  <si>
    <t>BRANDÃO E BRANDÃO (REF. MATERIAL DE LIMPEZA) 1/2)</t>
  </si>
  <si>
    <t>108752</t>
  </si>
  <si>
    <t>SUPERMÉDICA (REF. MEDICAMENTO E INSUMOS) 1/2</t>
  </si>
  <si>
    <t>413481</t>
  </si>
  <si>
    <t>14156</t>
  </si>
  <si>
    <t>ULTRAMEGA (REF. EQUIPO E BISTURI E INSUMOS) 1/2</t>
  </si>
  <si>
    <t>ULTRAMEGA</t>
  </si>
  <si>
    <t>9551</t>
  </si>
  <si>
    <t>ULTRAMEGA (REF. MENDIMANETO E INSUMOS) 1/2</t>
  </si>
  <si>
    <t>303093</t>
  </si>
  <si>
    <t>I F DA SILVA &amp; CIA LTDA (REF. JUN/26 + PAGAMENTO DA PSICOLÓGA E EXTRAS DE ENFERMEIROS PARA VIAGEM)</t>
  </si>
  <si>
    <t>16</t>
  </si>
  <si>
    <t>ORDEM BANCÁRIA (REF. PISO SALARIAL ENFERMAGEM - COMP. JUN/26) 1/2</t>
  </si>
  <si>
    <t>J E ALVES DOS SANTOS - EUREKA LAVANDERIA - (REF. LAVAGEM DE CAMPOS SIMPLES)</t>
  </si>
  <si>
    <t>19</t>
  </si>
  <si>
    <t>CL REFRIGERACAO (REF. CONSERTO/MANUTENÇÃO DOS APARELHOS DE AR CONDICIONADO DA SALA BRANCA)</t>
  </si>
  <si>
    <t>CL REFRIGERACAO</t>
  </si>
  <si>
    <t>123</t>
  </si>
  <si>
    <t>FOLHA DE PAGAMENTO (REF. PISO SALARIAL ENFERMAGEM - COMP. JUN/26)</t>
  </si>
  <si>
    <t>MANOEL FAGNER DA CONCEIÇÃO (REF. REPARO DA CERCA ELÉTRICA)</t>
  </si>
  <si>
    <t>2026000000000 16</t>
  </si>
  <si>
    <t>A. A . DE L. DA SILVA - SOS EXTINTORES (REF. RECARGA DOS EXTINTORES)</t>
  </si>
  <si>
    <t>A. A . DE L. DA SILVA</t>
  </si>
  <si>
    <t>E G BISPO TRANSPORTES (REF. FRETE DE MERCADORIA) - JUN/26</t>
  </si>
  <si>
    <t>PADARIA E PASTELARIA MUNIZ (REF. FORNEC. DE PÃES E BOLOS - JUN/26)</t>
  </si>
  <si>
    <t>PADARIA E PASTELARIA MUNIZ</t>
  </si>
  <si>
    <t>177</t>
  </si>
  <si>
    <t>FARMACÊUTICA (GARDÊNIA) - REF. PRESTAÇÃO DE SERV. FARMACÊUTICOS - JUN/2026)</t>
  </si>
  <si>
    <t>FARMACE (REF. SOLUÇÕES E SORO DE 500ML) 1/2</t>
  </si>
  <si>
    <t>361918</t>
  </si>
  <si>
    <t>NF 514490 / NF 514491 / NF 429030</t>
  </si>
  <si>
    <t>NF 4343 / NF 425948</t>
  </si>
  <si>
    <t>ALECRIM (REF. PAPEL TOALHA) 1/2</t>
  </si>
  <si>
    <t>ALECRIM</t>
  </si>
  <si>
    <t>8362</t>
  </si>
  <si>
    <t>PROTMED (REF. AVENTAL  PARA REUSO, CAPA PARA CATETER E VISEIRA) 1/1</t>
  </si>
  <si>
    <t>PROTMED</t>
  </si>
  <si>
    <t>1672</t>
  </si>
  <si>
    <t>WILSON DE FREITAS SORIANO (BOTECO DO TARCISIO) - REF. QUENTINHAS TÉCNICOS PRIMEIRA QUINZENA DE JUNHO (01/07 A 15/07)</t>
  </si>
  <si>
    <t>48</t>
  </si>
  <si>
    <t>FGTS (06/2026)</t>
  </si>
  <si>
    <t>BIOPAR (REF. CAMPO CIRURGICO) - 1/1</t>
  </si>
  <si>
    <t>13815</t>
  </si>
  <si>
    <t>FARMACE (REF. SORO 100ML, SOLUÇÕES E CLORETO DE SÓDIO 10%) 2/2</t>
  </si>
  <si>
    <t>29</t>
  </si>
  <si>
    <t>INSS (06/2026)</t>
  </si>
  <si>
    <t>MARKETPLACE MARKETPLACE MERCADO LIVRE (NF - D. CARVALHO PNEUS E ACESSORIOS LTDA / NF - MAXIMOLAB COMERCIO DE PRODUTOS / NF - M.A.DA SILVA BUSSOLIN) - TINTA PARA IMPRESSORA, PNEU PARA CARRINHÃO DE SOLUÇÃO E BÉQUER P/ OSMOSE</t>
  </si>
  <si>
    <t>35339 / 1247624 / 46787</t>
  </si>
  <si>
    <t>TINTA PARA IMPRESSORA (R$ 245,00), PNEU PARA CARRINHÃO DE SOLUÇÃO (R$ 113,99) E BÉQUER P/ OSMOSE (R$ 18,05)</t>
  </si>
  <si>
    <t>ALLMED PRONEFRO (REF. LINHA ARTERIAL, LINHA VENOSA E ISOLADOR DE PRESSÃO) 2/3</t>
  </si>
  <si>
    <t>QUALIÁGUA (REF. EXAME FÍSICO QUIMICO) 1/1</t>
  </si>
  <si>
    <t>2964</t>
  </si>
  <si>
    <t>2963</t>
  </si>
  <si>
    <t>PIS (REF. NF 202600000000004 – COMP. MAR/2025 - RECEB. JUNHO/2026)</t>
  </si>
  <si>
    <t>COFINS (REF. NF 202600000000004 – COMP. MAR/2025 - RECEB. JUNHO/2026)</t>
  </si>
  <si>
    <t>BIOCOMPANY (CURATIVOS, CATETER DUPLO LUMEN (15CM E 20CM) E TAMPA PARA CATETER) 2/2</t>
  </si>
  <si>
    <t>BIOCOMPANY (REF. PERMCATCH 28CM) 2/2</t>
  </si>
  <si>
    <t>4268</t>
  </si>
  <si>
    <t>ORDEM BANCÁRIA ESTADO MA - REPASSE FINANCEIRO (NF - 202600000000005 - REF. COMP. ABR/26 - EMITIDA EM 08/06/26)</t>
  </si>
  <si>
    <t>IRPJ (REF. 2º TRIM/2026)</t>
  </si>
  <si>
    <t>CSLL (REF. 2º TRIM/2026)</t>
  </si>
  <si>
    <t>FARMACE (REF. SORO 500ML, SOLUÇÕES E DIPIRONA INJETÁVEL) 1/2</t>
  </si>
  <si>
    <t>362858</t>
  </si>
  <si>
    <t>EQUATORIAL MARANHÃO (REF. ENERGIA ELÉTRICA DA CLÍNICA) - REF. 07/2026</t>
  </si>
  <si>
    <t>HR MANUTENCAO HOSPITALAR E TRAT. DE AGUA (REF. PRESTAÇÃO DE SERVIÇOS ADMINISTRATIVOS (EMANUELLE ARAÚJO / LÍVIA CRISTINA / LAURA LOHANA) - MAI/26)</t>
  </si>
  <si>
    <t>15</t>
  </si>
  <si>
    <t>DISTRIBUIÇÃO DE LUCROS: R$ 8.000,00 (TOTAL DE R$ 50.000,00)</t>
  </si>
  <si>
    <t>DISTRIBUIÇÃO DE LUCROS: R$ 8.000,00 (TOTAL DE R$ 50.000,00) + PRÓ-LABORE COMO SÓCIO ADMINISTRADOR: R$ 1.621,00</t>
  </si>
  <si>
    <t>FABIANA CRISTINA BARROS (REF. PLANTÕES MÉDICOS DE MAI/26 + DISTRIBUIÇÃO DE LUCROS)</t>
  </si>
  <si>
    <t>DISTRIBUIÇÃO DE LUCROS: R$ 8.000,00 (TOTAL DE R$ 50.000,00) + 04 PLANTÕES MÉDICO EM MAI/26 (DIAS: 11/05 - 15/05 - 16/05 - 25/05): R$ 10.000,00</t>
  </si>
  <si>
    <t>PATRICK DULFF LOBO ARAUJO (REF. PLANTÕES MÉDICOS DE MAI/26 + DISTRIBUIÇÃO DE LUCROS)</t>
  </si>
  <si>
    <t>DISTRIBUIÇÃO DE LUCROS: R$ 2.000,00 (TOTAL DE R$ 50.000,00) + 04 PLANTÕES MÉDICO EM MAI/26 (DIAS: 06/05 - 07/05 - 08/05 - 13/05): R$ 10.000,00</t>
  </si>
  <si>
    <t>DISTRIBUIÇÃO DE LUCROS: R$ 4.000,00 (TOTAL DE R$ 50.000,00)</t>
  </si>
  <si>
    <t>MOISES S OLIVEIRA (REF. PLANTÕES MÉDICOS DE MAI/26 + DISTRIBUIÇÃO DE LUCROS)</t>
  </si>
  <si>
    <t>DISTRIBUIÇÃO DE LUCROS: R$ 4.000,00 (TOTAL DE R$ 50.000,00) + 01 PLANTÃO MÉDICO EM MAI/26 (DIA: 14/05): R$ 2.500,00</t>
  </si>
  <si>
    <t>GLADSTONE SANTOS SILVA (REF. PLANTÕES MÉDICOS DE MAI/26 + DISTRIBUIÇÃO DE LUCROS)</t>
  </si>
  <si>
    <t>DISTRIBUIÇÃO DE LUCROS: R$ 4.000,00 (TOTAL DE R$ 50.000,00) + 02 PLANTÕES MÉDICO EM MAI/26 (DIA: 29/05 - 30/05): R$ 5.000,00</t>
  </si>
  <si>
    <t>ANDERSON RAFAEL SALVIANO (REF. PLANTÕES MÉDICOS DE MAI/26 + PRÓ-LABORE COMO SÓCIO ADMINISTRADOR + RESPONSABILIDADE TÉCNICA + DISTRIBUIÇÃO DE LUCROS)</t>
  </si>
  <si>
    <t>DISTRIBUIÇÃO DE LUCROS: R$ 8.000,00 (TOTAL DE R$ 50.000,00) + 04 PLANTÕES MÉDICO EM MAI/26 (DIA: 04/05 - 18/05 - 22/05 - 23/05): R$ 10.000,00 + PRÓ-LABORE COMO SÓCIO ADMINISTRADOR: R$ 1.621,00 + RESPONSABILIDADE TÉCNICA: R$ 1.621,00</t>
  </si>
  <si>
    <t>CASAMATER (MAI/26)</t>
  </si>
  <si>
    <t>74391</t>
  </si>
  <si>
    <t>M MUNIZ (REF. FORNECIMENTO DE LANCHES - JUN/2026)</t>
  </si>
  <si>
    <t>UNICLINICA (REF. EXAMES DE ADMISSIONAIS DE COLABORADORES - MAI/26)</t>
  </si>
  <si>
    <t>2026...925</t>
  </si>
  <si>
    <t>UNICLINICA (REF. EXAMES DE PACIENTES) - MAI/26</t>
  </si>
  <si>
    <t>2026...924</t>
  </si>
  <si>
    <t>M E S XAVIER LTDA (REF. RECARGA DO OXIGÊNIO DA SALA BRANCA)</t>
  </si>
  <si>
    <t>M E S XAVIER LTDA</t>
  </si>
  <si>
    <t>455</t>
  </si>
  <si>
    <t>CLAUDIANE CARDOSO DA SILVA (REF. TRANSPORTE DE PACIENTES AO HTI EM JULHO/26)</t>
  </si>
  <si>
    <t>CLAUDIANE CARDOSO DA SILVA</t>
  </si>
  <si>
    <t>NF AVULSA 2632</t>
  </si>
  <si>
    <t>DR. RENATO (CIRURGIÃO VASCULAR) - S M D MATOS ASSOC. (REF. MAI/26) - 02 procedimento de fistulas</t>
  </si>
  <si>
    <t>CLINICA DR. LUCAS ALBUQUERQUE (DR. LUCAS - REF. PLANTÕES MÉDICOS EM MAI/26)</t>
  </si>
  <si>
    <t>CLINICA DR. LUCAS ALBUQUERQUE</t>
  </si>
  <si>
    <t>2026000000000 38</t>
  </si>
  <si>
    <t>05 PLANTÕES EM MAIO (DIAS: 01/05 - 05/05 - 12/05 - 19/05 - 26/05)</t>
  </si>
  <si>
    <t>MARTINS MACHADO SAUDE E E (DR. HOZANO - REF. PLANTÕES MÉDICOS EM MAI/26)</t>
  </si>
  <si>
    <t>06 PLANTÕES EM MAIO (DIAS: 02/05 - 09/05 - 20/05 - 21/05 - 27/05  - 28/05)</t>
  </si>
  <si>
    <t>LUANA MELO VIEGAS (REF. ASSSESORIA ADMINISTRATIVA - REF. MAI/26)</t>
  </si>
  <si>
    <t>DR. WILSON (CIRURGIÃO VASCULAR) - COELHO E OLIVEIRA SERV. MÉDICOS (REF. MAI/26) - 04 implante de perm e 01 retirada de perm</t>
  </si>
  <si>
    <t>3356</t>
  </si>
  <si>
    <t>LINEKER P DE ARAUJO LTDA - MASTER GRÁFICA (REF. BLOCOS DE RECEITUÁRIO)</t>
  </si>
  <si>
    <t>LINEKER P DE ARAUJO LTDA</t>
  </si>
  <si>
    <t>202600000000 124</t>
  </si>
  <si>
    <t>HR MANUTENCAO HOSPITALAR E TRAT. DE AGUA (REF. PREST. DE SERV. HUGO RAMON) - MAI/26</t>
  </si>
  <si>
    <t>WILSON DE FREITAS SORIANO (BOTECO DO TARCISIO) - REF. QUENTINHAS TÉCNICOS SEGUNDA QUINZENA DE JULHO (16/07 A 31/07)</t>
  </si>
  <si>
    <t>49</t>
  </si>
  <si>
    <t>DIÁLISE COMÉRCIO (REF. PEROXIDE 50%, FITA INDICADORA DE ÁCIDO PERACÉTICO E CAPILAR 20 H) 2/2</t>
  </si>
  <si>
    <t>DIÁLISE COMÉRCIO (REF. CAPILAR B-20HF) - 1/2</t>
  </si>
  <si>
    <t>1036</t>
  </si>
  <si>
    <t>DIÁLISE COMÉRCIO (REF. PEROXIDE 50%, NDICADOR DE ÁCIDO PERACÉTICO E ISOLLADOR DE PRESSÃO) 1/2</t>
  </si>
  <si>
    <t>1019</t>
  </si>
  <si>
    <t>FARMACE (REF. SORO 500ML, SOLUÇÕES E CLORETO DE SÓDIO 10%) 2/2</t>
  </si>
  <si>
    <t>VENC. NA NOTA FISCAL DIA 02/08/2026</t>
  </si>
  <si>
    <t>ALLMED PRONEFRO (REF. LINHA ARTERIAL, LINHA VENOSA E CONJUNTO) 1/3</t>
  </si>
  <si>
    <t>ALLMED PRONEFRO (REF. LINHA DUPLA, LINHA ARTERIAL, LINHA VENOSA E ISOLADOR DE PRESSÃO) 2/3</t>
  </si>
  <si>
    <t>REMORA HOSPITALAR (REF. MATERIAIS E MEDICAMENTOS) 3/3</t>
  </si>
  <si>
    <t>NIPRO (REF. CONJUNTO REGULADOR DE PRESSÃO) 1/2</t>
  </si>
  <si>
    <t>189811</t>
  </si>
  <si>
    <t>ALECRIM (REF. PAPEL TOALHA) 2/2</t>
  </si>
  <si>
    <t>PAGAMENTO DE FÉRIAS AGO/2026 (REF. A COLABORADORA MARIA SIMONE SILVA ARAUJO)</t>
  </si>
  <si>
    <t>PAGAMENTO DE FÉRIAS AGO/2026</t>
  </si>
  <si>
    <t>PAGAMENTO DE FÉRIAS AGO/2026 (REF. AO COLABORADOR JOSÉ AUGUSTO SILVA NASCIMENTO)</t>
  </si>
  <si>
    <t>MARKETPLACE MARKETPLACE MERCADO LIVRE (??????)</t>
  </si>
  <si>
    <t>NIPRO MEDICAL (REF. CAPILAR 17H, 19H E 21H) 2/2</t>
  </si>
  <si>
    <t>37</t>
  </si>
  <si>
    <t>PIX - REJEITADO</t>
  </si>
  <si>
    <t>PIX REJEITADO</t>
  </si>
  <si>
    <t>NIPRO MEDICAL (REF. AGULHA 16G) - 2/2</t>
  </si>
  <si>
    <t>BIOCOMPANY (REF. CATETER DE 15CM E 28CM, PERMCATCH 28CM E CURATIVOS) 1/2</t>
  </si>
  <si>
    <t>80117</t>
  </si>
  <si>
    <t>FOLHA DE PAGAMENTO (REF. PAGAMENTO DE SALÁRIO - COMP. 07/2026)</t>
  </si>
  <si>
    <t>A POTIGUAR (REF. VENTILADOR PARA COPA)</t>
  </si>
  <si>
    <t>A POTIGUAR</t>
  </si>
  <si>
    <t>198749</t>
  </si>
  <si>
    <t>RICEK (REF. PAPEL TOALHA, HIGIÊNICO E SACO DE LIXO COMUM) 1/2</t>
  </si>
  <si>
    <t>RICEK</t>
  </si>
  <si>
    <t>21531</t>
  </si>
  <si>
    <t>BANCO VOLKSWAGEN (NF - CAVEPEL - REF. PRESTAÇÃO CARRO) 12/48</t>
  </si>
  <si>
    <t>1042864</t>
  </si>
  <si>
    <t>14384</t>
  </si>
  <si>
    <t>NIPRO (REF. CAPILAR 21H, AGULHA 16G E FILTRO DE ENDOTOXINA) 1/2</t>
  </si>
  <si>
    <t>25067</t>
  </si>
  <si>
    <t>ULTRAMEGA (REF. MENDIMANETO E INSUMOS) 2/2</t>
  </si>
  <si>
    <t>ULTRAMEGA (REF. EQUIPO E BISTURI E INSUMOS) 2/2</t>
  </si>
  <si>
    <t>BIOGREEN INCINERAÇÃO DE RESIDUOS (REF. COLETO LIXO INFECTANTE) - REF. 07/26</t>
  </si>
  <si>
    <t>32</t>
  </si>
  <si>
    <t>ORDEM BANCÁRIA (REF. PISO SALARIAL ENFERMAGEM - COMP. JUL/26)</t>
  </si>
  <si>
    <t>ISS (MUNICIPIO DE SANTA INÊS) - NF 202600000000006 (REF. COMP. 05/2026  - EMITIDA EM 01/07/2026)</t>
  </si>
  <si>
    <t>J. V. L. NOBRE - SÓ GÁS (REF. 02 GÁS DE COZINHA PARA COPA EM JULHO E AGOSTO/26)</t>
  </si>
  <si>
    <t>5891</t>
  </si>
  <si>
    <t>SUPERMÉDICA (REF. MEDICAMENTO, INSUMOS E SACOS DE LIXO HOSPITALAR) 1/2</t>
  </si>
  <si>
    <t>420552</t>
  </si>
  <si>
    <t>ULTRAMEGA (REF. DIPIRONA INJETÁVEL) 1/1</t>
  </si>
  <si>
    <t>308236</t>
  </si>
  <si>
    <t>ULTRAMEGA (REF. LUVAS E MASCARAS) 1/1</t>
  </si>
  <si>
    <t>110850</t>
  </si>
  <si>
    <t>FOLHA DE PAGAMENTO (REF. PISO SALARIAL ENFERMAGEM - COMP. JUL/26)</t>
  </si>
  <si>
    <t>A C R DA SILVA E CIA (SUPERMERCADO CAMINO - REF. COMPRAS QUINZENAIS DE JULHO - DATAS 09/07 E 22/07)</t>
  </si>
  <si>
    <t>NF 11113 / NF 11163</t>
  </si>
  <si>
    <t>E M GONÇALVES PADARIA (REF. FORNEC. DE PÃES E BOLOS - JUL/26) - FAVORECIDO: EDILBERTO M. GONÇALVES</t>
  </si>
  <si>
    <t>179</t>
  </si>
  <si>
    <t>FARMACÊUTICA (GARDÊNIA) - REF. PRESTAÇÃO DE SERV. FARMACÊUTICOS - JUL/2026)</t>
  </si>
  <si>
    <t>I F DA SILVA &amp; CIA LTDA (REF. JUL/26)</t>
  </si>
  <si>
    <t>FARMACE (REF. SOLUÇÕES E SORO DE 500ML) 2/2</t>
  </si>
  <si>
    <t>2711</t>
  </si>
  <si>
    <t>FARMACE (REF. SORO 500ML E SOLUÇÕES ) 1/2</t>
  </si>
  <si>
    <t>363554</t>
  </si>
  <si>
    <t>VERIFICAR NF</t>
  </si>
  <si>
    <t>ERONLIMP (REF. MAT. DE LIMPEZA) 1/1</t>
  </si>
  <si>
    <t>2715</t>
  </si>
  <si>
    <t>NF 528632 / NF 528633 / NF 434804</t>
  </si>
  <si>
    <t>NIPRO MEDICAL (REF. CAPILAR 19H E AGULHA 17G) 1/2</t>
  </si>
  <si>
    <t>190383</t>
  </si>
  <si>
    <t>WILSON DE FREITAS SORIANO (BOTECO DO TARCISIO) - REF. QUENTINHAS TÉCNICOS PRIMEIRA QUINZENA DE AGOSTO (01/08 A 15/08)</t>
  </si>
  <si>
    <t>54</t>
  </si>
  <si>
    <t>FGTS (07/2026)</t>
  </si>
  <si>
    <t>INSS (07/2026)</t>
  </si>
  <si>
    <t>45</t>
  </si>
  <si>
    <t>TOKIO MARINE SEGURADORA S.A. (REF. SEGURO DO CARRO DA CLINICA)</t>
  </si>
  <si>
    <t>TOKIO MARINE SEGURADORA S.A</t>
  </si>
  <si>
    <t>3321</t>
  </si>
  <si>
    <t>FGTS RESCISÓRIO - JOSÉ FRANCISCO (COMPETÊNCIA 08/2026)</t>
  </si>
  <si>
    <t>FGTS RESCISÓRIO</t>
  </si>
  <si>
    <t>ALLMED PRONEFRO (REF. LINHA ARTERIAL, LINHA VENOSA E ISOLADOR DE PRESSÃO) 3/3</t>
  </si>
  <si>
    <t>RESCISÃO DE CONTRATO (REF. JOSÉ FRANCISO)</t>
  </si>
  <si>
    <t>PIS (REF. NF 202600000000005 – COMP. ABR/2026 - RECEB. JULHO/2026)</t>
  </si>
  <si>
    <t>COFINS (REF. NF 202600000000005 – COMP. ABR/2026 - RECEB. JULHO/2026)</t>
  </si>
  <si>
    <t>ORDEM BANCÁRIA ESTADO MA - REPASSE FINANCEIRO (NF - 202600000000007 - REF. COMP. JUN/26 - EMITIDA EM 03/08/26) - 1/2</t>
  </si>
  <si>
    <t>ORDEM BANCÁRIA ESTADO MA - REPASSE FINANCEIRO (NF - 202600000000007 - REF. COMP. JUN/26 - EMITIDA EM 03/08/26) - 2/2</t>
  </si>
  <si>
    <t>FABIANA CRISTINA BARROS (REF. PLANTÕES MÉDICOS DE JUN/26 + DISTRIBUIÇÃO DE LUCROS)</t>
  </si>
  <si>
    <t>PATRICK DULFF LOBO ARAUJO (REF. PLANTÕES MÉDICOS DE JUN/26 + DISTRIBUIÇÃO DE LUCROS)</t>
  </si>
  <si>
    <t>MOISES S OLIVEIRA (REF. PLANTÕES MÉDICOS DE JUN/26 + DISTRIBUIÇÃO DE LUCROS)</t>
  </si>
  <si>
    <t>GLADSTONE SANTOS SILVA (REF. PLANTÕES MÉDICOS DE JUN/26 + DISTRIBUIÇÃO DE LUCROS)</t>
  </si>
  <si>
    <t>ANDERSON RAFAEL SALVIANO (REF. PLANTÕES MÉDICOS DE JUN/26 + PRÓ-LABORE COMO SÓCIO ADMINISTRADOR + RESPONSABILIDADE TÉCNICA + DISTRIBUIÇÃO DE LUCROS)</t>
  </si>
  <si>
    <t>ORDEM BANCÁRIA ESTADO MA - REPASSE FINANCEIRO (NF - 202600000000006 - REF. COMP. MAI/26 - EMITIDA EM 01/07/2026) - 1/2</t>
  </si>
  <si>
    <t>ORDEM BANCÁRIA ESTADO MA - REPASSE FINANCEIRO (NF - 202600000000006 - REF. COMP. MAI/26 - EMITIDA EM 01/07/2026) - 2/2</t>
  </si>
  <si>
    <t>RICEK (REF. PAPEL TOALHA, HIGIÊNICO E SACO DE LIXO COMUM) 2/2</t>
  </si>
  <si>
    <t>APLICAÇÃO - CDB DI</t>
  </si>
  <si>
    <t>NIPRO (REF. COMPRA DE 04 MÁQUINAS DE HD) - PARCELA 11/24</t>
  </si>
  <si>
    <t>NIPRO (REF. COMPRA DE 21 MÁQUINAS DE HD) - PARCELA 11/24</t>
  </si>
  <si>
    <t>FARMACE (REF. SORO 500ML, SOLUÇÕES E DIPIRONA INJETÁVEL) 2/2</t>
  </si>
  <si>
    <t>DIÁLISE COMÉRCIO (REF. PEROXIDE 50%, INDICADOR DE ÁCIDO PERACÉTICO E ISOLADOR DE PRESSÃO) 2/2</t>
  </si>
  <si>
    <t>DIÁLISE COMÉRCIO (REF. CAPILAR B-20HF) - 2/2</t>
  </si>
  <si>
    <t>89531</t>
  </si>
  <si>
    <t>ALLMED PRONEFRO (REF. LINHA ARTERIAL, LINHA VENOSA E CONJUNTO) 2/3</t>
  </si>
  <si>
    <t>DIÁLISE COMÉRCIO (REF. CAPILAR 2.0 B20-HF DORA) 1/1</t>
  </si>
  <si>
    <t>1171</t>
  </si>
  <si>
    <t>EQUATORIAL MARANHÃO (REF. ENERGIA ELÉTRICA DA CLÍNICA) - REF. 08/2026</t>
  </si>
  <si>
    <t>ALLMED PRONEFRO (REF. LINHA DUPLA, LINHA ARTERIAL, LINHA VENOSA E ISOLADOR DE PRESSÃO) 3/3</t>
  </si>
  <si>
    <t>NIPRO (REF. CONJUNTO REGULADOR DE PRESSÃO) 2/2</t>
  </si>
  <si>
    <t>DIÁLISE COMÉRCIO (REF. ÁCIDO CÍTRICO, PEROXIDE, INDICADOR DE ÁCIDO PERACETICO E ISOLADOR DE PRESSÃO) 1/2</t>
  </si>
  <si>
    <t>1170</t>
  </si>
  <si>
    <t>FARMACE (REF. SOLUÇÕES ÁCIDAS E BÁSICAS) 1/2</t>
  </si>
  <si>
    <t>364573</t>
  </si>
  <si>
    <t>74561</t>
  </si>
  <si>
    <t>UNICLINICA (REF. EXAMES DE PACIENTES) - JUN/26</t>
  </si>
  <si>
    <t>20260000000 1061</t>
  </si>
  <si>
    <t>FOLHA DE PAGAMENTO (REF. FÉRIAS DE SET/26 - MURILO E LOHANNY)</t>
  </si>
  <si>
    <t>DR. WILSON (CIRURGIÃO VASCULAR) - COELHO E OLIVEIRA SERV. MÉDICOS - JUN/26 - Ref. 03 implante de perm.</t>
  </si>
  <si>
    <t>3379</t>
  </si>
  <si>
    <t>HR MANUTENÇÃO HOSPITALAR E TRAT. DE ÁGUA ( REF. PREST. DE SERV. HUGO RAMON) - JUN/26</t>
  </si>
  <si>
    <t>14</t>
  </si>
  <si>
    <t>ENCAPADORA E VULCANIZADOR (REF. PRESTAÇÃO DE SERVIÇOS ADMINISTRATIVOS (EMANUELLE ARAÚJO / LÍVIA CRISTINA / LAURA LOHANA) - JUN/26)</t>
  </si>
  <si>
    <t>ENCAPADORA E VULCANIZADOR</t>
  </si>
  <si>
    <t>LUANA MELO VIEGAS (REF. ASSSESORIA ADMINISTRATIVA - REF. JUN/26)</t>
  </si>
  <si>
    <t>CLINICA DR. LUCAS ALBUQUERQUE (DR. LUCAS - REF. PLANTÕES MÉDICOS EM JUN/26)</t>
  </si>
  <si>
    <t>2026000000000 40</t>
  </si>
  <si>
    <t>05 PLANTÕES EM JUNHO/26 (DIAS: 07/06 - 14/06 - 20/06 - 28/06 - 30/06)</t>
  </si>
  <si>
    <t>MARTINS MACHADO SAUDE E E (DR. HOZANO - REF. PLANTÕES MÉDICOS EM JUN/26)</t>
  </si>
  <si>
    <t>2026000000000 15</t>
  </si>
  <si>
    <t>04 PLANTÕES EM JUNHO/26  (DIAS: 03/06 - 13/06 - 18/06 - 25/06)</t>
  </si>
  <si>
    <t>J PAULINO DA SILVA - REF. A MANUTENÇÃO ELÉTRICA E REVISÃO ELÉTRICA E MECÂNICA,TROCA DE ÓLEO E FILTROS</t>
  </si>
  <si>
    <t>2026000000000 36</t>
  </si>
  <si>
    <t>BIOPAR CONFECÇÕES (REF. CAMPO CIRURGICO FENESTRADO) - FAVORECIDO: BANCO SOFISA S/A.1/1</t>
  </si>
  <si>
    <t>BIOPAR CONFECÇÕES</t>
  </si>
  <si>
    <t>13929</t>
  </si>
  <si>
    <t>CLAUDIANE CARDOSO DA SILVA (REF. TRANSPORTE DE PACIENTES AO HTI EM AGOSTO/26)</t>
  </si>
  <si>
    <t>NF AVULSA 2711</t>
  </si>
  <si>
    <t>FOLHA DE PAGAMENTO (REF. PAGAMENTO DE SALÁRIO - COMP. 08/2026)</t>
  </si>
  <si>
    <t>59</t>
  </si>
  <si>
    <t>NIPRO MEDICAL (REF. CAPILAR 21H, CAPILAR 19H E FILTRO DE ENDOTOXINA) 1/2</t>
  </si>
  <si>
    <t>25924</t>
  </si>
  <si>
    <t>VENC. NA NOTA ERA DIA 03/09 - BOLETO NÃO CONSTAVA NO DDA - PRORROGADO PARA DIA 04/09</t>
  </si>
  <si>
    <t>80615</t>
  </si>
  <si>
    <t>NIPRO MEDICAL (REF. AGULHA 16G) 1/2</t>
  </si>
  <si>
    <t>191321</t>
  </si>
  <si>
    <t>4931</t>
  </si>
  <si>
    <t>FABIANA CRISTINA BARROS (REF. PLANTÕES MÉDICOS DE JUL/26 + DISTRIBUIÇÃO DE LUCROS)</t>
  </si>
  <si>
    <t>PATRICK DULFF LOBO ARAUJO (REF. PLANTÕES MÉDICOS DE JUL/26 + DISTRIBUIÇÃO DE LUCROS)</t>
  </si>
  <si>
    <t>MOISES S OLIVEIRA (REF. PLANTÕES MÉDICOS DE JUL/26 + DISTRIBUIÇÃO DE LUCROS)</t>
  </si>
  <si>
    <t>GLADSTONE SANTOS SILVA (REF. PLANTÕES MÉDICOS DE JUL/26 + DISTRIBUIÇÃO DE LUCROS)</t>
  </si>
  <si>
    <t>ANDERSON RAFAEL SALVIANO (REF. PLANTÕES MÉDICOS DE JUL/26 + PRÓ-LABORE COMO SÓCIO ADMINISTRADOR + RESPONSABILIDADE TÉCNICA + DISTRIBUIÇÃO DE LUCROS)</t>
  </si>
  <si>
    <t>EQUATORIAL MARANHÃO (REF. CASA DE APOIO) - REF. 07/2026</t>
  </si>
  <si>
    <t>EQUATORIAL MARANHÃO (REF. CASA DE APOIO) - REF. 08/2026</t>
  </si>
  <si>
    <t>ERONLIMP (REF. SABONETEIRAS E RODOS)</t>
  </si>
  <si>
    <t>2918</t>
  </si>
  <si>
    <t>EXCELLENCE DISTRIBUIDORA (REF. INSUMOS E HEPARINAS) 1/3</t>
  </si>
  <si>
    <t>EXCELLENCE DISTRIBUIDORA</t>
  </si>
  <si>
    <t>1199</t>
  </si>
  <si>
    <t>50</t>
  </si>
  <si>
    <t>NIPRO MEDICAL (REF. CAPILAR 21H, AGULHA 16G E FILTRO DE ENDOTOXINA) 2/2</t>
  </si>
  <si>
    <t>BANCO VOLKSWAGEN (NF - CAVEPEL - REF. PRESTAÇÃO CARRO) 13/48</t>
  </si>
  <si>
    <t>21612</t>
  </si>
  <si>
    <t>CATEGORIA</t>
  </si>
  <si>
    <t>SUBCATEGORIA</t>
  </si>
  <si>
    <t>VALOR</t>
  </si>
  <si>
    <t>DETALHE DO COMPONENTE</t>
  </si>
  <si>
    <t>NATUREZA</t>
  </si>
  <si>
    <t>FORNECEDOR</t>
  </si>
  <si>
    <t>ORIGEM DA CLASSIFICAÇÃO</t>
  </si>
  <si>
    <t>BAN-00001</t>
  </si>
  <si>
    <t>ENTRADAS</t>
  </si>
  <si>
    <t>Resgate de Aplicações Financeiras (CDI BB)</t>
  </si>
  <si>
    <t>AUTOMÁTICO</t>
  </si>
  <si>
    <t>BAN-00002</t>
  </si>
  <si>
    <t>BAN-00003</t>
  </si>
  <si>
    <t>BAN-00004</t>
  </si>
  <si>
    <t>DESPESAS COM MATERIAIS PARA HEMODIÁLISE E DEMAIS CUSTOS</t>
  </si>
  <si>
    <t>Agulhas, Seringas, Máscaras, Luvas, Equipo e Med. Div.</t>
  </si>
  <si>
    <t>MAPEADO</t>
  </si>
  <si>
    <t>BAN-00005</t>
  </si>
  <si>
    <t>Linha Arterial e Venosa</t>
  </si>
  <si>
    <t>BAN-00006</t>
  </si>
  <si>
    <t>BAN-00007</t>
  </si>
  <si>
    <t>CDL e Perm-cath</t>
  </si>
  <si>
    <t>BAN-00008</t>
  </si>
  <si>
    <t>Peroxide</t>
  </si>
  <si>
    <t>DIALISE COMÉRCIO (REF. ÁCIDO PERACETICO  5%) 2/2</t>
  </si>
  <si>
    <t>DIALISE COMÉRCIO (REF. ISOLADOR DE PRESSÃO) 2/2</t>
  </si>
  <si>
    <t>BAN-00009</t>
  </si>
  <si>
    <t>DIÁLISE COMÉRCIO (REF. ÁCIDO PERACETICO) 1/2</t>
  </si>
  <si>
    <t>DIÁLISE COMÉRCIO (REF. ISOLADOR DE PRESSÃO) 1/2</t>
  </si>
  <si>
    <t>BAN-00010</t>
  </si>
  <si>
    <t>BAN-00011</t>
  </si>
  <si>
    <t>BAN-00012</t>
  </si>
  <si>
    <t>BAN-00013</t>
  </si>
  <si>
    <t>DESPESAS ADMINISTRATIVAS</t>
  </si>
  <si>
    <t>Material de Limpeza</t>
  </si>
  <si>
    <t>BAN-00014</t>
  </si>
  <si>
    <t>Contador</t>
  </si>
  <si>
    <t>BAN-00015</t>
  </si>
  <si>
    <t>Gás de cozinha para copa</t>
  </si>
  <si>
    <t>BAN-00016</t>
  </si>
  <si>
    <t>Materiais de Construção, Elétrico e de Escritório</t>
  </si>
  <si>
    <t>BAN-00017</t>
  </si>
  <si>
    <t>Repasse Piso Salarial enfermagem</t>
  </si>
  <si>
    <t>BAN-00018</t>
  </si>
  <si>
    <t>BAN-00019</t>
  </si>
  <si>
    <t>Medicações (Heparina, Taurolock)</t>
  </si>
  <si>
    <t>BAN-00020</t>
  </si>
  <si>
    <t>Energia Elétrica (Clínica + Casa de Apoio)</t>
  </si>
  <si>
    <t>BAN-00021</t>
  </si>
  <si>
    <t>Aluguel casa de apoio</t>
  </si>
  <si>
    <t>BAN-00022</t>
  </si>
  <si>
    <t>BAN-00023</t>
  </si>
  <si>
    <t>LOGÍSTICA E FROTA</t>
  </si>
  <si>
    <t>Manutenção de Veículo</t>
  </si>
  <si>
    <t>BAN-00024</t>
  </si>
  <si>
    <t>Taxas e Tarifas</t>
  </si>
  <si>
    <t>BAN-00025</t>
  </si>
  <si>
    <t>BAN-00026</t>
  </si>
  <si>
    <t>BAN-00027</t>
  </si>
  <si>
    <t>BAN-00028</t>
  </si>
  <si>
    <t>BAN-00029</t>
  </si>
  <si>
    <t>Supermercado</t>
  </si>
  <si>
    <t>BAN-00030</t>
  </si>
  <si>
    <t>PENDENTE</t>
  </si>
  <si>
    <t>BAN-00031</t>
  </si>
  <si>
    <t>BAN-00032</t>
  </si>
  <si>
    <t>BAN-00033</t>
  </si>
  <si>
    <t>BAN-00034</t>
  </si>
  <si>
    <t>BAN-00035</t>
  </si>
  <si>
    <t>BAN-00036</t>
  </si>
  <si>
    <t>DESPESAS COM SALÁRIOS E BENEFÍCIOS</t>
  </si>
  <si>
    <t>EPIs e Fardamentos</t>
  </si>
  <si>
    <t>FERCASTRO (REF. BOTAS PARA COLABORADORES)</t>
  </si>
  <si>
    <t>MANUTENÇÃO E INFRAESTRUTURA</t>
  </si>
  <si>
    <t>Manutenção - Máquinas HD, Gerador, Osmose</t>
  </si>
  <si>
    <t>FERCASTRO (REF. COLA DE SILICONE E PARAFUSOS)</t>
  </si>
  <si>
    <t>BAN-00037</t>
  </si>
  <si>
    <t>Oxigênio</t>
  </si>
  <si>
    <t>BAN-00038</t>
  </si>
  <si>
    <t>Capilar, Filtros, Agulhas</t>
  </si>
  <si>
    <t>BAN-00039</t>
  </si>
  <si>
    <t>BAN-00040</t>
  </si>
  <si>
    <t>Suporte Informatica - Hardware, Internet, Sistemas e Câmeras</t>
  </si>
  <si>
    <t>BAN-00041</t>
  </si>
  <si>
    <t>BAN-00042</t>
  </si>
  <si>
    <t>BAN-00043</t>
  </si>
  <si>
    <t>Folha de Pagamento (Repasse de piso da Enfermagem)</t>
  </si>
  <si>
    <t>BAN-00044</t>
  </si>
  <si>
    <t>BAN-00045</t>
  </si>
  <si>
    <t>BAN-00046</t>
  </si>
  <si>
    <t>BAN-00047</t>
  </si>
  <si>
    <t>DESPESAS COM IMPOSTOS</t>
  </si>
  <si>
    <t>ISS (MUNICIPIO DE SANTA INÊS) - NF 04 (REF. COMP. 10/2025)</t>
  </si>
  <si>
    <t>BAN-00048</t>
  </si>
  <si>
    <t>BAN-00049</t>
  </si>
  <si>
    <t>BAN-00050</t>
  </si>
  <si>
    <t>BAN-00051</t>
  </si>
  <si>
    <t>ISS (MUNICIPIO DE SANTA INÊS) - NF 05 (REF. COMP. 11/2025)</t>
  </si>
  <si>
    <t>BAN-00052</t>
  </si>
  <si>
    <t>BAN-00053</t>
  </si>
  <si>
    <t>BAN-00054</t>
  </si>
  <si>
    <t>BAN-00055</t>
  </si>
  <si>
    <t>BAN-00056</t>
  </si>
  <si>
    <t>Coleta de Lixo</t>
  </si>
  <si>
    <t>BAN-00057</t>
  </si>
  <si>
    <t>Combustível (Gasolina)</t>
  </si>
  <si>
    <t>BAN-00058</t>
  </si>
  <si>
    <t>Solução e Soro para HD</t>
  </si>
  <si>
    <t>BAN-00059</t>
  </si>
  <si>
    <t>BAN-00060</t>
  </si>
  <si>
    <t>BAN-00061</t>
  </si>
  <si>
    <t>BAN-00062</t>
  </si>
  <si>
    <t>BAN-00063</t>
  </si>
  <si>
    <t>BAN-00064</t>
  </si>
  <si>
    <t>Frete com mercadorias</t>
  </si>
  <si>
    <t>BAN-00065</t>
  </si>
  <si>
    <t>Panificadora</t>
  </si>
  <si>
    <t>BAN-00066</t>
  </si>
  <si>
    <t>DESPESAS COM PRESTADORES DE SERVIÇOS EM SAÚDE - TERCEIROS</t>
  </si>
  <si>
    <t>Serviço de RT de enfermagem - Ferronefro</t>
  </si>
  <si>
    <t>I F DA SILVA &amp; CIA LTDA (REF. DEZ/2025) - RT DE ENFERMAGEM</t>
  </si>
  <si>
    <t>Serviço de correção de ficha de sala - Ferronefro</t>
  </si>
  <si>
    <t>I F DA SILVA &amp; CIA LTDA (REF. DEZ/2025) - CORREÇÃO DE FICHA DE SALA</t>
  </si>
  <si>
    <t>Serviço de enfermagem - Ferronefro</t>
  </si>
  <si>
    <t>I F DA SILVA &amp; CIA LTDA (REF. DEZ/2025) - SERVIÇO DE ENFERMAGEM</t>
  </si>
  <si>
    <t>Pagamento Nutricionista - Elaine</t>
  </si>
  <si>
    <t>I F DA SILVA &amp; CIA LTDA (REF. DEZ/2025) - NUTRICIONISTA</t>
  </si>
  <si>
    <t>BAN-00067</t>
  </si>
  <si>
    <t>CasaMater - Confecção Fístula</t>
  </si>
  <si>
    <t>BAN-00068</t>
  </si>
  <si>
    <t>BAN-00069</t>
  </si>
  <si>
    <t>BAN-00070</t>
  </si>
  <si>
    <t>BAN-00071</t>
  </si>
  <si>
    <t>BAN-00072</t>
  </si>
  <si>
    <t>BAN-00073</t>
  </si>
  <si>
    <t>BAN-00074</t>
  </si>
  <si>
    <t>BAN-00075</t>
  </si>
  <si>
    <t>BAN-00076</t>
  </si>
  <si>
    <t>BAN-00077</t>
  </si>
  <si>
    <t>BAN-00078</t>
  </si>
  <si>
    <t>BAN-00079</t>
  </si>
  <si>
    <t>BAN-00080</t>
  </si>
  <si>
    <t>BAN-00081</t>
  </si>
  <si>
    <t>BAN-00082</t>
  </si>
  <si>
    <t>Transporte de pacientes e viagens para HTI</t>
  </si>
  <si>
    <t>BAN-00083</t>
  </si>
  <si>
    <t>BAN-00084</t>
  </si>
  <si>
    <t>BAN-00085</t>
  </si>
  <si>
    <t>BAN-00086</t>
  </si>
  <si>
    <t>BAN-00087</t>
  </si>
  <si>
    <t>BAN-00088</t>
  </si>
  <si>
    <t>BAN-00089</t>
  </si>
  <si>
    <t>BAN-00090</t>
  </si>
  <si>
    <t>BAN-00091</t>
  </si>
  <si>
    <t>BAN-00092</t>
  </si>
  <si>
    <t>BAN-00093</t>
  </si>
  <si>
    <t>BAN-00094</t>
  </si>
  <si>
    <t>AQUISIÇÃO DE BENS E EQUIPAMENTOS</t>
  </si>
  <si>
    <t>REVISAR</t>
  </si>
  <si>
    <t>BAN-00095</t>
  </si>
  <si>
    <t>BAN-00096</t>
  </si>
  <si>
    <t>BAN-00097</t>
  </si>
  <si>
    <t>BAN-00098</t>
  </si>
  <si>
    <t>BAN-00099</t>
  </si>
  <si>
    <t>BAN-00100</t>
  </si>
  <si>
    <t>BAN-00101</t>
  </si>
  <si>
    <t>BAN-00102</t>
  </si>
  <si>
    <t>BAN-00103</t>
  </si>
  <si>
    <t>BAN-00104</t>
  </si>
  <si>
    <t>IRPJ (Trimestral)</t>
  </si>
  <si>
    <t>BAN-00105</t>
  </si>
  <si>
    <t>CSLL (Trimestral)</t>
  </si>
  <si>
    <t>BAN-00106</t>
  </si>
  <si>
    <t>Qualiagua - Analise Água</t>
  </si>
  <si>
    <t>BAN-00107</t>
  </si>
  <si>
    <t>BAN-00108</t>
  </si>
  <si>
    <t>Aquisição de Máquinas de Hemodiálise</t>
  </si>
  <si>
    <t>BAN-00109</t>
  </si>
  <si>
    <t>BAN-00110</t>
  </si>
  <si>
    <t>BAN-00111</t>
  </si>
  <si>
    <t>BAN-00112</t>
  </si>
  <si>
    <t>BAN-00113</t>
  </si>
  <si>
    <t>Folha de Pagamento de Funcionários</t>
  </si>
  <si>
    <t>BAN-00114</t>
  </si>
  <si>
    <t>Saldo anterior em Conta Corrente</t>
  </si>
  <si>
    <t>BAN-00115</t>
  </si>
  <si>
    <t>BAN-00116</t>
  </si>
  <si>
    <t>BAN-00117</t>
  </si>
  <si>
    <t>Equipamentos de Informática (Computadores)</t>
  </si>
  <si>
    <t>BAN-00118</t>
  </si>
  <si>
    <t>BAN-00119</t>
  </si>
  <si>
    <t>BAN-00120</t>
  </si>
  <si>
    <t>BAN-00121</t>
  </si>
  <si>
    <t>BAN-00122</t>
  </si>
  <si>
    <t>BAN-00123</t>
  </si>
  <si>
    <t>BAN-00124</t>
  </si>
  <si>
    <t>BAN-00125</t>
  </si>
  <si>
    <t>Manutenção Predial (Reformas e Reparos)</t>
  </si>
  <si>
    <t>BAN-00126</t>
  </si>
  <si>
    <t>BAN-00127</t>
  </si>
  <si>
    <t>BAN-00128</t>
  </si>
  <si>
    <t>BAN-00129</t>
  </si>
  <si>
    <t>BAN-00130</t>
  </si>
  <si>
    <t>BAN-00131</t>
  </si>
  <si>
    <t>BAN-00132</t>
  </si>
  <si>
    <t>Hipoclorito</t>
  </si>
  <si>
    <t>BAN-00133</t>
  </si>
  <si>
    <t>BAN-00134</t>
  </si>
  <si>
    <t>BAN-00135</t>
  </si>
  <si>
    <t>BAN-00136</t>
  </si>
  <si>
    <t>BAN-00137</t>
  </si>
  <si>
    <t>BAN-00138</t>
  </si>
  <si>
    <t>BAN-00139</t>
  </si>
  <si>
    <t>BAN-00140</t>
  </si>
  <si>
    <t>BAN-00141</t>
  </si>
  <si>
    <t>BAN-00142</t>
  </si>
  <si>
    <t>BAN-00143</t>
  </si>
  <si>
    <t>BAN-00144</t>
  </si>
  <si>
    <t>Solução para Desinfecção Poltronas - BELL FOAM</t>
  </si>
  <si>
    <t>BAN-00145</t>
  </si>
  <si>
    <t>BAN-00146</t>
  </si>
  <si>
    <t>BAN-00147</t>
  </si>
  <si>
    <t>BAN-00148</t>
  </si>
  <si>
    <t>BAN-00149</t>
  </si>
  <si>
    <t>Financiamento do veículo</t>
  </si>
  <si>
    <t>BAN-00150</t>
  </si>
  <si>
    <t>BAN-00151</t>
  </si>
  <si>
    <t>BAN-00152</t>
  </si>
  <si>
    <t>BAN-00153</t>
  </si>
  <si>
    <t>BAN-00154</t>
  </si>
  <si>
    <t>NIPRO MEDICAL (REF. AGULHAS 16G E FILTROS) 1/2</t>
  </si>
  <si>
    <t>BAN-00155</t>
  </si>
  <si>
    <t>BAN-00156</t>
  </si>
  <si>
    <t>BAN-00157</t>
  </si>
  <si>
    <t>BAN-00158</t>
  </si>
  <si>
    <t>BAN-00159</t>
  </si>
  <si>
    <t>BAN-00160</t>
  </si>
  <si>
    <t>BAN-00161</t>
  </si>
  <si>
    <t>BAN-00162</t>
  </si>
  <si>
    <t>BAN-00163</t>
  </si>
  <si>
    <t>BAN-00164</t>
  </si>
  <si>
    <t>BAN-00165</t>
  </si>
  <si>
    <t>BAN-00166</t>
  </si>
  <si>
    <t>BAN-00167</t>
  </si>
  <si>
    <t>BAN-00168</t>
  </si>
  <si>
    <t>BAN-00169</t>
  </si>
  <si>
    <t>BAN-00170</t>
  </si>
  <si>
    <t>BAN-00171</t>
  </si>
  <si>
    <t>BAN-00172</t>
  </si>
  <si>
    <t>BAN-00173</t>
  </si>
  <si>
    <t>BAN-00174</t>
  </si>
  <si>
    <t>BAN-00175</t>
  </si>
  <si>
    <t>BAN-00176</t>
  </si>
  <si>
    <t>BAN-00177</t>
  </si>
  <si>
    <t>BAN-00178</t>
  </si>
  <si>
    <t>BAN-00179</t>
  </si>
  <si>
    <t>BAN-00180</t>
  </si>
  <si>
    <t>BAN-00181</t>
  </si>
  <si>
    <t>BAN-00182</t>
  </si>
  <si>
    <t>BAN-00183</t>
  </si>
  <si>
    <t>BAN-00184</t>
  </si>
  <si>
    <t>BAN-00185</t>
  </si>
  <si>
    <t>BAN-00186</t>
  </si>
  <si>
    <t>Fornecimento de quentinhas para equipe da Enfermagem</t>
  </si>
  <si>
    <t>BAN-00187</t>
  </si>
  <si>
    <t>BAN-00188</t>
  </si>
  <si>
    <t>BAN-00189</t>
  </si>
  <si>
    <t>BAN-00190</t>
  </si>
  <si>
    <t>SUGERIDO</t>
  </si>
  <si>
    <t>BAN-00191</t>
  </si>
  <si>
    <t>BAN-00192</t>
  </si>
  <si>
    <t>BAN-00193</t>
  </si>
  <si>
    <t>BAN-00194</t>
  </si>
  <si>
    <t>BAN-00195</t>
  </si>
  <si>
    <t>BAN-00196</t>
  </si>
  <si>
    <t>BAN-00197</t>
  </si>
  <si>
    <t>BAN-00198</t>
  </si>
  <si>
    <t>BAN-00199</t>
  </si>
  <si>
    <t>BAN-00200</t>
  </si>
  <si>
    <t>BAN-00201</t>
  </si>
  <si>
    <t>BAN-00202</t>
  </si>
  <si>
    <t>Transferências dos Sócios</t>
  </si>
  <si>
    <t>BAN-00203</t>
  </si>
  <si>
    <t>BAN-00204</t>
  </si>
  <si>
    <t>BAN-00205</t>
  </si>
  <si>
    <t>BAN-00206</t>
  </si>
  <si>
    <t>BAN-00207</t>
  </si>
  <si>
    <t>BIOCOMPANY (REF. PERMCATH 28CM) 1/2</t>
  </si>
  <si>
    <t>BIOCOMPANY (REF. TAMPA PARA CATETER) 1/2</t>
  </si>
  <si>
    <t>BAN-00208</t>
  </si>
  <si>
    <t>DIÁLISE COMÉRCIO (REF. CAPILAR DESCARTÁVEL) 1/2</t>
  </si>
  <si>
    <t>DIÁLISE COMÉRCIO (REF. ISOLADOR) 1/2</t>
  </si>
  <si>
    <t>BAN-00209</t>
  </si>
  <si>
    <t>BAN-00210</t>
  </si>
  <si>
    <t>BAN-00211</t>
  </si>
  <si>
    <t>BAN-00212</t>
  </si>
  <si>
    <t>BAN-00213</t>
  </si>
  <si>
    <t>BAN-00214</t>
  </si>
  <si>
    <t>BAN-00215</t>
  </si>
  <si>
    <t>BAN-00216</t>
  </si>
  <si>
    <t>BAN-00217</t>
  </si>
  <si>
    <t>BAN-00218</t>
  </si>
  <si>
    <t>BAN-00219</t>
  </si>
  <si>
    <t>BAN-00220</t>
  </si>
  <si>
    <t>BAN-00221</t>
  </si>
  <si>
    <t>BAN-00222</t>
  </si>
  <si>
    <t>BAN-00223</t>
  </si>
  <si>
    <t>BAN-00224</t>
  </si>
  <si>
    <t>ISS (MUNICIPIO DE SANTA INÊS) - NF 202600000000001(REF. COMP. 12/2025) - NF EMITIDA EM 28/01/26</t>
  </si>
  <si>
    <t>BAN-00225</t>
  </si>
  <si>
    <t>BAN-00226</t>
  </si>
  <si>
    <t>BAN-00227</t>
  </si>
  <si>
    <t>BAN-00228</t>
  </si>
  <si>
    <t>BAN-00229</t>
  </si>
  <si>
    <t>BAN-00230</t>
  </si>
  <si>
    <t>BAN-00231</t>
  </si>
  <si>
    <t>BAN-00232</t>
  </si>
  <si>
    <t>BAN-00233</t>
  </si>
  <si>
    <t>Repasse do Estado</t>
  </si>
  <si>
    <t>BAN-00234</t>
  </si>
  <si>
    <t>BAN-00235</t>
  </si>
  <si>
    <t>BAN-00236</t>
  </si>
  <si>
    <t>BAN-00237</t>
  </si>
  <si>
    <t>BAN-00238</t>
  </si>
  <si>
    <t>BAN-00239</t>
  </si>
  <si>
    <t>BAN-00240</t>
  </si>
  <si>
    <t>BAN-00241</t>
  </si>
  <si>
    <t>BAN-00242</t>
  </si>
  <si>
    <t>BAN-00243</t>
  </si>
  <si>
    <t>BAN-00244</t>
  </si>
  <si>
    <t>BAN-00245</t>
  </si>
  <si>
    <t>BAN-00246</t>
  </si>
  <si>
    <t>BAN-00247</t>
  </si>
  <si>
    <t>BAN-00248</t>
  </si>
  <si>
    <t>MARKETPLACE MARKETPLACE MERCADO LIVRE (NF - MTL COMERCIO IMPORTACAO LTDA) - REF. CARRINHO DE INOX P/ SALA HD</t>
  </si>
  <si>
    <t>BAN-00249</t>
  </si>
  <si>
    <t>BAN-00250</t>
  </si>
  <si>
    <t>BAN-00251</t>
  </si>
  <si>
    <t>BAN-00252</t>
  </si>
  <si>
    <t>BAN-00253</t>
  </si>
  <si>
    <t>DESPESAS COM PRESTAÇÃO DE SERVIÇOS - SÓCIOS</t>
  </si>
  <si>
    <t>Plantões Médicos (Sócios)</t>
  </si>
  <si>
    <t>BAN-00254</t>
  </si>
  <si>
    <t>Exames Laboratorias dos Pacientes</t>
  </si>
  <si>
    <t>BAN-00255</t>
  </si>
  <si>
    <t>BAN-00256</t>
  </si>
  <si>
    <t>Pagamento de plantão médico - Dr. Lucas</t>
  </si>
  <si>
    <t>BAN-00257</t>
  </si>
  <si>
    <t>BAN-00258</t>
  </si>
  <si>
    <t>BAN-00259</t>
  </si>
  <si>
    <t>BAN-00260</t>
  </si>
  <si>
    <t>Pagamento de plantão médico - Dr. Hozano</t>
  </si>
  <si>
    <t>BAN-00261</t>
  </si>
  <si>
    <t>BAN-00262</t>
  </si>
  <si>
    <t>BAN-00263</t>
  </si>
  <si>
    <t>BAN-00264</t>
  </si>
  <si>
    <t>BAN-00265</t>
  </si>
  <si>
    <t>PROT-MED (REF. CAPAS PROTETORAS PARA CATETER) 1/1</t>
  </si>
  <si>
    <t>PROT-MED (REF. AVENTAIS PARA REUSO) 1/1</t>
  </si>
  <si>
    <t>BAN-00266</t>
  </si>
  <si>
    <t>Pagamento Farmaceutica - Gardênia</t>
  </si>
  <si>
    <t>BAN-00267</t>
  </si>
  <si>
    <t>BAN-00268</t>
  </si>
  <si>
    <t>BAN-00269</t>
  </si>
  <si>
    <t>Pagamento Cirurgião Vascular - Dr. Renato</t>
  </si>
  <si>
    <t>BAN-00270</t>
  </si>
  <si>
    <t>BAN-00271</t>
  </si>
  <si>
    <t>Pagamento Cirurgião Vascular - Dr. Wilson</t>
  </si>
  <si>
    <t>BAN-00272</t>
  </si>
  <si>
    <t>BAN-00273</t>
  </si>
  <si>
    <t>BAN-00274</t>
  </si>
  <si>
    <t>BAN-00275</t>
  </si>
  <si>
    <t>Exames Laboratorias dos Colaboradores</t>
  </si>
  <si>
    <t>BAN-00276</t>
  </si>
  <si>
    <t>BAN-00277</t>
  </si>
  <si>
    <t>BAN-00278</t>
  </si>
  <si>
    <t>Despesas com Cartório</t>
  </si>
  <si>
    <t>BAN-00279</t>
  </si>
  <si>
    <t>BAN-00280</t>
  </si>
  <si>
    <t>BAN-00281</t>
  </si>
  <si>
    <t>Ácido Cítrico</t>
  </si>
  <si>
    <t>DIÁLISE COMÉRCIO (REF. ÁCIDO CITRICO) 1/2</t>
  </si>
  <si>
    <t>DIÁLISE COMÉRCIO (REF. ÁCIDO PERACÉTICO) 1/2</t>
  </si>
  <si>
    <t>BAN-00282</t>
  </si>
  <si>
    <t>BAN-00283</t>
  </si>
  <si>
    <t>BAN-00284</t>
  </si>
  <si>
    <t>BAN-00285</t>
  </si>
  <si>
    <t>BAN-00286</t>
  </si>
  <si>
    <t>BAN-00287</t>
  </si>
  <si>
    <t>BAN-00288</t>
  </si>
  <si>
    <t>BAN-00289</t>
  </si>
  <si>
    <t>BAN-00290</t>
  </si>
  <si>
    <t>BAN-00291</t>
  </si>
  <si>
    <t>BAN-00292</t>
  </si>
  <si>
    <t>BAN-00293</t>
  </si>
  <si>
    <t>BAN-00294</t>
  </si>
  <si>
    <t>BAN-00295</t>
  </si>
  <si>
    <t>BAN-00296</t>
  </si>
  <si>
    <t>BAN-00297</t>
  </si>
  <si>
    <t>BAN-00298</t>
  </si>
  <si>
    <t>Assessoria Administrativa</t>
  </si>
  <si>
    <t>BAN-00299</t>
  </si>
  <si>
    <t>BAN-00300</t>
  </si>
  <si>
    <t>BAN-00301</t>
  </si>
  <si>
    <t>BAN-00302</t>
  </si>
  <si>
    <t>BAN-00303</t>
  </si>
  <si>
    <t>BAN-00304</t>
  </si>
  <si>
    <t>BAN-00305</t>
  </si>
  <si>
    <t>BAN-00306</t>
  </si>
  <si>
    <t>BAN-00307</t>
  </si>
  <si>
    <t>BAN-00308</t>
  </si>
  <si>
    <t>BAN-00309</t>
  </si>
  <si>
    <t>BAN-00310</t>
  </si>
  <si>
    <t>BAN-00311</t>
  </si>
  <si>
    <t>BAN-00312</t>
  </si>
  <si>
    <t>BAN-00313</t>
  </si>
  <si>
    <t>BAN-00314</t>
  </si>
  <si>
    <t>BAN-00315</t>
  </si>
  <si>
    <t>BAN-00316</t>
  </si>
  <si>
    <t>BAN-00317</t>
  </si>
  <si>
    <t>BAN-00318</t>
  </si>
  <si>
    <t>BAN-00319</t>
  </si>
  <si>
    <t>BAN-00320</t>
  </si>
  <si>
    <t>BAN-00321</t>
  </si>
  <si>
    <t>BAN-00322</t>
  </si>
  <si>
    <t>BAN-00323</t>
  </si>
  <si>
    <t>BAN-00324</t>
  </si>
  <si>
    <t>BAN-00325</t>
  </si>
  <si>
    <t>BAN-00326</t>
  </si>
  <si>
    <t>BAN-00327</t>
  </si>
  <si>
    <t>BAN-00328</t>
  </si>
  <si>
    <t>BAN-00329</t>
  </si>
  <si>
    <t>BAN-00330</t>
  </si>
  <si>
    <t>BAN-00331</t>
  </si>
  <si>
    <t>BAN-00332</t>
  </si>
  <si>
    <t>BAN-00333</t>
  </si>
  <si>
    <t>BAN-00334</t>
  </si>
  <si>
    <t>BAN-00335</t>
  </si>
  <si>
    <t>BAN-00336</t>
  </si>
  <si>
    <t>BAN-00337</t>
  </si>
  <si>
    <t>BAN-00338</t>
  </si>
  <si>
    <t>BAN-00339</t>
  </si>
  <si>
    <t>BAN-00340</t>
  </si>
  <si>
    <t>BAN-00341</t>
  </si>
  <si>
    <t>BAN-00342</t>
  </si>
  <si>
    <t>Óleo diesel para gerador</t>
  </si>
  <si>
    <t>BAN-00343</t>
  </si>
  <si>
    <t>BAN-00344</t>
  </si>
  <si>
    <t>BAN-00345</t>
  </si>
  <si>
    <t>BAN-00346</t>
  </si>
  <si>
    <t>BAN-00347</t>
  </si>
  <si>
    <t>BAN-00348</t>
  </si>
  <si>
    <t>BAN-00349</t>
  </si>
  <si>
    <t>BIOCOMPANY (PERMCATH (28CM E 32CM)) 1/2</t>
  </si>
  <si>
    <t>BIOCOMPANY (CURATIVOS E BANDAGEM) 1/2</t>
  </si>
  <si>
    <t>BAN-00350</t>
  </si>
  <si>
    <t>BAN-00351</t>
  </si>
  <si>
    <t>BAN-00352</t>
  </si>
  <si>
    <t>BAN-00353</t>
  </si>
  <si>
    <t>BAN-00354</t>
  </si>
  <si>
    <t>BIOCOMPANY (PERMICATH) 2/2</t>
  </si>
  <si>
    <t>BIOCOMPANY (TAMPA PARA CATETER) 2/2</t>
  </si>
  <si>
    <t>BAN-00355</t>
  </si>
  <si>
    <t>BAN-00356</t>
  </si>
  <si>
    <t>BAN-00357</t>
  </si>
  <si>
    <t>BAN-00358</t>
  </si>
  <si>
    <t>BAN-00359</t>
  </si>
  <si>
    <t>BAN-00360</t>
  </si>
  <si>
    <t>BAN-00361</t>
  </si>
  <si>
    <t>BAN-00362</t>
  </si>
  <si>
    <t>BAN-00363</t>
  </si>
  <si>
    <t>BAN-00364</t>
  </si>
  <si>
    <t>BAN-00365</t>
  </si>
  <si>
    <t>BAN-00366</t>
  </si>
  <si>
    <t>BAN-00367</t>
  </si>
  <si>
    <t>BAN-00368</t>
  </si>
  <si>
    <t>BAN-00369</t>
  </si>
  <si>
    <t>BAN-00370</t>
  </si>
  <si>
    <t>BAN-00371</t>
  </si>
  <si>
    <t>BAN-00372</t>
  </si>
  <si>
    <t>BAN-00373</t>
  </si>
  <si>
    <t>BAN-00374</t>
  </si>
  <si>
    <t>Rescisão Contratual</t>
  </si>
  <si>
    <t>BAN-00375</t>
  </si>
  <si>
    <t>BAN-00376</t>
  </si>
  <si>
    <t>BAN-00377</t>
  </si>
  <si>
    <t>BAN-00378</t>
  </si>
  <si>
    <t>BAN-00379</t>
  </si>
  <si>
    <t>BAN-00380</t>
  </si>
  <si>
    <t>BAN-00381</t>
  </si>
  <si>
    <t>BAN-00382</t>
  </si>
  <si>
    <t>BAN-00383</t>
  </si>
  <si>
    <t>BAN-00384</t>
  </si>
  <si>
    <t>BAN-00385</t>
  </si>
  <si>
    <t>BAN-00386</t>
  </si>
  <si>
    <t>BAN-00387</t>
  </si>
  <si>
    <t>BAN-00388</t>
  </si>
  <si>
    <t>BAN-00389</t>
  </si>
  <si>
    <t>BAN-00390</t>
  </si>
  <si>
    <t>BAN-00391</t>
  </si>
  <si>
    <t>BAN-00392</t>
  </si>
  <si>
    <t>BAN-00393</t>
  </si>
  <si>
    <t>BAN-00394</t>
  </si>
  <si>
    <t>BAN-00395</t>
  </si>
  <si>
    <t>BAN-00396</t>
  </si>
  <si>
    <t>SUPERMÉDICA (REF. MATERIAIS, MUPIROCINA) 1/3</t>
  </si>
  <si>
    <t>SUPERMÉDICA (REF. HEPARINAS) 1/3</t>
  </si>
  <si>
    <t>BAN-00397</t>
  </si>
  <si>
    <t>BAN-00398</t>
  </si>
  <si>
    <t>BAN-00399</t>
  </si>
  <si>
    <t>BAN-00400</t>
  </si>
  <si>
    <t>BAN-00401</t>
  </si>
  <si>
    <t>FARMACE (REF. SOROSE E SOLUÇÕES) 1/2</t>
  </si>
  <si>
    <t>FARMACE (REF. DIPIRONA INJETÁVEL) 1/2</t>
  </si>
  <si>
    <t>BAN-00402</t>
  </si>
  <si>
    <t>BAN-00403</t>
  </si>
  <si>
    <t>BAN-00404</t>
  </si>
  <si>
    <t>BAN-00405</t>
  </si>
  <si>
    <t>BAN-00406</t>
  </si>
  <si>
    <t>BAN-00407</t>
  </si>
  <si>
    <t>BAN-00408</t>
  </si>
  <si>
    <t>BAN-00409</t>
  </si>
  <si>
    <t>BAN-00410</t>
  </si>
  <si>
    <t>BAN-00411</t>
  </si>
  <si>
    <t>BAN-00412</t>
  </si>
  <si>
    <t>BAN-00413</t>
  </si>
  <si>
    <t>BAN-00414</t>
  </si>
  <si>
    <t>BAN-00415</t>
  </si>
  <si>
    <t>BAN-00416</t>
  </si>
  <si>
    <t>BAN-00417</t>
  </si>
  <si>
    <t>BAN-00418</t>
  </si>
  <si>
    <t>BAN-00419</t>
  </si>
  <si>
    <t>BAN-00420</t>
  </si>
  <si>
    <t>BAN-00421</t>
  </si>
  <si>
    <t>BAN-00422</t>
  </si>
  <si>
    <t>BAN-00423</t>
  </si>
  <si>
    <t>BAN-00424</t>
  </si>
  <si>
    <t>BAN-00425</t>
  </si>
  <si>
    <t>BAN-00426</t>
  </si>
  <si>
    <t>BAN-00427</t>
  </si>
  <si>
    <t>BAN-00428</t>
  </si>
  <si>
    <t>BAN-00429</t>
  </si>
  <si>
    <t>BAN-00430</t>
  </si>
  <si>
    <t>EXCELLENCE DISTRIBUIÇÃO (REF.HEPARINAS) 1/3</t>
  </si>
  <si>
    <t>BAN-00431</t>
  </si>
  <si>
    <t>DIÁLISE COMÉRCIO (REF. PEROXIDE 5%) 1/2</t>
  </si>
  <si>
    <t>BAN-00432</t>
  </si>
  <si>
    <t>BIOCOMPANY (REF. PERMCATH (28CM E 32CM)) 2/2</t>
  </si>
  <si>
    <t>BIOCOMPANY (REF. CURATIVOS E BANDAGEM) 2/2</t>
  </si>
  <si>
    <t>BAN-00433</t>
  </si>
  <si>
    <t>BIOCOMPANY (REF. CURATIVOS) 1/2</t>
  </si>
  <si>
    <t>BIOCOMPANY (REF. PERMCATH (28CM E 32CM) E CATETER DUPLO LUMEN 15CM E 20CM) 1/2</t>
  </si>
  <si>
    <t>BAN-00434</t>
  </si>
  <si>
    <t>BAN-00435</t>
  </si>
  <si>
    <t>DIÁLISE COMÉRCIO (REF. ISOLADOR DE PRESSÃO) 2/2</t>
  </si>
  <si>
    <t>BAN-00436</t>
  </si>
  <si>
    <t>BAN-00437</t>
  </si>
  <si>
    <t>BAN-00438</t>
  </si>
  <si>
    <t>BAN-00439</t>
  </si>
  <si>
    <t>BAN-00440</t>
  </si>
  <si>
    <t>BAN-00441</t>
  </si>
  <si>
    <t>BAN-00442</t>
  </si>
  <si>
    <t>BAN-00443</t>
  </si>
  <si>
    <t>BAN-00444</t>
  </si>
  <si>
    <t>BAN-00445</t>
  </si>
  <si>
    <t>BAN-00446</t>
  </si>
  <si>
    <t>BAN-00447</t>
  </si>
  <si>
    <t>BAN-00448</t>
  </si>
  <si>
    <t>BAN-00449</t>
  </si>
  <si>
    <t>BAN-00450</t>
  </si>
  <si>
    <t>BAN-00451</t>
  </si>
  <si>
    <t>BAN-00452</t>
  </si>
  <si>
    <t>BAN-00453</t>
  </si>
  <si>
    <t>BAN-00454</t>
  </si>
  <si>
    <t>BAN-00455</t>
  </si>
  <si>
    <t>BAN-00456</t>
  </si>
  <si>
    <t>BAN-00457</t>
  </si>
  <si>
    <t>BAN-00458</t>
  </si>
  <si>
    <t>BAN-00459</t>
  </si>
  <si>
    <t>BAN-00460</t>
  </si>
  <si>
    <t>BAN-00461</t>
  </si>
  <si>
    <t>BAN-00462</t>
  </si>
  <si>
    <t>BAN-00463</t>
  </si>
  <si>
    <t>BAN-00464</t>
  </si>
  <si>
    <t>BAN-00465</t>
  </si>
  <si>
    <t>FARMACE (REF. SOLUÇÕES ÁCIDA E BÁSICA) 1/2</t>
  </si>
  <si>
    <t>FARMACE (REF. DIPIRONA INJETÁVEL, CLORETO DE SÓDIO 10% E ÁGUA DESTILADA) 1/2</t>
  </si>
  <si>
    <t>BAN-00466</t>
  </si>
  <si>
    <t>FABIANA CRISTINA BARROS   (REF. PLANTÕES MÉDICOS DE FEV/26)</t>
  </si>
  <si>
    <t>FABIANA CRISTINA BARROS   (REF. DEVOLUÇÃO DO VALOR PAGO PELO SEGURO ICATU)</t>
  </si>
  <si>
    <t>BAN-00467</t>
  </si>
  <si>
    <t>BAN-00468</t>
  </si>
  <si>
    <t>PATRICK DULFF LOBO ARAUJO  (REF. PLANTÕES MÉDICOS DE FEV/26)</t>
  </si>
  <si>
    <t>PATRICK DULFF LOBO ARAUJO  (REF. DEVOLUÇÃO DO VALOR PAGO PELO SEGURO ICATU)</t>
  </si>
  <si>
    <t>BAN-00469</t>
  </si>
  <si>
    <t>ANDERSON RAFAEL SALVIANO  (REF. PLANTÕES MÉDICOS DE FEV/26)</t>
  </si>
  <si>
    <t>ANDERSON RAFAEL SALVIANO  (REF. DEVOLUÇÃO DO VALOR PAGO PELO SEGURO ICATU)</t>
  </si>
  <si>
    <t>BAN-00470</t>
  </si>
  <si>
    <t>BAN-00471</t>
  </si>
  <si>
    <t>SUPERMÉDICA (REF. MATERIAIS, MUPIROCINA) 2/3</t>
  </si>
  <si>
    <t>SUPERMÉDICA (REF. HEPARINAS) 2/3</t>
  </si>
  <si>
    <t>BAN-00472</t>
  </si>
  <si>
    <t>BAN-00473</t>
  </si>
  <si>
    <t>MOISES S OLIVEIRA  (REF. PLANTÕES MÉDICOS DE FEV/26)</t>
  </si>
  <si>
    <t>MOISES S OLIVEIRA  (REF. DEVOLUÇÃO DO VALOR PAGO PELO SEGURO ICATU)</t>
  </si>
  <si>
    <t>BAN-00474</t>
  </si>
  <si>
    <t>BAN-00475</t>
  </si>
  <si>
    <t>DESPESAS COM SÓCIOS - LUCROS</t>
  </si>
  <si>
    <t>Distribuição de Lucros</t>
  </si>
  <si>
    <t>BAN-00476</t>
  </si>
  <si>
    <t>BAN-00477</t>
  </si>
  <si>
    <t>BAN-00478</t>
  </si>
  <si>
    <t>BAN-00479</t>
  </si>
  <si>
    <t>NIPRO MEDICAL (REF. FILTRO DE ENDOTOXINA) 1/2</t>
  </si>
  <si>
    <t>NIPRO MEDICAL (REF. INDICADOR DE ÁCIDO PERACÉTICO) 1/2</t>
  </si>
  <si>
    <t>BAN-00480</t>
  </si>
  <si>
    <t>BAN-00481</t>
  </si>
  <si>
    <t>GLADSTONE SANTOS SILVA  (REF. DEVOLUÇÃO DO VALOR PAGO PELO SEGURO ICATU)</t>
  </si>
  <si>
    <t>BAN-00482</t>
  </si>
  <si>
    <t>BAN-00483</t>
  </si>
  <si>
    <t>BAN-00484</t>
  </si>
  <si>
    <t>BAN-00485</t>
  </si>
  <si>
    <t>BAN-00486</t>
  </si>
  <si>
    <t>BAN-00487</t>
  </si>
  <si>
    <t>BAN-00488</t>
  </si>
  <si>
    <t>BAN-00489</t>
  </si>
  <si>
    <t>BAN-00490</t>
  </si>
  <si>
    <t>BAN-00491</t>
  </si>
  <si>
    <t>RICEK INDUSTRIA E COMÉRCIO (REF. HIPOCLORITO) 2/2</t>
  </si>
  <si>
    <t>RICEK INDUSTRIA E COMÉRCIO (REF. SACO DE LIXO) 2/2</t>
  </si>
  <si>
    <t>BAN-00492</t>
  </si>
  <si>
    <t>BAN-00493</t>
  </si>
  <si>
    <t>BAN-00494</t>
  </si>
  <si>
    <t>BAN-00495</t>
  </si>
  <si>
    <t>BAN-00496</t>
  </si>
  <si>
    <t>BAN-00497</t>
  </si>
  <si>
    <t>BAN-00498</t>
  </si>
  <si>
    <t>BAN-00499</t>
  </si>
  <si>
    <t>BAN-00500</t>
  </si>
  <si>
    <t>BAN-00501</t>
  </si>
  <si>
    <t>BAN-00502</t>
  </si>
  <si>
    <t>BAN-00503</t>
  </si>
  <si>
    <t>BAN-00504</t>
  </si>
  <si>
    <t>BAN-00505</t>
  </si>
  <si>
    <t>BAN-00506</t>
  </si>
  <si>
    <t>FABIANA CRISTINA BARROS (REF. PLANTÕES MÉDICOS DE MAR/26)</t>
  </si>
  <si>
    <t>FABIANA CRISTINA BARROS (REF. DEVOLUÇÃO DO ADIANTAMENTO DE RECURSOS DOS SÓCIOS)</t>
  </si>
  <si>
    <t>BAN-00507</t>
  </si>
  <si>
    <t>ANDERSON RAFAEL SALVIANO (REF. PLANTÕES MÉDICOS DE MAR/26)</t>
  </si>
  <si>
    <t>ANDERSON RAFAEL SALVIANO (REF. DEVOLUÇÃO DO ADIANTAMENTO DE RECURSOS DOS SÓCIOS)</t>
  </si>
  <si>
    <t>BAN-00508</t>
  </si>
  <si>
    <t>BAN-00509</t>
  </si>
  <si>
    <t>AFONSO PAULO COSTA FERRO (REF. DEVOLUÇÃO DO ADIANTAMENTO DE RECURSOS DOS SÓCIOS)</t>
  </si>
  <si>
    <t>BAN-00510</t>
  </si>
  <si>
    <t>BAN-00511</t>
  </si>
  <si>
    <t>PATRICK DULFF LOBO ARAUJO (REF. PLANTÕES MÉDICOS DE MAR/26)</t>
  </si>
  <si>
    <t>PATRICK DULFF LOBO ARAUJO (REF. DEVOLUÇÃO DO ADIANTAMENTO DE RECURSOS DOS SÓCIOS)</t>
  </si>
  <si>
    <t>BAN-00512</t>
  </si>
  <si>
    <t>MOISES S OLIVEIRA (REF. PLANTÕES MÉDICOS DE MAR/26)</t>
  </si>
  <si>
    <t>BAN-00513</t>
  </si>
  <si>
    <t>GLADSTONE SANTOS SILVA (REF. PLANTÕES MÉDICOS DE MAR/26)</t>
  </si>
  <si>
    <t>BAN-00514</t>
  </si>
  <si>
    <t>BAN-00515</t>
  </si>
  <si>
    <t>BAN-00516</t>
  </si>
  <si>
    <t>BAN-00517</t>
  </si>
  <si>
    <t>Resgate do Financiamento (Banco do Nordeste)</t>
  </si>
  <si>
    <t>BAN-00518</t>
  </si>
  <si>
    <t>FARMACE (REF. SOROS E SOLUÇÕES) 1/2</t>
  </si>
  <si>
    <t>FARMACE (REF. DIPIRONA INJETÁVEL, CLORETO DE SÓDIO 10%, ÁGUA DESTILADA E PARACETAMOL) 1/2</t>
  </si>
  <si>
    <t>BAN-00519</t>
  </si>
  <si>
    <t>BAN-00520</t>
  </si>
  <si>
    <t>BAN-00521</t>
  </si>
  <si>
    <t>BAN-00522</t>
  </si>
  <si>
    <t>BAN-00523</t>
  </si>
  <si>
    <t>BAN-00524</t>
  </si>
  <si>
    <t>BAN-00525</t>
  </si>
  <si>
    <t>BAN-00526</t>
  </si>
  <si>
    <t>BAN-00527</t>
  </si>
  <si>
    <t>BAN-00528</t>
  </si>
  <si>
    <t>BAN-00529</t>
  </si>
  <si>
    <t>BAN-00530</t>
  </si>
  <si>
    <t>BAN-00531</t>
  </si>
  <si>
    <t>BAN-00532</t>
  </si>
  <si>
    <t>BAN-00533</t>
  </si>
  <si>
    <t>BAN-00534</t>
  </si>
  <si>
    <t>FARMACE (REF. SOROSE E SOLUÇÕES) 2/2</t>
  </si>
  <si>
    <t>FARMACE (REF. DIPIRONA INJETÁVEL) 2/2</t>
  </si>
  <si>
    <t>BAN-00535</t>
  </si>
  <si>
    <t>ADELIA DALVA DA SILVA OLIVEIRA (REF. DEVOLUÇÃO DO ADIANTAMENTO DE RECURSOS DOS SÓCIOS)</t>
  </si>
  <si>
    <t>BAN-00536</t>
  </si>
  <si>
    <t>FRANCISCO H SOUSA (REF. DEVOLUÇÃO DO ADIANTAMENTO DE RECURSOS DOS SÓCIOS)</t>
  </si>
  <si>
    <t>BAN-00537</t>
  </si>
  <si>
    <t>BAN-00538</t>
  </si>
  <si>
    <t>BAN-00539</t>
  </si>
  <si>
    <t>BAN-00540</t>
  </si>
  <si>
    <t>BAN-00541</t>
  </si>
  <si>
    <t>BAN-00542</t>
  </si>
  <si>
    <t>BAN-00543</t>
  </si>
  <si>
    <t>BAN-00544</t>
  </si>
  <si>
    <t>BAN-00545</t>
  </si>
  <si>
    <t>BAN-00546</t>
  </si>
  <si>
    <t>BAN-00547</t>
  </si>
  <si>
    <t>BAN-00548</t>
  </si>
  <si>
    <t>BAN-00549</t>
  </si>
  <si>
    <t>BAN-00550</t>
  </si>
  <si>
    <t>BAN-00551</t>
  </si>
  <si>
    <t>BAN-00552</t>
  </si>
  <si>
    <t>BAN-00553</t>
  </si>
  <si>
    <t>BAN-00554</t>
  </si>
  <si>
    <t>BAN-00555</t>
  </si>
  <si>
    <t>DIÁLISE COMÉRCIO (REF. CAPILAR 2.0 B-20HF) 1/2</t>
  </si>
  <si>
    <t>DIÁLISE COMÉRCIO (REF. INDICADOR DE ÁCIDO PERACÉTICO E TAMPA) 1/2</t>
  </si>
  <si>
    <t>BAN-00556</t>
  </si>
  <si>
    <t>BIOCOMPANY (CURATIVOS)</t>
  </si>
  <si>
    <t>BIOCOMPANY (PERMCATH (28CM E 32CM) E CATETER DUPLO LUMEN 15CM E 20CM) 2/2</t>
  </si>
  <si>
    <t>BAN-00557</t>
  </si>
  <si>
    <t>BAN-00558</t>
  </si>
  <si>
    <t>BAN-00559</t>
  </si>
  <si>
    <t>BAN-00560</t>
  </si>
  <si>
    <t>BAN-00561</t>
  </si>
  <si>
    <t>BAN-00562</t>
  </si>
  <si>
    <t>BAN-00563</t>
  </si>
  <si>
    <t>BAN-00564</t>
  </si>
  <si>
    <t>DIÁLISE COMÉRCIO (REF. PEROXIDE 5%) 2/2</t>
  </si>
  <si>
    <t>BAN-00565</t>
  </si>
  <si>
    <t>EXCELLENCE DISTRIBUIÇÃO (REF. MEDICAMENTOS E MATERIAIS) 2/3</t>
  </si>
  <si>
    <t>EXCELLENCE DISTRIBUIÇÃO (REF. HEPARINAS) 2/3</t>
  </si>
  <si>
    <t>BAN-00566</t>
  </si>
  <si>
    <t>BAN-00567</t>
  </si>
  <si>
    <t>BAN-00568</t>
  </si>
  <si>
    <t>BAN-00569</t>
  </si>
  <si>
    <t>BAN-00570</t>
  </si>
  <si>
    <t>BAN-00571</t>
  </si>
  <si>
    <t>BAN-00572</t>
  </si>
  <si>
    <t>BAN-00573</t>
  </si>
  <si>
    <t>BAN-00574</t>
  </si>
  <si>
    <t>FARMACE (REF. SOLUÇÕES ÁCIDA E BÁSICA) 2/2</t>
  </si>
  <si>
    <t>FARMACE (REF. DIPIRONA INJETÁVEL, CLORETO DE SÓDIO 10% E ÁGUA DESTILADA) 2/2</t>
  </si>
  <si>
    <t>BAN-00575</t>
  </si>
  <si>
    <t>BAN-00576</t>
  </si>
  <si>
    <t>BAN-00577</t>
  </si>
  <si>
    <t>BAN-00578</t>
  </si>
  <si>
    <t>BAN-00579</t>
  </si>
  <si>
    <t>BAN-00580</t>
  </si>
  <si>
    <t>BAN-00581</t>
  </si>
  <si>
    <t>BAN-00582</t>
  </si>
  <si>
    <t>BAN-00583</t>
  </si>
  <si>
    <t>BAN-00584</t>
  </si>
  <si>
    <t>BAN-00585</t>
  </si>
  <si>
    <t>AFONSO PAULO COSTA FERRO (REF. DISTRIBUIÇÃO DE LUCROS)</t>
  </si>
  <si>
    <t>Despesas com Administração / PROLABORE</t>
  </si>
  <si>
    <t>AFONSO PAULO COSTA FERRO (REF. PRÓ-LABORE COMO SÓCIO ADMINISTRADOR)</t>
  </si>
  <si>
    <t>BAN-00586</t>
  </si>
  <si>
    <t>FABIANA CRISTINA BARROS (REF. DISTRIBUIÇÃO DE LUCROS)</t>
  </si>
  <si>
    <t>FABIANA CRISTINA BARROS (REF. PLANTÕES MÉDICOS DE ABR/26)</t>
  </si>
  <si>
    <t>BAN-00587</t>
  </si>
  <si>
    <t>PATRICK DULFF LOBO ARAUJO (REF. DISTRIBUIÇÃO DE LUCROS)</t>
  </si>
  <si>
    <t>PATRICK DULFF LOBO ARAUJO (REF. PLANTÕES MÉDICOS DE ABR/26)</t>
  </si>
  <si>
    <t>BAN-00588</t>
  </si>
  <si>
    <t>BAN-00589</t>
  </si>
  <si>
    <t>MOISES S OLIVEIRA (REF. DISTRIBUIÇÃO DE LUCROS)</t>
  </si>
  <si>
    <t>MOISES S OLIVEIRA (REF. PLANTÕES MÉDICOS DE ABR/26)</t>
  </si>
  <si>
    <t>BAN-00590</t>
  </si>
  <si>
    <t>GLADSTONE SANTOS SILVA (REF. DISTRIBUIÇÃO DE LUCROS)</t>
  </si>
  <si>
    <t>GLADSTONE SANTOS SILVA (REF. PLANTÕES MÉDICOS DE ABR/26)</t>
  </si>
  <si>
    <t>BAN-00591</t>
  </si>
  <si>
    <t>ANDERSON RAFAEL SALVIANO (REF. PLANTÕES MÉDICOS DE ABR/26)</t>
  </si>
  <si>
    <t>ANDERSON RAFAEL SALVIANO (REF. PRÓ-LABORE COMO SÓCIO ADMINISTRADOR)</t>
  </si>
  <si>
    <t>Responsabilidade Técnica - Dr. Anderson</t>
  </si>
  <si>
    <t>ANDERSON RAFAEL SALVIANO (REF.  RESPONSABILIDADE TÉCNICA)</t>
  </si>
  <si>
    <t>ANDERSON RAFAEL SALVIANO (REF. DISTRIBUIÇÃO DE LUCROS)</t>
  </si>
  <si>
    <t>BAN-00592</t>
  </si>
  <si>
    <t>BAN-00593</t>
  </si>
  <si>
    <t>BAN-00594</t>
  </si>
  <si>
    <t>BAN-00595</t>
  </si>
  <si>
    <t>BAN-00596</t>
  </si>
  <si>
    <t>BAN-00597</t>
  </si>
  <si>
    <t>NIPRO MEDICAL (REF. INDICADOR DE ÁCIDO PERACÉTICO) 2/2</t>
  </si>
  <si>
    <t>BAN-00598</t>
  </si>
  <si>
    <t>BAN-00599</t>
  </si>
  <si>
    <t>BAN-00600</t>
  </si>
  <si>
    <t>BAN-00601</t>
  </si>
  <si>
    <t>BAN-00602</t>
  </si>
  <si>
    <t>BAN-00603</t>
  </si>
  <si>
    <t>BAN-00604</t>
  </si>
  <si>
    <t>BAN-00605</t>
  </si>
  <si>
    <t>BAN-00606</t>
  </si>
  <si>
    <t>BAN-00607</t>
  </si>
  <si>
    <t>BAN-00608</t>
  </si>
  <si>
    <t>BAN-00609</t>
  </si>
  <si>
    <t>DIÁLISE COMÉRCIO (REF.  CAPILAR 20 H) 1/2</t>
  </si>
  <si>
    <t>DIÁLISE COMÉRCIO (REF. FITA INDICADORA DE ÁCIDO PERACÉTICO) 1/2</t>
  </si>
  <si>
    <t>BAN-00610</t>
  </si>
  <si>
    <t>BAN-00611</t>
  </si>
  <si>
    <t>BAN-00612</t>
  </si>
  <si>
    <t>BAN-00613</t>
  </si>
  <si>
    <t>BAN-00614</t>
  </si>
  <si>
    <t>BAN-00615</t>
  </si>
  <si>
    <t>JOEL (REF. COMPRA DE 150 SACOS DE 25KG SAL PARA OSMOSE)</t>
  </si>
  <si>
    <t>BAN-00616</t>
  </si>
  <si>
    <t>BAN-00617</t>
  </si>
  <si>
    <t>BAN-00618</t>
  </si>
  <si>
    <t>BAN-00619</t>
  </si>
  <si>
    <t>BAN-00620</t>
  </si>
  <si>
    <t>BAN-00621</t>
  </si>
  <si>
    <t>BAN-00622</t>
  </si>
  <si>
    <t>BAN-00623</t>
  </si>
  <si>
    <t>SUPERMÉDICA (REF. HEPARINAS) 3/3</t>
  </si>
  <si>
    <t>SUPERMÉDICA (REF. MATERIAIS E MEDICAMENTOS) 3/3</t>
  </si>
  <si>
    <t>BAN-00624</t>
  </si>
  <si>
    <t>BAN-00625</t>
  </si>
  <si>
    <t>BAN-00626</t>
  </si>
  <si>
    <t>BAN-00627</t>
  </si>
  <si>
    <t>BAN-00628</t>
  </si>
  <si>
    <t>BAN-00629</t>
  </si>
  <si>
    <t>BAN-00630</t>
  </si>
  <si>
    <t>BAN-00631</t>
  </si>
  <si>
    <t>ESTADO DO MARANHÃO - SECRETARIA DE ESTADO DA FAZENDA (REF. TAXA DE RENOVAÇÃO DO ALVARÁ DE LICENÇA SANITÁRIAS</t>
  </si>
  <si>
    <t>BAN-00632</t>
  </si>
  <si>
    <t>BAN-00633</t>
  </si>
  <si>
    <t>FARMACE (REF. SORO 100ML, SOLUÇÕES) 1/2</t>
  </si>
  <si>
    <t>FARMACE (REF. CLORETO DE SÓDIO 10%) 1/2</t>
  </si>
  <si>
    <t>BAN-00634</t>
  </si>
  <si>
    <t>BAN-00635</t>
  </si>
  <si>
    <t>BAN-00636</t>
  </si>
  <si>
    <t>BIOCOMPANY (REF. CURATIVOS) 1/1</t>
  </si>
  <si>
    <t>BIOCOMPANY (REF. CATETER (18CM E 20CM) 1/1</t>
  </si>
  <si>
    <t>BAN-00637</t>
  </si>
  <si>
    <t>BAN-00638</t>
  </si>
  <si>
    <t>BAN-00639</t>
  </si>
  <si>
    <t>BAN-00640</t>
  </si>
  <si>
    <t>BAN-00641</t>
  </si>
  <si>
    <t>BAN-00642</t>
  </si>
  <si>
    <t>BAN-00643</t>
  </si>
  <si>
    <t>FARMACE (REF. SOROS E SOLUÇÕES) 2/2</t>
  </si>
  <si>
    <t>FARMACE (REF. DIPIRONA INJETÁVEL, CLORETO DE SÓDIO 10%, ÁGUA DESTILADA E PARACETAMOL) 2/2</t>
  </si>
  <si>
    <t>BAN-00644</t>
  </si>
  <si>
    <t>ALLMED PRONEFRO (REF. ISOLADOR DE PRESSÃO) 1/3</t>
  </si>
  <si>
    <t>ALLMED PRONEFRO (REF. LINHA ARTERIAL E LINHA VENOSA ) 1/3</t>
  </si>
  <si>
    <t>BAN-00645</t>
  </si>
  <si>
    <t>BAN-00646</t>
  </si>
  <si>
    <t>BAN-00647</t>
  </si>
  <si>
    <t>BAN-00648</t>
  </si>
  <si>
    <t>BAN-00649</t>
  </si>
  <si>
    <t>BAN-00650</t>
  </si>
  <si>
    <t>BAN-00651</t>
  </si>
  <si>
    <t>BAN-00652</t>
  </si>
  <si>
    <t>BAN-00653</t>
  </si>
  <si>
    <t>BAN-00654</t>
  </si>
  <si>
    <t>BAN-00655</t>
  </si>
  <si>
    <t>BIOCOMPANY (REF. CATETER DUPLO LUMEN (15CM E 20CM)) 1/2</t>
  </si>
  <si>
    <t>BIOCOMPANY (REF. CURATIVOS E TAMPA PARA CATETER) 1/2</t>
  </si>
  <si>
    <t>BAN-00656</t>
  </si>
  <si>
    <t>BAN-00657</t>
  </si>
  <si>
    <t>BAN-00658</t>
  </si>
  <si>
    <t>BAN-00659</t>
  </si>
  <si>
    <t>BAN-00660</t>
  </si>
  <si>
    <t>BAN-00661</t>
  </si>
  <si>
    <t>BAN-00662</t>
  </si>
  <si>
    <t>BAN-00663</t>
  </si>
  <si>
    <t>EXCELLENCE DISTRIBUIÇÃO (REF.HEPARINAS) 3/3</t>
  </si>
  <si>
    <t>BAN-00664</t>
  </si>
  <si>
    <t>BAN-00665</t>
  </si>
  <si>
    <t>BAN-00666</t>
  </si>
  <si>
    <t>BAN-00667</t>
  </si>
  <si>
    <t>BAN-00668</t>
  </si>
  <si>
    <t>BAN-00669</t>
  </si>
  <si>
    <t>BAN-00670</t>
  </si>
  <si>
    <t>BAN-00671</t>
  </si>
  <si>
    <t>BAN-00672</t>
  </si>
  <si>
    <t>BAN-00673</t>
  </si>
  <si>
    <t>BAN-00674</t>
  </si>
  <si>
    <t>BAN-00675</t>
  </si>
  <si>
    <t>BAN-00676</t>
  </si>
  <si>
    <t>BAN-00677</t>
  </si>
  <si>
    <t>BAN-00678</t>
  </si>
  <si>
    <t>BAN-00679</t>
  </si>
  <si>
    <t>BAN-00680</t>
  </si>
  <si>
    <t>BAN-00681</t>
  </si>
  <si>
    <t>BAN-00682</t>
  </si>
  <si>
    <t>BAN-00683</t>
  </si>
  <si>
    <t>BAN-00684</t>
  </si>
  <si>
    <t>BAN-00685</t>
  </si>
  <si>
    <t>BAN-00686</t>
  </si>
  <si>
    <t>BAN-00687</t>
  </si>
  <si>
    <t>BAN-00688</t>
  </si>
  <si>
    <t>BAN-00689</t>
  </si>
  <si>
    <t>BAN-00690</t>
  </si>
  <si>
    <t>BAN-00691</t>
  </si>
  <si>
    <t>BAN-00692</t>
  </si>
  <si>
    <t>BAN-00693</t>
  </si>
  <si>
    <t>BAN-00694</t>
  </si>
  <si>
    <t>BAN-00695</t>
  </si>
  <si>
    <t>BAN-00696</t>
  </si>
  <si>
    <t>BAN-00697</t>
  </si>
  <si>
    <t>BAN-00698</t>
  </si>
  <si>
    <t>BAN-00699</t>
  </si>
  <si>
    <t>BAN-00700</t>
  </si>
  <si>
    <t>BAN-00701</t>
  </si>
  <si>
    <t>BAN-00702</t>
  </si>
  <si>
    <t>BAN-00703</t>
  </si>
  <si>
    <t>BAN-00704</t>
  </si>
  <si>
    <t>BAN-00705</t>
  </si>
  <si>
    <t>BAN-00706</t>
  </si>
  <si>
    <t>BAN-00707</t>
  </si>
  <si>
    <t>BAN-00708</t>
  </si>
  <si>
    <t>BAN-00709</t>
  </si>
  <si>
    <t>BAN-00710</t>
  </si>
  <si>
    <t>BAN-00711</t>
  </si>
  <si>
    <t>BAN-00712</t>
  </si>
  <si>
    <t>BAN-00713</t>
  </si>
  <si>
    <t>BAN-00714</t>
  </si>
  <si>
    <t>BAN-00715</t>
  </si>
  <si>
    <t>BAN-00716</t>
  </si>
  <si>
    <t>BAN-00717</t>
  </si>
  <si>
    <t>BAN-00718</t>
  </si>
  <si>
    <t>BAN-00719</t>
  </si>
  <si>
    <t>BAN-00720</t>
  </si>
  <si>
    <t>BAN-00721</t>
  </si>
  <si>
    <t>BAN-00722</t>
  </si>
  <si>
    <t>BAN-00723</t>
  </si>
  <si>
    <t>BAN-00724</t>
  </si>
  <si>
    <t>BAN-00725</t>
  </si>
  <si>
    <t>BAN-00726</t>
  </si>
  <si>
    <t>BAN-00727</t>
  </si>
  <si>
    <t>BAN-00728</t>
  </si>
  <si>
    <t>BAN-00729</t>
  </si>
  <si>
    <t>BAN-00730</t>
  </si>
  <si>
    <t>BAN-00731</t>
  </si>
  <si>
    <t>BAN-00732</t>
  </si>
  <si>
    <t>BAN-00733</t>
  </si>
  <si>
    <t>BAN-00734</t>
  </si>
  <si>
    <t>BAN-00735</t>
  </si>
  <si>
    <t>BAN-00736</t>
  </si>
  <si>
    <t>BAN-00737</t>
  </si>
  <si>
    <t>BAN-00738</t>
  </si>
  <si>
    <t>BAN-00739</t>
  </si>
  <si>
    <t>BAN-00740</t>
  </si>
  <si>
    <t>BAN-00741</t>
  </si>
  <si>
    <t>BAN-00742</t>
  </si>
  <si>
    <t>BAN-00743</t>
  </si>
  <si>
    <t>BAN-00744</t>
  </si>
  <si>
    <t>BAN-00745</t>
  </si>
  <si>
    <t>BAN-00746</t>
  </si>
  <si>
    <t>BAN-00747</t>
  </si>
  <si>
    <t>BAN-00748</t>
  </si>
  <si>
    <t>BAN-00749</t>
  </si>
  <si>
    <t>BAN-00750</t>
  </si>
  <si>
    <t>BAN-00751</t>
  </si>
  <si>
    <t>BAN-00752</t>
  </si>
  <si>
    <t>BAN-00753</t>
  </si>
  <si>
    <t>BAN-00754</t>
  </si>
  <si>
    <t>BAN-00755</t>
  </si>
  <si>
    <t>BAN-00756</t>
  </si>
  <si>
    <t>BAN-00757</t>
  </si>
  <si>
    <t>BAN-00758</t>
  </si>
  <si>
    <t>BAN-00759</t>
  </si>
  <si>
    <t>BAN-00760</t>
  </si>
  <si>
    <t>BAN-00761</t>
  </si>
  <si>
    <t>BAN-00762</t>
  </si>
  <si>
    <t>BAN-00763</t>
  </si>
  <si>
    <t>BAN-00764</t>
  </si>
  <si>
    <t>BAN-00765</t>
  </si>
  <si>
    <t>BAN-00766</t>
  </si>
  <si>
    <t>BAN-00767</t>
  </si>
  <si>
    <t>BAN-00768</t>
  </si>
  <si>
    <t>BAN-00769</t>
  </si>
  <si>
    <t>BAN-00770</t>
  </si>
  <si>
    <t>BAN-00771</t>
  </si>
  <si>
    <t>BAN-00772</t>
  </si>
  <si>
    <t>BAN-00773</t>
  </si>
  <si>
    <t>BAN-00774</t>
  </si>
  <si>
    <t>BAN-00775</t>
  </si>
  <si>
    <t>BAN-00776</t>
  </si>
  <si>
    <t>BAN-00777</t>
  </si>
  <si>
    <t>BAN-00778</t>
  </si>
  <si>
    <t>BAN-00779</t>
  </si>
  <si>
    <t>BAN-00780</t>
  </si>
  <si>
    <t>BAN-00781</t>
  </si>
  <si>
    <t>BAN-00782</t>
  </si>
  <si>
    <t>BAN-00783</t>
  </si>
  <si>
    <t>BAN-00784</t>
  </si>
  <si>
    <t>BAN-00785</t>
  </si>
  <si>
    <t>BAN-00786</t>
  </si>
  <si>
    <t>BAN-00787</t>
  </si>
  <si>
    <t>BAN-00788</t>
  </si>
  <si>
    <t>BAN-00789</t>
  </si>
  <si>
    <t>BAN-00790</t>
  </si>
  <si>
    <t>BAN-00791</t>
  </si>
  <si>
    <t>BAN-00792</t>
  </si>
  <si>
    <t>BAN-00793</t>
  </si>
  <si>
    <t>BAN-00794</t>
  </si>
  <si>
    <t>BAN-00795</t>
  </si>
  <si>
    <t>BAN-00796</t>
  </si>
  <si>
    <t>BAN-00797</t>
  </si>
  <si>
    <t>BAN-00798</t>
  </si>
  <si>
    <t>BAN-00799</t>
  </si>
  <si>
    <t>BAN-00800</t>
  </si>
  <si>
    <t>BAN-00801</t>
  </si>
  <si>
    <t>BAN-00802</t>
  </si>
  <si>
    <t>BAN-00803</t>
  </si>
  <si>
    <t>BAN-00804</t>
  </si>
  <si>
    <t>BAN-00805</t>
  </si>
  <si>
    <t>BAN-00806</t>
  </si>
  <si>
    <t>BAN-00807</t>
  </si>
  <si>
    <t>BAN-00808</t>
  </si>
  <si>
    <t>BAN-00809</t>
  </si>
  <si>
    <t>BAN-00810</t>
  </si>
  <si>
    <t>BAN-00811</t>
  </si>
  <si>
    <t>BAN-00812</t>
  </si>
  <si>
    <t>BAN-00813</t>
  </si>
  <si>
    <t>BAN-00814</t>
  </si>
  <si>
    <t>BAN-00815</t>
  </si>
  <si>
    <t>BAN-00816</t>
  </si>
  <si>
    <t>BAN-00817</t>
  </si>
  <si>
    <t>BAN-00818</t>
  </si>
  <si>
    <t>BAN-00819</t>
  </si>
  <si>
    <t>BAN-00820</t>
  </si>
  <si>
    <t>BAN-00821</t>
  </si>
  <si>
    <t>BAN-00822</t>
  </si>
  <si>
    <t>BAN-00823</t>
  </si>
  <si>
    <t>BAN-00824</t>
  </si>
  <si>
    <t>BAN-00825</t>
  </si>
  <si>
    <t>BAN-00826</t>
  </si>
  <si>
    <t>BAN-00827</t>
  </si>
  <si>
    <t>BAN-00828</t>
  </si>
  <si>
    <t>BAN-00829</t>
  </si>
  <si>
    <t>BAN-00830</t>
  </si>
  <si>
    <t>BAN-00831</t>
  </si>
  <si>
    <t>BAN-00832</t>
  </si>
  <si>
    <t>BAN-00833</t>
  </si>
  <si>
    <t>BAN-00834</t>
  </si>
  <si>
    <t>BAN-00835</t>
  </si>
  <si>
    <t>BAN-00836</t>
  </si>
  <si>
    <t>BAN-00837</t>
  </si>
  <si>
    <t>BAN-00838</t>
  </si>
  <si>
    <t>BAN-00839</t>
  </si>
  <si>
    <t>BAN-00840</t>
  </si>
  <si>
    <t>BAN-00841</t>
  </si>
  <si>
    <t>BAN-00842</t>
  </si>
  <si>
    <t>BAN-00843</t>
  </si>
  <si>
    <t>BAN-00844</t>
  </si>
  <si>
    <t>BAN-00845</t>
  </si>
  <si>
    <t>BAN-00846</t>
  </si>
  <si>
    <t>BAN-00847</t>
  </si>
  <si>
    <t>BAN-00848</t>
  </si>
  <si>
    <t>BAN-00849</t>
  </si>
  <si>
    <t>BAN-00850</t>
  </si>
  <si>
    <t>BAN-00851</t>
  </si>
  <si>
    <t>BAN-00852</t>
  </si>
  <si>
    <t>BAN-00853</t>
  </si>
  <si>
    <t>BAN-00854</t>
  </si>
  <si>
    <t>Aplicações Financeiras</t>
  </si>
  <si>
    <t>BAN-00855</t>
  </si>
  <si>
    <t>BAN-00856</t>
  </si>
  <si>
    <t>BAN-00857</t>
  </si>
  <si>
    <t>BAN-00858</t>
  </si>
  <si>
    <t>BAN-00859</t>
  </si>
  <si>
    <t>BAN-00860</t>
  </si>
  <si>
    <t>BAN-00861</t>
  </si>
  <si>
    <t>BAN-00862</t>
  </si>
  <si>
    <t>BAN-00863</t>
  </si>
  <si>
    <t>BAN-00864</t>
  </si>
  <si>
    <t>BAN-00865</t>
  </si>
  <si>
    <t>BAN-00866</t>
  </si>
  <si>
    <t>BAN-00867</t>
  </si>
  <si>
    <t>BAN-00868</t>
  </si>
  <si>
    <t>BAN-00869</t>
  </si>
  <si>
    <t>BAN-00870</t>
  </si>
  <si>
    <t>BAN-00871</t>
  </si>
  <si>
    <t>BAN-00872</t>
  </si>
  <si>
    <t>BAN-00873</t>
  </si>
  <si>
    <t>BAN-00874</t>
  </si>
  <si>
    <t>BAN-00875</t>
  </si>
  <si>
    <t>BAN-00876</t>
  </si>
  <si>
    <t>BAN-00877</t>
  </si>
  <si>
    <t>BAN-00878</t>
  </si>
  <si>
    <t>BAN-00879</t>
  </si>
  <si>
    <t>BAN-00880</t>
  </si>
  <si>
    <t>BAN-00881</t>
  </si>
  <si>
    <t>BAN-00882</t>
  </si>
  <si>
    <t>BAN-00883</t>
  </si>
  <si>
    <t>BAN-00884</t>
  </si>
  <si>
    <t>BAN-00885</t>
  </si>
  <si>
    <t>BAN-00886</t>
  </si>
  <si>
    <t>BAN-00887</t>
  </si>
  <si>
    <t>BAN-00888</t>
  </si>
  <si>
    <t>BAN-00889</t>
  </si>
  <si>
    <t>BAN-00890</t>
  </si>
  <si>
    <t>BAN-00891</t>
  </si>
  <si>
    <t>BAN-00892</t>
  </si>
  <si>
    <t>BAN-00893</t>
  </si>
  <si>
    <t>BAN-00894</t>
  </si>
  <si>
    <t>BAN-00895</t>
  </si>
  <si>
    <t>BAN-00896</t>
  </si>
  <si>
    <t>BAN-00897</t>
  </si>
  <si>
    <t>BAN-00898</t>
  </si>
  <si>
    <t>BAN-00899</t>
  </si>
  <si>
    <t>BAN-00900</t>
  </si>
  <si>
    <t>BAN-00901</t>
  </si>
  <si>
    <t>BAN-00902</t>
  </si>
  <si>
    <t>BAN-00903</t>
  </si>
  <si>
    <t>BAN-00904</t>
  </si>
  <si>
    <t>BAN-00905</t>
  </si>
  <si>
    <t>BAN-00906</t>
  </si>
  <si>
    <t>BAN-00907</t>
  </si>
  <si>
    <t>PRESTAÇÃO DE CONTAS - BIORENAL 2026</t>
  </si>
  <si>
    <t>PERÍODO:</t>
  </si>
  <si>
    <t>&lt;- escolha o mês</t>
  </si>
  <si>
    <t>DESCRIÇÃO</t>
  </si>
  <si>
    <t>(+) Repasse do Estado</t>
  </si>
  <si>
    <t>(+) Repasse Piso Salarial enfermagem</t>
  </si>
  <si>
    <t>(+) Saldo anterior em Conta Corrente</t>
  </si>
  <si>
    <t>(+) Transferências dos Sócios</t>
  </si>
  <si>
    <t>(+) Resgate do Financiamento (Banco do Nordeste)</t>
  </si>
  <si>
    <t>(+) Resgate de Aplicações Financeiras (CDI BB)</t>
  </si>
  <si>
    <t>(-) Aplicações Financeiras</t>
  </si>
  <si>
    <t>DESPESAS</t>
  </si>
  <si>
    <t xml:space="preserve">    ISS</t>
  </si>
  <si>
    <t xml:space="preserve">    PIS</t>
  </si>
  <si>
    <t xml:space="preserve">    COFINS</t>
  </si>
  <si>
    <t xml:space="preserve">    DARF - RETENÇÕES (PIS/COFINS/CSLL)</t>
  </si>
  <si>
    <t xml:space="preserve">    DARF - RETENÇÕES (IRRF)</t>
  </si>
  <si>
    <t xml:space="preserve">    DARF FÉRIAS</t>
  </si>
  <si>
    <t xml:space="preserve">    CSLL (Trimestral)</t>
  </si>
  <si>
    <t xml:space="preserve">    IRPJ (Trimestral)</t>
  </si>
  <si>
    <t xml:space="preserve">    (sem subcategoria definida)</t>
  </si>
  <si>
    <t xml:space="preserve">    Folha de Pagamento de Funcionários</t>
  </si>
  <si>
    <t xml:space="preserve">    Folha de Pagamento (Repasse de piso da Enfermagem)</t>
  </si>
  <si>
    <t xml:space="preserve">    FGTS</t>
  </si>
  <si>
    <t xml:space="preserve">    INSS</t>
  </si>
  <si>
    <t xml:space="preserve">    Rescisão Contratual</t>
  </si>
  <si>
    <t xml:space="preserve">    Multa Rescisória</t>
  </si>
  <si>
    <t xml:space="preserve">    Férias de Funcionários</t>
  </si>
  <si>
    <t xml:space="preserve">    Pagamento de Extras</t>
  </si>
  <si>
    <t xml:space="preserve">    Fornecimento de quentinhas para equipe da Enfermagem</t>
  </si>
  <si>
    <t xml:space="preserve">    EPIs e Fardamentos</t>
  </si>
  <si>
    <t xml:space="preserve">    CasaMater - Confecção Fístula</t>
  </si>
  <si>
    <t xml:space="preserve">    Exames Laboratorias dos Colaboradores</t>
  </si>
  <si>
    <t xml:space="preserve">    Exames Laboratorias dos Pacientes</t>
  </si>
  <si>
    <t xml:space="preserve">    Pagamento Cirurgião Vascular - Dr. Renato</t>
  </si>
  <si>
    <t xml:space="preserve">    Pagamento Cirurgião Vascular - Dr. Wilson</t>
  </si>
  <si>
    <t xml:space="preserve">    Pagamento Psicologa - Camilly</t>
  </si>
  <si>
    <t xml:space="preserve">    Pagamento Farmaceutica - Gardênia</t>
  </si>
  <si>
    <t xml:space="preserve">    Pagamento Nutricionista - Elaine</t>
  </si>
  <si>
    <t xml:space="preserve">    Serviço de correção de ficha de sala - Ferronefro</t>
  </si>
  <si>
    <t xml:space="preserve">    Serviço de enfermagem - Ferronefro</t>
  </si>
  <si>
    <t xml:space="preserve">    Serviço de RT de enfermagem - Ferronefro</t>
  </si>
  <si>
    <t xml:space="preserve">    Pagamento de plantão médico - Dr. Lucas</t>
  </si>
  <si>
    <t xml:space="preserve">    Pagamento de plantão médico - Dr. Hozano</t>
  </si>
  <si>
    <t xml:space="preserve">    Plantões Médicos (Sócios)</t>
  </si>
  <si>
    <t xml:space="preserve">    Despesas com Administração / PROLABORE</t>
  </si>
  <si>
    <t xml:space="preserve">    Responsabilidade Técnica - Dr. Anderson</t>
  </si>
  <si>
    <t xml:space="preserve">    Agulhas, Seringas, Máscaras, Luvas, Equipo e Med. Div.</t>
  </si>
  <si>
    <t xml:space="preserve">    Capilar, Filtros, Agulhas</t>
  </si>
  <si>
    <t xml:space="preserve">    CDL e Perm-cath</t>
  </si>
  <si>
    <t xml:space="preserve">    Linha Arterial e Venosa</t>
  </si>
  <si>
    <t xml:space="preserve">    Medicações (Heparina, Taurolock)</t>
  </si>
  <si>
    <t xml:space="preserve">    Solução e Soro para HD</t>
  </si>
  <si>
    <t xml:space="preserve">    Ácido Cítrico</t>
  </si>
  <si>
    <t xml:space="preserve">    Peroxide</t>
  </si>
  <si>
    <t xml:space="preserve">    Hipoclorito</t>
  </si>
  <si>
    <t xml:space="preserve">    Oxigênio</t>
  </si>
  <si>
    <t xml:space="preserve">    Solução para Desinfecção Poltronas - BELL FOAM</t>
  </si>
  <si>
    <t xml:space="preserve">    Qualiagua - Analise Água</t>
  </si>
  <si>
    <t xml:space="preserve">    Assessoria Administrativa</t>
  </si>
  <si>
    <t xml:space="preserve">    Contador</t>
  </si>
  <si>
    <t xml:space="preserve">    Energia Elétrica (Clínica + Casa de Apoio)</t>
  </si>
  <si>
    <t xml:space="preserve">    Aluguel casa de apoio</t>
  </si>
  <si>
    <t xml:space="preserve">    Coleta de Lixo</t>
  </si>
  <si>
    <t xml:space="preserve">    Despesas com Gráfica</t>
  </si>
  <si>
    <t xml:space="preserve">    Despesas com viagens</t>
  </si>
  <si>
    <t xml:space="preserve">    Despesas com Cartório</t>
  </si>
  <si>
    <t xml:space="preserve">    Material de Limpeza</t>
  </si>
  <si>
    <t xml:space="preserve">    Gás de cozinha para copa</t>
  </si>
  <si>
    <t xml:space="preserve">    Materiais de Construção, Elétrico e de Escritório</t>
  </si>
  <si>
    <t xml:space="preserve">    Panificadora</t>
  </si>
  <si>
    <t xml:space="preserve">    Supermercado</t>
  </si>
  <si>
    <t xml:space="preserve">    Suporte Informatica - Hardware, Internet, Sistemas e Câmeras</t>
  </si>
  <si>
    <t xml:space="preserve">    Taxas e Tarifas</t>
  </si>
  <si>
    <t xml:space="preserve">    Combustível (Gasolina)</t>
  </si>
  <si>
    <t xml:space="preserve">    Frete com mercadorias</t>
  </si>
  <si>
    <t xml:space="preserve">    Manutenção de Veículo</t>
  </si>
  <si>
    <t xml:space="preserve">    Transporte de pacientes e viagens para HTI</t>
  </si>
  <si>
    <t xml:space="preserve">    IPVA / Licenciamento e Multas</t>
  </si>
  <si>
    <t xml:space="preserve">    Manutenção - Máquinas HD, Gerador, Osmose</t>
  </si>
  <si>
    <t xml:space="preserve">    Manutenção - Ar Condicionados</t>
  </si>
  <si>
    <t xml:space="preserve">    Manutenção Predial (Reformas e Reparos)</t>
  </si>
  <si>
    <t xml:space="preserve">    Óleo diesel para gerador</t>
  </si>
  <si>
    <t>DESPESAS COM EMPRÉSTIMO E DEMAIS DESPESAS FINANCEIRAS</t>
  </si>
  <si>
    <t xml:space="preserve">    Seguro Icatu</t>
  </si>
  <si>
    <t xml:space="preserve">    Engenheiro</t>
  </si>
  <si>
    <t xml:space="preserve">    Aquisição de Máquinas de Hemodiálise</t>
  </si>
  <si>
    <t xml:space="preserve">    Aquisição de Ar Condicionado</t>
  </si>
  <si>
    <t xml:space="preserve">    Equipamentos de Informática (Computadores)</t>
  </si>
  <si>
    <t xml:space="preserve">    Financiamento do veículo</t>
  </si>
  <si>
    <t xml:space="preserve">    Distribuição de Lucros</t>
  </si>
  <si>
    <t xml:space="preserve">    Valor repassado aos sócios</t>
  </si>
  <si>
    <t>LANÇAMENTOS AINDA NÃO CLASSIFICADOS</t>
  </si>
  <si>
    <t>SALDO DO PERÍODO (ENTRADAS - DESPESAS)</t>
  </si>
  <si>
    <t>Memória: repasse do piso da enfermagem (entrada) no período</t>
  </si>
  <si>
    <t>Memória: folha do repasse do piso (despesa) no período</t>
  </si>
  <si>
    <t>ANÁLISES FINANCEIRAS - 2026</t>
  </si>
  <si>
    <t>Tudo calculado a partir da aba RATEIOS. Nenhum lançamento manual.</t>
  </si>
  <si>
    <t>1. CATEGORIA POR 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</si>
  <si>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</si>
  <si>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</si>
  <si>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</si>
  <si>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</si>
  <si>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</si>
  <si>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</si>
  <si>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</si>
  <si>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</si>
  <si>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</si>
  <si>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</si>
  <si>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</si>
  <si>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</si>
  <si>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</si>
  <si>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(sem categoria definida)</t>
  </si>
  <si>
    <t>TOTAL DE DESPESAS (exclui ENTRADAS)</t>
  </si>
  <si>
    <t>A CLASSIFICAR (pode conter entrada e despesa)</t>
  </si>
  <si>
    <t>2. SUBCATEGORIA (ano todo)</t>
  </si>
  <si>
    <t>% DA CATEGORIA</t>
  </si>
  <si>
    <t>DARF FÉRIAS</t>
  </si>
  <si>
    <t>Multa Rescisória</t>
  </si>
  <si>
    <t>Férias de Funcionários</t>
  </si>
  <si>
    <t>Pagamento de Extras</t>
  </si>
  <si>
    <t>Pagamento Psicologa - Camilly</t>
  </si>
  <si>
    <t>Despesas com Gráfica</t>
  </si>
  <si>
    <t>Despesas com viagens</t>
  </si>
  <si>
    <t>IPVA / Licenciamento e Multas</t>
  </si>
  <si>
    <t>Manutenção - Ar Condicionados</t>
  </si>
  <si>
    <t>Seguro Icatu</t>
  </si>
  <si>
    <t>Engenheiro</t>
  </si>
  <si>
    <t>Aquisição de Ar Condicionado</t>
  </si>
  <si>
    <t>Valor repassado aos sócios</t>
  </si>
  <si>
    <t>3. FORNECEDOR (ano todo)</t>
  </si>
  <si>
    <t>TOTAL PAGO (SAÍDAS)</t>
  </si>
  <si>
    <t>TOTAL RECEBIDO (ENTRADAS)</t>
  </si>
  <si>
    <t>Nº MOVIMENTOS</t>
  </si>
  <si>
    <t>4. NATUREZA DA MOVIMENTAÇÃO POR MÊS (visão do banco)</t>
  </si>
  <si>
    <t>ENTRADAS (recebimentos)</t>
  </si>
  <si>
    <t>SAÍDAS (pagamentos)</t>
  </si>
  <si>
    <t>APLICAÇÕES</t>
  </si>
  <si>
    <t>RESGATES</t>
  </si>
  <si>
    <t>SALDO DO MÊS (E + R - S - A)</t>
  </si>
  <si>
    <t>CADASTROS E PARÂMETROS</t>
  </si>
  <si>
    <t>Listas que alimentam os menus suspensos. Altere aqui, não nas abas de lançamento.</t>
  </si>
  <si>
    <t>PARÂMETROS</t>
  </si>
  <si>
    <t>SALDO INICIAL EM 31/12/2025</t>
  </si>
  <si>
    <t>&lt;- preencher com o saldo do extrato</t>
  </si>
  <si>
    <t>CATEGORIAS</t>
  </si>
  <si>
    <t>CATEGORIA (par)</t>
  </si>
  <si>
    <t>STATUS DE CONCILIAÇÃO</t>
  </si>
  <si>
    <t>MESES</t>
  </si>
  <si>
    <t>FORNECEDORES</t>
  </si>
  <si>
    <t>Conciliado</t>
  </si>
  <si>
    <t>Pendente</t>
  </si>
  <si>
    <t>Divergência</t>
  </si>
  <si>
    <t>DÉBITO AUTOMÁTICO</t>
  </si>
  <si>
    <t>DEPÓSITO</t>
  </si>
  <si>
    <t>OUTROS</t>
  </si>
  <si>
    <t>MAPEAMENTO DE CATEGORIAS: ESTRUTURA ANTIGA -&gt; NOVA</t>
  </si>
  <si>
    <t>Referência de como a classificação usada até junho/2026 foi convertida para o plano de contas do NOVO MODELO DE PRESTAÇÃO DE CONTAS 2026.</t>
  </si>
  <si>
    <t>CATEGORIA ANTIGA</t>
  </si>
  <si>
    <t>SUBCATEGORIA ANTIGA</t>
  </si>
  <si>
    <t>NOVA CATEGORIA</t>
  </si>
  <si>
    <t>NOVA SUBCATEGORIA</t>
  </si>
  <si>
    <t>STATUS</t>
  </si>
  <si>
    <t>DESPESAS_COM_IMPOSTOS</t>
  </si>
  <si>
    <t>MANTIDA</t>
  </si>
  <si>
    <t>DARF DIVERSOS</t>
  </si>
  <si>
    <t>DARF - RETENÇÕES (PIS/COFINS/CSLL) / (IRRF)</t>
  </si>
  <si>
    <t>DIVIDIDA</t>
  </si>
  <si>
    <t>O plano novo separa as duas retenções. Dividido pelo texto do lançamento; onde o texto não indica, a subcategoria ficou em branco.</t>
  </si>
  <si>
    <t>DESPESAS_COM_SALÁRIOS_DE_FUNCIONÁRIOS</t>
  </si>
  <si>
    <t>Folha de Pagamento</t>
  </si>
  <si>
    <t>AGRUPADA</t>
  </si>
  <si>
    <t>Havia dois nomes para a mesma coisa.</t>
  </si>
  <si>
    <t>Folha de Pagamento piso de Enfermagem</t>
  </si>
  <si>
    <t>Duas grafias unificadas.</t>
  </si>
  <si>
    <t>DESPESAS_COM_PRESTADORES_DE_SERVIÇOS_EM_SAÚDE_TERCEIROS</t>
  </si>
  <si>
    <t>Pagamento Farmaceutica - Rebeca de Cássia</t>
  </si>
  <si>
    <t>SUBSTITUÍDA</t>
  </si>
  <si>
    <t>Trocou a profissional durante o ano. Histórico de jan/fev migrado para a linha nova.</t>
  </si>
  <si>
    <t>DESPESAS_COM_PRESTAÇÃO_SERVIÇOS_SÓCIOS</t>
  </si>
  <si>
    <t>Plantões Médicos</t>
  </si>
  <si>
    <t>RENOMEADA</t>
  </si>
  <si>
    <t>Despesas com Administração/ PROLABORE</t>
  </si>
  <si>
    <t>DESPESAS_COM_MATERIAIS_PARA_HEMODIÁLISE</t>
  </si>
  <si>
    <t>Agulhas, Seringas, Máscaras, Luvas, Equipo e Medicamentos Diversos</t>
  </si>
  <si>
    <t>Medicações (Heparina , Taurolock)</t>
  </si>
  <si>
    <t>DESPESAS_ADMINISTRATIVAS</t>
  </si>
  <si>
    <t>Energia Elétrica (Clinica + Casa de Apoio)</t>
  </si>
  <si>
    <t>Materiais de Construção, Eletrico e de Escritório</t>
  </si>
  <si>
    <t>Suporte Informatica - Reposição de Hardwere, Internet e Sistemas (Fortes e Nephrosys) e Cameras</t>
  </si>
  <si>
    <t>Taxas e Tarifas - (ABCDT, CAEMA, CND, Sefaz, ...)</t>
  </si>
  <si>
    <t>A lista antiga citava CAEMA; a nova cita Alvará e IPTU.</t>
  </si>
  <si>
    <t>MUDOU DE GRUPO</t>
  </si>
  <si>
    <t>Passou de Administrativas para Salários e Benefícios.</t>
  </si>
  <si>
    <t>Passou para Salários e Benefícios.</t>
  </si>
  <si>
    <t>Fretes de Materiais e Equipamentos</t>
  </si>
  <si>
    <t>Despesas com veículo</t>
  </si>
  <si>
    <t>Combustivel - gasolina e óleo diesel gerador</t>
  </si>
  <si>
    <t>Combustível (Gasolina) / Óleo diesel para gerador</t>
  </si>
  <si>
    <t>A nova estrutura separa gasolina do carro (Logística) do diesel do gerador (Manutenção). Dividido pelo texto do lançamento.</t>
  </si>
  <si>
    <t>Manutenção - Maquinas HD, Gerador, Osmose, Veículo e etc.</t>
  </si>
  <si>
    <t>O que era manutenção de veículo foi para Logística e Frota.</t>
  </si>
  <si>
    <t>Manutenção -  Ar Condicionados.</t>
  </si>
  <si>
    <t>Manutenção Predial</t>
  </si>
  <si>
    <t>Ácido peracético = Peroxide (confirmado por Marcos).</t>
  </si>
  <si>
    <t>Ácidos</t>
  </si>
  <si>
    <t>Ácido cítrico entra em Ácidos (confirmado por Marcos).</t>
  </si>
  <si>
    <t>Gás /Oxigênio</t>
  </si>
  <si>
    <t>ADM / MAT</t>
  </si>
  <si>
    <t>Gás de cozinha para copa / Oxigênio</t>
  </si>
  <si>
    <t>Eram a mesma linha. Agora o gás de cozinha é Administrativa e o oxigênio é Material de Hemodiálise.</t>
  </si>
  <si>
    <t>Aquisição de Equipamentos - Ar Condicionado, Máquinas de HD, Diversos</t>
  </si>
  <si>
    <t>Máquinas de Hemodiálise / Ar Condicionado / Informática</t>
  </si>
  <si>
    <t>'Diversos' (poltronas, móveis) não tem linha no plano novo: subcategoria ficou em branco para você decidir.</t>
  </si>
  <si>
    <t>DESPESAS_COM_SÓCIOS_LUCROS</t>
  </si>
  <si>
    <t>Aplicações Financeiras / Resgate de Aplicações (CDI BB)</t>
  </si>
  <si>
    <t>Aplicação e resgate agora são colunas separadas no EXTRATO e não entram como despesa/receita operacional.</t>
  </si>
  <si>
    <t>Telefone</t>
  </si>
  <si>
    <t>SEM CORRESPONDÊNCIA</t>
  </si>
  <si>
    <t>Não teve uso em 2026. Se voltar a existir, classifique em Taxas e Tarifas ou crie a linha.</t>
  </si>
  <si>
    <t>Água - SAAE / CAEMA</t>
  </si>
  <si>
    <t>Sem uso em 2026.</t>
  </si>
  <si>
    <t>Taxista</t>
  </si>
  <si>
    <t>Sem uso em 2026. Provável destino: Logística e Frota.</t>
  </si>
  <si>
    <t>Fatura do Cartão</t>
  </si>
  <si>
    <t>Sem uso em 2026. Fatura de cartão não é categoria: deve ser rateada pelo que foi comprado.</t>
  </si>
  <si>
    <t>Energias Renováveis</t>
  </si>
  <si>
    <t>Acessoria Jurídica</t>
  </si>
  <si>
    <t>LM Contrução (Seg. do Trabalho)</t>
  </si>
  <si>
    <t>(não existia)</t>
  </si>
  <si>
    <t>NOVA</t>
  </si>
  <si>
    <t>Categoria nova do plano 2026, ainda sem histórico.</t>
  </si>
  <si>
    <t>Despesas com Gráfica / Despesas com viagens</t>
  </si>
  <si>
    <t>Novas no plano 2026.</t>
  </si>
  <si>
    <t>Nova no plano 2026.</t>
  </si>
  <si>
    <t>Seguro Icatu / Engenheiro</t>
  </si>
  <si>
    <t>PONTO PARA REVISÃO: 'Engenheiro' dentro de despesas financeiras parece deslocado; o natural seria Manutenção e Infraestrutura. Não alterei.</t>
  </si>
  <si>
    <t>CONTROLE DE INTEGRIDADE</t>
  </si>
  <si>
    <t>Confira esta aba antes de fechar o mês. Tudo deve estar OK.</t>
  </si>
  <si>
    <t>VERIFICAÇÃO</t>
  </si>
  <si>
    <t>RESULTADO</t>
  </si>
  <si>
    <t>SITUAÇÃO</t>
  </si>
  <si>
    <t>O QUE FAZER</t>
  </si>
  <si>
    <t>Movimentos bancários sem ID</t>
  </si>
  <si>
    <t>IDs duplicados no EXTRATO</t>
  </si>
  <si>
    <t>Cada movimento bancário deve ter um ID único.</t>
  </si>
  <si>
    <t>Movimentos com rateio maior ou menor que o banco</t>
  </si>
  <si>
    <t>Abra o EXTRATO, filtre STATUS DO RATEIO = DIVERGÊNCIA e ajuste as linhas da aba RATEIOS.</t>
  </si>
  <si>
    <t>Movimentos sem nenhuma linha de rateio</t>
  </si>
  <si>
    <t>Movimentos com rateio sem categoria</t>
  </si>
  <si>
    <t>Na aba RATEIOS, as linhas em amarelo estão sem CATEGORIA. Preencha.</t>
  </si>
  <si>
    <t>Linhas de rateio com valor mas sem categoria</t>
  </si>
  <si>
    <t>Preencha CATEGORIA e SUBCATEGORIA nessas linhas.</t>
  </si>
  <si>
    <t>Linhas de rateio com categoria mas sem subcategoria</t>
  </si>
  <si>
    <t>Preencha a SUBCATEGORIA para o valor aparecer na linha certa da prestação de contas.</t>
  </si>
  <si>
    <t>Rateios apontando para ID que não existe no EXTRATO</t>
  </si>
  <si>
    <t>Corrija o ID_LANC na aba RATEIOS.</t>
  </si>
  <si>
    <t>Subcategoria incompatível com a categoria</t>
  </si>
  <si>
    <t>O par CATEGORIA + SUBCATEGORIA não existe no plano de contas (aba CADASTROS).</t>
  </si>
  <si>
    <t>Valores negativos no EXTRATO</t>
  </si>
  <si>
    <t>Lance sempre valores positivos na coluna certa (ENTRADA, SAÍDA, APLICAÇÃO ou RESGATE).</t>
  </si>
  <si>
    <t>Valores negativos nos RATEIOS</t>
  </si>
  <si>
    <t>O rateio detalha o valor do movimento; deve ser sempre positivo.</t>
  </si>
  <si>
    <t>Linhas de rateio ainda marcadas SUGERIDO</t>
  </si>
  <si>
    <t>Classificação proposta automaticamente a partir do padrão de jan-jun. Confira e, ao validar, troque ORIGEM para CONFIRMADO.</t>
  </si>
  <si>
    <t>Linhas de rateio marcadas PENDENTE ou REVISAR</t>
  </si>
  <si>
    <t>Não havia informação suficiente para classificar. Preencha manualmente.</t>
  </si>
  <si>
    <t>Meses de 2026 sem nenhuma movimentação</t>
  </si>
  <si>
    <t>INFORMATIVO</t>
  </si>
  <si>
    <t>Informativo. Meses futuros ainda sem lançamento aparecem aqui.</t>
  </si>
  <si>
    <t>TESTES DE FECHAMENTO</t>
  </si>
  <si>
    <t>TESTE</t>
  </si>
  <si>
    <t>VALOR A</t>
  </si>
  <si>
    <t>VALOR B</t>
  </si>
  <si>
    <t>Soma dos rateios = soma dos movimentos do banco</t>
  </si>
  <si>
    <t>Saldo inicial + movimentações = saldo final do EXTRATO</t>
  </si>
  <si>
    <t>Total anual de despesas (ANÁLISES) = soma dos 12 meses</t>
  </si>
  <si>
    <t>Prestação de contas (ano todo): ENTRADAS - DESPESAS = SALDO</t>
  </si>
  <si>
    <t>Resgate BB CDB DI</t>
  </si>
  <si>
    <t>14588</t>
  </si>
  <si>
    <t>428167</t>
  </si>
  <si>
    <t>NF 11207 / NF 11282</t>
  </si>
  <si>
    <t>2026000000000 41</t>
  </si>
  <si>
    <t>21</t>
  </si>
  <si>
    <t>1968</t>
  </si>
  <si>
    <t>365424</t>
  </si>
  <si>
    <t>2743</t>
  </si>
  <si>
    <t>NF AINDA NÃO DISPONIVEL</t>
  </si>
  <si>
    <t>NF 6408 / NF 202600000450500</t>
  </si>
  <si>
    <t>INOVMED DISTRIBUIDORA</t>
  </si>
  <si>
    <t>1088</t>
  </si>
  <si>
    <t>ISS (MUNICIPIO DE SANTA INÊS) - NF 202600000000007 (REF. COMP. JUN/26 - EMITIDA EM 03/08/2026)</t>
  </si>
  <si>
    <t>REMORA HOSPITALAR (REF. CLOREXIDINAS, EQUIPOS E LANCETAS) 1/2</t>
  </si>
  <si>
    <t>BAN-00908</t>
  </si>
  <si>
    <t>BAN-00909</t>
  </si>
  <si>
    <t>SUPERMÉDICA (REF. MEDICAMENTO, INSUMOS E SACOS DE LIXO HOSPITALAR) 2/2</t>
  </si>
  <si>
    <t>BAN-00910</t>
  </si>
  <si>
    <t>BAN-00911</t>
  </si>
  <si>
    <t>A C R DA SILVA E CIA (SUPERMERCADO CAMINO - REF. COMPRAS QUINZENAIS DE AGO/26 - DATAS 04/08 E 19/08)</t>
  </si>
  <si>
    <t>BAN-00912</t>
  </si>
  <si>
    <t>E M GONÇALVES PADARIA (REF. FORNEC. DE PÃES E BOLOS - AGO/26) - FAVORECIDO: EDILBERTO M. GONÇALVES</t>
  </si>
  <si>
    <t>BAN-00913</t>
  </si>
  <si>
    <t>BAN-00914</t>
  </si>
  <si>
    <t>PLANTÕES MÉDICOS (REF. JUL/2026) - HOZANO MACHADO (07 PLANTÕES)</t>
  </si>
  <si>
    <t>BAN-00915</t>
  </si>
  <si>
    <t>BAN-00916</t>
  </si>
  <si>
    <t>I F DA SILVA &amp; CIA LTDA (REF. AGO/26)</t>
  </si>
  <si>
    <t>BAN-00917</t>
  </si>
  <si>
    <t>NORTEFLOW (REF. KIT DUREZA TOTAL) 1/2</t>
  </si>
  <si>
    <t>BAN-00918</t>
  </si>
  <si>
    <t>FARMACE (REF. SOL. ÁCIDA E BÁSICA, SOROS (100ML E 500ML), DIPIRONA INJETÁVEL, GLICOSE 50% E CLORETO DE SÓDIO 10%) 1/2</t>
  </si>
  <si>
    <t>BAN-00919</t>
  </si>
  <si>
    <t>BAN-00920</t>
  </si>
  <si>
    <t>FARMACE (REF. SORO 500ML E SOLUÇÕES) 2/2</t>
  </si>
  <si>
    <t>BAN-00921</t>
  </si>
  <si>
    <t>NIPRO MEDICAL (REF. CAPILAR 19H E AGULHA 17G) 2/2</t>
  </si>
  <si>
    <t>BAN-00922</t>
  </si>
  <si>
    <t>BAN-00923</t>
  </si>
  <si>
    <t>BAN-00924</t>
  </si>
  <si>
    <t>INOVMED DISTRIBUIDORA (REF. COMPRESSA DE GAZE) 1/2</t>
  </si>
  <si>
    <t>UPERMÉDICA DISTRIBUIDORA (REF. MEDICAMENTOS E INSUMOS) 1/2</t>
  </si>
  <si>
    <t xml:space="preserve"> LEMOS BRANCO &amp; CIA - POSTO PREMIUM (COMBUSTÍVEL CARRO)</t>
  </si>
  <si>
    <t>NOTA FISCAL SEM DESCRIÇÃO DA COMPETÊNCIA DE AGOSTO | NFS 52 CANCELADA E SUBSTITUIDA POR NFS 53</t>
  </si>
  <si>
    <t xml:space="preserve">VENC. NA NF ERA 13/09 (FINAL DE SEMANA) </t>
  </si>
  <si>
    <t xml:space="preserve">O FINANCEIRO FATUROU POR ENGANO UM ABASTECIMENTO DE SETEMBRO NA COMPETÊNCIA DE AGOSTO. POR CONTA DISSO O VALOR PASSOU DO HABITUAL DE R$ 400,00. </t>
  </si>
  <si>
    <t>VENC. NA NF ERA 13/09 (FINAL DE SEMANA)</t>
  </si>
  <si>
    <t>BIOCOMPANY (REF. CATETER E PERMCATCH)</t>
  </si>
  <si>
    <t>BIOCOMPANY (REF. CURATIVOS E TAMPA PARA CATETER)</t>
  </si>
  <si>
    <t>CONFERÊNCIA</t>
  </si>
  <si>
    <t>CATEGORIA PARA VALIDAÇÃO</t>
  </si>
  <si>
    <t>WILSON DE FREITAS SORIANO (BOTECO DO TARCISIO) - REF. QUENTINHAS TÉCNICOS SEGUNDA QUINZENA DE AGOSTO (16/08 A 31/08)</t>
  </si>
  <si>
    <t>WILSON DE FREITAS SORIANO (BOTECO DO TARCISIO) - REF. QUENTINHAS TÉCNICOS PRIMEIRA QUINZENA DE SETEMBRO (01/09 A 15/09)</t>
  </si>
  <si>
    <t>ORDEM BANCÁRIA (REF. PISO SALARIAL ENFERMAGEM - COMP. AGO/26)</t>
  </si>
  <si>
    <t>REPASSE DO CONTRATO</t>
  </si>
  <si>
    <t>PISO DE ENFERMAGEM</t>
  </si>
  <si>
    <t>RESCISÃO DE CONTRATO (REF. RONALDO ALVES TEIXEIRA)</t>
  </si>
  <si>
    <t>FGTS (08/2026)</t>
  </si>
  <si>
    <t>INSS (08/2026)</t>
  </si>
  <si>
    <t>TRIBUTOS FEDEREIAS MENSAIS</t>
  </si>
  <si>
    <t>BRANDO &amp; BRANDÃO (REF. SACOS DE LIXO INFECTANTE) 1/1</t>
  </si>
  <si>
    <t>ERONLIMP (REF. MATERIAIS DE LIMPEZA) 1/1</t>
  </si>
  <si>
    <t>A. A . DE L. DA SILVA - SOS EXTINTORES (REF. RECARGA DE EXTINTOR, FITA DE DERMARCAÇÃO E PINTURA DE DEMARCAÇÃO)</t>
  </si>
  <si>
    <t>202600000000016</t>
  </si>
  <si>
    <t xml:space="preserve">202600000000018 </t>
  </si>
  <si>
    <t>202600000001128</t>
  </si>
  <si>
    <t>FGTS RESCISÓRIO - RONALDO ALVES TEXEIRA (COMPETÊNCIA 09/2026)</t>
  </si>
  <si>
    <t>CHEQUE COMPENSADO (REF. 150 SACOS DE SAL DE 25KG PARA OSMOSE)</t>
  </si>
  <si>
    <t>JADSON SAL</t>
  </si>
  <si>
    <t>SEM NOTA FISCAL</t>
  </si>
  <si>
    <t>BIOGREEN INCINERAÇÃO DE RESIDUOS (REF. COLETO LIXO INFECTANTE) - REF. 08/26</t>
  </si>
  <si>
    <t>BIOGREEN</t>
  </si>
  <si>
    <t>SALDO EM CONTA</t>
  </si>
  <si>
    <t>BIOCOMPANY (REF. CATETER) 1/1</t>
  </si>
  <si>
    <t>BIOCOMPANY (REF. CURATIVO E TAMPAS DE CATETER) 1/1</t>
  </si>
  <si>
    <t>DIÁLISE COMÉRCIO (REF.  ÁCIDO PERACÉTICO) 1/2</t>
  </si>
  <si>
    <t>Relatório automático: movimentos de RATEIOS e saldo anterior de EXTRATO.</t>
  </si>
  <si>
    <t>FARMACE (REF. SOROS E SOLUÇÕES ) 1/2</t>
  </si>
  <si>
    <t>Mobiliário e utensílios duráveis</t>
  </si>
  <si>
    <t>CONFIRMADO</t>
  </si>
  <si>
    <t xml:space="preserve">    Mobiliário e utensílios duráveis</t>
  </si>
  <si>
    <t>MARKETPLACE MERCADO LIVRE (VÁRIOS FORNECEDORES) - REF. MATERIAIS DE ESCRITÓRIO</t>
  </si>
  <si>
    <t>MARKETPLACE MERCADO LIVRE (VÁRIOS FORNECEDORES) - REF. COLA PARA TUBULAÇÃO</t>
  </si>
  <si>
    <t>MARKETPLACE MERCADO LIVRE (VÁRIOS FORNECEDORES) - REF. BANDEJAS  P/ MÁQUINAS</t>
  </si>
  <si>
    <t>CASAMATER (REF. JAN/2026)</t>
  </si>
  <si>
    <t>CELINA TCBC DE MIRANDA (REF. DEVOLUÇÃO DO ADIANTAMENTO DE RECURSOS DOS SÓCIOS)</t>
  </si>
  <si>
    <t>PATRICK DULFF LOBO ARAUJO (REF. REEMBOLSO DO PAGAMENTO DO ENGENHEIRO)</t>
  </si>
  <si>
    <t>ANDERSON RAFAEL SALVIANO (REF. REEMBOLSO DO PAGAMENTO DO ENGENHEIRO)</t>
  </si>
  <si>
    <t>FABIANA CRISTINA BARROS (REF. REEMBOLSO DO PAGAMENTO DO ENGENHEIRO)</t>
  </si>
  <si>
    <t>MOISES S OLIVEIRA (REF. REEMBOLSO DO PAGAMENTO DO ENGENHEIRO)</t>
  </si>
  <si>
    <t>GLADSTONE SANTOS SILVA (REF. REEMBOLSO DO PAGAMENTO DO ENGENHEIRO)</t>
  </si>
  <si>
    <t>AFONSO PAULO COSTA FERRO (REF. REEMBOLSO DO PAGAMENTO DO ENGENHEIRO)</t>
  </si>
  <si>
    <t>CELINA TCBC DE MIRANDA (REF. REEMBOLSO DO PAGAMENTO DO ENGENHEIRO)</t>
  </si>
  <si>
    <t>FRANCISCO H SOUSA (RECEITA)</t>
  </si>
  <si>
    <t>FRANCISCO H SOUSA (REF. REEMBOLSO DO PAGAMENTO DO ENGENHEIRO)</t>
  </si>
  <si>
    <t>MOISES S OLIVEIRA (REF. DEVOLUÇÃO DO ADIANTAMENTO DE RECURSOS DOS SÓCIOS)</t>
  </si>
  <si>
    <t>GLADSTONE SANTOS SILVA (REF. DEVOLUÇÃO DO ADIANTAMENTO DE RECURSOS DOS SÓCIOS)</t>
  </si>
  <si>
    <t>ADELIA DALVA DA SILVA OLIVEIRA (REF. REEMBOLSO DO PAGAMENTO DO ENGENHEIRO)</t>
  </si>
  <si>
    <t>BRANDO &amp; BRANDÃO (REF. ÁLCOOL EM GEL) 1/1</t>
  </si>
  <si>
    <t>3806</t>
  </si>
  <si>
    <t>RESCISÃO DE CONTRATO (REF. ALEXANDRE SILVA SAMPAIO)</t>
  </si>
  <si>
    <t>KELLY RAVANA TEIXEIRA DE MESQUITA (REF. PEÇAS PARA MANUTENÇÃO DAS MÁQUINAS DE HD)</t>
  </si>
  <si>
    <t>47</t>
  </si>
  <si>
    <t>HR MANUTENÇÃO HOSPITALAR E TRAT. DE ÁGUA ( REF. PREST. DE SERV.TRATAMENTO DA ÁGUA)</t>
  </si>
  <si>
    <t>5333</t>
  </si>
  <si>
    <t>FOLHA DE PAGAMENTO (REF. FÉRIAS DE SET/26 - ANTONIO SANTOS, MARIA DOMINGAS E MAYANE)</t>
  </si>
  <si>
    <t>FGTS RESCISÓRIO - ALEXANDRE SILVA SAMPAIO (COMPETÊNCIA 09/2026)</t>
  </si>
  <si>
    <t>EXCELLENCE DISTRIBUIÇÃO (REF. MATERIAIS E MEDICAMENTOS DIVERSOS) 1/2</t>
  </si>
  <si>
    <t>NIPRO (REF. COMPRA DE 04 MÁQUINAS DE HD) - PARCELA 12/24</t>
  </si>
  <si>
    <t>NIPRO (REF. COMPRA DE 21 MÁQUINAS DE HD) - PARCELA 12/24</t>
  </si>
  <si>
    <t>5022</t>
  </si>
  <si>
    <t>ADAILTON MESSIAS MENDONÇA (REF. FUNELARIA DO CARRO DA CLINICA)</t>
  </si>
  <si>
    <t>JOEL (REF. COMPRA DE 150 SACOS DE SAL)</t>
  </si>
  <si>
    <t>DIÁLISE COMÉRCIO (REF. CAPILAR 2.0 B20HF DORA) 1/1</t>
  </si>
  <si>
    <t>1302</t>
  </si>
  <si>
    <t>ALLMED PRONEFRO (REF. LINHA ARTERIAL, LINHA VENOSA E CONJUNTO) 3/3</t>
  </si>
  <si>
    <t>BIOCOMPANY (REF. PERMCATCH 28CM E 32CM E TAMPA PARA CATETER) 1/2</t>
  </si>
  <si>
    <t>FARMACE (REF. SOLUÇÕES ÁCIDAS E BÁSICAS) 2/2</t>
  </si>
  <si>
    <t>NIPRO MEDICAL (REF. AGULHA 16G) 2/2</t>
  </si>
  <si>
    <t>DIÁLISE COMÉRCIO (REF.TAMPA P/ CATETER, INDICADOR DE ÁCIDO PERACÉTICO, ISOLADOR DE PRESSÃO E PEROXIDE 5%) 1/2</t>
  </si>
  <si>
    <t>NIPRO MEDICAL (REF. CAPILAR 21H, CAPILAR 19H E FILTRO DE ENDOTOXINA) 2/2</t>
  </si>
  <si>
    <t>FARMACE (REF. SOL. ÁCIDA E BÁSICA, SORO 500ML, PARECETAMOL E ÁGUA DESTILADA) 1/2</t>
  </si>
  <si>
    <t>EQUATORIAL MARANHÃO (REF. ENERGIA ELÉTRICA DA CLÍNICA) - REF. 09/2026</t>
  </si>
  <si>
    <t>INOVMED DISTRIBUIDORA (REF. COMPRESSA DE GAZE) 2/2</t>
  </si>
  <si>
    <t>PNEUFREE COM BRASIL LTDA (REF. COMPRA PNEU CARRO DA CLINICA)</t>
  </si>
  <si>
    <t>PNEUFREE</t>
  </si>
  <si>
    <t>1875686</t>
  </si>
  <si>
    <t>PIS (REF. NF 202600000000006 E NF 202600000000007 – COMP. MAI/2026 E JUN/2026 - RECEB. AGOSTO/2026)</t>
  </si>
  <si>
    <t>PIS (REF. NF 202600000000002 – COMP. JAN/2026 – RECEB. MARÇO/2026)</t>
  </si>
  <si>
    <t>PIS (REF. NF 004 – COMP. OUT/2025 E NF 005 – COMP. NOV/2025 – RECEB. DEZEMBRO/2025)</t>
  </si>
  <si>
    <t>COFINS (REF. NF 004 – COMP. OUT/2025 E NF 005 – COMP. NOV/2025 – RECEB. DEZEMBRO/2025)</t>
  </si>
  <si>
    <t>COFINS (REF. NF 202600000000002 – COMP. JAN/2026 – RECEB. MARÇO/2026)</t>
  </si>
  <si>
    <t>CSLL (REF. 4º TRIM/2025)</t>
  </si>
  <si>
    <t>IRPJ (REF. 4º TRIM/2025)</t>
  </si>
  <si>
    <t>COFINS (REF. NF 202600000000006 E NF 202600000000007 – COMP. MAI/2026 E JUN/2026 - RECEB. AGOSTO/2026)</t>
  </si>
  <si>
    <t>DIÁLISE COMÉRCIO (REF. PEROXIDE 50%) 1/2</t>
  </si>
  <si>
    <t>DIÁLISE COMÉRCIO (REF. CAPILAR 20 H) 1/2</t>
  </si>
  <si>
    <t>DIÁLISE COMÉRCIO (REF. CAPILAR 2.0 B-20HF) 2/2</t>
  </si>
  <si>
    <t>DIÁLISE COMÉRCIO (REF. INDICADOR DE ÁCIDO PERACÉTICO E TAMPA) 2/2</t>
  </si>
  <si>
    <t>FARMACE (REF. SORO 500ML, SOLUÇÕES) 1/2</t>
  </si>
  <si>
    <t>DIÁLISE COMÉRCIO (REF. CAPILAR 20 H) 2/2</t>
  </si>
  <si>
    <t>DIÁLISE COMÉRCIO (REF. FITA INDICADORA DE ÁCIDO PERACÉTICO) 2/2</t>
  </si>
  <si>
    <t>PROTMED (REF. AVENTAL PARA REUSO E VISEIRA) 1/1</t>
  </si>
  <si>
    <t>PROTMED (REF. CAPA PARA CATETER) 1/1</t>
  </si>
  <si>
    <t>FARMACE (REF. CLORETO DE SÓDIO 10%) 2/2</t>
  </si>
  <si>
    <t>FARMACE (REF. SORO 100ML E SOLUÇÕES) 2/2</t>
  </si>
  <si>
    <t>FARMACE (REF. SORO 500ML E SOLUÇÕES) 1/2</t>
  </si>
  <si>
    <t>BIOCOMPANY (CURATIVOS E TAMPA PARA CATETER) 2/2</t>
  </si>
  <si>
    <t>BIOCOMPANY (CATETER DUPLO LUMEN (15CM E 20CM) 2/2</t>
  </si>
  <si>
    <t xml:space="preserve">    Treinamentos e Capacitação</t>
  </si>
  <si>
    <t>Treinamentos e Capacitação</t>
  </si>
  <si>
    <t>ANDERSON RAFAEL SALVIANO (REF. PLANTÕES MÉDICOS DE MAI/26 )</t>
  </si>
  <si>
    <t>ANDERSON RAFAEL SALVIANO (REF. PRÓ-LABORE COMO SÓCIO ADMINISTRADOR )</t>
  </si>
  <si>
    <t>ANDERSON RAFAEL SALVIANO (REF. RESPONSABILIDADE TÉCNICA)</t>
  </si>
  <si>
    <t>ANDERSON RAFAEL SALVIANO (REF. PLANTÕES MÉDICOS DE JUN/26 )</t>
  </si>
  <si>
    <t>BIOCOMPANY (REF. CATETER DE 15CM E 28CM, PERMCATCH 28CM, CURATIVOS E TAMPA PARA CATETER) 1/2</t>
  </si>
  <si>
    <t>BIOCOMPANY (REF. CATETER DE 15CM E 28CM, PERMCATCH 28CM) 1/2</t>
  </si>
  <si>
    <t>DIÁLISE COMÉRCIO (REF. PEROXIDE 50%) 2/2</t>
  </si>
  <si>
    <t>DIÁLISE COMÉRCIO (REF. INDICADOR DE ÁCIDO PERACÉTICO) 1/2</t>
  </si>
  <si>
    <t>DIÁLISE COMÉRCIO (REF. ISOLLADOR DE PRESSÃO) 1/2</t>
  </si>
  <si>
    <t xml:space="preserve"> 80783  / 137657</t>
  </si>
  <si>
    <t>4432 / 1297717 / 572789 / 8524</t>
  </si>
  <si>
    <t>MARKETPLACE MARKETPLACE MERCADO LIVRE (NF- VT COMMERCE LTDA / NF - MAXIMOLAB COMERCIO DE PRODUTOS / NF - FAUZI METAIS LTDA / NF IDAB NEGOCIOS E SOLUCOES LTDA) - PRANCHETAS, PROVETAS, TORNEIRA DE PIA E VALVULA PARA OSMOSE</t>
  </si>
  <si>
    <t>MARKETPLACE MARKETPLACE MERCADO LIVRE (PRANCHETAS)</t>
  </si>
  <si>
    <t>MARKETPLACE MARKETPLACE MERCADO LIVRE (PROVETAS)</t>
  </si>
  <si>
    <t>MARKETPLACE MARKETPLACE MERCADO LIVRE (TORNEIRA DE PIA)</t>
  </si>
  <si>
    <t>MARKETPLACE MARKETPLACE MERCADO LIVRE (VALVULA PARA OSMOSE)</t>
  </si>
  <si>
    <t>FABIANA CRISTINA BARROS (REF. PLANTÕES MÉDICOS DE MAI/26)</t>
  </si>
  <si>
    <t>PATRICK DULFF LOBO ARAUJO (REF. PLANTÕES MÉDICOS DE MAI/26)</t>
  </si>
  <si>
    <t>GLADSTONE SANTOS SILVA (REF. PLANTÕES MÉDICOS DE MAI/26)</t>
  </si>
  <si>
    <t>MOISES S OLIVEIRA (REF. PLANTÕES MÉDICOS DE MAI/26)</t>
  </si>
  <si>
    <t>MOISES S OLIVEIRA (REF. PLANTÕES MÉDICOS DE JUN/26)</t>
  </si>
  <si>
    <t>FABIANA CRISTINA BARROS (REF. PLANTÕES MÉDICOS DE JUN/26)</t>
  </si>
  <si>
    <t>PATRICK DULFF LOBO ARAUJO (REF. PLANTÕES MÉDICOS DE JUN/26)</t>
  </si>
  <si>
    <t>GLADSTONE SANTOS SILVA (REF. PLANTÕES MÉDICOS DE JUN/26)</t>
  </si>
  <si>
    <t>BAN-00925</t>
  </si>
  <si>
    <t>BAN-00926</t>
  </si>
  <si>
    <t>BAN-00927</t>
  </si>
  <si>
    <t>BAN-00928</t>
  </si>
  <si>
    <t>BAN-00929</t>
  </si>
  <si>
    <t>BAN-00930</t>
  </si>
  <si>
    <t>BAN-00931</t>
  </si>
  <si>
    <t>BAN-00932</t>
  </si>
  <si>
    <t>BAN-00933</t>
  </si>
  <si>
    <t>BAN-00934</t>
  </si>
  <si>
    <t>BAN-00935</t>
  </si>
  <si>
    <t>BAN-00936</t>
  </si>
  <si>
    <t>BAN-00937</t>
  </si>
  <si>
    <t>BAN-00938</t>
  </si>
  <si>
    <t>BAN-00939</t>
  </si>
  <si>
    <t>BAN-00940</t>
  </si>
  <si>
    <t>BAN-00941</t>
  </si>
  <si>
    <t>BAN-00942</t>
  </si>
  <si>
    <t>BAN-00943</t>
  </si>
  <si>
    <t>BAN-00944</t>
  </si>
  <si>
    <t>BAN-00945</t>
  </si>
  <si>
    <t>BAN-00946</t>
  </si>
  <si>
    <t>BAN-00947</t>
  </si>
  <si>
    <t>BAN-00948</t>
  </si>
  <si>
    <t>BAN-00949</t>
  </si>
  <si>
    <t>BAN-00950</t>
  </si>
  <si>
    <t>BAN-00951</t>
  </si>
  <si>
    <t>BAN-00952</t>
  </si>
  <si>
    <t>BAN-00953</t>
  </si>
  <si>
    <t>BAN-00954</t>
  </si>
  <si>
    <t>BAN-00955</t>
  </si>
  <si>
    <t>BAN-00956</t>
  </si>
  <si>
    <t>BAN-00957</t>
  </si>
  <si>
    <t>BAN-00958</t>
  </si>
  <si>
    <t>BAN-00959</t>
  </si>
  <si>
    <t>BAN-00960</t>
  </si>
  <si>
    <t>BAN-00961</t>
  </si>
  <si>
    <t>BAN-00962</t>
  </si>
  <si>
    <t>BAN-00963</t>
  </si>
  <si>
    <t>BAN-00964</t>
  </si>
  <si>
    <t>BAN-00965</t>
  </si>
  <si>
    <t>BAN-00966</t>
  </si>
  <si>
    <t>BAN-00967</t>
  </si>
  <si>
    <t>BAN-00968</t>
  </si>
  <si>
    <t>BAN-00969</t>
  </si>
  <si>
    <t>BAN-00970</t>
  </si>
  <si>
    <t>BAN-00971</t>
  </si>
  <si>
    <t>BAN-00972</t>
  </si>
  <si>
    <t>BAN-00973</t>
  </si>
  <si>
    <t>BAN-00974</t>
  </si>
  <si>
    <t>BAN-00975</t>
  </si>
  <si>
    <t>BAN-00976</t>
  </si>
  <si>
    <t>BAN-00977</t>
  </si>
  <si>
    <t>BAN-00978</t>
  </si>
  <si>
    <t>BAN-00979</t>
  </si>
  <si>
    <t>1. EXTRATO: inclua cada movimento na próxima linha livre e preencha a DATA. O ID é automático; mantenha-o para preservar o vínculo.</t>
  </si>
  <si>
    <t>2. RATEIOS: data, mês, valor, histórico, natureza e fornecedor aparecem automaticamente. Preencha CATEGORIA e SUBCATEGORIA.</t>
  </si>
  <si>
    <t>3. Para dividir: copie a linha em RATEIOS e use Inserir células copiadas. Mantenha o mesmo ID e ajuste o VALOR de cada parte até fechar com o banco.</t>
  </si>
  <si>
    <t>Automação até BAN-02999 (2.999 movimentos). VALOR e DETALHE podem ser editados; não substitua uma linha automática reservada para outro ID.</t>
  </si>
  <si>
    <t>Toda linha com data precisa de um ID único. Os IDs automáticos ficam vinculados ao movimento; não os edite.</t>
  </si>
  <si>
    <t>A linha é preenchida automaticamente em RATEIOS. Confira se a DATA foi informada no EXTRATO e se as fórmulas foram preservadas.</t>
  </si>
  <si>
    <t xml:space="preserve"> </t>
  </si>
  <si>
    <t>FOLHA DE PAGAMENTO (REF. PISO SALARIAL ENFERMAGEM - COMP. ABR/26)</t>
  </si>
  <si>
    <t>L F ALBUQUERQUE DA SILVA (DR. LUCAS - REF. PLANTÕES MÉDICOS EM FEV/26)</t>
  </si>
  <si>
    <t>L F ALBUQUERQUE DA SILVA (DR. LUCAS - REF. PLANTÕES MÉDICOS EM MAR/26)</t>
  </si>
  <si>
    <t>2026000000000 23</t>
  </si>
  <si>
    <t>PIS (REF. NF 202600000000004 – COMP. MAR/2026 - RECEB. JUNHO/2026)</t>
  </si>
  <si>
    <t>COFINS (REF. NF 202600000000004 – COMP. MAR/2026 - RECEB. JUNHO/2026)</t>
  </si>
  <si>
    <t>NIPRO (REF. COMPRA DE 21 MÁQUINAS DE HD) - PARCELA 10/24</t>
  </si>
  <si>
    <t>NIPRO (REF. COMPRA DE 04 MÁQUINAS DE HD) - PARCELA 10/24</t>
  </si>
  <si>
    <t>L F ALBUQUERQUE DA SILVA - (FARMACÊUTICA GARDÊNIA) - REF. PRESTAÇÃO DE SERV. FARMACÊUTICOS - AGO/2026</t>
  </si>
  <si>
    <t>L F ALBUQUERQUE DA SILVA - (FARMACÊUTICA GARDÊNIA) - REF. PRESTAÇÃO DE SERV. FARMACÊUTICOS - FEV/2026</t>
  </si>
  <si>
    <t>L F ALBUQUERQUE DA SILVA - (FARMACÊUTICA GARDÊNIA) - REF. PRESTAÇÃO DE SERV. FARMACÊUTICOS - MAR/2026</t>
  </si>
  <si>
    <t>L F ALBUQUERQUE DA SILVA - (FARMACÊUTICA GARDÊNIA) - REF. PRESTAÇÃO DE SERV. FARMACÊUTICOS - JUL/2026</t>
  </si>
  <si>
    <t>L F ALBUQUERQUE DA SILVA - (FARMACÊUTICA GARDÊNIA)- REF. PRESTAÇÃO DE SERV. FARMACÊUTICOS - JUN/2026</t>
  </si>
  <si>
    <t>L F ALBUQUERQUE DA SILVA - (FARMACÊUTICA GARDÊNIA) - REF. PRESTAÇÃO DE SERV. FARMACÊUTICOS - MAI/2026</t>
  </si>
  <si>
    <t>L F ALBUQUERQUE DA SILVA - (FARMACÊUTICA GARDÊNIA) - REF. PRESTAÇÃO DE SERV. FARMACÊUTICOS - ABR/2026</t>
  </si>
  <si>
    <t>FARMACÊUTICA GARDÊNIA</t>
  </si>
  <si>
    <t>FARMACÊUTICA REBECA</t>
  </si>
  <si>
    <t>2026000000000 24</t>
  </si>
  <si>
    <t>2026000000000 25</t>
  </si>
  <si>
    <t>2026000000000 29</t>
  </si>
  <si>
    <t>2026000000000 39</t>
  </si>
  <si>
    <t>2026000000000 53</t>
  </si>
  <si>
    <t>E M GONÇALVES PADARIA (REF. FORNEC. DE PÃES E BOLOS - JUN/26) - FAVORECIDO: EDILBERTO M. GONÇALVES</t>
  </si>
  <si>
    <t>CAMINO</t>
  </si>
  <si>
    <t>DONA MARINALVA</t>
  </si>
  <si>
    <t>M MUNIZ (REF. FORNECIMENTO DE LANCHES - JAN/2026)</t>
  </si>
  <si>
    <t>M MUNIZ (REF. FORNECIMENTO DE LANCHES - MAR/2026)</t>
  </si>
  <si>
    <t>2026000000000 27</t>
  </si>
  <si>
    <t>2026000000000 28</t>
  </si>
  <si>
    <t>202600000000 882</t>
  </si>
  <si>
    <t>163012</t>
  </si>
  <si>
    <t>181748</t>
  </si>
  <si>
    <t>203877</t>
  </si>
  <si>
    <t>278991</t>
  </si>
  <si>
    <t>4982</t>
  </si>
  <si>
    <t>NFS 4981 CANCELADA POR COMPETÊNCIA ERRADA E SUBSTITUIDA POR NFS 4982</t>
  </si>
  <si>
    <t>4952</t>
  </si>
  <si>
    <t>NF 10175 - R$ 2.029,48 / NF 10256 - R$ 2.001,61</t>
  </si>
  <si>
    <t>VENC. ERA DIA 15/01/2026 - R$ 95,00</t>
  </si>
  <si>
    <t>VENC. ERA DIA 15/01/2026 - R$ 207,00</t>
  </si>
  <si>
    <t>VENC. ERA DIA 15/01/2026 - R$ 1.600,00</t>
  </si>
  <si>
    <t>VENC. ERA DIA 17/01/2026</t>
  </si>
  <si>
    <t>NF EMITIDA EM 27/01 - NO VALOR DE R$ 1.176,00 (ENTRADA - R$ 700,00 +  VALOR RESTANTE - R$ 476,00 - 10/02) - DESCONTO DE R$ 154,00 INSS</t>
  </si>
  <si>
    <t>NF N°1449 EMITIDA EM: 04/03/2026 - ADIANTAMENTO DE R$455,00 FEITO EM 26/01 - QUITAÇÃO EM 04/03 NO VALOR DE R$525,00</t>
  </si>
  <si>
    <t>VENC. ERA DIA 22/01 - VALOR: R$ 1.037,40</t>
  </si>
  <si>
    <t>NF EMITIDA EM 10/02/2026</t>
  </si>
  <si>
    <t>VENC. ERA DIA 16/02/2026</t>
  </si>
  <si>
    <t>VENC. ERA DIA 15/02/26 - (NF 666 - R R SISTEMA - R$ 82,70 - 13/01) E (NF 371811 - FORTES TECNOLOGIA - R$ 124,30 - 03/02)</t>
  </si>
  <si>
    <t>VENC. ERA DIA 15/02/26 - (NF 424228 - SKY ONE - R$ 38,57 - 21/01), (NF 424227 - SKY ONE - R$ 27,93 - 21/01) E (NF 376328 - FORTES TECNOLOGIA - R$ 28,50 - 06/02)</t>
  </si>
  <si>
    <t>VENC. DIA 18/02/2026</t>
  </si>
  <si>
    <t>REF. 136 MARMITAS DE R$ 19,00 A UNIDADE</t>
  </si>
  <si>
    <t>NF EMITIDA EM 28/01/2026</t>
  </si>
  <si>
    <t>VENC. ERA DIA 21/02/2026</t>
  </si>
  <si>
    <t>OBS.: REPASSE FEITO ATRAVÉS DA CONTA DE SEU ESPOSO, MARCELO DA COSTA</t>
  </si>
  <si>
    <t>OBS.: REPASSE FEITO ATRAVÉS DA CONTA DE SUA ESPOSA, JOYCE KAROLINA</t>
  </si>
  <si>
    <t>VEM. ERA DIA 02/03 NO VALOR DE R$ 200,92</t>
  </si>
  <si>
    <t>VENC. ERA DIA 28/02 - PAGAMENTO SEM JUROS APÓS NEGOCIAÇÃO</t>
  </si>
  <si>
    <t>VALOR ERA DE R$ 25.710,16</t>
  </si>
  <si>
    <t>VENC. ERA DIA 08/03/2026 - NO VALOR DE R$ 19.901,20</t>
  </si>
  <si>
    <t>VENC. ERA DIA 06/03 - PAGO SEM JUROS</t>
  </si>
  <si>
    <t>VENC. ERA DIA 08/03 - NO VALOR DE R$ 10.332,30</t>
  </si>
  <si>
    <t>VENC. ERA DIA 26/02 - PAGAMENTO SEM JUROS APÓS NEGOCIAÇÃO</t>
  </si>
  <si>
    <t>VENC. ERA DIA 24/02 - PAGAMENTO SEM JUROS APÓS NEGOCIAÇÃO</t>
  </si>
  <si>
    <t>VENC. ERA DIA 07/03 - NO VALOR DE R$ 2.747,54</t>
  </si>
  <si>
    <t>VENC. ERA DIA 09/03/2026 - NO VALOR DE R$ 2.492,36</t>
  </si>
  <si>
    <t>NF CONSTA VENC. EM 3 X (05/02 - 09/03 - 06/04) - PARCELA EM 2 X R$ 2.156,72 (09/03 E 07/04) - VENC. ERA DIA 09/03/2026 - NO VALOR DE R$ 2.156,72</t>
  </si>
  <si>
    <t>VENC. ERA DIA 08/03 - NO VALOR DE R$ 2.107,40</t>
  </si>
  <si>
    <t>VENC. ERA DIA 08/03 - NO VALOR DE R$ 1.935,40</t>
  </si>
  <si>
    <t>VENC. ERA DIA 02/03 - NO VALOR DE R$ 1.765,00</t>
  </si>
  <si>
    <t>VENC. ERA DIA 02/03 - NO VALOR DE R$ 1.300,84</t>
  </si>
  <si>
    <t>VENC. ERA DIA 08/03 - NO VALOR DE R$ 1.238,22</t>
  </si>
  <si>
    <t>VENC. ERA DIA 01/03 - NO VALOR DE R$ 789,50</t>
  </si>
  <si>
    <t>FRETE DE R$ 35,99</t>
  </si>
  <si>
    <t>VENC. ERA DIA 05/03</t>
  </si>
  <si>
    <t>COMPRA EMERGÊNCIAL DE DIESEL S10 PARA GERADOR - COMPRA EMERGÊNCIAL NA MADRUGADA (ANTONIO PAGAOU DA CONTA)</t>
  </si>
  <si>
    <t>VENC. ERA DIA 06/05 - JUROS/MULTA NO PRÓXIMO PAGAMENTO</t>
  </si>
  <si>
    <t>04 PLANTÕES MÉDICOS EM FEV/2026 - VALOR DO REGURO R$ 5.332,88 (VALOR PROPORCIONAL AS QUOTAS)</t>
  </si>
  <si>
    <t>05 PLANTÕES MÉDICO EM FEV/2026 - VALOR DO SEGURO R$ 1.333,22 (VALOR PROPORCIONAL AS QUOTAS)</t>
  </si>
  <si>
    <t>03 PLANTÕES MÉDICO EM FEV/2026 - VALOR DO SEGURO R$ 1.333,22 (VALOR PROPORCIONAL AS QUOTAS)</t>
  </si>
  <si>
    <t>02 PLANTÕES MÉDICO EM FEV/2026 - VALOR DO SEGURO R$ 2.666,44 (VALOR PROPORCIONAL AS QUOTAS)</t>
  </si>
  <si>
    <t>VALOR DO REGURO R$ 5.332,88 (VALOR PROPORCIONAL AS QUOTAS)</t>
  </si>
  <si>
    <t>VALOR DO SEGURO R$ 2.666,44 (VALOR PROPORCIONAL AS QUOTAS)</t>
  </si>
  <si>
    <t>VALOR DO SEGURO R$ 2.666,44(VALOR PROPORCIONAL AS QUOTAS)</t>
  </si>
  <si>
    <t>PAGAMENTO FEITO APÓS VENCIMENTO (28/04/2026)</t>
  </si>
  <si>
    <t>04 PLANTÕES MÉDICOS EM MAR/2026 R$ 10.000,00 - RECURSOS ENVIADO R$ 22.400,00 - VALOR DO ENGENHEIRO R$ 1.995,84</t>
  </si>
  <si>
    <t>REF. 03 PLANTÕES EM ABRIL/2026</t>
  </si>
  <si>
    <t>RECURSOS ENVIADO R$ 22.400,00 - VALOR DO ENGENHEIRO R$ 1.995,84</t>
  </si>
  <si>
    <t>GUIA ATUALIZADA PARA PAGAMENTO SEM JUROS</t>
  </si>
  <si>
    <t>06 PLANTÕES MÉDICOS EM MAR/2026 R$ 15.000,00 - RECURSOS ENVIADO R$ 5.600,00 - VALOR DO ENGENHEIRO R$ 498,96</t>
  </si>
  <si>
    <t>VALOR PROPORCIONAL AS QUOTAS</t>
  </si>
  <si>
    <t>RECURSOS ENVIADO R$ 11.200,00 - VALOR DO ENGENHEIRO R$ 997,92</t>
  </si>
  <si>
    <t>NF CONSTA VALOR DO BOLETO DE R$ 7.271,66 - DEVIDO AO DESCONTO POR FALTA DE MATERIA NA ENTREGA, HOUVE DESCONTO NO BOLETO</t>
  </si>
  <si>
    <t>REF. 02 PLANTÕES EM ABRIL/2026</t>
  </si>
  <si>
    <t>ESTORNO DA TENTATIVA DE PAGAMENTO DE COMPRA NO MERCADO LIVRE (PROVETAS PARA OSMOSE/REUSO)</t>
  </si>
  <si>
    <t>ANEXAR COMPROVANTES E DEMONSTRATIVOS NO SISTEMA</t>
  </si>
  <si>
    <t>VENC. ERA DIA 24/09 NO VALOR DE R$ 1.165,98 - PAGO COM JUROS/ MULTA DE R$ 23,70</t>
  </si>
  <si>
    <t>ORDEM</t>
  </si>
  <si>
    <t>CASAMATER (REF. MAI/2026)</t>
  </si>
  <si>
    <t>CASAMATER (REF. JUN/2026)</t>
  </si>
  <si>
    <t>NFS 73694 CANCELADA POR VALOR INCORRETO E SUBSTITUIDA PELA NF 74391</t>
  </si>
  <si>
    <t>MARKETPLACE MARKETPLACE MERCADO LIVRE (NF - B. G. DOS SANTOS COMERCIO VAREJISTA LTDA - ME E BENVINE OFICIAL LTDA) - REF. 02 REFLETORES 400W E 02 KIT DE PILHAS RECARREGÁVEIS)</t>
  </si>
  <si>
    <t>ALECRIM INDUSTRIA E COMÉRCIO  (REF. PAPEL TOALHA) 1/1</t>
  </si>
  <si>
    <t>ALECRIM INDUSTRIA E COMÉRCIO (REF. PAPEL TOALHA) 1/2</t>
  </si>
  <si>
    <t>ALECRIM INDUSTRIA E COMÉRCIO (REF. PAPEL TOALHA) 2/2</t>
  </si>
  <si>
    <t xml:space="preserve">EUREKA LAVANDERIA </t>
  </si>
  <si>
    <t>J E ALVES DOS SANTOS - EUREKA LAVANDERIA - (REF. LAVAGEM DE CAMPO SIMPLES E FENESTRADO)</t>
  </si>
  <si>
    <t>NFS 3353 CANCELADA E SUBSTITUIDA PELA NFS 3356</t>
  </si>
  <si>
    <t>4924</t>
  </si>
  <si>
    <t>DR. RENATO (CIRURGIÃO VASCULAR) - S M D MATOS ASSOC. - (REF. JUN/26) - Ref. 03 confecção de fistula</t>
  </si>
  <si>
    <t>PANELA VELHA</t>
  </si>
  <si>
    <t>BIOGREEN INCINERAÇÃO DE RESIDUOS (REF. COLETO LIXO INFECTANTE) - REF.  01/26</t>
  </si>
  <si>
    <t>BIOGREEN INCINERAÇÃO DE RESIDUOS (REF. COLETO LIXO INFECTANTE) - REF.  12/2025</t>
  </si>
  <si>
    <t>NF AVULSA 2493</t>
  </si>
  <si>
    <t>NF AVULSA 2555</t>
  </si>
  <si>
    <t>CLAUDIANE CARDOSO DA SILVA (CARRO HTI)</t>
  </si>
  <si>
    <t>RICEK INDUSTRIA E COMÉRCIO (REF. PAPEL TOALHA, HIGIÊNICO E SACO DE LIXO COMUM) 1/2</t>
  </si>
  <si>
    <t>RICEK INDUSTRIA E COMÉRCIO(REF. PAPEL TOALHA, HIGIÊNICO E SACO DE LIXO COMUM) 2/2</t>
  </si>
  <si>
    <t>RICEK INDUSTRIA E COMÉRCIO(REF. PAPEL TOALHA, HIGIÊNICO E HIPOCLORITO) 1/2</t>
  </si>
  <si>
    <t>RICEK INDUSTRIA E COMÉRCIO (REF. PAPEL TOALHA, HIGIÊNICO E HIPOCLORITO) 2/2</t>
  </si>
  <si>
    <t>BIOCOMPANY (REF. CATETER DE 15CM E 28CM, PERMCATCH 28CM, CURATIVOS E TAMPA PARA CATETER) 2/2</t>
  </si>
  <si>
    <t>89069</t>
  </si>
  <si>
    <t>CLINICA DR. LUCAS ALBUQUERQUE (DR. LUCAS - REF. PLANTÕES MÉDICOS EM JUL/26)</t>
  </si>
  <si>
    <t>ASSESSORIA ADMINISTRATIVA</t>
  </si>
  <si>
    <t>M MUNIZ (REF. FORNECIMENTO DE LANCHES - FEV/2026)</t>
  </si>
  <si>
    <t>2026000000000 04</t>
  </si>
  <si>
    <t>BAN-00980</t>
  </si>
  <si>
    <t>BAN-00981</t>
  </si>
  <si>
    <t>BAN-00982</t>
  </si>
  <si>
    <t>BAN-00983</t>
  </si>
  <si>
    <t>BAN-00984</t>
  </si>
  <si>
    <t>BAN-00985</t>
  </si>
  <si>
    <t>BAN-00986</t>
  </si>
  <si>
    <t>BAN-00987</t>
  </si>
  <si>
    <t>BAN-00988</t>
  </si>
  <si>
    <t>BAN-00989</t>
  </si>
  <si>
    <t>BAN-00990</t>
  </si>
  <si>
    <t>BAN-00991</t>
  </si>
  <si>
    <t>BAN-00992</t>
  </si>
  <si>
    <t>BAN-00993</t>
  </si>
  <si>
    <t>BAN-00994</t>
  </si>
  <si>
    <t>BAN-00995</t>
  </si>
  <si>
    <r>
      <t>MARKETPLACE MARKETPLACE MERCADO LIVRE (</t>
    </r>
    <r>
      <rPr>
        <sz val="9"/>
        <color rgb="FFFF0000"/>
        <rFont val="Arial"/>
        <family val="2"/>
      </rPr>
      <t>NF- ???????</t>
    </r>
    <r>
      <rPr>
        <sz val="9"/>
        <color rgb="FF000000"/>
        <rFont val="Arial"/>
        <family val="2"/>
      </rPr>
      <t>) - CALOTAS PARA CARRO DA CLINICA</t>
    </r>
  </si>
  <si>
    <t>MERCADO LIVRE</t>
  </si>
  <si>
    <t>63</t>
  </si>
  <si>
    <t>BIOCOMPANY (REF. CATETER DE 15CM E 28CM, PERMCATCH 28CM E CURATIVOS) 2/2</t>
  </si>
  <si>
    <t>FOLHA DE PAGAMENTO (REF. PAGAMENTO DE SALÁRIO - COMP. 09/2026)</t>
  </si>
  <si>
    <t>FOLHA DE PAGAMENTO (REF. PAGAMENTO DE SALÁRIO - COMP. 01/2026)</t>
  </si>
  <si>
    <t>FOLHA DE PAGAMENTO (REF. PAGAMENTO DE SALÁRIO - COMP. 12/2026)</t>
  </si>
  <si>
    <t>FERCASTRO (REF. COMPRA DE BOTINA DE EPI E FITAS SILVER TAPE)</t>
  </si>
  <si>
    <t>9526</t>
  </si>
  <si>
    <t>BANCO BRB (REF. PAGAMENTO DE HONORÁRIOS ADVOCATÍCIOS EM PROCESSO DO TERRENO DA CLÍNICA (08050781220238100056)</t>
  </si>
  <si>
    <t>HONORÁRIOS ADVOCATÍCIOS</t>
  </si>
  <si>
    <t>BAN-00996</t>
  </si>
  <si>
    <t>BAN-00997</t>
  </si>
  <si>
    <t>BAN-00998</t>
  </si>
  <si>
    <t>BAN-00999</t>
  </si>
  <si>
    <t>BAN-01000</t>
  </si>
  <si>
    <t>BAN-01001</t>
  </si>
  <si>
    <t>EXCELLENCE DISTRIBUIDORA (REF. INSUMOS E HEPARINAS) 2/3</t>
  </si>
  <si>
    <t>WILSON DE FREITAS SORIANO (BOTECO DO TARCISIO) - REF. QUENTINHAS TÉCNICOS SEGUNDA QUINZENA DE SETEMBRO (15/09 A 30/09)</t>
  </si>
  <si>
    <t>BOTECO DO TARCISIO</t>
  </si>
  <si>
    <t>67</t>
  </si>
  <si>
    <t>MASTER GRAFICA DIGITAL (REF. BLOCOS DE RECEITUÁRIO)</t>
  </si>
  <si>
    <t>MASTER GRAFICA DIGITAL (REF. PRODUÇÃO DE 10 BLOCOS DE FICHAS DE SALA E 10 BLOCOS DE SOLICITAÇÃO DE MATERIAL E 10 BLOCOS DE COMUNICAÇÃO INTERNA)</t>
  </si>
  <si>
    <t>BANCO VOLKSWAGEN (NF - CAVEPEL - REF. PRESTAÇÃO CARRO) 14/48</t>
  </si>
  <si>
    <t>BAN-01002</t>
  </si>
  <si>
    <t>BAN-01003</t>
  </si>
  <si>
    <t>BAN-01004</t>
  </si>
  <si>
    <t>BAN-01005</t>
  </si>
  <si>
    <t>BAN-01006</t>
  </si>
  <si>
    <t>BAN-01007</t>
  </si>
  <si>
    <t>BAN-01008</t>
  </si>
  <si>
    <t>BAN-01009</t>
  </si>
  <si>
    <t>BAN-01010</t>
  </si>
  <si>
    <t>BAN-01011</t>
  </si>
  <si>
    <t>BAN-01012</t>
  </si>
  <si>
    <t>BAN-01013</t>
  </si>
  <si>
    <t>BAN-01014</t>
  </si>
  <si>
    <t>BAN-01015</t>
  </si>
  <si>
    <t>BAN-01016</t>
  </si>
  <si>
    <t>BAN-01017</t>
  </si>
  <si>
    <t>BAN-01018</t>
  </si>
  <si>
    <t>BAN-01019</t>
  </si>
  <si>
    <t>BAN-01020</t>
  </si>
  <si>
    <t>BAN-01021</t>
  </si>
  <si>
    <t>BAN-01022</t>
  </si>
  <si>
    <t>BAN-01023</t>
  </si>
  <si>
    <t>BAN-01024</t>
  </si>
  <si>
    <t>BAN-01025</t>
  </si>
  <si>
    <t>BAN-01026</t>
  </si>
  <si>
    <t>BAN-01027</t>
  </si>
  <si>
    <t>BAN-01028</t>
  </si>
  <si>
    <t>BAN-01029</t>
  </si>
  <si>
    <t>BAN-01030</t>
  </si>
  <si>
    <t>BAN-01031</t>
  </si>
  <si>
    <t>BAN-01032</t>
  </si>
  <si>
    <t>BAN-01033</t>
  </si>
  <si>
    <t>BAN-01034</t>
  </si>
  <si>
    <t>BAN-01035</t>
  </si>
  <si>
    <t>BAN-01036</t>
  </si>
  <si>
    <t>BAN-01037</t>
  </si>
  <si>
    <t>BAN-01038</t>
  </si>
  <si>
    <t>BAN-01039</t>
  </si>
  <si>
    <t>BAN-01040</t>
  </si>
  <si>
    <t>BAN-01041</t>
  </si>
  <si>
    <t>BAN-01042</t>
  </si>
  <si>
    <t>BAN-01043</t>
  </si>
  <si>
    <t>BAN-01044</t>
  </si>
  <si>
    <t>BAN-01045</t>
  </si>
  <si>
    <t>BAN-01046</t>
  </si>
  <si>
    <t>BAN-01047</t>
  </si>
  <si>
    <t>BAN-01048</t>
  </si>
  <si>
    <t>BAN-01049</t>
  </si>
  <si>
    <t>BAN-01050</t>
  </si>
  <si>
    <t>BAN-01051</t>
  </si>
  <si>
    <t>BAN-01052</t>
  </si>
  <si>
    <t>BAN-01053</t>
  </si>
  <si>
    <t>BAN-01054</t>
  </si>
  <si>
    <t>BAN-01055</t>
  </si>
  <si>
    <t>BAN-01056</t>
  </si>
  <si>
    <t>BAN-01057</t>
  </si>
  <si>
    <t>BAN-01058</t>
  </si>
  <si>
    <t>BAN-01059</t>
  </si>
  <si>
    <t>BAN-01060</t>
  </si>
  <si>
    <t>BAN-01061</t>
  </si>
  <si>
    <t>BAN-01062</t>
  </si>
  <si>
    <t>BAN-01063</t>
  </si>
  <si>
    <t>BAN-01064</t>
  </si>
  <si>
    <t>BAN-01065</t>
  </si>
  <si>
    <t>BAN-01066</t>
  </si>
  <si>
    <t>BAN-01067</t>
  </si>
  <si>
    <t>BAN-01068</t>
  </si>
  <si>
    <t>BAN-01069</t>
  </si>
  <si>
    <t>BAN-01070</t>
  </si>
  <si>
    <t>BAN-01071</t>
  </si>
  <si>
    <t>BAN-01072</t>
  </si>
  <si>
    <t>BAN-01073</t>
  </si>
  <si>
    <t>BAN-01074</t>
  </si>
  <si>
    <t>BAN-01075</t>
  </si>
  <si>
    <t>BAN-01076</t>
  </si>
  <si>
    <t>BAN-01077</t>
  </si>
  <si>
    <t>BAN-01078</t>
  </si>
  <si>
    <t>BAN-01079</t>
  </si>
  <si>
    <t>BAN-01080</t>
  </si>
  <si>
    <t>BAN-01081</t>
  </si>
  <si>
    <t>BAN-01082</t>
  </si>
  <si>
    <t>BAN-01083</t>
  </si>
  <si>
    <t>BAN-01084</t>
  </si>
  <si>
    <t>BAN-01085</t>
  </si>
  <si>
    <t>BAN-01086</t>
  </si>
  <si>
    <t>BAN-01087</t>
  </si>
  <si>
    <t>BAN-01088</t>
  </si>
  <si>
    <t>BAN-01089</t>
  </si>
  <si>
    <t>BAN-01090</t>
  </si>
  <si>
    <t>BAN-01091</t>
  </si>
  <si>
    <t>BAN-01092</t>
  </si>
  <si>
    <t>BAN-01093</t>
  </si>
  <si>
    <t>BAN-01094</t>
  </si>
  <si>
    <t>BAN-01095</t>
  </si>
  <si>
    <t>BAN-01096</t>
  </si>
  <si>
    <t>BAN-01097</t>
  </si>
  <si>
    <t>BAN-01098</t>
  </si>
  <si>
    <t>BAN-01099</t>
  </si>
  <si>
    <t>BAN-01100</t>
  </si>
  <si>
    <t>FOLHA DE PAGAMENTO - PISO</t>
  </si>
  <si>
    <t>A C R DA SILVA E CIA (SUPERMERCADO CAMINO - REF. COMPRAS QUINZENAIS DE SET/26 - DATAS 01/09 | 15/09 | 28/09)</t>
  </si>
  <si>
    <t xml:space="preserve">11384 / 11384  / 11431 </t>
  </si>
  <si>
    <t>CLAUDIANE CARDOSO DA SILVA (REF. TRANSPORTE DE PACIENTES AO HTI EM SETEMBRO/26)</t>
  </si>
  <si>
    <t>2797</t>
  </si>
  <si>
    <t>FOLHA DE PAGAMENTO (REF. PISO SALARIAL ENFERMAGEM - COMP. AGO/26)</t>
  </si>
  <si>
    <t>FOLHA DE PAGAMENTO - FÉRIAS</t>
  </si>
  <si>
    <t>REMORA HOSPITALAR (REF. CLOREXIDINAS, EQUIPOS E LANCETAS) 2/2</t>
  </si>
  <si>
    <t>SUPERMÉDICA DISTRIBUIDORA (REF. MEDICAMENTOS E INSUMOS) 2/2</t>
  </si>
  <si>
    <t>CRISTALIA PRODUTOS (REF. HEPARINAS , CEFAZIMA E CEFAZOLINA) 1/3</t>
  </si>
  <si>
    <t>NORTEFLOW (REF. KIT DUREZA TOTAL) 2/2</t>
  </si>
  <si>
    <t>NORTEFLOW</t>
  </si>
  <si>
    <t>BIOGREEN INCINERAÇÃO DE RESIDUOS (REF. COLETO LIXO INFECTANTE) - REF. 09/26</t>
  </si>
  <si>
    <t>FARMACE (REF. SOL. ÁCIDA E BÁSICA, SOROS (100ML E 500ML), DIPIRONA INJETÁVEL, GLICOSE 50% E CLORETO DE SÓDIO 10%) 2/2</t>
  </si>
  <si>
    <t>ISS (MUNICIPIO DE SANTA INÊS) - NF 202600000000008 (REF. COMP. JUL/26  - EMITIDA EM 01/09/2026)</t>
  </si>
  <si>
    <t>505</t>
  </si>
  <si>
    <t>CONSTRUNORTE (REF. PEÇA PARA REPARO DA VALVULA DO VASO SANITÁRIO E ASSENTO PARA VASO)</t>
  </si>
  <si>
    <t xml:space="preserve">86023 </t>
  </si>
  <si>
    <t>6015</t>
  </si>
  <si>
    <t>E G BISPO TRANSPORTES (REF. FRETE DE AMOSTRA DA ÁGUA) - OUT/26</t>
  </si>
  <si>
    <t>51</t>
  </si>
  <si>
    <t>ORDEM BANCÁRIA ESTADO MA - REPASSE FINANCEIRO (NF - 202600000000008 - REF. COMP. JUL/26 - EMITIDA EM 01/09/2026) - 1/2</t>
  </si>
  <si>
    <t>ORDEM BANCÁRIA ESTADO MA - REPASSE FINANCEIRO (NF - 202600000000008 - REF. COMP. JUL26 - EMITIDA EM 01/09/2026) - 2/2</t>
  </si>
  <si>
    <t>POSTO PREMIUM</t>
  </si>
  <si>
    <t>FORTES CONECTA - RELÓGIO DE PONTO</t>
  </si>
  <si>
    <t>2600000456387 / 00566703 / 00566704</t>
  </si>
  <si>
    <t>2600000461006 / 6408</t>
  </si>
  <si>
    <t>FABIANA CRISTINA BARROS (REF. PLANTÕES MÉDICOS DE AGO/26 + DISTRIBUIÇÃO DE LUCROS)</t>
  </si>
  <si>
    <t>PATRICK DULFF LOBO ARAUJO (REF. PLANTÕES MÉDICOS DE AGO/26 + DISTRIBUIÇÃO DE LUCROS)</t>
  </si>
  <si>
    <t>MOISES S OLIVEIRA (REF. PLANTÕES MÉDICOS DE AGO/26 + DISTRIBUIÇÃO DE LUCROS)</t>
  </si>
  <si>
    <t>GLADSTONE SANTOS SILVA (REF. PLANTÕES MÉDICOS DE AGO/26 + DISTRIBUIÇÃO DE LUCROS)</t>
  </si>
  <si>
    <t>ANDERSON RAFAEL SALVIANO (REF. PLANTÕES MÉDICOS DE AGO/26 + PRÓ-LABORE COMO SÓCIO ADMINISTRADOR + RESPONSABILIDADE TÉCNICA + DISTRIBUIÇÃO DE LUCROS)</t>
  </si>
  <si>
    <t>CASAMATER - JUL/26</t>
  </si>
  <si>
    <t>M DA SILVA MUNIZ LTDA  (DONA MARINALVA - REF. LANCHE DOS PACIENTES DOS MESES DE: JUL, AGO, SET E FEIJOADA DA COMEMORAÇÃO DE 01 ANO DA CLINICA - JUL/26)</t>
  </si>
  <si>
    <t>VARIAS NF</t>
  </si>
  <si>
    <t>UNICLINICA (REF. EXAMES DE PACIENTES) - JUL/26</t>
  </si>
  <si>
    <t>UNICLINICA (REF. EXAMES DE COLABORADORES) - JUL/26</t>
  </si>
  <si>
    <t xml:space="preserve">DR. RENATO (CIRURGIÃO VASCULAR) - S M D MATOS ASSOC. - JUL/26 </t>
  </si>
  <si>
    <t>PRESTAÇÃO DE SERVIÇOS ADMINISTRATIVOS (EMANUELLE ARAÚJO / LÍVIA CRISTINA / LAURA LOHANA) - JUL/26</t>
  </si>
  <si>
    <t>PRESTAÇÃO DE SERVIÇOS ADMINISTRATIVOS (LUANA MELO) - JUL/26</t>
  </si>
  <si>
    <t>HR MANUTENÇÃO HOSPITALAR E TRAT. DE ÁGUA ( REF. PREST. DE SERV. HUGO RAMON) - JUL/26</t>
  </si>
  <si>
    <t xml:space="preserve">DR. WILSON (CIRURGIÃO VASCULAR) - COELHO E OLIVEIRA SERV. MÉDICOS - JUL/26 </t>
  </si>
  <si>
    <t>E M GONÇALVES PADARIA (REF. FORNEC. DE PÃES E BOLOS - SET/26) - FAVORECIDO: EDILBERTO M. GONÇALVES</t>
  </si>
  <si>
    <t>FARMACÊUTICA (GARDÊNIA) - REF. PRESTAÇÃO DE SERV. FARMACÊUTICOS - SET/2026)</t>
  </si>
  <si>
    <t>I F DA SILVA &amp; CIA LTDA (REF. SET/26)</t>
  </si>
  <si>
    <t>DECOR COLORS BACABAL (REF. 05 CAIXAS DE BLOCK TOTAL PARA REFORMA DA CLINICA)</t>
  </si>
  <si>
    <t xml:space="preserve">LUAN CALIXTA DE OLIVEIRA - MALHARIA SANTA INÊS (REF. FARDAMENTO DE NOVOS COLABORADORES) </t>
  </si>
  <si>
    <t>PHARMA BRASIL (REF. MATERIAIS E MEDICAMENTOS DIVERSOS) 1/2</t>
  </si>
  <si>
    <t>PP</t>
  </si>
  <si>
    <t>RICEK (REF. PAPEL TOALHA E HIGIÊNICO) 1/2</t>
  </si>
  <si>
    <t>FGTS (09/2026)</t>
  </si>
  <si>
    <t>INSS (09/2026)</t>
  </si>
  <si>
    <t>SALDO DA APLICAÇÃO(SEM RENDIMENTOS)</t>
  </si>
  <si>
    <t>VALOR RESGATADO NO ANO</t>
  </si>
  <si>
    <t>ANO TODO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</si>
</sst>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 &quot;* #,##0.00_-;&quot;-R$ &quot;* #,##0.00_-;_-&quot;R$ &quot;* \-??_-;_-@_-"/>
    <numFmt numFmtId="165" formatCode="0.0%"/>
  </numFmts>
  <fonts count="42" x14ac:knownFonts="1">
    <font>
      <sz val="11"/>
      <color theme="1"/>
      <name val="Calibri"/>
      <family val="2"/>
      <charset val="1"/>
    </font>
    <font>
      <b/>
      <sz val="18"/>
      <color rgb="FF1F4E79"/>
      <name val="Arial"/>
      <family val="2"/>
    </font>
    <font>
      <i/>
      <sz val="9"/>
      <color rgb="FF808080"/>
      <name val="Arial"/>
      <family val="2"/>
    </font>
    <font>
      <b/>
      <sz val="9"/>
      <color rgb="FFFFFFFF"/>
      <name val="Arial"/>
      <family val="2"/>
    </font>
    <font>
      <b/>
      <sz val="14"/>
      <color rgb="FF1F4E79"/>
      <name val="Arial"/>
      <family val="2"/>
    </font>
    <font>
      <b/>
      <sz val="14"/>
      <color rgb="FF375623"/>
      <name val="Arial"/>
      <family val="2"/>
    </font>
    <font>
      <b/>
      <sz val="14"/>
      <color rgb="FF9C2222"/>
      <name val="Arial"/>
      <family val="2"/>
    </font>
    <font>
      <b/>
      <sz val="14"/>
      <color rgb="FF2E75B6"/>
      <name val="Arial"/>
      <family val="2"/>
    </font>
    <font>
      <b/>
      <sz val="12"/>
      <color rgb="FF1F4E79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1F4E79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rgb="FF0000FF"/>
      <name val="Arial"/>
      <family val="2"/>
    </font>
    <font>
      <sz val="8"/>
      <color rgb="FF808080"/>
      <name val="Arial"/>
      <family val="2"/>
    </font>
    <font>
      <b/>
      <sz val="11"/>
      <color rgb="FFFFFFFF"/>
      <name val="Arial"/>
      <family val="2"/>
    </font>
    <font>
      <i/>
      <sz val="9"/>
      <color rgb="FF7F6000"/>
      <name val="Arial"/>
      <family val="2"/>
    </font>
    <font>
      <b/>
      <sz val="10"/>
      <color rgb="FF7F6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b/>
      <sz val="11"/>
      <color rgb="FF1F4E79"/>
      <name val="Arial"/>
      <family val="2"/>
    </font>
    <font>
      <b/>
      <sz val="10"/>
      <color rgb="FF0000FF"/>
      <name val="Arial"/>
      <family val="2"/>
    </font>
    <font>
      <b/>
      <sz val="11"/>
      <color theme="1"/>
      <name val="Calibri"/>
      <family val="2"/>
      <charset val="1"/>
    </font>
    <font>
      <b/>
      <sz val="10"/>
      <color rgb="FF1F4E79"/>
      <name val="Arial"/>
      <family val="2"/>
    </font>
    <font>
      <b/>
      <i/>
      <sz val="9"/>
      <color rgb="FF7F6000"/>
      <name val="Arial"/>
      <family val="2"/>
    </font>
    <font>
      <b/>
      <sz val="10"/>
      <color rgb="FF7F6000"/>
      <name val="Arial"/>
      <family val="2"/>
    </font>
    <font>
      <b/>
      <sz val="11"/>
      <color rgb="FFFFFFFF"/>
      <name val="Arial"/>
      <family val="2"/>
    </font>
    <font>
      <b/>
      <i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  <charset val="1"/>
    </font>
    <font>
      <sz val="11"/>
      <name val="Calibri"/>
      <family val="2"/>
      <scheme val="minor"/>
    </font>
    <font>
      <sz val="9"/>
      <color rgb="FF0070C0"/>
      <name val="Arial"/>
      <family val="2"/>
    </font>
    <font>
      <sz val="9"/>
      <color rgb="FFFF0000"/>
      <name val="Arial"/>
      <family val="2"/>
    </font>
    <font>
      <u/>
      <sz val="9"/>
      <color rgb="FF0070C0"/>
      <name val="Arial"/>
      <family val="2"/>
    </font>
    <font>
      <sz val="8"/>
      <name val="Calibri"/>
      <family val="2"/>
      <charset val="1"/>
    </font>
    <font>
      <b/>
      <sz val="9"/>
      <color rgb="FFFF0000"/>
      <name val="Arial"/>
      <family val="2"/>
    </font>
    <font>
      <sz val="11"/>
      <color theme="1"/>
      <name val="Calibri"/>
      <family val="2"/>
      <charset val="1"/>
    </font>
    <font>
      <sz val="9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4A7EBB"/>
      </patternFill>
    </fill>
    <fill>
      <patternFill patternType="solid">
        <fgColor rgb="FFD9E2F3"/>
        <bgColor rgb="FFD9D9D9"/>
      </patternFill>
    </fill>
    <fill>
      <patternFill patternType="solid">
        <fgColor rgb="FFFFFDE7"/>
        <bgColor rgb="FFFFFFFF"/>
      </patternFill>
    </fill>
    <fill>
      <patternFill patternType="solid">
        <fgColor rgb="FFE2EFDA"/>
        <bgColor rgb="FFD9E2F3"/>
      </patternFill>
    </fill>
    <fill>
      <patternFill patternType="solid">
        <fgColor rgb="FFFFF2CC"/>
        <bgColor rgb="FFFFFDE7"/>
      </patternFill>
    </fill>
    <fill>
      <patternFill patternType="solid">
        <fgColor rgb="FFFCE4E4"/>
        <bgColor rgb="FFFFF2CC"/>
      </patternFill>
    </fill>
    <fill>
      <patternFill patternType="solid">
        <fgColor rgb="FF1F4E79"/>
        <bgColor rgb="FF00336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40" fillId="0" borderId="0" applyFont="0" applyFill="0" applyBorder="0" applyAlignment="0" applyProtection="0"/>
  </cellStyleXfs>
  <cellXfs count="126">
    <xf numFmtId="0" fontId="0" fillId="0" borderId="0" xfId="0"/>
    <xf numFmtId="0" fontId="8" fillId="0" borderId="0" xfId="0" applyFont="1"/>
    <xf numFmtId="0" fontId="14" fillId="8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12" fillId="0" borderId="1" xfId="0" applyFont="1" applyBorder="1" applyAlignment="1">
      <alignment vertical="top" wrapText="1"/>
    </xf>
    <xf numFmtId="0" fontId="23" fillId="0" borderId="1" xfId="0" applyFont="1" applyBorder="1" applyAlignment="1">
      <alignment vertical="top" wrapText="1"/>
    </xf>
    <xf numFmtId="0" fontId="21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center" vertical="top" wrapText="1"/>
    </xf>
    <xf numFmtId="164" fontId="9" fillId="0" borderId="1" xfId="0" applyNumberFormat="1" applyFont="1" applyBorder="1"/>
    <xf numFmtId="164" fontId="10" fillId="0" borderId="1" xfId="0" applyNumberFormat="1" applyFont="1" applyBorder="1"/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16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25" fillId="4" borderId="1" xfId="0" applyNumberFormat="1" applyFont="1" applyFill="1" applyBorder="1" applyAlignment="1">
      <alignment vertical="center"/>
    </xf>
    <xf numFmtId="0" fontId="14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2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1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1" fillId="0" borderId="0" xfId="0" applyNumberFormat="1" applyFont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23" fillId="0" borderId="1" xfId="0" applyFont="1" applyBorder="1" applyAlignment="1">
      <alignment vertical="center"/>
    </xf>
    <xf numFmtId="164" fontId="12" fillId="0" borderId="1" xfId="0" applyNumberFormat="1" applyFont="1" applyBorder="1" applyAlignment="1">
      <alignment vertical="center"/>
    </xf>
    <xf numFmtId="164" fontId="23" fillId="0" borderId="1" xfId="0" applyNumberFormat="1" applyFont="1" applyBorder="1" applyAlignment="1">
      <alignment vertical="center"/>
    </xf>
    <xf numFmtId="0" fontId="19" fillId="0" borderId="0" xfId="0" applyFont="1" applyAlignment="1">
      <alignment vertical="center"/>
    </xf>
    <xf numFmtId="164" fontId="21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14" fillId="8" borderId="0" xfId="0" applyFont="1" applyFill="1" applyAlignment="1">
      <alignment vertical="center"/>
    </xf>
    <xf numFmtId="164" fontId="14" fillId="8" borderId="0" xfId="0" applyNumberFormat="1" applyFont="1" applyFill="1" applyAlignment="1">
      <alignment vertical="center"/>
    </xf>
    <xf numFmtId="0" fontId="20" fillId="6" borderId="0" xfId="0" applyFont="1" applyFill="1" applyAlignment="1">
      <alignment vertical="center"/>
    </xf>
    <xf numFmtId="164" fontId="20" fillId="6" borderId="0" xfId="0" applyNumberFormat="1" applyFont="1" applyFill="1" applyAlignment="1">
      <alignment vertical="center"/>
    </xf>
    <xf numFmtId="165" fontId="12" fillId="0" borderId="1" xfId="0" applyNumberFormat="1" applyFont="1" applyBorder="1" applyAlignment="1">
      <alignment vertical="center"/>
    </xf>
    <xf numFmtId="164" fontId="23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2" fillId="6" borderId="0" xfId="0" applyNumberFormat="1" applyFont="1" applyFill="1" applyAlignment="1">
      <alignment horizontal="center" vertical="center"/>
    </xf>
    <xf numFmtId="0" fontId="12" fillId="6" borderId="0" xfId="0" applyFont="1" applyFill="1" applyAlignment="1">
      <alignment vertical="center" wrapText="1"/>
    </xf>
    <xf numFmtId="0" fontId="12" fillId="7" borderId="0" xfId="0" applyFont="1" applyFill="1" applyAlignment="1">
      <alignment vertical="center" wrapText="1"/>
    </xf>
    <xf numFmtId="0" fontId="15" fillId="0" borderId="0" xfId="0" applyFont="1" applyAlignme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26" fillId="2" borderId="1" xfId="0" applyNumberFormat="1" applyFont="1" applyFill="1" applyBorder="1" applyAlignment="1">
      <alignment vertical="center"/>
    </xf>
    <xf numFmtId="164" fontId="26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164" fontId="27" fillId="3" borderId="1" xfId="0" applyNumberFormat="1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164" fontId="28" fillId="0" borderId="1" xfId="0" applyNumberFormat="1" applyFont="1" applyBorder="1" applyAlignment="1">
      <alignment vertical="center"/>
    </xf>
    <xf numFmtId="0" fontId="20" fillId="6" borderId="1" xfId="0" applyFont="1" applyFill="1" applyBorder="1" applyAlignment="1">
      <alignment vertical="center"/>
    </xf>
    <xf numFmtId="164" fontId="29" fillId="6" borderId="1" xfId="0" applyNumberFormat="1" applyFont="1" applyFill="1" applyBorder="1" applyAlignment="1">
      <alignment vertical="center"/>
    </xf>
    <xf numFmtId="0" fontId="18" fillId="8" borderId="1" xfId="0" applyFont="1" applyFill="1" applyBorder="1" applyAlignment="1">
      <alignment vertical="center"/>
    </xf>
    <xf numFmtId="164" fontId="30" fillId="8" borderId="1" xfId="0" applyNumberFormat="1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164" fontId="31" fillId="0" borderId="1" xfId="0" applyNumberFormat="1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164" fontId="3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2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14" fillId="8" borderId="3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vertical="center"/>
    </xf>
    <xf numFmtId="164" fontId="12" fillId="0" borderId="2" xfId="0" applyNumberFormat="1" applyFont="1" applyBorder="1" applyAlignment="1">
      <alignment vertical="center"/>
    </xf>
    <xf numFmtId="0" fontId="12" fillId="0" borderId="2" xfId="0" applyFont="1" applyBorder="1" applyAlignment="1">
      <alignment vertical="center" wrapText="1"/>
    </xf>
    <xf numFmtId="0" fontId="33" fillId="0" borderId="2" xfId="0" applyFont="1" applyBorder="1" applyAlignment="1">
      <alignment vertical="center" wrapText="1"/>
    </xf>
    <xf numFmtId="0" fontId="32" fillId="0" borderId="2" xfId="0" applyFont="1" applyBorder="1" applyAlignment="1">
      <alignment vertical="center" wrapText="1"/>
    </xf>
    <xf numFmtId="0" fontId="34" fillId="9" borderId="2" xfId="0" applyFont="1" applyFill="1" applyBorder="1" applyAlignment="1">
      <alignment vertical="center" wrapText="1"/>
    </xf>
    <xf numFmtId="14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49" fontId="12" fillId="10" borderId="0" xfId="0" applyNumberFormat="1" applyFont="1" applyFill="1" applyAlignment="1">
      <alignment horizontal="center" vertical="center" wrapText="1"/>
    </xf>
    <xf numFmtId="0" fontId="37" fillId="0" borderId="0" xfId="0" applyFont="1" applyAlignment="1">
      <alignment vertical="center" wrapText="1"/>
    </xf>
    <xf numFmtId="49" fontId="39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1" fillId="0" borderId="2" xfId="0" applyFont="1" applyBorder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0" fillId="0" borderId="0" xfId="0" quotePrefix="1"/>
    <xf numFmtId="1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4" fontId="7" fillId="3" borderId="0" xfId="1" applyFont="1" applyFill="1" applyAlignment="1">
      <alignment horizontal="center" vertical="center"/>
    </xf>
    <xf numFmtId="44" fontId="6" fillId="3" borderId="0" xfId="1" applyFont="1" applyFill="1" applyAlignment="1">
      <alignment horizontal="center" vertical="center"/>
    </xf>
    <xf numFmtId="0" fontId="18" fillId="2" borderId="6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44" fontId="11" fillId="0" borderId="9" xfId="1" applyFont="1" applyBorder="1" applyAlignment="1">
      <alignment vertical="center"/>
    </xf>
    <xf numFmtId="44" fontId="11" fillId="0" borderId="11" xfId="1" applyFont="1" applyBorder="1" applyAlignment="1">
      <alignment vertical="center"/>
    </xf>
    <xf numFmtId="44" fontId="11" fillId="0" borderId="10" xfId="1" applyFont="1" applyBorder="1" applyAlignment="1">
      <alignment vertical="center"/>
    </xf>
    <xf numFmtId="0" fontId="9" fillId="0" borderId="9" xfId="0" applyFont="1" applyBorder="1" applyAlignment="1">
      <alignment horizontal="right" vertical="center"/>
    </xf>
    <xf numFmtId="0" fontId="9" fillId="0" borderId="10" xfId="0" applyFont="1" applyBorder="1" applyAlignment="1">
      <alignment horizontal="right" vertical="center"/>
    </xf>
    <xf numFmtId="0" fontId="11" fillId="0" borderId="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44" fontId="4" fillId="3" borderId="0" xfId="1" applyFont="1" applyFill="1" applyAlignment="1">
      <alignment horizontal="center" vertical="center"/>
    </xf>
    <xf numFmtId="44" fontId="5" fillId="3" borderId="0" xfId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8" fillId="0" borderId="0" xfId="0" applyFont="1" applyAlignment="1">
      <alignment horizontal="center" vertical="center"/>
    </xf>
  </cellXfs>
  <cellStyles count="2">
    <cellStyle name="Moeda" xfId="1" builtinId="4"/>
    <cellStyle name="Normal" xfId="0" builtinId="0"/>
  </cellStyles>
  <dxfs count="58">
    <dxf>
      <font>
        <color rgb="FF9C2222"/>
      </font>
      <fill>
        <patternFill>
          <bgColor rgb="FFFCE4E4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2222"/>
      </font>
      <fill>
        <patternFill>
          <bgColor rgb="FFFCE4E4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1F4E79"/>
      </font>
      <fill>
        <patternFill>
          <bgColor rgb="FFD9E2F3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2222"/>
      </font>
      <fill>
        <patternFill>
          <bgColor rgb="FFFCE4E4"/>
        </patternFill>
      </fill>
    </dxf>
    <dxf>
      <font>
        <color rgb="FF9C2222"/>
      </font>
      <fill>
        <patternFill>
          <bgColor rgb="FFFCE4E4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color rgb="FF9C2222"/>
      </font>
      <fill>
        <patternFill>
          <bgColor rgb="FFFCE4E4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ill>
        <patternFill>
          <bgColor rgb="FFFFF2CC"/>
        </patternFill>
      </fill>
    </dxf>
    <dxf>
      <font>
        <color rgb="FF9C2222"/>
      </font>
      <fill>
        <patternFill>
          <bgColor rgb="FFFCE4E4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2222"/>
      </font>
      <fill>
        <patternFill>
          <bgColor rgb="FFFCE4E4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FF0000"/>
      </font>
    </dxf>
    <dxf>
      <font>
        <color rgb="FF0070C0"/>
      </font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FF0000"/>
        <name val="Arial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70C0"/>
        <name val="Arial"/>
        <family val="2"/>
        <scheme val="none"/>
      </font>
      <alignment horizontal="center" vertical="center" textRotation="0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4F81BD"/>
      <rgbColor rgb="FFBFBFBF"/>
      <rgbColor rgb="FF808080"/>
      <rgbColor rgb="FF9999FF"/>
      <rgbColor rgb="FFC0504D"/>
      <rgbColor rgb="FFFFFDE7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548235"/>
      <rgbColor rgb="FF003300"/>
      <rgbColor rgb="FF333300"/>
      <rgbColor rgb="FF9C2222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_EXTRATO" displayName="TB_EXTRATO" ref="A1:S3000" totalsRowShown="0" dataDxfId="57">
  <autoFilter ref="A1:S3000" xr:uid="{00000000-000C-0000-FFFF-FFFF00000000}"/>
  <sortState xmlns:xlrd2="http://schemas.microsoft.com/office/spreadsheetml/2017/richdata2" ref="A2:S3000">
    <sortCondition ref="B1:B3000"/>
  </sortState>
  <tableColumns count="19">
    <tableColumn id="1" xr3:uid="{00000000-0010-0000-0000-000001000000}" name="ID_LANC" dataDxfId="56"/>
    <tableColumn id="2" xr3:uid="{00000000-0010-0000-0000-000002000000}" name="ORDEM" dataDxfId="55"/>
    <tableColumn id="3" xr3:uid="{00000000-0010-0000-0000-000003000000}" name="DATA" dataDxfId="54"/>
    <tableColumn id="4" xr3:uid="{00000000-0010-0000-0000-000004000000}" name="MÊS" dataDxfId="53"/>
    <tableColumn id="5" xr3:uid="{00000000-0010-0000-0000-000005000000}" name="TIPO DE PAGAMENTO" dataDxfId="52"/>
    <tableColumn id="6" xr3:uid="{00000000-0010-0000-0000-000006000000}" name="TIPO DE MOVIMENTAÇÃO" dataDxfId="51"/>
    <tableColumn id="7" xr3:uid="{00000000-0010-0000-0000-000007000000}" name="HISTÓRICO DO BANCO" dataDxfId="50"/>
    <tableColumn id="8" xr3:uid="{00000000-0010-0000-0000-000008000000}" name="FORNECEDOR/FAVORECIDO" dataDxfId="49"/>
    <tableColumn id="9" xr3:uid="{00000000-0010-0000-0000-000009000000}" name="DOCUMENTO" dataDxfId="48"/>
    <tableColumn id="10" xr3:uid="{00000000-0010-0000-0000-00000A000000}" name="ENTRADA" dataDxfId="47"/>
    <tableColumn id="11" xr3:uid="{00000000-0010-0000-0000-00000B000000}" name="SAÍDA" dataDxfId="46"/>
    <tableColumn id="12" xr3:uid="{00000000-0010-0000-0000-00000C000000}" name="APLICAÇÃO" dataDxfId="45"/>
    <tableColumn id="13" xr3:uid="{00000000-0010-0000-0000-00000D000000}" name="RESGATE" dataDxfId="44"/>
    <tableColumn id="14" xr3:uid="{00000000-0010-0000-0000-00000E000000}" name="SALDO ACUMULADO" dataDxfId="43"/>
    <tableColumn id="15" xr3:uid="{00000000-0010-0000-0000-00000F000000}" name="TOTAL RATEADO" dataDxfId="42"/>
    <tableColumn id="16" xr3:uid="{00000000-0010-0000-0000-000010000000}" name="DIFERENÇA" dataDxfId="41"/>
    <tableColumn id="17" xr3:uid="{00000000-0010-0000-0000-000011000000}" name="STATUS DO RATEIO" dataDxfId="40"/>
    <tableColumn id="18" xr3:uid="{00000000-0010-0000-0000-000012000000}" name="STATUS DA CONCILIAÇÃO" dataDxfId="39"/>
    <tableColumn id="19" xr3:uid="{00000000-0010-0000-0000-000013000000}" name="OBSERVAÇÃO" dataDxfId="3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_RATEIOS" displayName="TB_RATEIOS" ref="A1:K3142" totalsRowShown="0" dataDxfId="37">
  <autoFilter ref="A1:K3142" xr:uid="{00000000-000C-0000-FFFF-FFFF01000000}">
    <filterColumn colId="1">
      <filters>
        <dateGroupItem year="2026" month="9" dateTimeGrouping="month"/>
      </filters>
    </filterColumn>
  </autoFilter>
  <tableColumns count="11">
    <tableColumn id="1" xr3:uid="{00000000-0010-0000-0100-000001000000}" name="ID_LANC" dataDxfId="36"/>
    <tableColumn id="2" xr3:uid="{00000000-0010-0000-0100-000002000000}" name="DATA" dataDxfId="35"/>
    <tableColumn id="3" xr3:uid="{00000000-0010-0000-0100-000003000000}" name="MÊS" dataDxfId="34"/>
    <tableColumn id="4" xr3:uid="{00000000-0010-0000-0100-000004000000}" name="CATEGORIA" dataDxfId="33"/>
    <tableColumn id="5" xr3:uid="{00000000-0010-0000-0100-000005000000}" name="SUBCATEGORIA" dataDxfId="32"/>
    <tableColumn id="6" xr3:uid="{00000000-0010-0000-0100-000006000000}" name="VALOR" dataDxfId="31"/>
    <tableColumn id="7" xr3:uid="{00000000-0010-0000-0100-000007000000}" name="DETALHE DO COMPONENTE" dataDxfId="30"/>
    <tableColumn id="8" xr3:uid="{00000000-0010-0000-0100-000008000000}" name="NATUREZA" dataDxfId="29"/>
    <tableColumn id="9" xr3:uid="{00000000-0010-0000-0100-000009000000}" name="FORNECEDOR" dataDxfId="28"/>
    <tableColumn id="10" xr3:uid="{00000000-0010-0000-0100-00000A000000}" name="ORIGEM DA CLASSIFICAÇÃO" dataDxfId="27"/>
    <tableColumn id="11" xr3:uid="{00000000-0010-0000-0100-00000B000000}" name="CONFERÊNCIA" dataDxfId="2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74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A2BA78C-4B38-4913-9F95-6CF7FF503A09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ca86a13c-dafd-4fad-b551-92db9a47ebd9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cLwR4yYX3RYFpGLs-5JvQbSUWTVXxj_a&amp;usp=drive_fs" TargetMode="External"/><Relationship Id="rId13" Type="http://schemas.openxmlformats.org/officeDocument/2006/relationships/hyperlink" Target="https://drive.google.com/open?id=1HFf-K7RB77o-Tq0BrhfVcvyJsjKW4KSW&amp;usp=drive_fs" TargetMode="External"/><Relationship Id="rId3" Type="http://schemas.openxmlformats.org/officeDocument/2006/relationships/hyperlink" Target="https://drive.google.com/open?id=1oXdyV64IH7Zsd2909i4BV4hwU5OwRag_&amp;usp=drive_fs" TargetMode="External"/><Relationship Id="rId7" Type="http://schemas.openxmlformats.org/officeDocument/2006/relationships/hyperlink" Target="https://drive.google.com/open?id=1d1NipoJBJLXRAJKJJmWXfXss92rP08yA&amp;usp=drive_fs" TargetMode="External"/><Relationship Id="rId12" Type="http://schemas.openxmlformats.org/officeDocument/2006/relationships/hyperlink" Target="https://drive.google.com/open?id=1H4haRpiC8E7u3eydRIcp5tqJTlwgGm5o&amp;usp=drive_fs" TargetMode="External"/><Relationship Id="rId2" Type="http://schemas.openxmlformats.org/officeDocument/2006/relationships/hyperlink" Target="https://drive.google.com/open?id=1Z0Ju5WEx51nxLk4SnJd-j9CF4jGmD3KW&amp;usp=drive_fs" TargetMode="External"/><Relationship Id="rId1" Type="http://schemas.openxmlformats.org/officeDocument/2006/relationships/hyperlink" Target="https://drive.google.com/open?id=1CeOin4_qLLfKFsfA8yEn03EvxKFfBuTT&amp;usp=drive_fs" TargetMode="External"/><Relationship Id="rId6" Type="http://schemas.openxmlformats.org/officeDocument/2006/relationships/hyperlink" Target="https://drive.google.com/open?id=1lyWIuAt_sI0PoLEPzUr_nwStGiYPH1aA&amp;usp=drive_fs" TargetMode="External"/><Relationship Id="rId11" Type="http://schemas.openxmlformats.org/officeDocument/2006/relationships/hyperlink" Target="https://drive.google.com/open?id=1WV9Ha8Ziwr_8CJvXULlXooAMM0TygP_q&amp;usp=drive_fs" TargetMode="External"/><Relationship Id="rId5" Type="http://schemas.openxmlformats.org/officeDocument/2006/relationships/hyperlink" Target="https://drive.google.com/open?id=1pAFdW8sM7qHa9Jtu4eVmslP9WTQQhrip&amp;usp=drive_fs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drive.google.com/open?id=1eUywcNyclht-3AnRyelUzh8RjLP7TjeI&amp;usp=drive_fs" TargetMode="External"/><Relationship Id="rId4" Type="http://schemas.openxmlformats.org/officeDocument/2006/relationships/hyperlink" Target="https://drive.google.com/open?id=1xFgml1sGHsm3tS_NewwW6hGIvPoL6HSc&amp;usp=drive_fs" TargetMode="External"/><Relationship Id="rId9" Type="http://schemas.openxmlformats.org/officeDocument/2006/relationships/hyperlink" Target="https://drive.google.com/open?id=1wDG99-GYbwJDvVtRjt29ehdx11bRXNqZ&amp;usp=drive_fs" TargetMode="External"/><Relationship Id="rId14" Type="http://schemas.openxmlformats.org/officeDocument/2006/relationships/hyperlink" Target="https://drive.google.com/open?id=1QHedb6hxpVycT9Js0UHOuG1X-lr4PaC3&amp;usp=drive_f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F41"/>
  <sheetViews>
    <sheetView showGridLines="0" zoomScaleNormal="100" workbookViewId="0">
      <selection activeCell="E21" sqref="E21"/>
    </sheetView>
  </sheetViews>
  <sheetFormatPr defaultColWidth="8.7109375" defaultRowHeight="15" x14ac:dyDescent="0.25"/>
  <cols>
    <col min="1" max="1" width="46" style="16" customWidth="1"/>
    <col min="2" max="2" width="3" style="16" customWidth="1"/>
    <col min="3" max="3" width="24" style="16" customWidth="1"/>
    <col min="4" max="4" width="3" style="16" customWidth="1"/>
    <col min="5" max="5" width="24" style="16" customWidth="1"/>
    <col min="6" max="6" width="20" style="16" customWidth="1"/>
    <col min="7" max="16384" width="8.7109375" style="16"/>
  </cols>
  <sheetData>
    <row r="1" spans="1:6" ht="23.25" x14ac:dyDescent="0.25">
      <c r="A1" s="117" t="s">
        <v>0</v>
      </c>
      <c r="B1" s="117"/>
      <c r="C1" s="117"/>
      <c r="D1" s="117"/>
      <c r="E1" s="117"/>
      <c r="F1" s="117"/>
    </row>
    <row r="2" spans="1:6" x14ac:dyDescent="0.25">
      <c r="A2" s="118" t="s">
        <v>1</v>
      </c>
      <c r="B2" s="118"/>
      <c r="C2" s="118"/>
      <c r="D2" s="118"/>
      <c r="E2" s="118"/>
      <c r="F2" s="118"/>
    </row>
    <row r="4" spans="1:6" s="77" customFormat="1" x14ac:dyDescent="0.25">
      <c r="A4" s="116" t="s">
        <v>2754</v>
      </c>
      <c r="B4" s="116"/>
      <c r="C4" s="116" t="s">
        <v>2</v>
      </c>
      <c r="D4" s="116"/>
      <c r="E4" s="116" t="s">
        <v>3</v>
      </c>
      <c r="F4" s="116"/>
    </row>
    <row r="5" spans="1:6" ht="18" x14ac:dyDescent="0.25">
      <c r="A5" s="114">
        <f>CADASTROS!$B$4+SUM(EXTRATO!$J$2:$J$3000)+SUM(EXTRATO!$M$2:$M$3000)-SUM(EXTRATO!$K$2:$K$3000)-SUM(EXTRATO!$L$2:$L$3000)</f>
        <v>480714.12999999616</v>
      </c>
      <c r="B5" s="114"/>
      <c r="C5" s="115">
        <f>SUM(EXTRATO!$J$2:$J$3000)</f>
        <v>5790013.2699999996</v>
      </c>
      <c r="D5" s="115"/>
      <c r="E5" s="102">
        <f>SUM(EXTRATO!$K$2:$K$3000)</f>
        <v>5861088.2700000033</v>
      </c>
      <c r="F5" s="102"/>
    </row>
    <row r="7" spans="1:6" x14ac:dyDescent="0.25">
      <c r="A7" s="116" t="s">
        <v>3235</v>
      </c>
      <c r="B7" s="116"/>
      <c r="C7" s="116" t="s">
        <v>3236</v>
      </c>
      <c r="D7" s="116"/>
      <c r="E7" s="116" t="s">
        <v>4</v>
      </c>
      <c r="F7" s="116"/>
    </row>
    <row r="8" spans="1:6" ht="18" x14ac:dyDescent="0.25">
      <c r="A8" s="101">
        <f>SUM(EXTRATO!$L$2:$L$3000)-SUM(EXTRATO!$M$850:M3000)</f>
        <v>125496.53999999998</v>
      </c>
      <c r="B8" s="101"/>
      <c r="C8" s="101">
        <f>SUM(EXTRATO!$M$2:$M$3000)</f>
        <v>1051789.1299999997</v>
      </c>
      <c r="D8" s="101"/>
      <c r="E8" s="102">
        <f>ANÁLISES!$N$19</f>
        <v>4881177.62</v>
      </c>
      <c r="F8" s="102"/>
    </row>
    <row r="11" spans="1:6" ht="15.75" x14ac:dyDescent="0.25">
      <c r="A11" s="125" t="s">
        <v>5</v>
      </c>
      <c r="B11" s="125"/>
      <c r="C11" s="125"/>
    </row>
    <row r="12" spans="1:6" x14ac:dyDescent="0.25">
      <c r="A12" s="25" t="s">
        <v>6</v>
      </c>
      <c r="C12" s="26">
        <f>COUNT(EXTRATO!$C$2:$C$3000)</f>
        <v>1061</v>
      </c>
    </row>
    <row r="13" spans="1:6" x14ac:dyDescent="0.25">
      <c r="A13" s="25" t="s">
        <v>7</v>
      </c>
      <c r="C13" s="26">
        <f>COUNTIF(EXTRATO!$Q$2:$Q$3000,"RATEIO OK")</f>
        <v>895</v>
      </c>
    </row>
    <row r="14" spans="1:6" x14ac:dyDescent="0.25">
      <c r="A14" s="25" t="s">
        <v>8</v>
      </c>
      <c r="C14" s="26">
        <f>COUNTIF(EXTRATO!$Q$2:$Q$3000,"NÃO CLASSIFICADO")+COUNTIF(EXTRATO!$Q$2:$Q$3000,"PENDENTE DE RATEIO")</f>
        <v>165</v>
      </c>
    </row>
    <row r="15" spans="1:6" x14ac:dyDescent="0.25">
      <c r="A15" s="25" t="s">
        <v>9</v>
      </c>
      <c r="C15" s="26">
        <f>COUNTIF(EXTRATO!$Q$2:$Q$3000,"DIVERGÊNCIA")</f>
        <v>1</v>
      </c>
    </row>
    <row r="16" spans="1:6" x14ac:dyDescent="0.25">
      <c r="A16" s="25" t="s">
        <v>10</v>
      </c>
      <c r="C16" s="27">
        <f>IFERROR(C13/C12,0)</f>
        <v>0.84354382657869931</v>
      </c>
    </row>
    <row r="17" spans="1:6" x14ac:dyDescent="0.25">
      <c r="A17" s="25" t="s">
        <v>11</v>
      </c>
      <c r="C17" s="26">
        <f>COUNTIF(RATEIOS!$J$2:$J$3142,"SUGERIDO")</f>
        <v>170</v>
      </c>
    </row>
    <row r="18" spans="1:6" x14ac:dyDescent="0.25">
      <c r="A18" s="25" t="s">
        <v>12</v>
      </c>
      <c r="C18" s="26">
        <f>COUNTIF(RATEIOS!$J$2:$J$3142,"PENDENTE")+COUNTIF(RATEIOS!$J$2:$J$3142,"REVISAR")</f>
        <v>303</v>
      </c>
    </row>
    <row r="19" spans="1:6" x14ac:dyDescent="0.25">
      <c r="A19" s="25" t="s">
        <v>13</v>
      </c>
      <c r="C19" s="26">
        <f>COUNTIF(EXTRATO!$R$2:$R$3000,"Conciliado")</f>
        <v>1028</v>
      </c>
    </row>
    <row r="20" spans="1:6" x14ac:dyDescent="0.25">
      <c r="A20" s="25" t="s">
        <v>14</v>
      </c>
      <c r="C20" s="28">
        <f>SUMPRODUCT((RATEIOS!$D$2:$D$3142="")*1,RATEIOS!$F$2:$F$3142)</f>
        <v>2117734.75</v>
      </c>
    </row>
    <row r="21" spans="1:6" ht="15.75" thickBot="1" x14ac:dyDescent="0.3"/>
    <row r="22" spans="1:6" ht="15.75" thickBot="1" x14ac:dyDescent="0.3">
      <c r="A22" s="103" t="s">
        <v>15</v>
      </c>
      <c r="B22" s="104"/>
      <c r="C22" s="104"/>
      <c r="D22" s="104"/>
      <c r="E22" s="104"/>
      <c r="F22" s="105"/>
    </row>
    <row r="23" spans="1:6" ht="15.75" thickBot="1" x14ac:dyDescent="0.3">
      <c r="A23" s="109" t="s">
        <v>16</v>
      </c>
      <c r="B23" s="110"/>
      <c r="C23" s="111" t="str">
        <f>INDEX(ANÁLISES!$A$7:$A$17,MATCH(MAX(ANÁLISES!$N$7:$N$17),ANÁLISES!$N$7:$N$17,0))</f>
        <v>DESPESAS COM MATERIAIS PARA HEMODIÁLISE E DEMAIS CUSTOS</v>
      </c>
      <c r="D23" s="112"/>
      <c r="E23" s="112"/>
      <c r="F23" s="113"/>
    </row>
    <row r="24" spans="1:6" ht="15.75" thickBot="1" x14ac:dyDescent="0.3">
      <c r="A24" s="109" t="s">
        <v>17</v>
      </c>
      <c r="B24" s="110"/>
      <c r="C24" s="106">
        <f>MAX(ANÁLISES!$N$7:$N$17)</f>
        <v>1175950.6599999997</v>
      </c>
      <c r="D24" s="107"/>
      <c r="E24" s="107"/>
      <c r="F24" s="108"/>
    </row>
    <row r="27" spans="1:6" ht="15.75" x14ac:dyDescent="0.25">
      <c r="A27" s="24" t="s">
        <v>18</v>
      </c>
    </row>
    <row r="28" spans="1:6" x14ac:dyDescent="0.25">
      <c r="A28" s="100" t="s">
        <v>2912</v>
      </c>
      <c r="B28" s="100"/>
      <c r="C28" s="100"/>
      <c r="D28" s="100"/>
      <c r="E28" s="100"/>
      <c r="F28" s="100"/>
    </row>
    <row r="29" spans="1:6" x14ac:dyDescent="0.25">
      <c r="A29" s="100" t="s">
        <v>2913</v>
      </c>
      <c r="B29" s="100"/>
      <c r="C29" s="100"/>
      <c r="D29" s="100"/>
      <c r="E29" s="100"/>
      <c r="F29" s="100"/>
    </row>
    <row r="30" spans="1:6" x14ac:dyDescent="0.25">
      <c r="A30" s="100" t="s">
        <v>2914</v>
      </c>
      <c r="B30" s="100"/>
      <c r="C30" s="100"/>
      <c r="D30" s="100"/>
      <c r="E30" s="100"/>
      <c r="F30" s="100"/>
    </row>
    <row r="31" spans="1:6" x14ac:dyDescent="0.25">
      <c r="A31" s="100" t="s">
        <v>19</v>
      </c>
      <c r="B31" s="100"/>
      <c r="C31" s="100"/>
      <c r="D31" s="100"/>
      <c r="E31" s="100"/>
      <c r="F31" s="100"/>
    </row>
    <row r="32" spans="1:6" x14ac:dyDescent="0.25">
      <c r="A32" s="100" t="s">
        <v>20</v>
      </c>
      <c r="B32" s="100"/>
      <c r="C32" s="100"/>
      <c r="D32" s="100"/>
      <c r="E32" s="100"/>
      <c r="F32" s="100"/>
    </row>
    <row r="33" spans="1:6" x14ac:dyDescent="0.25">
      <c r="A33" s="100" t="s">
        <v>21</v>
      </c>
      <c r="B33" s="100"/>
      <c r="C33" s="100"/>
      <c r="D33" s="100"/>
      <c r="E33" s="100"/>
      <c r="F33" s="100"/>
    </row>
    <row r="34" spans="1:6" x14ac:dyDescent="0.25">
      <c r="A34" s="100" t="s">
        <v>2915</v>
      </c>
      <c r="B34" s="100"/>
      <c r="C34" s="100"/>
      <c r="D34" s="100"/>
      <c r="E34" s="100"/>
      <c r="F34" s="100"/>
    </row>
    <row r="37" spans="1:6" ht="15.75" x14ac:dyDescent="0.25">
      <c r="A37" s="24" t="s">
        <v>22</v>
      </c>
    </row>
    <row r="38" spans="1:6" x14ac:dyDescent="0.25">
      <c r="A38" s="31"/>
      <c r="C38" s="99" t="s">
        <v>23</v>
      </c>
      <c r="D38" s="99"/>
      <c r="E38" s="99"/>
      <c r="F38" s="99"/>
    </row>
    <row r="39" spans="1:6" x14ac:dyDescent="0.25">
      <c r="A39" s="32"/>
      <c r="C39" s="99" t="s">
        <v>24</v>
      </c>
      <c r="D39" s="99"/>
      <c r="E39" s="99"/>
      <c r="F39" s="99"/>
    </row>
    <row r="40" spans="1:6" x14ac:dyDescent="0.25">
      <c r="A40" s="33"/>
      <c r="C40" s="99" t="s">
        <v>25</v>
      </c>
      <c r="D40" s="99"/>
      <c r="E40" s="99"/>
      <c r="F40" s="99"/>
    </row>
    <row r="41" spans="1:6" x14ac:dyDescent="0.25">
      <c r="A41" s="34"/>
      <c r="C41" s="99" t="s">
        <v>26</v>
      </c>
      <c r="D41" s="99"/>
      <c r="E41" s="99"/>
      <c r="F41" s="99"/>
    </row>
  </sheetData>
  <mergeCells count="31">
    <mergeCell ref="A1:F1"/>
    <mergeCell ref="A2:F2"/>
    <mergeCell ref="A4:B4"/>
    <mergeCell ref="C4:D4"/>
    <mergeCell ref="E4:F4"/>
    <mergeCell ref="A5:B5"/>
    <mergeCell ref="C5:D5"/>
    <mergeCell ref="E5:F5"/>
    <mergeCell ref="A7:B7"/>
    <mergeCell ref="C7:D7"/>
    <mergeCell ref="E7:F7"/>
    <mergeCell ref="A8:B8"/>
    <mergeCell ref="C8:D8"/>
    <mergeCell ref="E8:F8"/>
    <mergeCell ref="A28:F28"/>
    <mergeCell ref="A29:F29"/>
    <mergeCell ref="A22:F22"/>
    <mergeCell ref="C24:F24"/>
    <mergeCell ref="A23:B23"/>
    <mergeCell ref="A24:B24"/>
    <mergeCell ref="C23:F23"/>
    <mergeCell ref="A11:C11"/>
    <mergeCell ref="C38:F38"/>
    <mergeCell ref="C39:F39"/>
    <mergeCell ref="C40:F40"/>
    <mergeCell ref="C41:F41"/>
    <mergeCell ref="A30:F30"/>
    <mergeCell ref="A31:F31"/>
    <mergeCell ref="A32:F32"/>
    <mergeCell ref="A33:F33"/>
    <mergeCell ref="A34:F3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S3005"/>
  <sheetViews>
    <sheetView tabSelected="1" zoomScaleNormal="100" workbookViewId="0">
      <pane xSplit="2" ySplit="1" topLeftCell="C1043" activePane="bottomRight" state="frozen"/>
      <selection pane="topRight" activeCell="C1" sqref="C1"/>
      <selection pane="bottomLeft" activeCell="A2" sqref="A2"/>
      <selection pane="bottomRight" activeCell="G1053" sqref="G1053"/>
    </sheetView>
  </sheetViews>
  <sheetFormatPr defaultColWidth="8.7109375" defaultRowHeight="15" x14ac:dyDescent="0.25"/>
  <cols>
    <col min="1" max="1" width="12" customWidth="1"/>
    <col min="2" max="2" width="13" customWidth="1"/>
    <col min="3" max="3" width="11" customWidth="1"/>
    <col min="4" max="4" width="7" customWidth="1"/>
    <col min="5" max="5" width="17" customWidth="1"/>
    <col min="6" max="6" width="19" customWidth="1"/>
    <col min="7" max="7" width="105.42578125" customWidth="1"/>
    <col min="8" max="8" width="34" customWidth="1"/>
    <col min="9" max="9" width="23.42578125" customWidth="1"/>
    <col min="10" max="13" width="15" customWidth="1"/>
    <col min="14" max="14" width="17" customWidth="1"/>
    <col min="15" max="15" width="15" customWidth="1"/>
    <col min="16" max="16" width="13" customWidth="1"/>
    <col min="17" max="17" width="21" customWidth="1"/>
    <col min="18" max="18" width="20" customWidth="1"/>
    <col min="19" max="19" width="96.7109375" customWidth="1"/>
  </cols>
  <sheetData>
    <row r="1" spans="1:19" ht="25.5" x14ac:dyDescent="0.25">
      <c r="A1" s="2" t="s">
        <v>27</v>
      </c>
      <c r="B1" s="2" t="s">
        <v>3015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</row>
    <row r="2" spans="1:19" ht="24.95" customHeight="1" x14ac:dyDescent="0.25">
      <c r="A2" s="49" t="s">
        <v>1304</v>
      </c>
      <c r="B2" s="98">
        <v>1</v>
      </c>
      <c r="C2" s="50">
        <v>46024</v>
      </c>
      <c r="D2" s="49">
        <f t="shared" ref="D2:D65" si="0">IF(C2="","",MONTH(C2))</f>
        <v>1</v>
      </c>
      <c r="E2" s="92" t="s">
        <v>2558</v>
      </c>
      <c r="F2" s="49" t="s">
        <v>38</v>
      </c>
      <c r="G2" s="14" t="s">
        <v>45</v>
      </c>
      <c r="H2" s="14" t="s">
        <v>46</v>
      </c>
      <c r="I2" s="76"/>
      <c r="J2" s="73">
        <v>0</v>
      </c>
      <c r="K2" s="74">
        <v>0</v>
      </c>
      <c r="L2" s="72">
        <v>0</v>
      </c>
      <c r="M2" s="72">
        <v>8500</v>
      </c>
      <c r="N2" s="72">
        <f>IF(AND(C2="",J2=0,K2=0,L2=0,M2=0),"",CADASTROS!$B$4+SUM($J$2:J2)+SUM($M$2:M2)-SUM($K$2:K2)-SUM($L$2:L2))</f>
        <v>8500</v>
      </c>
      <c r="O2" s="72">
        <f>IF(A2="","",SUMIF(RATEIOS!$A$2:$A$3142,$A2,RATEIOS!$F$2:$F$3142))</f>
        <v>8500</v>
      </c>
      <c r="P2" s="15">
        <f t="shared" ref="P2:P65" si="1">IF(A2="","",(J2+K2+L2+M2)-O2)</f>
        <v>0</v>
      </c>
      <c r="Q2" s="49" t="str">
        <f>IF(AND(J2=0,K2=0,L2=0,M2=0),"",IF(O2=0,"PENDENTE DE RATEIO",IF(ABS(P2)&gt;0.005,"DIVERGÊNCIA",IF(COUNTIF(RATEIOS!$A$2:$A$3142,$A2)-COUNTIFS(RATEIOS!$A$2:$A$3142,$A2,RATEIOS!$D$2:$D$3142,"&lt;&gt;")&gt;0,"NÃO CLASSIFICADO","RATEIO OK"))))</f>
        <v>RATEIO OK</v>
      </c>
      <c r="R2" s="49" t="s">
        <v>2553</v>
      </c>
      <c r="S2" s="14"/>
    </row>
    <row r="3" spans="1:19" ht="24.95" customHeight="1" x14ac:dyDescent="0.25">
      <c r="A3" s="49" t="s">
        <v>1308</v>
      </c>
      <c r="B3" s="98">
        <v>2</v>
      </c>
      <c r="C3" s="50">
        <v>46024</v>
      </c>
      <c r="D3" s="49">
        <f t="shared" si="0"/>
        <v>1</v>
      </c>
      <c r="E3" s="92" t="s">
        <v>2558</v>
      </c>
      <c r="F3" s="49" t="s">
        <v>38</v>
      </c>
      <c r="G3" s="14" t="s">
        <v>45</v>
      </c>
      <c r="H3" s="14" t="s">
        <v>46</v>
      </c>
      <c r="I3" s="76"/>
      <c r="J3" s="73">
        <v>0</v>
      </c>
      <c r="K3" s="74">
        <v>0</v>
      </c>
      <c r="L3" s="72">
        <v>0</v>
      </c>
      <c r="M3" s="72">
        <v>5.27</v>
      </c>
      <c r="N3" s="72">
        <f>IF(AND(C3="",J3=0,K3=0,L3=0,M3=0),"",CADASTROS!$B$4+SUM($J$2:J3)+SUM($M$2:M3)-SUM($K$2:K3)-SUM($L$2:L3))</f>
        <v>8505.27</v>
      </c>
      <c r="O3" s="72">
        <f>IF(A3="","",SUMIF(RATEIOS!$A$2:$A$3142,$A3,RATEIOS!$F$2:$F$3142))</f>
        <v>5.27</v>
      </c>
      <c r="P3" s="15">
        <f t="shared" si="1"/>
        <v>0</v>
      </c>
      <c r="Q3" s="49" t="str">
        <f>IF(AND(J3=0,K3=0,L3=0,M3=0),"",IF(O3=0,"PENDENTE DE RATEIO",IF(ABS(P3)&gt;0.005,"DIVERGÊNCIA",IF(COUNTIF(RATEIOS!$A$2:$A$3142,$A3)-COUNTIFS(RATEIOS!$A$2:$A$3142,$A3,RATEIOS!$D$2:$D$3142,"&lt;&gt;")&gt;0,"NÃO CLASSIFICADO","RATEIO OK"))))</f>
        <v>RATEIO OK</v>
      </c>
      <c r="R3" s="49" t="s">
        <v>2553</v>
      </c>
      <c r="S3" s="14"/>
    </row>
    <row r="4" spans="1:19" ht="24.95" customHeight="1" x14ac:dyDescent="0.25">
      <c r="A4" s="49" t="s">
        <v>1309</v>
      </c>
      <c r="B4" s="98">
        <v>3</v>
      </c>
      <c r="C4" s="50">
        <v>46024</v>
      </c>
      <c r="D4" s="49">
        <f t="shared" si="0"/>
        <v>1</v>
      </c>
      <c r="E4" s="92" t="s">
        <v>287</v>
      </c>
      <c r="F4" s="49" t="s">
        <v>36</v>
      </c>
      <c r="G4" s="14" t="s">
        <v>47</v>
      </c>
      <c r="H4" s="14" t="s">
        <v>48</v>
      </c>
      <c r="I4" s="76" t="s">
        <v>49</v>
      </c>
      <c r="J4" s="73">
        <v>0</v>
      </c>
      <c r="K4" s="74">
        <v>270</v>
      </c>
      <c r="L4" s="72">
        <v>0</v>
      </c>
      <c r="M4" s="72">
        <v>0</v>
      </c>
      <c r="N4" s="72">
        <f>IF(AND(C4="",J4=0,K4=0,L4=0,M4=0),"",CADASTROS!$B$4+SUM($J$2:J4)+SUM($M$2:M4)-SUM($K$2:K4)-SUM($L$2:L4))</f>
        <v>8235.27</v>
      </c>
      <c r="O4" s="72">
        <f>IF(A4="","",SUMIF(RATEIOS!$A$2:$A$3142,$A4,RATEIOS!$F$2:$F$3142))</f>
        <v>270</v>
      </c>
      <c r="P4" s="15">
        <f t="shared" si="1"/>
        <v>0</v>
      </c>
      <c r="Q4" s="49" t="str">
        <f>IF(AND(J4=0,K4=0,L4=0,M4=0),"",IF(O4=0,"PENDENTE DE RATEIO",IF(ABS(P4)&gt;0.005,"DIVERGÊNCIA",IF(COUNTIF(RATEIOS!$A$2:$A$3142,$A4)-COUNTIFS(RATEIOS!$A$2:$A$3142,$A4,RATEIOS!$D$2:$D$3142,"&lt;&gt;")&gt;0,"NÃO CLASSIFICADO","RATEIO OK"))))</f>
        <v>RATEIO OK</v>
      </c>
      <c r="R4" s="49" t="s">
        <v>2553</v>
      </c>
      <c r="S4" s="14"/>
    </row>
    <row r="5" spans="1:19" ht="24.95" customHeight="1" x14ac:dyDescent="0.25">
      <c r="A5" s="49" t="s">
        <v>1310</v>
      </c>
      <c r="B5" s="98">
        <v>4</v>
      </c>
      <c r="C5" s="50">
        <v>46024</v>
      </c>
      <c r="D5" s="49">
        <f t="shared" si="0"/>
        <v>1</v>
      </c>
      <c r="E5" s="92" t="s">
        <v>118</v>
      </c>
      <c r="F5" s="49" t="s">
        <v>36</v>
      </c>
      <c r="G5" s="14" t="s">
        <v>50</v>
      </c>
      <c r="H5" s="14" t="s">
        <v>51</v>
      </c>
      <c r="I5" s="76" t="s">
        <v>52</v>
      </c>
      <c r="J5" s="73">
        <v>0</v>
      </c>
      <c r="K5" s="74">
        <v>1300.83</v>
      </c>
      <c r="L5" s="72">
        <v>0</v>
      </c>
      <c r="M5" s="72">
        <v>0</v>
      </c>
      <c r="N5" s="72">
        <f>IF(AND(C5="",J5=0,K5=0,L5=0,M5=0),"",CADASTROS!$B$4+SUM($J$2:J5)+SUM($M$2:M5)-SUM($K$2:K5)-SUM($L$2:L5))</f>
        <v>6934.4400000000005</v>
      </c>
      <c r="O5" s="72">
        <f>IF(A5="","",SUMIF(RATEIOS!$A$2:$A$3142,$A5,RATEIOS!$F$2:$F$3142))</f>
        <v>1300.83</v>
      </c>
      <c r="P5" s="15">
        <f t="shared" si="1"/>
        <v>0</v>
      </c>
      <c r="Q5" s="49" t="str">
        <f>IF(AND(J5=0,K5=0,L5=0,M5=0),"",IF(O5=0,"PENDENTE DE RATEIO",IF(ABS(P5)&gt;0.005,"DIVERGÊNCIA",IF(COUNTIF(RATEIOS!$A$2:$A$3142,$A5)-COUNTIFS(RATEIOS!$A$2:$A$3142,$A5,RATEIOS!$D$2:$D$3142,"&lt;&gt;")&gt;0,"NÃO CLASSIFICADO","RATEIO OK"))))</f>
        <v>RATEIO OK</v>
      </c>
      <c r="R5" s="49" t="s">
        <v>2553</v>
      </c>
      <c r="S5" s="14"/>
    </row>
    <row r="6" spans="1:19" ht="24.95" customHeight="1" x14ac:dyDescent="0.25">
      <c r="A6" s="49" t="s">
        <v>1314</v>
      </c>
      <c r="B6" s="98">
        <v>5</v>
      </c>
      <c r="C6" s="50">
        <v>46024</v>
      </c>
      <c r="D6" s="49">
        <f t="shared" si="0"/>
        <v>1</v>
      </c>
      <c r="E6" s="92" t="s">
        <v>118</v>
      </c>
      <c r="F6" s="49" t="s">
        <v>36</v>
      </c>
      <c r="G6" s="14" t="s">
        <v>53</v>
      </c>
      <c r="H6" s="14" t="s">
        <v>51</v>
      </c>
      <c r="I6" s="76" t="s">
        <v>54</v>
      </c>
      <c r="J6" s="73">
        <v>0</v>
      </c>
      <c r="K6" s="74">
        <v>1952.72</v>
      </c>
      <c r="L6" s="72">
        <v>0</v>
      </c>
      <c r="M6" s="72">
        <v>0</v>
      </c>
      <c r="N6" s="72">
        <f>IF(AND(C6="",J6=0,K6=0,L6=0,M6=0),"",CADASTROS!$B$4+SUM($J$2:J6)+SUM($M$2:M6)-SUM($K$2:K6)-SUM($L$2:L6))</f>
        <v>4981.72</v>
      </c>
      <c r="O6" s="72">
        <f>IF(A6="","",SUMIF(RATEIOS!$A$2:$A$3142,$A6,RATEIOS!$F$2:$F$3142))</f>
        <v>1952.72</v>
      </c>
      <c r="P6" s="15">
        <f t="shared" si="1"/>
        <v>0</v>
      </c>
      <c r="Q6" s="49" t="str">
        <f>IF(AND(J6=0,K6=0,L6=0,M6=0),"",IF(O6=0,"PENDENTE DE RATEIO",IF(ABS(P6)&gt;0.005,"DIVERGÊNCIA",IF(COUNTIF(RATEIOS!$A$2:$A$3142,$A6)-COUNTIFS(RATEIOS!$A$2:$A$3142,$A6,RATEIOS!$D$2:$D$3142,"&lt;&gt;")&gt;0,"NÃO CLASSIFICADO","RATEIO OK"))))</f>
        <v>RATEIO OK</v>
      </c>
      <c r="R6" s="49" t="s">
        <v>2553</v>
      </c>
      <c r="S6" s="14"/>
    </row>
    <row r="7" spans="1:19" ht="24.95" customHeight="1" x14ac:dyDescent="0.25">
      <c r="A7" s="49" t="s">
        <v>1316</v>
      </c>
      <c r="B7" s="98">
        <v>6</v>
      </c>
      <c r="C7" s="50">
        <v>46024</v>
      </c>
      <c r="D7" s="49">
        <f t="shared" si="0"/>
        <v>1</v>
      </c>
      <c r="E7" s="92" t="s">
        <v>118</v>
      </c>
      <c r="F7" s="49" t="s">
        <v>36</v>
      </c>
      <c r="G7" s="14" t="s">
        <v>55</v>
      </c>
      <c r="H7" s="14" t="s">
        <v>56</v>
      </c>
      <c r="I7" s="76" t="s">
        <v>57</v>
      </c>
      <c r="J7" s="73">
        <v>0</v>
      </c>
      <c r="K7" s="74">
        <v>720</v>
      </c>
      <c r="L7" s="72">
        <v>0</v>
      </c>
      <c r="M7" s="72">
        <v>0</v>
      </c>
      <c r="N7" s="72">
        <f>IF(AND(C7="",J7=0,K7=0,L7=0,M7=0),"",CADASTROS!$B$4+SUM($J$2:J7)+SUM($M$2:M7)-SUM($K$2:K7)-SUM($L$2:L7))</f>
        <v>4261.72</v>
      </c>
      <c r="O7" s="72">
        <f>IF(A7="","",SUMIF(RATEIOS!$A$2:$A$3142,$A7,RATEIOS!$F$2:$F$3142))</f>
        <v>720</v>
      </c>
      <c r="P7" s="15">
        <f t="shared" si="1"/>
        <v>0</v>
      </c>
      <c r="Q7" s="49" t="str">
        <f>IF(AND(J7=0,K7=0,L7=0,M7=0),"",IF(O7=0,"PENDENTE DE RATEIO",IF(ABS(P7)&gt;0.005,"DIVERGÊNCIA",IF(COUNTIF(RATEIOS!$A$2:$A$3142,$A7)-COUNTIFS(RATEIOS!$A$2:$A$3142,$A7,RATEIOS!$D$2:$D$3142,"&lt;&gt;")&gt;0,"NÃO CLASSIFICADO","RATEIO OK"))))</f>
        <v>RATEIO OK</v>
      </c>
      <c r="R7" s="49" t="s">
        <v>2553</v>
      </c>
      <c r="S7" s="14"/>
    </row>
    <row r="8" spans="1:19" ht="24.95" customHeight="1" x14ac:dyDescent="0.25">
      <c r="A8" s="49" t="s">
        <v>1317</v>
      </c>
      <c r="B8" s="98">
        <v>7</v>
      </c>
      <c r="C8" s="50">
        <v>46024</v>
      </c>
      <c r="D8" s="49">
        <f t="shared" si="0"/>
        <v>1</v>
      </c>
      <c r="E8" s="92" t="s">
        <v>118</v>
      </c>
      <c r="F8" s="49" t="s">
        <v>36</v>
      </c>
      <c r="G8" s="14" t="s">
        <v>58</v>
      </c>
      <c r="H8" s="14" t="s">
        <v>59</v>
      </c>
      <c r="I8" s="76" t="s">
        <v>60</v>
      </c>
      <c r="J8" s="73">
        <v>0</v>
      </c>
      <c r="K8" s="74">
        <v>1840</v>
      </c>
      <c r="L8" s="72">
        <v>0</v>
      </c>
      <c r="M8" s="72">
        <v>0</v>
      </c>
      <c r="N8" s="72">
        <f>IF(AND(C8="",J8=0,K8=0,L8=0,M8=0),"",CADASTROS!$B$4+SUM($J$2:J8)+SUM($M$2:M8)-SUM($K$2:K8)-SUM($L$2:L8))</f>
        <v>2421.7200000000003</v>
      </c>
      <c r="O8" s="72">
        <f>IF(A8="","",SUMIF(RATEIOS!$A$2:$A$3142,$A8,RATEIOS!$F$2:$F$3142))</f>
        <v>1840</v>
      </c>
      <c r="P8" s="15">
        <f t="shared" si="1"/>
        <v>0</v>
      </c>
      <c r="Q8" s="49" t="str">
        <f>IF(AND(J8=0,K8=0,L8=0,M8=0),"",IF(O8=0,"PENDENTE DE RATEIO",IF(ABS(P8)&gt;0.005,"DIVERGÊNCIA",IF(COUNTIF(RATEIOS!$A$2:$A$3142,$A8)-COUNTIFS(RATEIOS!$A$2:$A$3142,$A8,RATEIOS!$D$2:$D$3142,"&lt;&gt;")&gt;0,"NÃO CLASSIFICADO","RATEIO OK"))))</f>
        <v>RATEIO OK</v>
      </c>
      <c r="R8" s="49" t="s">
        <v>2553</v>
      </c>
      <c r="S8" s="14"/>
    </row>
    <row r="9" spans="1:19" ht="24.95" customHeight="1" x14ac:dyDescent="0.25">
      <c r="A9" s="49" t="s">
        <v>1319</v>
      </c>
      <c r="B9" s="98">
        <v>8</v>
      </c>
      <c r="C9" s="50">
        <v>46024</v>
      </c>
      <c r="D9" s="49">
        <f t="shared" si="0"/>
        <v>1</v>
      </c>
      <c r="E9" s="92" t="s">
        <v>118</v>
      </c>
      <c r="F9" s="49" t="s">
        <v>36</v>
      </c>
      <c r="G9" s="14" t="s">
        <v>61</v>
      </c>
      <c r="H9" s="14" t="s">
        <v>59</v>
      </c>
      <c r="I9" s="76" t="s">
        <v>62</v>
      </c>
      <c r="J9" s="73">
        <v>0</v>
      </c>
      <c r="K9" s="74">
        <v>2535</v>
      </c>
      <c r="L9" s="72">
        <v>0</v>
      </c>
      <c r="M9" s="72">
        <v>0</v>
      </c>
      <c r="N9" s="72">
        <f>IF(AND(C9="",J9=0,K9=0,L9=0,M9=0),"",CADASTROS!$B$4+SUM($J$2:J9)+SUM($M$2:M9)-SUM($K$2:K9)-SUM($L$2:L9))</f>
        <v>-113.27999999999884</v>
      </c>
      <c r="O9" s="72">
        <f>IF(A9="","",SUMIF(RATEIOS!$A$2:$A$3142,$A9,RATEIOS!$F$2:$F$3142))</f>
        <v>2535</v>
      </c>
      <c r="P9" s="15">
        <f t="shared" si="1"/>
        <v>0</v>
      </c>
      <c r="Q9" s="49" t="str">
        <f>IF(AND(J9=0,K9=0,L9=0,M9=0),"",IF(O9=0,"PENDENTE DE RATEIO",IF(ABS(P9)&gt;0.005,"DIVERGÊNCIA",IF(COUNTIF(RATEIOS!$A$2:$A$3142,$A9)-COUNTIFS(RATEIOS!$A$2:$A$3142,$A9,RATEIOS!$D$2:$D$3142,"&lt;&gt;")&gt;0,"NÃO CLASSIFICADO","RATEIO OK"))))</f>
        <v>RATEIO OK</v>
      </c>
      <c r="R9" s="49" t="s">
        <v>2553</v>
      </c>
      <c r="S9" s="14"/>
    </row>
    <row r="10" spans="1:19" ht="24.95" customHeight="1" x14ac:dyDescent="0.25">
      <c r="A10" s="49" t="s">
        <v>1323</v>
      </c>
      <c r="B10" s="98">
        <v>9</v>
      </c>
      <c r="C10" s="50">
        <v>46024</v>
      </c>
      <c r="D10" s="49">
        <f t="shared" si="0"/>
        <v>1</v>
      </c>
      <c r="E10" s="92" t="s">
        <v>2558</v>
      </c>
      <c r="F10" s="49" t="s">
        <v>38</v>
      </c>
      <c r="G10" s="14" t="s">
        <v>63</v>
      </c>
      <c r="H10" s="14" t="s">
        <v>46</v>
      </c>
      <c r="I10" s="76"/>
      <c r="J10" s="73">
        <v>0</v>
      </c>
      <c r="K10" s="74">
        <v>0</v>
      </c>
      <c r="L10" s="72">
        <v>0</v>
      </c>
      <c r="M10" s="72">
        <v>113.28</v>
      </c>
      <c r="N10" s="72">
        <f>IF(AND(C10="",J10=0,K10=0,L10=0,M10=0),"",CADASTROS!$B$4+SUM($J$2:J10)+SUM($M$2:M10)-SUM($K$2:K10)-SUM($L$2:L10))</f>
        <v>1.8189894035458565E-12</v>
      </c>
      <c r="O10" s="72">
        <f>IF(A10="","",SUMIF(RATEIOS!$A$2:$A$3142,$A10,RATEIOS!$F$2:$F$3142))</f>
        <v>113.28</v>
      </c>
      <c r="P10" s="15">
        <f t="shared" si="1"/>
        <v>0</v>
      </c>
      <c r="Q10" s="49" t="str">
        <f>IF(AND(J10=0,K10=0,L10=0,M10=0),"",IF(O10=0,"PENDENTE DE RATEIO",IF(ABS(P10)&gt;0.005,"DIVERGÊNCIA",IF(COUNTIF(RATEIOS!$A$2:$A$3142,$A10)-COUNTIFS(RATEIOS!$A$2:$A$3142,$A10,RATEIOS!$D$2:$D$3142,"&lt;&gt;")&gt;0,"NÃO CLASSIFICADO","RATEIO OK"))))</f>
        <v>RATEIO OK</v>
      </c>
      <c r="R10" s="49" t="s">
        <v>2553</v>
      </c>
      <c r="S10" s="14"/>
    </row>
    <row r="11" spans="1:19" ht="24.95" customHeight="1" x14ac:dyDescent="0.25">
      <c r="A11" s="49" t="s">
        <v>1326</v>
      </c>
      <c r="B11" s="98">
        <v>10</v>
      </c>
      <c r="C11" s="50">
        <v>46027</v>
      </c>
      <c r="D11" s="49">
        <f t="shared" si="0"/>
        <v>1</v>
      </c>
      <c r="E11" s="92" t="s">
        <v>2558</v>
      </c>
      <c r="F11" s="49" t="s">
        <v>38</v>
      </c>
      <c r="G11" s="14" t="s">
        <v>45</v>
      </c>
      <c r="H11" s="14" t="s">
        <v>46</v>
      </c>
      <c r="I11" s="76"/>
      <c r="J11" s="73">
        <v>0</v>
      </c>
      <c r="K11" s="74">
        <v>0</v>
      </c>
      <c r="L11" s="72">
        <v>0</v>
      </c>
      <c r="M11" s="72">
        <v>2500</v>
      </c>
      <c r="N11" s="72">
        <f>IF(AND(C11="",J11=0,K11=0,L11=0,M11=0),"",CADASTROS!$B$4+SUM($J$2:J11)+SUM($M$2:M11)-SUM($K$2:K11)-SUM($L$2:L11))</f>
        <v>2500.0000000000018</v>
      </c>
      <c r="O11" s="72">
        <f>IF(A11="","",SUMIF(RATEIOS!$A$2:$A$3142,$A11,RATEIOS!$F$2:$F$3142))</f>
        <v>2500</v>
      </c>
      <c r="P11" s="15">
        <f t="shared" si="1"/>
        <v>0</v>
      </c>
      <c r="Q11" s="49" t="str">
        <f>IF(AND(J11=0,K11=0,L11=0,M11=0),"",IF(O11=0,"PENDENTE DE RATEIO",IF(ABS(P11)&gt;0.005,"DIVERGÊNCIA",IF(COUNTIF(RATEIOS!$A$2:$A$3142,$A11)-COUNTIFS(RATEIOS!$A$2:$A$3142,$A11,RATEIOS!$D$2:$D$3142,"&lt;&gt;")&gt;0,"NÃO CLASSIFICADO","RATEIO OK"))))</f>
        <v>RATEIO OK</v>
      </c>
      <c r="R11" s="49" t="s">
        <v>2553</v>
      </c>
      <c r="S11" s="14"/>
    </row>
    <row r="12" spans="1:19" ht="24.95" customHeight="1" x14ac:dyDescent="0.25">
      <c r="A12" s="49" t="s">
        <v>1327</v>
      </c>
      <c r="B12" s="98">
        <v>11</v>
      </c>
      <c r="C12" s="50">
        <v>46027</v>
      </c>
      <c r="D12" s="49">
        <f t="shared" si="0"/>
        <v>1</v>
      </c>
      <c r="E12" s="92" t="s">
        <v>2558</v>
      </c>
      <c r="F12" s="49" t="s">
        <v>38</v>
      </c>
      <c r="G12" s="14" t="s">
        <v>45</v>
      </c>
      <c r="H12" s="14" t="s">
        <v>46</v>
      </c>
      <c r="I12" s="76"/>
      <c r="J12" s="73">
        <v>0</v>
      </c>
      <c r="K12" s="74">
        <v>0</v>
      </c>
      <c r="L12" s="72">
        <v>0</v>
      </c>
      <c r="M12" s="72">
        <v>2.4500000000000002</v>
      </c>
      <c r="N12" s="72">
        <f>IF(AND(C12="",J12=0,K12=0,L12=0,M12=0),"",CADASTROS!$B$4+SUM($J$2:J12)+SUM($M$2:M12)-SUM($K$2:K12)-SUM($L$2:L12))</f>
        <v>2502.4500000000025</v>
      </c>
      <c r="O12" s="72">
        <f>IF(A12="","",SUMIF(RATEIOS!$A$2:$A$3142,$A12,RATEIOS!$F$2:$F$3142))</f>
        <v>2.4500000000000002</v>
      </c>
      <c r="P12" s="15">
        <f t="shared" si="1"/>
        <v>0</v>
      </c>
      <c r="Q12" s="49" t="str">
        <f>IF(AND(J12=0,K12=0,L12=0,M12=0),"",IF(O12=0,"PENDENTE DE RATEIO",IF(ABS(P12)&gt;0.005,"DIVERGÊNCIA",IF(COUNTIF(RATEIOS!$A$2:$A$3142,$A12)-COUNTIFS(RATEIOS!$A$2:$A$3142,$A12,RATEIOS!$D$2:$D$3142,"&lt;&gt;")&gt;0,"NÃO CLASSIFICADO","RATEIO OK"))))</f>
        <v>RATEIO OK</v>
      </c>
      <c r="R12" s="49" t="s">
        <v>2553</v>
      </c>
      <c r="S12" s="14"/>
    </row>
    <row r="13" spans="1:19" ht="24.95" customHeight="1" x14ac:dyDescent="0.25">
      <c r="A13" s="49" t="s">
        <v>1328</v>
      </c>
      <c r="B13" s="98">
        <v>12</v>
      </c>
      <c r="C13" s="50">
        <v>46027</v>
      </c>
      <c r="D13" s="49">
        <f t="shared" si="0"/>
        <v>1</v>
      </c>
      <c r="E13" s="92" t="s">
        <v>118</v>
      </c>
      <c r="F13" s="49" t="s">
        <v>36</v>
      </c>
      <c r="G13" s="14" t="s">
        <v>64</v>
      </c>
      <c r="H13" s="14" t="s">
        <v>65</v>
      </c>
      <c r="I13" s="76" t="s">
        <v>66</v>
      </c>
      <c r="J13" s="73">
        <v>0</v>
      </c>
      <c r="K13" s="74">
        <v>727</v>
      </c>
      <c r="L13" s="72">
        <v>0</v>
      </c>
      <c r="M13" s="72">
        <v>0</v>
      </c>
      <c r="N13" s="72">
        <f>IF(AND(C13="",J13=0,K13=0,L13=0,M13=0),"",CADASTROS!$B$4+SUM($J$2:J13)+SUM($M$2:M13)-SUM($K$2:K13)-SUM($L$2:L13))</f>
        <v>1775.4500000000025</v>
      </c>
      <c r="O13" s="72">
        <f>IF(A13="","",SUMIF(RATEIOS!$A$2:$A$3142,$A13,RATEIOS!$F$2:$F$3142))</f>
        <v>727</v>
      </c>
      <c r="P13" s="15">
        <f t="shared" si="1"/>
        <v>0</v>
      </c>
      <c r="Q13" s="49" t="str">
        <f>IF(AND(J13=0,K13=0,L13=0,M13=0),"",IF(O13=0,"PENDENTE DE RATEIO",IF(ABS(P13)&gt;0.005,"DIVERGÊNCIA",IF(COUNTIF(RATEIOS!$A$2:$A$3142,$A13)-COUNTIFS(RATEIOS!$A$2:$A$3142,$A13,RATEIOS!$D$2:$D$3142,"&lt;&gt;")&gt;0,"NÃO CLASSIFICADO","RATEIO OK"))))</f>
        <v>RATEIO OK</v>
      </c>
      <c r="R13" s="49" t="s">
        <v>2553</v>
      </c>
      <c r="S13" s="14"/>
    </row>
    <row r="14" spans="1:19" ht="24.95" customHeight="1" x14ac:dyDescent="0.25">
      <c r="A14" s="49" t="s">
        <v>1329</v>
      </c>
      <c r="B14" s="98">
        <v>13</v>
      </c>
      <c r="C14" s="50">
        <v>46027</v>
      </c>
      <c r="D14" s="49">
        <f t="shared" si="0"/>
        <v>1</v>
      </c>
      <c r="E14" s="92" t="s">
        <v>118</v>
      </c>
      <c r="F14" s="49" t="s">
        <v>36</v>
      </c>
      <c r="G14" s="14" t="s">
        <v>67</v>
      </c>
      <c r="H14" s="14" t="s">
        <v>67</v>
      </c>
      <c r="I14" s="76" t="s">
        <v>68</v>
      </c>
      <c r="J14" s="73">
        <v>0</v>
      </c>
      <c r="K14" s="74">
        <v>1518</v>
      </c>
      <c r="L14" s="72">
        <v>0</v>
      </c>
      <c r="M14" s="72">
        <v>0</v>
      </c>
      <c r="N14" s="72">
        <f>IF(AND(C14="",J14=0,K14=0,L14=0,M14=0),"",CADASTROS!$B$4+SUM($J$2:J14)+SUM($M$2:M14)-SUM($K$2:K14)-SUM($L$2:L14))</f>
        <v>257.45000000000255</v>
      </c>
      <c r="O14" s="72">
        <f>IF(A14="","",SUMIF(RATEIOS!$A$2:$A$3142,$A14,RATEIOS!$F$2:$F$3142))</f>
        <v>1518</v>
      </c>
      <c r="P14" s="15">
        <f t="shared" si="1"/>
        <v>0</v>
      </c>
      <c r="Q14" s="49" t="str">
        <f>IF(AND(J14=0,K14=0,L14=0,M14=0),"",IF(O14=0,"PENDENTE DE RATEIO",IF(ABS(P14)&gt;0.005,"DIVERGÊNCIA",IF(COUNTIF(RATEIOS!$A$2:$A$3142,$A14)-COUNTIFS(RATEIOS!$A$2:$A$3142,$A14,RATEIOS!$D$2:$D$3142,"&lt;&gt;")&gt;0,"NÃO CLASSIFICADO","RATEIO OK"))))</f>
        <v>RATEIO OK</v>
      </c>
      <c r="R14" s="49" t="s">
        <v>2553</v>
      </c>
      <c r="S14" s="14"/>
    </row>
    <row r="15" spans="1:19" ht="24.95" customHeight="1" x14ac:dyDescent="0.25">
      <c r="A15" s="49" t="s">
        <v>1332</v>
      </c>
      <c r="B15" s="98">
        <v>14</v>
      </c>
      <c r="C15" s="50">
        <v>46028</v>
      </c>
      <c r="D15" s="49">
        <f t="shared" si="0"/>
        <v>1</v>
      </c>
      <c r="E15" s="92" t="s">
        <v>72</v>
      </c>
      <c r="F15" s="49" t="s">
        <v>36</v>
      </c>
      <c r="G15" s="14" t="s">
        <v>69</v>
      </c>
      <c r="H15" s="14" t="s">
        <v>70</v>
      </c>
      <c r="I15" s="76" t="s">
        <v>71</v>
      </c>
      <c r="J15" s="73">
        <v>0</v>
      </c>
      <c r="K15" s="74">
        <v>115</v>
      </c>
      <c r="L15" s="72">
        <v>0</v>
      </c>
      <c r="M15" s="72">
        <v>0</v>
      </c>
      <c r="N15" s="72">
        <f>IF(AND(C15="",J15=0,K15=0,L15=0,M15=0),"",CADASTROS!$B$4+SUM($J$2:J15)+SUM($M$2:M15)-SUM($K$2:K15)-SUM($L$2:L15))</f>
        <v>142.45000000000255</v>
      </c>
      <c r="O15" s="72">
        <f>IF(A15="","",SUMIF(RATEIOS!$A$2:$A$3142,$A15,RATEIOS!$F$2:$F$3142))</f>
        <v>115</v>
      </c>
      <c r="P15" s="15">
        <f t="shared" si="1"/>
        <v>0</v>
      </c>
      <c r="Q15" s="49" t="str">
        <f>IF(AND(J15=0,K15=0,L15=0,M15=0),"",IF(O15=0,"PENDENTE DE RATEIO",IF(ABS(P15)&gt;0.005,"DIVERGÊNCIA",IF(COUNTIF(RATEIOS!$A$2:$A$3142,$A15)-COUNTIFS(RATEIOS!$A$2:$A$3142,$A15,RATEIOS!$D$2:$D$3142,"&lt;&gt;")&gt;0,"NÃO CLASSIFICADO","RATEIO OK"))))</f>
        <v>RATEIO OK</v>
      </c>
      <c r="R15" s="49" t="s">
        <v>2553</v>
      </c>
      <c r="S15" s="14"/>
    </row>
    <row r="16" spans="1:19" ht="24.95" customHeight="1" x14ac:dyDescent="0.25">
      <c r="A16" s="49" t="s">
        <v>1334</v>
      </c>
      <c r="B16" s="98">
        <v>15</v>
      </c>
      <c r="C16" s="50">
        <v>46028</v>
      </c>
      <c r="D16" s="49">
        <f t="shared" si="0"/>
        <v>1</v>
      </c>
      <c r="E16" s="92" t="s">
        <v>72</v>
      </c>
      <c r="F16" s="49" t="s">
        <v>36</v>
      </c>
      <c r="G16" s="14" t="s">
        <v>73</v>
      </c>
      <c r="H16" s="14" t="s">
        <v>74</v>
      </c>
      <c r="I16" s="76" t="s">
        <v>75</v>
      </c>
      <c r="J16" s="73">
        <v>0</v>
      </c>
      <c r="K16" s="74">
        <v>120.24</v>
      </c>
      <c r="L16" s="72">
        <v>0</v>
      </c>
      <c r="M16" s="72">
        <v>0</v>
      </c>
      <c r="N16" s="72">
        <f>IF(AND(C16="",J16=0,K16=0,L16=0,M16=0),"",CADASTROS!$B$4+SUM($J$2:J16)+SUM($M$2:M16)-SUM($K$2:K16)-SUM($L$2:L16))</f>
        <v>22.210000000002765</v>
      </c>
      <c r="O16" s="72">
        <f>IF(A16="","",SUMIF(RATEIOS!$A$2:$A$3142,$A16,RATEIOS!$F$2:$F$3142))</f>
        <v>120.24</v>
      </c>
      <c r="P16" s="15">
        <f t="shared" si="1"/>
        <v>0</v>
      </c>
      <c r="Q16" s="49" t="str">
        <f>IF(AND(J16=0,K16=0,L16=0,M16=0),"",IF(O16=0,"PENDENTE DE RATEIO",IF(ABS(P16)&gt;0.005,"DIVERGÊNCIA",IF(COUNTIF(RATEIOS!$A$2:$A$3142,$A16)-COUNTIFS(RATEIOS!$A$2:$A$3142,$A16,RATEIOS!$D$2:$D$3142,"&lt;&gt;")&gt;0,"NÃO CLASSIFICADO","RATEIO OK"))))</f>
        <v>RATEIO OK</v>
      </c>
      <c r="R16" s="49" t="s">
        <v>2553</v>
      </c>
      <c r="S16" s="14"/>
    </row>
    <row r="17" spans="1:19" ht="24.95" customHeight="1" x14ac:dyDescent="0.25">
      <c r="A17" s="49" t="s">
        <v>1336</v>
      </c>
      <c r="B17" s="98">
        <v>16</v>
      </c>
      <c r="C17" s="50">
        <v>46029</v>
      </c>
      <c r="D17" s="49">
        <f t="shared" si="0"/>
        <v>1</v>
      </c>
      <c r="E17" s="92" t="s">
        <v>287</v>
      </c>
      <c r="F17" s="49" t="s">
        <v>35</v>
      </c>
      <c r="G17" s="14" t="s">
        <v>76</v>
      </c>
      <c r="H17" s="14" t="s">
        <v>77</v>
      </c>
      <c r="I17" s="76"/>
      <c r="J17" s="73">
        <v>30897.61</v>
      </c>
      <c r="K17" s="74">
        <v>0</v>
      </c>
      <c r="L17" s="72">
        <v>0</v>
      </c>
      <c r="M17" s="72">
        <v>0</v>
      </c>
      <c r="N17" s="72">
        <f>IF(AND(C17="",J17=0,K17=0,L17=0,M17=0),"",CADASTROS!$B$4+SUM($J$2:J17)+SUM($M$2:M17)-SUM($K$2:K17)-SUM($L$2:L17))</f>
        <v>30919.82</v>
      </c>
      <c r="O17" s="72">
        <f>IF(A17="","",SUMIF(RATEIOS!$A$2:$A$3142,$A17,RATEIOS!$F$2:$F$3142))</f>
        <v>30897.61</v>
      </c>
      <c r="P17" s="15">
        <f t="shared" si="1"/>
        <v>0</v>
      </c>
      <c r="Q17" s="49" t="str">
        <f>IF(AND(J17=0,K17=0,L17=0,M17=0),"",IF(O17=0,"PENDENTE DE RATEIO",IF(ABS(P17)&gt;0.005,"DIVERGÊNCIA",IF(COUNTIF(RATEIOS!$A$2:$A$3142,$A17)-COUNTIFS(RATEIOS!$A$2:$A$3142,$A17,RATEIOS!$D$2:$D$3142,"&lt;&gt;")&gt;0,"NÃO CLASSIFICADO","RATEIO OK"))))</f>
        <v>RATEIO OK</v>
      </c>
      <c r="R17" s="49" t="s">
        <v>2553</v>
      </c>
      <c r="S17" s="14"/>
    </row>
    <row r="18" spans="1:19" ht="24.95" customHeight="1" x14ac:dyDescent="0.25">
      <c r="A18" s="49" t="s">
        <v>1338</v>
      </c>
      <c r="B18" s="98">
        <v>17</v>
      </c>
      <c r="C18" s="50">
        <v>46029</v>
      </c>
      <c r="D18" s="49">
        <f t="shared" si="0"/>
        <v>1</v>
      </c>
      <c r="E18" s="92" t="s">
        <v>72</v>
      </c>
      <c r="F18" s="49" t="s">
        <v>36</v>
      </c>
      <c r="G18" s="14" t="s">
        <v>78</v>
      </c>
      <c r="H18" s="14" t="s">
        <v>67</v>
      </c>
      <c r="I18" s="76" t="s">
        <v>79</v>
      </c>
      <c r="J18" s="73">
        <v>0</v>
      </c>
      <c r="K18" s="74">
        <v>220</v>
      </c>
      <c r="L18" s="72">
        <v>0</v>
      </c>
      <c r="M18" s="72">
        <v>0</v>
      </c>
      <c r="N18" s="72">
        <f>IF(AND(C18="",J18=0,K18=0,L18=0,M18=0),"",CADASTROS!$B$4+SUM($J$2:J18)+SUM($M$2:M18)-SUM($K$2:K18)-SUM($L$2:L18))</f>
        <v>30699.82</v>
      </c>
      <c r="O18" s="72">
        <f>IF(A18="","",SUMIF(RATEIOS!$A$2:$A$3142,$A18,RATEIOS!$F$2:$F$3142))</f>
        <v>220</v>
      </c>
      <c r="P18" s="15">
        <f t="shared" si="1"/>
        <v>0</v>
      </c>
      <c r="Q18" s="49" t="str">
        <f>IF(AND(J18=0,K18=0,L18=0,M18=0),"",IF(O18=0,"PENDENTE DE RATEIO",IF(ABS(P18)&gt;0.005,"DIVERGÊNCIA",IF(COUNTIF(RATEIOS!$A$2:$A$3142,$A18)-COUNTIFS(RATEIOS!$A$2:$A$3142,$A18,RATEIOS!$D$2:$D$3142,"&lt;&gt;")&gt;0,"NÃO CLASSIFICADO","RATEIO OK"))))</f>
        <v>RATEIO OK</v>
      </c>
      <c r="R18" s="49" t="s">
        <v>2553</v>
      </c>
      <c r="S18" s="14"/>
    </row>
    <row r="19" spans="1:19" ht="24.95" customHeight="1" x14ac:dyDescent="0.25">
      <c r="A19" s="49" t="s">
        <v>1340</v>
      </c>
      <c r="B19" s="98">
        <v>18</v>
      </c>
      <c r="C19" s="50">
        <v>46029</v>
      </c>
      <c r="D19" s="49">
        <f t="shared" si="0"/>
        <v>1</v>
      </c>
      <c r="E19" s="92" t="s">
        <v>118</v>
      </c>
      <c r="F19" s="49" t="s">
        <v>36</v>
      </c>
      <c r="G19" s="14" t="s">
        <v>80</v>
      </c>
      <c r="H19" s="14" t="s">
        <v>81</v>
      </c>
      <c r="I19" s="76" t="s">
        <v>82</v>
      </c>
      <c r="J19" s="73">
        <v>0</v>
      </c>
      <c r="K19" s="74">
        <v>10335.4</v>
      </c>
      <c r="L19" s="72">
        <v>0</v>
      </c>
      <c r="M19" s="72">
        <v>0</v>
      </c>
      <c r="N19" s="72">
        <f>IF(AND(C19="",J19=0,K19=0,L19=0,M19=0),"",CADASTROS!$B$4+SUM($J$2:J19)+SUM($M$2:M19)-SUM($K$2:K19)-SUM($L$2:L19))</f>
        <v>20364.420000000002</v>
      </c>
      <c r="O19" s="72">
        <f>IF(A19="","",SUMIF(RATEIOS!$A$2:$A$3142,$A19,RATEIOS!$F$2:$F$3142))</f>
        <v>10335.4</v>
      </c>
      <c r="P19" s="15">
        <f t="shared" si="1"/>
        <v>0</v>
      </c>
      <c r="Q19" s="49" t="str">
        <f>IF(AND(J19=0,K19=0,L19=0,M19=0),"",IF(O19=0,"PENDENTE DE RATEIO",IF(ABS(P19)&gt;0.005,"DIVERGÊNCIA",IF(COUNTIF(RATEIOS!$A$2:$A$3142,$A19)-COUNTIFS(RATEIOS!$A$2:$A$3142,$A19,RATEIOS!$D$2:$D$3142,"&lt;&gt;")&gt;0,"NÃO CLASSIFICADO","RATEIO OK"))))</f>
        <v>RATEIO OK</v>
      </c>
      <c r="R19" s="49" t="s">
        <v>2553</v>
      </c>
      <c r="S19" s="14"/>
    </row>
    <row r="20" spans="1:19" ht="24.95" customHeight="1" x14ac:dyDescent="0.25">
      <c r="A20" s="49" t="s">
        <v>1341</v>
      </c>
      <c r="B20" s="98">
        <v>19</v>
      </c>
      <c r="C20" s="50">
        <v>46029</v>
      </c>
      <c r="D20" s="49">
        <f t="shared" si="0"/>
        <v>1</v>
      </c>
      <c r="E20" s="92" t="s">
        <v>72</v>
      </c>
      <c r="F20" s="49" t="s">
        <v>36</v>
      </c>
      <c r="G20" s="14" t="s">
        <v>83</v>
      </c>
      <c r="H20" s="14" t="s">
        <v>84</v>
      </c>
      <c r="I20" s="76"/>
      <c r="J20" s="73">
        <v>0</v>
      </c>
      <c r="K20" s="74">
        <v>27.78</v>
      </c>
      <c r="L20" s="72">
        <v>0</v>
      </c>
      <c r="M20" s="72">
        <v>0</v>
      </c>
      <c r="N20" s="72">
        <f>IF(AND(C20="",J20=0,K20=0,L20=0,M20=0),"",CADASTROS!$B$4+SUM($J$2:J20)+SUM($M$2:M20)-SUM($K$2:K20)-SUM($L$2:L20))</f>
        <v>20336.640000000003</v>
      </c>
      <c r="O20" s="72">
        <f>IF(A20="","",SUMIF(RATEIOS!$A$2:$A$3142,$A20,RATEIOS!$F$2:$F$3142))</f>
        <v>27.78</v>
      </c>
      <c r="P20" s="15">
        <f t="shared" si="1"/>
        <v>0</v>
      </c>
      <c r="Q20" s="49" t="str">
        <f>IF(AND(J20=0,K20=0,L20=0,M20=0),"",IF(O20=0,"PENDENTE DE RATEIO",IF(ABS(P20)&gt;0.005,"DIVERGÊNCIA",IF(COUNTIF(RATEIOS!$A$2:$A$3142,$A20)-COUNTIFS(RATEIOS!$A$2:$A$3142,$A20,RATEIOS!$D$2:$D$3142,"&lt;&gt;")&gt;0,"NÃO CLASSIFICADO","RATEIO OK"))))</f>
        <v>RATEIO OK</v>
      </c>
      <c r="R20" s="49" t="s">
        <v>2553</v>
      </c>
      <c r="S20" s="14"/>
    </row>
    <row r="21" spans="1:19" ht="24.95" customHeight="1" x14ac:dyDescent="0.25">
      <c r="A21" s="49" t="s">
        <v>1343</v>
      </c>
      <c r="B21" s="98">
        <v>20</v>
      </c>
      <c r="C21" s="50">
        <v>46029</v>
      </c>
      <c r="D21" s="49">
        <f t="shared" si="0"/>
        <v>1</v>
      </c>
      <c r="E21" s="92" t="s">
        <v>72</v>
      </c>
      <c r="F21" s="49" t="s">
        <v>36</v>
      </c>
      <c r="G21" s="14" t="s">
        <v>85</v>
      </c>
      <c r="H21" s="14" t="s">
        <v>86</v>
      </c>
      <c r="I21" s="91" t="s">
        <v>87</v>
      </c>
      <c r="J21" s="73">
        <v>0</v>
      </c>
      <c r="K21" s="74">
        <v>400</v>
      </c>
      <c r="L21" s="72">
        <v>0</v>
      </c>
      <c r="M21" s="72">
        <v>0</v>
      </c>
      <c r="N21" s="72">
        <f>IF(AND(C21="",J21=0,K21=0,L21=0,M21=0),"",CADASTROS!$B$4+SUM($J$2:J21)+SUM($M$2:M21)-SUM($K$2:K21)-SUM($L$2:L21))</f>
        <v>19936.640000000003</v>
      </c>
      <c r="O21" s="72">
        <f>IF(A21="","",SUMIF(RATEIOS!$A$2:$A$3142,$A21,RATEIOS!$F$2:$F$3142))</f>
        <v>400</v>
      </c>
      <c r="P21" s="15">
        <f t="shared" si="1"/>
        <v>0</v>
      </c>
      <c r="Q21" s="49" t="str">
        <f>IF(AND(J21=0,K21=0,L21=0,M21=0),"",IF(O21=0,"PENDENTE DE RATEIO",IF(ABS(P21)&gt;0.005,"DIVERGÊNCIA",IF(COUNTIF(RATEIOS!$A$2:$A$3142,$A21)-COUNTIFS(RATEIOS!$A$2:$A$3142,$A21,RATEIOS!$D$2:$D$3142,"&lt;&gt;")&gt;0,"NÃO CLASSIFICADO","RATEIO OK"))))</f>
        <v>RATEIO OK</v>
      </c>
      <c r="R21" s="49" t="s">
        <v>2553</v>
      </c>
      <c r="S21" s="14"/>
    </row>
    <row r="22" spans="1:19" ht="24.95" customHeight="1" x14ac:dyDescent="0.25">
      <c r="A22" s="49" t="s">
        <v>1345</v>
      </c>
      <c r="B22" s="98">
        <v>21</v>
      </c>
      <c r="C22" s="50">
        <v>46030</v>
      </c>
      <c r="D22" s="49">
        <f t="shared" si="0"/>
        <v>1</v>
      </c>
      <c r="E22" s="92" t="s">
        <v>118</v>
      </c>
      <c r="F22" s="49" t="s">
        <v>36</v>
      </c>
      <c r="G22" s="14" t="s">
        <v>3020</v>
      </c>
      <c r="H22" s="14" t="s">
        <v>283</v>
      </c>
      <c r="I22" s="76" t="s">
        <v>90</v>
      </c>
      <c r="J22" s="73">
        <v>0</v>
      </c>
      <c r="K22" s="74">
        <v>561.20000000000005</v>
      </c>
      <c r="L22" s="72">
        <v>0</v>
      </c>
      <c r="M22" s="72">
        <v>0</v>
      </c>
      <c r="N22" s="72">
        <f>IF(AND(C22="",J22=0,K22=0,L22=0,M22=0),"",CADASTROS!$B$4+SUM($J$2:J22)+SUM($M$2:M22)-SUM($K$2:K22)-SUM($L$2:L22))</f>
        <v>19375.440000000002</v>
      </c>
      <c r="O22" s="72">
        <f>IF(A22="","",SUMIF(RATEIOS!$A$2:$A$3142,$A22,RATEIOS!$F$2:$F$3142))</f>
        <v>561.20000000000005</v>
      </c>
      <c r="P22" s="15">
        <f t="shared" si="1"/>
        <v>0</v>
      </c>
      <c r="Q22" s="49" t="str">
        <f>IF(AND(J22=0,K22=0,L22=0,M22=0),"",IF(O22=0,"PENDENTE DE RATEIO",IF(ABS(P22)&gt;0.005,"DIVERGÊNCIA",IF(COUNTIF(RATEIOS!$A$2:$A$3142,$A22)-COUNTIFS(RATEIOS!$A$2:$A$3142,$A22,RATEIOS!$D$2:$D$3142,"&lt;&gt;")&gt;0,"NÃO CLASSIFICADO","RATEIO OK"))))</f>
        <v>RATEIO OK</v>
      </c>
      <c r="R22" s="49" t="s">
        <v>2553</v>
      </c>
      <c r="S22" s="14"/>
    </row>
    <row r="23" spans="1:19" ht="24.95" customHeight="1" x14ac:dyDescent="0.25">
      <c r="A23" s="49" t="s">
        <v>1347</v>
      </c>
      <c r="B23" s="98">
        <v>22</v>
      </c>
      <c r="C23" s="50">
        <v>46030</v>
      </c>
      <c r="D23" s="49">
        <f t="shared" si="0"/>
        <v>1</v>
      </c>
      <c r="E23" s="92" t="s">
        <v>118</v>
      </c>
      <c r="F23" s="49" t="s">
        <v>36</v>
      </c>
      <c r="G23" s="14" t="s">
        <v>91</v>
      </c>
      <c r="H23" s="14" t="s">
        <v>92</v>
      </c>
      <c r="I23" s="76" t="s">
        <v>93</v>
      </c>
      <c r="J23" s="73">
        <v>0</v>
      </c>
      <c r="K23" s="74">
        <v>1935.4</v>
      </c>
      <c r="L23" s="72">
        <v>0</v>
      </c>
      <c r="M23" s="72">
        <v>0</v>
      </c>
      <c r="N23" s="72">
        <f>IF(AND(C23="",J23=0,K23=0,L23=0,M23=0),"",CADASTROS!$B$4+SUM($J$2:J23)+SUM($M$2:M23)-SUM($K$2:K23)-SUM($L$2:L23))</f>
        <v>17440.04</v>
      </c>
      <c r="O23" s="72">
        <f>IF(A23="","",SUMIF(RATEIOS!$A$2:$A$3142,$A23,RATEIOS!$F$2:$F$3142))</f>
        <v>1935.4</v>
      </c>
      <c r="P23" s="15">
        <f t="shared" si="1"/>
        <v>0</v>
      </c>
      <c r="Q23" s="49" t="str">
        <f>IF(AND(J23=0,K23=0,L23=0,M23=0),"",IF(O23=0,"PENDENTE DE RATEIO",IF(ABS(P23)&gt;0.005,"DIVERGÊNCIA",IF(COUNTIF(RATEIOS!$A$2:$A$3142,$A23)-COUNTIFS(RATEIOS!$A$2:$A$3142,$A23,RATEIOS!$D$2:$D$3142,"&lt;&gt;")&gt;0,"NÃO CLASSIFICADO","RATEIO OK"))))</f>
        <v>RATEIO OK</v>
      </c>
      <c r="R23" s="49" t="s">
        <v>2553</v>
      </c>
      <c r="S23" s="14"/>
    </row>
    <row r="24" spans="1:19" ht="24.95" customHeight="1" x14ac:dyDescent="0.25">
      <c r="A24" s="49" t="s">
        <v>1348</v>
      </c>
      <c r="B24" s="98">
        <v>23</v>
      </c>
      <c r="C24" s="50">
        <v>46030</v>
      </c>
      <c r="D24" s="49">
        <f t="shared" si="0"/>
        <v>1</v>
      </c>
      <c r="E24" s="92" t="s">
        <v>2556</v>
      </c>
      <c r="F24" s="49" t="s">
        <v>36</v>
      </c>
      <c r="G24" s="14" t="s">
        <v>276</v>
      </c>
      <c r="H24" s="14" t="s">
        <v>277</v>
      </c>
      <c r="I24" s="76"/>
      <c r="J24" s="73">
        <v>0</v>
      </c>
      <c r="K24" s="74">
        <v>26.25</v>
      </c>
      <c r="L24" s="72">
        <v>0</v>
      </c>
      <c r="M24" s="72">
        <v>0</v>
      </c>
      <c r="N24" s="72">
        <f>IF(AND(C24="",J24=0,K24=0,L24=0,M24=0),"",CADASTROS!$B$4+SUM($J$2:J24)+SUM($M$2:M24)-SUM($K$2:K24)-SUM($L$2:L24))</f>
        <v>17413.79</v>
      </c>
      <c r="O24" s="72">
        <f>IF(A24="","",SUMIF(RATEIOS!$A$2:$A$3142,$A24,RATEIOS!$F$2:$F$3142))</f>
        <v>26.25</v>
      </c>
      <c r="P24" s="15">
        <f t="shared" si="1"/>
        <v>0</v>
      </c>
      <c r="Q24" s="49" t="str">
        <f>IF(AND(J24=0,K24=0,L24=0,M24=0),"",IF(O24=0,"PENDENTE DE RATEIO",IF(ABS(P24)&gt;0.005,"DIVERGÊNCIA",IF(COUNTIF(RATEIOS!$A$2:$A$3142,$A24)-COUNTIFS(RATEIOS!$A$2:$A$3142,$A24,RATEIOS!$D$2:$D$3142,"&lt;&gt;")&gt;0,"NÃO CLASSIFICADO","RATEIO OK"))))</f>
        <v>RATEIO OK</v>
      </c>
      <c r="R24" s="49" t="s">
        <v>2553</v>
      </c>
      <c r="S24" s="14"/>
    </row>
    <row r="25" spans="1:19" ht="24.95" customHeight="1" x14ac:dyDescent="0.25">
      <c r="A25" s="49" t="s">
        <v>1351</v>
      </c>
      <c r="B25" s="98">
        <v>24</v>
      </c>
      <c r="C25" s="50">
        <v>46030</v>
      </c>
      <c r="D25" s="49">
        <f t="shared" si="0"/>
        <v>1</v>
      </c>
      <c r="E25" s="92" t="s">
        <v>2558</v>
      </c>
      <c r="F25" s="49" t="s">
        <v>38</v>
      </c>
      <c r="G25" s="14" t="s">
        <v>63</v>
      </c>
      <c r="H25" s="14" t="s">
        <v>46</v>
      </c>
      <c r="I25" s="76"/>
      <c r="J25" s="73">
        <v>0</v>
      </c>
      <c r="K25" s="74">
        <v>0</v>
      </c>
      <c r="L25" s="72">
        <v>0</v>
      </c>
      <c r="M25" s="72">
        <v>241.68</v>
      </c>
      <c r="N25" s="72">
        <f>IF(AND(C25="",J25=0,K25=0,L25=0,M25=0),"",CADASTROS!$B$4+SUM($J$2:J25)+SUM($M$2:M25)-SUM($K$2:K25)-SUM($L$2:L25))</f>
        <v>17655.47</v>
      </c>
      <c r="O25" s="72">
        <f>IF(A25="","",SUMIF(RATEIOS!$A$2:$A$3142,$A25,RATEIOS!$F$2:$F$3142))</f>
        <v>241.68</v>
      </c>
      <c r="P25" s="15">
        <f t="shared" si="1"/>
        <v>0</v>
      </c>
      <c r="Q25" s="49" t="str">
        <f>IF(AND(J25=0,K25=0,L25=0,M25=0),"",IF(O25=0,"PENDENTE DE RATEIO",IF(ABS(P25)&gt;0.005,"DIVERGÊNCIA",IF(COUNTIF(RATEIOS!$A$2:$A$3142,$A25)-COUNTIFS(RATEIOS!$A$2:$A$3142,$A25,RATEIOS!$D$2:$D$3142,"&lt;&gt;")&gt;0,"NÃO CLASSIFICADO","RATEIO OK"))))</f>
        <v>RATEIO OK</v>
      </c>
      <c r="R25" s="49" t="s">
        <v>2553</v>
      </c>
      <c r="S25" s="14"/>
    </row>
    <row r="26" spans="1:19" ht="24.95" customHeight="1" x14ac:dyDescent="0.25">
      <c r="A26" s="49" t="s">
        <v>1353</v>
      </c>
      <c r="B26" s="98">
        <v>25</v>
      </c>
      <c r="C26" s="50">
        <v>46030</v>
      </c>
      <c r="D26" s="49">
        <f t="shared" si="0"/>
        <v>1</v>
      </c>
      <c r="E26" s="92" t="s">
        <v>2558</v>
      </c>
      <c r="F26" s="49" t="s">
        <v>38</v>
      </c>
      <c r="G26" s="14" t="s">
        <v>45</v>
      </c>
      <c r="H26" s="14" t="s">
        <v>46</v>
      </c>
      <c r="I26" s="76"/>
      <c r="J26" s="73">
        <v>0</v>
      </c>
      <c r="K26" s="74">
        <v>0</v>
      </c>
      <c r="L26" s="72">
        <v>0</v>
      </c>
      <c r="M26" s="72">
        <v>37500</v>
      </c>
      <c r="N26" s="72">
        <f>IF(AND(C26="",J26=0,K26=0,L26=0,M26=0),"",CADASTROS!$B$4+SUM($J$2:J26)+SUM($M$2:M26)-SUM($K$2:K26)-SUM($L$2:L26))</f>
        <v>55155.470000000008</v>
      </c>
      <c r="O26" s="72">
        <f>IF(A26="","",SUMIF(RATEIOS!$A$2:$A$3142,$A26,RATEIOS!$F$2:$F$3142))</f>
        <v>37500</v>
      </c>
      <c r="P26" s="15">
        <f t="shared" si="1"/>
        <v>0</v>
      </c>
      <c r="Q26" s="49" t="str">
        <f>IF(AND(J26=0,K26=0,L26=0,M26=0),"",IF(O26=0,"PENDENTE DE RATEIO",IF(ABS(P26)&gt;0.005,"DIVERGÊNCIA",IF(COUNTIF(RATEIOS!$A$2:$A$3142,$A26)-COUNTIFS(RATEIOS!$A$2:$A$3142,$A26,RATEIOS!$D$2:$D$3142,"&lt;&gt;")&gt;0,"NÃO CLASSIFICADO","RATEIO OK"))))</f>
        <v>RATEIO OK</v>
      </c>
      <c r="R26" s="49" t="s">
        <v>2553</v>
      </c>
      <c r="S26" s="14"/>
    </row>
    <row r="27" spans="1:19" ht="24.95" customHeight="1" x14ac:dyDescent="0.25">
      <c r="A27" s="49" t="s">
        <v>1354</v>
      </c>
      <c r="B27" s="98">
        <v>26</v>
      </c>
      <c r="C27" s="50">
        <v>46030</v>
      </c>
      <c r="D27" s="49">
        <f t="shared" si="0"/>
        <v>1</v>
      </c>
      <c r="E27" s="92" t="s">
        <v>123</v>
      </c>
      <c r="F27" s="49" t="s">
        <v>36</v>
      </c>
      <c r="G27" s="14" t="s">
        <v>3066</v>
      </c>
      <c r="H27" s="14" t="s">
        <v>123</v>
      </c>
      <c r="I27" s="76"/>
      <c r="J27" s="73">
        <v>0</v>
      </c>
      <c r="K27" s="74">
        <v>55071.75</v>
      </c>
      <c r="L27" s="72">
        <v>0</v>
      </c>
      <c r="M27" s="72">
        <v>0</v>
      </c>
      <c r="N27" s="72">
        <f>IF(AND(C27="",J27=0,K27=0,L27=0,M27=0),"",CADASTROS!$B$4+SUM($J$2:J27)+SUM($M$2:M27)-SUM($K$2:K27)-SUM($L$2:L27))</f>
        <v>83.720000000001164</v>
      </c>
      <c r="O27" s="72">
        <f>IF(A27="","",SUMIF(RATEIOS!$A$2:$A$3142,$A27,RATEIOS!$F$2:$F$3142))</f>
        <v>55071.75</v>
      </c>
      <c r="P27" s="15">
        <f t="shared" si="1"/>
        <v>0</v>
      </c>
      <c r="Q27" s="49" t="str">
        <f>IF(AND(J27=0,K27=0,L27=0,M27=0),"",IF(O27=0,"PENDENTE DE RATEIO",IF(ABS(P27)&gt;0.005,"DIVERGÊNCIA",IF(COUNTIF(RATEIOS!$A$2:$A$3142,$A27)-COUNTIFS(RATEIOS!$A$2:$A$3142,$A27,RATEIOS!$D$2:$D$3142,"&lt;&gt;")&gt;0,"NÃO CLASSIFICADO","RATEIO OK"))))</f>
        <v>RATEIO OK</v>
      </c>
      <c r="R27" s="49" t="s">
        <v>2553</v>
      </c>
      <c r="S27" s="14"/>
    </row>
    <row r="28" spans="1:19" ht="24.95" customHeight="1" x14ac:dyDescent="0.25">
      <c r="A28" s="49" t="s">
        <v>1355</v>
      </c>
      <c r="B28" s="98">
        <v>27</v>
      </c>
      <c r="C28" s="50">
        <v>46031</v>
      </c>
      <c r="D28" s="49">
        <f t="shared" si="0"/>
        <v>1</v>
      </c>
      <c r="E28" s="92" t="s">
        <v>2558</v>
      </c>
      <c r="F28" s="49" t="s">
        <v>38</v>
      </c>
      <c r="G28" s="14" t="s">
        <v>45</v>
      </c>
      <c r="H28" s="14" t="s">
        <v>46</v>
      </c>
      <c r="I28" s="76"/>
      <c r="J28" s="73">
        <v>0</v>
      </c>
      <c r="K28" s="74">
        <v>0</v>
      </c>
      <c r="L28" s="72">
        <v>0</v>
      </c>
      <c r="M28" s="72">
        <v>69</v>
      </c>
      <c r="N28" s="72">
        <f>IF(AND(C28="",J28=0,K28=0,L28=0,M28=0),"",CADASTROS!$B$4+SUM($J$2:J28)+SUM($M$2:M28)-SUM($K$2:K28)-SUM($L$2:L28))</f>
        <v>152.72000000000116</v>
      </c>
      <c r="O28" s="72">
        <f>IF(A28="","",SUMIF(RATEIOS!$A$2:$A$3142,$A28,RATEIOS!$F$2:$F$3142))</f>
        <v>69</v>
      </c>
      <c r="P28" s="15">
        <f t="shared" si="1"/>
        <v>0</v>
      </c>
      <c r="Q28" s="49" t="str">
        <f>IF(AND(J28=0,K28=0,L28=0,M28=0),"",IF(O28=0,"PENDENTE DE RATEIO",IF(ABS(P28)&gt;0.005,"DIVERGÊNCIA",IF(COUNTIF(RATEIOS!$A$2:$A$3142,$A28)-COUNTIFS(RATEIOS!$A$2:$A$3142,$A28,RATEIOS!$D$2:$D$3142,"&lt;&gt;")&gt;0,"NÃO CLASSIFICADO","RATEIO OK"))))</f>
        <v>RATEIO OK</v>
      </c>
      <c r="R28" s="49" t="s">
        <v>2553</v>
      </c>
      <c r="S28" s="14"/>
    </row>
    <row r="29" spans="1:19" ht="24.95" customHeight="1" x14ac:dyDescent="0.25">
      <c r="A29" s="49" t="s">
        <v>1356</v>
      </c>
      <c r="B29" s="98">
        <v>28</v>
      </c>
      <c r="C29" s="50">
        <v>46031</v>
      </c>
      <c r="D29" s="49">
        <f t="shared" si="0"/>
        <v>1</v>
      </c>
      <c r="E29" s="92" t="s">
        <v>118</v>
      </c>
      <c r="F29" s="49" t="s">
        <v>36</v>
      </c>
      <c r="G29" s="14" t="s">
        <v>95</v>
      </c>
      <c r="H29" s="14" t="s">
        <v>84</v>
      </c>
      <c r="I29" s="76"/>
      <c r="J29" s="73">
        <v>0</v>
      </c>
      <c r="K29" s="74">
        <v>21581.32</v>
      </c>
      <c r="L29" s="72">
        <v>0</v>
      </c>
      <c r="M29" s="72">
        <v>0</v>
      </c>
      <c r="N29" s="72">
        <f>IF(AND(C29="",J29=0,K29=0,L29=0,M29=0),"",CADASTROS!$B$4+SUM($J$2:J29)+SUM($M$2:M29)-SUM($K$2:K29)-SUM($L$2:L29))</f>
        <v>-21428.600000000006</v>
      </c>
      <c r="O29" s="72">
        <f>IF(A29="","",SUMIF(RATEIOS!$A$2:$A$3142,$A29,RATEIOS!$F$2:$F$3142))</f>
        <v>21581.32</v>
      </c>
      <c r="P29" s="15">
        <f t="shared" si="1"/>
        <v>0</v>
      </c>
      <c r="Q29" s="49" t="str">
        <f>IF(AND(J29=0,K29=0,L29=0,M29=0),"",IF(O29=0,"PENDENTE DE RATEIO",IF(ABS(P29)&gt;0.005,"DIVERGÊNCIA",IF(COUNTIF(RATEIOS!$A$2:$A$3142,$A29)-COUNTIFS(RATEIOS!$A$2:$A$3142,$A29,RATEIOS!$D$2:$D$3142,"&lt;&gt;")&gt;0,"NÃO CLASSIFICADO","RATEIO OK"))))</f>
        <v>RATEIO OK</v>
      </c>
      <c r="R29" s="49" t="s">
        <v>2553</v>
      </c>
      <c r="S29" s="14"/>
    </row>
    <row r="30" spans="1:19" ht="24.95" customHeight="1" x14ac:dyDescent="0.25">
      <c r="A30" s="49" t="s">
        <v>1357</v>
      </c>
      <c r="B30" s="98">
        <v>29</v>
      </c>
      <c r="C30" s="50">
        <v>46031</v>
      </c>
      <c r="D30" s="49">
        <f t="shared" si="0"/>
        <v>1</v>
      </c>
      <c r="E30" s="92" t="s">
        <v>287</v>
      </c>
      <c r="F30" s="49" t="s">
        <v>36</v>
      </c>
      <c r="G30" s="14" t="s">
        <v>96</v>
      </c>
      <c r="H30" s="14" t="s">
        <v>2942</v>
      </c>
      <c r="I30" s="76" t="s">
        <v>98</v>
      </c>
      <c r="J30" s="73">
        <v>0</v>
      </c>
      <c r="K30" s="74">
        <v>4031.09</v>
      </c>
      <c r="L30" s="72">
        <v>0</v>
      </c>
      <c r="M30" s="72">
        <v>0</v>
      </c>
      <c r="N30" s="72">
        <f>IF(AND(C30="",J30=0,K30=0,L30=0,M30=0),"",CADASTROS!$B$4+SUM($J$2:J30)+SUM($M$2:M30)-SUM($K$2:K30)-SUM($L$2:L30))</f>
        <v>-25459.690000000002</v>
      </c>
      <c r="O30" s="72">
        <f>IF(A30="","",SUMIF(RATEIOS!$A$2:$A$3142,$A30,RATEIOS!$F$2:$F$3142))</f>
        <v>4031.09</v>
      </c>
      <c r="P30" s="15">
        <f t="shared" si="1"/>
        <v>0</v>
      </c>
      <c r="Q30" s="49" t="str">
        <f>IF(AND(J30=0,K30=0,L30=0,M30=0),"",IF(O30=0,"PENDENTE DE RATEIO",IF(ABS(P30)&gt;0.005,"DIVERGÊNCIA",IF(COUNTIF(RATEIOS!$A$2:$A$3142,$A30)-COUNTIFS(RATEIOS!$A$2:$A$3142,$A30,RATEIOS!$D$2:$D$3142,"&lt;&gt;")&gt;0,"NÃO CLASSIFICADO","RATEIO OK"))))</f>
        <v>RATEIO OK</v>
      </c>
      <c r="R30" s="49" t="s">
        <v>2553</v>
      </c>
      <c r="S30" s="14" t="s">
        <v>2956</v>
      </c>
    </row>
    <row r="31" spans="1:19" ht="24.95" customHeight="1" x14ac:dyDescent="0.25">
      <c r="A31" s="49" t="s">
        <v>1359</v>
      </c>
      <c r="B31" s="98">
        <v>30</v>
      </c>
      <c r="C31" s="50">
        <v>46031</v>
      </c>
      <c r="D31" s="49">
        <f t="shared" si="0"/>
        <v>1</v>
      </c>
      <c r="E31" s="92" t="s">
        <v>72</v>
      </c>
      <c r="F31" s="49" t="s">
        <v>36</v>
      </c>
      <c r="G31" s="14" t="s">
        <v>99</v>
      </c>
      <c r="H31" s="14" t="s">
        <v>100</v>
      </c>
      <c r="I31" s="76" t="s">
        <v>101</v>
      </c>
      <c r="J31" s="73">
        <v>0</v>
      </c>
      <c r="K31" s="74">
        <v>94.6</v>
      </c>
      <c r="L31" s="72">
        <v>0</v>
      </c>
      <c r="M31" s="72">
        <v>0</v>
      </c>
      <c r="N31" s="72">
        <f>IF(AND(C31="",J31=0,K31=0,L31=0,M31=0),"",CADASTROS!$B$4+SUM($J$2:J31)+SUM($M$2:M31)-SUM($K$2:K31)-SUM($L$2:L31))</f>
        <v>-25554.290000000008</v>
      </c>
      <c r="O31" s="72">
        <f>IF(A31="","",SUMIF(RATEIOS!$A$2:$A$3142,$A31,RATEIOS!$F$2:$F$3142))</f>
        <v>94.6</v>
      </c>
      <c r="P31" s="15">
        <f t="shared" si="1"/>
        <v>0</v>
      </c>
      <c r="Q31" s="49" t="str">
        <f>IF(AND(J31=0,K31=0,L31=0,M31=0),"",IF(O31=0,"PENDENTE DE RATEIO",IF(ABS(P31)&gt;0.005,"DIVERGÊNCIA",IF(COUNTIF(RATEIOS!$A$2:$A$3142,$A31)-COUNTIFS(RATEIOS!$A$2:$A$3142,$A31,RATEIOS!$D$2:$D$3142,"&lt;&gt;")&gt;0,"NÃO CLASSIFICADO","RATEIO OK"))))</f>
        <v>RATEIO OK</v>
      </c>
      <c r="R31" s="49" t="s">
        <v>2553</v>
      </c>
      <c r="S31" s="14"/>
    </row>
    <row r="32" spans="1:19" ht="24.95" customHeight="1" x14ac:dyDescent="0.25">
      <c r="A32" s="49" t="s">
        <v>1361</v>
      </c>
      <c r="B32" s="98">
        <v>31</v>
      </c>
      <c r="C32" s="50">
        <v>46031</v>
      </c>
      <c r="D32" s="49">
        <f t="shared" si="0"/>
        <v>1</v>
      </c>
      <c r="E32" s="92" t="s">
        <v>72</v>
      </c>
      <c r="F32" s="49" t="s">
        <v>36</v>
      </c>
      <c r="G32" s="14" t="s">
        <v>102</v>
      </c>
      <c r="H32" s="14" t="s">
        <v>74</v>
      </c>
      <c r="I32" s="76" t="s">
        <v>103</v>
      </c>
      <c r="J32" s="73">
        <v>0</v>
      </c>
      <c r="K32" s="74">
        <v>387.03</v>
      </c>
      <c r="L32" s="72">
        <v>0</v>
      </c>
      <c r="M32" s="72">
        <v>0</v>
      </c>
      <c r="N32" s="72">
        <f>IF(AND(C32="",J32=0,K32=0,L32=0,M32=0),"",CADASTROS!$B$4+SUM($J$2:J32)+SUM($M$2:M32)-SUM($K$2:K32)-SUM($L$2:L32))</f>
        <v>-25941.320000000007</v>
      </c>
      <c r="O32" s="72">
        <f>IF(A32="","",SUMIF(RATEIOS!$A$2:$A$3142,$A32,RATEIOS!$F$2:$F$3142))</f>
        <v>387.03</v>
      </c>
      <c r="P32" s="15">
        <f t="shared" si="1"/>
        <v>0</v>
      </c>
      <c r="Q32" s="49" t="str">
        <f>IF(AND(J32=0,K32=0,L32=0,M32=0),"",IF(O32=0,"PENDENTE DE RATEIO",IF(ABS(P32)&gt;0.005,"DIVERGÊNCIA",IF(COUNTIF(RATEIOS!$A$2:$A$3142,$A32)-COUNTIFS(RATEIOS!$A$2:$A$3142,$A32,RATEIOS!$D$2:$D$3142,"&lt;&gt;")&gt;0,"NÃO CLASSIFICADO","RATEIO OK"))))</f>
        <v>RATEIO OK</v>
      </c>
      <c r="R32" s="49" t="s">
        <v>2553</v>
      </c>
      <c r="S32" s="14"/>
    </row>
    <row r="33" spans="1:19" ht="24.95" customHeight="1" x14ac:dyDescent="0.25">
      <c r="A33" s="49" t="s">
        <v>1362</v>
      </c>
      <c r="B33" s="98">
        <v>32</v>
      </c>
      <c r="C33" s="50">
        <v>46031</v>
      </c>
      <c r="D33" s="49">
        <f t="shared" si="0"/>
        <v>1</v>
      </c>
      <c r="E33" s="92" t="s">
        <v>2558</v>
      </c>
      <c r="F33" s="49" t="s">
        <v>38</v>
      </c>
      <c r="G33" s="14" t="s">
        <v>45</v>
      </c>
      <c r="H33" s="14" t="s">
        <v>46</v>
      </c>
      <c r="I33" s="76"/>
      <c r="J33" s="73">
        <v>0</v>
      </c>
      <c r="K33" s="74">
        <v>0</v>
      </c>
      <c r="L33" s="72">
        <v>0</v>
      </c>
      <c r="M33" s="72">
        <v>26000</v>
      </c>
      <c r="N33" s="72">
        <f>IF(AND(C33="",J33=0,K33=0,L33=0,M33=0),"",CADASTROS!$B$4+SUM($J$2:J33)+SUM($M$2:M33)-SUM($K$2:K33)-SUM($L$2:L33))</f>
        <v>58.679999999978463</v>
      </c>
      <c r="O33" s="72">
        <f>IF(A33="","",SUMIF(RATEIOS!$A$2:$A$3142,$A33,RATEIOS!$F$2:$F$3142))</f>
        <v>26000</v>
      </c>
      <c r="P33" s="15">
        <f t="shared" si="1"/>
        <v>0</v>
      </c>
      <c r="Q33" s="49" t="str">
        <f>IF(AND(J33=0,K33=0,L33=0,M33=0),"",IF(O33=0,"PENDENTE DE RATEIO",IF(ABS(P33)&gt;0.005,"DIVERGÊNCIA",IF(COUNTIF(RATEIOS!$A$2:$A$3142,$A33)-COUNTIFS(RATEIOS!$A$2:$A$3142,$A33,RATEIOS!$D$2:$D$3142,"&lt;&gt;")&gt;0,"NÃO CLASSIFICADO","RATEIO OK"))))</f>
        <v>RATEIO OK</v>
      </c>
      <c r="R33" s="49" t="s">
        <v>2553</v>
      </c>
      <c r="S33" s="14"/>
    </row>
    <row r="34" spans="1:19" ht="24.95" customHeight="1" x14ac:dyDescent="0.25">
      <c r="A34" s="49" t="s">
        <v>1363</v>
      </c>
      <c r="B34" s="98">
        <v>33</v>
      </c>
      <c r="C34" s="50">
        <v>46034</v>
      </c>
      <c r="D34" s="49">
        <f t="shared" si="0"/>
        <v>1</v>
      </c>
      <c r="E34" s="92" t="s">
        <v>2558</v>
      </c>
      <c r="F34" s="49" t="s">
        <v>38</v>
      </c>
      <c r="G34" s="14" t="s">
        <v>104</v>
      </c>
      <c r="H34" s="14" t="s">
        <v>46</v>
      </c>
      <c r="I34" s="76"/>
      <c r="J34" s="73">
        <v>0</v>
      </c>
      <c r="K34" s="74">
        <v>0</v>
      </c>
      <c r="L34" s="72">
        <v>0</v>
      </c>
      <c r="M34" s="72">
        <v>57.72</v>
      </c>
      <c r="N34" s="72">
        <f>IF(AND(C34="",J34=0,K34=0,L34=0,M34=0),"",CADASTROS!$B$4+SUM($J$2:J34)+SUM($M$2:M34)-SUM($K$2:K34)-SUM($L$2:L34))</f>
        <v>116.39999999997963</v>
      </c>
      <c r="O34" s="72">
        <f>IF(A34="","",SUMIF(RATEIOS!$A$2:$A$3142,$A34,RATEIOS!$F$2:$F$3142))</f>
        <v>57.72</v>
      </c>
      <c r="P34" s="15">
        <f t="shared" si="1"/>
        <v>0</v>
      </c>
      <c r="Q34" s="49" t="str">
        <f>IF(AND(J34=0,K34=0,L34=0,M34=0),"",IF(O34=0,"PENDENTE DE RATEIO",IF(ABS(P34)&gt;0.005,"DIVERGÊNCIA",IF(COUNTIF(RATEIOS!$A$2:$A$3142,$A34)-COUNTIFS(RATEIOS!$A$2:$A$3142,$A34,RATEIOS!$D$2:$D$3142,"&lt;&gt;")&gt;0,"NÃO CLASSIFICADO","RATEIO OK"))))</f>
        <v>RATEIO OK</v>
      </c>
      <c r="R34" s="49" t="s">
        <v>2553</v>
      </c>
      <c r="S34" s="14"/>
    </row>
    <row r="35" spans="1:19" ht="24.95" customHeight="1" x14ac:dyDescent="0.25">
      <c r="A35" s="49" t="s">
        <v>1364</v>
      </c>
      <c r="B35" s="98">
        <v>34</v>
      </c>
      <c r="C35" s="50">
        <v>46034</v>
      </c>
      <c r="D35" s="49">
        <f t="shared" si="0"/>
        <v>1</v>
      </c>
      <c r="E35" s="92" t="s">
        <v>72</v>
      </c>
      <c r="F35" s="49" t="s">
        <v>36</v>
      </c>
      <c r="G35" s="14" t="s">
        <v>105</v>
      </c>
      <c r="H35" s="14" t="s">
        <v>105</v>
      </c>
      <c r="I35" s="76"/>
      <c r="J35" s="73">
        <v>0</v>
      </c>
      <c r="K35" s="74">
        <v>290.10000000000002</v>
      </c>
      <c r="L35" s="72">
        <v>0</v>
      </c>
      <c r="M35" s="72">
        <v>0</v>
      </c>
      <c r="N35" s="72">
        <f>IF(AND(C35="",J35=0,K35=0,L35=0,M35=0),"",CADASTROS!$B$4+SUM($J$2:J35)+SUM($M$2:M35)-SUM($K$2:K35)-SUM($L$2:L35))</f>
        <v>-173.70000000002619</v>
      </c>
      <c r="O35" s="72">
        <f>IF(A35="","",SUMIF(RATEIOS!$A$2:$A$3142,$A35,RATEIOS!$F$2:$F$3142))</f>
        <v>290.10000000000002</v>
      </c>
      <c r="P35" s="15">
        <f t="shared" si="1"/>
        <v>0</v>
      </c>
      <c r="Q35" s="49" t="str">
        <f>IF(AND(J35=0,K35=0,L35=0,M35=0),"",IF(O35=0,"PENDENTE DE RATEIO",IF(ABS(P35)&gt;0.005,"DIVERGÊNCIA",IF(COUNTIF(RATEIOS!$A$2:$A$3142,$A35)-COUNTIFS(RATEIOS!$A$2:$A$3142,$A35,RATEIOS!$D$2:$D$3142,"&lt;&gt;")&gt;0,"NÃO CLASSIFICADO","RATEIO OK"))))</f>
        <v>NÃO CLASSIFICADO</v>
      </c>
      <c r="R35" s="49" t="s">
        <v>2553</v>
      </c>
      <c r="S35" s="14"/>
    </row>
    <row r="36" spans="1:19" ht="24.95" customHeight="1" x14ac:dyDescent="0.25">
      <c r="A36" s="49" t="s">
        <v>1365</v>
      </c>
      <c r="B36" s="98">
        <v>35</v>
      </c>
      <c r="C36" s="50">
        <v>46034</v>
      </c>
      <c r="D36" s="49">
        <f t="shared" si="0"/>
        <v>1</v>
      </c>
      <c r="E36" s="92" t="s">
        <v>72</v>
      </c>
      <c r="F36" s="49" t="s">
        <v>35</v>
      </c>
      <c r="G36" s="14" t="s">
        <v>106</v>
      </c>
      <c r="H36" s="14" t="s">
        <v>107</v>
      </c>
      <c r="I36" s="76"/>
      <c r="J36" s="73">
        <v>290.10000000000002</v>
      </c>
      <c r="K36" s="74">
        <v>0</v>
      </c>
      <c r="L36" s="72">
        <v>0</v>
      </c>
      <c r="M36" s="72">
        <v>0</v>
      </c>
      <c r="N36" s="72">
        <f>IF(AND(C36="",J36=0,K36=0,L36=0,M36=0),"",CADASTROS!$B$4+SUM($J$2:J36)+SUM($M$2:M36)-SUM($K$2:K36)-SUM($L$2:L36))</f>
        <v>116.39999999996508</v>
      </c>
      <c r="O36" s="72">
        <f>IF(A36="","",SUMIF(RATEIOS!$A$2:$A$3142,$A36,RATEIOS!$F$2:$F$3142))</f>
        <v>290.10000000000002</v>
      </c>
      <c r="P36" s="15">
        <f t="shared" si="1"/>
        <v>0</v>
      </c>
      <c r="Q36" s="49" t="str">
        <f>IF(AND(J36=0,K36=0,L36=0,M36=0),"",IF(O36=0,"PENDENTE DE RATEIO",IF(ABS(P36)&gt;0.005,"DIVERGÊNCIA",IF(COUNTIF(RATEIOS!$A$2:$A$3142,$A36)-COUNTIFS(RATEIOS!$A$2:$A$3142,$A36,RATEIOS!$D$2:$D$3142,"&lt;&gt;")&gt;0,"NÃO CLASSIFICADO","RATEIO OK"))))</f>
        <v>NÃO CLASSIFICADO</v>
      </c>
      <c r="R36" s="49" t="s">
        <v>2553</v>
      </c>
      <c r="S36" s="14"/>
    </row>
    <row r="37" spans="1:19" ht="24.95" customHeight="1" x14ac:dyDescent="0.25">
      <c r="A37" s="49" t="s">
        <v>1366</v>
      </c>
      <c r="B37" s="98">
        <v>36</v>
      </c>
      <c r="C37" s="50">
        <v>46034</v>
      </c>
      <c r="D37" s="49">
        <f t="shared" si="0"/>
        <v>1</v>
      </c>
      <c r="E37" s="92" t="s">
        <v>72</v>
      </c>
      <c r="F37" s="49" t="s">
        <v>36</v>
      </c>
      <c r="G37" s="14" t="s">
        <v>108</v>
      </c>
      <c r="H37" s="14" t="s">
        <v>109</v>
      </c>
      <c r="I37" s="76" t="s">
        <v>110</v>
      </c>
      <c r="J37" s="73">
        <v>0</v>
      </c>
      <c r="K37" s="74">
        <v>188</v>
      </c>
      <c r="L37" s="72">
        <v>0</v>
      </c>
      <c r="M37" s="72">
        <v>0</v>
      </c>
      <c r="N37" s="72">
        <f>IF(AND(C37="",J37=0,K37=0,L37=0,M37=0),"",CADASTROS!$B$4+SUM($J$2:J37)+SUM($M$2:M37)-SUM($K$2:K37)-SUM($L$2:L37))</f>
        <v>-71.600000000034925</v>
      </c>
      <c r="O37" s="72">
        <f>IF(A37="","",SUMIF(RATEIOS!$A$2:$A$3142,$A37,RATEIOS!$F$2:$F$3142))</f>
        <v>188</v>
      </c>
      <c r="P37" s="15">
        <f t="shared" si="1"/>
        <v>0</v>
      </c>
      <c r="Q37" s="49" t="str">
        <f>IF(AND(J37=0,K37=0,L37=0,M37=0),"",IF(O37=0,"PENDENTE DE RATEIO",IF(ABS(P37)&gt;0.005,"DIVERGÊNCIA",IF(COUNTIF(RATEIOS!$A$2:$A$3142,$A37)-COUNTIFS(RATEIOS!$A$2:$A$3142,$A37,RATEIOS!$D$2:$D$3142,"&lt;&gt;")&gt;0,"NÃO CLASSIFICADO","RATEIO OK"))))</f>
        <v>RATEIO OK</v>
      </c>
      <c r="R37" s="49" t="s">
        <v>2553</v>
      </c>
      <c r="S37" s="14"/>
    </row>
    <row r="38" spans="1:19" ht="24.95" customHeight="1" x14ac:dyDescent="0.25">
      <c r="A38" s="49" t="s">
        <v>1373</v>
      </c>
      <c r="B38" s="98">
        <v>37</v>
      </c>
      <c r="C38" s="50">
        <v>46034</v>
      </c>
      <c r="D38" s="49">
        <f t="shared" si="0"/>
        <v>1</v>
      </c>
      <c r="E38" s="92" t="s">
        <v>287</v>
      </c>
      <c r="F38" s="49" t="s">
        <v>36</v>
      </c>
      <c r="G38" s="14" t="s">
        <v>111</v>
      </c>
      <c r="H38" s="14" t="s">
        <v>112</v>
      </c>
      <c r="I38" s="76" t="s">
        <v>113</v>
      </c>
      <c r="J38" s="73">
        <v>0</v>
      </c>
      <c r="K38" s="74">
        <v>360</v>
      </c>
      <c r="L38" s="72">
        <v>0</v>
      </c>
      <c r="M38" s="72">
        <v>0</v>
      </c>
      <c r="N38" s="72">
        <f>IF(AND(C38="",J38=0,K38=0,L38=0,M38=0),"",CADASTROS!$B$4+SUM($J$2:J38)+SUM($M$2:M38)-SUM($K$2:K38)-SUM($L$2:L38))</f>
        <v>-431.60000000003492</v>
      </c>
      <c r="O38" s="72">
        <f>IF(A38="","",SUMIF(RATEIOS!$A$2:$A$3142,$A38,RATEIOS!$F$2:$F$3142))</f>
        <v>360</v>
      </c>
      <c r="P38" s="15">
        <f t="shared" si="1"/>
        <v>0</v>
      </c>
      <c r="Q38" s="49" t="str">
        <f>IF(AND(J38=0,K38=0,L38=0,M38=0),"",IF(O38=0,"PENDENTE DE RATEIO",IF(ABS(P38)&gt;0.005,"DIVERGÊNCIA",IF(COUNTIF(RATEIOS!$A$2:$A$3142,$A38)-COUNTIFS(RATEIOS!$A$2:$A$3142,$A38,RATEIOS!$D$2:$D$3142,"&lt;&gt;")&gt;0,"NÃO CLASSIFICADO","RATEIO OK"))))</f>
        <v>RATEIO OK</v>
      </c>
      <c r="R38" s="49" t="s">
        <v>2553</v>
      </c>
      <c r="S38" s="14"/>
    </row>
    <row r="39" spans="1:19" ht="24.95" customHeight="1" x14ac:dyDescent="0.25">
      <c r="A39" s="49" t="s">
        <v>1375</v>
      </c>
      <c r="B39" s="98">
        <v>38</v>
      </c>
      <c r="C39" s="50">
        <v>46034</v>
      </c>
      <c r="D39" s="49">
        <f t="shared" si="0"/>
        <v>1</v>
      </c>
      <c r="E39" s="92" t="s">
        <v>118</v>
      </c>
      <c r="F39" s="49" t="s">
        <v>36</v>
      </c>
      <c r="G39" s="14" t="s">
        <v>114</v>
      </c>
      <c r="H39" s="14" t="s">
        <v>115</v>
      </c>
      <c r="I39" s="76" t="s">
        <v>116</v>
      </c>
      <c r="J39" s="73">
        <v>0</v>
      </c>
      <c r="K39" s="74">
        <v>1428.14</v>
      </c>
      <c r="L39" s="72">
        <v>0</v>
      </c>
      <c r="M39" s="72">
        <v>0</v>
      </c>
      <c r="N39" s="72">
        <f>IF(AND(C39="",J39=0,K39=0,L39=0,M39=0),"",CADASTROS!$B$4+SUM($J$2:J39)+SUM($M$2:M39)-SUM($K$2:K39)-SUM($L$2:L39))</f>
        <v>-1859.7400000000343</v>
      </c>
      <c r="O39" s="72">
        <f>IF(A39="","",SUMIF(RATEIOS!$A$2:$A$3142,$A39,RATEIOS!$F$2:$F$3142))</f>
        <v>1428.14</v>
      </c>
      <c r="P39" s="15">
        <f t="shared" si="1"/>
        <v>0</v>
      </c>
      <c r="Q39" s="49" t="str">
        <f>IF(AND(J39=0,K39=0,L39=0,M39=0),"",IF(O39=0,"PENDENTE DE RATEIO",IF(ABS(P39)&gt;0.005,"DIVERGÊNCIA",IF(COUNTIF(RATEIOS!$A$2:$A$3142,$A39)-COUNTIFS(RATEIOS!$A$2:$A$3142,$A39,RATEIOS!$D$2:$D$3142,"&lt;&gt;")&gt;0,"NÃO CLASSIFICADO","RATEIO OK"))))</f>
        <v>RATEIO OK</v>
      </c>
      <c r="R39" s="49" t="s">
        <v>2553</v>
      </c>
      <c r="S39" s="14"/>
    </row>
    <row r="40" spans="1:19" ht="24.95" customHeight="1" x14ac:dyDescent="0.25">
      <c r="A40" s="49" t="s">
        <v>1377</v>
      </c>
      <c r="B40" s="98">
        <v>39</v>
      </c>
      <c r="C40" s="50">
        <v>46034</v>
      </c>
      <c r="D40" s="49">
        <f t="shared" si="0"/>
        <v>1</v>
      </c>
      <c r="E40" s="92" t="s">
        <v>2556</v>
      </c>
      <c r="F40" s="49" t="s">
        <v>36</v>
      </c>
      <c r="G40" s="14" t="s">
        <v>297</v>
      </c>
      <c r="H40" s="14" t="s">
        <v>117</v>
      </c>
      <c r="I40" s="76"/>
      <c r="J40" s="73">
        <v>0</v>
      </c>
      <c r="K40" s="74">
        <v>263</v>
      </c>
      <c r="L40" s="72">
        <v>0</v>
      </c>
      <c r="M40" s="72">
        <v>0</v>
      </c>
      <c r="N40" s="72">
        <f>IF(AND(C40="",J40=0,K40=0,L40=0,M40=0),"",CADASTROS!$B$4+SUM($J$2:J40)+SUM($M$2:M40)-SUM($K$2:K40)-SUM($L$2:L40))</f>
        <v>-2122.7400000000343</v>
      </c>
      <c r="O40" s="72">
        <f>IF(A40="","",SUMIF(RATEIOS!$A$2:$A$3142,$A40,RATEIOS!$F$2:$F$3142))</f>
        <v>263</v>
      </c>
      <c r="P40" s="15">
        <f t="shared" si="1"/>
        <v>0</v>
      </c>
      <c r="Q40" s="49" t="str">
        <f>IF(AND(J40=0,K40=0,L40=0,M40=0),"",IF(O40=0,"PENDENTE DE RATEIO",IF(ABS(P40)&gt;0.005,"DIVERGÊNCIA",IF(COUNTIF(RATEIOS!$A$2:$A$3142,$A40)-COUNTIFS(RATEIOS!$A$2:$A$3142,$A40,RATEIOS!$D$2:$D$3142,"&lt;&gt;")&gt;0,"NÃO CLASSIFICADO","RATEIO OK"))))</f>
        <v>RATEIO OK</v>
      </c>
      <c r="R40" s="49" t="s">
        <v>2553</v>
      </c>
      <c r="S40" s="14"/>
    </row>
    <row r="41" spans="1:19" ht="24.95" customHeight="1" x14ac:dyDescent="0.25">
      <c r="A41" s="49" t="s">
        <v>1378</v>
      </c>
      <c r="B41" s="98">
        <v>40</v>
      </c>
      <c r="C41" s="50">
        <v>46034</v>
      </c>
      <c r="D41" s="49">
        <f t="shared" si="0"/>
        <v>1</v>
      </c>
      <c r="E41" s="92" t="s">
        <v>118</v>
      </c>
      <c r="F41" s="49" t="s">
        <v>36</v>
      </c>
      <c r="G41" s="14" t="s">
        <v>119</v>
      </c>
      <c r="H41" s="14" t="s">
        <v>120</v>
      </c>
      <c r="I41" s="76" t="s">
        <v>121</v>
      </c>
      <c r="J41" s="73">
        <v>0</v>
      </c>
      <c r="K41" s="74">
        <v>149.9</v>
      </c>
      <c r="L41" s="72">
        <v>0</v>
      </c>
      <c r="M41" s="72">
        <v>0</v>
      </c>
      <c r="N41" s="72">
        <f>IF(AND(C41="",J41=0,K41=0,L41=0,M41=0),"",CADASTROS!$B$4+SUM($J$2:J41)+SUM($M$2:M41)-SUM($K$2:K41)-SUM($L$2:L41))</f>
        <v>-2272.6400000000285</v>
      </c>
      <c r="O41" s="72">
        <f>IF(A41="","",SUMIF(RATEIOS!$A$2:$A$3142,$A41,RATEIOS!$F$2:$F$3142))</f>
        <v>149.9</v>
      </c>
      <c r="P41" s="15">
        <f t="shared" si="1"/>
        <v>0</v>
      </c>
      <c r="Q41" s="49" t="str">
        <f>IF(AND(J41=0,K41=0,L41=0,M41=0),"",IF(O41=0,"PENDENTE DE RATEIO",IF(ABS(P41)&gt;0.005,"DIVERGÊNCIA",IF(COUNTIF(RATEIOS!$A$2:$A$3142,$A41)-COUNTIFS(RATEIOS!$A$2:$A$3142,$A41,RATEIOS!$D$2:$D$3142,"&lt;&gt;")&gt;0,"NÃO CLASSIFICADO","RATEIO OK"))))</f>
        <v>RATEIO OK</v>
      </c>
      <c r="R41" s="49" t="s">
        <v>2553</v>
      </c>
      <c r="S41" s="14"/>
    </row>
    <row r="42" spans="1:19" ht="24.95" customHeight="1" x14ac:dyDescent="0.25">
      <c r="A42" s="49" t="s">
        <v>1380</v>
      </c>
      <c r="B42" s="98">
        <v>41</v>
      </c>
      <c r="C42" s="50">
        <v>46034</v>
      </c>
      <c r="D42" s="49">
        <f t="shared" si="0"/>
        <v>1</v>
      </c>
      <c r="E42" s="92" t="s">
        <v>2558</v>
      </c>
      <c r="F42" s="49" t="s">
        <v>38</v>
      </c>
      <c r="G42" s="14" t="s">
        <v>45</v>
      </c>
      <c r="H42" s="14" t="s">
        <v>46</v>
      </c>
      <c r="I42" s="76"/>
      <c r="J42" s="73">
        <v>0</v>
      </c>
      <c r="K42" s="74">
        <v>0</v>
      </c>
      <c r="L42" s="72">
        <v>0</v>
      </c>
      <c r="M42" s="72">
        <v>2500</v>
      </c>
      <c r="N42" s="72">
        <f>IF(AND(C42="",J42=0,K42=0,L42=0,M42=0),"",CADASTROS!$B$4+SUM($J$2:J42)+SUM($M$2:M42)-SUM($K$2:K42)-SUM($L$2:L42))</f>
        <v>227.35999999997148</v>
      </c>
      <c r="O42" s="72">
        <f>IF(A42="","",SUMIF(RATEIOS!$A$2:$A$3142,$A42,RATEIOS!$F$2:$F$3142))</f>
        <v>2500</v>
      </c>
      <c r="P42" s="15">
        <f t="shared" si="1"/>
        <v>0</v>
      </c>
      <c r="Q42" s="49" t="str">
        <f>IF(AND(J42=0,K42=0,L42=0,M42=0),"",IF(O42=0,"PENDENTE DE RATEIO",IF(ABS(P42)&gt;0.005,"DIVERGÊNCIA",IF(COUNTIF(RATEIOS!$A$2:$A$3142,$A42)-COUNTIFS(RATEIOS!$A$2:$A$3142,$A42,RATEIOS!$D$2:$D$3142,"&lt;&gt;")&gt;0,"NÃO CLASSIFICADO","RATEIO OK"))))</f>
        <v>RATEIO OK</v>
      </c>
      <c r="R42" s="49" t="s">
        <v>2553</v>
      </c>
      <c r="S42" s="14"/>
    </row>
    <row r="43" spans="1:19" ht="24.95" customHeight="1" x14ac:dyDescent="0.25">
      <c r="A43" s="49" t="s">
        <v>1381</v>
      </c>
      <c r="B43" s="98">
        <v>42</v>
      </c>
      <c r="C43" s="50">
        <v>46035</v>
      </c>
      <c r="D43" s="49">
        <f t="shared" si="0"/>
        <v>1</v>
      </c>
      <c r="E43" s="92" t="s">
        <v>2558</v>
      </c>
      <c r="F43" s="49" t="s">
        <v>38</v>
      </c>
      <c r="G43" s="14" t="s">
        <v>45</v>
      </c>
      <c r="H43" s="14" t="s">
        <v>46</v>
      </c>
      <c r="I43" s="76"/>
      <c r="J43" s="73">
        <v>0</v>
      </c>
      <c r="K43" s="74">
        <v>0</v>
      </c>
      <c r="L43" s="72">
        <v>0</v>
      </c>
      <c r="M43" s="72">
        <v>7.2</v>
      </c>
      <c r="N43" s="72">
        <f>IF(AND(C43="",J43=0,K43=0,L43=0,M43=0),"",CADASTROS!$B$4+SUM($J$2:J43)+SUM($M$2:M43)-SUM($K$2:K43)-SUM($L$2:L43))</f>
        <v>234.55999999998312</v>
      </c>
      <c r="O43" s="72">
        <f>IF(A43="","",SUMIF(RATEIOS!$A$2:$A$3142,$A43,RATEIOS!$F$2:$F$3142))</f>
        <v>7.2</v>
      </c>
      <c r="P43" s="15">
        <f t="shared" si="1"/>
        <v>0</v>
      </c>
      <c r="Q43" s="49" t="str">
        <f>IF(AND(J43=0,K43=0,L43=0,M43=0),"",IF(O43=0,"PENDENTE DE RATEIO",IF(ABS(P43)&gt;0.005,"DIVERGÊNCIA",IF(COUNTIF(RATEIOS!$A$2:$A$3142,$A43)-COUNTIFS(RATEIOS!$A$2:$A$3142,$A43,RATEIOS!$D$2:$D$3142,"&lt;&gt;")&gt;0,"NÃO CLASSIFICADO","RATEIO OK"))))</f>
        <v>RATEIO OK</v>
      </c>
      <c r="R43" s="49" t="s">
        <v>2553</v>
      </c>
      <c r="S43" s="14"/>
    </row>
    <row r="44" spans="1:19" ht="24.95" customHeight="1" x14ac:dyDescent="0.25">
      <c r="A44" s="49" t="s">
        <v>1382</v>
      </c>
      <c r="B44" s="98">
        <v>43</v>
      </c>
      <c r="C44" s="50">
        <v>46035</v>
      </c>
      <c r="D44" s="49">
        <f t="shared" si="0"/>
        <v>1</v>
      </c>
      <c r="E44" s="92" t="s">
        <v>123</v>
      </c>
      <c r="F44" s="49" t="s">
        <v>36</v>
      </c>
      <c r="G44" s="14" t="s">
        <v>122</v>
      </c>
      <c r="H44" s="14" t="s">
        <v>3183</v>
      </c>
      <c r="I44" s="76"/>
      <c r="J44" s="73">
        <v>0</v>
      </c>
      <c r="K44" s="74">
        <v>30897.61</v>
      </c>
      <c r="L44" s="72">
        <v>0</v>
      </c>
      <c r="M44" s="72">
        <v>0</v>
      </c>
      <c r="N44" s="72">
        <f>IF(AND(C44="",J44=0,K44=0,L44=0,M44=0),"",CADASTROS!$B$4+SUM($J$2:J44)+SUM($M$2:M44)-SUM($K$2:K44)-SUM($L$2:L44))</f>
        <v>-30663.050000000017</v>
      </c>
      <c r="O44" s="72">
        <f>IF(A44="","",SUMIF(RATEIOS!$A$2:$A$3142,$A44,RATEIOS!$F$2:$F$3142))</f>
        <v>30897.61</v>
      </c>
      <c r="P44" s="15">
        <f t="shared" si="1"/>
        <v>0</v>
      </c>
      <c r="Q44" s="49" t="str">
        <f>IF(AND(J44=0,K44=0,L44=0,M44=0),"",IF(O44=0,"PENDENTE DE RATEIO",IF(ABS(P44)&gt;0.005,"DIVERGÊNCIA",IF(COUNTIF(RATEIOS!$A$2:$A$3142,$A44)-COUNTIFS(RATEIOS!$A$2:$A$3142,$A44,RATEIOS!$D$2:$D$3142,"&lt;&gt;")&gt;0,"NÃO CLASSIFICADO","RATEIO OK"))))</f>
        <v>RATEIO OK</v>
      </c>
      <c r="R44" s="49" t="s">
        <v>2553</v>
      </c>
      <c r="S44" s="14"/>
    </row>
    <row r="45" spans="1:19" ht="24.95" customHeight="1" x14ac:dyDescent="0.25">
      <c r="A45" s="49" t="s">
        <v>1384</v>
      </c>
      <c r="B45" s="98">
        <v>44</v>
      </c>
      <c r="C45" s="50">
        <v>46035</v>
      </c>
      <c r="D45" s="49">
        <f t="shared" si="0"/>
        <v>1</v>
      </c>
      <c r="E45" s="92" t="s">
        <v>2556</v>
      </c>
      <c r="F45" s="49" t="s">
        <v>36</v>
      </c>
      <c r="G45" s="14" t="s">
        <v>276</v>
      </c>
      <c r="H45" s="14" t="s">
        <v>277</v>
      </c>
      <c r="I45" s="76"/>
      <c r="J45" s="73">
        <v>0</v>
      </c>
      <c r="K45" s="74">
        <v>31.5</v>
      </c>
      <c r="L45" s="72">
        <v>0</v>
      </c>
      <c r="M45" s="72">
        <v>0</v>
      </c>
      <c r="N45" s="72">
        <f>IF(AND(C45="",J45=0,K45=0,L45=0,M45=0),"",CADASTROS!$B$4+SUM($J$2:J45)+SUM($M$2:M45)-SUM($K$2:K45)-SUM($L$2:L45))</f>
        <v>-30694.550000000017</v>
      </c>
      <c r="O45" s="72">
        <f>IF(A45="","",SUMIF(RATEIOS!$A$2:$A$3142,$A45,RATEIOS!$F$2:$F$3142))</f>
        <v>31.5</v>
      </c>
      <c r="P45" s="15">
        <f t="shared" si="1"/>
        <v>0</v>
      </c>
      <c r="Q45" s="49" t="str">
        <f>IF(AND(J45=0,K45=0,L45=0,M45=0),"",IF(O45=0,"PENDENTE DE RATEIO",IF(ABS(P45)&gt;0.005,"DIVERGÊNCIA",IF(COUNTIF(RATEIOS!$A$2:$A$3142,$A45)-COUNTIFS(RATEIOS!$A$2:$A$3142,$A45,RATEIOS!$D$2:$D$3142,"&lt;&gt;")&gt;0,"NÃO CLASSIFICADO","RATEIO OK"))))</f>
        <v>RATEIO OK</v>
      </c>
      <c r="R45" s="49" t="s">
        <v>2553</v>
      </c>
      <c r="S45" s="14"/>
    </row>
    <row r="46" spans="1:19" ht="24.95" customHeight="1" x14ac:dyDescent="0.25">
      <c r="A46" s="49" t="s">
        <v>1385</v>
      </c>
      <c r="B46" s="98">
        <v>45</v>
      </c>
      <c r="C46" s="50">
        <v>46035</v>
      </c>
      <c r="D46" s="49">
        <f t="shared" si="0"/>
        <v>1</v>
      </c>
      <c r="E46" s="92" t="s">
        <v>2558</v>
      </c>
      <c r="F46" s="49" t="s">
        <v>38</v>
      </c>
      <c r="G46" s="14" t="s">
        <v>45</v>
      </c>
      <c r="H46" s="14" t="s">
        <v>46</v>
      </c>
      <c r="I46" s="76"/>
      <c r="J46" s="73">
        <v>0</v>
      </c>
      <c r="K46" s="74">
        <v>0</v>
      </c>
      <c r="L46" s="72">
        <v>0</v>
      </c>
      <c r="M46" s="72">
        <v>31000</v>
      </c>
      <c r="N46" s="72">
        <f>IF(AND(C46="",J46=0,K46=0,L46=0,M46=0),"",CADASTROS!$B$4+SUM($J$2:J46)+SUM($M$2:M46)-SUM($K$2:K46)-SUM($L$2:L46))</f>
        <v>305.44999999998254</v>
      </c>
      <c r="O46" s="72">
        <f>IF(A46="","",SUMIF(RATEIOS!$A$2:$A$3142,$A46,RATEIOS!$F$2:$F$3142))</f>
        <v>31000</v>
      </c>
      <c r="P46" s="15">
        <f t="shared" si="1"/>
        <v>0</v>
      </c>
      <c r="Q46" s="49" t="str">
        <f>IF(AND(J46=0,K46=0,L46=0,M46=0),"",IF(O46=0,"PENDENTE DE RATEIO",IF(ABS(P46)&gt;0.005,"DIVERGÊNCIA",IF(COUNTIF(RATEIOS!$A$2:$A$3142,$A46)-COUNTIFS(RATEIOS!$A$2:$A$3142,$A46,RATEIOS!$D$2:$D$3142,"&lt;&gt;")&gt;0,"NÃO CLASSIFICADO","RATEIO OK"))))</f>
        <v>RATEIO OK</v>
      </c>
      <c r="R46" s="49" t="s">
        <v>2553</v>
      </c>
      <c r="S46" s="14"/>
    </row>
    <row r="47" spans="1:19" ht="24.95" customHeight="1" x14ac:dyDescent="0.25">
      <c r="A47" s="49" t="s">
        <v>1386</v>
      </c>
      <c r="B47" s="98">
        <v>46</v>
      </c>
      <c r="C47" s="50">
        <v>46036</v>
      </c>
      <c r="D47" s="49">
        <f t="shared" si="0"/>
        <v>1</v>
      </c>
      <c r="E47" s="92" t="s">
        <v>2558</v>
      </c>
      <c r="F47" s="49" t="s">
        <v>38</v>
      </c>
      <c r="G47" s="14" t="s">
        <v>45</v>
      </c>
      <c r="H47" s="14" t="s">
        <v>46</v>
      </c>
      <c r="I47" s="76"/>
      <c r="J47" s="73">
        <v>0</v>
      </c>
      <c r="K47" s="74">
        <v>0</v>
      </c>
      <c r="L47" s="72">
        <v>0</v>
      </c>
      <c r="M47" s="72">
        <v>102.3</v>
      </c>
      <c r="N47" s="72">
        <f>IF(AND(C47="",J47=0,K47=0,L47=0,M47=0),"",CADASTROS!$B$4+SUM($J$2:J47)+SUM($M$2:M47)-SUM($K$2:K47)-SUM($L$2:L47))</f>
        <v>407.7499999999709</v>
      </c>
      <c r="O47" s="72">
        <f>IF(A47="","",SUMIF(RATEIOS!$A$2:$A$3142,$A47,RATEIOS!$F$2:$F$3142))</f>
        <v>102.3</v>
      </c>
      <c r="P47" s="15">
        <f t="shared" si="1"/>
        <v>0</v>
      </c>
      <c r="Q47" s="49" t="str">
        <f>IF(AND(J47=0,K47=0,L47=0,M47=0),"",IF(O47=0,"PENDENTE DE RATEIO",IF(ABS(P47)&gt;0.005,"DIVERGÊNCIA",IF(COUNTIF(RATEIOS!$A$2:$A$3142,$A47)-COUNTIFS(RATEIOS!$A$2:$A$3142,$A47,RATEIOS!$D$2:$D$3142,"&lt;&gt;")&gt;0,"NÃO CLASSIFICADO","RATEIO OK"))))</f>
        <v>RATEIO OK</v>
      </c>
      <c r="R47" s="49" t="s">
        <v>2553</v>
      </c>
      <c r="S47" s="14"/>
    </row>
    <row r="48" spans="1:19" ht="24.95" customHeight="1" x14ac:dyDescent="0.25">
      <c r="A48" s="49" t="s">
        <v>1387</v>
      </c>
      <c r="B48" s="98">
        <v>47</v>
      </c>
      <c r="C48" s="50">
        <v>46036</v>
      </c>
      <c r="D48" s="49">
        <f t="shared" si="0"/>
        <v>1</v>
      </c>
      <c r="E48" s="92" t="s">
        <v>118</v>
      </c>
      <c r="F48" s="49" t="s">
        <v>36</v>
      </c>
      <c r="G48" s="14" t="s">
        <v>124</v>
      </c>
      <c r="H48" s="14" t="s">
        <v>125</v>
      </c>
      <c r="I48" s="76"/>
      <c r="J48" s="73">
        <v>0</v>
      </c>
      <c r="K48" s="74">
        <v>25067.52</v>
      </c>
      <c r="L48" s="72">
        <v>0</v>
      </c>
      <c r="M48" s="72">
        <v>0</v>
      </c>
      <c r="N48" s="72">
        <f>IF(AND(C48="",J48=0,K48=0,L48=0,M48=0),"",CADASTROS!$B$4+SUM($J$2:J48)+SUM($M$2:M48)-SUM($K$2:K48)-SUM($L$2:L48))</f>
        <v>-24659.770000000019</v>
      </c>
      <c r="O48" s="72">
        <f>IF(A48="","",SUMIF(RATEIOS!$A$2:$A$3142,$A48,RATEIOS!$F$2:$F$3142))</f>
        <v>25067.52</v>
      </c>
      <c r="P48" s="15">
        <f t="shared" si="1"/>
        <v>0</v>
      </c>
      <c r="Q48" s="49" t="str">
        <f>IF(AND(J48=0,K48=0,L48=0,M48=0),"",IF(O48=0,"PENDENTE DE RATEIO",IF(ABS(P48)&gt;0.005,"DIVERGÊNCIA",IF(COUNTIF(RATEIOS!$A$2:$A$3142,$A48)-COUNTIFS(RATEIOS!$A$2:$A$3142,$A48,RATEIOS!$D$2:$D$3142,"&lt;&gt;")&gt;0,"NÃO CLASSIFICADO","RATEIO OK"))))</f>
        <v>RATEIO OK</v>
      </c>
      <c r="R48" s="49" t="s">
        <v>2553</v>
      </c>
      <c r="S48" s="14"/>
    </row>
    <row r="49" spans="1:19" ht="24.95" customHeight="1" x14ac:dyDescent="0.25">
      <c r="A49" s="49" t="s">
        <v>1390</v>
      </c>
      <c r="B49" s="98">
        <v>48</v>
      </c>
      <c r="C49" s="50">
        <v>46036</v>
      </c>
      <c r="D49" s="49">
        <f t="shared" si="0"/>
        <v>1</v>
      </c>
      <c r="E49" s="92" t="s">
        <v>118</v>
      </c>
      <c r="F49" s="49" t="s">
        <v>36</v>
      </c>
      <c r="G49" s="14" t="s">
        <v>126</v>
      </c>
      <c r="H49" s="14" t="s">
        <v>127</v>
      </c>
      <c r="I49" s="76"/>
      <c r="J49" s="73">
        <v>0</v>
      </c>
      <c r="K49" s="74">
        <v>852.23</v>
      </c>
      <c r="L49" s="72">
        <v>0</v>
      </c>
      <c r="M49" s="72">
        <v>0</v>
      </c>
      <c r="N49" s="72">
        <f>IF(AND(C49="",J49=0,K49=0,L49=0,M49=0),"",CADASTROS!$B$4+SUM($J$2:J49)+SUM($M$2:M49)-SUM($K$2:K49)-SUM($L$2:L49))</f>
        <v>-25512.000000000029</v>
      </c>
      <c r="O49" s="72">
        <f>IF(A49="","",SUMIF(RATEIOS!$A$2:$A$3142,$A49,RATEIOS!$F$2:$F$3142))</f>
        <v>852.23</v>
      </c>
      <c r="P49" s="15">
        <f t="shared" si="1"/>
        <v>0</v>
      </c>
      <c r="Q49" s="49" t="str">
        <f>IF(AND(J49=0,K49=0,L49=0,M49=0),"",IF(O49=0,"PENDENTE DE RATEIO",IF(ABS(P49)&gt;0.005,"DIVERGÊNCIA",IF(COUNTIF(RATEIOS!$A$2:$A$3142,$A49)-COUNTIFS(RATEIOS!$A$2:$A$3142,$A49,RATEIOS!$D$2:$D$3142,"&lt;&gt;")&gt;0,"NÃO CLASSIFICADO","RATEIO OK"))))</f>
        <v>RATEIO OK</v>
      </c>
      <c r="R49" s="49" t="s">
        <v>2553</v>
      </c>
      <c r="S49" s="14"/>
    </row>
    <row r="50" spans="1:19" ht="24.95" customHeight="1" x14ac:dyDescent="0.25">
      <c r="A50" s="49" t="s">
        <v>1391</v>
      </c>
      <c r="B50" s="98">
        <v>49</v>
      </c>
      <c r="C50" s="50">
        <v>46036</v>
      </c>
      <c r="D50" s="49">
        <f t="shared" si="0"/>
        <v>1</v>
      </c>
      <c r="E50" s="92" t="s">
        <v>2558</v>
      </c>
      <c r="F50" s="49" t="s">
        <v>38</v>
      </c>
      <c r="G50" s="14" t="s">
        <v>45</v>
      </c>
      <c r="H50" s="14" t="s">
        <v>46</v>
      </c>
      <c r="I50" s="76"/>
      <c r="J50" s="73">
        <v>0</v>
      </c>
      <c r="K50" s="74">
        <v>0</v>
      </c>
      <c r="L50" s="72">
        <v>0</v>
      </c>
      <c r="M50" s="72">
        <v>26000</v>
      </c>
      <c r="N50" s="72">
        <f>IF(AND(C50="",J50=0,K50=0,L50=0,M50=0),"",CADASTROS!$B$4+SUM($J$2:J50)+SUM($M$2:M50)-SUM($K$2:K50)-SUM($L$2:L50))</f>
        <v>487.9999999999709</v>
      </c>
      <c r="O50" s="72">
        <f>IF(A50="","",SUMIF(RATEIOS!$A$2:$A$3142,$A50,RATEIOS!$F$2:$F$3142))</f>
        <v>26000</v>
      </c>
      <c r="P50" s="15">
        <f t="shared" si="1"/>
        <v>0</v>
      </c>
      <c r="Q50" s="49" t="str">
        <f>IF(AND(J50=0,K50=0,L50=0,M50=0),"",IF(O50=0,"PENDENTE DE RATEIO",IF(ABS(P50)&gt;0.005,"DIVERGÊNCIA",IF(COUNTIF(RATEIOS!$A$2:$A$3142,$A50)-COUNTIFS(RATEIOS!$A$2:$A$3142,$A50,RATEIOS!$D$2:$D$3142,"&lt;&gt;")&gt;0,"NÃO CLASSIFICADO","RATEIO OK"))))</f>
        <v>RATEIO OK</v>
      </c>
      <c r="R50" s="49" t="s">
        <v>2553</v>
      </c>
      <c r="S50" s="14"/>
    </row>
    <row r="51" spans="1:19" ht="24.95" customHeight="1" x14ac:dyDescent="0.25">
      <c r="A51" s="49" t="s">
        <v>1392</v>
      </c>
      <c r="B51" s="98">
        <v>50</v>
      </c>
      <c r="C51" s="50">
        <v>46037</v>
      </c>
      <c r="D51" s="49">
        <f t="shared" si="0"/>
        <v>1</v>
      </c>
      <c r="E51" s="92" t="s">
        <v>2558</v>
      </c>
      <c r="F51" s="49" t="s">
        <v>38</v>
      </c>
      <c r="G51" s="14" t="s">
        <v>45</v>
      </c>
      <c r="H51" s="14" t="s">
        <v>46</v>
      </c>
      <c r="I51" s="76"/>
      <c r="J51" s="73">
        <v>0</v>
      </c>
      <c r="K51" s="74">
        <v>0</v>
      </c>
      <c r="L51" s="72">
        <v>0</v>
      </c>
      <c r="M51" s="72">
        <v>96.72</v>
      </c>
      <c r="N51" s="72">
        <f>IF(AND(C51="",J51=0,K51=0,L51=0,M51=0),"",CADASTROS!$B$4+SUM($J$2:J51)+SUM($M$2:M51)-SUM($K$2:K51)-SUM($L$2:L51))</f>
        <v>584.71999999997206</v>
      </c>
      <c r="O51" s="72">
        <f>IF(A51="","",SUMIF(RATEIOS!$A$2:$A$3142,$A51,RATEIOS!$F$2:$F$3142))</f>
        <v>96.72</v>
      </c>
      <c r="P51" s="15">
        <f t="shared" si="1"/>
        <v>0</v>
      </c>
      <c r="Q51" s="49" t="str">
        <f>IF(AND(J51=0,K51=0,L51=0,M51=0),"",IF(O51=0,"PENDENTE DE RATEIO",IF(ABS(P51)&gt;0.005,"DIVERGÊNCIA",IF(COUNTIF(RATEIOS!$A$2:$A$3142,$A51)-COUNTIFS(RATEIOS!$A$2:$A$3142,$A51,RATEIOS!$D$2:$D$3142,"&lt;&gt;")&gt;0,"NÃO CLASSIFICADO","RATEIO OK"))))</f>
        <v>RATEIO OK</v>
      </c>
      <c r="R51" s="49" t="s">
        <v>2553</v>
      </c>
      <c r="S51" s="14"/>
    </row>
    <row r="52" spans="1:19" ht="24.95" customHeight="1" x14ac:dyDescent="0.25">
      <c r="A52" s="49" t="s">
        <v>1393</v>
      </c>
      <c r="B52" s="98">
        <v>51</v>
      </c>
      <c r="C52" s="50">
        <v>46037</v>
      </c>
      <c r="D52" s="49">
        <f t="shared" si="0"/>
        <v>1</v>
      </c>
      <c r="E52" s="92" t="s">
        <v>118</v>
      </c>
      <c r="F52" s="49" t="s">
        <v>36</v>
      </c>
      <c r="G52" s="14" t="s">
        <v>128</v>
      </c>
      <c r="H52" s="14" t="s">
        <v>125</v>
      </c>
      <c r="I52" s="76"/>
      <c r="J52" s="73">
        <v>0</v>
      </c>
      <c r="K52" s="74">
        <v>23758.98</v>
      </c>
      <c r="L52" s="72">
        <v>0</v>
      </c>
      <c r="M52" s="72">
        <v>0</v>
      </c>
      <c r="N52" s="72">
        <f>IF(AND(C52="",J52=0,K52=0,L52=0,M52=0),"",CADASTROS!$B$4+SUM($J$2:J52)+SUM($M$2:M52)-SUM($K$2:K52)-SUM($L$2:L52))</f>
        <v>-23174.260000000038</v>
      </c>
      <c r="O52" s="72">
        <f>IF(A52="","",SUMIF(RATEIOS!$A$2:$A$3142,$A52,RATEIOS!$F$2:$F$3142))</f>
        <v>23758.98</v>
      </c>
      <c r="P52" s="15">
        <f t="shared" si="1"/>
        <v>0</v>
      </c>
      <c r="Q52" s="49" t="str">
        <f>IF(AND(J52=0,K52=0,L52=0,M52=0),"",IF(O52=0,"PENDENTE DE RATEIO",IF(ABS(P52)&gt;0.005,"DIVERGÊNCIA",IF(COUNTIF(RATEIOS!$A$2:$A$3142,$A52)-COUNTIFS(RATEIOS!$A$2:$A$3142,$A52,RATEIOS!$D$2:$D$3142,"&lt;&gt;")&gt;0,"NÃO CLASSIFICADO","RATEIO OK"))))</f>
        <v>RATEIO OK</v>
      </c>
      <c r="R52" s="49" t="s">
        <v>2553</v>
      </c>
      <c r="S52" s="14"/>
    </row>
    <row r="53" spans="1:19" ht="24.95" customHeight="1" x14ac:dyDescent="0.25">
      <c r="A53" s="49" t="s">
        <v>1395</v>
      </c>
      <c r="B53" s="98">
        <v>52</v>
      </c>
      <c r="C53" s="50">
        <v>46037</v>
      </c>
      <c r="D53" s="49">
        <f t="shared" si="0"/>
        <v>1</v>
      </c>
      <c r="E53" s="92" t="s">
        <v>2558</v>
      </c>
      <c r="F53" s="49" t="s">
        <v>38</v>
      </c>
      <c r="G53" s="14" t="s">
        <v>45</v>
      </c>
      <c r="H53" s="14" t="s">
        <v>46</v>
      </c>
      <c r="I53" s="76"/>
      <c r="J53" s="73">
        <v>0</v>
      </c>
      <c r="K53" s="74">
        <v>0</v>
      </c>
      <c r="L53" s="72">
        <v>0</v>
      </c>
      <c r="M53" s="72">
        <v>23500</v>
      </c>
      <c r="N53" s="72">
        <f>IF(AND(C53="",J53=0,K53=0,L53=0,M53=0),"",CADASTROS!$B$4+SUM($J$2:J53)+SUM($M$2:M53)-SUM($K$2:K53)-SUM($L$2:L53))</f>
        <v>325.73999999996158</v>
      </c>
      <c r="O53" s="72">
        <f>IF(A53="","",SUMIF(RATEIOS!$A$2:$A$3142,$A53,RATEIOS!$F$2:$F$3142))</f>
        <v>23500</v>
      </c>
      <c r="P53" s="15">
        <f t="shared" si="1"/>
        <v>0</v>
      </c>
      <c r="Q53" s="49" t="str">
        <f>IF(AND(J53=0,K53=0,L53=0,M53=0),"",IF(O53=0,"PENDENTE DE RATEIO",IF(ABS(P53)&gt;0.005,"DIVERGÊNCIA",IF(COUNTIF(RATEIOS!$A$2:$A$3142,$A53)-COUNTIFS(RATEIOS!$A$2:$A$3142,$A53,RATEIOS!$D$2:$D$3142,"&lt;&gt;")&gt;0,"NÃO CLASSIFICADO","RATEIO OK"))))</f>
        <v>RATEIO OK</v>
      </c>
      <c r="R53" s="49" t="s">
        <v>2553</v>
      </c>
      <c r="S53" s="14"/>
    </row>
    <row r="54" spans="1:19" ht="24.95" customHeight="1" x14ac:dyDescent="0.25">
      <c r="A54" s="49" t="s">
        <v>1396</v>
      </c>
      <c r="B54" s="98">
        <v>53</v>
      </c>
      <c r="C54" s="50">
        <v>46038</v>
      </c>
      <c r="D54" s="49">
        <f t="shared" si="0"/>
        <v>1</v>
      </c>
      <c r="E54" s="92" t="s">
        <v>2558</v>
      </c>
      <c r="F54" s="49" t="s">
        <v>38</v>
      </c>
      <c r="G54" s="14" t="s">
        <v>104</v>
      </c>
      <c r="H54" s="14" t="s">
        <v>46</v>
      </c>
      <c r="I54" s="76"/>
      <c r="J54" s="73">
        <v>0</v>
      </c>
      <c r="K54" s="74">
        <v>0</v>
      </c>
      <c r="L54" s="72">
        <v>0</v>
      </c>
      <c r="M54" s="72">
        <v>99.17</v>
      </c>
      <c r="N54" s="72">
        <f>IF(AND(C54="",J54=0,K54=0,L54=0,M54=0),"",CADASTROS!$B$4+SUM($J$2:J54)+SUM($M$2:M54)-SUM($K$2:K54)-SUM($L$2:L54))</f>
        <v>424.90999999997439</v>
      </c>
      <c r="O54" s="72">
        <f>IF(A54="","",SUMIF(RATEIOS!$A$2:$A$3142,$A54,RATEIOS!$F$2:$F$3142))</f>
        <v>99.17</v>
      </c>
      <c r="P54" s="15">
        <f t="shared" si="1"/>
        <v>0</v>
      </c>
      <c r="Q54" s="49" t="str">
        <f>IF(AND(J54=0,K54=0,L54=0,M54=0),"",IF(O54=0,"PENDENTE DE RATEIO",IF(ABS(P54)&gt;0.005,"DIVERGÊNCIA",IF(COUNTIF(RATEIOS!$A$2:$A$3142,$A54)-COUNTIFS(RATEIOS!$A$2:$A$3142,$A54,RATEIOS!$D$2:$D$3142,"&lt;&gt;")&gt;0,"NÃO CLASSIFICADO","RATEIO OK"))))</f>
        <v>RATEIO OK</v>
      </c>
      <c r="R54" s="49" t="s">
        <v>2553</v>
      </c>
      <c r="S54" s="14"/>
    </row>
    <row r="55" spans="1:19" ht="24.95" customHeight="1" x14ac:dyDescent="0.25">
      <c r="A55" s="49" t="s">
        <v>1397</v>
      </c>
      <c r="B55" s="98">
        <v>54</v>
      </c>
      <c r="C55" s="50">
        <v>46038</v>
      </c>
      <c r="D55" s="49">
        <f t="shared" si="0"/>
        <v>1</v>
      </c>
      <c r="E55" s="92" t="s">
        <v>118</v>
      </c>
      <c r="F55" s="49" t="s">
        <v>36</v>
      </c>
      <c r="G55" s="14" t="s">
        <v>305</v>
      </c>
      <c r="H55" s="14" t="s">
        <v>3207</v>
      </c>
      <c r="I55" s="76" t="s">
        <v>131</v>
      </c>
      <c r="J55" s="73">
        <v>0</v>
      </c>
      <c r="K55" s="74">
        <v>97.02</v>
      </c>
      <c r="L55" s="72">
        <v>0</v>
      </c>
      <c r="M55" s="72">
        <v>0</v>
      </c>
      <c r="N55" s="72">
        <f>IF(AND(C55="",J55=0,K55=0,L55=0,M55=0),"",CADASTROS!$B$4+SUM($J$2:J55)+SUM($M$2:M55)-SUM($K$2:K55)-SUM($L$2:L55))</f>
        <v>327.88999999998487</v>
      </c>
      <c r="O55" s="72">
        <f>IF(A55="","",SUMIF(RATEIOS!$A$2:$A$3142,$A55,RATEIOS!$F$2:$F$3142))</f>
        <v>97.02</v>
      </c>
      <c r="P55" s="15">
        <f t="shared" si="1"/>
        <v>0</v>
      </c>
      <c r="Q55" s="49" t="str">
        <f>IF(AND(J55=0,K55=0,L55=0,M55=0),"",IF(O55=0,"PENDENTE DE RATEIO",IF(ABS(P55)&gt;0.005,"DIVERGÊNCIA",IF(COUNTIF(RATEIOS!$A$2:$A$3142,$A55)-COUNTIFS(RATEIOS!$A$2:$A$3142,$A55,RATEIOS!$D$2:$D$3142,"&lt;&gt;")&gt;0,"NÃO CLASSIFICADO","RATEIO OK"))))</f>
        <v>RATEIO OK</v>
      </c>
      <c r="R55" s="49" t="s">
        <v>2553</v>
      </c>
      <c r="S55" s="14" t="s">
        <v>2957</v>
      </c>
    </row>
    <row r="56" spans="1:19" ht="24.95" customHeight="1" x14ac:dyDescent="0.25">
      <c r="A56" s="49" t="s">
        <v>1398</v>
      </c>
      <c r="B56" s="98">
        <v>55</v>
      </c>
      <c r="C56" s="50">
        <v>46038</v>
      </c>
      <c r="D56" s="49">
        <f t="shared" si="0"/>
        <v>1</v>
      </c>
      <c r="E56" s="92" t="s">
        <v>118</v>
      </c>
      <c r="F56" s="49" t="s">
        <v>36</v>
      </c>
      <c r="G56" s="14" t="s">
        <v>305</v>
      </c>
      <c r="H56" s="14" t="s">
        <v>3207</v>
      </c>
      <c r="I56" s="76" t="s">
        <v>132</v>
      </c>
      <c r="J56" s="73">
        <v>0</v>
      </c>
      <c r="K56" s="74">
        <v>211.41</v>
      </c>
      <c r="L56" s="72">
        <v>0</v>
      </c>
      <c r="M56" s="72">
        <v>0</v>
      </c>
      <c r="N56" s="72">
        <f>IF(AND(C56="",J56=0,K56=0,L56=0,M56=0),"",CADASTROS!$B$4+SUM($J$2:J56)+SUM($M$2:M56)-SUM($K$2:K56)-SUM($L$2:L56))</f>
        <v>116.47999999998137</v>
      </c>
      <c r="O56" s="72">
        <f>IF(A56="","",SUMIF(RATEIOS!$A$2:$A$3142,$A56,RATEIOS!$F$2:$F$3142))</f>
        <v>211.41</v>
      </c>
      <c r="P56" s="15">
        <f t="shared" si="1"/>
        <v>0</v>
      </c>
      <c r="Q56" s="49" t="str">
        <f>IF(AND(J56=0,K56=0,L56=0,M56=0),"",IF(O56=0,"PENDENTE DE RATEIO",IF(ABS(P56)&gt;0.005,"DIVERGÊNCIA",IF(COUNTIF(RATEIOS!$A$2:$A$3142,$A56)-COUNTIFS(RATEIOS!$A$2:$A$3142,$A56,RATEIOS!$D$2:$D$3142,"&lt;&gt;")&gt;0,"NÃO CLASSIFICADO","RATEIO OK"))))</f>
        <v>RATEIO OK</v>
      </c>
      <c r="R56" s="49" t="s">
        <v>2553</v>
      </c>
      <c r="S56" s="14" t="s">
        <v>2958</v>
      </c>
    </row>
    <row r="57" spans="1:19" ht="24.95" customHeight="1" x14ac:dyDescent="0.25">
      <c r="A57" s="49" t="s">
        <v>1399</v>
      </c>
      <c r="B57" s="98">
        <v>56</v>
      </c>
      <c r="C57" s="50">
        <v>46038</v>
      </c>
      <c r="D57" s="49">
        <f t="shared" si="0"/>
        <v>1</v>
      </c>
      <c r="E57" s="92" t="s">
        <v>118</v>
      </c>
      <c r="F57" s="49" t="s">
        <v>36</v>
      </c>
      <c r="G57" s="14" t="s">
        <v>3030</v>
      </c>
      <c r="H57" s="95" t="s">
        <v>2753</v>
      </c>
      <c r="I57" s="76" t="s">
        <v>135</v>
      </c>
      <c r="J57" s="73">
        <v>0</v>
      </c>
      <c r="K57" s="74">
        <v>1632.53</v>
      </c>
      <c r="L57" s="72">
        <v>0</v>
      </c>
      <c r="M57" s="72">
        <v>0</v>
      </c>
      <c r="N57" s="72">
        <f>IF(AND(C57="",J57=0,K57=0,L57=0,M57=0),"",CADASTROS!$B$4+SUM($J$2:J57)+SUM($M$2:M57)-SUM($K$2:K57)-SUM($L$2:L57))</f>
        <v>-1516.0500000000175</v>
      </c>
      <c r="O57" s="72">
        <f>IF(A57="","",SUMIF(RATEIOS!$A$2:$A$3142,$A57,RATEIOS!$F$2:$F$3142))</f>
        <v>1632.53</v>
      </c>
      <c r="P57" s="15">
        <f t="shared" si="1"/>
        <v>0</v>
      </c>
      <c r="Q57" s="49" t="str">
        <f>IF(AND(J57=0,K57=0,L57=0,M57=0),"",IF(O57=0,"PENDENTE DE RATEIO",IF(ABS(P57)&gt;0.005,"DIVERGÊNCIA",IF(COUNTIF(RATEIOS!$A$2:$A$3142,$A57)-COUNTIFS(RATEIOS!$A$2:$A$3142,$A57,RATEIOS!$D$2:$D$3142,"&lt;&gt;")&gt;0,"NÃO CLASSIFICADO","RATEIO OK"))))</f>
        <v>RATEIO OK</v>
      </c>
      <c r="R57" s="49" t="s">
        <v>2553</v>
      </c>
      <c r="S57" s="14" t="s">
        <v>2959</v>
      </c>
    </row>
    <row r="58" spans="1:19" ht="24.95" customHeight="1" x14ac:dyDescent="0.25">
      <c r="A58" s="49" t="s">
        <v>1401</v>
      </c>
      <c r="B58" s="98">
        <v>57</v>
      </c>
      <c r="C58" s="50">
        <v>46038</v>
      </c>
      <c r="D58" s="49">
        <f t="shared" si="0"/>
        <v>1</v>
      </c>
      <c r="E58" s="92" t="s">
        <v>118</v>
      </c>
      <c r="F58" s="49" t="s">
        <v>36</v>
      </c>
      <c r="G58" s="14" t="s">
        <v>136</v>
      </c>
      <c r="H58" s="14" t="s">
        <v>137</v>
      </c>
      <c r="I58" s="76" t="s">
        <v>138</v>
      </c>
      <c r="J58" s="73">
        <v>0</v>
      </c>
      <c r="K58" s="74">
        <v>791.15</v>
      </c>
      <c r="L58" s="72">
        <v>0</v>
      </c>
      <c r="M58" s="72">
        <v>0</v>
      </c>
      <c r="N58" s="72">
        <f>IF(AND(C58="",J58=0,K58=0,L58=0,M58=0),"",CADASTROS!$B$4+SUM($J$2:J58)+SUM($M$2:M58)-SUM($K$2:K58)-SUM($L$2:L58))</f>
        <v>-2307.2000000000116</v>
      </c>
      <c r="O58" s="72">
        <f>IF(A58="","",SUMIF(RATEIOS!$A$2:$A$3142,$A58,RATEIOS!$F$2:$F$3142))</f>
        <v>791.15</v>
      </c>
      <c r="P58" s="15">
        <f t="shared" si="1"/>
        <v>0</v>
      </c>
      <c r="Q58" s="49" t="str">
        <f>IF(AND(J58=0,K58=0,L58=0,M58=0),"",IF(O58=0,"PENDENTE DE RATEIO",IF(ABS(P58)&gt;0.005,"DIVERGÊNCIA",IF(COUNTIF(RATEIOS!$A$2:$A$3142,$A58)-COUNTIFS(RATEIOS!$A$2:$A$3142,$A58,RATEIOS!$D$2:$D$3142,"&lt;&gt;")&gt;0,"NÃO CLASSIFICADO","RATEIO OK"))))</f>
        <v>RATEIO OK</v>
      </c>
      <c r="R58" s="49" t="s">
        <v>2553</v>
      </c>
      <c r="S58" s="14"/>
    </row>
    <row r="59" spans="1:19" ht="24.95" customHeight="1" x14ac:dyDescent="0.25">
      <c r="A59" s="49" t="s">
        <v>1403</v>
      </c>
      <c r="B59" s="98">
        <v>58</v>
      </c>
      <c r="C59" s="50">
        <v>46038</v>
      </c>
      <c r="D59" s="49">
        <f t="shared" si="0"/>
        <v>1</v>
      </c>
      <c r="E59" s="92" t="s">
        <v>118</v>
      </c>
      <c r="F59" s="49" t="s">
        <v>36</v>
      </c>
      <c r="G59" s="14" t="s">
        <v>139</v>
      </c>
      <c r="H59" s="14" t="s">
        <v>140</v>
      </c>
      <c r="I59" s="76" t="s">
        <v>141</v>
      </c>
      <c r="J59" s="73">
        <v>0</v>
      </c>
      <c r="K59" s="74">
        <v>6578.4</v>
      </c>
      <c r="L59" s="72">
        <v>0</v>
      </c>
      <c r="M59" s="72">
        <v>0</v>
      </c>
      <c r="N59" s="72">
        <f>IF(AND(C59="",J59=0,K59=0,L59=0,M59=0),"",CADASTROS!$B$4+SUM($J$2:J59)+SUM($M$2:M59)-SUM($K$2:K59)-SUM($L$2:L59))</f>
        <v>-8885.6000000000058</v>
      </c>
      <c r="O59" s="72">
        <f>IF(A59="","",SUMIF(RATEIOS!$A$2:$A$3142,$A59,RATEIOS!$F$2:$F$3142))</f>
        <v>6578.4</v>
      </c>
      <c r="P59" s="15">
        <f t="shared" si="1"/>
        <v>0</v>
      </c>
      <c r="Q59" s="49" t="str">
        <f>IF(AND(J59=0,K59=0,L59=0,M59=0),"",IF(O59=0,"PENDENTE DE RATEIO",IF(ABS(P59)&gt;0.005,"DIVERGÊNCIA",IF(COUNTIF(RATEIOS!$A$2:$A$3142,$A59)-COUNTIFS(RATEIOS!$A$2:$A$3142,$A59,RATEIOS!$D$2:$D$3142,"&lt;&gt;")&gt;0,"NÃO CLASSIFICADO","RATEIO OK"))))</f>
        <v>RATEIO OK</v>
      </c>
      <c r="R59" s="49" t="s">
        <v>2553</v>
      </c>
      <c r="S59" s="14"/>
    </row>
    <row r="60" spans="1:19" ht="24.95" customHeight="1" x14ac:dyDescent="0.25">
      <c r="A60" s="49" t="s">
        <v>1405</v>
      </c>
      <c r="B60" s="98">
        <v>59</v>
      </c>
      <c r="C60" s="50">
        <v>46038</v>
      </c>
      <c r="D60" s="49">
        <f t="shared" si="0"/>
        <v>1</v>
      </c>
      <c r="E60" s="92" t="s">
        <v>2558</v>
      </c>
      <c r="F60" s="49" t="s">
        <v>38</v>
      </c>
      <c r="G60" s="14" t="s">
        <v>45</v>
      </c>
      <c r="H60" s="14" t="s">
        <v>46</v>
      </c>
      <c r="I60" s="76"/>
      <c r="J60" s="73">
        <v>0</v>
      </c>
      <c r="K60" s="74">
        <v>0</v>
      </c>
      <c r="L60" s="72">
        <v>0</v>
      </c>
      <c r="M60" s="72">
        <v>9000</v>
      </c>
      <c r="N60" s="72">
        <f>IF(AND(C60="",J60=0,K60=0,L60=0,M60=0),"",CADASTROS!$B$4+SUM($J$2:J60)+SUM($M$2:M60)-SUM($K$2:K60)-SUM($L$2:L60))</f>
        <v>114.39999999999418</v>
      </c>
      <c r="O60" s="72">
        <f>IF(A60="","",SUMIF(RATEIOS!$A$2:$A$3142,$A60,RATEIOS!$F$2:$F$3142))</f>
        <v>9000</v>
      </c>
      <c r="P60" s="15">
        <f t="shared" si="1"/>
        <v>0</v>
      </c>
      <c r="Q60" s="49" t="str">
        <f>IF(AND(J60=0,K60=0,L60=0,M60=0),"",IF(O60=0,"PENDENTE DE RATEIO",IF(ABS(P60)&gt;0.005,"DIVERGÊNCIA",IF(COUNTIF(RATEIOS!$A$2:$A$3142,$A60)-COUNTIFS(RATEIOS!$A$2:$A$3142,$A60,RATEIOS!$D$2:$D$3142,"&lt;&gt;")&gt;0,"NÃO CLASSIFICADO","RATEIO OK"))))</f>
        <v>RATEIO OK</v>
      </c>
      <c r="R60" s="49" t="s">
        <v>2553</v>
      </c>
      <c r="S60" s="14"/>
    </row>
    <row r="61" spans="1:19" ht="24.95" customHeight="1" x14ac:dyDescent="0.25">
      <c r="A61" s="49" t="s">
        <v>1406</v>
      </c>
      <c r="B61" s="98">
        <v>60</v>
      </c>
      <c r="C61" s="50">
        <v>46041</v>
      </c>
      <c r="D61" s="49">
        <f t="shared" si="0"/>
        <v>1</v>
      </c>
      <c r="E61" s="92" t="s">
        <v>2558</v>
      </c>
      <c r="F61" s="49" t="s">
        <v>38</v>
      </c>
      <c r="G61" s="14" t="s">
        <v>45</v>
      </c>
      <c r="H61" s="14" t="s">
        <v>46</v>
      </c>
      <c r="I61" s="76"/>
      <c r="J61" s="73">
        <v>0</v>
      </c>
      <c r="K61" s="74">
        <v>0</v>
      </c>
      <c r="L61" s="72">
        <v>0</v>
      </c>
      <c r="M61" s="72">
        <v>42.48</v>
      </c>
      <c r="N61" s="72">
        <f>IF(AND(C61="",J61=0,K61=0,L61=0,M61=0),"",CADASTROS!$B$4+SUM($J$2:J61)+SUM($M$2:M61)-SUM($K$2:K61)-SUM($L$2:L61))</f>
        <v>156.88000000000466</v>
      </c>
      <c r="O61" s="72">
        <f>IF(A61="","",SUMIF(RATEIOS!$A$2:$A$3142,$A61,RATEIOS!$F$2:$F$3142))</f>
        <v>42.48</v>
      </c>
      <c r="P61" s="15">
        <f t="shared" si="1"/>
        <v>0</v>
      </c>
      <c r="Q61" s="49" t="str">
        <f>IF(AND(J61=0,K61=0,L61=0,M61=0),"",IF(O61=0,"PENDENTE DE RATEIO",IF(ABS(P61)&gt;0.005,"DIVERGÊNCIA",IF(COUNTIF(RATEIOS!$A$2:$A$3142,$A61)-COUNTIFS(RATEIOS!$A$2:$A$3142,$A61,RATEIOS!$D$2:$D$3142,"&lt;&gt;")&gt;0,"NÃO CLASSIFICADO","RATEIO OK"))))</f>
        <v>RATEIO OK</v>
      </c>
      <c r="R61" s="49" t="s">
        <v>2553</v>
      </c>
      <c r="S61" s="14"/>
    </row>
    <row r="62" spans="1:19" ht="24.95" customHeight="1" x14ac:dyDescent="0.25">
      <c r="A62" s="49" t="s">
        <v>1407</v>
      </c>
      <c r="B62" s="98">
        <v>61</v>
      </c>
      <c r="C62" s="50">
        <v>46041</v>
      </c>
      <c r="D62" s="49">
        <f t="shared" si="0"/>
        <v>1</v>
      </c>
      <c r="E62" s="92" t="s">
        <v>118</v>
      </c>
      <c r="F62" s="49" t="s">
        <v>36</v>
      </c>
      <c r="G62" s="14" t="s">
        <v>142</v>
      </c>
      <c r="H62" s="14" t="s">
        <v>143</v>
      </c>
      <c r="I62" s="76" t="s">
        <v>144</v>
      </c>
      <c r="J62" s="73">
        <v>0</v>
      </c>
      <c r="K62" s="74">
        <v>6437.5</v>
      </c>
      <c r="L62" s="72">
        <v>0</v>
      </c>
      <c r="M62" s="72">
        <v>0</v>
      </c>
      <c r="N62" s="72">
        <f>IF(AND(C62="",J62=0,K62=0,L62=0,M62=0),"",CADASTROS!$B$4+SUM($J$2:J62)+SUM($M$2:M62)-SUM($K$2:K62)-SUM($L$2:L62))</f>
        <v>-6280.6199999999953</v>
      </c>
      <c r="O62" s="72">
        <f>IF(A62="","",SUMIF(RATEIOS!$A$2:$A$3142,$A62,RATEIOS!$F$2:$F$3142))</f>
        <v>6437.5</v>
      </c>
      <c r="P62" s="15">
        <f t="shared" si="1"/>
        <v>0</v>
      </c>
      <c r="Q62" s="49" t="str">
        <f>IF(AND(J62=0,K62=0,L62=0,M62=0),"",IF(O62=0,"PENDENTE DE RATEIO",IF(ABS(P62)&gt;0.005,"DIVERGÊNCIA",IF(COUNTIF(RATEIOS!$A$2:$A$3142,$A62)-COUNTIFS(RATEIOS!$A$2:$A$3142,$A62,RATEIOS!$D$2:$D$3142,"&lt;&gt;")&gt;0,"NÃO CLASSIFICADO","RATEIO OK"))))</f>
        <v>RATEIO OK</v>
      </c>
      <c r="R62" s="49" t="s">
        <v>2553</v>
      </c>
      <c r="S62" s="14" t="s">
        <v>2960</v>
      </c>
    </row>
    <row r="63" spans="1:19" ht="24.95" customHeight="1" x14ac:dyDescent="0.25">
      <c r="A63" s="49" t="s">
        <v>1408</v>
      </c>
      <c r="B63" s="98">
        <v>62</v>
      </c>
      <c r="C63" s="50">
        <v>46041</v>
      </c>
      <c r="D63" s="49">
        <f t="shared" si="0"/>
        <v>1</v>
      </c>
      <c r="E63" s="92" t="s">
        <v>118</v>
      </c>
      <c r="F63" s="49" t="s">
        <v>36</v>
      </c>
      <c r="G63" s="14" t="s">
        <v>145</v>
      </c>
      <c r="H63" s="14" t="s">
        <v>140</v>
      </c>
      <c r="I63" s="76" t="s">
        <v>146</v>
      </c>
      <c r="J63" s="73">
        <v>0</v>
      </c>
      <c r="K63" s="74">
        <v>1965.6</v>
      </c>
      <c r="L63" s="72">
        <v>0</v>
      </c>
      <c r="M63" s="72">
        <v>0</v>
      </c>
      <c r="N63" s="72">
        <f>IF(AND(C63="",J63=0,K63=0,L63=0,M63=0),"",CADASTROS!$B$4+SUM($J$2:J63)+SUM($M$2:M63)-SUM($K$2:K63)-SUM($L$2:L63))</f>
        <v>-8246.2200000000012</v>
      </c>
      <c r="O63" s="72">
        <f>IF(A63="","",SUMIF(RATEIOS!$A$2:$A$3142,$A63,RATEIOS!$F$2:$F$3142))</f>
        <v>1965.6</v>
      </c>
      <c r="P63" s="15">
        <f t="shared" si="1"/>
        <v>0</v>
      </c>
      <c r="Q63" s="49" t="str">
        <f>IF(AND(J63=0,K63=0,L63=0,M63=0),"",IF(O63=0,"PENDENTE DE RATEIO",IF(ABS(P63)&gt;0.005,"DIVERGÊNCIA",IF(COUNTIF(RATEIOS!$A$2:$A$3142,$A63)-COUNTIFS(RATEIOS!$A$2:$A$3142,$A63,RATEIOS!$D$2:$D$3142,"&lt;&gt;")&gt;0,"NÃO CLASSIFICADO","RATEIO OK"))))</f>
        <v>RATEIO OK</v>
      </c>
      <c r="R63" s="49" t="s">
        <v>2553</v>
      </c>
      <c r="S63" s="14" t="s">
        <v>2960</v>
      </c>
    </row>
    <row r="64" spans="1:19" ht="24.95" customHeight="1" x14ac:dyDescent="0.25">
      <c r="A64" s="49" t="s">
        <v>1409</v>
      </c>
      <c r="B64" s="98">
        <v>63</v>
      </c>
      <c r="C64" s="50">
        <v>46041</v>
      </c>
      <c r="D64" s="49">
        <f t="shared" si="0"/>
        <v>1</v>
      </c>
      <c r="E64" s="92" t="s">
        <v>118</v>
      </c>
      <c r="F64" s="49" t="s">
        <v>36</v>
      </c>
      <c r="G64" s="14" t="s">
        <v>147</v>
      </c>
      <c r="H64" s="14" t="s">
        <v>140</v>
      </c>
      <c r="I64" s="76" t="s">
        <v>148</v>
      </c>
      <c r="J64" s="73">
        <v>0</v>
      </c>
      <c r="K64" s="74">
        <v>17567</v>
      </c>
      <c r="L64" s="72">
        <v>0</v>
      </c>
      <c r="M64" s="72">
        <v>0</v>
      </c>
      <c r="N64" s="72">
        <f>IF(AND(C64="",J64=0,K64=0,L64=0,M64=0),"",CADASTROS!$B$4+SUM($J$2:J64)+SUM($M$2:M64)-SUM($K$2:K64)-SUM($L$2:L64))</f>
        <v>-25813.22</v>
      </c>
      <c r="O64" s="72">
        <f>IF(A64="","",SUMIF(RATEIOS!$A$2:$A$3142,$A64,RATEIOS!$F$2:$F$3142))</f>
        <v>17567</v>
      </c>
      <c r="P64" s="15">
        <f t="shared" si="1"/>
        <v>0</v>
      </c>
      <c r="Q64" s="49" t="str">
        <f>IF(AND(J64=0,K64=0,L64=0,M64=0),"",IF(O64=0,"PENDENTE DE RATEIO",IF(ABS(P64)&gt;0.005,"DIVERGÊNCIA",IF(COUNTIF(RATEIOS!$A$2:$A$3142,$A64)-COUNTIFS(RATEIOS!$A$2:$A$3142,$A64,RATEIOS!$D$2:$D$3142,"&lt;&gt;")&gt;0,"NÃO CLASSIFICADO","RATEIO OK"))))</f>
        <v>RATEIO OK</v>
      </c>
      <c r="R64" s="49" t="s">
        <v>2553</v>
      </c>
      <c r="S64" s="14" t="s">
        <v>2960</v>
      </c>
    </row>
    <row r="65" spans="1:19" ht="24.95" customHeight="1" x14ac:dyDescent="0.25">
      <c r="A65" s="49" t="s">
        <v>1410</v>
      </c>
      <c r="B65" s="98">
        <v>64</v>
      </c>
      <c r="C65" s="50">
        <v>46041</v>
      </c>
      <c r="D65" s="49">
        <f t="shared" si="0"/>
        <v>1</v>
      </c>
      <c r="E65" s="92" t="s">
        <v>72</v>
      </c>
      <c r="F65" s="49" t="s">
        <v>36</v>
      </c>
      <c r="G65" s="14" t="s">
        <v>149</v>
      </c>
      <c r="H65" s="14" t="s">
        <v>150</v>
      </c>
      <c r="I65" s="76" t="s">
        <v>151</v>
      </c>
      <c r="J65" s="73">
        <v>0</v>
      </c>
      <c r="K65" s="74">
        <v>200</v>
      </c>
      <c r="L65" s="72">
        <v>0</v>
      </c>
      <c r="M65" s="72">
        <v>0</v>
      </c>
      <c r="N65" s="72">
        <f>IF(AND(C65="",J65=0,K65=0,L65=0,M65=0),"",CADASTROS!$B$4+SUM($J$2:J65)+SUM($M$2:M65)-SUM($K$2:K65)-SUM($L$2:L65))</f>
        <v>-26013.22</v>
      </c>
      <c r="O65" s="72">
        <f>IF(A65="","",SUMIF(RATEIOS!$A$2:$A$3142,$A65,RATEIOS!$F$2:$F$3142))</f>
        <v>200</v>
      </c>
      <c r="P65" s="15">
        <f t="shared" si="1"/>
        <v>0</v>
      </c>
      <c r="Q65" s="49" t="str">
        <f>IF(AND(J65=0,K65=0,L65=0,M65=0),"",IF(O65=0,"PENDENTE DE RATEIO",IF(ABS(P65)&gt;0.005,"DIVERGÊNCIA",IF(COUNTIF(RATEIOS!$A$2:$A$3142,$A65)-COUNTIFS(RATEIOS!$A$2:$A$3142,$A65,RATEIOS!$D$2:$D$3142,"&lt;&gt;")&gt;0,"NÃO CLASSIFICADO","RATEIO OK"))))</f>
        <v>RATEIO OK</v>
      </c>
      <c r="R65" s="49" t="s">
        <v>2553</v>
      </c>
      <c r="S65" s="14"/>
    </row>
    <row r="66" spans="1:19" ht="24.95" customHeight="1" x14ac:dyDescent="0.25">
      <c r="A66" s="49" t="s">
        <v>1412</v>
      </c>
      <c r="B66" s="98">
        <v>65</v>
      </c>
      <c r="C66" s="50">
        <v>46041</v>
      </c>
      <c r="D66" s="49">
        <f t="shared" ref="D66:D129" si="2">IF(C66="","",MONTH(C66))</f>
        <v>1</v>
      </c>
      <c r="E66" s="92" t="s">
        <v>72</v>
      </c>
      <c r="F66" s="49" t="s">
        <v>36</v>
      </c>
      <c r="G66" s="14" t="s">
        <v>152</v>
      </c>
      <c r="H66" s="14" t="s">
        <v>153</v>
      </c>
      <c r="I66" s="76" t="s">
        <v>154</v>
      </c>
      <c r="J66" s="73">
        <v>0</v>
      </c>
      <c r="K66" s="74">
        <v>1554</v>
      </c>
      <c r="L66" s="72">
        <v>0</v>
      </c>
      <c r="M66" s="72">
        <v>0</v>
      </c>
      <c r="N66" s="72">
        <f>IF(AND(C66="",J66=0,K66=0,L66=0,M66=0),"",CADASTROS!$B$4+SUM($J$2:J66)+SUM($M$2:M66)-SUM($K$2:K66)-SUM($L$2:L66))</f>
        <v>-27567.22</v>
      </c>
      <c r="O66" s="72">
        <f>IF(A66="","",SUMIF(RATEIOS!$A$2:$A$3142,$A66,RATEIOS!$F$2:$F$3142))</f>
        <v>1554</v>
      </c>
      <c r="P66" s="15">
        <f t="shared" ref="P66:P129" si="3">IF(A66="","",(J66+K66+L66+M66)-O66)</f>
        <v>0</v>
      </c>
      <c r="Q66" s="49" t="str">
        <f>IF(AND(J66=0,K66=0,L66=0,M66=0),"",IF(O66=0,"PENDENTE DE RATEIO",IF(ABS(P66)&gt;0.005,"DIVERGÊNCIA",IF(COUNTIF(RATEIOS!$A$2:$A$3142,$A66)-COUNTIFS(RATEIOS!$A$2:$A$3142,$A66,RATEIOS!$D$2:$D$3142,"&lt;&gt;")&gt;0,"NÃO CLASSIFICADO","RATEIO OK"))))</f>
        <v>RATEIO OK</v>
      </c>
      <c r="R66" s="49" t="s">
        <v>2553</v>
      </c>
      <c r="S66" s="14"/>
    </row>
    <row r="67" spans="1:19" ht="24.95" customHeight="1" x14ac:dyDescent="0.25">
      <c r="A67" s="49" t="s">
        <v>1414</v>
      </c>
      <c r="B67" s="98">
        <v>66</v>
      </c>
      <c r="C67" s="50">
        <v>46041</v>
      </c>
      <c r="D67" s="49">
        <f t="shared" si="2"/>
        <v>1</v>
      </c>
      <c r="E67" s="92" t="s">
        <v>72</v>
      </c>
      <c r="F67" s="49" t="s">
        <v>36</v>
      </c>
      <c r="G67" s="14" t="s">
        <v>155</v>
      </c>
      <c r="H67" s="14" t="s">
        <v>156</v>
      </c>
      <c r="I67" s="76" t="s">
        <v>157</v>
      </c>
      <c r="J67" s="73">
        <v>0</v>
      </c>
      <c r="K67" s="74">
        <v>8306.33</v>
      </c>
      <c r="L67" s="72">
        <v>0</v>
      </c>
      <c r="M67" s="72">
        <v>0</v>
      </c>
      <c r="N67" s="72">
        <f>IF(AND(C67="",J67=0,K67=0,L67=0,M67=0),"",CADASTROS!$B$4+SUM($J$2:J67)+SUM($M$2:M67)-SUM($K$2:K67)-SUM($L$2:L67))</f>
        <v>-35873.549999999988</v>
      </c>
      <c r="O67" s="72">
        <f>IF(A67="","",SUMIF(RATEIOS!$A$2:$A$3142,$A67,RATEIOS!$F$2:$F$3142))</f>
        <v>8306.33</v>
      </c>
      <c r="P67" s="15">
        <f t="shared" si="3"/>
        <v>0</v>
      </c>
      <c r="Q67" s="49" t="str">
        <f>IF(AND(J67=0,K67=0,L67=0,M67=0),"",IF(O67=0,"PENDENTE DE RATEIO",IF(ABS(P67)&gt;0.005,"DIVERGÊNCIA",IF(COUNTIF(RATEIOS!$A$2:$A$3142,$A67)-COUNTIFS(RATEIOS!$A$2:$A$3142,$A67,RATEIOS!$D$2:$D$3142,"&lt;&gt;")&gt;0,"NÃO CLASSIFICADO","RATEIO OK"))))</f>
        <v>RATEIO OK</v>
      </c>
      <c r="R67" s="49" t="s">
        <v>2553</v>
      </c>
      <c r="S67" s="14"/>
    </row>
    <row r="68" spans="1:19" ht="24.95" customHeight="1" x14ac:dyDescent="0.25">
      <c r="A68" s="49" t="s">
        <v>1424</v>
      </c>
      <c r="B68" s="98">
        <v>67</v>
      </c>
      <c r="C68" s="50">
        <v>46041</v>
      </c>
      <c r="D68" s="49">
        <f t="shared" si="2"/>
        <v>1</v>
      </c>
      <c r="E68" s="92" t="s">
        <v>287</v>
      </c>
      <c r="F68" s="49" t="s">
        <v>36</v>
      </c>
      <c r="G68" s="14" t="s">
        <v>158</v>
      </c>
      <c r="H68" s="14" t="s">
        <v>159</v>
      </c>
      <c r="I68" s="76" t="s">
        <v>160</v>
      </c>
      <c r="J68" s="73">
        <v>0</v>
      </c>
      <c r="K68" s="74">
        <v>4600</v>
      </c>
      <c r="L68" s="72">
        <v>0</v>
      </c>
      <c r="M68" s="72">
        <v>0</v>
      </c>
      <c r="N68" s="72">
        <f>IF(AND(C68="",J68=0,K68=0,L68=0,M68=0),"",CADASTROS!$B$4+SUM($J$2:J68)+SUM($M$2:M68)-SUM($K$2:K68)-SUM($L$2:L68))</f>
        <v>-40473.549999999988</v>
      </c>
      <c r="O68" s="72">
        <f>IF(A68="","",SUMIF(RATEIOS!$A$2:$A$3142,$A68,RATEIOS!$F$2:$F$3142))</f>
        <v>4600</v>
      </c>
      <c r="P68" s="15">
        <f t="shared" si="3"/>
        <v>0</v>
      </c>
      <c r="Q68" s="49" t="str">
        <f>IF(AND(J68=0,K68=0,L68=0,M68=0),"",IF(O68=0,"PENDENTE DE RATEIO",IF(ABS(P68)&gt;0.005,"DIVERGÊNCIA",IF(COUNTIF(RATEIOS!$A$2:$A$3142,$A68)-COUNTIFS(RATEIOS!$A$2:$A$3142,$A68,RATEIOS!$D$2:$D$3142,"&lt;&gt;")&gt;0,"NÃO CLASSIFICADO","RATEIO OK"))))</f>
        <v>RATEIO OK</v>
      </c>
      <c r="R68" s="49" t="s">
        <v>2553</v>
      </c>
      <c r="S68" s="14"/>
    </row>
    <row r="69" spans="1:19" ht="24.95" customHeight="1" x14ac:dyDescent="0.25">
      <c r="A69" s="49" t="s">
        <v>1426</v>
      </c>
      <c r="B69" s="98">
        <v>68</v>
      </c>
      <c r="C69" s="50">
        <v>46041</v>
      </c>
      <c r="D69" s="49">
        <f t="shared" si="2"/>
        <v>1</v>
      </c>
      <c r="E69" s="92" t="s">
        <v>2558</v>
      </c>
      <c r="F69" s="49" t="s">
        <v>38</v>
      </c>
      <c r="G69" s="14" t="s">
        <v>45</v>
      </c>
      <c r="H69" s="14" t="s">
        <v>46</v>
      </c>
      <c r="I69" s="76"/>
      <c r="J69" s="73">
        <v>0</v>
      </c>
      <c r="K69" s="74">
        <v>0</v>
      </c>
      <c r="L69" s="72">
        <v>0</v>
      </c>
      <c r="M69" s="72">
        <v>40500</v>
      </c>
      <c r="N69" s="72">
        <f>IF(AND(C69="",J69=0,K69=0,L69=0,M69=0),"",CADASTROS!$B$4+SUM($J$2:J69)+SUM($M$2:M69)-SUM($K$2:K69)-SUM($L$2:L69))</f>
        <v>26.450000000011642</v>
      </c>
      <c r="O69" s="72">
        <f>IF(A69="","",SUMIF(RATEIOS!$A$2:$A$3142,$A69,RATEIOS!$F$2:$F$3142))</f>
        <v>40500</v>
      </c>
      <c r="P69" s="15">
        <f t="shared" si="3"/>
        <v>0</v>
      </c>
      <c r="Q69" s="49" t="str">
        <f>IF(AND(J69=0,K69=0,L69=0,M69=0),"",IF(O69=0,"PENDENTE DE RATEIO",IF(ABS(P69)&gt;0.005,"DIVERGÊNCIA",IF(COUNTIF(RATEIOS!$A$2:$A$3142,$A69)-COUNTIFS(RATEIOS!$A$2:$A$3142,$A69,RATEIOS!$D$2:$D$3142,"&lt;&gt;")&gt;0,"NÃO CLASSIFICADO","RATEIO OK"))))</f>
        <v>RATEIO OK</v>
      </c>
      <c r="R69" s="49" t="s">
        <v>2553</v>
      </c>
      <c r="S69" s="14"/>
    </row>
    <row r="70" spans="1:19" ht="24.95" customHeight="1" x14ac:dyDescent="0.25">
      <c r="A70" s="49" t="s">
        <v>1427</v>
      </c>
      <c r="B70" s="98">
        <v>69</v>
      </c>
      <c r="C70" s="50">
        <v>46042</v>
      </c>
      <c r="D70" s="49">
        <f t="shared" si="2"/>
        <v>1</v>
      </c>
      <c r="E70" s="92" t="s">
        <v>2558</v>
      </c>
      <c r="F70" s="49" t="s">
        <v>38</v>
      </c>
      <c r="G70" s="14" t="s">
        <v>45</v>
      </c>
      <c r="H70" s="14" t="s">
        <v>46</v>
      </c>
      <c r="I70" s="76"/>
      <c r="J70" s="73">
        <v>0</v>
      </c>
      <c r="K70" s="74">
        <v>0</v>
      </c>
      <c r="L70" s="72">
        <v>0</v>
      </c>
      <c r="M70" s="72">
        <v>230.04</v>
      </c>
      <c r="N70" s="72">
        <f>IF(AND(C70="",J70=0,K70=0,L70=0,M70=0),"",CADASTROS!$B$4+SUM($J$2:J70)+SUM($M$2:M70)-SUM($K$2:K70)-SUM($L$2:L70))</f>
        <v>256.49000000001979</v>
      </c>
      <c r="O70" s="72">
        <f>IF(A70="","",SUMIF(RATEIOS!$A$2:$A$3142,$A70,RATEIOS!$F$2:$F$3142))</f>
        <v>230.04</v>
      </c>
      <c r="P70" s="15">
        <f t="shared" si="3"/>
        <v>0</v>
      </c>
      <c r="Q70" s="49" t="str">
        <f>IF(AND(J70=0,K70=0,L70=0,M70=0),"",IF(O70=0,"PENDENTE DE RATEIO",IF(ABS(P70)&gt;0.005,"DIVERGÊNCIA",IF(COUNTIF(RATEIOS!$A$2:$A$3142,$A70)-COUNTIFS(RATEIOS!$A$2:$A$3142,$A70,RATEIOS!$D$2:$D$3142,"&lt;&gt;")&gt;0,"NÃO CLASSIFICADO","RATEIO OK"))))</f>
        <v>RATEIO OK</v>
      </c>
      <c r="R70" s="49" t="s">
        <v>2553</v>
      </c>
      <c r="S70" s="14"/>
    </row>
    <row r="71" spans="1:19" ht="24.95" customHeight="1" x14ac:dyDescent="0.25">
      <c r="A71" s="49" t="s">
        <v>1428</v>
      </c>
      <c r="B71" s="98">
        <v>70</v>
      </c>
      <c r="C71" s="50">
        <v>46042</v>
      </c>
      <c r="D71" s="49">
        <f t="shared" si="2"/>
        <v>1</v>
      </c>
      <c r="E71" s="92" t="s">
        <v>118</v>
      </c>
      <c r="F71" s="49" t="s">
        <v>36</v>
      </c>
      <c r="G71" s="14" t="s">
        <v>161</v>
      </c>
      <c r="H71" s="14" t="s">
        <v>81</v>
      </c>
      <c r="I71" s="76" t="s">
        <v>162</v>
      </c>
      <c r="J71" s="73">
        <v>0</v>
      </c>
      <c r="K71" s="74">
        <v>10332.299999999999</v>
      </c>
      <c r="L71" s="72">
        <v>0</v>
      </c>
      <c r="M71" s="72">
        <v>0</v>
      </c>
      <c r="N71" s="72">
        <f>IF(AND(C71="",J71=0,K71=0,L71=0,M71=0),"",CADASTROS!$B$4+SUM($J$2:J71)+SUM($M$2:M71)-SUM($K$2:K71)-SUM($L$2:L71))</f>
        <v>-10075.809999999969</v>
      </c>
      <c r="O71" s="72">
        <f>IF(A71="","",SUMIF(RATEIOS!$A$2:$A$3142,$A71,RATEIOS!$F$2:$F$3142))</f>
        <v>10332.299999999999</v>
      </c>
      <c r="P71" s="15">
        <f t="shared" si="3"/>
        <v>0</v>
      </c>
      <c r="Q71" s="49" t="str">
        <f>IF(AND(J71=0,K71=0,L71=0,M71=0),"",IF(O71=0,"PENDENTE DE RATEIO",IF(ABS(P71)&gt;0.005,"DIVERGÊNCIA",IF(COUNTIF(RATEIOS!$A$2:$A$3142,$A71)-COUNTIFS(RATEIOS!$A$2:$A$3142,$A71,RATEIOS!$D$2:$D$3142,"&lt;&gt;")&gt;0,"NÃO CLASSIFICADO","RATEIO OK"))))</f>
        <v>RATEIO OK</v>
      </c>
      <c r="R71" s="49" t="s">
        <v>2553</v>
      </c>
      <c r="S71" s="14"/>
    </row>
    <row r="72" spans="1:19" ht="24.95" customHeight="1" x14ac:dyDescent="0.25">
      <c r="A72" s="49" t="s">
        <v>1429</v>
      </c>
      <c r="B72" s="98">
        <v>71</v>
      </c>
      <c r="C72" s="50">
        <v>46042</v>
      </c>
      <c r="D72" s="49">
        <f t="shared" si="2"/>
        <v>1</v>
      </c>
      <c r="E72" s="92" t="s">
        <v>72</v>
      </c>
      <c r="F72" s="49" t="s">
        <v>36</v>
      </c>
      <c r="G72" s="14" t="s">
        <v>163</v>
      </c>
      <c r="H72" s="14" t="s">
        <v>164</v>
      </c>
      <c r="I72" s="76"/>
      <c r="J72" s="73">
        <v>0</v>
      </c>
      <c r="K72" s="74">
        <v>984.93</v>
      </c>
      <c r="L72" s="72">
        <v>0</v>
      </c>
      <c r="M72" s="72">
        <v>0</v>
      </c>
      <c r="N72" s="72">
        <f>IF(AND(C72="",J72=0,K72=0,L72=0,M72=0),"",CADASTROS!$B$4+SUM($J$2:J72)+SUM($M$2:M72)-SUM($K$2:K72)-SUM($L$2:L72))</f>
        <v>-11060.739999999962</v>
      </c>
      <c r="O72" s="72">
        <f>IF(A72="","",SUMIF(RATEIOS!$A$2:$A$3142,$A72,RATEIOS!$F$2:$F$3142))</f>
        <v>984.93</v>
      </c>
      <c r="P72" s="15">
        <f t="shared" si="3"/>
        <v>0</v>
      </c>
      <c r="Q72" s="49" t="str">
        <f>IF(AND(J72=0,K72=0,L72=0,M72=0),"",IF(O72=0,"PENDENTE DE RATEIO",IF(ABS(P72)&gt;0.005,"DIVERGÊNCIA",IF(COUNTIF(RATEIOS!$A$2:$A$3142,$A72)-COUNTIFS(RATEIOS!$A$2:$A$3142,$A72,RATEIOS!$D$2:$D$3142,"&lt;&gt;")&gt;0,"NÃO CLASSIFICADO","RATEIO OK"))))</f>
        <v>RATEIO OK</v>
      </c>
      <c r="R72" s="49" t="s">
        <v>2553</v>
      </c>
      <c r="S72" s="14"/>
    </row>
    <row r="73" spans="1:19" ht="24.95" customHeight="1" x14ac:dyDescent="0.25">
      <c r="A73" s="49" t="s">
        <v>1430</v>
      </c>
      <c r="B73" s="98">
        <v>72</v>
      </c>
      <c r="C73" s="50">
        <v>46042</v>
      </c>
      <c r="D73" s="49">
        <f t="shared" si="2"/>
        <v>1</v>
      </c>
      <c r="E73" s="92" t="s">
        <v>72</v>
      </c>
      <c r="F73" s="49" t="s">
        <v>36</v>
      </c>
      <c r="G73" s="14" t="s">
        <v>165</v>
      </c>
      <c r="H73" s="14" t="s">
        <v>164</v>
      </c>
      <c r="I73" s="76"/>
      <c r="J73" s="73">
        <v>0</v>
      </c>
      <c r="K73" s="74">
        <v>5097.67</v>
      </c>
      <c r="L73" s="72">
        <v>0</v>
      </c>
      <c r="M73" s="72">
        <v>0</v>
      </c>
      <c r="N73" s="72">
        <f>IF(AND(C73="",J73=0,K73=0,L73=0,M73=0),"",CADASTROS!$B$4+SUM($J$2:J73)+SUM($M$2:M73)-SUM($K$2:K73)-SUM($L$2:L73))</f>
        <v>-16158.409999999974</v>
      </c>
      <c r="O73" s="72">
        <f>IF(A73="","",SUMIF(RATEIOS!$A$2:$A$3142,$A73,RATEIOS!$F$2:$F$3142))</f>
        <v>5097.67</v>
      </c>
      <c r="P73" s="15">
        <f t="shared" si="3"/>
        <v>0</v>
      </c>
      <c r="Q73" s="49" t="str">
        <f>IF(AND(J73=0,K73=0,L73=0,M73=0),"",IF(O73=0,"PENDENTE DE RATEIO",IF(ABS(P73)&gt;0.005,"DIVERGÊNCIA",IF(COUNTIF(RATEIOS!$A$2:$A$3142,$A73)-COUNTIFS(RATEIOS!$A$2:$A$3142,$A73,RATEIOS!$D$2:$D$3142,"&lt;&gt;")&gt;0,"NÃO CLASSIFICADO","RATEIO OK"))))</f>
        <v>RATEIO OK</v>
      </c>
      <c r="R73" s="49" t="s">
        <v>2553</v>
      </c>
      <c r="S73" s="14"/>
    </row>
    <row r="74" spans="1:19" ht="24.95" customHeight="1" x14ac:dyDescent="0.25">
      <c r="A74" s="49" t="s">
        <v>1431</v>
      </c>
      <c r="B74" s="98">
        <v>73</v>
      </c>
      <c r="C74" s="50">
        <v>46042</v>
      </c>
      <c r="D74" s="49">
        <f t="shared" si="2"/>
        <v>1</v>
      </c>
      <c r="E74" s="92" t="s">
        <v>169</v>
      </c>
      <c r="F74" s="49" t="s">
        <v>36</v>
      </c>
      <c r="G74" s="14" t="s">
        <v>166</v>
      </c>
      <c r="H74" s="14" t="s">
        <v>167</v>
      </c>
      <c r="I74" s="76"/>
      <c r="J74" s="73">
        <v>0</v>
      </c>
      <c r="K74" s="74">
        <v>20075.849999999999</v>
      </c>
      <c r="L74" s="72">
        <v>0</v>
      </c>
      <c r="M74" s="72">
        <v>0</v>
      </c>
      <c r="N74" s="72">
        <f>IF(AND(C74="",J74=0,K74=0,L74=0,M74=0),"",CADASTROS!$B$4+SUM($J$2:J74)+SUM($M$2:M74)-SUM($K$2:K74)-SUM($L$2:L74))</f>
        <v>-36234.259999999951</v>
      </c>
      <c r="O74" s="72">
        <f>IF(A74="","",SUMIF(RATEIOS!$A$2:$A$3142,$A74,RATEIOS!$F$2:$F$3142))</f>
        <v>20075.849999999999</v>
      </c>
      <c r="P74" s="15">
        <f t="shared" si="3"/>
        <v>0</v>
      </c>
      <c r="Q74" s="49" t="str">
        <f>IF(AND(J74=0,K74=0,L74=0,M74=0),"",IF(O74=0,"PENDENTE DE RATEIO",IF(ABS(P74)&gt;0.005,"DIVERGÊNCIA",IF(COUNTIF(RATEIOS!$A$2:$A$3142,$A74)-COUNTIFS(RATEIOS!$A$2:$A$3142,$A74,RATEIOS!$D$2:$D$3142,"&lt;&gt;")&gt;0,"NÃO CLASSIFICADO","RATEIO OK"))))</f>
        <v>RATEIO OK</v>
      </c>
      <c r="R74" s="49" t="s">
        <v>2553</v>
      </c>
      <c r="S74" s="14"/>
    </row>
    <row r="75" spans="1:19" ht="24.95" customHeight="1" x14ac:dyDescent="0.25">
      <c r="A75" s="49" t="s">
        <v>1432</v>
      </c>
      <c r="B75" s="98">
        <v>74</v>
      </c>
      <c r="C75" s="50">
        <v>46042</v>
      </c>
      <c r="D75" s="49">
        <f t="shared" si="2"/>
        <v>1</v>
      </c>
      <c r="E75" s="92" t="s">
        <v>169</v>
      </c>
      <c r="F75" s="49" t="s">
        <v>36</v>
      </c>
      <c r="G75" s="14" t="s">
        <v>168</v>
      </c>
      <c r="H75" s="14" t="s">
        <v>2741</v>
      </c>
      <c r="I75" s="76"/>
      <c r="J75" s="73">
        <v>0</v>
      </c>
      <c r="K75" s="74">
        <v>57.77</v>
      </c>
      <c r="L75" s="72">
        <v>0</v>
      </c>
      <c r="M75" s="72">
        <v>0</v>
      </c>
      <c r="N75" s="72">
        <f>IF(AND(C75="",J75=0,K75=0,L75=0,M75=0),"",CADASTROS!$B$4+SUM($J$2:J75)+SUM($M$2:M75)-SUM($K$2:K75)-SUM($L$2:L75))</f>
        <v>-36292.02999999997</v>
      </c>
      <c r="O75" s="72">
        <f>IF(A75="","",SUMIF(RATEIOS!$A$2:$A$3142,$A75,RATEIOS!$F$2:$F$3142))</f>
        <v>57.77</v>
      </c>
      <c r="P75" s="15">
        <f t="shared" si="3"/>
        <v>0</v>
      </c>
      <c r="Q75" s="49" t="str">
        <f>IF(AND(J75=0,K75=0,L75=0,M75=0),"",IF(O75=0,"PENDENTE DE RATEIO",IF(ABS(P75)&gt;0.005,"DIVERGÊNCIA",IF(COUNTIF(RATEIOS!$A$2:$A$3142,$A75)-COUNTIFS(RATEIOS!$A$2:$A$3142,$A75,RATEIOS!$D$2:$D$3142,"&lt;&gt;")&gt;0,"NÃO CLASSIFICADO","RATEIO OK"))))</f>
        <v>RATEIO OK</v>
      </c>
      <c r="R75" s="49" t="s">
        <v>2553</v>
      </c>
      <c r="S75" s="14"/>
    </row>
    <row r="76" spans="1:19" ht="24.95" customHeight="1" x14ac:dyDescent="0.25">
      <c r="A76" s="49" t="s">
        <v>1433</v>
      </c>
      <c r="B76" s="98">
        <v>75</v>
      </c>
      <c r="C76" s="50">
        <v>46042</v>
      </c>
      <c r="D76" s="49">
        <f t="shared" si="2"/>
        <v>1</v>
      </c>
      <c r="E76" s="92" t="s">
        <v>169</v>
      </c>
      <c r="F76" s="49" t="s">
        <v>36</v>
      </c>
      <c r="G76" s="14" t="s">
        <v>170</v>
      </c>
      <c r="H76" s="14" t="s">
        <v>2741</v>
      </c>
      <c r="I76" s="76"/>
      <c r="J76" s="73">
        <v>0</v>
      </c>
      <c r="K76" s="74">
        <v>18.64</v>
      </c>
      <c r="L76" s="72">
        <v>0</v>
      </c>
      <c r="M76" s="72">
        <v>0</v>
      </c>
      <c r="N76" s="72">
        <f>IF(AND(C76="",J76=0,K76=0,L76=0,M76=0),"",CADASTROS!$B$4+SUM($J$2:J76)+SUM($M$2:M76)-SUM($K$2:K76)-SUM($L$2:L76))</f>
        <v>-36310.669999999984</v>
      </c>
      <c r="O76" s="72">
        <f>IF(A76="","",SUMIF(RATEIOS!$A$2:$A$3142,$A76,RATEIOS!$F$2:$F$3142))</f>
        <v>18.64</v>
      </c>
      <c r="P76" s="15">
        <f t="shared" si="3"/>
        <v>0</v>
      </c>
      <c r="Q76" s="49" t="str">
        <f>IF(AND(J76=0,K76=0,L76=0,M76=0),"",IF(O76=0,"PENDENTE DE RATEIO",IF(ABS(P76)&gt;0.005,"DIVERGÊNCIA",IF(COUNTIF(RATEIOS!$A$2:$A$3142,$A76)-COUNTIFS(RATEIOS!$A$2:$A$3142,$A76,RATEIOS!$D$2:$D$3142,"&lt;&gt;")&gt;0,"NÃO CLASSIFICADO","RATEIO OK"))))</f>
        <v>RATEIO OK</v>
      </c>
      <c r="R76" s="49" t="s">
        <v>2553</v>
      </c>
      <c r="S76" s="14"/>
    </row>
    <row r="77" spans="1:19" ht="24.95" customHeight="1" x14ac:dyDescent="0.25">
      <c r="A77" s="49" t="s">
        <v>1434</v>
      </c>
      <c r="B77" s="98">
        <v>76</v>
      </c>
      <c r="C77" s="50">
        <v>46042</v>
      </c>
      <c r="D77" s="49">
        <f t="shared" si="2"/>
        <v>1</v>
      </c>
      <c r="E77" s="92" t="s">
        <v>2558</v>
      </c>
      <c r="F77" s="49" t="s">
        <v>38</v>
      </c>
      <c r="G77" s="14" t="s">
        <v>45</v>
      </c>
      <c r="H77" s="14" t="s">
        <v>46</v>
      </c>
      <c r="I77" s="76"/>
      <c r="J77" s="73">
        <v>0</v>
      </c>
      <c r="K77" s="74">
        <v>0</v>
      </c>
      <c r="L77" s="72">
        <v>0</v>
      </c>
      <c r="M77" s="72">
        <v>36500</v>
      </c>
      <c r="N77" s="72">
        <f>IF(AND(C77="",J77=0,K77=0,L77=0,M77=0),"",CADASTROS!$B$4+SUM($J$2:J77)+SUM($M$2:M77)-SUM($K$2:K77)-SUM($L$2:L77))</f>
        <v>189.3300000000163</v>
      </c>
      <c r="O77" s="72">
        <f>IF(A77="","",SUMIF(RATEIOS!$A$2:$A$3142,$A77,RATEIOS!$F$2:$F$3142))</f>
        <v>36500</v>
      </c>
      <c r="P77" s="15">
        <f t="shared" si="3"/>
        <v>0</v>
      </c>
      <c r="Q77" s="49" t="str">
        <f>IF(AND(J77=0,K77=0,L77=0,M77=0),"",IF(O77=0,"PENDENTE DE RATEIO",IF(ABS(P77)&gt;0.005,"DIVERGÊNCIA",IF(COUNTIF(RATEIOS!$A$2:$A$3142,$A77)-COUNTIFS(RATEIOS!$A$2:$A$3142,$A77,RATEIOS!$D$2:$D$3142,"&lt;&gt;")&gt;0,"NÃO CLASSIFICADO","RATEIO OK"))))</f>
        <v>RATEIO OK</v>
      </c>
      <c r="R77" s="49" t="s">
        <v>2553</v>
      </c>
      <c r="S77" s="14"/>
    </row>
    <row r="78" spans="1:19" ht="24.95" customHeight="1" x14ac:dyDescent="0.25">
      <c r="A78" s="49" t="s">
        <v>1435</v>
      </c>
      <c r="B78" s="98">
        <v>77</v>
      </c>
      <c r="C78" s="50">
        <v>46043</v>
      </c>
      <c r="D78" s="49">
        <f t="shared" si="2"/>
        <v>1</v>
      </c>
      <c r="E78" s="92" t="s">
        <v>2558</v>
      </c>
      <c r="F78" s="49" t="s">
        <v>38</v>
      </c>
      <c r="G78" s="14" t="s">
        <v>45</v>
      </c>
      <c r="H78" s="14" t="s">
        <v>46</v>
      </c>
      <c r="I78" s="76"/>
      <c r="J78" s="73">
        <v>0</v>
      </c>
      <c r="K78" s="74">
        <v>0</v>
      </c>
      <c r="L78" s="72">
        <v>0</v>
      </c>
      <c r="M78" s="72">
        <v>228.49</v>
      </c>
      <c r="N78" s="72">
        <f>IF(AND(C78="",J78=0,K78=0,L78=0,M78=0),"",CADASTROS!$B$4+SUM($J$2:J78)+SUM($M$2:M78)-SUM($K$2:K78)-SUM($L$2:L78))</f>
        <v>417.82000000000698</v>
      </c>
      <c r="O78" s="72">
        <f>IF(A78="","",SUMIF(RATEIOS!$A$2:$A$3142,$A78,RATEIOS!$F$2:$F$3142))</f>
        <v>228.49</v>
      </c>
      <c r="P78" s="15">
        <f t="shared" si="3"/>
        <v>0</v>
      </c>
      <c r="Q78" s="49" t="str">
        <f>IF(AND(J78=0,K78=0,L78=0,M78=0),"",IF(O78=0,"PENDENTE DE RATEIO",IF(ABS(P78)&gt;0.005,"DIVERGÊNCIA",IF(COUNTIF(RATEIOS!$A$2:$A$3142,$A78)-COUNTIFS(RATEIOS!$A$2:$A$3142,$A78,RATEIOS!$D$2:$D$3142,"&lt;&gt;")&gt;0,"NÃO CLASSIFICADO","RATEIO OK"))))</f>
        <v>RATEIO OK</v>
      </c>
      <c r="R78" s="49" t="s">
        <v>2553</v>
      </c>
      <c r="S78" s="14"/>
    </row>
    <row r="79" spans="1:19" ht="24.95" customHeight="1" x14ac:dyDescent="0.25">
      <c r="A79" s="49" t="s">
        <v>1436</v>
      </c>
      <c r="B79" s="98">
        <v>78</v>
      </c>
      <c r="C79" s="50">
        <v>46043</v>
      </c>
      <c r="D79" s="49">
        <f t="shared" si="2"/>
        <v>1</v>
      </c>
      <c r="E79" s="92" t="s">
        <v>118</v>
      </c>
      <c r="F79" s="49" t="s">
        <v>36</v>
      </c>
      <c r="G79" s="14" t="s">
        <v>171</v>
      </c>
      <c r="H79" s="14" t="s">
        <v>172</v>
      </c>
      <c r="I79" s="76" t="s">
        <v>173</v>
      </c>
      <c r="J79" s="73">
        <v>0</v>
      </c>
      <c r="K79" s="74">
        <v>640.65</v>
      </c>
      <c r="L79" s="72">
        <v>0</v>
      </c>
      <c r="M79" s="72">
        <v>0</v>
      </c>
      <c r="N79" s="72">
        <f>IF(AND(C79="",J79=0,K79=0,L79=0,M79=0),"",CADASTROS!$B$4+SUM($J$2:J79)+SUM($M$2:M79)-SUM($K$2:K79)-SUM($L$2:L79))</f>
        <v>-222.8300000000163</v>
      </c>
      <c r="O79" s="72">
        <f>IF(A79="","",SUMIF(RATEIOS!$A$2:$A$3142,$A79,RATEIOS!$F$2:$F$3142))</f>
        <v>640.65</v>
      </c>
      <c r="P79" s="15">
        <f t="shared" si="3"/>
        <v>0</v>
      </c>
      <c r="Q79" s="49" t="str">
        <f>IF(AND(J79=0,K79=0,L79=0,M79=0),"",IF(O79=0,"PENDENTE DE RATEIO",IF(ABS(P79)&gt;0.005,"DIVERGÊNCIA",IF(COUNTIF(RATEIOS!$A$2:$A$3142,$A79)-COUNTIFS(RATEIOS!$A$2:$A$3142,$A79,RATEIOS!$D$2:$D$3142,"&lt;&gt;")&gt;0,"NÃO CLASSIFICADO","RATEIO OK"))))</f>
        <v>RATEIO OK</v>
      </c>
      <c r="R79" s="49" t="s">
        <v>2553</v>
      </c>
      <c r="S79" s="14"/>
    </row>
    <row r="80" spans="1:19" ht="24.95" customHeight="1" x14ac:dyDescent="0.25">
      <c r="A80" s="49" t="s">
        <v>1437</v>
      </c>
      <c r="B80" s="98">
        <v>79</v>
      </c>
      <c r="C80" s="50">
        <v>46043</v>
      </c>
      <c r="D80" s="49">
        <f t="shared" si="2"/>
        <v>1</v>
      </c>
      <c r="E80" s="92" t="s">
        <v>118</v>
      </c>
      <c r="F80" s="49" t="s">
        <v>36</v>
      </c>
      <c r="G80" s="14" t="s">
        <v>174</v>
      </c>
      <c r="H80" s="14" t="s">
        <v>143</v>
      </c>
      <c r="I80" s="76" t="s">
        <v>175</v>
      </c>
      <c r="J80" s="73">
        <v>0</v>
      </c>
      <c r="K80" s="74">
        <v>2904</v>
      </c>
      <c r="L80" s="72">
        <v>0</v>
      </c>
      <c r="M80" s="72">
        <v>0</v>
      </c>
      <c r="N80" s="72">
        <f>IF(AND(C80="",J80=0,K80=0,L80=0,M80=0),"",CADASTROS!$B$4+SUM($J$2:J80)+SUM($M$2:M80)-SUM($K$2:K80)-SUM($L$2:L80))</f>
        <v>-3126.8300000000163</v>
      </c>
      <c r="O80" s="72">
        <f>IF(A80="","",SUMIF(RATEIOS!$A$2:$A$3142,$A80,RATEIOS!$F$2:$F$3142))</f>
        <v>2904</v>
      </c>
      <c r="P80" s="15">
        <f t="shared" si="3"/>
        <v>0</v>
      </c>
      <c r="Q80" s="49" t="str">
        <f>IF(AND(J80=0,K80=0,L80=0,M80=0),"",IF(O80=0,"PENDENTE DE RATEIO",IF(ABS(P80)&gt;0.005,"DIVERGÊNCIA",IF(COUNTIF(RATEIOS!$A$2:$A$3142,$A80)-COUNTIFS(RATEIOS!$A$2:$A$3142,$A80,RATEIOS!$D$2:$D$3142,"&lt;&gt;")&gt;0,"NÃO CLASSIFICADO","RATEIO OK"))))</f>
        <v>RATEIO OK</v>
      </c>
      <c r="R80" s="49" t="s">
        <v>2553</v>
      </c>
      <c r="S80" s="14"/>
    </row>
    <row r="81" spans="1:19" ht="24.95" customHeight="1" x14ac:dyDescent="0.25">
      <c r="A81" s="49" t="s">
        <v>1438</v>
      </c>
      <c r="B81" s="98">
        <v>80</v>
      </c>
      <c r="C81" s="50">
        <v>46043</v>
      </c>
      <c r="D81" s="49">
        <f t="shared" si="2"/>
        <v>1</v>
      </c>
      <c r="E81" s="92" t="s">
        <v>2558</v>
      </c>
      <c r="F81" s="49" t="s">
        <v>38</v>
      </c>
      <c r="G81" s="14" t="s">
        <v>45</v>
      </c>
      <c r="H81" s="14" t="s">
        <v>46</v>
      </c>
      <c r="I81" s="76"/>
      <c r="J81" s="73">
        <v>0</v>
      </c>
      <c r="K81" s="74">
        <v>0</v>
      </c>
      <c r="L81" s="72">
        <v>0</v>
      </c>
      <c r="M81" s="72">
        <v>3500</v>
      </c>
      <c r="N81" s="72">
        <f>IF(AND(C81="",J81=0,K81=0,L81=0,M81=0),"",CADASTROS!$B$4+SUM($J$2:J81)+SUM($M$2:M81)-SUM($K$2:K81)-SUM($L$2:L81))</f>
        <v>373.1699999999837</v>
      </c>
      <c r="O81" s="72">
        <f>IF(A81="","",SUMIF(RATEIOS!$A$2:$A$3142,$A81,RATEIOS!$F$2:$F$3142))</f>
        <v>3500</v>
      </c>
      <c r="P81" s="15">
        <f t="shared" si="3"/>
        <v>0</v>
      </c>
      <c r="Q81" s="49" t="str">
        <f>IF(AND(J81=0,K81=0,L81=0,M81=0),"",IF(O81=0,"PENDENTE DE RATEIO",IF(ABS(P81)&gt;0.005,"DIVERGÊNCIA",IF(COUNTIF(RATEIOS!$A$2:$A$3142,$A81)-COUNTIFS(RATEIOS!$A$2:$A$3142,$A81,RATEIOS!$D$2:$D$3142,"&lt;&gt;")&gt;0,"NÃO CLASSIFICADO","RATEIO OK"))))</f>
        <v>RATEIO OK</v>
      </c>
      <c r="R81" s="49" t="s">
        <v>2553</v>
      </c>
      <c r="S81" s="14"/>
    </row>
    <row r="82" spans="1:19" ht="24.95" customHeight="1" x14ac:dyDescent="0.25">
      <c r="A82" s="49" t="s">
        <v>1439</v>
      </c>
      <c r="B82" s="98">
        <v>81</v>
      </c>
      <c r="C82" s="50">
        <v>46044</v>
      </c>
      <c r="D82" s="49">
        <f t="shared" si="2"/>
        <v>1</v>
      </c>
      <c r="E82" s="92" t="s">
        <v>2558</v>
      </c>
      <c r="F82" s="49" t="s">
        <v>38</v>
      </c>
      <c r="G82" s="14" t="s">
        <v>45</v>
      </c>
      <c r="H82" s="14" t="s">
        <v>46</v>
      </c>
      <c r="I82" s="76"/>
      <c r="J82" s="73">
        <v>0</v>
      </c>
      <c r="K82" s="74">
        <v>0</v>
      </c>
      <c r="L82" s="72">
        <v>0</v>
      </c>
      <c r="M82" s="72">
        <v>24.15</v>
      </c>
      <c r="N82" s="72">
        <f>IF(AND(C82="",J82=0,K82=0,L82=0,M82=0),"",CADASTROS!$B$4+SUM($J$2:J82)+SUM($M$2:M82)-SUM($K$2:K82)-SUM($L$2:L82))</f>
        <v>397.32000000000698</v>
      </c>
      <c r="O82" s="72">
        <f>IF(A82="","",SUMIF(RATEIOS!$A$2:$A$3142,$A82,RATEIOS!$F$2:$F$3142))</f>
        <v>24.15</v>
      </c>
      <c r="P82" s="15">
        <f t="shared" si="3"/>
        <v>0</v>
      </c>
      <c r="Q82" s="49" t="str">
        <f>IF(AND(J82=0,K82=0,L82=0,M82=0),"",IF(O82=0,"PENDENTE DE RATEIO",IF(ABS(P82)&gt;0.005,"DIVERGÊNCIA",IF(COUNTIF(RATEIOS!$A$2:$A$3142,$A82)-COUNTIFS(RATEIOS!$A$2:$A$3142,$A82,RATEIOS!$D$2:$D$3142,"&lt;&gt;")&gt;0,"NÃO CLASSIFICADO","RATEIO OK"))))</f>
        <v>RATEIO OK</v>
      </c>
      <c r="R82" s="49" t="s">
        <v>2553</v>
      </c>
      <c r="S82" s="14"/>
    </row>
    <row r="83" spans="1:19" ht="24.95" customHeight="1" x14ac:dyDescent="0.25">
      <c r="A83" s="49" t="s">
        <v>1440</v>
      </c>
      <c r="B83" s="98">
        <v>82</v>
      </c>
      <c r="C83" s="50">
        <v>46045</v>
      </c>
      <c r="D83" s="49">
        <f t="shared" si="2"/>
        <v>1</v>
      </c>
      <c r="E83" s="92" t="s">
        <v>287</v>
      </c>
      <c r="F83" s="49" t="s">
        <v>36</v>
      </c>
      <c r="G83" s="14" t="s">
        <v>176</v>
      </c>
      <c r="H83" s="14" t="s">
        <v>3033</v>
      </c>
      <c r="I83" s="76" t="s">
        <v>178</v>
      </c>
      <c r="J83" s="73">
        <v>0</v>
      </c>
      <c r="K83" s="74">
        <v>700</v>
      </c>
      <c r="L83" s="72">
        <v>0</v>
      </c>
      <c r="M83" s="72">
        <v>0</v>
      </c>
      <c r="N83" s="72">
        <f>IF(AND(C83="",J83=0,K83=0,L83=0,M83=0),"",CADASTROS!$B$4+SUM($J$2:J83)+SUM($M$2:M83)-SUM($K$2:K83)-SUM($L$2:L83))</f>
        <v>-302.67999999999302</v>
      </c>
      <c r="O83" s="72">
        <f>IF(A83="","",SUMIF(RATEIOS!$A$2:$A$3142,$A83,RATEIOS!$F$2:$F$3142))</f>
        <v>700</v>
      </c>
      <c r="P83" s="15">
        <f t="shared" si="3"/>
        <v>0</v>
      </c>
      <c r="Q83" s="49" t="str">
        <f>IF(AND(J83=0,K83=0,L83=0,M83=0),"",IF(O83=0,"PENDENTE DE RATEIO",IF(ABS(P83)&gt;0.005,"DIVERGÊNCIA",IF(COUNTIF(RATEIOS!$A$2:$A$3142,$A83)-COUNTIFS(RATEIOS!$A$2:$A$3142,$A83,RATEIOS!$D$2:$D$3142,"&lt;&gt;")&gt;0,"NÃO CLASSIFICADO","RATEIO OK"))))</f>
        <v>RATEIO OK</v>
      </c>
      <c r="R83" s="49" t="s">
        <v>2553</v>
      </c>
      <c r="S83" s="14" t="s">
        <v>2961</v>
      </c>
    </row>
    <row r="84" spans="1:19" ht="24.95" customHeight="1" x14ac:dyDescent="0.25">
      <c r="A84" s="49" t="s">
        <v>1442</v>
      </c>
      <c r="B84" s="98">
        <v>83</v>
      </c>
      <c r="C84" s="50">
        <v>46045</v>
      </c>
      <c r="D84" s="49">
        <f t="shared" si="2"/>
        <v>1</v>
      </c>
      <c r="E84" s="92" t="s">
        <v>169</v>
      </c>
      <c r="F84" s="49" t="s">
        <v>36</v>
      </c>
      <c r="G84" s="14" t="s">
        <v>2811</v>
      </c>
      <c r="H84" s="14" t="s">
        <v>179</v>
      </c>
      <c r="I84" s="76"/>
      <c r="J84" s="73">
        <v>0</v>
      </c>
      <c r="K84" s="74">
        <v>6347.44</v>
      </c>
      <c r="L84" s="72">
        <v>0</v>
      </c>
      <c r="M84" s="72">
        <v>0</v>
      </c>
      <c r="N84" s="72">
        <f>IF(AND(C84="",J84=0,K84=0,L84=0,M84=0),"",CADASTROS!$B$4+SUM($J$2:J84)+SUM($M$2:M84)-SUM($K$2:K84)-SUM($L$2:L84))</f>
        <v>-6650.1199999999953</v>
      </c>
      <c r="O84" s="72">
        <f>IF(A84="","",SUMIF(RATEIOS!$A$2:$A$3142,$A84,RATEIOS!$F$2:$F$3142))</f>
        <v>6347.44</v>
      </c>
      <c r="P84" s="15">
        <f t="shared" si="3"/>
        <v>0</v>
      </c>
      <c r="Q84" s="49" t="str">
        <f>IF(AND(J84=0,K84=0,L84=0,M84=0),"",IF(O84=0,"PENDENTE DE RATEIO",IF(ABS(P84)&gt;0.005,"DIVERGÊNCIA",IF(COUNTIF(RATEIOS!$A$2:$A$3142,$A84)-COUNTIFS(RATEIOS!$A$2:$A$3142,$A84,RATEIOS!$D$2:$D$3142,"&lt;&gt;")&gt;0,"NÃO CLASSIFICADO","RATEIO OK"))))</f>
        <v>RATEIO OK</v>
      </c>
      <c r="R84" s="49" t="s">
        <v>2553</v>
      </c>
      <c r="S84" s="14"/>
    </row>
    <row r="85" spans="1:19" ht="24.95" customHeight="1" x14ac:dyDescent="0.25">
      <c r="A85" s="49" t="s">
        <v>1443</v>
      </c>
      <c r="B85" s="98">
        <v>84</v>
      </c>
      <c r="C85" s="50">
        <v>46045</v>
      </c>
      <c r="D85" s="49">
        <f t="shared" si="2"/>
        <v>1</v>
      </c>
      <c r="E85" s="92" t="s">
        <v>169</v>
      </c>
      <c r="F85" s="49" t="s">
        <v>36</v>
      </c>
      <c r="G85" s="14" t="s">
        <v>2812</v>
      </c>
      <c r="H85" s="14" t="s">
        <v>180</v>
      </c>
      <c r="I85" s="76"/>
      <c r="J85" s="73">
        <v>0</v>
      </c>
      <c r="K85" s="74">
        <v>29295.9</v>
      </c>
      <c r="L85" s="72">
        <v>0</v>
      </c>
      <c r="M85" s="72">
        <v>0</v>
      </c>
      <c r="N85" s="72">
        <f>IF(AND(C85="",J85=0,K85=0,L85=0,M85=0),"",CADASTROS!$B$4+SUM($J$2:J85)+SUM($M$2:M85)-SUM($K$2:K85)-SUM($L$2:L85))</f>
        <v>-35946.020000000019</v>
      </c>
      <c r="O85" s="72">
        <f>IF(A85="","",SUMIF(RATEIOS!$A$2:$A$3142,$A85,RATEIOS!$F$2:$F$3142))</f>
        <v>29295.9</v>
      </c>
      <c r="P85" s="15">
        <f t="shared" si="3"/>
        <v>0</v>
      </c>
      <c r="Q85" s="49" t="str">
        <f>IF(AND(J85=0,K85=0,L85=0,M85=0),"",IF(O85=0,"PENDENTE DE RATEIO",IF(ABS(P85)&gt;0.005,"DIVERGÊNCIA",IF(COUNTIF(RATEIOS!$A$2:$A$3142,$A85)-COUNTIFS(RATEIOS!$A$2:$A$3142,$A85,RATEIOS!$D$2:$D$3142,"&lt;&gt;")&gt;0,"NÃO CLASSIFICADO","RATEIO OK"))))</f>
        <v>RATEIO OK</v>
      </c>
      <c r="R85" s="49" t="s">
        <v>2553</v>
      </c>
      <c r="S85" s="14"/>
    </row>
    <row r="86" spans="1:19" ht="24.95" customHeight="1" x14ac:dyDescent="0.25">
      <c r="A86" s="49" t="s">
        <v>1444</v>
      </c>
      <c r="B86" s="98">
        <v>85</v>
      </c>
      <c r="C86" s="50">
        <v>46045</v>
      </c>
      <c r="D86" s="49">
        <f t="shared" si="2"/>
        <v>1</v>
      </c>
      <c r="E86" s="92" t="s">
        <v>2558</v>
      </c>
      <c r="F86" s="49" t="s">
        <v>38</v>
      </c>
      <c r="G86" s="14" t="s">
        <v>45</v>
      </c>
      <c r="H86" s="14" t="s">
        <v>46</v>
      </c>
      <c r="I86" s="76"/>
      <c r="J86" s="73">
        <v>0</v>
      </c>
      <c r="K86" s="74">
        <v>0</v>
      </c>
      <c r="L86" s="72">
        <v>0</v>
      </c>
      <c r="M86" s="72">
        <v>36000</v>
      </c>
      <c r="N86" s="72">
        <f>IF(AND(C86="",J86=0,K86=0,L86=0,M86=0),"",CADASTROS!$B$4+SUM($J$2:J86)+SUM($M$2:M86)-SUM($K$2:K86)-SUM($L$2:L86))</f>
        <v>53.979999999981374</v>
      </c>
      <c r="O86" s="72">
        <f>IF(A86="","",SUMIF(RATEIOS!$A$2:$A$3142,$A86,RATEIOS!$F$2:$F$3142))</f>
        <v>36000</v>
      </c>
      <c r="P86" s="15">
        <f t="shared" si="3"/>
        <v>0</v>
      </c>
      <c r="Q86" s="49" t="str">
        <f>IF(AND(J86=0,K86=0,L86=0,M86=0),"",IF(O86=0,"PENDENTE DE RATEIO",IF(ABS(P86)&gt;0.005,"DIVERGÊNCIA",IF(COUNTIF(RATEIOS!$A$2:$A$3142,$A86)-COUNTIFS(RATEIOS!$A$2:$A$3142,$A86,RATEIOS!$D$2:$D$3142,"&lt;&gt;")&gt;0,"NÃO CLASSIFICADO","RATEIO OK"))))</f>
        <v>RATEIO OK</v>
      </c>
      <c r="R86" s="49" t="s">
        <v>2553</v>
      </c>
      <c r="S86" s="14"/>
    </row>
    <row r="87" spans="1:19" ht="24.95" customHeight="1" x14ac:dyDescent="0.25">
      <c r="A87" s="49" t="s">
        <v>1445</v>
      </c>
      <c r="B87" s="98">
        <v>86</v>
      </c>
      <c r="C87" s="50">
        <v>46048</v>
      </c>
      <c r="D87" s="49">
        <f t="shared" si="2"/>
        <v>1</v>
      </c>
      <c r="E87" s="92" t="s">
        <v>2558</v>
      </c>
      <c r="F87" s="49" t="s">
        <v>38</v>
      </c>
      <c r="G87" s="14" t="s">
        <v>104</v>
      </c>
      <c r="H87" s="14" t="s">
        <v>46</v>
      </c>
      <c r="I87" s="76"/>
      <c r="J87" s="73">
        <v>0</v>
      </c>
      <c r="K87" s="74">
        <v>0</v>
      </c>
      <c r="L87" s="72">
        <v>0</v>
      </c>
      <c r="M87" s="72">
        <v>293.76</v>
      </c>
      <c r="N87" s="72">
        <f>IF(AND(C87="",J87=0,K87=0,L87=0,M87=0),"",CADASTROS!$B$4+SUM($J$2:J87)+SUM($M$2:M87)-SUM($K$2:K87)-SUM($L$2:L87))</f>
        <v>347.73999999999069</v>
      </c>
      <c r="O87" s="72">
        <f>IF(A87="","",SUMIF(RATEIOS!$A$2:$A$3142,$A87,RATEIOS!$F$2:$F$3142))</f>
        <v>293.76</v>
      </c>
      <c r="P87" s="15">
        <f t="shared" si="3"/>
        <v>0</v>
      </c>
      <c r="Q87" s="49" t="str">
        <f>IF(AND(J87=0,K87=0,L87=0,M87=0),"",IF(O87=0,"PENDENTE DE RATEIO",IF(ABS(P87)&gt;0.005,"DIVERGÊNCIA",IF(COUNTIF(RATEIOS!$A$2:$A$3142,$A87)-COUNTIFS(RATEIOS!$A$2:$A$3142,$A87,RATEIOS!$D$2:$D$3142,"&lt;&gt;")&gt;0,"NÃO CLASSIFICADO","RATEIO OK"))))</f>
        <v>RATEIO OK</v>
      </c>
      <c r="R87" s="49" t="s">
        <v>2553</v>
      </c>
      <c r="S87" s="14"/>
    </row>
    <row r="88" spans="1:19" ht="24.95" customHeight="1" x14ac:dyDescent="0.25">
      <c r="A88" s="49" t="s">
        <v>1446</v>
      </c>
      <c r="B88" s="98">
        <v>87</v>
      </c>
      <c r="C88" s="50">
        <v>46048</v>
      </c>
      <c r="D88" s="49">
        <f t="shared" si="2"/>
        <v>1</v>
      </c>
      <c r="E88" s="92" t="s">
        <v>287</v>
      </c>
      <c r="F88" s="49" t="s">
        <v>36</v>
      </c>
      <c r="G88" s="14" t="s">
        <v>181</v>
      </c>
      <c r="H88" s="14" t="s">
        <v>182</v>
      </c>
      <c r="I88" s="76" t="s">
        <v>183</v>
      </c>
      <c r="J88" s="73">
        <v>0</v>
      </c>
      <c r="K88" s="74">
        <v>455</v>
      </c>
      <c r="L88" s="72">
        <v>0</v>
      </c>
      <c r="M88" s="72">
        <v>0</v>
      </c>
      <c r="N88" s="72">
        <f>IF(AND(C88="",J88=0,K88=0,L88=0,M88=0),"",CADASTROS!$B$4+SUM($J$2:J88)+SUM($M$2:M88)-SUM($K$2:K88)-SUM($L$2:L88))</f>
        <v>-107.26000000000931</v>
      </c>
      <c r="O88" s="72">
        <f>IF(A88="","",SUMIF(RATEIOS!$A$2:$A$3142,$A88,RATEIOS!$F$2:$F$3142))</f>
        <v>455</v>
      </c>
      <c r="P88" s="15">
        <f t="shared" si="3"/>
        <v>0</v>
      </c>
      <c r="Q88" s="49" t="str">
        <f>IF(AND(J88=0,K88=0,L88=0,M88=0),"",IF(O88=0,"PENDENTE DE RATEIO",IF(ABS(P88)&gt;0.005,"DIVERGÊNCIA",IF(COUNTIF(RATEIOS!$A$2:$A$3142,$A88)-COUNTIFS(RATEIOS!$A$2:$A$3142,$A88,RATEIOS!$D$2:$D$3142,"&lt;&gt;")&gt;0,"NÃO CLASSIFICADO","RATEIO OK"))))</f>
        <v>RATEIO OK</v>
      </c>
      <c r="R88" s="49" t="s">
        <v>2553</v>
      </c>
      <c r="S88" s="14" t="s">
        <v>2962</v>
      </c>
    </row>
    <row r="89" spans="1:19" ht="24.95" customHeight="1" x14ac:dyDescent="0.25">
      <c r="A89" s="49" t="s">
        <v>1447</v>
      </c>
      <c r="B89" s="98">
        <v>88</v>
      </c>
      <c r="C89" s="50">
        <v>46048</v>
      </c>
      <c r="D89" s="49">
        <f t="shared" si="2"/>
        <v>1</v>
      </c>
      <c r="E89" s="92" t="s">
        <v>118</v>
      </c>
      <c r="F89" s="49" t="s">
        <v>36</v>
      </c>
      <c r="G89" s="14" t="s">
        <v>184</v>
      </c>
      <c r="H89" s="14" t="s">
        <v>185</v>
      </c>
      <c r="I89" s="76" t="s">
        <v>186</v>
      </c>
      <c r="J89" s="73">
        <v>0</v>
      </c>
      <c r="K89" s="74">
        <v>1042.92</v>
      </c>
      <c r="L89" s="72">
        <v>0</v>
      </c>
      <c r="M89" s="72">
        <v>0</v>
      </c>
      <c r="N89" s="72">
        <f>IF(AND(C89="",J89=0,K89=0,L89=0,M89=0),"",CADASTROS!$B$4+SUM($J$2:J89)+SUM($M$2:M89)-SUM($K$2:K89)-SUM($L$2:L89))</f>
        <v>-1150.179999999993</v>
      </c>
      <c r="O89" s="72">
        <f>IF(A89="","",SUMIF(RATEIOS!$A$2:$A$3142,$A89,RATEIOS!$F$2:$F$3142))</f>
        <v>1042.92</v>
      </c>
      <c r="P89" s="15">
        <f t="shared" si="3"/>
        <v>0</v>
      </c>
      <c r="Q89" s="49" t="str">
        <f>IF(AND(J89=0,K89=0,L89=0,M89=0),"",IF(O89=0,"PENDENTE DE RATEIO",IF(ABS(P89)&gt;0.005,"DIVERGÊNCIA",IF(COUNTIF(RATEIOS!$A$2:$A$3142,$A89)-COUNTIFS(RATEIOS!$A$2:$A$3142,$A89,RATEIOS!$D$2:$D$3142,"&lt;&gt;")&gt;0,"NÃO CLASSIFICADO","RATEIO OK"))))</f>
        <v>RATEIO OK</v>
      </c>
      <c r="R89" s="49" t="s">
        <v>2553</v>
      </c>
      <c r="S89" s="14" t="s">
        <v>2963</v>
      </c>
    </row>
    <row r="90" spans="1:19" ht="24.95" customHeight="1" x14ac:dyDescent="0.25">
      <c r="A90" s="49" t="s">
        <v>1448</v>
      </c>
      <c r="B90" s="98">
        <v>89</v>
      </c>
      <c r="C90" s="50">
        <v>46048</v>
      </c>
      <c r="D90" s="49">
        <f t="shared" si="2"/>
        <v>1</v>
      </c>
      <c r="E90" s="92" t="s">
        <v>118</v>
      </c>
      <c r="F90" s="49" t="s">
        <v>36</v>
      </c>
      <c r="G90" s="14" t="s">
        <v>187</v>
      </c>
      <c r="H90" s="14" t="s">
        <v>188</v>
      </c>
      <c r="I90" s="76" t="s">
        <v>189</v>
      </c>
      <c r="J90" s="73">
        <v>0</v>
      </c>
      <c r="K90" s="74">
        <v>1867.5</v>
      </c>
      <c r="L90" s="72">
        <v>0</v>
      </c>
      <c r="M90" s="72">
        <v>0</v>
      </c>
      <c r="N90" s="72">
        <f>IF(AND(C90="",J90=0,K90=0,L90=0,M90=0),"",CADASTROS!$B$4+SUM($J$2:J90)+SUM($M$2:M90)-SUM($K$2:K90)-SUM($L$2:L90))</f>
        <v>-3017.679999999993</v>
      </c>
      <c r="O90" s="72">
        <f>IF(A90="","",SUMIF(RATEIOS!$A$2:$A$3142,$A90,RATEIOS!$F$2:$F$3142))</f>
        <v>1867.5</v>
      </c>
      <c r="P90" s="15">
        <f t="shared" si="3"/>
        <v>0</v>
      </c>
      <c r="Q90" s="49" t="str">
        <f>IF(AND(J90=0,K90=0,L90=0,M90=0),"",IF(O90=0,"PENDENTE DE RATEIO",IF(ABS(P90)&gt;0.005,"DIVERGÊNCIA",IF(COUNTIF(RATEIOS!$A$2:$A$3142,$A90)-COUNTIFS(RATEIOS!$A$2:$A$3142,$A90,RATEIOS!$D$2:$D$3142,"&lt;&gt;")&gt;0,"NÃO CLASSIFICADO","RATEIO OK"))))</f>
        <v>RATEIO OK</v>
      </c>
      <c r="R90" s="49" t="s">
        <v>2553</v>
      </c>
      <c r="S90" s="14"/>
    </row>
    <row r="91" spans="1:19" ht="24.95" customHeight="1" x14ac:dyDescent="0.25">
      <c r="A91" s="49" t="s">
        <v>1449</v>
      </c>
      <c r="B91" s="98">
        <v>90</v>
      </c>
      <c r="C91" s="50">
        <v>46048</v>
      </c>
      <c r="D91" s="49">
        <f t="shared" si="2"/>
        <v>1</v>
      </c>
      <c r="E91" s="92" t="s">
        <v>118</v>
      </c>
      <c r="F91" s="49" t="s">
        <v>36</v>
      </c>
      <c r="G91" s="14" t="s">
        <v>190</v>
      </c>
      <c r="H91" s="14" t="s">
        <v>191</v>
      </c>
      <c r="I91" s="76" t="s">
        <v>192</v>
      </c>
      <c r="J91" s="73">
        <v>0</v>
      </c>
      <c r="K91" s="74">
        <v>1242.43</v>
      </c>
      <c r="L91" s="72">
        <v>0</v>
      </c>
      <c r="M91" s="72">
        <v>0</v>
      </c>
      <c r="N91" s="72">
        <f>IF(AND(C91="",J91=0,K91=0,L91=0,M91=0),"",CADASTROS!$B$4+SUM($J$2:J91)+SUM($M$2:M91)-SUM($K$2:K91)-SUM($L$2:L91))</f>
        <v>-4260.109999999986</v>
      </c>
      <c r="O91" s="72">
        <f>IF(A91="","",SUMIF(RATEIOS!$A$2:$A$3142,$A91,RATEIOS!$F$2:$F$3142))</f>
        <v>1242.43</v>
      </c>
      <c r="P91" s="15">
        <f t="shared" si="3"/>
        <v>0</v>
      </c>
      <c r="Q91" s="49" t="str">
        <f>IF(AND(J91=0,K91=0,L91=0,M91=0),"",IF(O91=0,"PENDENTE DE RATEIO",IF(ABS(P91)&gt;0.005,"DIVERGÊNCIA",IF(COUNTIF(RATEIOS!$A$2:$A$3142,$A91)-COUNTIFS(RATEIOS!$A$2:$A$3142,$A91,RATEIOS!$D$2:$D$3142,"&lt;&gt;")&gt;0,"NÃO CLASSIFICADO","RATEIO OK"))))</f>
        <v>RATEIO OK</v>
      </c>
      <c r="R91" s="49" t="s">
        <v>2553</v>
      </c>
      <c r="S91" s="14"/>
    </row>
    <row r="92" spans="1:19" ht="24.95" customHeight="1" x14ac:dyDescent="0.25">
      <c r="A92" s="49" t="s">
        <v>1450</v>
      </c>
      <c r="B92" s="98">
        <v>91</v>
      </c>
      <c r="C92" s="50">
        <v>46048</v>
      </c>
      <c r="D92" s="49">
        <f t="shared" si="2"/>
        <v>1</v>
      </c>
      <c r="E92" s="92" t="s">
        <v>118</v>
      </c>
      <c r="F92" s="49" t="s">
        <v>36</v>
      </c>
      <c r="G92" s="14" t="s">
        <v>193</v>
      </c>
      <c r="H92" s="14" t="s">
        <v>194</v>
      </c>
      <c r="I92" s="76" t="s">
        <v>195</v>
      </c>
      <c r="J92" s="73">
        <v>0</v>
      </c>
      <c r="K92" s="74">
        <v>35134</v>
      </c>
      <c r="L92" s="72">
        <v>0</v>
      </c>
      <c r="M92" s="72">
        <v>0</v>
      </c>
      <c r="N92" s="72">
        <f>IF(AND(C92="",J92=0,K92=0,L92=0,M92=0),"",CADASTROS!$B$4+SUM($J$2:J92)+SUM($M$2:M92)-SUM($K$2:K92)-SUM($L$2:L92))</f>
        <v>-39394.109999999986</v>
      </c>
      <c r="O92" s="72">
        <f>IF(A92="","",SUMIF(RATEIOS!$A$2:$A$3142,$A92,RATEIOS!$F$2:$F$3142))</f>
        <v>35134</v>
      </c>
      <c r="P92" s="15">
        <f t="shared" si="3"/>
        <v>0</v>
      </c>
      <c r="Q92" s="49" t="str">
        <f>IF(AND(J92=0,K92=0,L92=0,M92=0),"",IF(O92=0,"PENDENTE DE RATEIO",IF(ABS(P92)&gt;0.005,"DIVERGÊNCIA",IF(COUNTIF(RATEIOS!$A$2:$A$3142,$A92)-COUNTIFS(RATEIOS!$A$2:$A$3142,$A92,RATEIOS!$D$2:$D$3142,"&lt;&gt;")&gt;0,"NÃO CLASSIFICADO","RATEIO OK"))))</f>
        <v>RATEIO OK</v>
      </c>
      <c r="R92" s="49" t="s">
        <v>2553</v>
      </c>
      <c r="S92" s="14"/>
    </row>
    <row r="93" spans="1:19" ht="24.95" customHeight="1" x14ac:dyDescent="0.25">
      <c r="A93" s="49" t="s">
        <v>1451</v>
      </c>
      <c r="B93" s="98">
        <v>92</v>
      </c>
      <c r="C93" s="50">
        <v>46048</v>
      </c>
      <c r="D93" s="49">
        <f t="shared" si="2"/>
        <v>1</v>
      </c>
      <c r="E93" s="92" t="s">
        <v>118</v>
      </c>
      <c r="F93" s="49" t="s">
        <v>36</v>
      </c>
      <c r="G93" s="14" t="s">
        <v>196</v>
      </c>
      <c r="H93" s="14" t="s">
        <v>197</v>
      </c>
      <c r="I93" s="76" t="s">
        <v>198</v>
      </c>
      <c r="J93" s="73">
        <v>0</v>
      </c>
      <c r="K93" s="74">
        <v>1116.33</v>
      </c>
      <c r="L93" s="72">
        <v>0</v>
      </c>
      <c r="M93" s="72">
        <v>0</v>
      </c>
      <c r="N93" s="72">
        <f>IF(AND(C93="",J93=0,K93=0,L93=0,M93=0),"",CADASTROS!$B$4+SUM($J$2:J93)+SUM($M$2:M93)-SUM($K$2:K93)-SUM($L$2:L93))</f>
        <v>-40510.44</v>
      </c>
      <c r="O93" s="72">
        <f>IF(A93="","",SUMIF(RATEIOS!$A$2:$A$3142,$A93,RATEIOS!$F$2:$F$3142))</f>
        <v>1116.33</v>
      </c>
      <c r="P93" s="15">
        <f t="shared" si="3"/>
        <v>0</v>
      </c>
      <c r="Q93" s="49" t="str">
        <f>IF(AND(J93=0,K93=0,L93=0,M93=0),"",IF(O93=0,"PENDENTE DE RATEIO",IF(ABS(P93)&gt;0.005,"DIVERGÊNCIA",IF(COUNTIF(RATEIOS!$A$2:$A$3142,$A93)-COUNTIFS(RATEIOS!$A$2:$A$3142,$A93,RATEIOS!$D$2:$D$3142,"&lt;&gt;")&gt;0,"NÃO CLASSIFICADO","RATEIO OK"))))</f>
        <v>RATEIO OK</v>
      </c>
      <c r="R93" s="49" t="s">
        <v>2553</v>
      </c>
      <c r="S93" s="14"/>
    </row>
    <row r="94" spans="1:19" ht="24.95" customHeight="1" x14ac:dyDescent="0.25">
      <c r="A94" s="49" t="s">
        <v>1452</v>
      </c>
      <c r="B94" s="98">
        <v>93</v>
      </c>
      <c r="C94" s="50">
        <v>46048</v>
      </c>
      <c r="D94" s="49">
        <f t="shared" si="2"/>
        <v>1</v>
      </c>
      <c r="E94" s="92" t="s">
        <v>118</v>
      </c>
      <c r="F94" s="49" t="s">
        <v>36</v>
      </c>
      <c r="G94" s="14" t="s">
        <v>199</v>
      </c>
      <c r="H94" s="14" t="s">
        <v>172</v>
      </c>
      <c r="I94" s="76" t="s">
        <v>200</v>
      </c>
      <c r="J94" s="73">
        <v>0</v>
      </c>
      <c r="K94" s="74">
        <v>590.54999999999995</v>
      </c>
      <c r="L94" s="72">
        <v>0</v>
      </c>
      <c r="M94" s="72">
        <v>0</v>
      </c>
      <c r="N94" s="72">
        <f>IF(AND(C94="",J94=0,K94=0,L94=0,M94=0),"",CADASTROS!$B$4+SUM($J$2:J94)+SUM($M$2:M94)-SUM($K$2:K94)-SUM($L$2:L94))</f>
        <v>-41100.989999999991</v>
      </c>
      <c r="O94" s="72">
        <f>IF(A94="","",SUMIF(RATEIOS!$A$2:$A$3142,$A94,RATEIOS!$F$2:$F$3142))</f>
        <v>590.54999999999995</v>
      </c>
      <c r="P94" s="15">
        <f t="shared" si="3"/>
        <v>0</v>
      </c>
      <c r="Q94" s="49" t="str">
        <f>IF(AND(J94=0,K94=0,L94=0,M94=0),"",IF(O94=0,"PENDENTE DE RATEIO",IF(ABS(P94)&gt;0.005,"DIVERGÊNCIA",IF(COUNTIF(RATEIOS!$A$2:$A$3142,$A94)-COUNTIFS(RATEIOS!$A$2:$A$3142,$A94,RATEIOS!$D$2:$D$3142,"&lt;&gt;")&gt;0,"NÃO CLASSIFICADO","RATEIO OK"))))</f>
        <v>RATEIO OK</v>
      </c>
      <c r="R94" s="49" t="s">
        <v>2553</v>
      </c>
      <c r="S94" s="14"/>
    </row>
    <row r="95" spans="1:19" ht="24.95" customHeight="1" x14ac:dyDescent="0.25">
      <c r="A95" s="49" t="s">
        <v>1453</v>
      </c>
      <c r="B95" s="98">
        <v>94</v>
      </c>
      <c r="C95" s="50">
        <v>46048</v>
      </c>
      <c r="D95" s="49">
        <f t="shared" si="2"/>
        <v>1</v>
      </c>
      <c r="E95" s="92" t="s">
        <v>72</v>
      </c>
      <c r="F95" s="49" t="s">
        <v>36</v>
      </c>
      <c r="G95" s="14" t="s">
        <v>201</v>
      </c>
      <c r="H95" s="14" t="s">
        <v>74</v>
      </c>
      <c r="I95" s="76" t="s">
        <v>202</v>
      </c>
      <c r="J95" s="73">
        <v>0</v>
      </c>
      <c r="K95" s="74">
        <v>299</v>
      </c>
      <c r="L95" s="72">
        <v>0</v>
      </c>
      <c r="M95" s="72">
        <v>0</v>
      </c>
      <c r="N95" s="72">
        <f>IF(AND(C95="",J95=0,K95=0,L95=0,M95=0),"",CADASTROS!$B$4+SUM($J$2:J95)+SUM($M$2:M95)-SUM($K$2:K95)-SUM($L$2:L95))</f>
        <v>-41399.989999999991</v>
      </c>
      <c r="O95" s="72">
        <f>IF(A95="","",SUMIF(RATEIOS!$A$2:$A$3142,$A95,RATEIOS!$F$2:$F$3142))</f>
        <v>299</v>
      </c>
      <c r="P95" s="15">
        <f t="shared" si="3"/>
        <v>0</v>
      </c>
      <c r="Q95" s="49" t="str">
        <f>IF(AND(J95=0,K95=0,L95=0,M95=0),"",IF(O95=0,"PENDENTE DE RATEIO",IF(ABS(P95)&gt;0.005,"DIVERGÊNCIA",IF(COUNTIF(RATEIOS!$A$2:$A$3142,$A95)-COUNTIFS(RATEIOS!$A$2:$A$3142,$A95,RATEIOS!$D$2:$D$3142,"&lt;&gt;")&gt;0,"NÃO CLASSIFICADO","RATEIO OK"))))</f>
        <v>RATEIO OK</v>
      </c>
      <c r="R95" s="49" t="s">
        <v>2553</v>
      </c>
      <c r="S95" s="14"/>
    </row>
    <row r="96" spans="1:19" ht="24.95" customHeight="1" x14ac:dyDescent="0.25">
      <c r="A96" s="49" t="s">
        <v>1456</v>
      </c>
      <c r="B96" s="98">
        <v>95</v>
      </c>
      <c r="C96" s="50">
        <v>46048</v>
      </c>
      <c r="D96" s="49">
        <f t="shared" si="2"/>
        <v>1</v>
      </c>
      <c r="E96" s="92" t="s">
        <v>2558</v>
      </c>
      <c r="F96" s="49" t="s">
        <v>38</v>
      </c>
      <c r="G96" s="14" t="s">
        <v>45</v>
      </c>
      <c r="H96" s="14" t="s">
        <v>46</v>
      </c>
      <c r="I96" s="76"/>
      <c r="J96" s="73">
        <v>0</v>
      </c>
      <c r="K96" s="74">
        <v>0</v>
      </c>
      <c r="L96" s="72">
        <v>0</v>
      </c>
      <c r="M96" s="72">
        <v>41500</v>
      </c>
      <c r="N96" s="72">
        <f>IF(AND(C96="",J96=0,K96=0,L96=0,M96=0),"",CADASTROS!$B$4+SUM($J$2:J96)+SUM($M$2:M96)-SUM($K$2:K96)-SUM($L$2:L96))</f>
        <v>100.01000000000931</v>
      </c>
      <c r="O96" s="72">
        <f>IF(A96="","",SUMIF(RATEIOS!$A$2:$A$3142,$A96,RATEIOS!$F$2:$F$3142))</f>
        <v>41500</v>
      </c>
      <c r="P96" s="15">
        <f t="shared" si="3"/>
        <v>0</v>
      </c>
      <c r="Q96" s="49" t="str">
        <f>IF(AND(J96=0,K96=0,L96=0,M96=0),"",IF(O96=0,"PENDENTE DE RATEIO",IF(ABS(P96)&gt;0.005,"DIVERGÊNCIA",IF(COUNTIF(RATEIOS!$A$2:$A$3142,$A96)-COUNTIFS(RATEIOS!$A$2:$A$3142,$A96,RATEIOS!$D$2:$D$3142,"&lt;&gt;")&gt;0,"NÃO CLASSIFICADO","RATEIO OK"))))</f>
        <v>RATEIO OK</v>
      </c>
      <c r="R96" s="49" t="s">
        <v>2553</v>
      </c>
      <c r="S96" s="14"/>
    </row>
    <row r="97" spans="1:19" ht="24.95" customHeight="1" x14ac:dyDescent="0.25">
      <c r="A97" s="49" t="s">
        <v>1457</v>
      </c>
      <c r="B97" s="98">
        <v>96</v>
      </c>
      <c r="C97" s="50">
        <v>46049</v>
      </c>
      <c r="D97" s="49">
        <f t="shared" si="2"/>
        <v>1</v>
      </c>
      <c r="E97" s="92" t="s">
        <v>2558</v>
      </c>
      <c r="F97" s="49" t="s">
        <v>38</v>
      </c>
      <c r="G97" s="14" t="s">
        <v>45</v>
      </c>
      <c r="H97" s="14" t="s">
        <v>46</v>
      </c>
      <c r="I97" s="76"/>
      <c r="J97" s="73">
        <v>0</v>
      </c>
      <c r="K97" s="74">
        <v>0</v>
      </c>
      <c r="L97" s="72">
        <v>0</v>
      </c>
      <c r="M97" s="72">
        <v>2000</v>
      </c>
      <c r="N97" s="72">
        <f>IF(AND(C97="",J97=0,K97=0,L97=0,M97=0),"",CADASTROS!$B$4+SUM($J$2:J97)+SUM($M$2:M97)-SUM($K$2:K97)-SUM($L$2:L97))</f>
        <v>2100.0100000000093</v>
      </c>
      <c r="O97" s="72">
        <f>IF(A97="","",SUMIF(RATEIOS!$A$2:$A$3142,$A97,RATEIOS!$F$2:$F$3142))</f>
        <v>2000</v>
      </c>
      <c r="P97" s="15">
        <f t="shared" si="3"/>
        <v>0</v>
      </c>
      <c r="Q97" s="49" t="str">
        <f>IF(AND(J97=0,K97=0,L97=0,M97=0),"",IF(O97=0,"PENDENTE DE RATEIO",IF(ABS(P97)&gt;0.005,"DIVERGÊNCIA",IF(COUNTIF(RATEIOS!$A$2:$A$3142,$A97)-COUNTIFS(RATEIOS!$A$2:$A$3142,$A97,RATEIOS!$D$2:$D$3142,"&lt;&gt;")&gt;0,"NÃO CLASSIFICADO","RATEIO OK"))))</f>
        <v>RATEIO OK</v>
      </c>
      <c r="R97" s="49" t="s">
        <v>2553</v>
      </c>
      <c r="S97" s="14"/>
    </row>
    <row r="98" spans="1:19" ht="24.95" customHeight="1" x14ac:dyDescent="0.25">
      <c r="A98" s="49" t="s">
        <v>1458</v>
      </c>
      <c r="B98" s="98">
        <v>97</v>
      </c>
      <c r="C98" s="50">
        <v>46049</v>
      </c>
      <c r="D98" s="49">
        <f t="shared" si="2"/>
        <v>1</v>
      </c>
      <c r="E98" s="92" t="s">
        <v>2558</v>
      </c>
      <c r="F98" s="49" t="s">
        <v>38</v>
      </c>
      <c r="G98" s="14" t="s">
        <v>45</v>
      </c>
      <c r="H98" s="14" t="s">
        <v>46</v>
      </c>
      <c r="I98" s="76"/>
      <c r="J98" s="73">
        <v>0</v>
      </c>
      <c r="K98" s="74">
        <v>0</v>
      </c>
      <c r="L98" s="72">
        <v>0</v>
      </c>
      <c r="M98" s="72">
        <v>355.24</v>
      </c>
      <c r="N98" s="72">
        <f>IF(AND(C98="",J98=0,K98=0,L98=0,M98=0),"",CADASTROS!$B$4+SUM($J$2:J98)+SUM($M$2:M98)-SUM($K$2:K98)-SUM($L$2:L98))</f>
        <v>2455.25</v>
      </c>
      <c r="O98" s="72">
        <f>IF(A98="","",SUMIF(RATEIOS!$A$2:$A$3142,$A98,RATEIOS!$F$2:$F$3142))</f>
        <v>355.24</v>
      </c>
      <c r="P98" s="15">
        <f t="shared" si="3"/>
        <v>0</v>
      </c>
      <c r="Q98" s="49" t="str">
        <f>IF(AND(J98=0,K98=0,L98=0,M98=0),"",IF(O98=0,"PENDENTE DE RATEIO",IF(ABS(P98)&gt;0.005,"DIVERGÊNCIA",IF(COUNTIF(RATEIOS!$A$2:$A$3142,$A98)-COUNTIFS(RATEIOS!$A$2:$A$3142,$A98,RATEIOS!$D$2:$D$3142,"&lt;&gt;")&gt;0,"NÃO CLASSIFICADO","RATEIO OK"))))</f>
        <v>RATEIO OK</v>
      </c>
      <c r="R98" s="49" t="s">
        <v>2553</v>
      </c>
      <c r="S98" s="14"/>
    </row>
    <row r="99" spans="1:19" ht="24.95" customHeight="1" x14ac:dyDescent="0.25">
      <c r="A99" s="49" t="s">
        <v>1459</v>
      </c>
      <c r="B99" s="98">
        <v>98</v>
      </c>
      <c r="C99" s="50">
        <v>46049</v>
      </c>
      <c r="D99" s="49">
        <f t="shared" si="2"/>
        <v>1</v>
      </c>
      <c r="E99" s="92" t="s">
        <v>118</v>
      </c>
      <c r="F99" s="49" t="s">
        <v>36</v>
      </c>
      <c r="G99" s="14" t="s">
        <v>203</v>
      </c>
      <c r="H99" s="14" t="s">
        <v>204</v>
      </c>
      <c r="I99" s="76" t="s">
        <v>205</v>
      </c>
      <c r="J99" s="73">
        <v>0</v>
      </c>
      <c r="K99" s="74">
        <v>2450.9699999999998</v>
      </c>
      <c r="L99" s="72">
        <v>0</v>
      </c>
      <c r="M99" s="72">
        <v>0</v>
      </c>
      <c r="N99" s="72">
        <f>IF(AND(C99="",J99=0,K99=0,L99=0,M99=0),"",CADASTROS!$B$4+SUM($J$2:J99)+SUM($M$2:M99)-SUM($K$2:K99)-SUM($L$2:L99))</f>
        <v>4.2800000000279397</v>
      </c>
      <c r="O99" s="72">
        <f>IF(A99="","",SUMIF(RATEIOS!$A$2:$A$3142,$A99,RATEIOS!$F$2:$F$3142))</f>
        <v>2450.9699999999998</v>
      </c>
      <c r="P99" s="15">
        <f t="shared" si="3"/>
        <v>0</v>
      </c>
      <c r="Q99" s="49" t="str">
        <f>IF(AND(J99=0,K99=0,L99=0,M99=0),"",IF(O99=0,"PENDENTE DE RATEIO",IF(ABS(P99)&gt;0.005,"DIVERGÊNCIA",IF(COUNTIF(RATEIOS!$A$2:$A$3142,$A99)-COUNTIFS(RATEIOS!$A$2:$A$3142,$A99,RATEIOS!$D$2:$D$3142,"&lt;&gt;")&gt;0,"NÃO CLASSIFICADO","RATEIO OK"))))</f>
        <v>RATEIO OK</v>
      </c>
      <c r="R99" s="49" t="s">
        <v>2553</v>
      </c>
      <c r="S99" s="14"/>
    </row>
    <row r="100" spans="1:19" ht="24.95" customHeight="1" x14ac:dyDescent="0.25">
      <c r="A100" s="49" t="s">
        <v>1460</v>
      </c>
      <c r="B100" s="98">
        <v>99</v>
      </c>
      <c r="C100" s="50">
        <v>46050</v>
      </c>
      <c r="D100" s="49">
        <f t="shared" si="2"/>
        <v>1</v>
      </c>
      <c r="E100" s="92" t="s">
        <v>2558</v>
      </c>
      <c r="F100" s="49" t="s">
        <v>38</v>
      </c>
      <c r="G100" s="14" t="s">
        <v>104</v>
      </c>
      <c r="H100" s="14" t="s">
        <v>46</v>
      </c>
      <c r="I100" s="76"/>
      <c r="J100" s="73">
        <v>0</v>
      </c>
      <c r="K100" s="74">
        <v>0</v>
      </c>
      <c r="L100" s="72">
        <v>0</v>
      </c>
      <c r="M100" s="72">
        <v>17.96</v>
      </c>
      <c r="N100" s="72">
        <f>IF(AND(C100="",J100=0,K100=0,L100=0,M100=0),"",CADASTROS!$B$4+SUM($J$2:J100)+SUM($M$2:M100)-SUM($K$2:K100)-SUM($L$2:L100))</f>
        <v>22.240000000048894</v>
      </c>
      <c r="O100" s="72">
        <f>IF(A100="","",SUMIF(RATEIOS!$A$2:$A$3142,$A100,RATEIOS!$F$2:$F$3142))</f>
        <v>17.96</v>
      </c>
      <c r="P100" s="15">
        <f t="shared" si="3"/>
        <v>0</v>
      </c>
      <c r="Q100" s="49" t="str">
        <f>IF(AND(J100=0,K100=0,L100=0,M100=0),"",IF(O100=0,"PENDENTE DE RATEIO",IF(ABS(P100)&gt;0.005,"DIVERGÊNCIA",IF(COUNTIF(RATEIOS!$A$2:$A$3142,$A100)-COUNTIFS(RATEIOS!$A$2:$A$3142,$A100,RATEIOS!$D$2:$D$3142,"&lt;&gt;")&gt;0,"NÃO CLASSIFICADO","RATEIO OK"))))</f>
        <v>RATEIO OK</v>
      </c>
      <c r="R100" s="49" t="s">
        <v>2553</v>
      </c>
      <c r="S100" s="14"/>
    </row>
    <row r="101" spans="1:19" ht="24.95" customHeight="1" x14ac:dyDescent="0.25">
      <c r="A101" s="49" t="s">
        <v>1461</v>
      </c>
      <c r="B101" s="98">
        <v>100</v>
      </c>
      <c r="C101" s="50">
        <v>46051</v>
      </c>
      <c r="D101" s="49">
        <f t="shared" si="2"/>
        <v>1</v>
      </c>
      <c r="E101" s="92" t="s">
        <v>118</v>
      </c>
      <c r="F101" s="49" t="s">
        <v>36</v>
      </c>
      <c r="G101" s="14" t="s">
        <v>206</v>
      </c>
      <c r="H101" s="14" t="s">
        <v>207</v>
      </c>
      <c r="I101" s="76" t="s">
        <v>208</v>
      </c>
      <c r="J101" s="73">
        <v>0</v>
      </c>
      <c r="K101" s="74">
        <v>1416</v>
      </c>
      <c r="L101" s="72">
        <v>0</v>
      </c>
      <c r="M101" s="72">
        <v>0</v>
      </c>
      <c r="N101" s="72">
        <f>IF(AND(C101="",J101=0,K101=0,L101=0,M101=0),"",CADASTROS!$B$4+SUM($J$2:J101)+SUM($M$2:M101)-SUM($K$2:K101)-SUM($L$2:L101))</f>
        <v>-1393.7599999999511</v>
      </c>
      <c r="O101" s="72">
        <f>IF(A101="","",SUMIF(RATEIOS!$A$2:$A$3142,$A101,RATEIOS!$F$2:$F$3142))</f>
        <v>1416</v>
      </c>
      <c r="P101" s="15">
        <f t="shared" si="3"/>
        <v>0</v>
      </c>
      <c r="Q101" s="49" t="str">
        <f>IF(AND(J101=0,K101=0,L101=0,M101=0),"",IF(O101=0,"PENDENTE DE RATEIO",IF(ABS(P101)&gt;0.005,"DIVERGÊNCIA",IF(COUNTIF(RATEIOS!$A$2:$A$3142,$A101)-COUNTIFS(RATEIOS!$A$2:$A$3142,$A101,RATEIOS!$D$2:$D$3142,"&lt;&gt;")&gt;0,"NÃO CLASSIFICADO","RATEIO OK"))))</f>
        <v>RATEIO OK</v>
      </c>
      <c r="R101" s="49" t="s">
        <v>2553</v>
      </c>
      <c r="S101" s="14"/>
    </row>
    <row r="102" spans="1:19" ht="24.95" customHeight="1" x14ac:dyDescent="0.25">
      <c r="A102" s="49" t="s">
        <v>1462</v>
      </c>
      <c r="B102" s="98">
        <v>101</v>
      </c>
      <c r="C102" s="50">
        <v>46051</v>
      </c>
      <c r="D102" s="49">
        <f t="shared" si="2"/>
        <v>1</v>
      </c>
      <c r="E102" s="92" t="s">
        <v>118</v>
      </c>
      <c r="F102" s="49" t="s">
        <v>36</v>
      </c>
      <c r="G102" s="14" t="s">
        <v>209</v>
      </c>
      <c r="H102" s="14" t="s">
        <v>143</v>
      </c>
      <c r="I102" s="76" t="s">
        <v>210</v>
      </c>
      <c r="J102" s="73">
        <v>0</v>
      </c>
      <c r="K102" s="74">
        <v>6642.25</v>
      </c>
      <c r="L102" s="72">
        <v>0</v>
      </c>
      <c r="M102" s="72">
        <v>0</v>
      </c>
      <c r="N102" s="72">
        <f>IF(AND(C102="",J102=0,K102=0,L102=0,M102=0),"",CADASTROS!$B$4+SUM($J$2:J102)+SUM($M$2:M102)-SUM($K$2:K102)-SUM($L$2:L102))</f>
        <v>-8036.0099999999511</v>
      </c>
      <c r="O102" s="72">
        <f>IF(A102="","",SUMIF(RATEIOS!$A$2:$A$3142,$A102,RATEIOS!$F$2:$F$3142))</f>
        <v>6642.25</v>
      </c>
      <c r="P102" s="15">
        <f t="shared" si="3"/>
        <v>0</v>
      </c>
      <c r="Q102" s="49" t="str">
        <f>IF(AND(J102=0,K102=0,L102=0,M102=0),"",IF(O102=0,"PENDENTE DE RATEIO",IF(ABS(P102)&gt;0.005,"DIVERGÊNCIA",IF(COUNTIF(RATEIOS!$A$2:$A$3142,$A102)-COUNTIFS(RATEIOS!$A$2:$A$3142,$A102,RATEIOS!$D$2:$D$3142,"&lt;&gt;")&gt;0,"NÃO CLASSIFICADO","RATEIO OK"))))</f>
        <v>RATEIO OK</v>
      </c>
      <c r="R102" s="49" t="s">
        <v>2553</v>
      </c>
      <c r="S102" s="14"/>
    </row>
    <row r="103" spans="1:19" ht="24.95" customHeight="1" x14ac:dyDescent="0.25">
      <c r="A103" s="49" t="s">
        <v>1463</v>
      </c>
      <c r="B103" s="98">
        <v>102</v>
      </c>
      <c r="C103" s="50">
        <v>46051</v>
      </c>
      <c r="D103" s="49">
        <f t="shared" si="2"/>
        <v>1</v>
      </c>
      <c r="E103" s="92" t="s">
        <v>72</v>
      </c>
      <c r="F103" s="49" t="s">
        <v>36</v>
      </c>
      <c r="G103" s="14" t="s">
        <v>211</v>
      </c>
      <c r="H103" s="14" t="s">
        <v>212</v>
      </c>
      <c r="I103" s="76" t="s">
        <v>213</v>
      </c>
      <c r="J103" s="73">
        <v>0</v>
      </c>
      <c r="K103" s="74">
        <v>270</v>
      </c>
      <c r="L103" s="72">
        <v>0</v>
      </c>
      <c r="M103" s="72">
        <v>0</v>
      </c>
      <c r="N103" s="72">
        <f>IF(AND(C103="",J103=0,K103=0,L103=0,M103=0),"",CADASTROS!$B$4+SUM($J$2:J103)+SUM($M$2:M103)-SUM($K$2:K103)-SUM($L$2:L103))</f>
        <v>-8306.0099999999511</v>
      </c>
      <c r="O103" s="72">
        <f>IF(A103="","",SUMIF(RATEIOS!$A$2:$A$3142,$A103,RATEIOS!$F$2:$F$3142))</f>
        <v>270</v>
      </c>
      <c r="P103" s="15">
        <f t="shared" si="3"/>
        <v>0</v>
      </c>
      <c r="Q103" s="49" t="str">
        <f>IF(AND(J103=0,K103=0,L103=0,M103=0),"",IF(O103=0,"PENDENTE DE RATEIO",IF(ABS(P103)&gt;0.005,"DIVERGÊNCIA",IF(COUNTIF(RATEIOS!$A$2:$A$3142,$A103)-COUNTIFS(RATEIOS!$A$2:$A$3142,$A103,RATEIOS!$D$2:$D$3142,"&lt;&gt;")&gt;0,"NÃO CLASSIFICADO","RATEIO OK"))))</f>
        <v>RATEIO OK</v>
      </c>
      <c r="R103" s="49" t="s">
        <v>2553</v>
      </c>
      <c r="S103" s="14"/>
    </row>
    <row r="104" spans="1:19" ht="24.95" customHeight="1" x14ac:dyDescent="0.25">
      <c r="A104" s="49" t="s">
        <v>1464</v>
      </c>
      <c r="B104" s="98">
        <v>103</v>
      </c>
      <c r="C104" s="50">
        <v>46051</v>
      </c>
      <c r="D104" s="49">
        <f t="shared" si="2"/>
        <v>1</v>
      </c>
      <c r="E104" s="92" t="s">
        <v>2558</v>
      </c>
      <c r="F104" s="49" t="s">
        <v>38</v>
      </c>
      <c r="G104" s="14" t="s">
        <v>45</v>
      </c>
      <c r="H104" s="14" t="s">
        <v>46</v>
      </c>
      <c r="I104" s="76"/>
      <c r="J104" s="73">
        <v>0</v>
      </c>
      <c r="K104" s="74">
        <v>0</v>
      </c>
      <c r="L104" s="72">
        <v>0</v>
      </c>
      <c r="M104" s="72">
        <v>8500</v>
      </c>
      <c r="N104" s="72">
        <f>IF(AND(C104="",J104=0,K104=0,L104=0,M104=0),"",CADASTROS!$B$4+SUM($J$2:J104)+SUM($M$2:M104)-SUM($K$2:K104)-SUM($L$2:L104))</f>
        <v>193.99000000004889</v>
      </c>
      <c r="O104" s="72">
        <f>IF(A104="","",SUMIF(RATEIOS!$A$2:$A$3142,$A104,RATEIOS!$F$2:$F$3142))</f>
        <v>8500</v>
      </c>
      <c r="P104" s="15">
        <f t="shared" si="3"/>
        <v>0</v>
      </c>
      <c r="Q104" s="49" t="str">
        <f>IF(AND(J104=0,K104=0,L104=0,M104=0),"",IF(O104=0,"PENDENTE DE RATEIO",IF(ABS(P104)&gt;0.005,"DIVERGÊNCIA",IF(COUNTIF(RATEIOS!$A$2:$A$3142,$A104)-COUNTIFS(RATEIOS!$A$2:$A$3142,$A104,RATEIOS!$D$2:$D$3142,"&lt;&gt;")&gt;0,"NÃO CLASSIFICADO","RATEIO OK"))))</f>
        <v>RATEIO OK</v>
      </c>
      <c r="R104" s="49" t="s">
        <v>2553</v>
      </c>
      <c r="S104" s="14"/>
    </row>
    <row r="105" spans="1:19" ht="24.95" customHeight="1" x14ac:dyDescent="0.25">
      <c r="A105" s="49" t="s">
        <v>1465</v>
      </c>
      <c r="B105" s="98">
        <v>104</v>
      </c>
      <c r="C105" s="50">
        <v>46052</v>
      </c>
      <c r="D105" s="49">
        <f t="shared" si="2"/>
        <v>1</v>
      </c>
      <c r="E105" s="92" t="s">
        <v>2558</v>
      </c>
      <c r="F105" s="49" t="s">
        <v>38</v>
      </c>
      <c r="G105" s="14" t="s">
        <v>104</v>
      </c>
      <c r="H105" s="14" t="s">
        <v>46</v>
      </c>
      <c r="I105" s="76"/>
      <c r="J105" s="73">
        <v>0</v>
      </c>
      <c r="K105" s="74">
        <v>0</v>
      </c>
      <c r="L105" s="72">
        <v>0</v>
      </c>
      <c r="M105" s="72">
        <v>83.3</v>
      </c>
      <c r="N105" s="72">
        <f>IF(AND(C105="",J105=0,K105=0,L105=0,M105=0),"",CADASTROS!$B$4+SUM($J$2:J105)+SUM($M$2:M105)-SUM($K$2:K105)-SUM($L$2:L105))</f>
        <v>277.29000000003725</v>
      </c>
      <c r="O105" s="72">
        <f>IF(A105="","",SUMIF(RATEIOS!$A$2:$A$3142,$A105,RATEIOS!$F$2:$F$3142))</f>
        <v>83.3</v>
      </c>
      <c r="P105" s="15">
        <f t="shared" si="3"/>
        <v>0</v>
      </c>
      <c r="Q105" s="49" t="str">
        <f>IF(AND(J105=0,K105=0,L105=0,M105=0),"",IF(O105=0,"PENDENTE DE RATEIO",IF(ABS(P105)&gt;0.005,"DIVERGÊNCIA",IF(COUNTIF(RATEIOS!$A$2:$A$3142,$A105)-COUNTIFS(RATEIOS!$A$2:$A$3142,$A105,RATEIOS!$D$2:$D$3142,"&lt;&gt;")&gt;0,"NÃO CLASSIFICADO","RATEIO OK"))))</f>
        <v>RATEIO OK</v>
      </c>
      <c r="R105" s="49" t="s">
        <v>2553</v>
      </c>
      <c r="S105" s="14"/>
    </row>
    <row r="106" spans="1:19" ht="24.95" customHeight="1" x14ac:dyDescent="0.25">
      <c r="A106" s="49" t="s">
        <v>1467</v>
      </c>
      <c r="B106" s="98">
        <v>105</v>
      </c>
      <c r="C106" s="50">
        <v>46052</v>
      </c>
      <c r="D106" s="49">
        <f t="shared" si="2"/>
        <v>1</v>
      </c>
      <c r="E106" s="92" t="s">
        <v>169</v>
      </c>
      <c r="F106" s="49" t="s">
        <v>36</v>
      </c>
      <c r="G106" s="14" t="s">
        <v>2815</v>
      </c>
      <c r="H106" s="14" t="s">
        <v>215</v>
      </c>
      <c r="I106" s="76"/>
      <c r="J106" s="73">
        <v>0</v>
      </c>
      <c r="K106" s="74">
        <v>8442.58</v>
      </c>
      <c r="L106" s="72">
        <v>0</v>
      </c>
      <c r="M106" s="72">
        <v>0</v>
      </c>
      <c r="N106" s="72">
        <f>IF(AND(C106="",J106=0,K106=0,L106=0,M106=0),"",CADASTROS!$B$4+SUM($J$2:J106)+SUM($M$2:M106)-SUM($K$2:K106)-SUM($L$2:L106))</f>
        <v>-8165.289999999979</v>
      </c>
      <c r="O106" s="72">
        <f>IF(A106="","",SUMIF(RATEIOS!$A$2:$A$3142,$A106,RATEIOS!$F$2:$F$3142))</f>
        <v>8442.58</v>
      </c>
      <c r="P106" s="15">
        <f t="shared" si="3"/>
        <v>0</v>
      </c>
      <c r="Q106" s="49" t="str">
        <f>IF(AND(J106=0,K106=0,L106=0,M106=0),"",IF(O106=0,"PENDENTE DE RATEIO",IF(ABS(P106)&gt;0.005,"DIVERGÊNCIA",IF(COUNTIF(RATEIOS!$A$2:$A$3142,$A106)-COUNTIFS(RATEIOS!$A$2:$A$3142,$A106,RATEIOS!$D$2:$D$3142,"&lt;&gt;")&gt;0,"NÃO CLASSIFICADO","RATEIO OK"))))</f>
        <v>RATEIO OK</v>
      </c>
      <c r="R106" s="49" t="s">
        <v>2553</v>
      </c>
      <c r="S106" s="14"/>
    </row>
    <row r="107" spans="1:19" ht="24.95" customHeight="1" x14ac:dyDescent="0.25">
      <c r="A107" s="49" t="s">
        <v>1469</v>
      </c>
      <c r="B107" s="98">
        <v>106</v>
      </c>
      <c r="C107" s="50">
        <v>46052</v>
      </c>
      <c r="D107" s="49">
        <f t="shared" si="2"/>
        <v>1</v>
      </c>
      <c r="E107" s="92" t="s">
        <v>169</v>
      </c>
      <c r="F107" s="49" t="s">
        <v>36</v>
      </c>
      <c r="G107" s="14" t="s">
        <v>2814</v>
      </c>
      <c r="H107" s="14" t="s">
        <v>217</v>
      </c>
      <c r="I107" s="76"/>
      <c r="J107" s="73">
        <v>0</v>
      </c>
      <c r="K107" s="74">
        <v>19516.599999999999</v>
      </c>
      <c r="L107" s="72">
        <v>0</v>
      </c>
      <c r="M107" s="72">
        <v>0</v>
      </c>
      <c r="N107" s="72">
        <f>IF(AND(C107="",J107=0,K107=0,L107=0,M107=0),"",CADASTROS!$B$4+SUM($J$2:J107)+SUM($M$2:M107)-SUM($K$2:K107)-SUM($L$2:L107))</f>
        <v>-27681.889999999956</v>
      </c>
      <c r="O107" s="72">
        <f>IF(A107="","",SUMIF(RATEIOS!$A$2:$A$3142,$A107,RATEIOS!$F$2:$F$3142))</f>
        <v>19516.599999999999</v>
      </c>
      <c r="P107" s="15">
        <f t="shared" si="3"/>
        <v>0</v>
      </c>
      <c r="Q107" s="49" t="str">
        <f>IF(AND(J107=0,K107=0,L107=0,M107=0),"",IF(O107=0,"PENDENTE DE RATEIO",IF(ABS(P107)&gt;0.005,"DIVERGÊNCIA",IF(COUNTIF(RATEIOS!$A$2:$A$3142,$A107)-COUNTIFS(RATEIOS!$A$2:$A$3142,$A107,RATEIOS!$D$2:$D$3142,"&lt;&gt;")&gt;0,"NÃO CLASSIFICADO","RATEIO OK"))))</f>
        <v>RATEIO OK</v>
      </c>
      <c r="R107" s="49" t="s">
        <v>2553</v>
      </c>
      <c r="S107" s="14"/>
    </row>
    <row r="108" spans="1:19" ht="24.95" customHeight="1" x14ac:dyDescent="0.25">
      <c r="A108" s="49" t="s">
        <v>1471</v>
      </c>
      <c r="B108" s="98">
        <v>107</v>
      </c>
      <c r="C108" s="50">
        <v>46052</v>
      </c>
      <c r="D108" s="49">
        <f t="shared" si="2"/>
        <v>1</v>
      </c>
      <c r="E108" s="92" t="s">
        <v>118</v>
      </c>
      <c r="F108" s="49" t="s">
        <v>36</v>
      </c>
      <c r="G108" s="14" t="s">
        <v>218</v>
      </c>
      <c r="H108" s="14" t="s">
        <v>219</v>
      </c>
      <c r="I108" s="76" t="s">
        <v>220</v>
      </c>
      <c r="J108" s="73">
        <v>0</v>
      </c>
      <c r="K108" s="74">
        <v>1299.04</v>
      </c>
      <c r="L108" s="72">
        <v>0</v>
      </c>
      <c r="M108" s="72">
        <v>0</v>
      </c>
      <c r="N108" s="72">
        <f>IF(AND(C108="",J108=0,K108=0,L108=0,M108=0),"",CADASTROS!$B$4+SUM($J$2:J108)+SUM($M$2:M108)-SUM($K$2:K108)-SUM($L$2:L108))</f>
        <v>-28980.929999999935</v>
      </c>
      <c r="O108" s="72">
        <f>IF(A108="","",SUMIF(RATEIOS!$A$2:$A$3142,$A108,RATEIOS!$F$2:$F$3142))</f>
        <v>1299.04</v>
      </c>
      <c r="P108" s="15">
        <f t="shared" si="3"/>
        <v>0</v>
      </c>
      <c r="Q108" s="49" t="str">
        <f>IF(AND(J108=0,K108=0,L108=0,M108=0),"",IF(O108=0,"PENDENTE DE RATEIO",IF(ABS(P108)&gt;0.005,"DIVERGÊNCIA",IF(COUNTIF(RATEIOS!$A$2:$A$3142,$A108)-COUNTIFS(RATEIOS!$A$2:$A$3142,$A108,RATEIOS!$D$2:$D$3142,"&lt;&gt;")&gt;0,"NÃO CLASSIFICADO","RATEIO OK"))))</f>
        <v>RATEIO OK</v>
      </c>
      <c r="R108" s="49" t="s">
        <v>2553</v>
      </c>
      <c r="S108" s="14"/>
    </row>
    <row r="109" spans="1:19" ht="24.95" customHeight="1" x14ac:dyDescent="0.25">
      <c r="A109" s="49" t="s">
        <v>1472</v>
      </c>
      <c r="B109" s="98">
        <v>108</v>
      </c>
      <c r="C109" s="50">
        <v>46052</v>
      </c>
      <c r="D109" s="49">
        <f t="shared" si="2"/>
        <v>1</v>
      </c>
      <c r="E109" s="92" t="s">
        <v>118</v>
      </c>
      <c r="F109" s="49" t="s">
        <v>36</v>
      </c>
      <c r="G109" s="14" t="s">
        <v>221</v>
      </c>
      <c r="H109" s="14" t="s">
        <v>219</v>
      </c>
      <c r="I109" s="76" t="s">
        <v>222</v>
      </c>
      <c r="J109" s="73">
        <v>0</v>
      </c>
      <c r="K109" s="74">
        <v>1257.5899999999999</v>
      </c>
      <c r="L109" s="72">
        <v>0</v>
      </c>
      <c r="M109" s="72">
        <v>0</v>
      </c>
      <c r="N109" s="72">
        <f>IF(AND(C109="",J109=0,K109=0,L109=0,M109=0),"",CADASTROS!$B$4+SUM($J$2:J109)+SUM($M$2:M109)-SUM($K$2:K109)-SUM($L$2:L109))</f>
        <v>-30238.51999999996</v>
      </c>
      <c r="O109" s="72">
        <f>IF(A109="","",SUMIF(RATEIOS!$A$2:$A$3142,$A109,RATEIOS!$F$2:$F$3142))</f>
        <v>1257.5899999999999</v>
      </c>
      <c r="P109" s="15">
        <f t="shared" si="3"/>
        <v>0</v>
      </c>
      <c r="Q109" s="49" t="str">
        <f>IF(AND(J109=0,K109=0,L109=0,M109=0),"",IF(O109=0,"PENDENTE DE RATEIO",IF(ABS(P109)&gt;0.005,"DIVERGÊNCIA",IF(COUNTIF(RATEIOS!$A$2:$A$3142,$A109)-COUNTIFS(RATEIOS!$A$2:$A$3142,$A109,RATEIOS!$D$2:$D$3142,"&lt;&gt;")&gt;0,"NÃO CLASSIFICADO","RATEIO OK"))))</f>
        <v>RATEIO OK</v>
      </c>
      <c r="R109" s="49" t="s">
        <v>2553</v>
      </c>
      <c r="S109" s="14"/>
    </row>
    <row r="110" spans="1:19" ht="24.95" customHeight="1" x14ac:dyDescent="0.25">
      <c r="A110" s="49" t="s">
        <v>1474</v>
      </c>
      <c r="B110" s="98">
        <v>109</v>
      </c>
      <c r="C110" s="50">
        <v>46052</v>
      </c>
      <c r="D110" s="49">
        <f t="shared" si="2"/>
        <v>1</v>
      </c>
      <c r="E110" s="92" t="s">
        <v>118</v>
      </c>
      <c r="F110" s="49" t="s">
        <v>36</v>
      </c>
      <c r="G110" s="14" t="s">
        <v>223</v>
      </c>
      <c r="H110" s="14" t="s">
        <v>143</v>
      </c>
      <c r="I110" s="76" t="s">
        <v>224</v>
      </c>
      <c r="J110" s="73">
        <v>0</v>
      </c>
      <c r="K110" s="74">
        <v>48992.160000000003</v>
      </c>
      <c r="L110" s="72">
        <v>0</v>
      </c>
      <c r="M110" s="72">
        <v>0</v>
      </c>
      <c r="N110" s="72">
        <f>IF(AND(C110="",J110=0,K110=0,L110=0,M110=0),"",CADASTROS!$B$4+SUM($J$2:J110)+SUM($M$2:M110)-SUM($K$2:K110)-SUM($L$2:L110))</f>
        <v>-79230.679999999935</v>
      </c>
      <c r="O110" s="72">
        <f>IF(A110="","",SUMIF(RATEIOS!$A$2:$A$3142,$A110,RATEIOS!$F$2:$F$3142))</f>
        <v>48992.160000000003</v>
      </c>
      <c r="P110" s="15">
        <f t="shared" si="3"/>
        <v>0</v>
      </c>
      <c r="Q110" s="49" t="str">
        <f>IF(AND(J110=0,K110=0,L110=0,M110=0),"",IF(O110=0,"PENDENTE DE RATEIO",IF(ABS(P110)&gt;0.005,"DIVERGÊNCIA",IF(COUNTIF(RATEIOS!$A$2:$A$3142,$A110)-COUNTIFS(RATEIOS!$A$2:$A$3142,$A110,RATEIOS!$D$2:$D$3142,"&lt;&gt;")&gt;0,"NÃO CLASSIFICADO","RATEIO OK"))))</f>
        <v>RATEIO OK</v>
      </c>
      <c r="R110" s="49" t="s">
        <v>2553</v>
      </c>
      <c r="S110" s="14"/>
    </row>
    <row r="111" spans="1:19" ht="24.95" customHeight="1" x14ac:dyDescent="0.25">
      <c r="A111" s="49" t="s">
        <v>1475</v>
      </c>
      <c r="B111" s="98">
        <v>110</v>
      </c>
      <c r="C111" s="50">
        <v>46052</v>
      </c>
      <c r="D111" s="49">
        <f t="shared" si="2"/>
        <v>1</v>
      </c>
      <c r="E111" s="92" t="s">
        <v>118</v>
      </c>
      <c r="F111" s="49" t="s">
        <v>36</v>
      </c>
      <c r="G111" s="14" t="s">
        <v>225</v>
      </c>
      <c r="H111" s="14" t="s">
        <v>143</v>
      </c>
      <c r="I111" s="76" t="s">
        <v>226</v>
      </c>
      <c r="J111" s="73">
        <v>0</v>
      </c>
      <c r="K111" s="74">
        <v>9331.84</v>
      </c>
      <c r="L111" s="72">
        <v>0</v>
      </c>
      <c r="M111" s="72">
        <v>0</v>
      </c>
      <c r="N111" s="72">
        <f>IF(AND(C111="",J111=0,K111=0,L111=0,M111=0),"",CADASTROS!$B$4+SUM($J$2:J111)+SUM($M$2:M111)-SUM($K$2:K111)-SUM($L$2:L111))</f>
        <v>-88562.51999999996</v>
      </c>
      <c r="O111" s="72">
        <f>IF(A111="","",SUMIF(RATEIOS!$A$2:$A$3142,$A111,RATEIOS!$F$2:$F$3142))</f>
        <v>9331.84</v>
      </c>
      <c r="P111" s="15">
        <f t="shared" si="3"/>
        <v>0</v>
      </c>
      <c r="Q111" s="49" t="str">
        <f>IF(AND(J111=0,K111=0,L111=0,M111=0),"",IF(O111=0,"PENDENTE DE RATEIO",IF(ABS(P111)&gt;0.005,"DIVERGÊNCIA",IF(COUNTIF(RATEIOS!$A$2:$A$3142,$A111)-COUNTIFS(RATEIOS!$A$2:$A$3142,$A111,RATEIOS!$D$2:$D$3142,"&lt;&gt;")&gt;0,"NÃO CLASSIFICADO","RATEIO OK"))))</f>
        <v>RATEIO OK</v>
      </c>
      <c r="R111" s="49" t="s">
        <v>2553</v>
      </c>
      <c r="S111" s="14"/>
    </row>
    <row r="112" spans="1:19" ht="24.95" customHeight="1" x14ac:dyDescent="0.25">
      <c r="A112" s="49" t="s">
        <v>1476</v>
      </c>
      <c r="B112" s="98">
        <v>111</v>
      </c>
      <c r="C112" s="50">
        <v>46052</v>
      </c>
      <c r="D112" s="49">
        <f t="shared" si="2"/>
        <v>1</v>
      </c>
      <c r="E112" s="92" t="s">
        <v>118</v>
      </c>
      <c r="F112" s="49" t="s">
        <v>36</v>
      </c>
      <c r="G112" s="14" t="s">
        <v>227</v>
      </c>
      <c r="H112" s="14" t="s">
        <v>228</v>
      </c>
      <c r="I112" s="76"/>
      <c r="J112" s="73">
        <v>0</v>
      </c>
      <c r="K112" s="74">
        <v>2067</v>
      </c>
      <c r="L112" s="72">
        <v>0</v>
      </c>
      <c r="M112" s="72">
        <v>0</v>
      </c>
      <c r="N112" s="72">
        <f>IF(AND(C112="",J112=0,K112=0,L112=0,M112=0),"",CADASTROS!$B$4+SUM($J$2:J112)+SUM($M$2:M112)-SUM($K$2:K112)-SUM($L$2:L112))</f>
        <v>-90629.51999999996</v>
      </c>
      <c r="O112" s="72">
        <f>IF(A112="","",SUMIF(RATEIOS!$A$2:$A$3142,$A112,RATEIOS!$F$2:$F$3142))</f>
        <v>2067</v>
      </c>
      <c r="P112" s="15">
        <f t="shared" si="3"/>
        <v>0</v>
      </c>
      <c r="Q112" s="49" t="str">
        <f>IF(AND(J112=0,K112=0,L112=0,M112=0),"",IF(O112=0,"PENDENTE DE RATEIO",IF(ABS(P112)&gt;0.005,"DIVERGÊNCIA",IF(COUNTIF(RATEIOS!$A$2:$A$3142,$A112)-COUNTIFS(RATEIOS!$A$2:$A$3142,$A112,RATEIOS!$D$2:$D$3142,"&lt;&gt;")&gt;0,"NÃO CLASSIFICADO","RATEIO OK"))))</f>
        <v>RATEIO OK</v>
      </c>
      <c r="R112" s="49" t="s">
        <v>2553</v>
      </c>
      <c r="S112" s="14"/>
    </row>
    <row r="113" spans="1:19" ht="24.95" customHeight="1" x14ac:dyDescent="0.25">
      <c r="A113" s="49" t="s">
        <v>1477</v>
      </c>
      <c r="B113" s="98">
        <v>112</v>
      </c>
      <c r="C113" s="50">
        <v>46052</v>
      </c>
      <c r="D113" s="49">
        <f t="shared" si="2"/>
        <v>1</v>
      </c>
      <c r="E113" s="92" t="s">
        <v>2558</v>
      </c>
      <c r="F113" s="49" t="s">
        <v>38</v>
      </c>
      <c r="G113" s="14" t="s">
        <v>45</v>
      </c>
      <c r="H113" s="14" t="s">
        <v>46</v>
      </c>
      <c r="I113" s="76"/>
      <c r="J113" s="73">
        <v>0</v>
      </c>
      <c r="K113" s="74">
        <v>0</v>
      </c>
      <c r="L113" s="72">
        <v>0</v>
      </c>
      <c r="M113" s="72">
        <v>91000</v>
      </c>
      <c r="N113" s="72">
        <f>IF(AND(C113="",J113=0,K113=0,L113=0,M113=0),"",CADASTROS!$B$4+SUM($J$2:J113)+SUM($M$2:M113)-SUM($K$2:K113)-SUM($L$2:L113))</f>
        <v>370.48000000003958</v>
      </c>
      <c r="O113" s="72">
        <f>IF(A113="","",SUMIF(RATEIOS!$A$2:$A$3142,$A113,RATEIOS!$F$2:$F$3142))</f>
        <v>91000</v>
      </c>
      <c r="P113" s="15">
        <f t="shared" si="3"/>
        <v>0</v>
      </c>
      <c r="Q113" s="49" t="str">
        <f>IF(AND(J113=0,K113=0,L113=0,M113=0),"",IF(O113=0,"PENDENTE DE RATEIO",IF(ABS(P113)&gt;0.005,"DIVERGÊNCIA",IF(COUNTIF(RATEIOS!$A$2:$A$3142,$A113)-COUNTIFS(RATEIOS!$A$2:$A$3142,$A113,RATEIOS!$D$2:$D$3142,"&lt;&gt;")&gt;0,"NÃO CLASSIFICADO","RATEIO OK"))))</f>
        <v>RATEIO OK</v>
      </c>
      <c r="R113" s="49" t="s">
        <v>2553</v>
      </c>
      <c r="S113" s="14"/>
    </row>
    <row r="114" spans="1:19" ht="24.95" customHeight="1" x14ac:dyDescent="0.25">
      <c r="A114" s="49" t="s">
        <v>1478</v>
      </c>
      <c r="B114" s="98">
        <v>113</v>
      </c>
      <c r="C114" s="50">
        <v>46055</v>
      </c>
      <c r="D114" s="49">
        <f t="shared" si="2"/>
        <v>2</v>
      </c>
      <c r="E114" s="92" t="s">
        <v>118</v>
      </c>
      <c r="F114" s="49" t="s">
        <v>36</v>
      </c>
      <c r="G114" s="14" t="s">
        <v>231</v>
      </c>
      <c r="H114" s="14" t="s">
        <v>59</v>
      </c>
      <c r="I114" s="76" t="s">
        <v>62</v>
      </c>
      <c r="J114" s="73">
        <v>0</v>
      </c>
      <c r="K114" s="74">
        <v>2535</v>
      </c>
      <c r="L114" s="72">
        <v>0</v>
      </c>
      <c r="M114" s="72">
        <v>0</v>
      </c>
      <c r="N114" s="72">
        <f>IF(AND(C114="",J114=0,K114=0,L114=0,M114=0),"",CADASTROS!$B$4+SUM($J$2:J114)+SUM($M$2:M114)-SUM($K$2:K114)-SUM($L$2:L114))</f>
        <v>-2164.5199999999604</v>
      </c>
      <c r="O114" s="72">
        <f>IF(A114="","",SUMIF(RATEIOS!$A$2:$A$3142,$A114,RATEIOS!$F$2:$F$3142))</f>
        <v>2535</v>
      </c>
      <c r="P114" s="15">
        <f t="shared" si="3"/>
        <v>0</v>
      </c>
      <c r="Q114" s="49" t="str">
        <f>IF(AND(J114=0,K114=0,L114=0,M114=0),"",IF(O114=0,"PENDENTE DE RATEIO",IF(ABS(P114)&gt;0.005,"DIVERGÊNCIA",IF(COUNTIF(RATEIOS!$A$2:$A$3142,$A114)-COUNTIFS(RATEIOS!$A$2:$A$3142,$A114,RATEIOS!$D$2:$D$3142,"&lt;&gt;")&gt;0,"NÃO CLASSIFICADO","RATEIO OK"))))</f>
        <v>RATEIO OK</v>
      </c>
      <c r="R114" s="49" t="s">
        <v>2553</v>
      </c>
      <c r="S114" s="14"/>
    </row>
    <row r="115" spans="1:19" ht="24.95" customHeight="1" x14ac:dyDescent="0.25">
      <c r="A115" s="49" t="s">
        <v>1480</v>
      </c>
      <c r="B115" s="98">
        <v>114</v>
      </c>
      <c r="C115" s="50">
        <v>46055</v>
      </c>
      <c r="D115" s="49">
        <f t="shared" si="2"/>
        <v>2</v>
      </c>
      <c r="E115" s="92" t="s">
        <v>118</v>
      </c>
      <c r="F115" s="49" t="s">
        <v>36</v>
      </c>
      <c r="G115" s="14" t="s">
        <v>232</v>
      </c>
      <c r="H115" s="14" t="s">
        <v>188</v>
      </c>
      <c r="I115" s="76" t="s">
        <v>233</v>
      </c>
      <c r="J115" s="73">
        <v>0</v>
      </c>
      <c r="K115" s="74">
        <v>1570</v>
      </c>
      <c r="L115" s="72">
        <v>0</v>
      </c>
      <c r="M115" s="72">
        <v>0</v>
      </c>
      <c r="N115" s="72">
        <f>IF(AND(C115="",J115=0,K115=0,L115=0,M115=0),"",CADASTROS!$B$4+SUM($J$2:J115)+SUM($M$2:M115)-SUM($K$2:K115)-SUM($L$2:L115))</f>
        <v>-3734.5199999999604</v>
      </c>
      <c r="O115" s="72">
        <f>IF(A115="","",SUMIF(RATEIOS!$A$2:$A$3142,$A115,RATEIOS!$F$2:$F$3142))</f>
        <v>1570</v>
      </c>
      <c r="P115" s="15">
        <f t="shared" si="3"/>
        <v>0</v>
      </c>
      <c r="Q115" s="49" t="str">
        <f>IF(AND(J115=0,K115=0,L115=0,M115=0),"",IF(O115=0,"PENDENTE DE RATEIO",IF(ABS(P115)&gt;0.005,"DIVERGÊNCIA",IF(COUNTIF(RATEIOS!$A$2:$A$3142,$A115)-COUNTIFS(RATEIOS!$A$2:$A$3142,$A115,RATEIOS!$D$2:$D$3142,"&lt;&gt;")&gt;0,"NÃO CLASSIFICADO","RATEIO OK"))))</f>
        <v>RATEIO OK</v>
      </c>
      <c r="R115" s="49" t="s">
        <v>2553</v>
      </c>
      <c r="S115" s="14"/>
    </row>
    <row r="116" spans="1:19" ht="24.95" customHeight="1" x14ac:dyDescent="0.25">
      <c r="A116" s="49" t="s">
        <v>1482</v>
      </c>
      <c r="B116" s="98">
        <v>115</v>
      </c>
      <c r="C116" s="50">
        <v>46055</v>
      </c>
      <c r="D116" s="49">
        <f t="shared" si="2"/>
        <v>2</v>
      </c>
      <c r="E116" s="92" t="s">
        <v>72</v>
      </c>
      <c r="F116" s="49" t="s">
        <v>36</v>
      </c>
      <c r="G116" s="14" t="s">
        <v>234</v>
      </c>
      <c r="H116" s="14" t="s">
        <v>74</v>
      </c>
      <c r="I116" s="76" t="s">
        <v>235</v>
      </c>
      <c r="J116" s="73">
        <v>0</v>
      </c>
      <c r="K116" s="74">
        <v>1495.45</v>
      </c>
      <c r="L116" s="72">
        <v>0</v>
      </c>
      <c r="M116" s="72">
        <v>0</v>
      </c>
      <c r="N116" s="72">
        <f>IF(AND(C116="",J116=0,K116=0,L116=0,M116=0),"",CADASTROS!$B$4+SUM($J$2:J116)+SUM($M$2:M116)-SUM($K$2:K116)-SUM($L$2:L116))</f>
        <v>-5229.9699999999721</v>
      </c>
      <c r="O116" s="72">
        <f>IF(A116="","",SUMIF(RATEIOS!$A$2:$A$3142,$A116,RATEIOS!$F$2:$F$3142))</f>
        <v>1495.45</v>
      </c>
      <c r="P116" s="15">
        <f t="shared" si="3"/>
        <v>0</v>
      </c>
      <c r="Q116" s="49" t="str">
        <f>IF(AND(J116=0,K116=0,L116=0,M116=0),"",IF(O116=0,"PENDENTE DE RATEIO",IF(ABS(P116)&gt;0.005,"DIVERGÊNCIA",IF(COUNTIF(RATEIOS!$A$2:$A$3142,$A116)-COUNTIFS(RATEIOS!$A$2:$A$3142,$A116,RATEIOS!$D$2:$D$3142,"&lt;&gt;")&gt;0,"NÃO CLASSIFICADO","RATEIO OK"))))</f>
        <v>RATEIO OK</v>
      </c>
      <c r="R116" s="49" t="s">
        <v>2553</v>
      </c>
      <c r="S116" s="14"/>
    </row>
    <row r="117" spans="1:19" ht="24.95" customHeight="1" x14ac:dyDescent="0.25">
      <c r="A117" s="49" t="s">
        <v>1483</v>
      </c>
      <c r="B117" s="98">
        <v>116</v>
      </c>
      <c r="C117" s="50">
        <v>46055</v>
      </c>
      <c r="D117" s="49">
        <f t="shared" si="2"/>
        <v>2</v>
      </c>
      <c r="E117" s="92" t="s">
        <v>118</v>
      </c>
      <c r="F117" s="49" t="s">
        <v>36</v>
      </c>
      <c r="G117" s="14" t="s">
        <v>236</v>
      </c>
      <c r="H117" s="14" t="s">
        <v>51</v>
      </c>
      <c r="I117" s="76" t="s">
        <v>52</v>
      </c>
      <c r="J117" s="73">
        <v>0</v>
      </c>
      <c r="K117" s="74">
        <v>1300.83</v>
      </c>
      <c r="L117" s="72">
        <v>0</v>
      </c>
      <c r="M117" s="72">
        <v>0</v>
      </c>
      <c r="N117" s="72">
        <f>IF(AND(C117="",J117=0,K117=0,L117=0,M117=0),"",CADASTROS!$B$4+SUM($J$2:J117)+SUM($M$2:M117)-SUM($K$2:K117)-SUM($L$2:L117))</f>
        <v>-6530.7999999999884</v>
      </c>
      <c r="O117" s="72">
        <f>IF(A117="","",SUMIF(RATEIOS!$A$2:$A$3142,$A117,RATEIOS!$F$2:$F$3142))</f>
        <v>1300.83</v>
      </c>
      <c r="P117" s="15">
        <f t="shared" si="3"/>
        <v>0</v>
      </c>
      <c r="Q117" s="49" t="str">
        <f>IF(AND(J117=0,K117=0,L117=0,M117=0),"",IF(O117=0,"PENDENTE DE RATEIO",IF(ABS(P117)&gt;0.005,"DIVERGÊNCIA",IF(COUNTIF(RATEIOS!$A$2:$A$3142,$A117)-COUNTIFS(RATEIOS!$A$2:$A$3142,$A117,RATEIOS!$D$2:$D$3142,"&lt;&gt;")&gt;0,"NÃO CLASSIFICADO","RATEIO OK"))))</f>
        <v>RATEIO OK</v>
      </c>
      <c r="R117" s="49" t="s">
        <v>2553</v>
      </c>
      <c r="S117" s="14"/>
    </row>
    <row r="118" spans="1:19" ht="24.95" customHeight="1" x14ac:dyDescent="0.25">
      <c r="A118" s="49" t="s">
        <v>1484</v>
      </c>
      <c r="B118" s="98">
        <v>117</v>
      </c>
      <c r="C118" s="50">
        <v>46055</v>
      </c>
      <c r="D118" s="49">
        <f t="shared" si="2"/>
        <v>2</v>
      </c>
      <c r="E118" s="92" t="s">
        <v>118</v>
      </c>
      <c r="F118" s="49" t="s">
        <v>36</v>
      </c>
      <c r="G118" s="14" t="s">
        <v>237</v>
      </c>
      <c r="H118" s="14" t="s">
        <v>59</v>
      </c>
      <c r="I118" s="76" t="s">
        <v>238</v>
      </c>
      <c r="J118" s="73">
        <v>0</v>
      </c>
      <c r="K118" s="74">
        <v>851</v>
      </c>
      <c r="L118" s="72">
        <v>0</v>
      </c>
      <c r="M118" s="72">
        <v>0</v>
      </c>
      <c r="N118" s="72">
        <f>IF(AND(C118="",J118=0,K118=0,L118=0,M118=0),"",CADASTROS!$B$4+SUM($J$2:J118)+SUM($M$2:M118)-SUM($K$2:K118)-SUM($L$2:L118))</f>
        <v>-7381.7999999999884</v>
      </c>
      <c r="O118" s="72">
        <f>IF(A118="","",SUMIF(RATEIOS!$A$2:$A$3142,$A118,RATEIOS!$F$2:$F$3142))</f>
        <v>851</v>
      </c>
      <c r="P118" s="15">
        <f t="shared" si="3"/>
        <v>0</v>
      </c>
      <c r="Q118" s="49" t="str">
        <f>IF(AND(J118=0,K118=0,L118=0,M118=0),"",IF(O118=0,"PENDENTE DE RATEIO",IF(ABS(P118)&gt;0.005,"DIVERGÊNCIA",IF(COUNTIF(RATEIOS!$A$2:$A$3142,$A118)-COUNTIFS(RATEIOS!$A$2:$A$3142,$A118,RATEIOS!$D$2:$D$3142,"&lt;&gt;")&gt;0,"NÃO CLASSIFICADO","RATEIO OK"))))</f>
        <v>RATEIO OK</v>
      </c>
      <c r="R118" s="49" t="s">
        <v>2553</v>
      </c>
      <c r="S118" s="14"/>
    </row>
    <row r="119" spans="1:19" ht="24.95" customHeight="1" x14ac:dyDescent="0.25">
      <c r="A119" s="49" t="s">
        <v>1486</v>
      </c>
      <c r="B119" s="98">
        <v>118</v>
      </c>
      <c r="C119" s="50">
        <v>46055</v>
      </c>
      <c r="D119" s="49">
        <f t="shared" si="2"/>
        <v>2</v>
      </c>
      <c r="E119" s="92" t="s">
        <v>118</v>
      </c>
      <c r="F119" s="49" t="s">
        <v>36</v>
      </c>
      <c r="G119" s="14" t="s">
        <v>239</v>
      </c>
      <c r="H119" s="14" t="s">
        <v>65</v>
      </c>
      <c r="I119" s="76" t="s">
        <v>241</v>
      </c>
      <c r="J119" s="73">
        <v>0</v>
      </c>
      <c r="K119" s="74">
        <v>789.5</v>
      </c>
      <c r="L119" s="72">
        <v>0</v>
      </c>
      <c r="M119" s="72">
        <v>0</v>
      </c>
      <c r="N119" s="72">
        <f>IF(AND(C119="",J119=0,K119=0,L119=0,M119=0),"",CADASTROS!$B$4+SUM($J$2:J119)+SUM($M$2:M119)-SUM($K$2:K119)-SUM($L$2:L119))</f>
        <v>-8171.2999999999884</v>
      </c>
      <c r="O119" s="72">
        <f>IF(A119="","",SUMIF(RATEIOS!$A$2:$A$3142,$A119,RATEIOS!$F$2:$F$3142))</f>
        <v>789.5</v>
      </c>
      <c r="P119" s="15">
        <f t="shared" si="3"/>
        <v>0</v>
      </c>
      <c r="Q119" s="49" t="str">
        <f>IF(AND(J119=0,K119=0,L119=0,M119=0),"",IF(O119=0,"PENDENTE DE RATEIO",IF(ABS(P119)&gt;0.005,"DIVERGÊNCIA",IF(COUNTIF(RATEIOS!$A$2:$A$3142,$A119)-COUNTIFS(RATEIOS!$A$2:$A$3142,$A119,RATEIOS!$D$2:$D$3142,"&lt;&gt;")&gt;0,"NÃO CLASSIFICADO","RATEIO OK"))))</f>
        <v>RATEIO OK</v>
      </c>
      <c r="R119" s="49" t="s">
        <v>2553</v>
      </c>
      <c r="S119" s="14"/>
    </row>
    <row r="120" spans="1:19" ht="24.95" customHeight="1" x14ac:dyDescent="0.25">
      <c r="A120" s="49" t="s">
        <v>1487</v>
      </c>
      <c r="B120" s="98">
        <v>119</v>
      </c>
      <c r="C120" s="50">
        <v>46055</v>
      </c>
      <c r="D120" s="49">
        <f t="shared" si="2"/>
        <v>2</v>
      </c>
      <c r="E120" s="92" t="s">
        <v>2558</v>
      </c>
      <c r="F120" s="49" t="s">
        <v>38</v>
      </c>
      <c r="G120" s="14" t="s">
        <v>45</v>
      </c>
      <c r="H120" s="14" t="s">
        <v>46</v>
      </c>
      <c r="I120" s="76"/>
      <c r="J120" s="73">
        <v>0</v>
      </c>
      <c r="K120" s="74">
        <v>0</v>
      </c>
      <c r="L120" s="72">
        <v>0</v>
      </c>
      <c r="M120" s="72">
        <v>928.2</v>
      </c>
      <c r="N120" s="72">
        <f>IF(AND(C120="",J120=0,K120=0,L120=0,M120=0),"",CADASTROS!$B$4+SUM($J$2:J120)+SUM($M$2:M120)-SUM($K$2:K120)-SUM($L$2:L120))</f>
        <v>-7243.0999999999767</v>
      </c>
      <c r="O120" s="72">
        <f>IF(A120="","",SUMIF(RATEIOS!$A$2:$A$3142,$A120,RATEIOS!$F$2:$F$3142))</f>
        <v>928.2</v>
      </c>
      <c r="P120" s="15">
        <f t="shared" si="3"/>
        <v>0</v>
      </c>
      <c r="Q120" s="49" t="str">
        <f>IF(AND(J120=0,K120=0,L120=0,M120=0),"",IF(O120=0,"PENDENTE DE RATEIO",IF(ABS(P120)&gt;0.005,"DIVERGÊNCIA",IF(COUNTIF(RATEIOS!$A$2:$A$3142,$A120)-COUNTIFS(RATEIOS!$A$2:$A$3142,$A120,RATEIOS!$D$2:$D$3142,"&lt;&gt;")&gt;0,"NÃO CLASSIFICADO","RATEIO OK"))))</f>
        <v>RATEIO OK</v>
      </c>
      <c r="R120" s="49" t="s">
        <v>2553</v>
      </c>
      <c r="S120" s="14"/>
    </row>
    <row r="121" spans="1:19" ht="24.95" customHeight="1" x14ac:dyDescent="0.25">
      <c r="A121" s="49" t="s">
        <v>1488</v>
      </c>
      <c r="B121" s="98">
        <v>120</v>
      </c>
      <c r="C121" s="50">
        <v>46055</v>
      </c>
      <c r="D121" s="49">
        <f t="shared" si="2"/>
        <v>2</v>
      </c>
      <c r="E121" s="92" t="s">
        <v>2558</v>
      </c>
      <c r="F121" s="49" t="s">
        <v>38</v>
      </c>
      <c r="G121" s="14" t="s">
        <v>45</v>
      </c>
      <c r="H121" s="14" t="s">
        <v>46</v>
      </c>
      <c r="I121" s="76"/>
      <c r="J121" s="73">
        <v>0</v>
      </c>
      <c r="K121" s="74">
        <v>0</v>
      </c>
      <c r="L121" s="72">
        <v>0</v>
      </c>
      <c r="M121" s="72">
        <v>7500</v>
      </c>
      <c r="N121" s="72">
        <f>IF(AND(C121="",J121=0,K121=0,L121=0,M121=0),"",CADASTROS!$B$4+SUM($J$2:J121)+SUM($M$2:M121)-SUM($K$2:K121)-SUM($L$2:L121))</f>
        <v>256.90000000002328</v>
      </c>
      <c r="O121" s="72">
        <f>IF(A121="","",SUMIF(RATEIOS!$A$2:$A$3142,$A121,RATEIOS!$F$2:$F$3142))</f>
        <v>7500</v>
      </c>
      <c r="P121" s="15">
        <f t="shared" si="3"/>
        <v>0</v>
      </c>
      <c r="Q121" s="49" t="str">
        <f>IF(AND(J121=0,K121=0,L121=0,M121=0),"",IF(O121=0,"PENDENTE DE RATEIO",IF(ABS(P121)&gt;0.005,"DIVERGÊNCIA",IF(COUNTIF(RATEIOS!$A$2:$A$3142,$A121)-COUNTIFS(RATEIOS!$A$2:$A$3142,$A121,RATEIOS!$D$2:$D$3142,"&lt;&gt;")&gt;0,"NÃO CLASSIFICADO","RATEIO OK"))))</f>
        <v>RATEIO OK</v>
      </c>
      <c r="R121" s="49" t="s">
        <v>2553</v>
      </c>
      <c r="S121" s="14"/>
    </row>
    <row r="122" spans="1:19" ht="24.95" customHeight="1" x14ac:dyDescent="0.25">
      <c r="A122" s="49" t="s">
        <v>1489</v>
      </c>
      <c r="B122" s="98">
        <v>121</v>
      </c>
      <c r="C122" s="50">
        <v>46056</v>
      </c>
      <c r="D122" s="49">
        <f t="shared" si="2"/>
        <v>2</v>
      </c>
      <c r="E122" s="92" t="s">
        <v>118</v>
      </c>
      <c r="F122" s="49" t="s">
        <v>36</v>
      </c>
      <c r="G122" s="14" t="s">
        <v>242</v>
      </c>
      <c r="H122" s="14" t="s">
        <v>59</v>
      </c>
      <c r="I122" s="76" t="s">
        <v>243</v>
      </c>
      <c r="J122" s="73">
        <v>0</v>
      </c>
      <c r="K122" s="74">
        <v>2890</v>
      </c>
      <c r="L122" s="72">
        <v>0</v>
      </c>
      <c r="M122" s="72">
        <v>0</v>
      </c>
      <c r="N122" s="72">
        <f>IF(AND(C122="",J122=0,K122=0,L122=0,M122=0),"",CADASTROS!$B$4+SUM($J$2:J122)+SUM($M$2:M122)-SUM($K$2:K122)-SUM($L$2:L122))</f>
        <v>-2633.0999999999767</v>
      </c>
      <c r="O122" s="72">
        <f>IF(A122="","",SUMIF(RATEIOS!$A$2:$A$3142,$A122,RATEIOS!$F$2:$F$3142))</f>
        <v>2890</v>
      </c>
      <c r="P122" s="15">
        <f t="shared" si="3"/>
        <v>0</v>
      </c>
      <c r="Q122" s="49" t="str">
        <f>IF(AND(J122=0,K122=0,L122=0,M122=0),"",IF(O122=0,"PENDENTE DE RATEIO",IF(ABS(P122)&gt;0.005,"DIVERGÊNCIA",IF(COUNTIF(RATEIOS!$A$2:$A$3142,$A122)-COUNTIFS(RATEIOS!$A$2:$A$3142,$A122,RATEIOS!$D$2:$D$3142,"&lt;&gt;")&gt;0,"NÃO CLASSIFICADO","RATEIO OK"))))</f>
        <v>RATEIO OK</v>
      </c>
      <c r="R122" s="49" t="s">
        <v>2553</v>
      </c>
      <c r="S122" s="14"/>
    </row>
    <row r="123" spans="1:19" ht="24.95" customHeight="1" x14ac:dyDescent="0.25">
      <c r="A123" s="49" t="s">
        <v>1490</v>
      </c>
      <c r="B123" s="98">
        <v>122</v>
      </c>
      <c r="C123" s="50">
        <v>46056</v>
      </c>
      <c r="D123" s="49">
        <f t="shared" si="2"/>
        <v>2</v>
      </c>
      <c r="E123" s="92" t="s">
        <v>72</v>
      </c>
      <c r="F123" s="49" t="s">
        <v>36</v>
      </c>
      <c r="G123" s="14" t="s">
        <v>244</v>
      </c>
      <c r="H123" s="14" t="s">
        <v>245</v>
      </c>
      <c r="I123" s="76" t="s">
        <v>213</v>
      </c>
      <c r="J123" s="73">
        <v>0</v>
      </c>
      <c r="K123" s="74">
        <v>500</v>
      </c>
      <c r="L123" s="72">
        <v>0</v>
      </c>
      <c r="M123" s="72">
        <v>0</v>
      </c>
      <c r="N123" s="72">
        <f>IF(AND(C123="",J123=0,K123=0,L123=0,M123=0),"",CADASTROS!$B$4+SUM($J$2:J123)+SUM($M$2:M123)-SUM($K$2:K123)-SUM($L$2:L123))</f>
        <v>-3133.0999999999767</v>
      </c>
      <c r="O123" s="72">
        <f>IF(A123="","",SUMIF(RATEIOS!$A$2:$A$3142,$A123,RATEIOS!$F$2:$F$3142))</f>
        <v>500</v>
      </c>
      <c r="P123" s="15">
        <f t="shared" si="3"/>
        <v>0</v>
      </c>
      <c r="Q123" s="49" t="str">
        <f>IF(AND(J123=0,K123=0,L123=0,M123=0),"",IF(O123=0,"PENDENTE DE RATEIO",IF(ABS(P123)&gt;0.005,"DIVERGÊNCIA",IF(COUNTIF(RATEIOS!$A$2:$A$3142,$A123)-COUNTIFS(RATEIOS!$A$2:$A$3142,$A123,RATEIOS!$D$2:$D$3142,"&lt;&gt;")&gt;0,"NÃO CLASSIFICADO","RATEIO OK"))))</f>
        <v>RATEIO OK</v>
      </c>
      <c r="R123" s="49" t="s">
        <v>2553</v>
      </c>
      <c r="S123" s="14" t="s">
        <v>246</v>
      </c>
    </row>
    <row r="124" spans="1:19" ht="24.95" customHeight="1" x14ac:dyDescent="0.25">
      <c r="A124" s="49" t="s">
        <v>1491</v>
      </c>
      <c r="B124" s="98">
        <v>123</v>
      </c>
      <c r="C124" s="50">
        <v>46056</v>
      </c>
      <c r="D124" s="49">
        <f t="shared" si="2"/>
        <v>2</v>
      </c>
      <c r="E124" s="92" t="s">
        <v>72</v>
      </c>
      <c r="F124" s="49" t="s">
        <v>36</v>
      </c>
      <c r="G124" s="14" t="s">
        <v>247</v>
      </c>
      <c r="H124" s="14" t="s">
        <v>248</v>
      </c>
      <c r="I124" s="76" t="s">
        <v>249</v>
      </c>
      <c r="J124" s="73">
        <v>0</v>
      </c>
      <c r="K124" s="74">
        <v>500</v>
      </c>
      <c r="L124" s="72">
        <v>0</v>
      </c>
      <c r="M124" s="72">
        <v>0</v>
      </c>
      <c r="N124" s="72">
        <f>IF(AND(C124="",J124=0,K124=0,L124=0,M124=0),"",CADASTROS!$B$4+SUM($J$2:J124)+SUM($M$2:M124)-SUM($K$2:K124)-SUM($L$2:L124))</f>
        <v>-3633.0999999999767</v>
      </c>
      <c r="O124" s="72">
        <f>IF(A124="","",SUMIF(RATEIOS!$A$2:$A$3142,$A124,RATEIOS!$F$2:$F$3142))</f>
        <v>500</v>
      </c>
      <c r="P124" s="15">
        <f t="shared" si="3"/>
        <v>0</v>
      </c>
      <c r="Q124" s="49" t="str">
        <f>IF(AND(J124=0,K124=0,L124=0,M124=0),"",IF(O124=0,"PENDENTE DE RATEIO",IF(ABS(P124)&gt;0.005,"DIVERGÊNCIA",IF(COUNTIF(RATEIOS!$A$2:$A$3142,$A124)-COUNTIFS(RATEIOS!$A$2:$A$3142,$A124,RATEIOS!$D$2:$D$3142,"&lt;&gt;")&gt;0,"NÃO CLASSIFICADO","RATEIO OK"))))</f>
        <v>RATEIO OK</v>
      </c>
      <c r="R124" s="49" t="s">
        <v>2553</v>
      </c>
      <c r="S124" s="14"/>
    </row>
    <row r="125" spans="1:19" ht="24.95" customHeight="1" x14ac:dyDescent="0.25">
      <c r="A125" s="49" t="s">
        <v>1492</v>
      </c>
      <c r="B125" s="98">
        <v>124</v>
      </c>
      <c r="C125" s="50">
        <v>46056</v>
      </c>
      <c r="D125" s="49">
        <f t="shared" si="2"/>
        <v>2</v>
      </c>
      <c r="E125" s="92" t="s">
        <v>287</v>
      </c>
      <c r="F125" s="49" t="s">
        <v>36</v>
      </c>
      <c r="G125" s="14" t="s">
        <v>47</v>
      </c>
      <c r="H125" s="14" t="s">
        <v>48</v>
      </c>
      <c r="I125" s="76" t="s">
        <v>250</v>
      </c>
      <c r="J125" s="73">
        <v>0</v>
      </c>
      <c r="K125" s="74">
        <v>270</v>
      </c>
      <c r="L125" s="72">
        <v>0</v>
      </c>
      <c r="M125" s="72">
        <v>0</v>
      </c>
      <c r="N125" s="72">
        <f>IF(AND(C125="",J125=0,K125=0,L125=0,M125=0),"",CADASTROS!$B$4+SUM($J$2:J125)+SUM($M$2:M125)-SUM($K$2:K125)-SUM($L$2:L125))</f>
        <v>-3903.0999999999767</v>
      </c>
      <c r="O125" s="72">
        <f>IF(A125="","",SUMIF(RATEIOS!$A$2:$A$3142,$A125,RATEIOS!$F$2:$F$3142))</f>
        <v>270</v>
      </c>
      <c r="P125" s="15">
        <f t="shared" si="3"/>
        <v>0</v>
      </c>
      <c r="Q125" s="49" t="str">
        <f>IF(AND(J125=0,K125=0,L125=0,M125=0),"",IF(O125=0,"PENDENTE DE RATEIO",IF(ABS(P125)&gt;0.005,"DIVERGÊNCIA",IF(COUNTIF(RATEIOS!$A$2:$A$3142,$A125)-COUNTIFS(RATEIOS!$A$2:$A$3142,$A125,RATEIOS!$D$2:$D$3142,"&lt;&gt;")&gt;0,"NÃO CLASSIFICADO","RATEIO OK"))))</f>
        <v>RATEIO OK</v>
      </c>
      <c r="R125" s="49" t="s">
        <v>2553</v>
      </c>
      <c r="S125" s="14" t="s">
        <v>2964</v>
      </c>
    </row>
    <row r="126" spans="1:19" ht="24.95" customHeight="1" x14ac:dyDescent="0.25">
      <c r="A126" s="49" t="s">
        <v>1493</v>
      </c>
      <c r="B126" s="98">
        <v>125</v>
      </c>
      <c r="C126" s="50">
        <v>46056</v>
      </c>
      <c r="D126" s="49">
        <f t="shared" si="2"/>
        <v>2</v>
      </c>
      <c r="E126" s="92" t="s">
        <v>2558</v>
      </c>
      <c r="F126" s="49" t="s">
        <v>38</v>
      </c>
      <c r="G126" s="14" t="s">
        <v>45</v>
      </c>
      <c r="H126" s="14" t="s">
        <v>46</v>
      </c>
      <c r="I126" s="76"/>
      <c r="J126" s="73">
        <v>0</v>
      </c>
      <c r="K126" s="74">
        <v>0</v>
      </c>
      <c r="L126" s="72">
        <v>0</v>
      </c>
      <c r="M126" s="72">
        <v>79.650000000000006</v>
      </c>
      <c r="N126" s="72">
        <f>IF(AND(C126="",J126=0,K126=0,L126=0,M126=0),"",CADASTROS!$B$4+SUM($J$2:J126)+SUM($M$2:M126)-SUM($K$2:K126)-SUM($L$2:L126))</f>
        <v>-3823.4499999999534</v>
      </c>
      <c r="O126" s="72">
        <f>IF(A126="","",SUMIF(RATEIOS!$A$2:$A$3142,$A126,RATEIOS!$F$2:$F$3142))</f>
        <v>79.650000000000006</v>
      </c>
      <c r="P126" s="15">
        <f t="shared" si="3"/>
        <v>0</v>
      </c>
      <c r="Q126" s="49" t="str">
        <f>IF(AND(J126=0,K126=0,L126=0,M126=0),"",IF(O126=0,"PENDENTE DE RATEIO",IF(ABS(P126)&gt;0.005,"DIVERGÊNCIA",IF(COUNTIF(RATEIOS!$A$2:$A$3142,$A126)-COUNTIFS(RATEIOS!$A$2:$A$3142,$A126,RATEIOS!$D$2:$D$3142,"&lt;&gt;")&gt;0,"NÃO CLASSIFICADO","RATEIO OK"))))</f>
        <v>RATEIO OK</v>
      </c>
      <c r="R126" s="49" t="s">
        <v>2553</v>
      </c>
      <c r="S126" s="14"/>
    </row>
    <row r="127" spans="1:19" ht="24.95" customHeight="1" x14ac:dyDescent="0.25">
      <c r="A127" s="49" t="s">
        <v>1495</v>
      </c>
      <c r="B127" s="98">
        <v>126</v>
      </c>
      <c r="C127" s="50">
        <v>46056</v>
      </c>
      <c r="D127" s="49">
        <f t="shared" si="2"/>
        <v>2</v>
      </c>
      <c r="E127" s="92" t="s">
        <v>2558</v>
      </c>
      <c r="F127" s="49" t="s">
        <v>38</v>
      </c>
      <c r="G127" s="14" t="s">
        <v>45</v>
      </c>
      <c r="H127" s="14" t="s">
        <v>46</v>
      </c>
      <c r="I127" s="76"/>
      <c r="J127" s="73">
        <v>0</v>
      </c>
      <c r="K127" s="74">
        <v>0</v>
      </c>
      <c r="L127" s="72">
        <v>0</v>
      </c>
      <c r="M127" s="72">
        <v>4000</v>
      </c>
      <c r="N127" s="72">
        <f>IF(AND(C127="",J127=0,K127=0,L127=0,M127=0),"",CADASTROS!$B$4+SUM($J$2:J127)+SUM($M$2:M127)-SUM($K$2:K127)-SUM($L$2:L127))</f>
        <v>176.55000000004657</v>
      </c>
      <c r="O127" s="72">
        <f>IF(A127="","",SUMIF(RATEIOS!$A$2:$A$3142,$A127,RATEIOS!$F$2:$F$3142))</f>
        <v>4000</v>
      </c>
      <c r="P127" s="15">
        <f t="shared" si="3"/>
        <v>0</v>
      </c>
      <c r="Q127" s="49" t="str">
        <f>IF(AND(J127=0,K127=0,L127=0,M127=0),"",IF(O127=0,"PENDENTE DE RATEIO",IF(ABS(P127)&gt;0.005,"DIVERGÊNCIA",IF(COUNTIF(RATEIOS!$A$2:$A$3142,$A127)-COUNTIFS(RATEIOS!$A$2:$A$3142,$A127,RATEIOS!$D$2:$D$3142,"&lt;&gt;")&gt;0,"NÃO CLASSIFICADO","RATEIO OK"))))</f>
        <v>RATEIO OK</v>
      </c>
      <c r="R127" s="49" t="s">
        <v>2553</v>
      </c>
      <c r="S127" s="14"/>
    </row>
    <row r="128" spans="1:19" ht="24.95" customHeight="1" x14ac:dyDescent="0.25">
      <c r="A128" s="49" t="s">
        <v>1496</v>
      </c>
      <c r="B128" s="98">
        <v>127</v>
      </c>
      <c r="C128" s="50">
        <v>46057</v>
      </c>
      <c r="D128" s="49">
        <f t="shared" si="2"/>
        <v>2</v>
      </c>
      <c r="E128" s="92" t="s">
        <v>118</v>
      </c>
      <c r="F128" s="49" t="s">
        <v>36</v>
      </c>
      <c r="G128" s="14" t="s">
        <v>251</v>
      </c>
      <c r="H128" s="14" t="s">
        <v>252</v>
      </c>
      <c r="I128" s="76" t="s">
        <v>253</v>
      </c>
      <c r="J128" s="73">
        <v>0</v>
      </c>
      <c r="K128" s="74">
        <v>16277.5</v>
      </c>
      <c r="L128" s="72">
        <v>0</v>
      </c>
      <c r="M128" s="72">
        <v>0</v>
      </c>
      <c r="N128" s="72">
        <f>IF(AND(C128="",J128=0,K128=0,L128=0,M128=0),"",CADASTROS!$B$4+SUM($J$2:J128)+SUM($M$2:M128)-SUM($K$2:K128)-SUM($L$2:L128))</f>
        <v>-16100.949999999953</v>
      </c>
      <c r="O128" s="72">
        <f>IF(A128="","",SUMIF(RATEIOS!$A$2:$A$3142,$A128,RATEIOS!$F$2:$F$3142))</f>
        <v>16277.5</v>
      </c>
      <c r="P128" s="15">
        <f t="shared" si="3"/>
        <v>0</v>
      </c>
      <c r="Q128" s="49" t="str">
        <f>IF(AND(J128=0,K128=0,L128=0,M128=0),"",IF(O128=0,"PENDENTE DE RATEIO",IF(ABS(P128)&gt;0.005,"DIVERGÊNCIA",IF(COUNTIF(RATEIOS!$A$2:$A$3142,$A128)-COUNTIFS(RATEIOS!$A$2:$A$3142,$A128,RATEIOS!$D$2:$D$3142,"&lt;&gt;")&gt;0,"NÃO CLASSIFICADO","RATEIO OK"))))</f>
        <v>RATEIO OK</v>
      </c>
      <c r="R128" s="49" t="s">
        <v>2553</v>
      </c>
      <c r="S128" s="14"/>
    </row>
    <row r="129" spans="1:19" ht="24.95" customHeight="1" x14ac:dyDescent="0.25">
      <c r="A129" s="49" t="s">
        <v>1497</v>
      </c>
      <c r="B129" s="98">
        <v>128</v>
      </c>
      <c r="C129" s="50">
        <v>46057</v>
      </c>
      <c r="D129" s="49">
        <f t="shared" si="2"/>
        <v>2</v>
      </c>
      <c r="E129" s="92" t="s">
        <v>118</v>
      </c>
      <c r="F129" s="49" t="s">
        <v>36</v>
      </c>
      <c r="G129" s="14" t="s">
        <v>254</v>
      </c>
      <c r="H129" s="14" t="s">
        <v>255</v>
      </c>
      <c r="I129" s="76" t="s">
        <v>256</v>
      </c>
      <c r="J129" s="73">
        <v>0</v>
      </c>
      <c r="K129" s="74">
        <v>2938.4</v>
      </c>
      <c r="L129" s="72">
        <v>0</v>
      </c>
      <c r="M129" s="72">
        <v>0</v>
      </c>
      <c r="N129" s="72">
        <f>IF(AND(C129="",J129=0,K129=0,L129=0,M129=0),"",CADASTROS!$B$4+SUM($J$2:J129)+SUM($M$2:M129)-SUM($K$2:K129)-SUM($L$2:L129))</f>
        <v>-19039.349999999977</v>
      </c>
      <c r="O129" s="72">
        <f>IF(A129="","",SUMIF(RATEIOS!$A$2:$A$3142,$A129,RATEIOS!$F$2:$F$3142))</f>
        <v>2938.4</v>
      </c>
      <c r="P129" s="15">
        <f t="shared" si="3"/>
        <v>0</v>
      </c>
      <c r="Q129" s="49" t="str">
        <f>IF(AND(J129=0,K129=0,L129=0,M129=0),"",IF(O129=0,"PENDENTE DE RATEIO",IF(ABS(P129)&gt;0.005,"DIVERGÊNCIA",IF(COUNTIF(RATEIOS!$A$2:$A$3142,$A129)-COUNTIFS(RATEIOS!$A$2:$A$3142,$A129,RATEIOS!$D$2:$D$3142,"&lt;&gt;")&gt;0,"NÃO CLASSIFICADO","RATEIO OK"))))</f>
        <v>RATEIO OK</v>
      </c>
      <c r="R129" s="49" t="s">
        <v>2553</v>
      </c>
      <c r="S129" s="14"/>
    </row>
    <row r="130" spans="1:19" ht="24.95" customHeight="1" x14ac:dyDescent="0.25">
      <c r="A130" s="49" t="s">
        <v>1498</v>
      </c>
      <c r="B130" s="98">
        <v>129</v>
      </c>
      <c r="C130" s="50">
        <v>46057</v>
      </c>
      <c r="D130" s="49">
        <f t="shared" ref="D130:D193" si="4">IF(C130="","",MONTH(C130))</f>
        <v>2</v>
      </c>
      <c r="E130" s="92" t="s">
        <v>118</v>
      </c>
      <c r="F130" s="49" t="s">
        <v>36</v>
      </c>
      <c r="G130" s="14" t="s">
        <v>257</v>
      </c>
      <c r="H130" s="14" t="s">
        <v>191</v>
      </c>
      <c r="I130" s="76" t="s">
        <v>258</v>
      </c>
      <c r="J130" s="73">
        <v>0</v>
      </c>
      <c r="K130" s="74">
        <v>2452.38</v>
      </c>
      <c r="L130" s="72">
        <v>0</v>
      </c>
      <c r="M130" s="72">
        <v>0</v>
      </c>
      <c r="N130" s="72">
        <f>IF(AND(C130="",J130=0,K130=0,L130=0,M130=0),"",CADASTROS!$B$4+SUM($J$2:J130)+SUM($M$2:M130)-SUM($K$2:K130)-SUM($L$2:L130))</f>
        <v>-21491.729999999981</v>
      </c>
      <c r="O130" s="72">
        <f>IF(A130="","",SUMIF(RATEIOS!$A$2:$A$3142,$A130,RATEIOS!$F$2:$F$3142))</f>
        <v>2452.38</v>
      </c>
      <c r="P130" s="15">
        <f t="shared" ref="P130:P193" si="5">IF(A130="","",(J130+K130+L130+M130)-O130)</f>
        <v>0</v>
      </c>
      <c r="Q130" s="49" t="str">
        <f>IF(AND(J130=0,K130=0,L130=0,M130=0),"",IF(O130=0,"PENDENTE DE RATEIO",IF(ABS(P130)&gt;0.005,"DIVERGÊNCIA",IF(COUNTIF(RATEIOS!$A$2:$A$3142,$A130)-COUNTIFS(RATEIOS!$A$2:$A$3142,$A130,RATEIOS!$D$2:$D$3142,"&lt;&gt;")&gt;0,"NÃO CLASSIFICADO","RATEIO OK"))))</f>
        <v>RATEIO OK</v>
      </c>
      <c r="R130" s="49" t="s">
        <v>2553</v>
      </c>
      <c r="S130" s="14"/>
    </row>
    <row r="131" spans="1:19" ht="24.95" customHeight="1" x14ac:dyDescent="0.25">
      <c r="A131" s="49" t="s">
        <v>1499</v>
      </c>
      <c r="B131" s="98">
        <v>130</v>
      </c>
      <c r="C131" s="50">
        <v>46057</v>
      </c>
      <c r="D131" s="49">
        <f t="shared" si="4"/>
        <v>2</v>
      </c>
      <c r="E131" s="92" t="s">
        <v>118</v>
      </c>
      <c r="F131" s="49" t="s">
        <v>36</v>
      </c>
      <c r="G131" s="14" t="s">
        <v>259</v>
      </c>
      <c r="H131" s="14" t="s">
        <v>260</v>
      </c>
      <c r="I131" s="76" t="s">
        <v>261</v>
      </c>
      <c r="J131" s="73">
        <v>0</v>
      </c>
      <c r="K131" s="74">
        <v>726.66</v>
      </c>
      <c r="L131" s="72">
        <v>0</v>
      </c>
      <c r="M131" s="72">
        <v>0</v>
      </c>
      <c r="N131" s="72">
        <f>IF(AND(C131="",J131=0,K131=0,L131=0,M131=0),"",CADASTROS!$B$4+SUM($J$2:J131)+SUM($M$2:M131)-SUM($K$2:K131)-SUM($L$2:L131))</f>
        <v>-22218.389999999956</v>
      </c>
      <c r="O131" s="72">
        <f>IF(A131="","",SUMIF(RATEIOS!$A$2:$A$3142,$A131,RATEIOS!$F$2:$F$3142))</f>
        <v>726.66</v>
      </c>
      <c r="P131" s="15">
        <f t="shared" si="5"/>
        <v>0</v>
      </c>
      <c r="Q131" s="49" t="str">
        <f>IF(AND(J131=0,K131=0,L131=0,M131=0),"",IF(O131=0,"PENDENTE DE RATEIO",IF(ABS(P131)&gt;0.005,"DIVERGÊNCIA",IF(COUNTIF(RATEIOS!$A$2:$A$3142,$A131)-COUNTIFS(RATEIOS!$A$2:$A$3142,$A131,RATEIOS!$D$2:$D$3142,"&lt;&gt;")&gt;0,"NÃO CLASSIFICADO","RATEIO OK"))))</f>
        <v>RATEIO OK</v>
      </c>
      <c r="R131" s="49" t="s">
        <v>2553</v>
      </c>
      <c r="S131" s="14"/>
    </row>
    <row r="132" spans="1:19" ht="24.95" customHeight="1" x14ac:dyDescent="0.25">
      <c r="A132" s="49" t="s">
        <v>1500</v>
      </c>
      <c r="B132" s="98">
        <v>131</v>
      </c>
      <c r="C132" s="50">
        <v>46057</v>
      </c>
      <c r="D132" s="49">
        <f t="shared" si="4"/>
        <v>2</v>
      </c>
      <c r="E132" s="92" t="s">
        <v>2558</v>
      </c>
      <c r="F132" s="49" t="s">
        <v>38</v>
      </c>
      <c r="G132" s="14" t="s">
        <v>45</v>
      </c>
      <c r="H132" s="14" t="s">
        <v>46</v>
      </c>
      <c r="I132" s="76"/>
      <c r="J132" s="73">
        <v>0</v>
      </c>
      <c r="K132" s="74">
        <v>0</v>
      </c>
      <c r="L132" s="72">
        <v>0</v>
      </c>
      <c r="M132" s="72">
        <v>44.16</v>
      </c>
      <c r="N132" s="72">
        <f>IF(AND(C132="",J132=0,K132=0,L132=0,M132=0),"",CADASTROS!$B$4+SUM($J$2:J132)+SUM($M$2:M132)-SUM($K$2:K132)-SUM($L$2:L132))</f>
        <v>-22174.229999999981</v>
      </c>
      <c r="O132" s="72">
        <f>IF(A132="","",SUMIF(RATEIOS!$A$2:$A$3142,$A132,RATEIOS!$F$2:$F$3142))</f>
        <v>44.16</v>
      </c>
      <c r="P132" s="15">
        <f t="shared" si="5"/>
        <v>0</v>
      </c>
      <c r="Q132" s="49" t="str">
        <f>IF(AND(J132=0,K132=0,L132=0,M132=0),"",IF(O132=0,"PENDENTE DE RATEIO",IF(ABS(P132)&gt;0.005,"DIVERGÊNCIA",IF(COUNTIF(RATEIOS!$A$2:$A$3142,$A132)-COUNTIFS(RATEIOS!$A$2:$A$3142,$A132,RATEIOS!$D$2:$D$3142,"&lt;&gt;")&gt;0,"NÃO CLASSIFICADO","RATEIO OK"))))</f>
        <v>RATEIO OK</v>
      </c>
      <c r="R132" s="49" t="s">
        <v>2553</v>
      </c>
      <c r="S132" s="14"/>
    </row>
    <row r="133" spans="1:19" ht="24.95" customHeight="1" x14ac:dyDescent="0.25">
      <c r="A133" s="49" t="s">
        <v>1501</v>
      </c>
      <c r="B133" s="98">
        <v>132</v>
      </c>
      <c r="C133" s="50">
        <v>46057</v>
      </c>
      <c r="D133" s="49">
        <f t="shared" si="4"/>
        <v>2</v>
      </c>
      <c r="E133" s="92" t="s">
        <v>2558</v>
      </c>
      <c r="F133" s="49" t="s">
        <v>38</v>
      </c>
      <c r="G133" s="14" t="s">
        <v>45</v>
      </c>
      <c r="H133" s="14" t="s">
        <v>46</v>
      </c>
      <c r="I133" s="76"/>
      <c r="J133" s="73">
        <v>0</v>
      </c>
      <c r="K133" s="74">
        <v>0</v>
      </c>
      <c r="L133" s="72">
        <v>0</v>
      </c>
      <c r="M133" s="72">
        <v>22500</v>
      </c>
      <c r="N133" s="72">
        <f>IF(AND(C133="",J133=0,K133=0,L133=0,M133=0),"",CADASTROS!$B$4+SUM($J$2:J133)+SUM($M$2:M133)-SUM($K$2:K133)-SUM($L$2:L133))</f>
        <v>325.77000000001863</v>
      </c>
      <c r="O133" s="72">
        <f>IF(A133="","",SUMIF(RATEIOS!$A$2:$A$3142,$A133,RATEIOS!$F$2:$F$3142))</f>
        <v>22500</v>
      </c>
      <c r="P133" s="15">
        <f t="shared" si="5"/>
        <v>0</v>
      </c>
      <c r="Q133" s="49" t="str">
        <f>IF(AND(J133=0,K133=0,L133=0,M133=0),"",IF(O133=0,"PENDENTE DE RATEIO",IF(ABS(P133)&gt;0.005,"DIVERGÊNCIA",IF(COUNTIF(RATEIOS!$A$2:$A$3142,$A133)-COUNTIFS(RATEIOS!$A$2:$A$3142,$A133,RATEIOS!$D$2:$D$3142,"&lt;&gt;")&gt;0,"NÃO CLASSIFICADO","RATEIO OK"))))</f>
        <v>RATEIO OK</v>
      </c>
      <c r="R133" s="49" t="s">
        <v>2553</v>
      </c>
      <c r="S133" s="14"/>
    </row>
    <row r="134" spans="1:19" ht="24.95" customHeight="1" x14ac:dyDescent="0.25">
      <c r="A134" s="49" t="s">
        <v>1503</v>
      </c>
      <c r="B134" s="98">
        <v>133</v>
      </c>
      <c r="C134" s="50">
        <v>46058</v>
      </c>
      <c r="D134" s="49">
        <f t="shared" si="4"/>
        <v>2</v>
      </c>
      <c r="E134" s="92" t="s">
        <v>118</v>
      </c>
      <c r="F134" s="49" t="s">
        <v>36</v>
      </c>
      <c r="G134" s="14" t="s">
        <v>262</v>
      </c>
      <c r="H134" s="14" t="s">
        <v>204</v>
      </c>
      <c r="I134" s="76" t="s">
        <v>263</v>
      </c>
      <c r="J134" s="73">
        <v>0</v>
      </c>
      <c r="K134" s="74">
        <v>3147.45</v>
      </c>
      <c r="L134" s="72">
        <v>0</v>
      </c>
      <c r="M134" s="72">
        <v>0</v>
      </c>
      <c r="N134" s="72">
        <f>IF(AND(C134="",J134=0,K134=0,L134=0,M134=0),"",CADASTROS!$B$4+SUM($J$2:J134)+SUM($M$2:M134)-SUM($K$2:K134)-SUM($L$2:L134))</f>
        <v>-2821.679999999993</v>
      </c>
      <c r="O134" s="72">
        <f>IF(A134="","",SUMIF(RATEIOS!$A$2:$A$3142,$A134,RATEIOS!$F$2:$F$3142))</f>
        <v>3147.45</v>
      </c>
      <c r="P134" s="15">
        <f t="shared" si="5"/>
        <v>0</v>
      </c>
      <c r="Q134" s="49" t="str">
        <f>IF(AND(J134=0,K134=0,L134=0,M134=0),"",IF(O134=0,"PENDENTE DE RATEIO",IF(ABS(P134)&gt;0.005,"DIVERGÊNCIA",IF(COUNTIF(RATEIOS!$A$2:$A$3142,$A134)-COUNTIFS(RATEIOS!$A$2:$A$3142,$A134,RATEIOS!$D$2:$D$3142,"&lt;&gt;")&gt;0,"NÃO CLASSIFICADO","RATEIO OK"))))</f>
        <v>RATEIO OK</v>
      </c>
      <c r="R134" s="49" t="s">
        <v>2553</v>
      </c>
      <c r="S134" s="14"/>
    </row>
    <row r="135" spans="1:19" ht="24.95" customHeight="1" x14ac:dyDescent="0.25">
      <c r="A135" s="49" t="s">
        <v>1504</v>
      </c>
      <c r="B135" s="98">
        <v>134</v>
      </c>
      <c r="C135" s="50">
        <v>46058</v>
      </c>
      <c r="D135" s="49">
        <f t="shared" si="4"/>
        <v>2</v>
      </c>
      <c r="E135" s="92" t="s">
        <v>118</v>
      </c>
      <c r="F135" s="49" t="s">
        <v>36</v>
      </c>
      <c r="G135" s="14" t="s">
        <v>264</v>
      </c>
      <c r="H135" s="14" t="s">
        <v>265</v>
      </c>
      <c r="I135" s="76" t="s">
        <v>266</v>
      </c>
      <c r="J135" s="73">
        <v>0</v>
      </c>
      <c r="K135" s="74">
        <v>2747.54</v>
      </c>
      <c r="L135" s="72">
        <v>0</v>
      </c>
      <c r="M135" s="72">
        <v>0</v>
      </c>
      <c r="N135" s="72">
        <f>IF(AND(C135="",J135=0,K135=0,L135=0,M135=0),"",CADASTROS!$B$4+SUM($J$2:J135)+SUM($M$2:M135)-SUM($K$2:K135)-SUM($L$2:L135))</f>
        <v>-5569.2199999999721</v>
      </c>
      <c r="O135" s="72">
        <f>IF(A135="","",SUMIF(RATEIOS!$A$2:$A$3142,$A135,RATEIOS!$F$2:$F$3142))</f>
        <v>2747.54</v>
      </c>
      <c r="P135" s="15">
        <f t="shared" si="5"/>
        <v>0</v>
      </c>
      <c r="Q135" s="49" t="str">
        <f>IF(AND(J135=0,K135=0,L135=0,M135=0),"",IF(O135=0,"PENDENTE DE RATEIO",IF(ABS(P135)&gt;0.005,"DIVERGÊNCIA",IF(COUNTIF(RATEIOS!$A$2:$A$3142,$A135)-COUNTIFS(RATEIOS!$A$2:$A$3142,$A135,RATEIOS!$D$2:$D$3142,"&lt;&gt;")&gt;0,"NÃO CLASSIFICADO","RATEIO OK"))))</f>
        <v>RATEIO OK</v>
      </c>
      <c r="R135" s="49" t="s">
        <v>2553</v>
      </c>
      <c r="S135" s="14"/>
    </row>
    <row r="136" spans="1:19" ht="24.95" customHeight="1" x14ac:dyDescent="0.25">
      <c r="A136" s="49" t="s">
        <v>1505</v>
      </c>
      <c r="B136" s="98">
        <v>135</v>
      </c>
      <c r="C136" s="50">
        <v>46058</v>
      </c>
      <c r="D136" s="49">
        <f t="shared" si="4"/>
        <v>2</v>
      </c>
      <c r="E136" s="92" t="s">
        <v>118</v>
      </c>
      <c r="F136" s="49" t="s">
        <v>36</v>
      </c>
      <c r="G136" s="14" t="s">
        <v>67</v>
      </c>
      <c r="H136" s="14" t="s">
        <v>67</v>
      </c>
      <c r="I136" s="76" t="s">
        <v>267</v>
      </c>
      <c r="J136" s="73">
        <v>0</v>
      </c>
      <c r="K136" s="74">
        <v>2593</v>
      </c>
      <c r="L136" s="72">
        <v>0</v>
      </c>
      <c r="M136" s="72">
        <v>0</v>
      </c>
      <c r="N136" s="72">
        <f>IF(AND(C136="",J136=0,K136=0,L136=0,M136=0),"",CADASTROS!$B$4+SUM($J$2:J136)+SUM($M$2:M136)-SUM($K$2:K136)-SUM($L$2:L136))</f>
        <v>-8162.2199999999721</v>
      </c>
      <c r="O136" s="72">
        <f>IF(A136="","",SUMIF(RATEIOS!$A$2:$A$3142,$A136,RATEIOS!$F$2:$F$3142))</f>
        <v>2593</v>
      </c>
      <c r="P136" s="15">
        <f t="shared" si="5"/>
        <v>0</v>
      </c>
      <c r="Q136" s="49" t="str">
        <f>IF(AND(J136=0,K136=0,L136=0,M136=0),"",IF(O136=0,"PENDENTE DE RATEIO",IF(ABS(P136)&gt;0.005,"DIVERGÊNCIA",IF(COUNTIF(RATEIOS!$A$2:$A$3142,$A136)-COUNTIFS(RATEIOS!$A$2:$A$3142,$A136,RATEIOS!$D$2:$D$3142,"&lt;&gt;")&gt;0,"NÃO CLASSIFICADO","RATEIO OK"))))</f>
        <v>RATEIO OK</v>
      </c>
      <c r="R136" s="49" t="s">
        <v>2553</v>
      </c>
      <c r="S136" s="14"/>
    </row>
    <row r="137" spans="1:19" ht="24.95" customHeight="1" x14ac:dyDescent="0.25">
      <c r="A137" s="49" t="s">
        <v>1506</v>
      </c>
      <c r="B137" s="98">
        <v>136</v>
      </c>
      <c r="C137" s="50">
        <v>46058</v>
      </c>
      <c r="D137" s="49">
        <f t="shared" si="4"/>
        <v>2</v>
      </c>
      <c r="E137" s="92" t="s">
        <v>118</v>
      </c>
      <c r="F137" s="49" t="s">
        <v>36</v>
      </c>
      <c r="G137" s="14" t="s">
        <v>3029</v>
      </c>
      <c r="H137" s="95" t="s">
        <v>2753</v>
      </c>
      <c r="I137" s="76" t="s">
        <v>269</v>
      </c>
      <c r="J137" s="73">
        <v>0</v>
      </c>
      <c r="K137" s="74">
        <v>1600</v>
      </c>
      <c r="L137" s="72">
        <v>0</v>
      </c>
      <c r="M137" s="72">
        <v>0</v>
      </c>
      <c r="N137" s="72">
        <f>IF(AND(C137="",J137=0,K137=0,L137=0,M137=0),"",CADASTROS!$B$4+SUM($J$2:J137)+SUM($M$2:M137)-SUM($K$2:K137)-SUM($L$2:L137))</f>
        <v>-9762.2199999999721</v>
      </c>
      <c r="O137" s="72">
        <f>IF(A137="","",SUMIF(RATEIOS!$A$2:$A$3142,$A137,RATEIOS!$F$2:$F$3142))</f>
        <v>1600</v>
      </c>
      <c r="P137" s="15">
        <f t="shared" si="5"/>
        <v>0</v>
      </c>
      <c r="Q137" s="49" t="str">
        <f>IF(AND(J137=0,K137=0,L137=0,M137=0),"",IF(O137=0,"PENDENTE DE RATEIO",IF(ABS(P137)&gt;0.005,"DIVERGÊNCIA",IF(COUNTIF(RATEIOS!$A$2:$A$3142,$A137)-COUNTIFS(RATEIOS!$A$2:$A$3142,$A137,RATEIOS!$D$2:$D$3142,"&lt;&gt;")&gt;0,"NÃO CLASSIFICADO","RATEIO OK"))))</f>
        <v>RATEIO OK</v>
      </c>
      <c r="R137" s="49" t="s">
        <v>2553</v>
      </c>
      <c r="S137" s="14"/>
    </row>
    <row r="138" spans="1:19" ht="24.95" customHeight="1" x14ac:dyDescent="0.25">
      <c r="A138" s="49" t="s">
        <v>1507</v>
      </c>
      <c r="B138" s="98">
        <v>137</v>
      </c>
      <c r="C138" s="50">
        <v>46058</v>
      </c>
      <c r="D138" s="49">
        <f t="shared" si="4"/>
        <v>2</v>
      </c>
      <c r="E138" s="92" t="s">
        <v>2558</v>
      </c>
      <c r="F138" s="49" t="s">
        <v>38</v>
      </c>
      <c r="G138" s="14" t="s">
        <v>104</v>
      </c>
      <c r="H138" s="14" t="s">
        <v>46</v>
      </c>
      <c r="I138" s="76"/>
      <c r="J138" s="73">
        <v>0</v>
      </c>
      <c r="K138" s="74">
        <v>0</v>
      </c>
      <c r="L138" s="72">
        <v>0</v>
      </c>
      <c r="M138" s="72">
        <v>257.39999999999998</v>
      </c>
      <c r="N138" s="72">
        <f>IF(AND(C138="",J138=0,K138=0,L138=0,M138=0),"",CADASTROS!$B$4+SUM($J$2:J138)+SUM($M$2:M138)-SUM($K$2:K138)-SUM($L$2:L138))</f>
        <v>-9504.8199999999488</v>
      </c>
      <c r="O138" s="72">
        <f>IF(A138="","",SUMIF(RATEIOS!$A$2:$A$3142,$A138,RATEIOS!$F$2:$F$3142))</f>
        <v>257.39999999999998</v>
      </c>
      <c r="P138" s="15">
        <f t="shared" si="5"/>
        <v>0</v>
      </c>
      <c r="Q138" s="49" t="str">
        <f>IF(AND(J138=0,K138=0,L138=0,M138=0),"",IF(O138=0,"PENDENTE DE RATEIO",IF(ABS(P138)&gt;0.005,"DIVERGÊNCIA",IF(COUNTIF(RATEIOS!$A$2:$A$3142,$A138)-COUNTIFS(RATEIOS!$A$2:$A$3142,$A138,RATEIOS!$D$2:$D$3142,"&lt;&gt;")&gt;0,"NÃO CLASSIFICADO","RATEIO OK"))))</f>
        <v>RATEIO OK</v>
      </c>
      <c r="R138" s="49" t="s">
        <v>2553</v>
      </c>
      <c r="S138" s="14"/>
    </row>
    <row r="139" spans="1:19" ht="24.95" customHeight="1" x14ac:dyDescent="0.25">
      <c r="A139" s="49" t="s">
        <v>1508</v>
      </c>
      <c r="B139" s="98">
        <v>138</v>
      </c>
      <c r="C139" s="50">
        <v>46058</v>
      </c>
      <c r="D139" s="49">
        <f t="shared" si="4"/>
        <v>2</v>
      </c>
      <c r="E139" s="92" t="s">
        <v>2558</v>
      </c>
      <c r="F139" s="49" t="s">
        <v>38</v>
      </c>
      <c r="G139" s="14" t="s">
        <v>45</v>
      </c>
      <c r="H139" s="14" t="s">
        <v>46</v>
      </c>
      <c r="I139" s="76"/>
      <c r="J139" s="73">
        <v>0</v>
      </c>
      <c r="K139" s="74">
        <v>0</v>
      </c>
      <c r="L139" s="72">
        <v>0</v>
      </c>
      <c r="M139" s="72">
        <v>10000</v>
      </c>
      <c r="N139" s="72">
        <f>IF(AND(C139="",J139=0,K139=0,L139=0,M139=0),"",CADASTROS!$B$4+SUM($J$2:J139)+SUM($M$2:M139)-SUM($K$2:K139)-SUM($L$2:L139))</f>
        <v>495.18000000005122</v>
      </c>
      <c r="O139" s="72">
        <f>IF(A139="","",SUMIF(RATEIOS!$A$2:$A$3142,$A139,RATEIOS!$F$2:$F$3142))</f>
        <v>10000</v>
      </c>
      <c r="P139" s="15">
        <f t="shared" si="5"/>
        <v>0</v>
      </c>
      <c r="Q139" s="49" t="str">
        <f>IF(AND(J139=0,K139=0,L139=0,M139=0),"",IF(O139=0,"PENDENTE DE RATEIO",IF(ABS(P139)&gt;0.005,"DIVERGÊNCIA",IF(COUNTIF(RATEIOS!$A$2:$A$3142,$A139)-COUNTIFS(RATEIOS!$A$2:$A$3142,$A139,RATEIOS!$D$2:$D$3142,"&lt;&gt;")&gt;0,"NÃO CLASSIFICADO","RATEIO OK"))))</f>
        <v>RATEIO OK</v>
      </c>
      <c r="R139" s="49" t="s">
        <v>2553</v>
      </c>
      <c r="S139" s="14"/>
    </row>
    <row r="140" spans="1:19" ht="24.95" customHeight="1" x14ac:dyDescent="0.25">
      <c r="A140" s="49" t="s">
        <v>1509</v>
      </c>
      <c r="B140" s="98">
        <v>139</v>
      </c>
      <c r="C140" s="50">
        <v>46059</v>
      </c>
      <c r="D140" s="49">
        <f t="shared" si="4"/>
        <v>2</v>
      </c>
      <c r="E140" s="92" t="s">
        <v>123</v>
      </c>
      <c r="F140" s="49" t="s">
        <v>36</v>
      </c>
      <c r="G140" s="14" t="s">
        <v>3065</v>
      </c>
      <c r="H140" s="14" t="s">
        <v>123</v>
      </c>
      <c r="I140" s="76"/>
      <c r="J140" s="73">
        <v>0</v>
      </c>
      <c r="K140" s="74">
        <v>69365.45</v>
      </c>
      <c r="L140" s="72">
        <v>0</v>
      </c>
      <c r="M140" s="72">
        <v>0</v>
      </c>
      <c r="N140" s="72">
        <f>IF(AND(C140="",J140=0,K140=0,L140=0,M140=0),"",CADASTROS!$B$4+SUM($J$2:J140)+SUM($M$2:M140)-SUM($K$2:K140)-SUM($L$2:L140))</f>
        <v>-68870.269999999902</v>
      </c>
      <c r="O140" s="72">
        <f>IF(A140="","",SUMIF(RATEIOS!$A$2:$A$3142,$A140,RATEIOS!$F$2:$F$3142))</f>
        <v>69365.45</v>
      </c>
      <c r="P140" s="15">
        <f t="shared" si="5"/>
        <v>0</v>
      </c>
      <c r="Q140" s="49" t="str">
        <f>IF(AND(J140=0,K140=0,L140=0,M140=0),"",IF(O140=0,"PENDENTE DE RATEIO",IF(ABS(P140)&gt;0.005,"DIVERGÊNCIA",IF(COUNTIF(RATEIOS!$A$2:$A$3142,$A140)-COUNTIFS(RATEIOS!$A$2:$A$3142,$A140,RATEIOS!$D$2:$D$3142,"&lt;&gt;")&gt;0,"NÃO CLASSIFICADO","RATEIO OK"))))</f>
        <v>RATEIO OK</v>
      </c>
      <c r="R140" s="49" t="s">
        <v>2553</v>
      </c>
      <c r="S140" s="14"/>
    </row>
    <row r="141" spans="1:19" ht="24.95" customHeight="1" x14ac:dyDescent="0.25">
      <c r="A141" s="49" t="s">
        <v>1510</v>
      </c>
      <c r="B141" s="98">
        <v>140</v>
      </c>
      <c r="C141" s="50">
        <v>46059</v>
      </c>
      <c r="D141" s="49">
        <f t="shared" si="4"/>
        <v>2</v>
      </c>
      <c r="E141" s="92" t="s">
        <v>118</v>
      </c>
      <c r="F141" s="49" t="s">
        <v>36</v>
      </c>
      <c r="G141" s="14" t="s">
        <v>271</v>
      </c>
      <c r="H141" s="14" t="s">
        <v>252</v>
      </c>
      <c r="I141" s="76" t="s">
        <v>272</v>
      </c>
      <c r="J141" s="73">
        <v>0</v>
      </c>
      <c r="K141" s="74">
        <v>19901.2</v>
      </c>
      <c r="L141" s="72">
        <v>0</v>
      </c>
      <c r="M141" s="72">
        <v>0</v>
      </c>
      <c r="N141" s="72">
        <f>IF(AND(C141="",J141=0,K141=0,L141=0,M141=0),"",CADASTROS!$B$4+SUM($J$2:J141)+SUM($M$2:M141)-SUM($K$2:K141)-SUM($L$2:L141))</f>
        <v>-88771.469999999856</v>
      </c>
      <c r="O141" s="72">
        <f>IF(A141="","",SUMIF(RATEIOS!$A$2:$A$3142,$A141,RATEIOS!$F$2:$F$3142))</f>
        <v>19901.2</v>
      </c>
      <c r="P141" s="15">
        <f t="shared" si="5"/>
        <v>0</v>
      </c>
      <c r="Q141" s="49" t="str">
        <f>IF(AND(J141=0,K141=0,L141=0,M141=0),"",IF(O141=0,"PENDENTE DE RATEIO",IF(ABS(P141)&gt;0.005,"DIVERGÊNCIA",IF(COUNTIF(RATEIOS!$A$2:$A$3142,$A141)-COUNTIFS(RATEIOS!$A$2:$A$3142,$A141,RATEIOS!$D$2:$D$3142,"&lt;&gt;")&gt;0,"NÃO CLASSIFICADO","RATEIO OK"))))</f>
        <v>RATEIO OK</v>
      </c>
      <c r="R141" s="49" t="s">
        <v>2553</v>
      </c>
      <c r="S141" s="14"/>
    </row>
    <row r="142" spans="1:19" ht="24.95" customHeight="1" x14ac:dyDescent="0.25">
      <c r="A142" s="49" t="s">
        <v>1511</v>
      </c>
      <c r="B142" s="98">
        <v>141</v>
      </c>
      <c r="C142" s="50">
        <v>46059</v>
      </c>
      <c r="D142" s="49">
        <f t="shared" si="4"/>
        <v>2</v>
      </c>
      <c r="E142" s="92" t="s">
        <v>118</v>
      </c>
      <c r="F142" s="49" t="s">
        <v>36</v>
      </c>
      <c r="G142" s="14" t="s">
        <v>273</v>
      </c>
      <c r="H142" s="14" t="s">
        <v>81</v>
      </c>
      <c r="I142" s="76" t="s">
        <v>82</v>
      </c>
      <c r="J142" s="73">
        <v>0</v>
      </c>
      <c r="K142" s="74">
        <v>10332.299999999999</v>
      </c>
      <c r="L142" s="72">
        <v>0</v>
      </c>
      <c r="M142" s="72">
        <v>0</v>
      </c>
      <c r="N142" s="72">
        <f>IF(AND(C142="",J142=0,K142=0,L142=0,M142=0),"",CADASTROS!$B$4+SUM($J$2:J142)+SUM($M$2:M142)-SUM($K$2:K142)-SUM($L$2:L142))</f>
        <v>-99103.769999999902</v>
      </c>
      <c r="O142" s="72">
        <f>IF(A142="","",SUMIF(RATEIOS!$A$2:$A$3142,$A142,RATEIOS!$F$2:$F$3142))</f>
        <v>10332.299999999999</v>
      </c>
      <c r="P142" s="15">
        <f t="shared" si="5"/>
        <v>0</v>
      </c>
      <c r="Q142" s="49" t="str">
        <f>IF(AND(J142=0,K142=0,L142=0,M142=0),"",IF(O142=0,"PENDENTE DE RATEIO",IF(ABS(P142)&gt;0.005,"DIVERGÊNCIA",IF(COUNTIF(RATEIOS!$A$2:$A$3142,$A142)-COUNTIFS(RATEIOS!$A$2:$A$3142,$A142,RATEIOS!$D$2:$D$3142,"&lt;&gt;")&gt;0,"NÃO CLASSIFICADO","RATEIO OK"))))</f>
        <v>RATEIO OK</v>
      </c>
      <c r="R142" s="49" t="s">
        <v>2553</v>
      </c>
      <c r="S142" s="14"/>
    </row>
    <row r="143" spans="1:19" ht="24.95" customHeight="1" x14ac:dyDescent="0.25">
      <c r="A143" s="49" t="s">
        <v>1512</v>
      </c>
      <c r="B143" s="98">
        <v>142</v>
      </c>
      <c r="C143" s="50">
        <v>46059</v>
      </c>
      <c r="D143" s="49">
        <f t="shared" si="4"/>
        <v>2</v>
      </c>
      <c r="E143" s="92" t="s">
        <v>118</v>
      </c>
      <c r="F143" s="49" t="s">
        <v>36</v>
      </c>
      <c r="G143" s="14" t="s">
        <v>274</v>
      </c>
      <c r="H143" s="14" t="s">
        <v>59</v>
      </c>
      <c r="I143" s="76" t="s">
        <v>275</v>
      </c>
      <c r="J143" s="73">
        <v>0</v>
      </c>
      <c r="K143" s="74">
        <v>630</v>
      </c>
      <c r="L143" s="72">
        <v>0</v>
      </c>
      <c r="M143" s="72">
        <v>0</v>
      </c>
      <c r="N143" s="72">
        <f>IF(AND(C143="",J143=0,K143=0,L143=0,M143=0),"",CADASTROS!$B$4+SUM($J$2:J143)+SUM($M$2:M143)-SUM($K$2:K143)-SUM($L$2:L143))</f>
        <v>-99733.769999999902</v>
      </c>
      <c r="O143" s="72">
        <f>IF(A143="","",SUMIF(RATEIOS!$A$2:$A$3142,$A143,RATEIOS!$F$2:$F$3142))</f>
        <v>630</v>
      </c>
      <c r="P143" s="15">
        <f t="shared" si="5"/>
        <v>0</v>
      </c>
      <c r="Q143" s="49" t="str">
        <f>IF(AND(J143=0,K143=0,L143=0,M143=0),"",IF(O143=0,"PENDENTE DE RATEIO",IF(ABS(P143)&gt;0.005,"DIVERGÊNCIA",IF(COUNTIF(RATEIOS!$A$2:$A$3142,$A143)-COUNTIFS(RATEIOS!$A$2:$A$3142,$A143,RATEIOS!$D$2:$D$3142,"&lt;&gt;")&gt;0,"NÃO CLASSIFICADO","RATEIO OK"))))</f>
        <v>RATEIO OK</v>
      </c>
      <c r="R143" s="49" t="s">
        <v>2553</v>
      </c>
      <c r="S143" s="14"/>
    </row>
    <row r="144" spans="1:19" ht="24.95" customHeight="1" x14ac:dyDescent="0.25">
      <c r="A144" s="49" t="s">
        <v>1513</v>
      </c>
      <c r="B144" s="98">
        <v>143</v>
      </c>
      <c r="C144" s="50">
        <v>46059</v>
      </c>
      <c r="D144" s="49">
        <f t="shared" si="4"/>
        <v>2</v>
      </c>
      <c r="E144" s="92" t="s">
        <v>2556</v>
      </c>
      <c r="F144" s="49" t="s">
        <v>36</v>
      </c>
      <c r="G144" s="14" t="s">
        <v>276</v>
      </c>
      <c r="H144" s="14" t="s">
        <v>277</v>
      </c>
      <c r="I144" s="76"/>
      <c r="J144" s="73">
        <v>0</v>
      </c>
      <c r="K144" s="74">
        <v>35</v>
      </c>
      <c r="L144" s="72">
        <v>0</v>
      </c>
      <c r="M144" s="72">
        <v>0</v>
      </c>
      <c r="N144" s="72">
        <f>IF(AND(C144="",J144=0,K144=0,L144=0,M144=0),"",CADASTROS!$B$4+SUM($J$2:J144)+SUM($M$2:M144)-SUM($K$2:K144)-SUM($L$2:L144))</f>
        <v>-99768.769999999902</v>
      </c>
      <c r="O144" s="72">
        <f>IF(A144="","",SUMIF(RATEIOS!$A$2:$A$3142,$A144,RATEIOS!$F$2:$F$3142))</f>
        <v>35</v>
      </c>
      <c r="P144" s="15">
        <f t="shared" si="5"/>
        <v>0</v>
      </c>
      <c r="Q144" s="49" t="str">
        <f>IF(AND(J144=0,K144=0,L144=0,M144=0),"",IF(O144=0,"PENDENTE DE RATEIO",IF(ABS(P144)&gt;0.005,"DIVERGÊNCIA",IF(COUNTIF(RATEIOS!$A$2:$A$3142,$A144)-COUNTIFS(RATEIOS!$A$2:$A$3142,$A144,RATEIOS!$D$2:$D$3142,"&lt;&gt;")&gt;0,"NÃO CLASSIFICADO","RATEIO OK"))))</f>
        <v>RATEIO OK</v>
      </c>
      <c r="R144" s="49" t="s">
        <v>2553</v>
      </c>
      <c r="S144" s="14"/>
    </row>
    <row r="145" spans="1:19" ht="24.95" customHeight="1" x14ac:dyDescent="0.25">
      <c r="A145" s="49" t="s">
        <v>1514</v>
      </c>
      <c r="B145" s="98">
        <v>144</v>
      </c>
      <c r="C145" s="50">
        <v>46059</v>
      </c>
      <c r="D145" s="49">
        <f t="shared" si="4"/>
        <v>2</v>
      </c>
      <c r="E145" s="92" t="s">
        <v>2558</v>
      </c>
      <c r="F145" s="49" t="s">
        <v>38</v>
      </c>
      <c r="G145" s="14" t="s">
        <v>45</v>
      </c>
      <c r="H145" s="14" t="s">
        <v>46</v>
      </c>
      <c r="I145" s="76"/>
      <c r="J145" s="73">
        <v>0</v>
      </c>
      <c r="K145" s="74">
        <v>0</v>
      </c>
      <c r="L145" s="72">
        <v>0</v>
      </c>
      <c r="M145" s="72">
        <v>118.6</v>
      </c>
      <c r="N145" s="72">
        <f>IF(AND(C145="",J145=0,K145=0,L145=0,M145=0),"",CADASTROS!$B$4+SUM($J$2:J145)+SUM($M$2:M145)-SUM($K$2:K145)-SUM($L$2:L145))</f>
        <v>-99650.169999999925</v>
      </c>
      <c r="O145" s="72">
        <f>IF(A145="","",SUMIF(RATEIOS!$A$2:$A$3142,$A145,RATEIOS!$F$2:$F$3142))</f>
        <v>118.6</v>
      </c>
      <c r="P145" s="15">
        <f t="shared" si="5"/>
        <v>0</v>
      </c>
      <c r="Q145" s="49" t="str">
        <f>IF(AND(J145=0,K145=0,L145=0,M145=0),"",IF(O145=0,"PENDENTE DE RATEIO",IF(ABS(P145)&gt;0.005,"DIVERGÊNCIA",IF(COUNTIF(RATEIOS!$A$2:$A$3142,$A145)-COUNTIFS(RATEIOS!$A$2:$A$3142,$A145,RATEIOS!$D$2:$D$3142,"&lt;&gt;")&gt;0,"NÃO CLASSIFICADO","RATEIO OK"))))</f>
        <v>RATEIO OK</v>
      </c>
      <c r="R145" s="49" t="s">
        <v>2553</v>
      </c>
      <c r="S145" s="14"/>
    </row>
    <row r="146" spans="1:19" ht="24.95" customHeight="1" x14ac:dyDescent="0.25">
      <c r="A146" s="49" t="s">
        <v>1516</v>
      </c>
      <c r="B146" s="98">
        <v>145</v>
      </c>
      <c r="C146" s="50">
        <v>46059</v>
      </c>
      <c r="D146" s="49">
        <f t="shared" si="4"/>
        <v>2</v>
      </c>
      <c r="E146" s="92" t="s">
        <v>2558</v>
      </c>
      <c r="F146" s="49" t="s">
        <v>38</v>
      </c>
      <c r="G146" s="14" t="s">
        <v>45</v>
      </c>
      <c r="H146" s="14" t="s">
        <v>46</v>
      </c>
      <c r="I146" s="76"/>
      <c r="J146" s="73">
        <v>0</v>
      </c>
      <c r="K146" s="74">
        <v>0</v>
      </c>
      <c r="L146" s="72">
        <v>0</v>
      </c>
      <c r="M146" s="72">
        <v>100000</v>
      </c>
      <c r="N146" s="72">
        <f>IF(AND(C146="",J146=0,K146=0,L146=0,M146=0),"",CADASTROS!$B$4+SUM($J$2:J146)+SUM($M$2:M146)-SUM($K$2:K146)-SUM($L$2:L146))</f>
        <v>349.82999999995809</v>
      </c>
      <c r="O146" s="72">
        <f>IF(A146="","",SUMIF(RATEIOS!$A$2:$A$3142,$A146,RATEIOS!$F$2:$F$3142))</f>
        <v>100000</v>
      </c>
      <c r="P146" s="15">
        <f t="shared" si="5"/>
        <v>0</v>
      </c>
      <c r="Q146" s="49" t="str">
        <f>IF(AND(J146=0,K146=0,L146=0,M146=0),"",IF(O146=0,"PENDENTE DE RATEIO",IF(ABS(P146)&gt;0.005,"DIVERGÊNCIA",IF(COUNTIF(RATEIOS!$A$2:$A$3142,$A146)-COUNTIFS(RATEIOS!$A$2:$A$3142,$A146,RATEIOS!$D$2:$D$3142,"&lt;&gt;")&gt;0,"NÃO CLASSIFICADO","RATEIO OK"))))</f>
        <v>RATEIO OK</v>
      </c>
      <c r="R146" s="49" t="s">
        <v>2553</v>
      </c>
      <c r="S146" s="14"/>
    </row>
    <row r="147" spans="1:19" ht="24.95" customHeight="1" x14ac:dyDescent="0.25">
      <c r="A147" s="49" t="s">
        <v>1517</v>
      </c>
      <c r="B147" s="98">
        <v>146</v>
      </c>
      <c r="C147" s="50">
        <v>46062</v>
      </c>
      <c r="D147" s="49">
        <f t="shared" si="4"/>
        <v>2</v>
      </c>
      <c r="E147" s="92" t="s">
        <v>118</v>
      </c>
      <c r="F147" s="49" t="s">
        <v>36</v>
      </c>
      <c r="G147" s="14" t="s">
        <v>278</v>
      </c>
      <c r="H147" s="14" t="s">
        <v>84</v>
      </c>
      <c r="I147" s="76"/>
      <c r="J147" s="73">
        <v>0</v>
      </c>
      <c r="K147" s="74">
        <v>18292.740000000002</v>
      </c>
      <c r="L147" s="72">
        <v>0</v>
      </c>
      <c r="M147" s="72">
        <v>0</v>
      </c>
      <c r="N147" s="72">
        <f>IF(AND(C147="",J147=0,K147=0,L147=0,M147=0),"",CADASTROS!$B$4+SUM($J$2:J147)+SUM($M$2:M147)-SUM($K$2:K147)-SUM($L$2:L147))</f>
        <v>-17942.910000000033</v>
      </c>
      <c r="O147" s="72">
        <f>IF(A147="","",SUMIF(RATEIOS!$A$2:$A$3142,$A147,RATEIOS!$F$2:$F$3142))</f>
        <v>18292.740000000002</v>
      </c>
      <c r="P147" s="15">
        <f t="shared" si="5"/>
        <v>0</v>
      </c>
      <c r="Q147" s="49" t="str">
        <f>IF(AND(J147=0,K147=0,L147=0,M147=0),"",IF(O147=0,"PENDENTE DE RATEIO",IF(ABS(P147)&gt;0.005,"DIVERGÊNCIA",IF(COUNTIF(RATEIOS!$A$2:$A$3142,$A147)-COUNTIFS(RATEIOS!$A$2:$A$3142,$A147,RATEIOS!$D$2:$D$3142,"&lt;&gt;")&gt;0,"NÃO CLASSIFICADO","RATEIO OK"))))</f>
        <v>RATEIO OK</v>
      </c>
      <c r="R147" s="49" t="s">
        <v>2553</v>
      </c>
      <c r="S147" s="14"/>
    </row>
    <row r="148" spans="1:19" ht="24.95" customHeight="1" x14ac:dyDescent="0.25">
      <c r="A148" s="49" t="s">
        <v>1518</v>
      </c>
      <c r="B148" s="98">
        <v>147</v>
      </c>
      <c r="C148" s="50">
        <v>46062</v>
      </c>
      <c r="D148" s="49">
        <f t="shared" si="4"/>
        <v>2</v>
      </c>
      <c r="E148" s="92" t="s">
        <v>118</v>
      </c>
      <c r="F148" s="49" t="s">
        <v>36</v>
      </c>
      <c r="G148" s="14" t="s">
        <v>279</v>
      </c>
      <c r="H148" s="14" t="s">
        <v>92</v>
      </c>
      <c r="I148" s="76" t="s">
        <v>93</v>
      </c>
      <c r="J148" s="73">
        <v>0</v>
      </c>
      <c r="K148" s="74">
        <v>1935.4</v>
      </c>
      <c r="L148" s="72">
        <v>0</v>
      </c>
      <c r="M148" s="72">
        <v>0</v>
      </c>
      <c r="N148" s="72">
        <f>IF(AND(C148="",J148=0,K148=0,L148=0,M148=0),"",CADASTROS!$B$4+SUM($J$2:J148)+SUM($M$2:M148)-SUM($K$2:K148)-SUM($L$2:L148))</f>
        <v>-19878.310000000056</v>
      </c>
      <c r="O148" s="72">
        <f>IF(A148="","",SUMIF(RATEIOS!$A$2:$A$3142,$A148,RATEIOS!$F$2:$F$3142))</f>
        <v>1935.4</v>
      </c>
      <c r="P148" s="15">
        <f t="shared" si="5"/>
        <v>0</v>
      </c>
      <c r="Q148" s="49" t="str">
        <f>IF(AND(J148=0,K148=0,L148=0,M148=0),"",IF(O148=0,"PENDENTE DE RATEIO",IF(ABS(P148)&gt;0.005,"DIVERGÊNCIA",IF(COUNTIF(RATEIOS!$A$2:$A$3142,$A148)-COUNTIFS(RATEIOS!$A$2:$A$3142,$A148,RATEIOS!$D$2:$D$3142,"&lt;&gt;")&gt;0,"NÃO CLASSIFICADO","RATEIO OK"))))</f>
        <v>RATEIO OK</v>
      </c>
      <c r="R148" s="49" t="s">
        <v>2553</v>
      </c>
      <c r="S148" s="14"/>
    </row>
    <row r="149" spans="1:19" ht="24.95" customHeight="1" x14ac:dyDescent="0.25">
      <c r="A149" s="49" t="s">
        <v>1519</v>
      </c>
      <c r="B149" s="98">
        <v>148</v>
      </c>
      <c r="C149" s="50">
        <v>46062</v>
      </c>
      <c r="D149" s="49">
        <f t="shared" si="4"/>
        <v>2</v>
      </c>
      <c r="E149" s="92" t="s">
        <v>118</v>
      </c>
      <c r="F149" s="49" t="s">
        <v>36</v>
      </c>
      <c r="G149" s="14" t="s">
        <v>280</v>
      </c>
      <c r="H149" s="14" t="s">
        <v>207</v>
      </c>
      <c r="I149" s="76" t="s">
        <v>281</v>
      </c>
      <c r="J149" s="73">
        <v>0</v>
      </c>
      <c r="K149" s="74">
        <v>1416</v>
      </c>
      <c r="L149" s="72">
        <v>0</v>
      </c>
      <c r="M149" s="72">
        <v>0</v>
      </c>
      <c r="N149" s="72">
        <f>IF(AND(C149="",J149=0,K149=0,L149=0,M149=0),"",CADASTROS!$B$4+SUM($J$2:J149)+SUM($M$2:M149)-SUM($K$2:K149)-SUM($L$2:L149))</f>
        <v>-21294.310000000056</v>
      </c>
      <c r="O149" s="72">
        <f>IF(A149="","",SUMIF(RATEIOS!$A$2:$A$3142,$A149,RATEIOS!$F$2:$F$3142))</f>
        <v>1416</v>
      </c>
      <c r="P149" s="15">
        <f t="shared" si="5"/>
        <v>0</v>
      </c>
      <c r="Q149" s="49" t="str">
        <f>IF(AND(J149=0,K149=0,L149=0,M149=0),"",IF(O149=0,"PENDENTE DE RATEIO",IF(ABS(P149)&gt;0.005,"DIVERGÊNCIA",IF(COUNTIF(RATEIOS!$A$2:$A$3142,$A149)-COUNTIFS(RATEIOS!$A$2:$A$3142,$A149,RATEIOS!$D$2:$D$3142,"&lt;&gt;")&gt;0,"NÃO CLASSIFICADO","RATEIO OK"))))</f>
        <v>RATEIO OK</v>
      </c>
      <c r="R149" s="49" t="s">
        <v>2553</v>
      </c>
      <c r="S149" s="14"/>
    </row>
    <row r="150" spans="1:19" ht="24.95" customHeight="1" x14ac:dyDescent="0.25">
      <c r="A150" s="49" t="s">
        <v>1520</v>
      </c>
      <c r="B150" s="98">
        <v>149</v>
      </c>
      <c r="C150" s="50">
        <v>46062</v>
      </c>
      <c r="D150" s="49">
        <f t="shared" si="4"/>
        <v>2</v>
      </c>
      <c r="E150" s="92" t="s">
        <v>118</v>
      </c>
      <c r="F150" s="49" t="s">
        <v>36</v>
      </c>
      <c r="G150" s="14" t="s">
        <v>282</v>
      </c>
      <c r="H150" s="14" t="s">
        <v>283</v>
      </c>
      <c r="I150" s="76" t="s">
        <v>284</v>
      </c>
      <c r="J150" s="73">
        <v>0</v>
      </c>
      <c r="K150" s="74">
        <v>561.20000000000005</v>
      </c>
      <c r="L150" s="72">
        <v>0</v>
      </c>
      <c r="M150" s="72">
        <v>0</v>
      </c>
      <c r="N150" s="72">
        <f>IF(AND(C150="",J150=0,K150=0,L150=0,M150=0),"",CADASTROS!$B$4+SUM($J$2:J150)+SUM($M$2:M150)-SUM($K$2:K150)-SUM($L$2:L150))</f>
        <v>-21855.510000000009</v>
      </c>
      <c r="O150" s="72">
        <f>IF(A150="","",SUMIF(RATEIOS!$A$2:$A$3142,$A150,RATEIOS!$F$2:$F$3142))</f>
        <v>561.20000000000005</v>
      </c>
      <c r="P150" s="15">
        <f t="shared" si="5"/>
        <v>0</v>
      </c>
      <c r="Q150" s="49" t="str">
        <f>IF(AND(J150=0,K150=0,L150=0,M150=0),"",IF(O150=0,"PENDENTE DE RATEIO",IF(ABS(P150)&gt;0.005,"DIVERGÊNCIA",IF(COUNTIF(RATEIOS!$A$2:$A$3142,$A150)-COUNTIFS(RATEIOS!$A$2:$A$3142,$A150,RATEIOS!$D$2:$D$3142,"&lt;&gt;")&gt;0,"NÃO CLASSIFICADO","RATEIO OK"))))</f>
        <v>RATEIO OK</v>
      </c>
      <c r="R150" s="49" t="s">
        <v>2553</v>
      </c>
      <c r="S150" s="14"/>
    </row>
    <row r="151" spans="1:19" ht="24.95" customHeight="1" x14ac:dyDescent="0.25">
      <c r="A151" s="49" t="s">
        <v>1522</v>
      </c>
      <c r="B151" s="98">
        <v>150</v>
      </c>
      <c r="C151" s="50">
        <v>46062</v>
      </c>
      <c r="D151" s="49">
        <f t="shared" si="4"/>
        <v>2</v>
      </c>
      <c r="E151" s="92" t="s">
        <v>2558</v>
      </c>
      <c r="F151" s="49" t="s">
        <v>38</v>
      </c>
      <c r="G151" s="14" t="s">
        <v>104</v>
      </c>
      <c r="H151" s="14" t="s">
        <v>46</v>
      </c>
      <c r="I151" s="76"/>
      <c r="J151" s="73">
        <v>0</v>
      </c>
      <c r="K151" s="74">
        <v>0</v>
      </c>
      <c r="L151" s="72">
        <v>0</v>
      </c>
      <c r="M151" s="72">
        <v>1228</v>
      </c>
      <c r="N151" s="72">
        <f>IF(AND(C151="",J151=0,K151=0,L151=0,M151=0),"",CADASTROS!$B$4+SUM($J$2:J151)+SUM($M$2:M151)-SUM($K$2:K151)-SUM($L$2:L151))</f>
        <v>-20627.510000000009</v>
      </c>
      <c r="O151" s="72">
        <f>IF(A151="","",SUMIF(RATEIOS!$A$2:$A$3142,$A151,RATEIOS!$F$2:$F$3142))</f>
        <v>1228</v>
      </c>
      <c r="P151" s="15">
        <f t="shared" si="5"/>
        <v>0</v>
      </c>
      <c r="Q151" s="49" t="str">
        <f>IF(AND(J151=0,K151=0,L151=0,M151=0),"",IF(O151=0,"PENDENTE DE RATEIO",IF(ABS(P151)&gt;0.005,"DIVERGÊNCIA",IF(COUNTIF(RATEIOS!$A$2:$A$3142,$A151)-COUNTIFS(RATEIOS!$A$2:$A$3142,$A151,RATEIOS!$D$2:$D$3142,"&lt;&gt;")&gt;0,"NÃO CLASSIFICADO","RATEIO OK"))))</f>
        <v>RATEIO OK</v>
      </c>
      <c r="R151" s="49" t="s">
        <v>2553</v>
      </c>
      <c r="S151" s="14"/>
    </row>
    <row r="152" spans="1:19" ht="24.95" customHeight="1" x14ac:dyDescent="0.25">
      <c r="A152" s="49" t="s">
        <v>1523</v>
      </c>
      <c r="B152" s="98">
        <v>151</v>
      </c>
      <c r="C152" s="50">
        <v>46062</v>
      </c>
      <c r="D152" s="49">
        <f t="shared" si="4"/>
        <v>2</v>
      </c>
      <c r="E152" s="92" t="s">
        <v>2558</v>
      </c>
      <c r="F152" s="49" t="s">
        <v>38</v>
      </c>
      <c r="G152" s="14" t="s">
        <v>45</v>
      </c>
      <c r="H152" s="14" t="s">
        <v>46</v>
      </c>
      <c r="I152" s="76"/>
      <c r="J152" s="73">
        <v>0</v>
      </c>
      <c r="K152" s="74">
        <v>0</v>
      </c>
      <c r="L152" s="72">
        <v>0</v>
      </c>
      <c r="M152" s="72">
        <v>21000</v>
      </c>
      <c r="N152" s="72">
        <f>IF(AND(C152="",J152=0,K152=0,L152=0,M152=0),"",CADASTROS!$B$4+SUM($J$2:J152)+SUM($M$2:M152)-SUM($K$2:K152)-SUM($L$2:L152))</f>
        <v>372.48999999999069</v>
      </c>
      <c r="O152" s="72">
        <f>IF(A152="","",SUMIF(RATEIOS!$A$2:$A$3142,$A152,RATEIOS!$F$2:$F$3142))</f>
        <v>21000</v>
      </c>
      <c r="P152" s="15">
        <f t="shared" si="5"/>
        <v>0</v>
      </c>
      <c r="Q152" s="49" t="str">
        <f>IF(AND(J152=0,K152=0,L152=0,M152=0),"",IF(O152=0,"PENDENTE DE RATEIO",IF(ABS(P152)&gt;0.005,"DIVERGÊNCIA",IF(COUNTIF(RATEIOS!$A$2:$A$3142,$A152)-COUNTIFS(RATEIOS!$A$2:$A$3142,$A152,RATEIOS!$D$2:$D$3142,"&lt;&gt;")&gt;0,"NÃO CLASSIFICADO","RATEIO OK"))))</f>
        <v>RATEIO OK</v>
      </c>
      <c r="R152" s="49" t="s">
        <v>2553</v>
      </c>
      <c r="S152" s="14"/>
    </row>
    <row r="153" spans="1:19" ht="24.95" customHeight="1" x14ac:dyDescent="0.25">
      <c r="A153" s="49" t="s">
        <v>1524</v>
      </c>
      <c r="B153" s="98">
        <v>152</v>
      </c>
      <c r="C153" s="50">
        <v>46063</v>
      </c>
      <c r="D153" s="49">
        <f t="shared" si="4"/>
        <v>2</v>
      </c>
      <c r="E153" s="92" t="s">
        <v>118</v>
      </c>
      <c r="F153" s="49" t="s">
        <v>36</v>
      </c>
      <c r="G153" s="14" t="s">
        <v>285</v>
      </c>
      <c r="H153" s="14" t="s">
        <v>143</v>
      </c>
      <c r="I153" s="76" t="s">
        <v>286</v>
      </c>
      <c r="J153" s="73">
        <v>0</v>
      </c>
      <c r="K153" s="74">
        <v>4892.5</v>
      </c>
      <c r="L153" s="72">
        <v>0</v>
      </c>
      <c r="M153" s="72">
        <v>0</v>
      </c>
      <c r="N153" s="72">
        <f>IF(AND(C153="",J153=0,K153=0,L153=0,M153=0),"",CADASTROS!$B$4+SUM($J$2:J153)+SUM($M$2:M153)-SUM($K$2:K153)-SUM($L$2:L153))</f>
        <v>-4520.0100000000093</v>
      </c>
      <c r="O153" s="72">
        <f>IF(A153="","",SUMIF(RATEIOS!$A$2:$A$3142,$A153,RATEIOS!$F$2:$F$3142))</f>
        <v>4892.5</v>
      </c>
      <c r="P153" s="15">
        <f t="shared" si="5"/>
        <v>0</v>
      </c>
      <c r="Q153" s="49" t="str">
        <f>IF(AND(J153=0,K153=0,L153=0,M153=0),"",IF(O153=0,"PENDENTE DE RATEIO",IF(ABS(P153)&gt;0.005,"DIVERGÊNCIA",IF(COUNTIF(RATEIOS!$A$2:$A$3142,$A153)-COUNTIFS(RATEIOS!$A$2:$A$3142,$A153,RATEIOS!$D$2:$D$3142,"&lt;&gt;")&gt;0,"NÃO CLASSIFICADO","RATEIO OK"))))</f>
        <v>RATEIO OK</v>
      </c>
      <c r="R153" s="49" t="s">
        <v>2553</v>
      </c>
      <c r="S153" s="14"/>
    </row>
    <row r="154" spans="1:19" ht="24.95" customHeight="1" x14ac:dyDescent="0.25">
      <c r="A154" s="49" t="s">
        <v>1525</v>
      </c>
      <c r="B154" s="98">
        <v>153</v>
      </c>
      <c r="C154" s="50">
        <v>46063</v>
      </c>
      <c r="D154" s="49">
        <f t="shared" si="4"/>
        <v>2</v>
      </c>
      <c r="E154" s="92" t="s">
        <v>287</v>
      </c>
      <c r="F154" s="49" t="s">
        <v>36</v>
      </c>
      <c r="G154" s="14" t="s">
        <v>288</v>
      </c>
      <c r="H154" s="14" t="s">
        <v>2942</v>
      </c>
      <c r="I154" s="76" t="s">
        <v>289</v>
      </c>
      <c r="J154" s="73">
        <v>0</v>
      </c>
      <c r="K154" s="74">
        <v>3414.13</v>
      </c>
      <c r="L154" s="72">
        <v>0</v>
      </c>
      <c r="M154" s="72">
        <v>0</v>
      </c>
      <c r="N154" s="72">
        <f>IF(AND(C154="",J154=0,K154=0,L154=0,M154=0),"",CADASTROS!$B$4+SUM($J$2:J154)+SUM($M$2:M154)-SUM($K$2:K154)-SUM($L$2:L154))</f>
        <v>-7934.140000000014</v>
      </c>
      <c r="O154" s="72">
        <f>IF(A154="","",SUMIF(RATEIOS!$A$2:$A$3142,$A154,RATEIOS!$F$2:$F$3142))</f>
        <v>3414.13</v>
      </c>
      <c r="P154" s="15">
        <f t="shared" si="5"/>
        <v>0</v>
      </c>
      <c r="Q154" s="49" t="str">
        <f>IF(AND(J154=0,K154=0,L154=0,M154=0),"",IF(O154=0,"PENDENTE DE RATEIO",IF(ABS(P154)&gt;0.005,"DIVERGÊNCIA",IF(COUNTIF(RATEIOS!$A$2:$A$3142,$A154)-COUNTIFS(RATEIOS!$A$2:$A$3142,$A154,RATEIOS!$D$2:$D$3142,"&lt;&gt;")&gt;0,"NÃO CLASSIFICADO","RATEIO OK"))))</f>
        <v>RATEIO OK</v>
      </c>
      <c r="R154" s="49" t="s">
        <v>2553</v>
      </c>
      <c r="S154" s="14" t="s">
        <v>290</v>
      </c>
    </row>
    <row r="155" spans="1:19" ht="24.95" customHeight="1" x14ac:dyDescent="0.25">
      <c r="A155" s="49" t="s">
        <v>1526</v>
      </c>
      <c r="B155" s="98">
        <v>154</v>
      </c>
      <c r="C155" s="50">
        <v>46063</v>
      </c>
      <c r="D155" s="49">
        <f t="shared" si="4"/>
        <v>2</v>
      </c>
      <c r="E155" s="92" t="s">
        <v>118</v>
      </c>
      <c r="F155" s="49" t="s">
        <v>36</v>
      </c>
      <c r="G155" s="14" t="s">
        <v>291</v>
      </c>
      <c r="H155" s="14" t="s">
        <v>51</v>
      </c>
      <c r="I155" s="76" t="s">
        <v>292</v>
      </c>
      <c r="J155" s="73">
        <v>0</v>
      </c>
      <c r="K155" s="74">
        <v>1765</v>
      </c>
      <c r="L155" s="72">
        <v>0</v>
      </c>
      <c r="M155" s="72">
        <v>0</v>
      </c>
      <c r="N155" s="72">
        <f>IF(AND(C155="",J155=0,K155=0,L155=0,M155=0),"",CADASTROS!$B$4+SUM($J$2:J155)+SUM($M$2:M155)-SUM($K$2:K155)-SUM($L$2:L155))</f>
        <v>-9699.140000000014</v>
      </c>
      <c r="O155" s="72">
        <f>IF(A155="","",SUMIF(RATEIOS!$A$2:$A$3142,$A155,RATEIOS!$F$2:$F$3142))</f>
        <v>1765</v>
      </c>
      <c r="P155" s="15">
        <f t="shared" si="5"/>
        <v>0</v>
      </c>
      <c r="Q155" s="49" t="str">
        <f>IF(AND(J155=0,K155=0,L155=0,M155=0),"",IF(O155=0,"PENDENTE DE RATEIO",IF(ABS(P155)&gt;0.005,"DIVERGÊNCIA",IF(COUNTIF(RATEIOS!$A$2:$A$3142,$A155)-COUNTIFS(RATEIOS!$A$2:$A$3142,$A155,RATEIOS!$D$2:$D$3142,"&lt;&gt;")&gt;0,"NÃO CLASSIFICADO","RATEIO OK"))))</f>
        <v>RATEIO OK</v>
      </c>
      <c r="R155" s="49" t="s">
        <v>2553</v>
      </c>
      <c r="S155" s="14"/>
    </row>
    <row r="156" spans="1:19" ht="24.95" customHeight="1" x14ac:dyDescent="0.25">
      <c r="A156" s="49" t="s">
        <v>1528</v>
      </c>
      <c r="B156" s="98">
        <v>155</v>
      </c>
      <c r="C156" s="50">
        <v>46063</v>
      </c>
      <c r="D156" s="49">
        <f t="shared" si="4"/>
        <v>2</v>
      </c>
      <c r="E156" s="92" t="s">
        <v>287</v>
      </c>
      <c r="F156" s="49" t="s">
        <v>36</v>
      </c>
      <c r="G156" s="14" t="s">
        <v>293</v>
      </c>
      <c r="H156" s="14" t="s">
        <v>3033</v>
      </c>
      <c r="I156" s="76"/>
      <c r="J156" s="73">
        <v>0</v>
      </c>
      <c r="K156" s="74">
        <v>476</v>
      </c>
      <c r="L156" s="72">
        <v>0</v>
      </c>
      <c r="M156" s="72">
        <v>0</v>
      </c>
      <c r="N156" s="72">
        <f>IF(AND(C156="",J156=0,K156=0,L156=0,M156=0),"",CADASTROS!$B$4+SUM($J$2:J156)+SUM($M$2:M156)-SUM($K$2:K156)-SUM($L$2:L156))</f>
        <v>-10175.140000000014</v>
      </c>
      <c r="O156" s="72">
        <f>IF(A156="","",SUMIF(RATEIOS!$A$2:$A$3142,$A156,RATEIOS!$F$2:$F$3142))</f>
        <v>476</v>
      </c>
      <c r="P156" s="15">
        <f t="shared" si="5"/>
        <v>0</v>
      </c>
      <c r="Q156" s="49" t="str">
        <f>IF(AND(J156=0,K156=0,L156=0,M156=0),"",IF(O156=0,"PENDENTE DE RATEIO",IF(ABS(P156)&gt;0.005,"DIVERGÊNCIA",IF(COUNTIF(RATEIOS!$A$2:$A$3142,$A156)-COUNTIFS(RATEIOS!$A$2:$A$3142,$A156,RATEIOS!$D$2:$D$3142,"&lt;&gt;")&gt;0,"NÃO CLASSIFICADO","RATEIO OK"))))</f>
        <v>RATEIO OK</v>
      </c>
      <c r="R156" s="49" t="s">
        <v>2553</v>
      </c>
      <c r="S156" s="14" t="s">
        <v>2961</v>
      </c>
    </row>
    <row r="157" spans="1:19" ht="24.95" customHeight="1" x14ac:dyDescent="0.25">
      <c r="A157" s="49" t="s">
        <v>1529</v>
      </c>
      <c r="B157" s="98">
        <v>156</v>
      </c>
      <c r="C157" s="50">
        <v>46063</v>
      </c>
      <c r="D157" s="49">
        <f t="shared" si="4"/>
        <v>2</v>
      </c>
      <c r="E157" s="92" t="s">
        <v>72</v>
      </c>
      <c r="F157" s="49" t="s">
        <v>36</v>
      </c>
      <c r="G157" s="14" t="s">
        <v>295</v>
      </c>
      <c r="H157" s="14" t="s">
        <v>245</v>
      </c>
      <c r="I157" s="76" t="s">
        <v>213</v>
      </c>
      <c r="J157" s="73">
        <v>0</v>
      </c>
      <c r="K157" s="74">
        <v>450</v>
      </c>
      <c r="L157" s="72">
        <v>0</v>
      </c>
      <c r="M157" s="72">
        <v>0</v>
      </c>
      <c r="N157" s="72">
        <f>IF(AND(C157="",J157=0,K157=0,L157=0,M157=0),"",CADASTROS!$B$4+SUM($J$2:J157)+SUM($M$2:M157)-SUM($K$2:K157)-SUM($L$2:L157))</f>
        <v>-10625.140000000014</v>
      </c>
      <c r="O157" s="72">
        <f>IF(A157="","",SUMIF(RATEIOS!$A$2:$A$3142,$A157,RATEIOS!$F$2:$F$3142))</f>
        <v>450</v>
      </c>
      <c r="P157" s="15">
        <f t="shared" si="5"/>
        <v>0</v>
      </c>
      <c r="Q157" s="49" t="str">
        <f>IF(AND(J157=0,K157=0,L157=0,M157=0),"",IF(O157=0,"PENDENTE DE RATEIO",IF(ABS(P157)&gt;0.005,"DIVERGÊNCIA",IF(COUNTIF(RATEIOS!$A$2:$A$3142,$A157)-COUNTIFS(RATEIOS!$A$2:$A$3142,$A157,RATEIOS!$D$2:$D$3142,"&lt;&gt;")&gt;0,"NÃO CLASSIFICADO","RATEIO OK"))))</f>
        <v>RATEIO OK</v>
      </c>
      <c r="R157" s="49" t="s">
        <v>2553</v>
      </c>
      <c r="S157" s="14" t="s">
        <v>246</v>
      </c>
    </row>
    <row r="158" spans="1:19" ht="24.95" customHeight="1" x14ac:dyDescent="0.25">
      <c r="A158" s="49" t="s">
        <v>1530</v>
      </c>
      <c r="B158" s="98">
        <v>157</v>
      </c>
      <c r="C158" s="50">
        <v>46063</v>
      </c>
      <c r="D158" s="49">
        <f t="shared" si="4"/>
        <v>2</v>
      </c>
      <c r="E158" s="92" t="s">
        <v>118</v>
      </c>
      <c r="F158" s="49" t="s">
        <v>36</v>
      </c>
      <c r="G158" s="14" t="s">
        <v>119</v>
      </c>
      <c r="H158" s="14" t="s">
        <v>120</v>
      </c>
      <c r="I158" s="76" t="s">
        <v>296</v>
      </c>
      <c r="J158" s="73">
        <v>0</v>
      </c>
      <c r="K158" s="74">
        <v>149.9</v>
      </c>
      <c r="L158" s="72">
        <v>0</v>
      </c>
      <c r="M158" s="72">
        <v>0</v>
      </c>
      <c r="N158" s="72">
        <f>IF(AND(C158="",J158=0,K158=0,L158=0,M158=0),"",CADASTROS!$B$4+SUM($J$2:J158)+SUM($M$2:M158)-SUM($K$2:K158)-SUM($L$2:L158))</f>
        <v>-10775.040000000037</v>
      </c>
      <c r="O158" s="72">
        <f>IF(A158="","",SUMIF(RATEIOS!$A$2:$A$3142,$A158,RATEIOS!$F$2:$F$3142))</f>
        <v>149.9</v>
      </c>
      <c r="P158" s="15">
        <f t="shared" si="5"/>
        <v>0</v>
      </c>
      <c r="Q158" s="49" t="str">
        <f>IF(AND(J158=0,K158=0,L158=0,M158=0),"",IF(O158=0,"PENDENTE DE RATEIO",IF(ABS(P158)&gt;0.005,"DIVERGÊNCIA",IF(COUNTIF(RATEIOS!$A$2:$A$3142,$A158)-COUNTIFS(RATEIOS!$A$2:$A$3142,$A158,RATEIOS!$D$2:$D$3142,"&lt;&gt;")&gt;0,"NÃO CLASSIFICADO","RATEIO OK"))))</f>
        <v>RATEIO OK</v>
      </c>
      <c r="R158" s="49" t="s">
        <v>2553</v>
      </c>
      <c r="S158" s="14"/>
    </row>
    <row r="159" spans="1:19" ht="24.95" customHeight="1" x14ac:dyDescent="0.25">
      <c r="A159" s="49" t="s">
        <v>1531</v>
      </c>
      <c r="B159" s="98">
        <v>158</v>
      </c>
      <c r="C159" s="50">
        <v>46063</v>
      </c>
      <c r="D159" s="49">
        <f t="shared" si="4"/>
        <v>2</v>
      </c>
      <c r="E159" s="92" t="s">
        <v>2556</v>
      </c>
      <c r="F159" s="49" t="s">
        <v>36</v>
      </c>
      <c r="G159" s="14" t="s">
        <v>297</v>
      </c>
      <c r="H159" s="14" t="s">
        <v>117</v>
      </c>
      <c r="I159" s="76"/>
      <c r="J159" s="73">
        <v>0</v>
      </c>
      <c r="K159" s="74">
        <v>131.5</v>
      </c>
      <c r="L159" s="72">
        <v>0</v>
      </c>
      <c r="M159" s="72">
        <v>0</v>
      </c>
      <c r="N159" s="72">
        <f>IF(AND(C159="",J159=0,K159=0,L159=0,M159=0),"",CADASTROS!$B$4+SUM($J$2:J159)+SUM($M$2:M159)-SUM($K$2:K159)-SUM($L$2:L159))</f>
        <v>-10906.540000000037</v>
      </c>
      <c r="O159" s="72">
        <f>IF(A159="","",SUMIF(RATEIOS!$A$2:$A$3142,$A159,RATEIOS!$F$2:$F$3142))</f>
        <v>131.5</v>
      </c>
      <c r="P159" s="15">
        <f t="shared" si="5"/>
        <v>0</v>
      </c>
      <c r="Q159" s="49" t="str">
        <f>IF(AND(J159=0,K159=0,L159=0,M159=0),"",IF(O159=0,"PENDENTE DE RATEIO",IF(ABS(P159)&gt;0.005,"DIVERGÊNCIA",IF(COUNTIF(RATEIOS!$A$2:$A$3142,$A159)-COUNTIFS(RATEIOS!$A$2:$A$3142,$A159,RATEIOS!$D$2:$D$3142,"&lt;&gt;")&gt;0,"NÃO CLASSIFICADO","RATEIO OK"))))</f>
        <v>RATEIO OK</v>
      </c>
      <c r="R159" s="49" t="s">
        <v>2553</v>
      </c>
      <c r="S159" s="14"/>
    </row>
    <row r="160" spans="1:19" ht="24.95" customHeight="1" x14ac:dyDescent="0.25">
      <c r="A160" s="49" t="s">
        <v>1532</v>
      </c>
      <c r="B160" s="98">
        <v>159</v>
      </c>
      <c r="C160" s="50">
        <v>46063</v>
      </c>
      <c r="D160" s="49">
        <f t="shared" si="4"/>
        <v>2</v>
      </c>
      <c r="E160" s="92" t="s">
        <v>2558</v>
      </c>
      <c r="F160" s="49" t="s">
        <v>38</v>
      </c>
      <c r="G160" s="14" t="s">
        <v>45</v>
      </c>
      <c r="H160" s="14" t="s">
        <v>46</v>
      </c>
      <c r="I160" s="76"/>
      <c r="J160" s="73">
        <v>0</v>
      </c>
      <c r="K160" s="74">
        <v>0</v>
      </c>
      <c r="L160" s="72">
        <v>0</v>
      </c>
      <c r="M160" s="72">
        <v>266.27999999999997</v>
      </c>
      <c r="N160" s="72">
        <f>IF(AND(C160="",J160=0,K160=0,L160=0,M160=0),"",CADASTROS!$B$4+SUM($J$2:J160)+SUM($M$2:M160)-SUM($K$2:K160)-SUM($L$2:L160))</f>
        <v>-10640.260000000009</v>
      </c>
      <c r="O160" s="72">
        <f>IF(A160="","",SUMIF(RATEIOS!$A$2:$A$3142,$A160,RATEIOS!$F$2:$F$3142))</f>
        <v>266.27999999999997</v>
      </c>
      <c r="P160" s="15">
        <f t="shared" si="5"/>
        <v>0</v>
      </c>
      <c r="Q160" s="49" t="str">
        <f>IF(AND(J160=0,K160=0,L160=0,M160=0),"",IF(O160=0,"PENDENTE DE RATEIO",IF(ABS(P160)&gt;0.005,"DIVERGÊNCIA",IF(COUNTIF(RATEIOS!$A$2:$A$3142,$A160)-COUNTIFS(RATEIOS!$A$2:$A$3142,$A160,RATEIOS!$D$2:$D$3142,"&lt;&gt;")&gt;0,"NÃO CLASSIFICADO","RATEIO OK"))))</f>
        <v>RATEIO OK</v>
      </c>
      <c r="R160" s="49" t="s">
        <v>2553</v>
      </c>
      <c r="S160" s="14"/>
    </row>
    <row r="161" spans="1:19" ht="24.95" customHeight="1" x14ac:dyDescent="0.25">
      <c r="A161" s="49" t="s">
        <v>1533</v>
      </c>
      <c r="B161" s="98">
        <v>160</v>
      </c>
      <c r="C161" s="50">
        <v>46063</v>
      </c>
      <c r="D161" s="49">
        <f t="shared" si="4"/>
        <v>2</v>
      </c>
      <c r="E161" s="92" t="s">
        <v>2558</v>
      </c>
      <c r="F161" s="49" t="s">
        <v>38</v>
      </c>
      <c r="G161" s="14" t="s">
        <v>45</v>
      </c>
      <c r="H161" s="14" t="s">
        <v>46</v>
      </c>
      <c r="I161" s="76"/>
      <c r="J161" s="73">
        <v>0</v>
      </c>
      <c r="K161" s="74">
        <v>0</v>
      </c>
      <c r="L161" s="72">
        <v>0</v>
      </c>
      <c r="M161" s="72">
        <v>11000</v>
      </c>
      <c r="N161" s="72">
        <f>IF(AND(C161="",J161=0,K161=0,L161=0,M161=0),"",CADASTROS!$B$4+SUM($J$2:J161)+SUM($M$2:M161)-SUM($K$2:K161)-SUM($L$2:L161))</f>
        <v>359.73999999999069</v>
      </c>
      <c r="O161" s="72">
        <f>IF(A161="","",SUMIF(RATEIOS!$A$2:$A$3142,$A161,RATEIOS!$F$2:$F$3142))</f>
        <v>11000</v>
      </c>
      <c r="P161" s="15">
        <f t="shared" si="5"/>
        <v>0</v>
      </c>
      <c r="Q161" s="49" t="str">
        <f>IF(AND(J161=0,K161=0,L161=0,M161=0),"",IF(O161=0,"PENDENTE DE RATEIO",IF(ABS(P161)&gt;0.005,"DIVERGÊNCIA",IF(COUNTIF(RATEIOS!$A$2:$A$3142,$A161)-COUNTIFS(RATEIOS!$A$2:$A$3142,$A161,RATEIOS!$D$2:$D$3142,"&lt;&gt;")&gt;0,"NÃO CLASSIFICADO","RATEIO OK"))))</f>
        <v>RATEIO OK</v>
      </c>
      <c r="R161" s="49" t="s">
        <v>2553</v>
      </c>
      <c r="S161" s="14"/>
    </row>
    <row r="162" spans="1:19" ht="24.95" customHeight="1" x14ac:dyDescent="0.25">
      <c r="A162" s="49" t="s">
        <v>1534</v>
      </c>
      <c r="B162" s="98">
        <v>161</v>
      </c>
      <c r="C162" s="50">
        <v>46064</v>
      </c>
      <c r="D162" s="49">
        <f t="shared" si="4"/>
        <v>2</v>
      </c>
      <c r="E162" s="92" t="s">
        <v>2558</v>
      </c>
      <c r="F162" s="49" t="s">
        <v>38</v>
      </c>
      <c r="G162" s="14" t="s">
        <v>104</v>
      </c>
      <c r="H162" s="14" t="s">
        <v>46</v>
      </c>
      <c r="I162" s="76"/>
      <c r="J162" s="73">
        <v>0</v>
      </c>
      <c r="K162" s="74">
        <v>0</v>
      </c>
      <c r="L162" s="72">
        <v>0</v>
      </c>
      <c r="M162" s="72">
        <v>144.1</v>
      </c>
      <c r="N162" s="72">
        <f>IF(AND(C162="",J162=0,K162=0,L162=0,M162=0),"",CADASTROS!$B$4+SUM($J$2:J162)+SUM($M$2:M162)-SUM($K$2:K162)-SUM($L$2:L162))</f>
        <v>503.8399999999674</v>
      </c>
      <c r="O162" s="72">
        <f>IF(A162="","",SUMIF(RATEIOS!$A$2:$A$3142,$A162,RATEIOS!$F$2:$F$3142))</f>
        <v>144.1</v>
      </c>
      <c r="P162" s="15">
        <f t="shared" si="5"/>
        <v>0</v>
      </c>
      <c r="Q162" s="49" t="str">
        <f>IF(AND(J162=0,K162=0,L162=0,M162=0),"",IF(O162=0,"PENDENTE DE RATEIO",IF(ABS(P162)&gt;0.005,"DIVERGÊNCIA",IF(COUNTIF(RATEIOS!$A$2:$A$3142,$A162)-COUNTIFS(RATEIOS!$A$2:$A$3142,$A162,RATEIOS!$D$2:$D$3142,"&lt;&gt;")&gt;0,"NÃO CLASSIFICADO","RATEIO OK"))))</f>
        <v>RATEIO OK</v>
      </c>
      <c r="R162" s="49" t="s">
        <v>2553</v>
      </c>
      <c r="S162" s="14"/>
    </row>
    <row r="163" spans="1:19" ht="24.95" customHeight="1" x14ac:dyDescent="0.25">
      <c r="A163" s="49" t="s">
        <v>1535</v>
      </c>
      <c r="B163" s="98">
        <v>162</v>
      </c>
      <c r="C163" s="50">
        <v>46065</v>
      </c>
      <c r="D163" s="49">
        <f t="shared" si="4"/>
        <v>2</v>
      </c>
      <c r="E163" s="92" t="s">
        <v>287</v>
      </c>
      <c r="F163" s="49" t="s">
        <v>35</v>
      </c>
      <c r="G163" s="14" t="s">
        <v>298</v>
      </c>
      <c r="H163" s="14" t="s">
        <v>2737</v>
      </c>
      <c r="I163" s="76"/>
      <c r="J163" s="73">
        <v>32760.61</v>
      </c>
      <c r="K163" s="74">
        <v>0</v>
      </c>
      <c r="L163" s="72">
        <v>0</v>
      </c>
      <c r="M163" s="72">
        <v>0</v>
      </c>
      <c r="N163" s="72">
        <f>IF(AND(C163="",J163=0,K163=0,L163=0,M163=0),"",CADASTROS!$B$4+SUM($J$2:J163)+SUM($M$2:M163)-SUM($K$2:K163)-SUM($L$2:L163))</f>
        <v>33264.449999999953</v>
      </c>
      <c r="O163" s="72">
        <f>IF(A163="","",SUMIF(RATEIOS!$A$2:$A$3142,$A163,RATEIOS!$F$2:$F$3142))</f>
        <v>32760.61</v>
      </c>
      <c r="P163" s="15">
        <f t="shared" si="5"/>
        <v>0</v>
      </c>
      <c r="Q163" s="49" t="str">
        <f>IF(AND(J163=0,K163=0,L163=0,M163=0),"",IF(O163=0,"PENDENTE DE RATEIO",IF(ABS(P163)&gt;0.005,"DIVERGÊNCIA",IF(COUNTIF(RATEIOS!$A$2:$A$3142,$A163)-COUNTIFS(RATEIOS!$A$2:$A$3142,$A163,RATEIOS!$D$2:$D$3142,"&lt;&gt;")&gt;0,"NÃO CLASSIFICADO","RATEIO OK"))))</f>
        <v>RATEIO OK</v>
      </c>
      <c r="R163" s="49" t="s">
        <v>2553</v>
      </c>
      <c r="S163" s="14"/>
    </row>
    <row r="164" spans="1:19" ht="24.95" customHeight="1" x14ac:dyDescent="0.25">
      <c r="A164" s="49" t="s">
        <v>1536</v>
      </c>
      <c r="B164" s="98">
        <v>163</v>
      </c>
      <c r="C164" s="50">
        <v>46066</v>
      </c>
      <c r="D164" s="49">
        <f t="shared" si="4"/>
        <v>2</v>
      </c>
      <c r="E164" s="92" t="s">
        <v>123</v>
      </c>
      <c r="F164" s="49" t="s">
        <v>36</v>
      </c>
      <c r="G164" s="14" t="s">
        <v>300</v>
      </c>
      <c r="H164" s="14" t="s">
        <v>3183</v>
      </c>
      <c r="I164" s="76"/>
      <c r="J164" s="73">
        <v>0</v>
      </c>
      <c r="K164" s="74">
        <v>32760.61</v>
      </c>
      <c r="L164" s="72">
        <v>0</v>
      </c>
      <c r="M164" s="72">
        <v>0</v>
      </c>
      <c r="N164" s="72">
        <f>IF(AND(C164="",J164=0,K164=0,L164=0,M164=0),"",CADASTROS!$B$4+SUM($J$2:J164)+SUM($M$2:M164)-SUM($K$2:K164)-SUM($L$2:L164))</f>
        <v>503.8399999999674</v>
      </c>
      <c r="O164" s="72">
        <f>IF(A164="","",SUMIF(RATEIOS!$A$2:$A$3142,$A164,RATEIOS!$F$2:$F$3142))</f>
        <v>32760.61</v>
      </c>
      <c r="P164" s="15">
        <f t="shared" si="5"/>
        <v>0</v>
      </c>
      <c r="Q164" s="49" t="str">
        <f>IF(AND(J164=0,K164=0,L164=0,M164=0),"",IF(O164=0,"PENDENTE DE RATEIO",IF(ABS(P164)&gt;0.005,"DIVERGÊNCIA",IF(COUNTIF(RATEIOS!$A$2:$A$3142,$A164)-COUNTIFS(RATEIOS!$A$2:$A$3142,$A164,RATEIOS!$D$2:$D$3142,"&lt;&gt;")&gt;0,"NÃO CLASSIFICADO","RATEIO OK"))))</f>
        <v>RATEIO OK</v>
      </c>
      <c r="R164" s="49" t="s">
        <v>2553</v>
      </c>
      <c r="S164" s="14"/>
    </row>
    <row r="165" spans="1:19" ht="24.95" customHeight="1" x14ac:dyDescent="0.25">
      <c r="A165" s="49" t="s">
        <v>1537</v>
      </c>
      <c r="B165" s="98">
        <v>164</v>
      </c>
      <c r="C165" s="50">
        <v>46066</v>
      </c>
      <c r="D165" s="49">
        <f t="shared" si="4"/>
        <v>2</v>
      </c>
      <c r="E165" s="92" t="s">
        <v>118</v>
      </c>
      <c r="F165" s="49" t="s">
        <v>36</v>
      </c>
      <c r="G165" s="14" t="s">
        <v>136</v>
      </c>
      <c r="H165" s="14" t="s">
        <v>137</v>
      </c>
      <c r="I165" s="76" t="s">
        <v>301</v>
      </c>
      <c r="J165" s="73">
        <v>0</v>
      </c>
      <c r="K165" s="74">
        <v>1282.94</v>
      </c>
      <c r="L165" s="72">
        <v>0</v>
      </c>
      <c r="M165" s="72">
        <v>0</v>
      </c>
      <c r="N165" s="72">
        <f>IF(AND(C165="",J165=0,K165=0,L165=0,M165=0),"",CADASTROS!$B$4+SUM($J$2:J165)+SUM($M$2:M165)-SUM($K$2:K165)-SUM($L$2:L165))</f>
        <v>-779.09999999997672</v>
      </c>
      <c r="O165" s="72">
        <f>IF(A165="","",SUMIF(RATEIOS!$A$2:$A$3142,$A165,RATEIOS!$F$2:$F$3142))</f>
        <v>1282.94</v>
      </c>
      <c r="P165" s="15">
        <f t="shared" si="5"/>
        <v>0</v>
      </c>
      <c r="Q165" s="49" t="str">
        <f>IF(AND(J165=0,K165=0,L165=0,M165=0),"",IF(O165=0,"PENDENTE DE RATEIO",IF(ABS(P165)&gt;0.005,"DIVERGÊNCIA",IF(COUNTIF(RATEIOS!$A$2:$A$3142,$A165)-COUNTIFS(RATEIOS!$A$2:$A$3142,$A165,RATEIOS!$D$2:$D$3142,"&lt;&gt;")&gt;0,"NÃO CLASSIFICADO","RATEIO OK"))))</f>
        <v>RATEIO OK</v>
      </c>
      <c r="R165" s="49" t="s">
        <v>2553</v>
      </c>
      <c r="S165" s="14"/>
    </row>
    <row r="166" spans="1:19" ht="24.95" customHeight="1" x14ac:dyDescent="0.25">
      <c r="A166" s="49" t="s">
        <v>1538</v>
      </c>
      <c r="B166" s="98">
        <v>165</v>
      </c>
      <c r="C166" s="50">
        <v>46066</v>
      </c>
      <c r="D166" s="49">
        <f t="shared" si="4"/>
        <v>2</v>
      </c>
      <c r="E166" s="92" t="s">
        <v>2556</v>
      </c>
      <c r="F166" s="49" t="s">
        <v>36</v>
      </c>
      <c r="G166" s="14" t="s">
        <v>276</v>
      </c>
      <c r="H166" s="14" t="s">
        <v>277</v>
      </c>
      <c r="I166" s="76"/>
      <c r="J166" s="73">
        <v>0</v>
      </c>
      <c r="K166" s="74">
        <v>35</v>
      </c>
      <c r="L166" s="72">
        <v>0</v>
      </c>
      <c r="M166" s="72">
        <v>0</v>
      </c>
      <c r="N166" s="72">
        <f>IF(AND(C166="",J166=0,K166=0,L166=0,M166=0),"",CADASTROS!$B$4+SUM($J$2:J166)+SUM($M$2:M166)-SUM($K$2:K166)-SUM($L$2:L166))</f>
        <v>-814.09999999997672</v>
      </c>
      <c r="O166" s="72">
        <f>IF(A166="","",SUMIF(RATEIOS!$A$2:$A$3142,$A166,RATEIOS!$F$2:$F$3142))</f>
        <v>35</v>
      </c>
      <c r="P166" s="15">
        <f t="shared" si="5"/>
        <v>0</v>
      </c>
      <c r="Q166" s="49" t="str">
        <f>IF(AND(J166=0,K166=0,L166=0,M166=0),"",IF(O166=0,"PENDENTE DE RATEIO",IF(ABS(P166)&gt;0.005,"DIVERGÊNCIA",IF(COUNTIF(RATEIOS!$A$2:$A$3142,$A166)-COUNTIFS(RATEIOS!$A$2:$A$3142,$A166,RATEIOS!$D$2:$D$3142,"&lt;&gt;")&gt;0,"NÃO CLASSIFICADO","RATEIO OK"))))</f>
        <v>RATEIO OK</v>
      </c>
      <c r="R166" s="49" t="s">
        <v>2553</v>
      </c>
      <c r="S166" s="14"/>
    </row>
    <row r="167" spans="1:19" ht="24.95" customHeight="1" x14ac:dyDescent="0.25">
      <c r="A167" s="49" t="s">
        <v>1539</v>
      </c>
      <c r="B167" s="98">
        <v>166</v>
      </c>
      <c r="C167" s="50">
        <v>46066</v>
      </c>
      <c r="D167" s="49">
        <f t="shared" si="4"/>
        <v>2</v>
      </c>
      <c r="E167" s="92" t="s">
        <v>2558</v>
      </c>
      <c r="F167" s="49" t="s">
        <v>38</v>
      </c>
      <c r="G167" s="14" t="s">
        <v>45</v>
      </c>
      <c r="H167" s="14" t="s">
        <v>46</v>
      </c>
      <c r="I167" s="76"/>
      <c r="J167" s="73">
        <v>0</v>
      </c>
      <c r="K167" s="74">
        <v>0</v>
      </c>
      <c r="L167" s="72">
        <v>0</v>
      </c>
      <c r="M167" s="72">
        <v>1000</v>
      </c>
      <c r="N167" s="72">
        <f>IF(AND(C167="",J167=0,K167=0,L167=0,M167=0),"",CADASTROS!$B$4+SUM($J$2:J167)+SUM($M$2:M167)-SUM($K$2:K167)-SUM($L$2:L167))</f>
        <v>185.90000000002328</v>
      </c>
      <c r="O167" s="72">
        <f>IF(A167="","",SUMIF(RATEIOS!$A$2:$A$3142,$A167,RATEIOS!$F$2:$F$3142))</f>
        <v>1000</v>
      </c>
      <c r="P167" s="15">
        <f t="shared" si="5"/>
        <v>0</v>
      </c>
      <c r="Q167" s="49" t="str">
        <f>IF(AND(J167=0,K167=0,L167=0,M167=0),"",IF(O167=0,"PENDENTE DE RATEIO",IF(ABS(P167)&gt;0.005,"DIVERGÊNCIA",IF(COUNTIF(RATEIOS!$A$2:$A$3142,$A167)-COUNTIFS(RATEIOS!$A$2:$A$3142,$A167,RATEIOS!$D$2:$D$3142,"&lt;&gt;")&gt;0,"NÃO CLASSIFICADO","RATEIO OK"))))</f>
        <v>RATEIO OK</v>
      </c>
      <c r="R167" s="49" t="s">
        <v>2553</v>
      </c>
      <c r="S167" s="14"/>
    </row>
    <row r="168" spans="1:19" ht="24.95" customHeight="1" x14ac:dyDescent="0.25">
      <c r="A168" s="49" t="s">
        <v>1540</v>
      </c>
      <c r="B168" s="98">
        <v>167</v>
      </c>
      <c r="C168" s="50">
        <v>46071</v>
      </c>
      <c r="D168" s="49">
        <f t="shared" si="4"/>
        <v>2</v>
      </c>
      <c r="E168" s="92" t="s">
        <v>118</v>
      </c>
      <c r="F168" s="49" t="s">
        <v>36</v>
      </c>
      <c r="G168" s="14" t="s">
        <v>303</v>
      </c>
      <c r="H168" s="14" t="s">
        <v>140</v>
      </c>
      <c r="I168" s="76" t="s">
        <v>148</v>
      </c>
      <c r="J168" s="73">
        <v>0</v>
      </c>
      <c r="K168" s="74">
        <v>17567</v>
      </c>
      <c r="L168" s="72">
        <v>0</v>
      </c>
      <c r="M168" s="72">
        <v>0</v>
      </c>
      <c r="N168" s="72">
        <f>IF(AND(C168="",J168=0,K168=0,L168=0,M168=0),"",CADASTROS!$B$4+SUM($J$2:J168)+SUM($M$2:M168)-SUM($K$2:K168)-SUM($L$2:L168))</f>
        <v>-17381.099999999977</v>
      </c>
      <c r="O168" s="72">
        <f>IF(A168="","",SUMIF(RATEIOS!$A$2:$A$3142,$A168,RATEIOS!$F$2:$F$3142))</f>
        <v>17567</v>
      </c>
      <c r="P168" s="15">
        <f t="shared" si="5"/>
        <v>0</v>
      </c>
      <c r="Q168" s="49" t="str">
        <f>IF(AND(J168=0,K168=0,L168=0,M168=0),"",IF(O168=0,"PENDENTE DE RATEIO",IF(ABS(P168)&gt;0.005,"DIVERGÊNCIA",IF(COUNTIF(RATEIOS!$A$2:$A$3142,$A168)-COUNTIFS(RATEIOS!$A$2:$A$3142,$A168,RATEIOS!$D$2:$D$3142,"&lt;&gt;")&gt;0,"NÃO CLASSIFICADO","RATEIO OK"))))</f>
        <v>RATEIO OK</v>
      </c>
      <c r="R168" s="49" t="s">
        <v>2553</v>
      </c>
      <c r="S168" s="14" t="s">
        <v>2965</v>
      </c>
    </row>
    <row r="169" spans="1:19" ht="24.95" customHeight="1" x14ac:dyDescent="0.25">
      <c r="A169" s="49" t="s">
        <v>1541</v>
      </c>
      <c r="B169" s="98">
        <v>168</v>
      </c>
      <c r="C169" s="50">
        <v>46071</v>
      </c>
      <c r="D169" s="49">
        <f t="shared" si="4"/>
        <v>2</v>
      </c>
      <c r="E169" s="92" t="s">
        <v>118</v>
      </c>
      <c r="F169" s="49" t="s">
        <v>36</v>
      </c>
      <c r="G169" s="14" t="s">
        <v>304</v>
      </c>
      <c r="H169" s="14" t="s">
        <v>140</v>
      </c>
      <c r="I169" s="76" t="s">
        <v>146</v>
      </c>
      <c r="J169" s="73">
        <v>0</v>
      </c>
      <c r="K169" s="74">
        <v>1965.6</v>
      </c>
      <c r="L169" s="72">
        <v>0</v>
      </c>
      <c r="M169" s="72">
        <v>0</v>
      </c>
      <c r="N169" s="72">
        <f>IF(AND(C169="",J169=0,K169=0,L169=0,M169=0),"",CADASTROS!$B$4+SUM($J$2:J169)+SUM($M$2:M169)-SUM($K$2:K169)-SUM($L$2:L169))</f>
        <v>-19346.699999999953</v>
      </c>
      <c r="O169" s="72">
        <f>IF(A169="","",SUMIF(RATEIOS!$A$2:$A$3142,$A169,RATEIOS!$F$2:$F$3142))</f>
        <v>1965.6</v>
      </c>
      <c r="P169" s="15">
        <f t="shared" si="5"/>
        <v>0</v>
      </c>
      <c r="Q169" s="49" t="str">
        <f>IF(AND(J169=0,K169=0,L169=0,M169=0),"",IF(O169=0,"PENDENTE DE RATEIO",IF(ABS(P169)&gt;0.005,"DIVERGÊNCIA",IF(COUNTIF(RATEIOS!$A$2:$A$3142,$A169)-COUNTIFS(RATEIOS!$A$2:$A$3142,$A169,RATEIOS!$D$2:$D$3142,"&lt;&gt;")&gt;0,"NÃO CLASSIFICADO","RATEIO OK"))))</f>
        <v>RATEIO OK</v>
      </c>
      <c r="R169" s="49" t="s">
        <v>2553</v>
      </c>
      <c r="S169" s="14" t="s">
        <v>2965</v>
      </c>
    </row>
    <row r="170" spans="1:19" ht="24.95" customHeight="1" x14ac:dyDescent="0.25">
      <c r="A170" s="49" t="s">
        <v>1542</v>
      </c>
      <c r="B170" s="98">
        <v>169</v>
      </c>
      <c r="C170" s="50">
        <v>46071</v>
      </c>
      <c r="D170" s="49">
        <f t="shared" si="4"/>
        <v>2</v>
      </c>
      <c r="E170" s="92" t="s">
        <v>118</v>
      </c>
      <c r="F170" s="49" t="s">
        <v>36</v>
      </c>
      <c r="G170" s="14" t="s">
        <v>305</v>
      </c>
      <c r="H170" s="14" t="s">
        <v>3207</v>
      </c>
      <c r="I170" s="76" t="s">
        <v>306</v>
      </c>
      <c r="J170" s="73">
        <v>0</v>
      </c>
      <c r="K170" s="74">
        <v>207</v>
      </c>
      <c r="L170" s="72">
        <v>0</v>
      </c>
      <c r="M170" s="72">
        <v>0</v>
      </c>
      <c r="N170" s="72">
        <f>IF(AND(C170="",J170=0,K170=0,L170=0,M170=0),"",CADASTROS!$B$4+SUM($J$2:J170)+SUM($M$2:M170)-SUM($K$2:K170)-SUM($L$2:L170))</f>
        <v>-19553.699999999953</v>
      </c>
      <c r="O170" s="72">
        <f>IF(A170="","",SUMIF(RATEIOS!$A$2:$A$3142,$A170,RATEIOS!$F$2:$F$3142))</f>
        <v>207</v>
      </c>
      <c r="P170" s="15">
        <f t="shared" si="5"/>
        <v>0</v>
      </c>
      <c r="Q170" s="49" t="str">
        <f>IF(AND(J170=0,K170=0,L170=0,M170=0),"",IF(O170=0,"PENDENTE DE RATEIO",IF(ABS(P170)&gt;0.005,"DIVERGÊNCIA",IF(COUNTIF(RATEIOS!$A$2:$A$3142,$A170)-COUNTIFS(RATEIOS!$A$2:$A$3142,$A170,RATEIOS!$D$2:$D$3142,"&lt;&gt;")&gt;0,"NÃO CLASSIFICADO","RATEIO OK"))))</f>
        <v>RATEIO OK</v>
      </c>
      <c r="R170" s="49" t="s">
        <v>2553</v>
      </c>
      <c r="S170" s="14" t="s">
        <v>2966</v>
      </c>
    </row>
    <row r="171" spans="1:19" ht="24.95" customHeight="1" x14ac:dyDescent="0.25">
      <c r="A171" s="49" t="s">
        <v>1543</v>
      </c>
      <c r="B171" s="98">
        <v>170</v>
      </c>
      <c r="C171" s="50">
        <v>46071</v>
      </c>
      <c r="D171" s="49">
        <f t="shared" si="4"/>
        <v>2</v>
      </c>
      <c r="E171" s="92" t="s">
        <v>118</v>
      </c>
      <c r="F171" s="49" t="s">
        <v>36</v>
      </c>
      <c r="G171" s="14" t="s">
        <v>305</v>
      </c>
      <c r="H171" s="14" t="s">
        <v>3207</v>
      </c>
      <c r="I171" s="76" t="s">
        <v>307</v>
      </c>
      <c r="J171" s="73">
        <v>0</v>
      </c>
      <c r="K171" s="74">
        <v>95</v>
      </c>
      <c r="L171" s="72">
        <v>0</v>
      </c>
      <c r="M171" s="72">
        <v>0</v>
      </c>
      <c r="N171" s="72">
        <f>IF(AND(C171="",J171=0,K171=0,L171=0,M171=0),"",CADASTROS!$B$4+SUM($J$2:J171)+SUM($M$2:M171)-SUM($K$2:K171)-SUM($L$2:L171))</f>
        <v>-19648.699999999953</v>
      </c>
      <c r="O171" s="72">
        <f>IF(A171="","",SUMIF(RATEIOS!$A$2:$A$3142,$A171,RATEIOS!$F$2:$F$3142))</f>
        <v>95</v>
      </c>
      <c r="P171" s="15">
        <f t="shared" si="5"/>
        <v>0</v>
      </c>
      <c r="Q171" s="49" t="str">
        <f>IF(AND(J171=0,K171=0,L171=0,M171=0),"",IF(O171=0,"PENDENTE DE RATEIO",IF(ABS(P171)&gt;0.005,"DIVERGÊNCIA",IF(COUNTIF(RATEIOS!$A$2:$A$3142,$A171)-COUNTIFS(RATEIOS!$A$2:$A$3142,$A171,RATEIOS!$D$2:$D$3142,"&lt;&gt;")&gt;0,"NÃO CLASSIFICADO","RATEIO OK"))))</f>
        <v>RATEIO OK</v>
      </c>
      <c r="R171" s="49" t="s">
        <v>2553</v>
      </c>
      <c r="S171" s="14" t="s">
        <v>2967</v>
      </c>
    </row>
    <row r="172" spans="1:19" ht="24.95" customHeight="1" x14ac:dyDescent="0.25">
      <c r="A172" s="49" t="s">
        <v>1544</v>
      </c>
      <c r="B172" s="98">
        <v>171</v>
      </c>
      <c r="C172" s="50">
        <v>46071</v>
      </c>
      <c r="D172" s="49">
        <f t="shared" si="4"/>
        <v>2</v>
      </c>
      <c r="E172" s="92" t="s">
        <v>2558</v>
      </c>
      <c r="F172" s="49" t="s">
        <v>38</v>
      </c>
      <c r="G172" s="14" t="s">
        <v>45</v>
      </c>
      <c r="H172" s="14" t="s">
        <v>46</v>
      </c>
      <c r="I172" s="76"/>
      <c r="J172" s="73">
        <v>0</v>
      </c>
      <c r="K172" s="74">
        <v>0</v>
      </c>
      <c r="L172" s="72">
        <v>0</v>
      </c>
      <c r="M172" s="72">
        <v>14.34</v>
      </c>
      <c r="N172" s="72">
        <f>IF(AND(C172="",J172=0,K172=0,L172=0,M172=0),"",CADASTROS!$B$4+SUM($J$2:J172)+SUM($M$2:M172)-SUM($K$2:K172)-SUM($L$2:L172))</f>
        <v>-19634.359999999986</v>
      </c>
      <c r="O172" s="72">
        <f>IF(A172="","",SUMIF(RATEIOS!$A$2:$A$3142,$A172,RATEIOS!$F$2:$F$3142))</f>
        <v>14.34</v>
      </c>
      <c r="P172" s="15">
        <f t="shared" si="5"/>
        <v>0</v>
      </c>
      <c r="Q172" s="49" t="str">
        <f>IF(AND(J172=0,K172=0,L172=0,M172=0),"",IF(O172=0,"PENDENTE DE RATEIO",IF(ABS(P172)&gt;0.005,"DIVERGÊNCIA",IF(COUNTIF(RATEIOS!$A$2:$A$3142,$A172)-COUNTIFS(RATEIOS!$A$2:$A$3142,$A172,RATEIOS!$D$2:$D$3142,"&lt;&gt;")&gt;0,"NÃO CLASSIFICADO","RATEIO OK"))))</f>
        <v>RATEIO OK</v>
      </c>
      <c r="R172" s="49" t="s">
        <v>2553</v>
      </c>
      <c r="S172" s="14"/>
    </row>
    <row r="173" spans="1:19" ht="24.95" customHeight="1" x14ac:dyDescent="0.25">
      <c r="A173" s="49" t="s">
        <v>1545</v>
      </c>
      <c r="B173" s="98">
        <v>172</v>
      </c>
      <c r="C173" s="50">
        <v>46071</v>
      </c>
      <c r="D173" s="49">
        <f t="shared" si="4"/>
        <v>2</v>
      </c>
      <c r="E173" s="92" t="s">
        <v>2558</v>
      </c>
      <c r="F173" s="49" t="s">
        <v>38</v>
      </c>
      <c r="G173" s="14" t="s">
        <v>45</v>
      </c>
      <c r="H173" s="14" t="s">
        <v>46</v>
      </c>
      <c r="I173" s="76"/>
      <c r="J173" s="73">
        <v>0</v>
      </c>
      <c r="K173" s="74">
        <v>0</v>
      </c>
      <c r="L173" s="72">
        <v>0</v>
      </c>
      <c r="M173" s="72">
        <v>20000</v>
      </c>
      <c r="N173" s="72">
        <f>IF(AND(C173="",J173=0,K173=0,L173=0,M173=0),"",CADASTROS!$B$4+SUM($J$2:J173)+SUM($M$2:M173)-SUM($K$2:K173)-SUM($L$2:L173))</f>
        <v>365.64000000001397</v>
      </c>
      <c r="O173" s="72">
        <f>IF(A173="","",SUMIF(RATEIOS!$A$2:$A$3142,$A173,RATEIOS!$F$2:$F$3142))</f>
        <v>20000</v>
      </c>
      <c r="P173" s="15">
        <f t="shared" si="5"/>
        <v>0</v>
      </c>
      <c r="Q173" s="49" t="str">
        <f>IF(AND(J173=0,K173=0,L173=0,M173=0),"",IF(O173=0,"PENDENTE DE RATEIO",IF(ABS(P173)&gt;0.005,"DIVERGÊNCIA",IF(COUNTIF(RATEIOS!$A$2:$A$3142,$A173)-COUNTIFS(RATEIOS!$A$2:$A$3142,$A173,RATEIOS!$D$2:$D$3142,"&lt;&gt;")&gt;0,"NÃO CLASSIFICADO","RATEIO OK"))))</f>
        <v>RATEIO OK</v>
      </c>
      <c r="R173" s="49" t="s">
        <v>2553</v>
      </c>
      <c r="S173" s="14"/>
    </row>
    <row r="174" spans="1:19" ht="24.95" customHeight="1" x14ac:dyDescent="0.25">
      <c r="A174" s="49" t="s">
        <v>1546</v>
      </c>
      <c r="B174" s="98">
        <v>173</v>
      </c>
      <c r="C174" s="50">
        <v>46072</v>
      </c>
      <c r="D174" s="49">
        <f t="shared" si="4"/>
        <v>2</v>
      </c>
      <c r="E174" s="92" t="s">
        <v>2558</v>
      </c>
      <c r="F174" s="49" t="s">
        <v>38</v>
      </c>
      <c r="G174" s="14" t="s">
        <v>45</v>
      </c>
      <c r="H174" s="14" t="s">
        <v>46</v>
      </c>
      <c r="I174" s="76"/>
      <c r="J174" s="73">
        <v>0</v>
      </c>
      <c r="K174" s="74">
        <v>0</v>
      </c>
      <c r="L174" s="72">
        <v>0</v>
      </c>
      <c r="M174" s="72">
        <v>295.2</v>
      </c>
      <c r="N174" s="72">
        <f>IF(AND(C174="",J174=0,K174=0,L174=0,M174=0),"",CADASTROS!$B$4+SUM($J$2:J174)+SUM($M$2:M174)-SUM($K$2:K174)-SUM($L$2:L174))</f>
        <v>660.8399999999674</v>
      </c>
      <c r="O174" s="72">
        <f>IF(A174="","",SUMIF(RATEIOS!$A$2:$A$3142,$A174,RATEIOS!$F$2:$F$3142))</f>
        <v>295.2</v>
      </c>
      <c r="P174" s="15">
        <f t="shared" si="5"/>
        <v>0</v>
      </c>
      <c r="Q174" s="49" t="str">
        <f>IF(AND(J174=0,K174=0,L174=0,M174=0),"",IF(O174=0,"PENDENTE DE RATEIO",IF(ABS(P174)&gt;0.005,"DIVERGÊNCIA",IF(COUNTIF(RATEIOS!$A$2:$A$3142,$A174)-COUNTIFS(RATEIOS!$A$2:$A$3142,$A174,RATEIOS!$D$2:$D$3142,"&lt;&gt;")&gt;0,"NÃO CLASSIFICADO","RATEIO OK"))))</f>
        <v>RATEIO OK</v>
      </c>
      <c r="R174" s="49" t="s">
        <v>2553</v>
      </c>
      <c r="S174" s="14"/>
    </row>
    <row r="175" spans="1:19" ht="24.95" customHeight="1" x14ac:dyDescent="0.25">
      <c r="A175" s="49" t="s">
        <v>1547</v>
      </c>
      <c r="B175" s="98">
        <v>174</v>
      </c>
      <c r="C175" s="50">
        <v>46073</v>
      </c>
      <c r="D175" s="49">
        <f t="shared" si="4"/>
        <v>2</v>
      </c>
      <c r="E175" s="92" t="s">
        <v>169</v>
      </c>
      <c r="F175" s="49" t="s">
        <v>36</v>
      </c>
      <c r="G175" s="14" t="s">
        <v>308</v>
      </c>
      <c r="H175" s="14" t="s">
        <v>167</v>
      </c>
      <c r="I175" s="76"/>
      <c r="J175" s="73">
        <v>0</v>
      </c>
      <c r="K175" s="74">
        <v>26068.82</v>
      </c>
      <c r="L175" s="72">
        <v>0</v>
      </c>
      <c r="M175" s="72">
        <v>0</v>
      </c>
      <c r="N175" s="72">
        <f>IF(AND(C175="",J175=0,K175=0,L175=0,M175=0),"",CADASTROS!$B$4+SUM($J$2:J175)+SUM($M$2:M175)-SUM($K$2:K175)-SUM($L$2:L175))</f>
        <v>-25407.979999999981</v>
      </c>
      <c r="O175" s="72">
        <f>IF(A175="","",SUMIF(RATEIOS!$A$2:$A$3142,$A175,RATEIOS!$F$2:$F$3142))</f>
        <v>26068.82</v>
      </c>
      <c r="P175" s="15">
        <f t="shared" si="5"/>
        <v>0</v>
      </c>
      <c r="Q175" s="49" t="str">
        <f>IF(AND(J175=0,K175=0,L175=0,M175=0),"",IF(O175=0,"PENDENTE DE RATEIO",IF(ABS(P175)&gt;0.005,"DIVERGÊNCIA",IF(COUNTIF(RATEIOS!$A$2:$A$3142,$A175)-COUNTIFS(RATEIOS!$A$2:$A$3142,$A175,RATEIOS!$D$2:$D$3142,"&lt;&gt;")&gt;0,"NÃO CLASSIFICADO","RATEIO OK"))))</f>
        <v>RATEIO OK</v>
      </c>
      <c r="R175" s="49" t="s">
        <v>2553</v>
      </c>
      <c r="S175" s="14"/>
    </row>
    <row r="176" spans="1:19" ht="24.95" customHeight="1" x14ac:dyDescent="0.25">
      <c r="A176" s="49" t="s">
        <v>1548</v>
      </c>
      <c r="B176" s="98">
        <v>175</v>
      </c>
      <c r="C176" s="50">
        <v>46073</v>
      </c>
      <c r="D176" s="49">
        <f t="shared" si="4"/>
        <v>2</v>
      </c>
      <c r="E176" s="92" t="s">
        <v>72</v>
      </c>
      <c r="F176" s="49" t="s">
        <v>36</v>
      </c>
      <c r="G176" s="14" t="s">
        <v>309</v>
      </c>
      <c r="H176" s="14" t="s">
        <v>164</v>
      </c>
      <c r="I176" s="76"/>
      <c r="J176" s="73">
        <v>0</v>
      </c>
      <c r="K176" s="74">
        <v>6155.17</v>
      </c>
      <c r="L176" s="72">
        <v>0</v>
      </c>
      <c r="M176" s="72">
        <v>0</v>
      </c>
      <c r="N176" s="72">
        <f>IF(AND(C176="",J176=0,K176=0,L176=0,M176=0),"",CADASTROS!$B$4+SUM($J$2:J176)+SUM($M$2:M176)-SUM($K$2:K176)-SUM($L$2:L176))</f>
        <v>-31563.150000000023</v>
      </c>
      <c r="O176" s="72">
        <f>IF(A176="","",SUMIF(RATEIOS!$A$2:$A$3142,$A176,RATEIOS!$F$2:$F$3142))</f>
        <v>6155.17</v>
      </c>
      <c r="P176" s="15">
        <f t="shared" si="5"/>
        <v>0</v>
      </c>
      <c r="Q176" s="49" t="str">
        <f>IF(AND(J176=0,K176=0,L176=0,M176=0),"",IF(O176=0,"PENDENTE DE RATEIO",IF(ABS(P176)&gt;0.005,"DIVERGÊNCIA",IF(COUNTIF(RATEIOS!$A$2:$A$3142,$A176)-COUNTIFS(RATEIOS!$A$2:$A$3142,$A176,RATEIOS!$D$2:$D$3142,"&lt;&gt;")&gt;0,"NÃO CLASSIFICADO","RATEIO OK"))))</f>
        <v>RATEIO OK</v>
      </c>
      <c r="R176" s="49" t="s">
        <v>2553</v>
      </c>
      <c r="S176" s="14"/>
    </row>
    <row r="177" spans="1:19" ht="24.95" customHeight="1" x14ac:dyDescent="0.25">
      <c r="A177" s="49" t="s">
        <v>1549</v>
      </c>
      <c r="B177" s="98">
        <v>176</v>
      </c>
      <c r="C177" s="50">
        <v>46073</v>
      </c>
      <c r="D177" s="49">
        <f t="shared" si="4"/>
        <v>2</v>
      </c>
      <c r="E177" s="92" t="s">
        <v>118</v>
      </c>
      <c r="F177" s="49" t="s">
        <v>36</v>
      </c>
      <c r="G177" s="14" t="s">
        <v>310</v>
      </c>
      <c r="H177" s="14" t="s">
        <v>143</v>
      </c>
      <c r="I177" s="76" t="s">
        <v>311</v>
      </c>
      <c r="J177" s="73">
        <v>0</v>
      </c>
      <c r="K177" s="74">
        <v>2750</v>
      </c>
      <c r="L177" s="72">
        <v>0</v>
      </c>
      <c r="M177" s="72">
        <v>0</v>
      </c>
      <c r="N177" s="72">
        <f>IF(AND(C177="",J177=0,K177=0,L177=0,M177=0),"",CADASTROS!$B$4+SUM($J$2:J177)+SUM($M$2:M177)-SUM($K$2:K177)-SUM($L$2:L177))</f>
        <v>-34313.150000000023</v>
      </c>
      <c r="O177" s="72">
        <f>IF(A177="","",SUMIF(RATEIOS!$A$2:$A$3142,$A177,RATEIOS!$F$2:$F$3142))</f>
        <v>2750</v>
      </c>
      <c r="P177" s="15">
        <f t="shared" si="5"/>
        <v>0</v>
      </c>
      <c r="Q177" s="49" t="str">
        <f>IF(AND(J177=0,K177=0,L177=0,M177=0),"",IF(O177=0,"PENDENTE DE RATEIO",IF(ABS(P177)&gt;0.005,"DIVERGÊNCIA",IF(COUNTIF(RATEIOS!$A$2:$A$3142,$A177)-COUNTIFS(RATEIOS!$A$2:$A$3142,$A177,RATEIOS!$D$2:$D$3142,"&lt;&gt;")&gt;0,"NÃO CLASSIFICADO","RATEIO OK"))))</f>
        <v>RATEIO OK</v>
      </c>
      <c r="R177" s="49" t="s">
        <v>2553</v>
      </c>
      <c r="S177" s="14" t="s">
        <v>2968</v>
      </c>
    </row>
    <row r="178" spans="1:19" ht="24.95" customHeight="1" x14ac:dyDescent="0.25">
      <c r="A178" s="49" t="s">
        <v>1550</v>
      </c>
      <c r="B178" s="98">
        <v>177</v>
      </c>
      <c r="C178" s="50">
        <v>46073</v>
      </c>
      <c r="D178" s="49">
        <f t="shared" si="4"/>
        <v>2</v>
      </c>
      <c r="E178" s="92" t="s">
        <v>118</v>
      </c>
      <c r="F178" s="49" t="s">
        <v>36</v>
      </c>
      <c r="G178" s="14" t="s">
        <v>312</v>
      </c>
      <c r="H178" s="14" t="s">
        <v>59</v>
      </c>
      <c r="I178" s="76" t="s">
        <v>313</v>
      </c>
      <c r="J178" s="73">
        <v>0</v>
      </c>
      <c r="K178" s="74">
        <v>2520</v>
      </c>
      <c r="L178" s="72">
        <v>0</v>
      </c>
      <c r="M178" s="72">
        <v>0</v>
      </c>
      <c r="N178" s="72">
        <f>IF(AND(C178="",J178=0,K178=0,L178=0,M178=0),"",CADASTROS!$B$4+SUM($J$2:J178)+SUM($M$2:M178)-SUM($K$2:K178)-SUM($L$2:L178))</f>
        <v>-36833.150000000023</v>
      </c>
      <c r="O178" s="72">
        <f>IF(A178="","",SUMIF(RATEIOS!$A$2:$A$3142,$A178,RATEIOS!$F$2:$F$3142))</f>
        <v>2520</v>
      </c>
      <c r="P178" s="15">
        <f t="shared" si="5"/>
        <v>0</v>
      </c>
      <c r="Q178" s="49" t="str">
        <f>IF(AND(J178=0,K178=0,L178=0,M178=0),"",IF(O178=0,"PENDENTE DE RATEIO",IF(ABS(P178)&gt;0.005,"DIVERGÊNCIA",IF(COUNTIF(RATEIOS!$A$2:$A$3142,$A178)-COUNTIFS(RATEIOS!$A$2:$A$3142,$A178,RATEIOS!$D$2:$D$3142,"&lt;&gt;")&gt;0,"NÃO CLASSIFICADO","RATEIO OK"))))</f>
        <v>RATEIO OK</v>
      </c>
      <c r="R178" s="49" t="s">
        <v>2553</v>
      </c>
      <c r="S178" s="14"/>
    </row>
    <row r="179" spans="1:19" ht="24.95" customHeight="1" x14ac:dyDescent="0.25">
      <c r="A179" s="49" t="s">
        <v>1551</v>
      </c>
      <c r="B179" s="98">
        <v>178</v>
      </c>
      <c r="C179" s="50">
        <v>46073</v>
      </c>
      <c r="D179" s="49">
        <f t="shared" si="4"/>
        <v>2</v>
      </c>
      <c r="E179" s="92" t="s">
        <v>118</v>
      </c>
      <c r="F179" s="49" t="s">
        <v>36</v>
      </c>
      <c r="G179" s="14" t="s">
        <v>314</v>
      </c>
      <c r="H179" s="14" t="s">
        <v>172</v>
      </c>
      <c r="I179" s="76" t="s">
        <v>173</v>
      </c>
      <c r="J179" s="73">
        <v>0</v>
      </c>
      <c r="K179" s="74">
        <v>640.65</v>
      </c>
      <c r="L179" s="72">
        <v>0</v>
      </c>
      <c r="M179" s="72">
        <v>0</v>
      </c>
      <c r="N179" s="72">
        <f>IF(AND(C179="",J179=0,K179=0,L179=0,M179=0),"",CADASTROS!$B$4+SUM($J$2:J179)+SUM($M$2:M179)-SUM($K$2:K179)-SUM($L$2:L179))</f>
        <v>-37473.800000000047</v>
      </c>
      <c r="O179" s="72">
        <f>IF(A179="","",SUMIF(RATEIOS!$A$2:$A$3142,$A179,RATEIOS!$F$2:$F$3142))</f>
        <v>640.65</v>
      </c>
      <c r="P179" s="15">
        <f t="shared" si="5"/>
        <v>0</v>
      </c>
      <c r="Q179" s="49" t="str">
        <f>IF(AND(J179=0,K179=0,L179=0,M179=0),"",IF(O179=0,"PENDENTE DE RATEIO",IF(ABS(P179)&gt;0.005,"DIVERGÊNCIA",IF(COUNTIF(RATEIOS!$A$2:$A$3142,$A179)-COUNTIFS(RATEIOS!$A$2:$A$3142,$A179,RATEIOS!$D$2:$D$3142,"&lt;&gt;")&gt;0,"NÃO CLASSIFICADO","RATEIO OK"))))</f>
        <v>RATEIO OK</v>
      </c>
      <c r="R179" s="49" t="s">
        <v>2553</v>
      </c>
      <c r="S179" s="14"/>
    </row>
    <row r="180" spans="1:19" ht="24.95" customHeight="1" x14ac:dyDescent="0.25">
      <c r="A180" s="49" t="s">
        <v>1552</v>
      </c>
      <c r="B180" s="98">
        <v>179</v>
      </c>
      <c r="C180" s="50">
        <v>46073</v>
      </c>
      <c r="D180" s="49">
        <f t="shared" si="4"/>
        <v>2</v>
      </c>
      <c r="E180" s="92" t="s">
        <v>72</v>
      </c>
      <c r="F180" s="49" t="s">
        <v>36</v>
      </c>
      <c r="G180" s="14" t="s">
        <v>315</v>
      </c>
      <c r="H180" s="14" t="s">
        <v>316</v>
      </c>
      <c r="I180" s="91" t="s">
        <v>101</v>
      </c>
      <c r="J180" s="73">
        <v>0</v>
      </c>
      <c r="K180" s="74">
        <v>127.76</v>
      </c>
      <c r="L180" s="72">
        <v>0</v>
      </c>
      <c r="M180" s="72">
        <v>0</v>
      </c>
      <c r="N180" s="72">
        <f>IF(AND(C180="",J180=0,K180=0,L180=0,M180=0),"",CADASTROS!$B$4+SUM($J$2:J180)+SUM($M$2:M180)-SUM($K$2:K180)-SUM($L$2:L180))</f>
        <v>-37601.560000000056</v>
      </c>
      <c r="O180" s="72">
        <f>IF(A180="","",SUMIF(RATEIOS!$A$2:$A$3142,$A180,RATEIOS!$F$2:$F$3142))</f>
        <v>127.76</v>
      </c>
      <c r="P180" s="15">
        <f t="shared" si="5"/>
        <v>0</v>
      </c>
      <c r="Q180" s="49" t="str">
        <f>IF(AND(J180=0,K180=0,L180=0,M180=0),"",IF(O180=0,"PENDENTE DE RATEIO",IF(ABS(P180)&gt;0.005,"DIVERGÊNCIA",IF(COUNTIF(RATEIOS!$A$2:$A$3142,$A180)-COUNTIFS(RATEIOS!$A$2:$A$3142,$A180,RATEIOS!$D$2:$D$3142,"&lt;&gt;")&gt;0,"NÃO CLASSIFICADO","RATEIO OK"))))</f>
        <v>RATEIO OK</v>
      </c>
      <c r="R180" s="49" t="s">
        <v>2553</v>
      </c>
      <c r="S180" s="14"/>
    </row>
    <row r="181" spans="1:19" ht="24.95" customHeight="1" x14ac:dyDescent="0.25">
      <c r="A181" s="49" t="s">
        <v>1553</v>
      </c>
      <c r="B181" s="98">
        <v>180</v>
      </c>
      <c r="C181" s="50">
        <v>46073</v>
      </c>
      <c r="D181" s="49">
        <f t="shared" si="4"/>
        <v>2</v>
      </c>
      <c r="E181" s="92" t="s">
        <v>169</v>
      </c>
      <c r="F181" s="49" t="s">
        <v>36</v>
      </c>
      <c r="G181" s="14" t="s">
        <v>168</v>
      </c>
      <c r="H181" s="14" t="s">
        <v>2741</v>
      </c>
      <c r="I181" s="76"/>
      <c r="J181" s="73">
        <v>0</v>
      </c>
      <c r="K181" s="74">
        <v>126.67</v>
      </c>
      <c r="L181" s="72">
        <v>0</v>
      </c>
      <c r="M181" s="72">
        <v>0</v>
      </c>
      <c r="N181" s="72">
        <f>IF(AND(C181="",J181=0,K181=0,L181=0,M181=0),"",CADASTROS!$B$4+SUM($J$2:J181)+SUM($M$2:M181)-SUM($K$2:K181)-SUM($L$2:L181))</f>
        <v>-37728.230000000098</v>
      </c>
      <c r="O181" s="72">
        <f>IF(A181="","",SUMIF(RATEIOS!$A$2:$A$3142,$A181,RATEIOS!$F$2:$F$3142))</f>
        <v>126.67</v>
      </c>
      <c r="P181" s="15">
        <f t="shared" si="5"/>
        <v>0</v>
      </c>
      <c r="Q181" s="49" t="str">
        <f>IF(AND(J181=0,K181=0,L181=0,M181=0),"",IF(O181=0,"PENDENTE DE RATEIO",IF(ABS(P181)&gt;0.005,"DIVERGÊNCIA",IF(COUNTIF(RATEIOS!$A$2:$A$3142,$A181)-COUNTIFS(RATEIOS!$A$2:$A$3142,$A181,RATEIOS!$D$2:$D$3142,"&lt;&gt;")&gt;0,"NÃO CLASSIFICADO","RATEIO OK"))))</f>
        <v>RATEIO OK</v>
      </c>
      <c r="R181" s="49" t="s">
        <v>2553</v>
      </c>
      <c r="S181" s="14"/>
    </row>
    <row r="182" spans="1:19" ht="24.95" customHeight="1" x14ac:dyDescent="0.25">
      <c r="A182" s="49" t="s">
        <v>1554</v>
      </c>
      <c r="B182" s="98">
        <v>181</v>
      </c>
      <c r="C182" s="50">
        <v>46073</v>
      </c>
      <c r="D182" s="49">
        <f t="shared" si="4"/>
        <v>2</v>
      </c>
      <c r="E182" s="92" t="s">
        <v>169</v>
      </c>
      <c r="F182" s="49" t="s">
        <v>36</v>
      </c>
      <c r="G182" s="14" t="s">
        <v>170</v>
      </c>
      <c r="H182" s="14" t="s">
        <v>2741</v>
      </c>
      <c r="I182" s="76"/>
      <c r="J182" s="73">
        <v>0</v>
      </c>
      <c r="K182" s="74">
        <v>40.86</v>
      </c>
      <c r="L182" s="72">
        <v>0</v>
      </c>
      <c r="M182" s="72">
        <v>0</v>
      </c>
      <c r="N182" s="72">
        <f>IF(AND(C182="",J182=0,K182=0,L182=0,M182=0),"",CADASTROS!$B$4+SUM($J$2:J182)+SUM($M$2:M182)-SUM($K$2:K182)-SUM($L$2:L182))</f>
        <v>-37769.090000000084</v>
      </c>
      <c r="O182" s="72">
        <f>IF(A182="","",SUMIF(RATEIOS!$A$2:$A$3142,$A182,RATEIOS!$F$2:$F$3142))</f>
        <v>40.86</v>
      </c>
      <c r="P182" s="15">
        <f t="shared" si="5"/>
        <v>0</v>
      </c>
      <c r="Q182" s="49" t="str">
        <f>IF(AND(J182=0,K182=0,L182=0,M182=0),"",IF(O182=0,"PENDENTE DE RATEIO",IF(ABS(P182)&gt;0.005,"DIVERGÊNCIA",IF(COUNTIF(RATEIOS!$A$2:$A$3142,$A182)-COUNTIFS(RATEIOS!$A$2:$A$3142,$A182,RATEIOS!$D$2:$D$3142,"&lt;&gt;")&gt;0,"NÃO CLASSIFICADO","RATEIO OK"))))</f>
        <v>RATEIO OK</v>
      </c>
      <c r="R182" s="49" t="s">
        <v>2553</v>
      </c>
      <c r="S182" s="14"/>
    </row>
    <row r="183" spans="1:19" ht="24.95" customHeight="1" x14ac:dyDescent="0.25">
      <c r="A183" s="49" t="s">
        <v>1555</v>
      </c>
      <c r="B183" s="98">
        <v>182</v>
      </c>
      <c r="C183" s="50">
        <v>46073</v>
      </c>
      <c r="D183" s="49">
        <f t="shared" si="4"/>
        <v>2</v>
      </c>
      <c r="E183" s="92" t="s">
        <v>118</v>
      </c>
      <c r="F183" s="49" t="s">
        <v>36</v>
      </c>
      <c r="G183" s="14" t="s">
        <v>317</v>
      </c>
      <c r="H183" s="14" t="s">
        <v>84</v>
      </c>
      <c r="I183" s="76"/>
      <c r="J183" s="73">
        <v>0</v>
      </c>
      <c r="K183" s="74">
        <v>26.83</v>
      </c>
      <c r="L183" s="72">
        <v>0</v>
      </c>
      <c r="M183" s="72">
        <v>0</v>
      </c>
      <c r="N183" s="72">
        <f>IF(AND(C183="",J183=0,K183=0,L183=0,M183=0),"",CADASTROS!$B$4+SUM($J$2:J183)+SUM($M$2:M183)-SUM($K$2:K183)-SUM($L$2:L183))</f>
        <v>-37795.920000000042</v>
      </c>
      <c r="O183" s="72">
        <f>IF(A183="","",SUMIF(RATEIOS!$A$2:$A$3142,$A183,RATEIOS!$F$2:$F$3142))</f>
        <v>26.83</v>
      </c>
      <c r="P183" s="15">
        <f t="shared" si="5"/>
        <v>0</v>
      </c>
      <c r="Q183" s="49" t="str">
        <f>IF(AND(J183=0,K183=0,L183=0,M183=0),"",IF(O183=0,"PENDENTE DE RATEIO",IF(ABS(P183)&gt;0.005,"DIVERGÊNCIA",IF(COUNTIF(RATEIOS!$A$2:$A$3142,$A183)-COUNTIFS(RATEIOS!$A$2:$A$3142,$A183,RATEIOS!$D$2:$D$3142,"&lt;&gt;")&gt;0,"NÃO CLASSIFICADO","RATEIO OK"))))</f>
        <v>RATEIO OK</v>
      </c>
      <c r="R183" s="49" t="s">
        <v>2553</v>
      </c>
      <c r="S183" s="14"/>
    </row>
    <row r="184" spans="1:19" ht="24.95" customHeight="1" x14ac:dyDescent="0.25">
      <c r="A184" s="49" t="s">
        <v>1556</v>
      </c>
      <c r="B184" s="98">
        <v>183</v>
      </c>
      <c r="C184" s="50">
        <v>46073</v>
      </c>
      <c r="D184" s="49">
        <f t="shared" si="4"/>
        <v>2</v>
      </c>
      <c r="E184" s="92" t="s">
        <v>2558</v>
      </c>
      <c r="F184" s="49" t="s">
        <v>38</v>
      </c>
      <c r="G184" s="14" t="s">
        <v>45</v>
      </c>
      <c r="H184" s="14" t="s">
        <v>46</v>
      </c>
      <c r="I184" s="76"/>
      <c r="J184" s="73">
        <v>0</v>
      </c>
      <c r="K184" s="74">
        <v>0</v>
      </c>
      <c r="L184" s="72">
        <v>0</v>
      </c>
      <c r="M184" s="72">
        <v>38000</v>
      </c>
      <c r="N184" s="72">
        <f>IF(AND(C184="",J184=0,K184=0,L184=0,M184=0),"",CADASTROS!$B$4+SUM($J$2:J184)+SUM($M$2:M184)-SUM($K$2:K184)-SUM($L$2:L184))</f>
        <v>204.07999999995809</v>
      </c>
      <c r="O184" s="72">
        <f>IF(A184="","",SUMIF(RATEIOS!$A$2:$A$3142,$A184,RATEIOS!$F$2:$F$3142))</f>
        <v>38000</v>
      </c>
      <c r="P184" s="15">
        <f t="shared" si="5"/>
        <v>0</v>
      </c>
      <c r="Q184" s="49" t="str">
        <f>IF(AND(J184=0,K184=0,L184=0,M184=0),"",IF(O184=0,"PENDENTE DE RATEIO",IF(ABS(P184)&gt;0.005,"DIVERGÊNCIA",IF(COUNTIF(RATEIOS!$A$2:$A$3142,$A184)-COUNTIFS(RATEIOS!$A$2:$A$3142,$A184,RATEIOS!$D$2:$D$3142,"&lt;&gt;")&gt;0,"NÃO CLASSIFICADO","RATEIO OK"))))</f>
        <v>RATEIO OK</v>
      </c>
      <c r="R184" s="49" t="s">
        <v>2553</v>
      </c>
      <c r="S184" s="14"/>
    </row>
    <row r="185" spans="1:19" ht="24.95" customHeight="1" x14ac:dyDescent="0.25">
      <c r="A185" s="49" t="s">
        <v>1557</v>
      </c>
      <c r="B185" s="98">
        <v>184</v>
      </c>
      <c r="C185" s="50">
        <v>46076</v>
      </c>
      <c r="D185" s="49">
        <f t="shared" si="4"/>
        <v>2</v>
      </c>
      <c r="E185" s="92" t="s">
        <v>72</v>
      </c>
      <c r="F185" s="49" t="s">
        <v>36</v>
      </c>
      <c r="G185" s="14" t="s">
        <v>318</v>
      </c>
      <c r="H185" s="14" t="s">
        <v>319</v>
      </c>
      <c r="I185" s="76" t="s">
        <v>320</v>
      </c>
      <c r="J185" s="73">
        <v>0</v>
      </c>
      <c r="K185" s="74">
        <v>2584</v>
      </c>
      <c r="L185" s="72">
        <v>0</v>
      </c>
      <c r="M185" s="72">
        <v>0</v>
      </c>
      <c r="N185" s="72">
        <f>IF(AND(C185="",J185=0,K185=0,L185=0,M185=0),"",CADASTROS!$B$4+SUM($J$2:J185)+SUM($M$2:M185)-SUM($K$2:K185)-SUM($L$2:L185))</f>
        <v>-2379.9200000000419</v>
      </c>
      <c r="O185" s="72">
        <f>IF(A185="","",SUMIF(RATEIOS!$A$2:$A$3142,$A185,RATEIOS!$F$2:$F$3142))</f>
        <v>2584</v>
      </c>
      <c r="P185" s="15">
        <f t="shared" si="5"/>
        <v>0</v>
      </c>
      <c r="Q185" s="49" t="str">
        <f>IF(AND(J185=0,K185=0,L185=0,M185=0),"",IF(O185=0,"PENDENTE DE RATEIO",IF(ABS(P185)&gt;0.005,"DIVERGÊNCIA",IF(COUNTIF(RATEIOS!$A$2:$A$3142,$A185)-COUNTIFS(RATEIOS!$A$2:$A$3142,$A185,RATEIOS!$D$2:$D$3142,"&lt;&gt;")&gt;0,"NÃO CLASSIFICADO","RATEIO OK"))))</f>
        <v>RATEIO OK</v>
      </c>
      <c r="R185" s="49" t="s">
        <v>2553</v>
      </c>
      <c r="S185" s="14" t="s">
        <v>2969</v>
      </c>
    </row>
    <row r="186" spans="1:19" ht="24.95" customHeight="1" x14ac:dyDescent="0.25">
      <c r="A186" s="49" t="s">
        <v>1558</v>
      </c>
      <c r="B186" s="98">
        <v>185</v>
      </c>
      <c r="C186" s="50">
        <v>46076</v>
      </c>
      <c r="D186" s="49">
        <f t="shared" si="4"/>
        <v>2</v>
      </c>
      <c r="E186" s="92" t="s">
        <v>72</v>
      </c>
      <c r="F186" s="49" t="s">
        <v>36</v>
      </c>
      <c r="G186" s="14" t="s">
        <v>321</v>
      </c>
      <c r="H186" s="14" t="s">
        <v>153</v>
      </c>
      <c r="I186" s="76" t="s">
        <v>322</v>
      </c>
      <c r="J186" s="73">
        <v>0</v>
      </c>
      <c r="K186" s="74">
        <v>1171</v>
      </c>
      <c r="L186" s="72">
        <v>0</v>
      </c>
      <c r="M186" s="72">
        <v>0</v>
      </c>
      <c r="N186" s="72">
        <f>IF(AND(C186="",J186=0,K186=0,L186=0,M186=0),"",CADASTROS!$B$4+SUM($J$2:J186)+SUM($M$2:M186)-SUM($K$2:K186)-SUM($L$2:L186))</f>
        <v>-3550.9200000000419</v>
      </c>
      <c r="O186" s="72">
        <f>IF(A186="","",SUMIF(RATEIOS!$A$2:$A$3142,$A186,RATEIOS!$F$2:$F$3142))</f>
        <v>1171</v>
      </c>
      <c r="P186" s="15">
        <f t="shared" si="5"/>
        <v>0</v>
      </c>
      <c r="Q186" s="49" t="str">
        <f>IF(AND(J186=0,K186=0,L186=0,M186=0),"",IF(O186=0,"PENDENTE DE RATEIO",IF(ABS(P186)&gt;0.005,"DIVERGÊNCIA",IF(COUNTIF(RATEIOS!$A$2:$A$3142,$A186)-COUNTIFS(RATEIOS!$A$2:$A$3142,$A186,RATEIOS!$D$2:$D$3142,"&lt;&gt;")&gt;0,"NÃO CLASSIFICADO","RATEIO OK"))))</f>
        <v>RATEIO OK</v>
      </c>
      <c r="R186" s="49" t="s">
        <v>2553</v>
      </c>
      <c r="S186" s="14" t="s">
        <v>2970</v>
      </c>
    </row>
    <row r="187" spans="1:19" ht="24.95" customHeight="1" x14ac:dyDescent="0.25">
      <c r="A187" s="49" t="s">
        <v>1559</v>
      </c>
      <c r="B187" s="98">
        <v>186</v>
      </c>
      <c r="C187" s="50">
        <v>46076</v>
      </c>
      <c r="D187" s="49">
        <f t="shared" si="4"/>
        <v>2</v>
      </c>
      <c r="E187" s="92" t="s">
        <v>118</v>
      </c>
      <c r="F187" s="49" t="s">
        <v>36</v>
      </c>
      <c r="G187" s="14" t="s">
        <v>323</v>
      </c>
      <c r="H187" s="14" t="s">
        <v>185</v>
      </c>
      <c r="I187" s="76" t="s">
        <v>186</v>
      </c>
      <c r="J187" s="73">
        <v>0</v>
      </c>
      <c r="K187" s="74">
        <v>1036</v>
      </c>
      <c r="L187" s="72">
        <v>0</v>
      </c>
      <c r="M187" s="72">
        <v>0</v>
      </c>
      <c r="N187" s="72">
        <f>IF(AND(C187="",J187=0,K187=0,L187=0,M187=0),"",CADASTROS!$B$4+SUM($J$2:J187)+SUM($M$2:M187)-SUM($K$2:K187)-SUM($L$2:L187))</f>
        <v>-4586.9200000000419</v>
      </c>
      <c r="O187" s="72">
        <f>IF(A187="","",SUMIF(RATEIOS!$A$2:$A$3142,$A187,RATEIOS!$F$2:$F$3142))</f>
        <v>1036</v>
      </c>
      <c r="P187" s="15">
        <f t="shared" si="5"/>
        <v>0</v>
      </c>
      <c r="Q187" s="49" t="str">
        <f>IF(AND(J187=0,K187=0,L187=0,M187=0),"",IF(O187=0,"PENDENTE DE RATEIO",IF(ABS(P187)&gt;0.005,"DIVERGÊNCIA",IF(COUNTIF(RATEIOS!$A$2:$A$3142,$A187)-COUNTIFS(RATEIOS!$A$2:$A$3142,$A187,RATEIOS!$D$2:$D$3142,"&lt;&gt;")&gt;0,"NÃO CLASSIFICADO","RATEIO OK"))))</f>
        <v>RATEIO OK</v>
      </c>
      <c r="R187" s="49" t="s">
        <v>2553</v>
      </c>
      <c r="S187" s="14"/>
    </row>
    <row r="188" spans="1:19" ht="24.95" customHeight="1" x14ac:dyDescent="0.25">
      <c r="A188" s="49" t="s">
        <v>1561</v>
      </c>
      <c r="B188" s="98">
        <v>187</v>
      </c>
      <c r="C188" s="50">
        <v>46076</v>
      </c>
      <c r="D188" s="49">
        <f t="shared" si="4"/>
        <v>2</v>
      </c>
      <c r="E188" s="92" t="s">
        <v>118</v>
      </c>
      <c r="F188" s="49" t="s">
        <v>36</v>
      </c>
      <c r="G188" s="14" t="s">
        <v>259</v>
      </c>
      <c r="H188" s="14" t="s">
        <v>260</v>
      </c>
      <c r="I188" s="76" t="s">
        <v>324</v>
      </c>
      <c r="J188" s="73">
        <v>0</v>
      </c>
      <c r="K188" s="74">
        <v>807.4</v>
      </c>
      <c r="L188" s="72">
        <v>0</v>
      </c>
      <c r="M188" s="72">
        <v>0</v>
      </c>
      <c r="N188" s="72">
        <f>IF(AND(C188="",J188=0,K188=0,L188=0,M188=0),"",CADASTROS!$B$4+SUM($J$2:J188)+SUM($M$2:M188)-SUM($K$2:K188)-SUM($L$2:L188))</f>
        <v>-5394.3200000000652</v>
      </c>
      <c r="O188" s="72">
        <f>IF(A188="","",SUMIF(RATEIOS!$A$2:$A$3142,$A188,RATEIOS!$F$2:$F$3142))</f>
        <v>807.4</v>
      </c>
      <c r="P188" s="15">
        <f t="shared" si="5"/>
        <v>0</v>
      </c>
      <c r="Q188" s="49" t="str">
        <f>IF(AND(J188=0,K188=0,L188=0,M188=0),"",IF(O188=0,"PENDENTE DE RATEIO",IF(ABS(P188)&gt;0.005,"DIVERGÊNCIA",IF(COUNTIF(RATEIOS!$A$2:$A$3142,$A188)-COUNTIFS(RATEIOS!$A$2:$A$3142,$A188,RATEIOS!$D$2:$D$3142,"&lt;&gt;")&gt;0,"NÃO CLASSIFICADO","RATEIO OK"))))</f>
        <v>RATEIO OK</v>
      </c>
      <c r="R188" s="49" t="s">
        <v>2553</v>
      </c>
      <c r="S188" s="14" t="s">
        <v>2971</v>
      </c>
    </row>
    <row r="189" spans="1:19" ht="24.95" customHeight="1" x14ac:dyDescent="0.25">
      <c r="A189" s="49" t="s">
        <v>1562</v>
      </c>
      <c r="B189" s="98">
        <v>188</v>
      </c>
      <c r="C189" s="50">
        <v>46076</v>
      </c>
      <c r="D189" s="49">
        <f t="shared" si="4"/>
        <v>2</v>
      </c>
      <c r="E189" s="92" t="s">
        <v>118</v>
      </c>
      <c r="F189" s="49" t="s">
        <v>36</v>
      </c>
      <c r="G189" s="14" t="s">
        <v>325</v>
      </c>
      <c r="H189" s="14" t="s">
        <v>326</v>
      </c>
      <c r="I189" s="76" t="s">
        <v>327</v>
      </c>
      <c r="J189" s="73">
        <v>0</v>
      </c>
      <c r="K189" s="74">
        <v>767.31</v>
      </c>
      <c r="L189" s="72">
        <v>0</v>
      </c>
      <c r="M189" s="72">
        <v>0</v>
      </c>
      <c r="N189" s="72">
        <f>IF(AND(C189="",J189=0,K189=0,L189=0,M189=0),"",CADASTROS!$B$4+SUM($J$2:J189)+SUM($M$2:M189)-SUM($K$2:K189)-SUM($L$2:L189))</f>
        <v>-6161.6300000001211</v>
      </c>
      <c r="O189" s="72">
        <f>IF(A189="","",SUMIF(RATEIOS!$A$2:$A$3142,$A189,RATEIOS!$F$2:$F$3142))</f>
        <v>767.31</v>
      </c>
      <c r="P189" s="15">
        <f t="shared" si="5"/>
        <v>0</v>
      </c>
      <c r="Q189" s="49" t="str">
        <f>IF(AND(J189=0,K189=0,L189=0,M189=0),"",IF(O189=0,"PENDENTE DE RATEIO",IF(ABS(P189)&gt;0.005,"DIVERGÊNCIA",IF(COUNTIF(RATEIOS!$A$2:$A$3142,$A189)-COUNTIFS(RATEIOS!$A$2:$A$3142,$A189,RATEIOS!$D$2:$D$3142,"&lt;&gt;")&gt;0,"NÃO CLASSIFICADO","RATEIO OK"))))</f>
        <v>RATEIO OK</v>
      </c>
      <c r="R189" s="49" t="s">
        <v>2553</v>
      </c>
      <c r="S189" s="14" t="s">
        <v>2971</v>
      </c>
    </row>
    <row r="190" spans="1:19" ht="24.95" customHeight="1" x14ac:dyDescent="0.25">
      <c r="A190" s="49" t="s">
        <v>1563</v>
      </c>
      <c r="B190" s="98">
        <v>189</v>
      </c>
      <c r="C190" s="50">
        <v>46076</v>
      </c>
      <c r="D190" s="49">
        <f t="shared" si="4"/>
        <v>2</v>
      </c>
      <c r="E190" s="92" t="s">
        <v>2558</v>
      </c>
      <c r="F190" s="49" t="s">
        <v>38</v>
      </c>
      <c r="G190" s="14" t="s">
        <v>45</v>
      </c>
      <c r="H190" s="14" t="s">
        <v>46</v>
      </c>
      <c r="I190" s="76"/>
      <c r="J190" s="73">
        <v>0</v>
      </c>
      <c r="K190" s="74">
        <v>0</v>
      </c>
      <c r="L190" s="72">
        <v>0</v>
      </c>
      <c r="M190" s="72">
        <v>592.04</v>
      </c>
      <c r="N190" s="72">
        <f>IF(AND(C190="",J190=0,K190=0,L190=0,M190=0),"",CADASTROS!$B$4+SUM($J$2:J190)+SUM($M$2:M190)-SUM($K$2:K190)-SUM($L$2:L190))</f>
        <v>-5569.5900000000838</v>
      </c>
      <c r="O190" s="72">
        <f>IF(A190="","",SUMIF(RATEIOS!$A$2:$A$3142,$A190,RATEIOS!$F$2:$F$3142))</f>
        <v>592.04</v>
      </c>
      <c r="P190" s="15">
        <f t="shared" si="5"/>
        <v>0</v>
      </c>
      <c r="Q190" s="49" t="str">
        <f>IF(AND(J190=0,K190=0,L190=0,M190=0),"",IF(O190=0,"PENDENTE DE RATEIO",IF(ABS(P190)&gt;0.005,"DIVERGÊNCIA",IF(COUNTIF(RATEIOS!$A$2:$A$3142,$A190)-COUNTIFS(RATEIOS!$A$2:$A$3142,$A190,RATEIOS!$D$2:$D$3142,"&lt;&gt;")&gt;0,"NÃO CLASSIFICADO","RATEIO OK"))))</f>
        <v>RATEIO OK</v>
      </c>
      <c r="R190" s="49" t="s">
        <v>2553</v>
      </c>
      <c r="S190" s="14"/>
    </row>
    <row r="191" spans="1:19" ht="24.95" customHeight="1" x14ac:dyDescent="0.25">
      <c r="A191" s="49" t="s">
        <v>1564</v>
      </c>
      <c r="B191" s="98">
        <v>190</v>
      </c>
      <c r="C191" s="50">
        <v>46076</v>
      </c>
      <c r="D191" s="49">
        <f t="shared" si="4"/>
        <v>2</v>
      </c>
      <c r="E191" s="92" t="s">
        <v>2558</v>
      </c>
      <c r="F191" s="49" t="s">
        <v>38</v>
      </c>
      <c r="G191" s="14" t="s">
        <v>45</v>
      </c>
      <c r="H191" s="14" t="s">
        <v>46</v>
      </c>
      <c r="I191" s="76"/>
      <c r="J191" s="73">
        <v>0</v>
      </c>
      <c r="K191" s="74">
        <v>0</v>
      </c>
      <c r="L191" s="72">
        <v>0</v>
      </c>
      <c r="M191" s="72">
        <v>6000</v>
      </c>
      <c r="N191" s="72">
        <f>IF(AND(C191="",J191=0,K191=0,L191=0,M191=0),"",CADASTROS!$B$4+SUM($J$2:J191)+SUM($M$2:M191)-SUM($K$2:K191)-SUM($L$2:L191))</f>
        <v>430.40999999991618</v>
      </c>
      <c r="O191" s="72">
        <f>IF(A191="","",SUMIF(RATEIOS!$A$2:$A$3142,$A191,RATEIOS!$F$2:$F$3142))</f>
        <v>6000</v>
      </c>
      <c r="P191" s="15">
        <f t="shared" si="5"/>
        <v>0</v>
      </c>
      <c r="Q191" s="49" t="str">
        <f>IF(AND(J191=0,K191=0,L191=0,M191=0),"",IF(O191=0,"PENDENTE DE RATEIO",IF(ABS(P191)&gt;0.005,"DIVERGÊNCIA",IF(COUNTIF(RATEIOS!$A$2:$A$3142,$A191)-COUNTIFS(RATEIOS!$A$2:$A$3142,$A191,RATEIOS!$D$2:$D$3142,"&lt;&gt;")&gt;0,"NÃO CLASSIFICADO","RATEIO OK"))))</f>
        <v>RATEIO OK</v>
      </c>
      <c r="R191" s="49" t="s">
        <v>2553</v>
      </c>
      <c r="S191" s="14"/>
    </row>
    <row r="192" spans="1:19" ht="24.95" customHeight="1" x14ac:dyDescent="0.25">
      <c r="A192" s="49" t="s">
        <v>1566</v>
      </c>
      <c r="B192" s="98">
        <v>191</v>
      </c>
      <c r="C192" s="50">
        <v>46077</v>
      </c>
      <c r="D192" s="49">
        <f t="shared" si="4"/>
        <v>2</v>
      </c>
      <c r="E192" s="92" t="s">
        <v>2558</v>
      </c>
      <c r="F192" s="49" t="s">
        <v>38</v>
      </c>
      <c r="G192" s="14" t="s">
        <v>45</v>
      </c>
      <c r="H192" s="14" t="s">
        <v>46</v>
      </c>
      <c r="I192" s="76"/>
      <c r="J192" s="73">
        <v>0</v>
      </c>
      <c r="K192" s="74">
        <v>0</v>
      </c>
      <c r="L192" s="72">
        <v>0</v>
      </c>
      <c r="M192" s="72">
        <v>96</v>
      </c>
      <c r="N192" s="72">
        <f>IF(AND(C192="",J192=0,K192=0,L192=0,M192=0),"",CADASTROS!$B$4+SUM($J$2:J192)+SUM($M$2:M192)-SUM($K$2:K192)-SUM($L$2:L192))</f>
        <v>526.40999999991618</v>
      </c>
      <c r="O192" s="72">
        <f>IF(A192="","",SUMIF(RATEIOS!$A$2:$A$3142,$A192,RATEIOS!$F$2:$F$3142))</f>
        <v>96</v>
      </c>
      <c r="P192" s="15">
        <f t="shared" si="5"/>
        <v>0</v>
      </c>
      <c r="Q192" s="49" t="str">
        <f>IF(AND(J192=0,K192=0,L192=0,M192=0),"",IF(O192=0,"PENDENTE DE RATEIO",IF(ABS(P192)&gt;0.005,"DIVERGÊNCIA",IF(COUNTIF(RATEIOS!$A$2:$A$3142,$A192)-COUNTIFS(RATEIOS!$A$2:$A$3142,$A192,RATEIOS!$D$2:$D$3142,"&lt;&gt;")&gt;0,"NÃO CLASSIFICADO","RATEIO OK"))))</f>
        <v>RATEIO OK</v>
      </c>
      <c r="R192" s="49" t="s">
        <v>2553</v>
      </c>
      <c r="S192" s="14"/>
    </row>
    <row r="193" spans="1:19" ht="24.95" customHeight="1" x14ac:dyDescent="0.25">
      <c r="A193" s="49" t="s">
        <v>1567</v>
      </c>
      <c r="B193" s="98">
        <v>192</v>
      </c>
      <c r="C193" s="50">
        <v>46078</v>
      </c>
      <c r="D193" s="49">
        <f t="shared" si="4"/>
        <v>2</v>
      </c>
      <c r="E193" s="92" t="s">
        <v>118</v>
      </c>
      <c r="F193" s="49" t="s">
        <v>36</v>
      </c>
      <c r="G193" s="14" t="s">
        <v>328</v>
      </c>
      <c r="H193" s="14" t="s">
        <v>172</v>
      </c>
      <c r="I193" s="76" t="s">
        <v>200</v>
      </c>
      <c r="J193" s="73">
        <v>0</v>
      </c>
      <c r="K193" s="74">
        <v>590.54</v>
      </c>
      <c r="L193" s="72">
        <v>0</v>
      </c>
      <c r="M193" s="72">
        <v>0</v>
      </c>
      <c r="N193" s="72">
        <f>IF(AND(C193="",J193=0,K193=0,L193=0,M193=0),"",CADASTROS!$B$4+SUM($J$2:J193)+SUM($M$2:M193)-SUM($K$2:K193)-SUM($L$2:L193))</f>
        <v>-64.130000000121072</v>
      </c>
      <c r="O193" s="72">
        <f>IF(A193="","",SUMIF(RATEIOS!$A$2:$A$3142,$A193,RATEIOS!$F$2:$F$3142))</f>
        <v>590.54</v>
      </c>
      <c r="P193" s="15">
        <f t="shared" si="5"/>
        <v>0</v>
      </c>
      <c r="Q193" s="49" t="str">
        <f>IF(AND(J193=0,K193=0,L193=0,M193=0),"",IF(O193=0,"PENDENTE DE RATEIO",IF(ABS(P193)&gt;0.005,"DIVERGÊNCIA",IF(COUNTIF(RATEIOS!$A$2:$A$3142,$A193)-COUNTIFS(RATEIOS!$A$2:$A$3142,$A193,RATEIOS!$D$2:$D$3142,"&lt;&gt;")&gt;0,"NÃO CLASSIFICADO","RATEIO OK"))))</f>
        <v>RATEIO OK</v>
      </c>
      <c r="R193" s="49" t="s">
        <v>2553</v>
      </c>
      <c r="S193" s="14"/>
    </row>
    <row r="194" spans="1:19" ht="24.95" customHeight="1" x14ac:dyDescent="0.25">
      <c r="A194" s="49" t="s">
        <v>1568</v>
      </c>
      <c r="B194" s="98">
        <v>193</v>
      </c>
      <c r="C194" s="50">
        <v>46078</v>
      </c>
      <c r="D194" s="49">
        <f t="shared" ref="D194:D257" si="6">IF(C194="","",MONTH(C194))</f>
        <v>2</v>
      </c>
      <c r="E194" s="92" t="s">
        <v>2558</v>
      </c>
      <c r="F194" s="49" t="s">
        <v>38</v>
      </c>
      <c r="G194" s="14" t="s">
        <v>45</v>
      </c>
      <c r="H194" s="14" t="s">
        <v>46</v>
      </c>
      <c r="I194" s="76"/>
      <c r="J194" s="73">
        <v>0</v>
      </c>
      <c r="K194" s="74">
        <v>0</v>
      </c>
      <c r="L194" s="72">
        <v>0</v>
      </c>
      <c r="M194" s="72">
        <v>500</v>
      </c>
      <c r="N194" s="72">
        <f>IF(AND(C194="",J194=0,K194=0,L194=0,M194=0),"",CADASTROS!$B$4+SUM($J$2:J194)+SUM($M$2:M194)-SUM($K$2:K194)-SUM($L$2:L194))</f>
        <v>435.86999999987893</v>
      </c>
      <c r="O194" s="72">
        <f>IF(A194="","",SUMIF(RATEIOS!$A$2:$A$3142,$A194,RATEIOS!$F$2:$F$3142))</f>
        <v>500</v>
      </c>
      <c r="P194" s="15">
        <f t="shared" ref="P194:P257" si="7">IF(A194="","",(J194+K194+L194+M194)-O194)</f>
        <v>0</v>
      </c>
      <c r="Q194" s="49" t="str">
        <f>IF(AND(J194=0,K194=0,L194=0,M194=0),"",IF(O194=0,"PENDENTE DE RATEIO",IF(ABS(P194)&gt;0.005,"DIVERGÊNCIA",IF(COUNTIF(RATEIOS!$A$2:$A$3142,$A194)-COUNTIFS(RATEIOS!$A$2:$A$3142,$A194,RATEIOS!$D$2:$D$3142,"&lt;&gt;")&gt;0,"NÃO CLASSIFICADO","RATEIO OK"))))</f>
        <v>RATEIO OK</v>
      </c>
      <c r="R194" s="49" t="s">
        <v>2553</v>
      </c>
      <c r="S194" s="14"/>
    </row>
    <row r="195" spans="1:19" ht="24.95" customHeight="1" x14ac:dyDescent="0.25">
      <c r="A195" s="49" t="s">
        <v>1569</v>
      </c>
      <c r="B195" s="98">
        <v>194</v>
      </c>
      <c r="C195" s="50">
        <v>46079</v>
      </c>
      <c r="D195" s="49">
        <f t="shared" si="6"/>
        <v>2</v>
      </c>
      <c r="E195" s="92" t="s">
        <v>2558</v>
      </c>
      <c r="F195" s="49" t="s">
        <v>38</v>
      </c>
      <c r="G195" s="14" t="s">
        <v>45</v>
      </c>
      <c r="H195" s="14" t="s">
        <v>46</v>
      </c>
      <c r="I195" s="76"/>
      <c r="J195" s="73">
        <v>0</v>
      </c>
      <c r="K195" s="74">
        <v>0</v>
      </c>
      <c r="L195" s="72">
        <v>0</v>
      </c>
      <c r="M195" s="72">
        <v>8.41</v>
      </c>
      <c r="N195" s="72">
        <f>IF(AND(C195="",J195=0,K195=0,L195=0,M195=0),"",CADASTROS!$B$4+SUM($J$2:J195)+SUM($M$2:M195)-SUM($K$2:K195)-SUM($L$2:L195))</f>
        <v>444.27999999991152</v>
      </c>
      <c r="O195" s="72">
        <f>IF(A195="","",SUMIF(RATEIOS!$A$2:$A$3142,$A195,RATEIOS!$F$2:$F$3142))</f>
        <v>8.41</v>
      </c>
      <c r="P195" s="15">
        <f t="shared" si="7"/>
        <v>0</v>
      </c>
      <c r="Q195" s="49" t="str">
        <f>IF(AND(J195=0,K195=0,L195=0,M195=0),"",IF(O195=0,"PENDENTE DE RATEIO",IF(ABS(P195)&gt;0.005,"DIVERGÊNCIA",IF(COUNTIF(RATEIOS!$A$2:$A$3142,$A195)-COUNTIFS(RATEIOS!$A$2:$A$3142,$A195,RATEIOS!$D$2:$D$3142,"&lt;&gt;")&gt;0,"NÃO CLASSIFICADO","RATEIO OK"))))</f>
        <v>RATEIO OK</v>
      </c>
      <c r="R195" s="49" t="s">
        <v>2553</v>
      </c>
      <c r="S195" s="14"/>
    </row>
    <row r="196" spans="1:19" ht="24.95" customHeight="1" x14ac:dyDescent="0.25">
      <c r="A196" s="49" t="s">
        <v>1570</v>
      </c>
      <c r="B196" s="98">
        <v>195</v>
      </c>
      <c r="C196" s="50">
        <v>46080</v>
      </c>
      <c r="D196" s="49">
        <f t="shared" si="6"/>
        <v>2</v>
      </c>
      <c r="E196" s="92" t="s">
        <v>72</v>
      </c>
      <c r="F196" s="49" t="s">
        <v>36</v>
      </c>
      <c r="G196" s="14" t="s">
        <v>329</v>
      </c>
      <c r="H196" s="14" t="s">
        <v>330</v>
      </c>
      <c r="I196" s="76"/>
      <c r="J196" s="73">
        <v>0</v>
      </c>
      <c r="K196" s="74">
        <v>1754.53</v>
      </c>
      <c r="L196" s="72">
        <v>0</v>
      </c>
      <c r="M196" s="72">
        <v>0</v>
      </c>
      <c r="N196" s="72">
        <f>IF(AND(C196="",J196=0,K196=0,L196=0,M196=0),"",CADASTROS!$B$4+SUM($J$2:J196)+SUM($M$2:M196)-SUM($K$2:K196)-SUM($L$2:L196))</f>
        <v>-1310.2500000001164</v>
      </c>
      <c r="O196" s="72">
        <f>IF(A196="","",SUMIF(RATEIOS!$A$2:$A$3142,$A196,RATEIOS!$F$2:$F$3142))</f>
        <v>1754.53</v>
      </c>
      <c r="P196" s="15">
        <f t="shared" si="7"/>
        <v>0</v>
      </c>
      <c r="Q196" s="49" t="str">
        <f>IF(AND(J196=0,K196=0,L196=0,M196=0),"",IF(O196=0,"PENDENTE DE RATEIO",IF(ABS(P196)&gt;0.005,"DIVERGÊNCIA",IF(COUNTIF(RATEIOS!$A$2:$A$3142,$A196)-COUNTIFS(RATEIOS!$A$2:$A$3142,$A196,RATEIOS!$D$2:$D$3142,"&lt;&gt;")&gt;0,"NÃO CLASSIFICADO","RATEIO OK"))))</f>
        <v>RATEIO OK</v>
      </c>
      <c r="R196" s="49" t="s">
        <v>2553</v>
      </c>
      <c r="S196" s="14"/>
    </row>
    <row r="197" spans="1:19" ht="24.95" customHeight="1" x14ac:dyDescent="0.25">
      <c r="A197" s="49" t="s">
        <v>1571</v>
      </c>
      <c r="B197" s="98">
        <v>196</v>
      </c>
      <c r="C197" s="50">
        <v>46080</v>
      </c>
      <c r="D197" s="49">
        <f t="shared" si="6"/>
        <v>2</v>
      </c>
      <c r="E197" s="92" t="s">
        <v>2558</v>
      </c>
      <c r="F197" s="49" t="s">
        <v>38</v>
      </c>
      <c r="G197" s="14" t="s">
        <v>45</v>
      </c>
      <c r="H197" s="14" t="s">
        <v>46</v>
      </c>
      <c r="I197" s="76"/>
      <c r="J197" s="73">
        <v>0</v>
      </c>
      <c r="K197" s="74">
        <v>0</v>
      </c>
      <c r="L197" s="72">
        <v>0</v>
      </c>
      <c r="M197" s="72">
        <v>1500</v>
      </c>
      <c r="N197" s="72">
        <f>IF(AND(C197="",J197=0,K197=0,L197=0,M197=0),"",CADASTROS!$B$4+SUM($J$2:J197)+SUM($M$2:M197)-SUM($K$2:K197)-SUM($L$2:L197))</f>
        <v>189.74999999988358</v>
      </c>
      <c r="O197" s="72">
        <f>IF(A197="","",SUMIF(RATEIOS!$A$2:$A$3142,$A197,RATEIOS!$F$2:$F$3142))</f>
        <v>1500</v>
      </c>
      <c r="P197" s="15">
        <f t="shared" si="7"/>
        <v>0</v>
      </c>
      <c r="Q197" s="49" t="str">
        <f>IF(AND(J197=0,K197=0,L197=0,M197=0),"",IF(O197=0,"PENDENTE DE RATEIO",IF(ABS(P197)&gt;0.005,"DIVERGÊNCIA",IF(COUNTIF(RATEIOS!$A$2:$A$3142,$A197)-COUNTIFS(RATEIOS!$A$2:$A$3142,$A197,RATEIOS!$D$2:$D$3142,"&lt;&gt;")&gt;0,"NÃO CLASSIFICADO","RATEIO OK"))))</f>
        <v>RATEIO OK</v>
      </c>
      <c r="R197" s="49" t="s">
        <v>2553</v>
      </c>
      <c r="S197" s="14"/>
    </row>
    <row r="198" spans="1:19" ht="24.95" customHeight="1" x14ac:dyDescent="0.25">
      <c r="A198" s="49" t="s">
        <v>1572</v>
      </c>
      <c r="B198" s="98">
        <v>197</v>
      </c>
      <c r="C198" s="50">
        <v>46083</v>
      </c>
      <c r="D198" s="49">
        <f t="shared" si="6"/>
        <v>3</v>
      </c>
      <c r="E198" s="92" t="s">
        <v>72</v>
      </c>
      <c r="F198" s="49" t="s">
        <v>36</v>
      </c>
      <c r="G198" s="14" t="s">
        <v>331</v>
      </c>
      <c r="H198" s="14" t="s">
        <v>84</v>
      </c>
      <c r="I198" s="76"/>
      <c r="J198" s="73">
        <v>0</v>
      </c>
      <c r="K198" s="74">
        <v>26.05</v>
      </c>
      <c r="L198" s="72">
        <v>0</v>
      </c>
      <c r="M198" s="72">
        <v>0</v>
      </c>
      <c r="N198" s="72">
        <f>IF(AND(C198="",J198=0,K198=0,L198=0,M198=0),"",CADASTROS!$B$4+SUM($J$2:J198)+SUM($M$2:M198)-SUM($K$2:K198)-SUM($L$2:L198))</f>
        <v>163.69999999983702</v>
      </c>
      <c r="O198" s="72">
        <f>IF(A198="","",SUMIF(RATEIOS!$A$2:$A$3142,$A198,RATEIOS!$F$2:$F$3142))</f>
        <v>26.05</v>
      </c>
      <c r="P198" s="15">
        <f t="shared" si="7"/>
        <v>0</v>
      </c>
      <c r="Q198" s="49" t="str">
        <f>IF(AND(J198=0,K198=0,L198=0,M198=0),"",IF(O198=0,"PENDENTE DE RATEIO",IF(ABS(P198)&gt;0.005,"DIVERGÊNCIA",IF(COUNTIF(RATEIOS!$A$2:$A$3142,$A198)-COUNTIFS(RATEIOS!$A$2:$A$3142,$A198,RATEIOS!$D$2:$D$3142,"&lt;&gt;")&gt;0,"NÃO CLASSIFICADO","RATEIO OK"))))</f>
        <v>RATEIO OK</v>
      </c>
      <c r="R198" s="49" t="s">
        <v>2553</v>
      </c>
      <c r="S198" s="14"/>
    </row>
    <row r="199" spans="1:19" ht="24.95" customHeight="1" x14ac:dyDescent="0.25">
      <c r="A199" s="49" t="s">
        <v>1573</v>
      </c>
      <c r="B199" s="98">
        <v>198</v>
      </c>
      <c r="C199" s="50">
        <v>46083</v>
      </c>
      <c r="D199" s="49">
        <f t="shared" si="6"/>
        <v>3</v>
      </c>
      <c r="E199" s="92" t="s">
        <v>2558</v>
      </c>
      <c r="F199" s="49" t="s">
        <v>38</v>
      </c>
      <c r="G199" s="14" t="s">
        <v>2681</v>
      </c>
      <c r="H199" s="14" t="s">
        <v>46</v>
      </c>
      <c r="I199" s="76"/>
      <c r="J199" s="73">
        <v>0</v>
      </c>
      <c r="K199" s="74">
        <v>0</v>
      </c>
      <c r="L199" s="72">
        <v>0</v>
      </c>
      <c r="M199" s="72">
        <v>26.46</v>
      </c>
      <c r="N199" s="72">
        <f>IF(AND(C199="",J199=0,K199=0,L199=0,M199=0),"",CADASTROS!$B$4+SUM($J$2:J199)+SUM($M$2:M199)-SUM($K$2:K199)-SUM($L$2:L199))</f>
        <v>190.15999999979977</v>
      </c>
      <c r="O199" s="72">
        <f>IF(A199="","",SUMIF(RATEIOS!$A$2:$A$3142,$A199,RATEIOS!$F$2:$F$3142))</f>
        <v>26.46</v>
      </c>
      <c r="P199" s="15">
        <f t="shared" si="7"/>
        <v>0</v>
      </c>
      <c r="Q199" s="49" t="str">
        <f>IF(AND(J199=0,K199=0,L199=0,M199=0),"",IF(O199=0,"PENDENTE DE RATEIO",IF(ABS(P199)&gt;0.005,"DIVERGÊNCIA",IF(COUNTIF(RATEIOS!$A$2:$A$3142,$A199)-COUNTIFS(RATEIOS!$A$2:$A$3142,$A199,RATEIOS!$D$2:$D$3142,"&lt;&gt;")&gt;0,"NÃO CLASSIFICADO","RATEIO OK"))))</f>
        <v>RATEIO OK</v>
      </c>
      <c r="R199" s="49" t="s">
        <v>2553</v>
      </c>
      <c r="S199" s="14"/>
    </row>
    <row r="200" spans="1:19" ht="24.95" customHeight="1" x14ac:dyDescent="0.25">
      <c r="A200" s="49" t="s">
        <v>1574</v>
      </c>
      <c r="B200" s="98">
        <v>199</v>
      </c>
      <c r="C200" s="50">
        <v>46084</v>
      </c>
      <c r="D200" s="49">
        <f t="shared" si="6"/>
        <v>3</v>
      </c>
      <c r="E200" s="92" t="s">
        <v>287</v>
      </c>
      <c r="F200" s="49" t="s">
        <v>35</v>
      </c>
      <c r="G200" s="14" t="s">
        <v>332</v>
      </c>
      <c r="H200" s="14" t="s">
        <v>333</v>
      </c>
      <c r="I200" s="76"/>
      <c r="J200" s="73">
        <v>16000</v>
      </c>
      <c r="K200" s="74">
        <v>0</v>
      </c>
      <c r="L200" s="72">
        <v>0</v>
      </c>
      <c r="M200" s="72">
        <v>0</v>
      </c>
      <c r="N200" s="72">
        <f>IF(AND(C200="",J200=0,K200=0,L200=0,M200=0),"",CADASTROS!$B$4+SUM($J$2:J200)+SUM($M$2:M200)-SUM($K$2:K200)-SUM($L$2:L200))</f>
        <v>16190.1599999998</v>
      </c>
      <c r="O200" s="72">
        <f>IF(A200="","",SUMIF(RATEIOS!$A$2:$A$3142,$A200,RATEIOS!$F$2:$F$3142))</f>
        <v>16000</v>
      </c>
      <c r="P200" s="15">
        <f t="shared" si="7"/>
        <v>0</v>
      </c>
      <c r="Q200" s="49" t="str">
        <f>IF(AND(J200=0,K200=0,L200=0,M200=0),"",IF(O200=0,"PENDENTE DE RATEIO",IF(ABS(P200)&gt;0.005,"DIVERGÊNCIA",IF(COUNTIF(RATEIOS!$A$2:$A$3142,$A200)-COUNTIFS(RATEIOS!$A$2:$A$3142,$A200,RATEIOS!$D$2:$D$3142,"&lt;&gt;")&gt;0,"NÃO CLASSIFICADO","RATEIO OK"))))</f>
        <v>RATEIO OK</v>
      </c>
      <c r="R200" s="49" t="s">
        <v>2553</v>
      </c>
      <c r="S200" s="14" t="s">
        <v>2972</v>
      </c>
    </row>
    <row r="201" spans="1:19" ht="24.95" customHeight="1" x14ac:dyDescent="0.25">
      <c r="A201" s="49" t="s">
        <v>1575</v>
      </c>
      <c r="B201" s="98">
        <v>200</v>
      </c>
      <c r="C201" s="51">
        <v>46084</v>
      </c>
      <c r="D201" s="49">
        <f t="shared" si="6"/>
        <v>3</v>
      </c>
      <c r="E201" s="92" t="s">
        <v>287</v>
      </c>
      <c r="F201" s="49" t="s">
        <v>35</v>
      </c>
      <c r="G201" s="14" t="s">
        <v>334</v>
      </c>
      <c r="H201" s="14" t="s">
        <v>335</v>
      </c>
      <c r="I201" s="76"/>
      <c r="J201" s="73">
        <v>8000</v>
      </c>
      <c r="K201" s="74">
        <v>0</v>
      </c>
      <c r="L201" s="72">
        <v>0</v>
      </c>
      <c r="M201" s="72">
        <v>0</v>
      </c>
      <c r="N201" s="72">
        <f>IF(AND(C201="",J201=0,K201=0,L201=0,M201=0),"",CADASTROS!$B$4+SUM($J$2:J201)+SUM($M$2:M201)-SUM($K$2:K201)-SUM($L$2:L201))</f>
        <v>24190.1599999998</v>
      </c>
      <c r="O201" s="72">
        <f>IF(A201="","",SUMIF(RATEIOS!$A$2:$A$3142,$A201,RATEIOS!$F$2:$F$3142))</f>
        <v>8000</v>
      </c>
      <c r="P201" s="15">
        <f t="shared" si="7"/>
        <v>0</v>
      </c>
      <c r="Q201" s="49" t="str">
        <f>IF(AND(J201=0,K201=0,L201=0,M201=0),"",IF(O201=0,"PENDENTE DE RATEIO",IF(ABS(P201)&gt;0.005,"DIVERGÊNCIA",IF(COUNTIF(RATEIOS!$A$2:$A$3142,$A201)-COUNTIFS(RATEIOS!$A$2:$A$3142,$A201,RATEIOS!$D$2:$D$3142,"&lt;&gt;")&gt;0,"NÃO CLASSIFICADO","RATEIO OK"))))</f>
        <v>RATEIO OK</v>
      </c>
      <c r="R201" s="49" t="s">
        <v>2553</v>
      </c>
      <c r="S201" s="52"/>
    </row>
    <row r="202" spans="1:19" ht="24.95" customHeight="1" x14ac:dyDescent="0.25">
      <c r="A202" s="49" t="s">
        <v>1576</v>
      </c>
      <c r="B202" s="98">
        <v>201</v>
      </c>
      <c r="C202" s="50">
        <v>46084</v>
      </c>
      <c r="D202" s="49">
        <f t="shared" si="6"/>
        <v>3</v>
      </c>
      <c r="E202" s="92" t="s">
        <v>287</v>
      </c>
      <c r="F202" s="49" t="s">
        <v>35</v>
      </c>
      <c r="G202" s="14" t="s">
        <v>336</v>
      </c>
      <c r="H202" s="14" t="s">
        <v>337</v>
      </c>
      <c r="I202" s="76"/>
      <c r="J202" s="73">
        <v>8000</v>
      </c>
      <c r="K202" s="74">
        <v>0</v>
      </c>
      <c r="L202" s="72">
        <v>0</v>
      </c>
      <c r="M202" s="72">
        <v>0</v>
      </c>
      <c r="N202" s="72">
        <f>IF(AND(C202="",J202=0,K202=0,L202=0,M202=0),"",CADASTROS!$B$4+SUM($J$2:J202)+SUM($M$2:M202)-SUM($K$2:K202)-SUM($L$2:L202))</f>
        <v>32190.1599999998</v>
      </c>
      <c r="O202" s="72">
        <f>IF(A202="","",SUMIF(RATEIOS!$A$2:$A$3142,$A202,RATEIOS!$F$2:$F$3142))</f>
        <v>8000</v>
      </c>
      <c r="P202" s="15">
        <f t="shared" si="7"/>
        <v>0</v>
      </c>
      <c r="Q202" s="49" t="str">
        <f>IF(AND(J202=0,K202=0,L202=0,M202=0),"",IF(O202=0,"PENDENTE DE RATEIO",IF(ABS(P202)&gt;0.005,"DIVERGÊNCIA",IF(COUNTIF(RATEIOS!$A$2:$A$3142,$A202)-COUNTIFS(RATEIOS!$A$2:$A$3142,$A202,RATEIOS!$D$2:$D$3142,"&lt;&gt;")&gt;0,"NÃO CLASSIFICADO","RATEIO OK"))))</f>
        <v>RATEIO OK</v>
      </c>
      <c r="R202" s="49" t="s">
        <v>2553</v>
      </c>
      <c r="S202" s="14"/>
    </row>
    <row r="203" spans="1:19" ht="24.95" customHeight="1" x14ac:dyDescent="0.25">
      <c r="A203" s="49" t="s">
        <v>1577</v>
      </c>
      <c r="B203" s="98">
        <v>202</v>
      </c>
      <c r="C203" s="50">
        <v>46084</v>
      </c>
      <c r="D203" s="49">
        <f t="shared" si="6"/>
        <v>3</v>
      </c>
      <c r="E203" s="92" t="s">
        <v>118</v>
      </c>
      <c r="F203" s="49" t="s">
        <v>36</v>
      </c>
      <c r="G203" s="14" t="s">
        <v>254</v>
      </c>
      <c r="H203" s="14" t="s">
        <v>255</v>
      </c>
      <c r="I203" s="76" t="s">
        <v>338</v>
      </c>
      <c r="J203" s="73">
        <v>0</v>
      </c>
      <c r="K203" s="74">
        <v>2938.4</v>
      </c>
      <c r="L203" s="72">
        <v>0</v>
      </c>
      <c r="M203" s="72">
        <v>0</v>
      </c>
      <c r="N203" s="72">
        <f>IF(AND(C203="",J203=0,K203=0,L203=0,M203=0),"",CADASTROS!$B$4+SUM($J$2:J203)+SUM($M$2:M203)-SUM($K$2:K203)-SUM($L$2:L203))</f>
        <v>29251.759999999776</v>
      </c>
      <c r="O203" s="72">
        <f>IF(A203="","",SUMIF(RATEIOS!$A$2:$A$3142,$A203,RATEIOS!$F$2:$F$3142))</f>
        <v>2938.4</v>
      </c>
      <c r="P203" s="15">
        <f t="shared" si="7"/>
        <v>0</v>
      </c>
      <c r="Q203" s="49" t="str">
        <f>IF(AND(J203=0,K203=0,L203=0,M203=0),"",IF(O203=0,"PENDENTE DE RATEIO",IF(ABS(P203)&gt;0.005,"DIVERGÊNCIA",IF(COUNTIF(RATEIOS!$A$2:$A$3142,$A203)-COUNTIFS(RATEIOS!$A$2:$A$3142,$A203,RATEIOS!$D$2:$D$3142,"&lt;&gt;")&gt;0,"NÃO CLASSIFICADO","RATEIO OK"))))</f>
        <v>RATEIO OK</v>
      </c>
      <c r="R203" s="49" t="s">
        <v>2553</v>
      </c>
      <c r="S203" s="14"/>
    </row>
    <row r="204" spans="1:19" ht="24.95" customHeight="1" x14ac:dyDescent="0.25">
      <c r="A204" s="49" t="s">
        <v>1579</v>
      </c>
      <c r="B204" s="98">
        <v>203</v>
      </c>
      <c r="C204" s="50">
        <v>46084</v>
      </c>
      <c r="D204" s="49">
        <f t="shared" si="6"/>
        <v>3</v>
      </c>
      <c r="E204" s="92" t="s">
        <v>118</v>
      </c>
      <c r="F204" s="49" t="s">
        <v>36</v>
      </c>
      <c r="G204" s="14" t="s">
        <v>339</v>
      </c>
      <c r="H204" s="14" t="s">
        <v>340</v>
      </c>
      <c r="I204" s="76" t="s">
        <v>341</v>
      </c>
      <c r="J204" s="73">
        <v>0</v>
      </c>
      <c r="K204" s="74">
        <v>1765</v>
      </c>
      <c r="L204" s="72">
        <v>0</v>
      </c>
      <c r="M204" s="72">
        <v>0</v>
      </c>
      <c r="N204" s="72">
        <f>IF(AND(C204="",J204=0,K204=0,L204=0,M204=0),"",CADASTROS!$B$4+SUM($J$2:J204)+SUM($M$2:M204)-SUM($K$2:K204)-SUM($L$2:L204))</f>
        <v>27486.759999999776</v>
      </c>
      <c r="O204" s="72">
        <f>IF(A204="","",SUMIF(RATEIOS!$A$2:$A$3142,$A204,RATEIOS!$F$2:$F$3142))</f>
        <v>1765</v>
      </c>
      <c r="P204" s="15">
        <f t="shared" si="7"/>
        <v>0</v>
      </c>
      <c r="Q204" s="49" t="str">
        <f>IF(AND(J204=0,K204=0,L204=0,M204=0),"",IF(O204=0,"PENDENTE DE RATEIO",IF(ABS(P204)&gt;0.005,"DIVERGÊNCIA",IF(COUNTIF(RATEIOS!$A$2:$A$3142,$A204)-COUNTIFS(RATEIOS!$A$2:$A$3142,$A204,RATEIOS!$D$2:$D$3142,"&lt;&gt;")&gt;0,"NÃO CLASSIFICADO","RATEIO OK"))))</f>
        <v>RATEIO OK</v>
      </c>
      <c r="R204" s="49" t="s">
        <v>2553</v>
      </c>
      <c r="S204" s="14" t="s">
        <v>342</v>
      </c>
    </row>
    <row r="205" spans="1:19" ht="24.95" customHeight="1" x14ac:dyDescent="0.25">
      <c r="A205" s="49" t="s">
        <v>1580</v>
      </c>
      <c r="B205" s="98">
        <v>204</v>
      </c>
      <c r="C205" s="50">
        <v>46084</v>
      </c>
      <c r="D205" s="49">
        <f t="shared" si="6"/>
        <v>3</v>
      </c>
      <c r="E205" s="92" t="s">
        <v>118</v>
      </c>
      <c r="F205" s="49" t="s">
        <v>36</v>
      </c>
      <c r="G205" s="14" t="s">
        <v>343</v>
      </c>
      <c r="H205" s="14" t="s">
        <v>188</v>
      </c>
      <c r="I205" s="76" t="s">
        <v>344</v>
      </c>
      <c r="J205" s="73">
        <v>0</v>
      </c>
      <c r="K205" s="74">
        <v>1660</v>
      </c>
      <c r="L205" s="72">
        <v>0</v>
      </c>
      <c r="M205" s="72">
        <v>0</v>
      </c>
      <c r="N205" s="72">
        <f>IF(AND(C205="",J205=0,K205=0,L205=0,M205=0),"",CADASTROS!$B$4+SUM($J$2:J205)+SUM($M$2:M205)-SUM($K$2:K205)-SUM($L$2:L205))</f>
        <v>25826.759999999776</v>
      </c>
      <c r="O205" s="72">
        <f>IF(A205="","",SUMIF(RATEIOS!$A$2:$A$3142,$A205,RATEIOS!$F$2:$F$3142))</f>
        <v>1660</v>
      </c>
      <c r="P205" s="15">
        <f t="shared" si="7"/>
        <v>0</v>
      </c>
      <c r="Q205" s="49" t="str">
        <f>IF(AND(J205=0,K205=0,L205=0,M205=0),"",IF(O205=0,"PENDENTE DE RATEIO",IF(ABS(P205)&gt;0.005,"DIVERGÊNCIA",IF(COUNTIF(RATEIOS!$A$2:$A$3142,$A205)-COUNTIFS(RATEIOS!$A$2:$A$3142,$A205,RATEIOS!$D$2:$D$3142,"&lt;&gt;")&gt;0,"NÃO CLASSIFICADO","RATEIO OK"))))</f>
        <v>RATEIO OK</v>
      </c>
      <c r="R205" s="49" t="s">
        <v>2553</v>
      </c>
      <c r="S205" s="14"/>
    </row>
    <row r="206" spans="1:19" ht="24.95" customHeight="1" x14ac:dyDescent="0.25">
      <c r="A206" s="49" t="s">
        <v>1581</v>
      </c>
      <c r="B206" s="98">
        <v>205</v>
      </c>
      <c r="C206" s="50">
        <v>46084</v>
      </c>
      <c r="D206" s="49">
        <f t="shared" si="6"/>
        <v>3</v>
      </c>
      <c r="E206" s="92" t="s">
        <v>118</v>
      </c>
      <c r="F206" s="49" t="s">
        <v>36</v>
      </c>
      <c r="G206" s="14" t="s">
        <v>345</v>
      </c>
      <c r="H206" s="14" t="s">
        <v>59</v>
      </c>
      <c r="I206" s="76" t="s">
        <v>238</v>
      </c>
      <c r="J206" s="73">
        <v>0</v>
      </c>
      <c r="K206" s="74">
        <v>851</v>
      </c>
      <c r="L206" s="72">
        <v>0</v>
      </c>
      <c r="M206" s="72">
        <v>0</v>
      </c>
      <c r="N206" s="72">
        <f>IF(AND(C206="",J206=0,K206=0,L206=0,M206=0),"",CADASTROS!$B$4+SUM($J$2:J206)+SUM($M$2:M206)-SUM($K$2:K206)-SUM($L$2:L206))</f>
        <v>24975.759999999776</v>
      </c>
      <c r="O206" s="72">
        <f>IF(A206="","",SUMIF(RATEIOS!$A$2:$A$3142,$A206,RATEIOS!$F$2:$F$3142))</f>
        <v>851</v>
      </c>
      <c r="P206" s="15">
        <f t="shared" si="7"/>
        <v>0</v>
      </c>
      <c r="Q206" s="49" t="str">
        <f>IF(AND(J206=0,K206=0,L206=0,M206=0),"",IF(O206=0,"PENDENTE DE RATEIO",IF(ABS(P206)&gt;0.005,"DIVERGÊNCIA",IF(COUNTIF(RATEIOS!$A$2:$A$3142,$A206)-COUNTIFS(RATEIOS!$A$2:$A$3142,$A206,RATEIOS!$D$2:$D$3142,"&lt;&gt;")&gt;0,"NÃO CLASSIFICADO","RATEIO OK"))))</f>
        <v>RATEIO OK</v>
      </c>
      <c r="R206" s="49" t="s">
        <v>2553</v>
      </c>
      <c r="S206" s="14"/>
    </row>
    <row r="207" spans="1:19" ht="24.95" customHeight="1" x14ac:dyDescent="0.25">
      <c r="A207" s="49" t="s">
        <v>1582</v>
      </c>
      <c r="B207" s="98">
        <v>206</v>
      </c>
      <c r="C207" s="50">
        <v>46085</v>
      </c>
      <c r="D207" s="49">
        <f t="shared" si="6"/>
        <v>3</v>
      </c>
      <c r="E207" s="92" t="s">
        <v>287</v>
      </c>
      <c r="F207" s="49" t="s">
        <v>35</v>
      </c>
      <c r="G207" s="14" t="s">
        <v>346</v>
      </c>
      <c r="H207" s="14" t="s">
        <v>347</v>
      </c>
      <c r="I207" s="76"/>
      <c r="J207" s="73">
        <v>8000</v>
      </c>
      <c r="K207" s="74">
        <v>0</v>
      </c>
      <c r="L207" s="72">
        <v>0</v>
      </c>
      <c r="M207" s="72">
        <v>0</v>
      </c>
      <c r="N207" s="72">
        <f>IF(AND(C207="",J207=0,K207=0,L207=0,M207=0),"",CADASTROS!$B$4+SUM($J$2:J207)+SUM($M$2:M207)-SUM($K$2:K207)-SUM($L$2:L207))</f>
        <v>32975.759999999776</v>
      </c>
      <c r="O207" s="72">
        <f>IF(A207="","",SUMIF(RATEIOS!$A$2:$A$3142,$A207,RATEIOS!$F$2:$F$3142))</f>
        <v>8000</v>
      </c>
      <c r="P207" s="15">
        <f t="shared" si="7"/>
        <v>0</v>
      </c>
      <c r="Q207" s="49" t="str">
        <f>IF(AND(J207=0,K207=0,L207=0,M207=0),"",IF(O207=0,"PENDENTE DE RATEIO",IF(ABS(P207)&gt;0.005,"DIVERGÊNCIA",IF(COUNTIF(RATEIOS!$A$2:$A$3142,$A207)-COUNTIFS(RATEIOS!$A$2:$A$3142,$A207,RATEIOS!$D$2:$D$3142,"&lt;&gt;")&gt;0,"NÃO CLASSIFICADO","RATEIO OK"))))</f>
        <v>RATEIO OK</v>
      </c>
      <c r="R207" s="49" t="s">
        <v>2553</v>
      </c>
      <c r="S207" s="14"/>
    </row>
    <row r="208" spans="1:19" ht="24.95" customHeight="1" x14ac:dyDescent="0.25">
      <c r="A208" s="49" t="s">
        <v>1583</v>
      </c>
      <c r="B208" s="98">
        <v>207</v>
      </c>
      <c r="C208" s="50">
        <v>46085</v>
      </c>
      <c r="D208" s="49">
        <f t="shared" si="6"/>
        <v>3</v>
      </c>
      <c r="E208" s="92" t="s">
        <v>287</v>
      </c>
      <c r="F208" s="49" t="s">
        <v>35</v>
      </c>
      <c r="G208" s="14" t="s">
        <v>348</v>
      </c>
      <c r="H208" s="14" t="s">
        <v>349</v>
      </c>
      <c r="I208" s="76"/>
      <c r="J208" s="73">
        <v>16000</v>
      </c>
      <c r="K208" s="74">
        <v>0</v>
      </c>
      <c r="L208" s="72">
        <v>0</v>
      </c>
      <c r="M208" s="72">
        <v>0</v>
      </c>
      <c r="N208" s="72">
        <f>IF(AND(C208="",J208=0,K208=0,L208=0,M208=0),"",CADASTROS!$B$4+SUM($J$2:J208)+SUM($M$2:M208)-SUM($K$2:K208)-SUM($L$2:L208))</f>
        <v>48975.759999999776</v>
      </c>
      <c r="O208" s="72">
        <f>IF(A208="","",SUMIF(RATEIOS!$A$2:$A$3142,$A208,RATEIOS!$F$2:$F$3142))</f>
        <v>16000</v>
      </c>
      <c r="P208" s="15">
        <f t="shared" si="7"/>
        <v>0</v>
      </c>
      <c r="Q208" s="49" t="str">
        <f>IF(AND(J208=0,K208=0,L208=0,M208=0),"",IF(O208=0,"PENDENTE DE RATEIO",IF(ABS(P208)&gt;0.005,"DIVERGÊNCIA",IF(COUNTIF(RATEIOS!$A$2:$A$3142,$A208)-COUNTIFS(RATEIOS!$A$2:$A$3142,$A208,RATEIOS!$D$2:$D$3142,"&lt;&gt;")&gt;0,"NÃO CLASSIFICADO","RATEIO OK"))))</f>
        <v>RATEIO OK</v>
      </c>
      <c r="R208" s="49" t="s">
        <v>2553</v>
      </c>
      <c r="S208" s="14"/>
    </row>
    <row r="209" spans="1:19" ht="24.95" customHeight="1" x14ac:dyDescent="0.25">
      <c r="A209" s="49" t="s">
        <v>1586</v>
      </c>
      <c r="B209" s="98">
        <v>208</v>
      </c>
      <c r="C209" s="50">
        <v>46085</v>
      </c>
      <c r="D209" s="49">
        <f t="shared" si="6"/>
        <v>3</v>
      </c>
      <c r="E209" s="92" t="s">
        <v>287</v>
      </c>
      <c r="F209" s="49" t="s">
        <v>35</v>
      </c>
      <c r="G209" s="14" t="s">
        <v>350</v>
      </c>
      <c r="H209" s="14" t="s">
        <v>351</v>
      </c>
      <c r="I209" s="76"/>
      <c r="J209" s="73">
        <v>8000</v>
      </c>
      <c r="K209" s="74">
        <v>0</v>
      </c>
      <c r="L209" s="72">
        <v>0</v>
      </c>
      <c r="M209" s="72">
        <v>0</v>
      </c>
      <c r="N209" s="72">
        <f>IF(AND(C209="",J209=0,K209=0,L209=0,M209=0),"",CADASTROS!$B$4+SUM($J$2:J209)+SUM($M$2:M209)-SUM($K$2:K209)-SUM($L$2:L209))</f>
        <v>56975.759999999776</v>
      </c>
      <c r="O209" s="72">
        <f>IF(A209="","",SUMIF(RATEIOS!$A$2:$A$3142,$A209,RATEIOS!$F$2:$F$3142))</f>
        <v>8000</v>
      </c>
      <c r="P209" s="15">
        <f t="shared" si="7"/>
        <v>0</v>
      </c>
      <c r="Q209" s="49" t="str">
        <f>IF(AND(J209=0,K209=0,L209=0,M209=0),"",IF(O209=0,"PENDENTE DE RATEIO",IF(ABS(P209)&gt;0.005,"DIVERGÊNCIA",IF(COUNTIF(RATEIOS!$A$2:$A$3142,$A209)-COUNTIFS(RATEIOS!$A$2:$A$3142,$A209,RATEIOS!$D$2:$D$3142,"&lt;&gt;")&gt;0,"NÃO CLASSIFICADO","RATEIO OK"))))</f>
        <v>RATEIO OK</v>
      </c>
      <c r="R209" s="49" t="s">
        <v>2553</v>
      </c>
      <c r="S209" s="14"/>
    </row>
    <row r="210" spans="1:19" ht="24.95" customHeight="1" x14ac:dyDescent="0.25">
      <c r="A210" s="49" t="s">
        <v>1589</v>
      </c>
      <c r="B210" s="98">
        <v>209</v>
      </c>
      <c r="C210" s="50">
        <v>46085</v>
      </c>
      <c r="D210" s="49">
        <f t="shared" si="6"/>
        <v>3</v>
      </c>
      <c r="E210" s="92" t="s">
        <v>72</v>
      </c>
      <c r="F210" s="49" t="s">
        <v>35</v>
      </c>
      <c r="G210" s="14" t="s">
        <v>352</v>
      </c>
      <c r="H210" s="14" t="s">
        <v>353</v>
      </c>
      <c r="I210" s="76"/>
      <c r="J210" s="73">
        <v>4000</v>
      </c>
      <c r="K210" s="74">
        <v>0</v>
      </c>
      <c r="L210" s="72">
        <v>0</v>
      </c>
      <c r="M210" s="72">
        <v>0</v>
      </c>
      <c r="N210" s="72">
        <f>IF(AND(C210="",J210=0,K210=0,L210=0,M210=0),"",CADASTROS!$B$4+SUM($J$2:J210)+SUM($M$2:M210)-SUM($K$2:K210)-SUM($L$2:L210))</f>
        <v>60975.759999999776</v>
      </c>
      <c r="O210" s="72">
        <f>IF(A210="","",SUMIF(RATEIOS!$A$2:$A$3142,$A210,RATEIOS!$F$2:$F$3142))</f>
        <v>4000</v>
      </c>
      <c r="P210" s="15">
        <f t="shared" si="7"/>
        <v>0</v>
      </c>
      <c r="Q210" s="49" t="str">
        <f>IF(AND(J210=0,K210=0,L210=0,M210=0),"",IF(O210=0,"PENDENTE DE RATEIO",IF(ABS(P210)&gt;0.005,"DIVERGÊNCIA",IF(COUNTIF(RATEIOS!$A$2:$A$3142,$A210)-COUNTIFS(RATEIOS!$A$2:$A$3142,$A210,RATEIOS!$D$2:$D$3142,"&lt;&gt;")&gt;0,"NÃO CLASSIFICADO","RATEIO OK"))))</f>
        <v>RATEIO OK</v>
      </c>
      <c r="R210" s="49" t="s">
        <v>2553</v>
      </c>
      <c r="S210" s="14" t="s">
        <v>2973</v>
      </c>
    </row>
    <row r="211" spans="1:19" ht="24.95" customHeight="1" x14ac:dyDescent="0.25">
      <c r="A211" s="49" t="s">
        <v>1590</v>
      </c>
      <c r="B211" s="98">
        <v>210</v>
      </c>
      <c r="C211" s="50">
        <v>46085</v>
      </c>
      <c r="D211" s="49">
        <f t="shared" si="6"/>
        <v>3</v>
      </c>
      <c r="E211" s="92" t="s">
        <v>72</v>
      </c>
      <c r="F211" s="49" t="s">
        <v>36</v>
      </c>
      <c r="G211" s="14" t="s">
        <v>354</v>
      </c>
      <c r="H211" s="14" t="s">
        <v>355</v>
      </c>
      <c r="I211" s="76" t="s">
        <v>356</v>
      </c>
      <c r="J211" s="73">
        <v>0</v>
      </c>
      <c r="K211" s="74">
        <v>962.62</v>
      </c>
      <c r="L211" s="72">
        <v>0</v>
      </c>
      <c r="M211" s="72">
        <v>0</v>
      </c>
      <c r="N211" s="72">
        <f>IF(AND(C211="",J211=0,K211=0,L211=0,M211=0),"",CADASTROS!$B$4+SUM($J$2:J211)+SUM($M$2:M211)-SUM($K$2:K211)-SUM($L$2:L211))</f>
        <v>60013.139999999781</v>
      </c>
      <c r="O211" s="72">
        <f>IF(A211="","",SUMIF(RATEIOS!$A$2:$A$3142,$A211,RATEIOS!$F$2:$F$3142))</f>
        <v>962.62</v>
      </c>
      <c r="P211" s="15">
        <f t="shared" si="7"/>
        <v>0</v>
      </c>
      <c r="Q211" s="49" t="str">
        <f>IF(AND(J211=0,K211=0,L211=0,M211=0),"",IF(O211=0,"PENDENTE DE RATEIO",IF(ABS(P211)&gt;0.005,"DIVERGÊNCIA",IF(COUNTIF(RATEIOS!$A$2:$A$3142,$A211)-COUNTIFS(RATEIOS!$A$2:$A$3142,$A211,RATEIOS!$D$2:$D$3142,"&lt;&gt;")&gt;0,"NÃO CLASSIFICADO","RATEIO OK"))))</f>
        <v>RATEIO OK</v>
      </c>
      <c r="R211" s="49" t="s">
        <v>2553</v>
      </c>
      <c r="S211" s="14"/>
    </row>
    <row r="212" spans="1:19" ht="24.95" customHeight="1" x14ac:dyDescent="0.25">
      <c r="A212" s="49" t="s">
        <v>1591</v>
      </c>
      <c r="B212" s="98">
        <v>211</v>
      </c>
      <c r="C212" s="50">
        <v>46085</v>
      </c>
      <c r="D212" s="49">
        <f t="shared" si="6"/>
        <v>3</v>
      </c>
      <c r="E212" s="92" t="s">
        <v>72</v>
      </c>
      <c r="F212" s="49" t="s">
        <v>36</v>
      </c>
      <c r="G212" s="14" t="s">
        <v>181</v>
      </c>
      <c r="H212" s="14" t="s">
        <v>182</v>
      </c>
      <c r="I212" s="76" t="s">
        <v>357</v>
      </c>
      <c r="J212" s="73">
        <v>0</v>
      </c>
      <c r="K212" s="74">
        <v>525</v>
      </c>
      <c r="L212" s="72">
        <v>0</v>
      </c>
      <c r="M212" s="72">
        <v>0</v>
      </c>
      <c r="N212" s="72">
        <f>IF(AND(C212="",J212=0,K212=0,L212=0,M212=0),"",CADASTROS!$B$4+SUM($J$2:J212)+SUM($M$2:M212)-SUM($K$2:K212)-SUM($L$2:L212))</f>
        <v>59488.139999999781</v>
      </c>
      <c r="O212" s="72">
        <f>IF(A212="","",SUMIF(RATEIOS!$A$2:$A$3142,$A212,RATEIOS!$F$2:$F$3142))</f>
        <v>525</v>
      </c>
      <c r="P212" s="15">
        <f t="shared" si="7"/>
        <v>0</v>
      </c>
      <c r="Q212" s="49" t="str">
        <f>IF(AND(J212=0,K212=0,L212=0,M212=0),"",IF(O212=0,"PENDENTE DE RATEIO",IF(ABS(P212)&gt;0.005,"DIVERGÊNCIA",IF(COUNTIF(RATEIOS!$A$2:$A$3142,$A212)-COUNTIFS(RATEIOS!$A$2:$A$3142,$A212,RATEIOS!$D$2:$D$3142,"&lt;&gt;")&gt;0,"NÃO CLASSIFICADO","RATEIO OK"))))</f>
        <v>RATEIO OK</v>
      </c>
      <c r="R212" s="49" t="s">
        <v>2553</v>
      </c>
      <c r="S212" s="14" t="s">
        <v>358</v>
      </c>
    </row>
    <row r="213" spans="1:19" ht="24.95" customHeight="1" x14ac:dyDescent="0.25">
      <c r="A213" s="49" t="s">
        <v>1592</v>
      </c>
      <c r="B213" s="98">
        <v>212</v>
      </c>
      <c r="C213" s="50">
        <v>46085</v>
      </c>
      <c r="D213" s="49">
        <f t="shared" si="6"/>
        <v>3</v>
      </c>
      <c r="E213" s="92" t="s">
        <v>72</v>
      </c>
      <c r="F213" s="49" t="s">
        <v>36</v>
      </c>
      <c r="G213" s="14" t="s">
        <v>359</v>
      </c>
      <c r="H213" s="14" t="s">
        <v>326</v>
      </c>
      <c r="I213" s="76" t="s">
        <v>360</v>
      </c>
      <c r="J213" s="73">
        <v>0</v>
      </c>
      <c r="K213" s="74">
        <v>312.69</v>
      </c>
      <c r="L213" s="72">
        <v>0</v>
      </c>
      <c r="M213" s="72">
        <v>0</v>
      </c>
      <c r="N213" s="72">
        <f>IF(AND(C213="",J213=0,K213=0,L213=0,M213=0),"",CADASTROS!$B$4+SUM($J$2:J213)+SUM($M$2:M213)-SUM($K$2:K213)-SUM($L$2:L213))</f>
        <v>59175.449999999837</v>
      </c>
      <c r="O213" s="72">
        <f>IF(A213="","",SUMIF(RATEIOS!$A$2:$A$3142,$A213,RATEIOS!$F$2:$F$3142))</f>
        <v>312.69</v>
      </c>
      <c r="P213" s="15">
        <f t="shared" si="7"/>
        <v>0</v>
      </c>
      <c r="Q213" s="49" t="str">
        <f>IF(AND(J213=0,K213=0,L213=0,M213=0),"",IF(O213=0,"PENDENTE DE RATEIO",IF(ABS(P213)&gt;0.005,"DIVERGÊNCIA",IF(COUNTIF(RATEIOS!$A$2:$A$3142,$A213)-COUNTIFS(RATEIOS!$A$2:$A$3142,$A213,RATEIOS!$D$2:$D$3142,"&lt;&gt;")&gt;0,"NÃO CLASSIFICADO","RATEIO OK"))))</f>
        <v>RATEIO OK</v>
      </c>
      <c r="R213" s="49" t="s">
        <v>2553</v>
      </c>
      <c r="S213" s="14"/>
    </row>
    <row r="214" spans="1:19" ht="24.95" customHeight="1" x14ac:dyDescent="0.25">
      <c r="A214" s="49" t="s">
        <v>1593</v>
      </c>
      <c r="B214" s="98">
        <v>213</v>
      </c>
      <c r="C214" s="50">
        <v>46086</v>
      </c>
      <c r="D214" s="49">
        <f t="shared" si="6"/>
        <v>3</v>
      </c>
      <c r="E214" s="92" t="s">
        <v>287</v>
      </c>
      <c r="F214" s="49" t="s">
        <v>35</v>
      </c>
      <c r="G214" s="14" t="s">
        <v>361</v>
      </c>
      <c r="H214" s="14" t="s">
        <v>362</v>
      </c>
      <c r="I214" s="76"/>
      <c r="J214" s="73">
        <v>16000</v>
      </c>
      <c r="K214" s="74">
        <v>0</v>
      </c>
      <c r="L214" s="72">
        <v>0</v>
      </c>
      <c r="M214" s="72">
        <v>0</v>
      </c>
      <c r="N214" s="72">
        <f>IF(AND(C214="",J214=0,K214=0,L214=0,M214=0),"",CADASTROS!$B$4+SUM($J$2:J214)+SUM($M$2:M214)-SUM($K$2:K214)-SUM($L$2:L214))</f>
        <v>75175.449999999837</v>
      </c>
      <c r="O214" s="72">
        <f>IF(A214="","",SUMIF(RATEIOS!$A$2:$A$3142,$A214,RATEIOS!$F$2:$F$3142))</f>
        <v>16000</v>
      </c>
      <c r="P214" s="15">
        <f t="shared" si="7"/>
        <v>0</v>
      </c>
      <c r="Q214" s="49" t="str">
        <f>IF(AND(J214=0,K214=0,L214=0,M214=0),"",IF(O214=0,"PENDENTE DE RATEIO",IF(ABS(P214)&gt;0.005,"DIVERGÊNCIA",IF(COUNTIF(RATEIOS!$A$2:$A$3142,$A214)-COUNTIFS(RATEIOS!$A$2:$A$3142,$A214,RATEIOS!$D$2:$D$3142,"&lt;&gt;")&gt;0,"NÃO CLASSIFICADO","RATEIO OK"))))</f>
        <v>RATEIO OK</v>
      </c>
      <c r="R214" s="49" t="s">
        <v>2553</v>
      </c>
      <c r="S214" s="14"/>
    </row>
    <row r="215" spans="1:19" ht="24.95" customHeight="1" x14ac:dyDescent="0.25">
      <c r="A215" s="49" t="s">
        <v>1594</v>
      </c>
      <c r="B215" s="98">
        <v>214</v>
      </c>
      <c r="C215" s="50">
        <v>46086</v>
      </c>
      <c r="D215" s="49">
        <f t="shared" si="6"/>
        <v>3</v>
      </c>
      <c r="E215" s="92" t="s">
        <v>287</v>
      </c>
      <c r="F215" s="49" t="s">
        <v>35</v>
      </c>
      <c r="G215" s="14" t="s">
        <v>363</v>
      </c>
      <c r="H215" s="14" t="s">
        <v>364</v>
      </c>
      <c r="I215" s="76"/>
      <c r="J215" s="73">
        <v>16000</v>
      </c>
      <c r="K215" s="74">
        <v>0</v>
      </c>
      <c r="L215" s="72">
        <v>0</v>
      </c>
      <c r="M215" s="72">
        <v>0</v>
      </c>
      <c r="N215" s="72">
        <f>IF(AND(C215="",J215=0,K215=0,L215=0,M215=0),"",CADASTROS!$B$4+SUM($J$2:J215)+SUM($M$2:M215)-SUM($K$2:K215)-SUM($L$2:L215))</f>
        <v>91175.449999999837</v>
      </c>
      <c r="O215" s="72">
        <f>IF(A215="","",SUMIF(RATEIOS!$A$2:$A$3142,$A215,RATEIOS!$F$2:$F$3142))</f>
        <v>16000</v>
      </c>
      <c r="P215" s="15">
        <f t="shared" si="7"/>
        <v>0</v>
      </c>
      <c r="Q215" s="49" t="str">
        <f>IF(AND(J215=0,K215=0,L215=0,M215=0),"",IF(O215=0,"PENDENTE DE RATEIO",IF(ABS(P215)&gt;0.005,"DIVERGÊNCIA",IF(COUNTIF(RATEIOS!$A$2:$A$3142,$A215)-COUNTIFS(RATEIOS!$A$2:$A$3142,$A215,RATEIOS!$D$2:$D$3142,"&lt;&gt;")&gt;0,"NÃO CLASSIFICADO","RATEIO OK"))))</f>
        <v>RATEIO OK</v>
      </c>
      <c r="R215" s="49" t="s">
        <v>2553</v>
      </c>
      <c r="S215" s="14"/>
    </row>
    <row r="216" spans="1:19" ht="24.95" customHeight="1" x14ac:dyDescent="0.25">
      <c r="A216" s="49" t="s">
        <v>1595</v>
      </c>
      <c r="B216" s="98">
        <v>215</v>
      </c>
      <c r="C216" s="50">
        <v>46086</v>
      </c>
      <c r="D216" s="49">
        <f t="shared" si="6"/>
        <v>3</v>
      </c>
      <c r="E216" s="92" t="s">
        <v>118</v>
      </c>
      <c r="F216" s="49" t="s">
        <v>36</v>
      </c>
      <c r="G216" s="14" t="s">
        <v>239</v>
      </c>
      <c r="H216" s="14" t="s">
        <v>65</v>
      </c>
      <c r="I216" s="76" t="s">
        <v>365</v>
      </c>
      <c r="J216" s="73">
        <v>0</v>
      </c>
      <c r="K216" s="74">
        <v>808</v>
      </c>
      <c r="L216" s="72">
        <v>0</v>
      </c>
      <c r="M216" s="72">
        <v>0</v>
      </c>
      <c r="N216" s="72">
        <f>IF(AND(C216="",J216=0,K216=0,L216=0,M216=0),"",CADASTROS!$B$4+SUM($J$2:J216)+SUM($M$2:M216)-SUM($K$2:K216)-SUM($L$2:L216))</f>
        <v>90367.449999999837</v>
      </c>
      <c r="O216" s="72">
        <f>IF(A216="","",SUMIF(RATEIOS!$A$2:$A$3142,$A216,RATEIOS!$F$2:$F$3142))</f>
        <v>808</v>
      </c>
      <c r="P216" s="15">
        <f t="shared" si="7"/>
        <v>0</v>
      </c>
      <c r="Q216" s="49" t="str">
        <f>IF(AND(J216=0,K216=0,L216=0,M216=0),"",IF(O216=0,"PENDENTE DE RATEIO",IF(ABS(P216)&gt;0.005,"DIVERGÊNCIA",IF(COUNTIF(RATEIOS!$A$2:$A$3142,$A216)-COUNTIFS(RATEIOS!$A$2:$A$3142,$A216,RATEIOS!$D$2:$D$3142,"&lt;&gt;")&gt;0,"NÃO CLASSIFICADO","RATEIO OK"))))</f>
        <v>RATEIO OK</v>
      </c>
      <c r="R216" s="49" t="s">
        <v>2553</v>
      </c>
      <c r="S216" s="14"/>
    </row>
    <row r="217" spans="1:19" ht="24.95" customHeight="1" x14ac:dyDescent="0.25">
      <c r="A217" s="49" t="s">
        <v>1596</v>
      </c>
      <c r="B217" s="98">
        <v>216</v>
      </c>
      <c r="C217" s="50">
        <v>46086</v>
      </c>
      <c r="D217" s="49">
        <f t="shared" si="6"/>
        <v>3</v>
      </c>
      <c r="E217" s="92" t="s">
        <v>118</v>
      </c>
      <c r="F217" s="49" t="s">
        <v>36</v>
      </c>
      <c r="G217" s="14" t="s">
        <v>366</v>
      </c>
      <c r="H217" s="14" t="s">
        <v>219</v>
      </c>
      <c r="I217" s="76" t="s">
        <v>367</v>
      </c>
      <c r="J217" s="73">
        <v>0</v>
      </c>
      <c r="K217" s="74">
        <v>647.55999999999995</v>
      </c>
      <c r="L217" s="72">
        <v>0</v>
      </c>
      <c r="M217" s="72">
        <v>0</v>
      </c>
      <c r="N217" s="72">
        <f>IF(AND(C217="",J217=0,K217=0,L217=0,M217=0),"",CADASTROS!$B$4+SUM($J$2:J217)+SUM($M$2:M217)-SUM($K$2:K217)-SUM($L$2:L217))</f>
        <v>89719.889999999781</v>
      </c>
      <c r="O217" s="72">
        <f>IF(A217="","",SUMIF(RATEIOS!$A$2:$A$3142,$A217,RATEIOS!$F$2:$F$3142))</f>
        <v>647.55999999999995</v>
      </c>
      <c r="P217" s="15">
        <f t="shared" si="7"/>
        <v>0</v>
      </c>
      <c r="Q217" s="49" t="str">
        <f>IF(AND(J217=0,K217=0,L217=0,M217=0),"",IF(O217=0,"PENDENTE DE RATEIO",IF(ABS(P217)&gt;0.005,"DIVERGÊNCIA",IF(COUNTIF(RATEIOS!$A$2:$A$3142,$A217)-COUNTIFS(RATEIOS!$A$2:$A$3142,$A217,RATEIOS!$D$2:$D$3142,"&lt;&gt;")&gt;0,"NÃO CLASSIFICADO","RATEIO OK"))))</f>
        <v>RATEIO OK</v>
      </c>
      <c r="R217" s="49" t="s">
        <v>2553</v>
      </c>
      <c r="S217" s="14" t="s">
        <v>368</v>
      </c>
    </row>
    <row r="218" spans="1:19" ht="24.95" customHeight="1" x14ac:dyDescent="0.25">
      <c r="A218" s="49" t="s">
        <v>1597</v>
      </c>
      <c r="B218" s="98">
        <v>217</v>
      </c>
      <c r="C218" s="50">
        <v>46087</v>
      </c>
      <c r="D218" s="49">
        <f t="shared" si="6"/>
        <v>3</v>
      </c>
      <c r="E218" s="92" t="s">
        <v>123</v>
      </c>
      <c r="F218" s="49" t="s">
        <v>36</v>
      </c>
      <c r="G218" s="14" t="s">
        <v>369</v>
      </c>
      <c r="H218" s="14" t="s">
        <v>123</v>
      </c>
      <c r="I218" s="76"/>
      <c r="J218" s="73">
        <v>0</v>
      </c>
      <c r="K218" s="74">
        <v>71392.149999999994</v>
      </c>
      <c r="L218" s="72">
        <v>0</v>
      </c>
      <c r="M218" s="72">
        <v>0</v>
      </c>
      <c r="N218" s="72">
        <f>IF(AND(C218="",J218=0,K218=0,L218=0,M218=0),"",CADASTROS!$B$4+SUM($J$2:J218)+SUM($M$2:M218)-SUM($K$2:K218)-SUM($L$2:L218))</f>
        <v>18327.739999999758</v>
      </c>
      <c r="O218" s="72">
        <f>IF(A218="","",SUMIF(RATEIOS!$A$2:$A$3142,$A218,RATEIOS!$F$2:$F$3142))</f>
        <v>71392.149999999994</v>
      </c>
      <c r="P218" s="15">
        <f t="shared" si="7"/>
        <v>0</v>
      </c>
      <c r="Q218" s="49" t="str">
        <f>IF(AND(J218=0,K218=0,L218=0,M218=0),"",IF(O218=0,"PENDENTE DE RATEIO",IF(ABS(P218)&gt;0.005,"DIVERGÊNCIA",IF(COUNTIF(RATEIOS!$A$2:$A$3142,$A218)-COUNTIFS(RATEIOS!$A$2:$A$3142,$A218,RATEIOS!$D$2:$D$3142,"&lt;&gt;")&gt;0,"NÃO CLASSIFICADO","RATEIO OK"))))</f>
        <v>RATEIO OK</v>
      </c>
      <c r="R218" s="49" t="s">
        <v>2553</v>
      </c>
      <c r="S218" s="14"/>
    </row>
    <row r="219" spans="1:19" ht="24.95" customHeight="1" x14ac:dyDescent="0.25">
      <c r="A219" s="49" t="s">
        <v>1598</v>
      </c>
      <c r="B219" s="98">
        <v>218</v>
      </c>
      <c r="C219" s="50">
        <v>46087</v>
      </c>
      <c r="D219" s="49">
        <f t="shared" si="6"/>
        <v>3</v>
      </c>
      <c r="E219" s="92" t="s">
        <v>2556</v>
      </c>
      <c r="F219" s="49" t="s">
        <v>36</v>
      </c>
      <c r="G219" s="14" t="s">
        <v>276</v>
      </c>
      <c r="H219" s="14" t="s">
        <v>277</v>
      </c>
      <c r="I219" s="76"/>
      <c r="J219" s="73">
        <v>0</v>
      </c>
      <c r="K219" s="74">
        <v>36.75</v>
      </c>
      <c r="L219" s="72">
        <v>0</v>
      </c>
      <c r="M219" s="72">
        <v>0</v>
      </c>
      <c r="N219" s="72">
        <f>IF(AND(C219="",J219=0,K219=0,L219=0,M219=0),"",CADASTROS!$B$4+SUM($J$2:J219)+SUM($M$2:M219)-SUM($K$2:K219)-SUM($L$2:L219))</f>
        <v>18290.989999999758</v>
      </c>
      <c r="O219" s="72">
        <f>IF(A219="","",SUMIF(RATEIOS!$A$2:$A$3142,$A219,RATEIOS!$F$2:$F$3142))</f>
        <v>36.75</v>
      </c>
      <c r="P219" s="15">
        <f t="shared" si="7"/>
        <v>0</v>
      </c>
      <c r="Q219" s="49" t="str">
        <f>IF(AND(J219=0,K219=0,L219=0,M219=0),"",IF(O219=0,"PENDENTE DE RATEIO",IF(ABS(P219)&gt;0.005,"DIVERGÊNCIA",IF(COUNTIF(RATEIOS!$A$2:$A$3142,$A219)-COUNTIFS(RATEIOS!$A$2:$A$3142,$A219,RATEIOS!$D$2:$D$3142,"&lt;&gt;")&gt;0,"NÃO CLASSIFICADO","RATEIO OK"))))</f>
        <v>RATEIO OK</v>
      </c>
      <c r="R219" s="49" t="s">
        <v>2553</v>
      </c>
      <c r="S219" s="14"/>
    </row>
    <row r="220" spans="1:19" ht="24.95" customHeight="1" x14ac:dyDescent="0.25">
      <c r="A220" s="49" t="s">
        <v>1599</v>
      </c>
      <c r="B220" s="98">
        <v>219</v>
      </c>
      <c r="C220" s="50">
        <v>46090</v>
      </c>
      <c r="D220" s="49">
        <f t="shared" si="6"/>
        <v>3</v>
      </c>
      <c r="E220" s="92" t="s">
        <v>620</v>
      </c>
      <c r="F220" s="49" t="s">
        <v>36</v>
      </c>
      <c r="G220" s="14" t="s">
        <v>370</v>
      </c>
      <c r="H220" s="14" t="s">
        <v>370</v>
      </c>
      <c r="I220" s="76"/>
      <c r="J220" s="73">
        <v>0</v>
      </c>
      <c r="K220" s="74">
        <v>205.81</v>
      </c>
      <c r="L220" s="72">
        <v>0</v>
      </c>
      <c r="M220" s="72">
        <v>0</v>
      </c>
      <c r="N220" s="72">
        <f>IF(AND(C220="",J220=0,K220=0,L220=0,M220=0),"",CADASTROS!$B$4+SUM($J$2:J220)+SUM($M$2:M220)-SUM($K$2:K220)-SUM($L$2:L220))</f>
        <v>18085.179999999702</v>
      </c>
      <c r="O220" s="72">
        <f>IF(A220="","",SUMIF(RATEIOS!$A$2:$A$3142,$A220,RATEIOS!$F$2:$F$3142))</f>
        <v>205.81</v>
      </c>
      <c r="P220" s="15">
        <f t="shared" si="7"/>
        <v>0</v>
      </c>
      <c r="Q220" s="49" t="str">
        <f>IF(AND(J220=0,K220=0,L220=0,M220=0),"",IF(O220=0,"PENDENTE DE RATEIO",IF(ABS(P220)&gt;0.005,"DIVERGÊNCIA",IF(COUNTIF(RATEIOS!$A$2:$A$3142,$A220)-COUNTIFS(RATEIOS!$A$2:$A$3142,$A220,RATEIOS!$D$2:$D$3142,"&lt;&gt;")&gt;0,"NÃO CLASSIFICADO","RATEIO OK"))))</f>
        <v>RATEIO OK</v>
      </c>
      <c r="R220" s="49" t="s">
        <v>2553</v>
      </c>
      <c r="S220" s="14" t="s">
        <v>2974</v>
      </c>
    </row>
    <row r="221" spans="1:19" ht="24.95" customHeight="1" x14ac:dyDescent="0.25">
      <c r="A221" s="49" t="s">
        <v>1600</v>
      </c>
      <c r="B221" s="98">
        <v>220</v>
      </c>
      <c r="C221" s="50">
        <v>46092</v>
      </c>
      <c r="D221" s="49">
        <f t="shared" si="6"/>
        <v>3</v>
      </c>
      <c r="E221" s="92" t="s">
        <v>72</v>
      </c>
      <c r="F221" s="49" t="s">
        <v>36</v>
      </c>
      <c r="G221" s="14" t="s">
        <v>371</v>
      </c>
      <c r="H221" s="14" t="s">
        <v>143</v>
      </c>
      <c r="I221" s="76" t="s">
        <v>224</v>
      </c>
      <c r="J221" s="73">
        <v>0</v>
      </c>
      <c r="K221" s="74">
        <v>48992.160000000003</v>
      </c>
      <c r="L221" s="72">
        <v>0</v>
      </c>
      <c r="M221" s="72">
        <v>0</v>
      </c>
      <c r="N221" s="72">
        <f>IF(AND(C221="",J221=0,K221=0,L221=0,M221=0),"",CADASTROS!$B$4+SUM($J$2:J221)+SUM($M$2:M221)-SUM($K$2:K221)-SUM($L$2:L221))</f>
        <v>-30906.980000000331</v>
      </c>
      <c r="O221" s="72">
        <f>IF(A221="","",SUMIF(RATEIOS!$A$2:$A$3142,$A221,RATEIOS!$F$2:$F$3142))</f>
        <v>48992.160000000003</v>
      </c>
      <c r="P221" s="15">
        <f t="shared" si="7"/>
        <v>0</v>
      </c>
      <c r="Q221" s="49" t="str">
        <f>IF(AND(J221=0,K221=0,L221=0,M221=0),"",IF(O221=0,"PENDENTE DE RATEIO",IF(ABS(P221)&gt;0.005,"DIVERGÊNCIA",IF(COUNTIF(RATEIOS!$A$2:$A$3142,$A221)-COUNTIFS(RATEIOS!$A$2:$A$3142,$A221,RATEIOS!$D$2:$D$3142,"&lt;&gt;")&gt;0,"NÃO CLASSIFICADO","RATEIO OK"))))</f>
        <v>RATEIO OK</v>
      </c>
      <c r="R221" s="49" t="s">
        <v>2553</v>
      </c>
      <c r="S221" s="14" t="s">
        <v>2975</v>
      </c>
    </row>
    <row r="222" spans="1:19" ht="24.95" customHeight="1" x14ac:dyDescent="0.25">
      <c r="A222" s="49" t="s">
        <v>1601</v>
      </c>
      <c r="B222" s="98">
        <v>221</v>
      </c>
      <c r="C222" s="50">
        <v>46091</v>
      </c>
      <c r="D222" s="49">
        <f t="shared" si="6"/>
        <v>3</v>
      </c>
      <c r="E222" s="92" t="s">
        <v>118</v>
      </c>
      <c r="F222" s="49" t="s">
        <v>36</v>
      </c>
      <c r="G222" s="14" t="s">
        <v>372</v>
      </c>
      <c r="H222" s="14" t="s">
        <v>125</v>
      </c>
      <c r="I222" s="76"/>
      <c r="J222" s="73">
        <v>0</v>
      </c>
      <c r="K222" s="74">
        <v>26455.75</v>
      </c>
      <c r="L222" s="72">
        <v>0</v>
      </c>
      <c r="M222" s="72">
        <v>0</v>
      </c>
      <c r="N222" s="72">
        <f>IF(AND(C222="",J222=0,K222=0,L222=0,M222=0),"",CADASTROS!$B$4+SUM($J$2:J222)+SUM($M$2:M222)-SUM($K$2:K222)-SUM($L$2:L222))</f>
        <v>-57362.730000000331</v>
      </c>
      <c r="O222" s="72">
        <f>IF(A222="","",SUMIF(RATEIOS!$A$2:$A$3142,$A222,RATEIOS!$F$2:$F$3142))</f>
        <v>26455.75</v>
      </c>
      <c r="P222" s="15">
        <f t="shared" si="7"/>
        <v>0</v>
      </c>
      <c r="Q222" s="49" t="str">
        <f>IF(AND(J222=0,K222=0,L222=0,M222=0),"",IF(O222=0,"PENDENTE DE RATEIO",IF(ABS(P222)&gt;0.005,"DIVERGÊNCIA",IF(COUNTIF(RATEIOS!$A$2:$A$3142,$A222)-COUNTIFS(RATEIOS!$A$2:$A$3142,$A222,RATEIOS!$D$2:$D$3142,"&lt;&gt;")&gt;0,"NÃO CLASSIFICADO","RATEIO OK"))))</f>
        <v>RATEIO OK</v>
      </c>
      <c r="R222" s="49" t="s">
        <v>2553</v>
      </c>
      <c r="S222" s="14" t="s">
        <v>2976</v>
      </c>
    </row>
    <row r="223" spans="1:19" ht="24.95" customHeight="1" x14ac:dyDescent="0.25">
      <c r="A223" s="49" t="s">
        <v>1602</v>
      </c>
      <c r="B223" s="98">
        <v>222</v>
      </c>
      <c r="C223" s="50">
        <v>46091</v>
      </c>
      <c r="D223" s="49">
        <f t="shared" si="6"/>
        <v>3</v>
      </c>
      <c r="E223" s="92" t="s">
        <v>118</v>
      </c>
      <c r="F223" s="49" t="s">
        <v>36</v>
      </c>
      <c r="G223" s="14" t="s">
        <v>373</v>
      </c>
      <c r="H223" s="14" t="s">
        <v>252</v>
      </c>
      <c r="I223" s="76" t="s">
        <v>272</v>
      </c>
      <c r="J223" s="73">
        <v>0</v>
      </c>
      <c r="K223" s="74">
        <v>19933.689999999999</v>
      </c>
      <c r="L223" s="72">
        <v>0</v>
      </c>
      <c r="M223" s="72">
        <v>0</v>
      </c>
      <c r="N223" s="72">
        <f>IF(AND(C223="",J223=0,K223=0,L223=0,M223=0),"",CADASTROS!$B$4+SUM($J$2:J223)+SUM($M$2:M223)-SUM($K$2:K223)-SUM($L$2:L223))</f>
        <v>-77296.420000000275</v>
      </c>
      <c r="O223" s="72">
        <f>IF(A223="","",SUMIF(RATEIOS!$A$2:$A$3142,$A223,RATEIOS!$F$2:$F$3142))</f>
        <v>19933.689999999999</v>
      </c>
      <c r="P223" s="15">
        <f t="shared" si="7"/>
        <v>0</v>
      </c>
      <c r="Q223" s="49" t="str">
        <f>IF(AND(J223=0,K223=0,L223=0,M223=0),"",IF(O223=0,"PENDENTE DE RATEIO",IF(ABS(P223)&gt;0.005,"DIVERGÊNCIA",IF(COUNTIF(RATEIOS!$A$2:$A$3142,$A223)-COUNTIFS(RATEIOS!$A$2:$A$3142,$A223,RATEIOS!$D$2:$D$3142,"&lt;&gt;")&gt;0,"NÃO CLASSIFICADO","RATEIO OK"))))</f>
        <v>RATEIO OK</v>
      </c>
      <c r="R223" s="49" t="s">
        <v>2553</v>
      </c>
      <c r="S223" s="14" t="s">
        <v>2977</v>
      </c>
    </row>
    <row r="224" spans="1:19" ht="24.95" customHeight="1" x14ac:dyDescent="0.25">
      <c r="A224" s="49" t="s">
        <v>1603</v>
      </c>
      <c r="B224" s="98">
        <v>223</v>
      </c>
      <c r="C224" s="50">
        <v>46091</v>
      </c>
      <c r="D224" s="49">
        <f t="shared" si="6"/>
        <v>3</v>
      </c>
      <c r="E224" s="92" t="s">
        <v>118</v>
      </c>
      <c r="F224" s="49" t="s">
        <v>36</v>
      </c>
      <c r="G224" s="14" t="s">
        <v>374</v>
      </c>
      <c r="H224" s="14" t="s">
        <v>84</v>
      </c>
      <c r="I224" s="76"/>
      <c r="J224" s="73">
        <v>0</v>
      </c>
      <c r="K224" s="74">
        <v>18174.73</v>
      </c>
      <c r="L224" s="72">
        <v>0</v>
      </c>
      <c r="M224" s="72">
        <v>0</v>
      </c>
      <c r="N224" s="72">
        <f>IF(AND(C224="",J224=0,K224=0,L224=0,M224=0),"",CADASTROS!$B$4+SUM($J$2:J224)+SUM($M$2:M224)-SUM($K$2:K224)-SUM($L$2:L224))</f>
        <v>-95471.150000000256</v>
      </c>
      <c r="O224" s="72">
        <f>IF(A224="","",SUMIF(RATEIOS!$A$2:$A$3142,$A224,RATEIOS!$F$2:$F$3142))</f>
        <v>18174.73</v>
      </c>
      <c r="P224" s="15">
        <f t="shared" si="7"/>
        <v>0</v>
      </c>
      <c r="Q224" s="49" t="str">
        <f>IF(AND(J224=0,K224=0,L224=0,M224=0),"",IF(O224=0,"PENDENTE DE RATEIO",IF(ABS(P224)&gt;0.005,"DIVERGÊNCIA",IF(COUNTIF(RATEIOS!$A$2:$A$3142,$A224)-COUNTIFS(RATEIOS!$A$2:$A$3142,$A224,RATEIOS!$D$2:$D$3142,"&lt;&gt;")&gt;0,"NÃO CLASSIFICADO","RATEIO OK"))))</f>
        <v>RATEIO OK</v>
      </c>
      <c r="R224" s="49" t="s">
        <v>2553</v>
      </c>
      <c r="S224" s="14" t="s">
        <v>2978</v>
      </c>
    </row>
    <row r="225" spans="1:19" ht="24.95" customHeight="1" x14ac:dyDescent="0.25">
      <c r="A225" s="49" t="s">
        <v>1604</v>
      </c>
      <c r="B225" s="98">
        <v>224</v>
      </c>
      <c r="C225" s="50">
        <v>46091</v>
      </c>
      <c r="D225" s="49">
        <f t="shared" si="6"/>
        <v>3</v>
      </c>
      <c r="E225" s="92" t="s">
        <v>118</v>
      </c>
      <c r="F225" s="49" t="s">
        <v>36</v>
      </c>
      <c r="G225" s="14" t="s">
        <v>161</v>
      </c>
      <c r="H225" s="14" t="s">
        <v>81</v>
      </c>
      <c r="I225" s="76" t="s">
        <v>82</v>
      </c>
      <c r="J225" s="73">
        <v>0</v>
      </c>
      <c r="K225" s="74">
        <v>10359.84</v>
      </c>
      <c r="L225" s="72">
        <v>0</v>
      </c>
      <c r="M225" s="72">
        <v>0</v>
      </c>
      <c r="N225" s="72">
        <f>IF(AND(C225="",J225=0,K225=0,L225=0,M225=0),"",CADASTROS!$B$4+SUM($J$2:J225)+SUM($M$2:M225)-SUM($K$2:K225)-SUM($L$2:L225))</f>
        <v>-105830.99000000022</v>
      </c>
      <c r="O225" s="72">
        <f>IF(A225="","",SUMIF(RATEIOS!$A$2:$A$3142,$A225,RATEIOS!$F$2:$F$3142))</f>
        <v>10359.84</v>
      </c>
      <c r="P225" s="15">
        <f t="shared" si="7"/>
        <v>0</v>
      </c>
      <c r="Q225" s="49" t="str">
        <f>IF(AND(J225=0,K225=0,L225=0,M225=0),"",IF(O225=0,"PENDENTE DE RATEIO",IF(ABS(P225)&gt;0.005,"DIVERGÊNCIA",IF(COUNTIF(RATEIOS!$A$2:$A$3142,$A225)-COUNTIFS(RATEIOS!$A$2:$A$3142,$A225,RATEIOS!$D$2:$D$3142,"&lt;&gt;")&gt;0,"NÃO CLASSIFICADO","RATEIO OK"))))</f>
        <v>RATEIO OK</v>
      </c>
      <c r="R225" s="49" t="s">
        <v>2553</v>
      </c>
      <c r="S225" s="14" t="s">
        <v>2979</v>
      </c>
    </row>
    <row r="226" spans="1:19" ht="24.95" customHeight="1" x14ac:dyDescent="0.25">
      <c r="A226" s="49" t="s">
        <v>1606</v>
      </c>
      <c r="B226" s="98">
        <v>225</v>
      </c>
      <c r="C226" s="50">
        <v>46092</v>
      </c>
      <c r="D226" s="49">
        <f t="shared" si="6"/>
        <v>3</v>
      </c>
      <c r="E226" s="92" t="s">
        <v>72</v>
      </c>
      <c r="F226" s="49" t="s">
        <v>36</v>
      </c>
      <c r="G226" s="14" t="s">
        <v>375</v>
      </c>
      <c r="H226" s="14" t="s">
        <v>143</v>
      </c>
      <c r="I226" s="76" t="s">
        <v>226</v>
      </c>
      <c r="J226" s="73">
        <v>0</v>
      </c>
      <c r="K226" s="74">
        <v>9331.84</v>
      </c>
      <c r="L226" s="72">
        <v>0</v>
      </c>
      <c r="M226" s="72">
        <v>0</v>
      </c>
      <c r="N226" s="72">
        <f>IF(AND(C226="",J226=0,K226=0,L226=0,M226=0),"",CADASTROS!$B$4+SUM($J$2:J226)+SUM($M$2:M226)-SUM($K$2:K226)-SUM($L$2:L226))</f>
        <v>-115162.83000000019</v>
      </c>
      <c r="O226" s="72">
        <f>IF(A226="","",SUMIF(RATEIOS!$A$2:$A$3142,$A226,RATEIOS!$F$2:$F$3142))</f>
        <v>9331.84</v>
      </c>
      <c r="P226" s="15">
        <f t="shared" si="7"/>
        <v>0</v>
      </c>
      <c r="Q226" s="49" t="str">
        <f>IF(AND(J226=0,K226=0,L226=0,M226=0),"",IF(O226=0,"PENDENTE DE RATEIO",IF(ABS(P226)&gt;0.005,"DIVERGÊNCIA",IF(COUNTIF(RATEIOS!$A$2:$A$3142,$A226)-COUNTIFS(RATEIOS!$A$2:$A$3142,$A226,RATEIOS!$D$2:$D$3142,"&lt;&gt;")&gt;0,"NÃO CLASSIFICADO","RATEIO OK"))))</f>
        <v>RATEIO OK</v>
      </c>
      <c r="R226" s="49" t="s">
        <v>2553</v>
      </c>
      <c r="S226" s="14" t="s">
        <v>2975</v>
      </c>
    </row>
    <row r="227" spans="1:19" ht="24.95" customHeight="1" x14ac:dyDescent="0.25">
      <c r="A227" s="49" t="s">
        <v>1607</v>
      </c>
      <c r="B227" s="98">
        <v>226</v>
      </c>
      <c r="C227" s="50">
        <v>46091</v>
      </c>
      <c r="D227" s="49">
        <f t="shared" si="6"/>
        <v>3</v>
      </c>
      <c r="E227" s="92" t="s">
        <v>72</v>
      </c>
      <c r="F227" s="49" t="s">
        <v>36</v>
      </c>
      <c r="G227" s="14" t="s">
        <v>376</v>
      </c>
      <c r="H227" s="14" t="s">
        <v>156</v>
      </c>
      <c r="I227" s="76" t="s">
        <v>377</v>
      </c>
      <c r="J227" s="73">
        <v>0</v>
      </c>
      <c r="K227" s="74">
        <v>8406.33</v>
      </c>
      <c r="L227" s="72">
        <v>0</v>
      </c>
      <c r="M227" s="72">
        <v>0</v>
      </c>
      <c r="N227" s="72">
        <f>IF(AND(C227="",J227=0,K227=0,L227=0,M227=0),"",CADASTROS!$B$4+SUM($J$2:J227)+SUM($M$2:M227)-SUM($K$2:K227)-SUM($L$2:L227))</f>
        <v>-123569.16000000015</v>
      </c>
      <c r="O227" s="72">
        <f>IF(A227="","",SUMIF(RATEIOS!$A$2:$A$3142,$A227,RATEIOS!$F$2:$F$3142))</f>
        <v>8406.33</v>
      </c>
      <c r="P227" s="15">
        <f t="shared" si="7"/>
        <v>0</v>
      </c>
      <c r="Q227" s="49" t="str">
        <f>IF(AND(J227=0,K227=0,L227=0,M227=0),"",IF(O227=0,"PENDENTE DE RATEIO",IF(ABS(P227)&gt;0.005,"DIVERGÊNCIA",IF(COUNTIF(RATEIOS!$A$2:$A$3142,$A227)-COUNTIFS(RATEIOS!$A$2:$A$3142,$A227,RATEIOS!$D$2:$D$3142,"&lt;&gt;")&gt;0,"NÃO CLASSIFICADO","RATEIO OK"))))</f>
        <v>RATEIO OK</v>
      </c>
      <c r="R227" s="49" t="s">
        <v>2553</v>
      </c>
      <c r="S227" s="14"/>
    </row>
    <row r="228" spans="1:19" ht="24.95" customHeight="1" x14ac:dyDescent="0.25">
      <c r="A228" s="49" t="s">
        <v>1608</v>
      </c>
      <c r="B228" s="98">
        <v>227</v>
      </c>
      <c r="C228" s="50">
        <v>46092</v>
      </c>
      <c r="D228" s="49">
        <f t="shared" si="6"/>
        <v>3</v>
      </c>
      <c r="E228" s="92" t="s">
        <v>72</v>
      </c>
      <c r="F228" s="49" t="s">
        <v>36</v>
      </c>
      <c r="G228" s="14" t="s">
        <v>378</v>
      </c>
      <c r="H228" s="14" t="s">
        <v>143</v>
      </c>
      <c r="I228" s="76" t="s">
        <v>210</v>
      </c>
      <c r="J228" s="73">
        <v>0</v>
      </c>
      <c r="K228" s="74">
        <v>6642.25</v>
      </c>
      <c r="L228" s="72">
        <v>0</v>
      </c>
      <c r="M228" s="72">
        <v>0</v>
      </c>
      <c r="N228" s="72">
        <f>IF(AND(C228="",J228=0,K228=0,L228=0,M228=0),"",CADASTROS!$B$4+SUM($J$2:J228)+SUM($M$2:M228)-SUM($K$2:K228)-SUM($L$2:L228))</f>
        <v>-130211.41000000015</v>
      </c>
      <c r="O228" s="72">
        <f>IF(A228="","",SUMIF(RATEIOS!$A$2:$A$3142,$A228,RATEIOS!$F$2:$F$3142))</f>
        <v>6642.25</v>
      </c>
      <c r="P228" s="15">
        <f t="shared" si="7"/>
        <v>0</v>
      </c>
      <c r="Q228" s="49" t="str">
        <f>IF(AND(J228=0,K228=0,L228=0,M228=0),"",IF(O228=0,"PENDENTE DE RATEIO",IF(ABS(P228)&gt;0.005,"DIVERGÊNCIA",IF(COUNTIF(RATEIOS!$A$2:$A$3142,$A228)-COUNTIFS(RATEIOS!$A$2:$A$3142,$A228,RATEIOS!$D$2:$D$3142,"&lt;&gt;")&gt;0,"NÃO CLASSIFICADO","RATEIO OK"))))</f>
        <v>RATEIO OK</v>
      </c>
      <c r="R228" s="49" t="s">
        <v>2553</v>
      </c>
      <c r="S228" s="14" t="s">
        <v>2980</v>
      </c>
    </row>
    <row r="229" spans="1:19" ht="24.95" customHeight="1" x14ac:dyDescent="0.25">
      <c r="A229" s="49" t="s">
        <v>1609</v>
      </c>
      <c r="B229" s="98">
        <v>228</v>
      </c>
      <c r="C229" s="50">
        <v>46092</v>
      </c>
      <c r="D229" s="49">
        <f t="shared" si="6"/>
        <v>3</v>
      </c>
      <c r="E229" s="92" t="s">
        <v>72</v>
      </c>
      <c r="F229" s="49" t="s">
        <v>36</v>
      </c>
      <c r="G229" s="14" t="s">
        <v>379</v>
      </c>
      <c r="H229" s="14" t="s">
        <v>143</v>
      </c>
      <c r="I229" s="76" t="s">
        <v>380</v>
      </c>
      <c r="J229" s="73">
        <v>0</v>
      </c>
      <c r="K229" s="74">
        <v>6523.2</v>
      </c>
      <c r="L229" s="72">
        <v>0</v>
      </c>
      <c r="M229" s="72">
        <v>0</v>
      </c>
      <c r="N229" s="72">
        <f>IF(AND(C229="",J229=0,K229=0,L229=0,M229=0),"",CADASTROS!$B$4+SUM($J$2:J229)+SUM($M$2:M229)-SUM($K$2:K229)-SUM($L$2:L229))</f>
        <v>-136734.6100000001</v>
      </c>
      <c r="O229" s="72">
        <f>IF(A229="","",SUMIF(RATEIOS!$A$2:$A$3142,$A229,RATEIOS!$F$2:$F$3142))</f>
        <v>6523.2</v>
      </c>
      <c r="P229" s="15">
        <f t="shared" si="7"/>
        <v>0</v>
      </c>
      <c r="Q229" s="49" t="str">
        <f>IF(AND(J229=0,K229=0,L229=0,M229=0),"",IF(O229=0,"PENDENTE DE RATEIO",IF(ABS(P229)&gt;0.005,"DIVERGÊNCIA",IF(COUNTIF(RATEIOS!$A$2:$A$3142,$A229)-COUNTIFS(RATEIOS!$A$2:$A$3142,$A229,RATEIOS!$D$2:$D$3142,"&lt;&gt;")&gt;0,"NÃO CLASSIFICADO","RATEIO OK"))))</f>
        <v>RATEIO OK</v>
      </c>
      <c r="R229" s="49" t="s">
        <v>2553</v>
      </c>
      <c r="S229" s="14" t="s">
        <v>2981</v>
      </c>
    </row>
    <row r="230" spans="1:19" ht="24.95" customHeight="1" x14ac:dyDescent="0.25">
      <c r="A230" s="49" t="s">
        <v>1610</v>
      </c>
      <c r="B230" s="98">
        <v>229</v>
      </c>
      <c r="C230" s="50">
        <v>46091</v>
      </c>
      <c r="D230" s="49">
        <f t="shared" si="6"/>
        <v>3</v>
      </c>
      <c r="E230" s="92" t="s">
        <v>118</v>
      </c>
      <c r="F230" s="49" t="s">
        <v>36</v>
      </c>
      <c r="G230" s="14" t="s">
        <v>381</v>
      </c>
      <c r="H230" s="14" t="s">
        <v>143</v>
      </c>
      <c r="I230" s="76" t="s">
        <v>286</v>
      </c>
      <c r="J230" s="73">
        <v>0</v>
      </c>
      <c r="K230" s="74">
        <v>4892.5</v>
      </c>
      <c r="L230" s="72">
        <v>0</v>
      </c>
      <c r="M230" s="72">
        <v>0</v>
      </c>
      <c r="N230" s="72">
        <f>IF(AND(C230="",J230=0,K230=0,L230=0,M230=0),"",CADASTROS!$B$4+SUM($J$2:J230)+SUM($M$2:M230)-SUM($K$2:K230)-SUM($L$2:L230))</f>
        <v>-141627.1100000001</v>
      </c>
      <c r="O230" s="72">
        <f>IF(A230="","",SUMIF(RATEIOS!$A$2:$A$3142,$A230,RATEIOS!$F$2:$F$3142))</f>
        <v>4892.5</v>
      </c>
      <c r="P230" s="15">
        <f t="shared" si="7"/>
        <v>0</v>
      </c>
      <c r="Q230" s="49" t="str">
        <f>IF(AND(J230=0,K230=0,L230=0,M230=0),"",IF(O230=0,"PENDENTE DE RATEIO",IF(ABS(P230)&gt;0.005,"DIVERGÊNCIA",IF(COUNTIF(RATEIOS!$A$2:$A$3142,$A230)-COUNTIFS(RATEIOS!$A$2:$A$3142,$A230,RATEIOS!$D$2:$D$3142,"&lt;&gt;")&gt;0,"NÃO CLASSIFICADO","RATEIO OK"))))</f>
        <v>RATEIO OK</v>
      </c>
      <c r="R230" s="49" t="s">
        <v>2553</v>
      </c>
      <c r="S230" s="14"/>
    </row>
    <row r="231" spans="1:19" ht="24.95" customHeight="1" x14ac:dyDescent="0.25">
      <c r="A231" s="49" t="s">
        <v>1611</v>
      </c>
      <c r="B231" s="98">
        <v>230</v>
      </c>
      <c r="C231" s="50">
        <v>46091</v>
      </c>
      <c r="D231" s="49">
        <f t="shared" si="6"/>
        <v>3</v>
      </c>
      <c r="E231" s="92" t="s">
        <v>287</v>
      </c>
      <c r="F231" s="49" t="s">
        <v>35</v>
      </c>
      <c r="G231" s="14" t="s">
        <v>382</v>
      </c>
      <c r="H231" s="14" t="s">
        <v>2737</v>
      </c>
      <c r="I231" s="76"/>
      <c r="J231" s="73">
        <v>410926.41</v>
      </c>
      <c r="K231" s="74">
        <v>0</v>
      </c>
      <c r="L231" s="72">
        <v>0</v>
      </c>
      <c r="M231" s="72">
        <v>0</v>
      </c>
      <c r="N231" s="72">
        <f>IF(AND(C231="",J231=0,K231=0,L231=0,M231=0),"",CADASTROS!$B$4+SUM($J$2:J231)+SUM($M$2:M231)-SUM($K$2:K231)-SUM($L$2:L231))</f>
        <v>269299.29999999981</v>
      </c>
      <c r="O231" s="72">
        <f>IF(A231="","",SUMIF(RATEIOS!$A$2:$A$3142,$A231,RATEIOS!$F$2:$F$3142))</f>
        <v>410926.41</v>
      </c>
      <c r="P231" s="15">
        <f t="shared" si="7"/>
        <v>0</v>
      </c>
      <c r="Q231" s="49" t="str">
        <f>IF(AND(J231=0,K231=0,L231=0,M231=0),"",IF(O231=0,"PENDENTE DE RATEIO",IF(ABS(P231)&gt;0.005,"DIVERGÊNCIA",IF(COUNTIF(RATEIOS!$A$2:$A$3142,$A231)-COUNTIFS(RATEIOS!$A$2:$A$3142,$A231,RATEIOS!$D$2:$D$3142,"&lt;&gt;")&gt;0,"NÃO CLASSIFICADO","RATEIO OK"))))</f>
        <v>RATEIO OK</v>
      </c>
      <c r="R231" s="49" t="s">
        <v>2553</v>
      </c>
      <c r="S231" s="14"/>
    </row>
    <row r="232" spans="1:19" ht="24.95" customHeight="1" x14ac:dyDescent="0.25">
      <c r="A232" s="49" t="s">
        <v>1612</v>
      </c>
      <c r="B232" s="98">
        <v>231</v>
      </c>
      <c r="C232" s="50">
        <v>46091</v>
      </c>
      <c r="D232" s="49">
        <f t="shared" si="6"/>
        <v>3</v>
      </c>
      <c r="E232" s="92" t="s">
        <v>287</v>
      </c>
      <c r="F232" s="49" t="s">
        <v>35</v>
      </c>
      <c r="G232" s="14" t="s">
        <v>382</v>
      </c>
      <c r="H232" s="14" t="s">
        <v>2736</v>
      </c>
      <c r="I232" s="76"/>
      <c r="J232" s="73">
        <v>97106.4</v>
      </c>
      <c r="K232" s="74">
        <v>0</v>
      </c>
      <c r="L232" s="72">
        <v>0</v>
      </c>
      <c r="M232" s="72">
        <v>0</v>
      </c>
      <c r="N232" s="72">
        <f>IF(AND(C232="",J232=0,K232=0,L232=0,M232=0),"",CADASTROS!$B$4+SUM($J$2:J232)+SUM($M$2:M232)-SUM($K$2:K232)-SUM($L$2:L232))</f>
        <v>366405.69999999995</v>
      </c>
      <c r="O232" s="72">
        <f>IF(A232="","",SUMIF(RATEIOS!$A$2:$A$3142,$A232,RATEIOS!$F$2:$F$3142))</f>
        <v>97106.4</v>
      </c>
      <c r="P232" s="15">
        <f t="shared" si="7"/>
        <v>0</v>
      </c>
      <c r="Q232" s="49" t="str">
        <f>IF(AND(J232=0,K232=0,L232=0,M232=0),"",IF(O232=0,"PENDENTE DE RATEIO",IF(ABS(P232)&gt;0.005,"DIVERGÊNCIA",IF(COUNTIF(RATEIOS!$A$2:$A$3142,$A232)-COUNTIFS(RATEIOS!$A$2:$A$3142,$A232,RATEIOS!$D$2:$D$3142,"&lt;&gt;")&gt;0,"NÃO CLASSIFICADO","RATEIO OK"))))</f>
        <v>RATEIO OK</v>
      </c>
      <c r="R232" s="49" t="s">
        <v>2553</v>
      </c>
      <c r="S232" s="14"/>
    </row>
    <row r="233" spans="1:19" ht="24.95" customHeight="1" x14ac:dyDescent="0.25">
      <c r="A233" s="49" t="s">
        <v>1613</v>
      </c>
      <c r="B233" s="98">
        <v>232</v>
      </c>
      <c r="C233" s="50">
        <v>46091</v>
      </c>
      <c r="D233" s="49">
        <f t="shared" si="6"/>
        <v>3</v>
      </c>
      <c r="E233" s="92" t="s">
        <v>287</v>
      </c>
      <c r="F233" s="49" t="s">
        <v>36</v>
      </c>
      <c r="G233" s="14" t="s">
        <v>384</v>
      </c>
      <c r="H233" s="14" t="s">
        <v>2942</v>
      </c>
      <c r="I233" s="76" t="s">
        <v>385</v>
      </c>
      <c r="J233" s="73">
        <v>0</v>
      </c>
      <c r="K233" s="74">
        <v>3772.87</v>
      </c>
      <c r="L233" s="72">
        <v>0</v>
      </c>
      <c r="M233" s="72">
        <v>0</v>
      </c>
      <c r="N233" s="72">
        <f>IF(AND(C233="",J233=0,K233=0,L233=0,M233=0),"",CADASTROS!$B$4+SUM($J$2:J233)+SUM($M$2:M233)-SUM($K$2:K233)-SUM($L$2:L233))</f>
        <v>362632.82999999996</v>
      </c>
      <c r="O233" s="72">
        <f>IF(A233="","",SUMIF(RATEIOS!$A$2:$A$3142,$A233,RATEIOS!$F$2:$F$3142))</f>
        <v>3772.87</v>
      </c>
      <c r="P233" s="15">
        <f t="shared" si="7"/>
        <v>0</v>
      </c>
      <c r="Q233" s="49" t="str">
        <f>IF(AND(J233=0,K233=0,L233=0,M233=0),"",IF(O233=0,"PENDENTE DE RATEIO",IF(ABS(P233)&gt;0.005,"DIVERGÊNCIA",IF(COUNTIF(RATEIOS!$A$2:$A$3142,$A233)-COUNTIFS(RATEIOS!$A$2:$A$3142,$A233,RATEIOS!$D$2:$D$3142,"&lt;&gt;")&gt;0,"NÃO CLASSIFICADO","RATEIO OK"))))</f>
        <v>RATEIO OK</v>
      </c>
      <c r="R233" s="49" t="s">
        <v>2553</v>
      </c>
      <c r="S233" s="14"/>
    </row>
    <row r="234" spans="1:19" ht="24.95" customHeight="1" x14ac:dyDescent="0.25">
      <c r="A234" s="49" t="s">
        <v>1614</v>
      </c>
      <c r="B234" s="98">
        <v>233</v>
      </c>
      <c r="C234" s="50">
        <v>46091</v>
      </c>
      <c r="D234" s="49">
        <f t="shared" si="6"/>
        <v>3</v>
      </c>
      <c r="E234" s="92" t="s">
        <v>72</v>
      </c>
      <c r="F234" s="49" t="s">
        <v>36</v>
      </c>
      <c r="G234" s="14" t="s">
        <v>386</v>
      </c>
      <c r="H234" s="14" t="s">
        <v>204</v>
      </c>
      <c r="I234" s="76" t="s">
        <v>263</v>
      </c>
      <c r="J234" s="73">
        <v>0</v>
      </c>
      <c r="K234" s="74">
        <v>3147.45</v>
      </c>
      <c r="L234" s="72">
        <v>0</v>
      </c>
      <c r="M234" s="72">
        <v>0</v>
      </c>
      <c r="N234" s="72">
        <f>IF(AND(C234="",J234=0,K234=0,L234=0,M234=0),"",CADASTROS!$B$4+SUM($J$2:J234)+SUM($M$2:M234)-SUM($K$2:K234)-SUM($L$2:L234))</f>
        <v>359485.38</v>
      </c>
      <c r="O234" s="72">
        <f>IF(A234="","",SUMIF(RATEIOS!$A$2:$A$3142,$A234,RATEIOS!$F$2:$F$3142))</f>
        <v>3147.45</v>
      </c>
      <c r="P234" s="15">
        <f t="shared" si="7"/>
        <v>0</v>
      </c>
      <c r="Q234" s="49" t="str">
        <f>IF(AND(J234=0,K234=0,L234=0,M234=0),"",IF(O234=0,"PENDENTE DE RATEIO",IF(ABS(P234)&gt;0.005,"DIVERGÊNCIA",IF(COUNTIF(RATEIOS!$A$2:$A$3142,$A234)-COUNTIFS(RATEIOS!$A$2:$A$3142,$A234,RATEIOS!$D$2:$D$3142,"&lt;&gt;")&gt;0,"NÃO CLASSIFICADO","RATEIO OK"))))</f>
        <v>RATEIO OK</v>
      </c>
      <c r="R234" s="49" t="s">
        <v>2553</v>
      </c>
      <c r="S234" s="14" t="s">
        <v>387</v>
      </c>
    </row>
    <row r="235" spans="1:19" ht="24.95" customHeight="1" x14ac:dyDescent="0.25">
      <c r="A235" s="49" t="s">
        <v>1616</v>
      </c>
      <c r="B235" s="98">
        <v>234</v>
      </c>
      <c r="C235" s="50">
        <v>46091</v>
      </c>
      <c r="D235" s="49">
        <f t="shared" si="6"/>
        <v>3</v>
      </c>
      <c r="E235" s="92" t="s">
        <v>118</v>
      </c>
      <c r="F235" s="49" t="s">
        <v>36</v>
      </c>
      <c r="G235" s="14" t="s">
        <v>388</v>
      </c>
      <c r="H235" s="14" t="s">
        <v>265</v>
      </c>
      <c r="I235" s="76" t="s">
        <v>266</v>
      </c>
      <c r="J235" s="73">
        <v>0</v>
      </c>
      <c r="K235" s="74">
        <v>2818.99</v>
      </c>
      <c r="L235" s="72">
        <v>0</v>
      </c>
      <c r="M235" s="72">
        <v>0</v>
      </c>
      <c r="N235" s="72">
        <f>IF(AND(C235="",J235=0,K235=0,L235=0,M235=0),"",CADASTROS!$B$4+SUM($J$2:J235)+SUM($M$2:M235)-SUM($K$2:K235)-SUM($L$2:L235))</f>
        <v>356666.39</v>
      </c>
      <c r="O235" s="72">
        <f>IF(A235="","",SUMIF(RATEIOS!$A$2:$A$3142,$A235,RATEIOS!$F$2:$F$3142))</f>
        <v>2818.99</v>
      </c>
      <c r="P235" s="15">
        <f t="shared" si="7"/>
        <v>0</v>
      </c>
      <c r="Q235" s="49" t="str">
        <f>IF(AND(J235=0,K235=0,L235=0,M235=0),"",IF(O235=0,"PENDENTE DE RATEIO",IF(ABS(P235)&gt;0.005,"DIVERGÊNCIA",IF(COUNTIF(RATEIOS!$A$2:$A$3142,$A235)-COUNTIFS(RATEIOS!$A$2:$A$3142,$A235,RATEIOS!$D$2:$D$3142,"&lt;&gt;")&gt;0,"NÃO CLASSIFICADO","RATEIO OK"))))</f>
        <v>RATEIO OK</v>
      </c>
      <c r="R235" s="49" t="s">
        <v>2553</v>
      </c>
      <c r="S235" s="14" t="s">
        <v>2982</v>
      </c>
    </row>
    <row r="236" spans="1:19" ht="24.95" customHeight="1" x14ac:dyDescent="0.25">
      <c r="A236" s="49" t="s">
        <v>1617</v>
      </c>
      <c r="B236" s="98">
        <v>235</v>
      </c>
      <c r="C236" s="50">
        <v>46091</v>
      </c>
      <c r="D236" s="49">
        <f t="shared" si="6"/>
        <v>3</v>
      </c>
      <c r="E236" s="92" t="s">
        <v>118</v>
      </c>
      <c r="F236" s="49" t="s">
        <v>36</v>
      </c>
      <c r="G236" s="14" t="s">
        <v>257</v>
      </c>
      <c r="H236" s="14" t="s">
        <v>191</v>
      </c>
      <c r="I236" s="76" t="s">
        <v>389</v>
      </c>
      <c r="J236" s="73">
        <v>0</v>
      </c>
      <c r="K236" s="74">
        <v>2548.85</v>
      </c>
      <c r="L236" s="72">
        <v>0</v>
      </c>
      <c r="M236" s="72">
        <v>0</v>
      </c>
      <c r="N236" s="72">
        <f>IF(AND(C236="",J236=0,K236=0,L236=0,M236=0),"",CADASTROS!$B$4+SUM($J$2:J236)+SUM($M$2:M236)-SUM($K$2:K236)-SUM($L$2:L236))</f>
        <v>354117.54000000004</v>
      </c>
      <c r="O236" s="72">
        <f>IF(A236="","",SUMIF(RATEIOS!$A$2:$A$3142,$A236,RATEIOS!$F$2:$F$3142))</f>
        <v>2548.85</v>
      </c>
      <c r="P236" s="15">
        <f t="shared" si="7"/>
        <v>0</v>
      </c>
      <c r="Q236" s="49" t="str">
        <f>IF(AND(J236=0,K236=0,L236=0,M236=0),"",IF(O236=0,"PENDENTE DE RATEIO",IF(ABS(P236)&gt;0.005,"DIVERGÊNCIA",IF(COUNTIF(RATEIOS!$A$2:$A$3142,$A236)-COUNTIFS(RATEIOS!$A$2:$A$3142,$A236,RATEIOS!$D$2:$D$3142,"&lt;&gt;")&gt;0,"NÃO CLASSIFICADO","RATEIO OK"))))</f>
        <v>RATEIO OK</v>
      </c>
      <c r="R236" s="49" t="s">
        <v>2553</v>
      </c>
      <c r="S236" s="14" t="s">
        <v>2983</v>
      </c>
    </row>
    <row r="237" spans="1:19" ht="24.95" customHeight="1" x14ac:dyDescent="0.25">
      <c r="A237" s="49" t="s">
        <v>1618</v>
      </c>
      <c r="B237" s="98">
        <v>236</v>
      </c>
      <c r="C237" s="50">
        <v>46091</v>
      </c>
      <c r="D237" s="49">
        <f t="shared" si="6"/>
        <v>3</v>
      </c>
      <c r="E237" s="92" t="s">
        <v>72</v>
      </c>
      <c r="F237" s="49" t="s">
        <v>36</v>
      </c>
      <c r="G237" s="14" t="s">
        <v>390</v>
      </c>
      <c r="H237" s="14" t="s">
        <v>191</v>
      </c>
      <c r="I237" s="76" t="s">
        <v>258</v>
      </c>
      <c r="J237" s="73">
        <v>0</v>
      </c>
      <c r="K237" s="74">
        <v>2452.37</v>
      </c>
      <c r="L237" s="72">
        <v>0</v>
      </c>
      <c r="M237" s="72">
        <v>0</v>
      </c>
      <c r="N237" s="72">
        <f>IF(AND(C237="",J237=0,K237=0,L237=0,M237=0),"",CADASTROS!$B$4+SUM($J$2:J237)+SUM($M$2:M237)-SUM($K$2:K237)-SUM($L$2:L237))</f>
        <v>351665.17000000004</v>
      </c>
      <c r="O237" s="72">
        <f>IF(A237="","",SUMIF(RATEIOS!$A$2:$A$3142,$A237,RATEIOS!$F$2:$F$3142))</f>
        <v>2452.37</v>
      </c>
      <c r="P237" s="15">
        <f t="shared" si="7"/>
        <v>0</v>
      </c>
      <c r="Q237" s="49" t="str">
        <f>IF(AND(J237=0,K237=0,L237=0,M237=0),"",IF(O237=0,"PENDENTE DE RATEIO",IF(ABS(P237)&gt;0.005,"DIVERGÊNCIA",IF(COUNTIF(RATEIOS!$A$2:$A$3142,$A237)-COUNTIFS(RATEIOS!$A$2:$A$3142,$A237,RATEIOS!$D$2:$D$3142,"&lt;&gt;")&gt;0,"NÃO CLASSIFICADO","RATEIO OK"))))</f>
        <v>RATEIO OK</v>
      </c>
      <c r="R237" s="49" t="s">
        <v>2553</v>
      </c>
      <c r="S237" s="14" t="s">
        <v>391</v>
      </c>
    </row>
    <row r="238" spans="1:19" ht="24.95" customHeight="1" x14ac:dyDescent="0.25">
      <c r="A238" s="49" t="s">
        <v>1619</v>
      </c>
      <c r="B238" s="98">
        <v>237</v>
      </c>
      <c r="C238" s="50">
        <v>46091</v>
      </c>
      <c r="D238" s="49">
        <f t="shared" si="6"/>
        <v>3</v>
      </c>
      <c r="E238" s="92" t="s">
        <v>118</v>
      </c>
      <c r="F238" s="49" t="s">
        <v>36</v>
      </c>
      <c r="G238" s="14" t="s">
        <v>392</v>
      </c>
      <c r="H238" s="14" t="s">
        <v>51</v>
      </c>
      <c r="I238" s="76" t="s">
        <v>393</v>
      </c>
      <c r="J238" s="73">
        <v>0</v>
      </c>
      <c r="K238" s="74">
        <v>2201.29</v>
      </c>
      <c r="L238" s="72">
        <v>0</v>
      </c>
      <c r="M238" s="72">
        <v>0</v>
      </c>
      <c r="N238" s="72">
        <f>IF(AND(C238="",J238=0,K238=0,L238=0,M238=0),"",CADASTROS!$B$4+SUM($J$2:J238)+SUM($M$2:M238)-SUM($K$2:K238)-SUM($L$2:L238))</f>
        <v>349463.88</v>
      </c>
      <c r="O238" s="72">
        <f>IF(A238="","",SUMIF(RATEIOS!$A$2:$A$3142,$A238,RATEIOS!$F$2:$F$3142))</f>
        <v>2201.29</v>
      </c>
      <c r="P238" s="15">
        <f t="shared" si="7"/>
        <v>0</v>
      </c>
      <c r="Q238" s="49" t="str">
        <f>IF(AND(J238=0,K238=0,L238=0,M238=0),"",IF(O238=0,"PENDENTE DE RATEIO",IF(ABS(P238)&gt;0.005,"DIVERGÊNCIA",IF(COUNTIF(RATEIOS!$A$2:$A$3142,$A238)-COUNTIFS(RATEIOS!$A$2:$A$3142,$A238,RATEIOS!$D$2:$D$3142,"&lt;&gt;")&gt;0,"NÃO CLASSIFICADO","RATEIO OK"))))</f>
        <v>RATEIO OK</v>
      </c>
      <c r="R238" s="49" t="s">
        <v>2553</v>
      </c>
      <c r="S238" s="14" t="s">
        <v>2984</v>
      </c>
    </row>
    <row r="239" spans="1:19" ht="24.95" customHeight="1" x14ac:dyDescent="0.25">
      <c r="A239" s="49" t="s">
        <v>1620</v>
      </c>
      <c r="B239" s="98">
        <v>238</v>
      </c>
      <c r="C239" s="50">
        <v>46091</v>
      </c>
      <c r="D239" s="49">
        <f t="shared" si="6"/>
        <v>3</v>
      </c>
      <c r="E239" s="92" t="s">
        <v>118</v>
      </c>
      <c r="F239" s="49" t="s">
        <v>36</v>
      </c>
      <c r="G239" s="14" t="s">
        <v>262</v>
      </c>
      <c r="H239" s="14" t="s">
        <v>204</v>
      </c>
      <c r="I239" s="76" t="s">
        <v>394</v>
      </c>
      <c r="J239" s="73">
        <v>0</v>
      </c>
      <c r="K239" s="74">
        <v>2157.96</v>
      </c>
      <c r="L239" s="72">
        <v>0</v>
      </c>
      <c r="M239" s="72">
        <v>0</v>
      </c>
      <c r="N239" s="72">
        <f>IF(AND(C239="",J239=0,K239=0,L239=0,M239=0),"",CADASTROS!$B$4+SUM($J$2:J239)+SUM($M$2:M239)-SUM($K$2:K239)-SUM($L$2:L239))</f>
        <v>347305.92000000004</v>
      </c>
      <c r="O239" s="72">
        <f>IF(A239="","",SUMIF(RATEIOS!$A$2:$A$3142,$A239,RATEIOS!$F$2:$F$3142))</f>
        <v>2157.96</v>
      </c>
      <c r="P239" s="15">
        <f t="shared" si="7"/>
        <v>0</v>
      </c>
      <c r="Q239" s="49" t="str">
        <f>IF(AND(J239=0,K239=0,L239=0,M239=0),"",IF(O239=0,"PENDENTE DE RATEIO",IF(ABS(P239)&gt;0.005,"DIVERGÊNCIA",IF(COUNTIF(RATEIOS!$A$2:$A$3142,$A239)-COUNTIFS(RATEIOS!$A$2:$A$3142,$A239,RATEIOS!$D$2:$D$3142,"&lt;&gt;")&gt;0,"NÃO CLASSIFICADO","RATEIO OK"))))</f>
        <v>RATEIO OK</v>
      </c>
      <c r="R239" s="49" t="s">
        <v>2553</v>
      </c>
      <c r="S239" s="14" t="s">
        <v>2985</v>
      </c>
    </row>
    <row r="240" spans="1:19" ht="24.95" customHeight="1" x14ac:dyDescent="0.25">
      <c r="A240" s="49" t="s">
        <v>1621</v>
      </c>
      <c r="B240" s="98">
        <v>239</v>
      </c>
      <c r="C240" s="50">
        <v>46091</v>
      </c>
      <c r="D240" s="49">
        <f t="shared" si="6"/>
        <v>3</v>
      </c>
      <c r="E240" s="92" t="s">
        <v>118</v>
      </c>
      <c r="F240" s="49" t="s">
        <v>36</v>
      </c>
      <c r="G240" s="14" t="s">
        <v>395</v>
      </c>
      <c r="H240" s="14" t="s">
        <v>92</v>
      </c>
      <c r="I240" s="76" t="s">
        <v>93</v>
      </c>
      <c r="J240" s="73">
        <v>0</v>
      </c>
      <c r="K240" s="74">
        <v>1983.32</v>
      </c>
      <c r="L240" s="72">
        <v>0</v>
      </c>
      <c r="M240" s="72">
        <v>0</v>
      </c>
      <c r="N240" s="72">
        <f>IF(AND(C240="",J240=0,K240=0,L240=0,M240=0),"",CADASTROS!$B$4+SUM($J$2:J240)+SUM($M$2:M240)-SUM($K$2:K240)-SUM($L$2:L240))</f>
        <v>345322.60000000009</v>
      </c>
      <c r="O240" s="72">
        <f>IF(A240="","",SUMIF(RATEIOS!$A$2:$A$3142,$A240,RATEIOS!$F$2:$F$3142))</f>
        <v>1983.32</v>
      </c>
      <c r="P240" s="15">
        <f t="shared" si="7"/>
        <v>0</v>
      </c>
      <c r="Q240" s="49" t="str">
        <f>IF(AND(J240=0,K240=0,L240=0,M240=0),"",IF(O240=0,"PENDENTE DE RATEIO",IF(ABS(P240)&gt;0.005,"DIVERGÊNCIA",IF(COUNTIF(RATEIOS!$A$2:$A$3142,$A240)-COUNTIFS(RATEIOS!$A$2:$A$3142,$A240,RATEIOS!$D$2:$D$3142,"&lt;&gt;")&gt;0,"NÃO CLASSIFICADO","RATEIO OK"))))</f>
        <v>RATEIO OK</v>
      </c>
      <c r="R240" s="49" t="s">
        <v>2553</v>
      </c>
      <c r="S240" s="14" t="s">
        <v>2986</v>
      </c>
    </row>
    <row r="241" spans="1:19" ht="24.95" customHeight="1" x14ac:dyDescent="0.25">
      <c r="A241" s="49" t="s">
        <v>1622</v>
      </c>
      <c r="B241" s="98">
        <v>240</v>
      </c>
      <c r="C241" s="50">
        <v>46091</v>
      </c>
      <c r="D241" s="49">
        <f t="shared" si="6"/>
        <v>3</v>
      </c>
      <c r="E241" s="92" t="s">
        <v>118</v>
      </c>
      <c r="F241" s="49" t="s">
        <v>36</v>
      </c>
      <c r="G241" s="14" t="s">
        <v>53</v>
      </c>
      <c r="H241" s="14" t="s">
        <v>51</v>
      </c>
      <c r="I241" s="76" t="s">
        <v>292</v>
      </c>
      <c r="J241" s="73">
        <v>0</v>
      </c>
      <c r="K241" s="74">
        <v>1809.74</v>
      </c>
      <c r="L241" s="72">
        <v>0</v>
      </c>
      <c r="M241" s="72">
        <v>0</v>
      </c>
      <c r="N241" s="72">
        <f>IF(AND(C241="",J241=0,K241=0,L241=0,M241=0),"",CADASTROS!$B$4+SUM($J$2:J241)+SUM($M$2:M241)-SUM($K$2:K241)-SUM($L$2:L241))</f>
        <v>343512.8600000001</v>
      </c>
      <c r="O241" s="72">
        <f>IF(A241="","",SUMIF(RATEIOS!$A$2:$A$3142,$A241,RATEIOS!$F$2:$F$3142))</f>
        <v>1809.74</v>
      </c>
      <c r="P241" s="15">
        <f t="shared" si="7"/>
        <v>0</v>
      </c>
      <c r="Q241" s="49" t="str">
        <f>IF(AND(J241=0,K241=0,L241=0,M241=0),"",IF(O241=0,"PENDENTE DE RATEIO",IF(ABS(P241)&gt;0.005,"DIVERGÊNCIA",IF(COUNTIF(RATEIOS!$A$2:$A$3142,$A241)-COUNTIFS(RATEIOS!$A$2:$A$3142,$A241,RATEIOS!$D$2:$D$3142,"&lt;&gt;")&gt;0,"NÃO CLASSIFICADO","RATEIO OK"))))</f>
        <v>RATEIO OK</v>
      </c>
      <c r="R241" s="49" t="s">
        <v>2553</v>
      </c>
      <c r="S241" s="14" t="s">
        <v>2987</v>
      </c>
    </row>
    <row r="242" spans="1:19" ht="24.95" customHeight="1" x14ac:dyDescent="0.25">
      <c r="A242" s="49" t="s">
        <v>1623</v>
      </c>
      <c r="B242" s="98">
        <v>241</v>
      </c>
      <c r="C242" s="50">
        <v>46091</v>
      </c>
      <c r="D242" s="49">
        <f t="shared" si="6"/>
        <v>3</v>
      </c>
      <c r="E242" s="92" t="s">
        <v>118</v>
      </c>
      <c r="F242" s="49" t="s">
        <v>36</v>
      </c>
      <c r="G242" s="14" t="s">
        <v>218</v>
      </c>
      <c r="H242" s="14" t="s">
        <v>219</v>
      </c>
      <c r="I242" s="76" t="s">
        <v>396</v>
      </c>
      <c r="J242" s="73">
        <v>0</v>
      </c>
      <c r="K242" s="74">
        <v>1345.96</v>
      </c>
      <c r="L242" s="72">
        <v>0</v>
      </c>
      <c r="M242" s="72">
        <v>0</v>
      </c>
      <c r="N242" s="72">
        <f>IF(AND(C242="",J242=0,K242=0,L242=0,M242=0),"",CADASTROS!$B$4+SUM($J$2:J242)+SUM($M$2:M242)-SUM($K$2:K242)-SUM($L$2:L242))</f>
        <v>342166.90000000014</v>
      </c>
      <c r="O242" s="72">
        <f>IF(A242="","",SUMIF(RATEIOS!$A$2:$A$3142,$A242,RATEIOS!$F$2:$F$3142))</f>
        <v>1345.96</v>
      </c>
      <c r="P242" s="15">
        <f t="shared" si="7"/>
        <v>0</v>
      </c>
      <c r="Q242" s="49" t="str">
        <f>IF(AND(J242=0,K242=0,L242=0,M242=0),"",IF(O242=0,"PENDENTE DE RATEIO",IF(ABS(P242)&gt;0.005,"DIVERGÊNCIA",IF(COUNTIF(RATEIOS!$A$2:$A$3142,$A242)-COUNTIFS(RATEIOS!$A$2:$A$3142,$A242,RATEIOS!$D$2:$D$3142,"&lt;&gt;")&gt;0,"NÃO CLASSIFICADO","RATEIO OK"))))</f>
        <v>RATEIO OK</v>
      </c>
      <c r="R242" s="49" t="s">
        <v>2553</v>
      </c>
      <c r="S242" s="14"/>
    </row>
    <row r="243" spans="1:19" ht="24.95" customHeight="1" x14ac:dyDescent="0.25">
      <c r="A243" s="49" t="s">
        <v>1624</v>
      </c>
      <c r="B243" s="98">
        <v>242</v>
      </c>
      <c r="C243" s="50">
        <v>46091</v>
      </c>
      <c r="D243" s="49">
        <f t="shared" si="6"/>
        <v>3</v>
      </c>
      <c r="E243" s="92" t="s">
        <v>118</v>
      </c>
      <c r="F243" s="49" t="s">
        <v>36</v>
      </c>
      <c r="G243" s="14" t="s">
        <v>397</v>
      </c>
      <c r="H243" s="14" t="s">
        <v>51</v>
      </c>
      <c r="I243" s="76" t="s">
        <v>52</v>
      </c>
      <c r="J243" s="73">
        <v>0</v>
      </c>
      <c r="K243" s="74">
        <v>1333.81</v>
      </c>
      <c r="L243" s="72">
        <v>0</v>
      </c>
      <c r="M243" s="72">
        <v>0</v>
      </c>
      <c r="N243" s="72">
        <f>IF(AND(C243="",J243=0,K243=0,L243=0,M243=0),"",CADASTROS!$B$4+SUM($J$2:J243)+SUM($M$2:M243)-SUM($K$2:K243)-SUM($L$2:L243))</f>
        <v>340833.09000000008</v>
      </c>
      <c r="O243" s="72">
        <f>IF(A243="","",SUMIF(RATEIOS!$A$2:$A$3142,$A243,RATEIOS!$F$2:$F$3142))</f>
        <v>1333.81</v>
      </c>
      <c r="P243" s="15">
        <f t="shared" si="7"/>
        <v>0</v>
      </c>
      <c r="Q243" s="49" t="str">
        <f>IF(AND(J243=0,K243=0,L243=0,M243=0),"",IF(O243=0,"PENDENTE DE RATEIO",IF(ABS(P243)&gt;0.005,"DIVERGÊNCIA",IF(COUNTIF(RATEIOS!$A$2:$A$3142,$A243)-COUNTIFS(RATEIOS!$A$2:$A$3142,$A243,RATEIOS!$D$2:$D$3142,"&lt;&gt;")&gt;0,"NÃO CLASSIFICADO","RATEIO OK"))))</f>
        <v>RATEIO OK</v>
      </c>
      <c r="R243" s="49" t="s">
        <v>2553</v>
      </c>
      <c r="S243" s="14" t="s">
        <v>2988</v>
      </c>
    </row>
    <row r="244" spans="1:19" ht="24.95" customHeight="1" x14ac:dyDescent="0.25">
      <c r="A244" s="49" t="s">
        <v>1625</v>
      </c>
      <c r="B244" s="98">
        <v>243</v>
      </c>
      <c r="C244" s="50">
        <v>46091</v>
      </c>
      <c r="D244" s="49">
        <f t="shared" si="6"/>
        <v>3</v>
      </c>
      <c r="E244" s="92" t="s">
        <v>118</v>
      </c>
      <c r="F244" s="49" t="s">
        <v>36</v>
      </c>
      <c r="G244" s="14" t="s">
        <v>398</v>
      </c>
      <c r="H244" s="14" t="s">
        <v>265</v>
      </c>
      <c r="I244" s="76" t="s">
        <v>399</v>
      </c>
      <c r="J244" s="73">
        <v>0</v>
      </c>
      <c r="K244" s="74">
        <v>1267.94</v>
      </c>
      <c r="L244" s="72">
        <v>0</v>
      </c>
      <c r="M244" s="72">
        <v>0</v>
      </c>
      <c r="N244" s="72">
        <f>IF(AND(C244="",J244=0,K244=0,L244=0,M244=0),"",CADASTROS!$B$4+SUM($J$2:J244)+SUM($M$2:M244)-SUM($K$2:K244)-SUM($L$2:L244))</f>
        <v>339565.15000000014</v>
      </c>
      <c r="O244" s="72">
        <f>IF(A244="","",SUMIF(RATEIOS!$A$2:$A$3142,$A244,RATEIOS!$F$2:$F$3142))</f>
        <v>1267.94</v>
      </c>
      <c r="P244" s="15">
        <f t="shared" si="7"/>
        <v>0</v>
      </c>
      <c r="Q244" s="49" t="str">
        <f>IF(AND(J244=0,K244=0,L244=0,M244=0),"",IF(O244=0,"PENDENTE DE RATEIO",IF(ABS(P244)&gt;0.005,"DIVERGÊNCIA",IF(COUNTIF(RATEIOS!$A$2:$A$3142,$A244)-COUNTIFS(RATEIOS!$A$2:$A$3142,$A244,RATEIOS!$D$2:$D$3142,"&lt;&gt;")&gt;0,"NÃO CLASSIFICADO","RATEIO OK"))))</f>
        <v>RATEIO OK</v>
      </c>
      <c r="R244" s="49" t="s">
        <v>2553</v>
      </c>
      <c r="S244" s="14" t="s">
        <v>2989</v>
      </c>
    </row>
    <row r="245" spans="1:19" ht="24.95" customHeight="1" x14ac:dyDescent="0.25">
      <c r="A245" s="49" t="s">
        <v>1626</v>
      </c>
      <c r="B245" s="98">
        <v>244</v>
      </c>
      <c r="C245" s="50">
        <v>46091</v>
      </c>
      <c r="D245" s="49">
        <f t="shared" si="6"/>
        <v>3</v>
      </c>
      <c r="E245" s="92" t="s">
        <v>287</v>
      </c>
      <c r="F245" s="49" t="s">
        <v>36</v>
      </c>
      <c r="G245" s="14" t="s">
        <v>400</v>
      </c>
      <c r="H245" s="14" t="s">
        <v>65</v>
      </c>
      <c r="I245" s="76" t="s">
        <v>241</v>
      </c>
      <c r="J245" s="73">
        <v>0</v>
      </c>
      <c r="K245" s="74">
        <v>795.5</v>
      </c>
      <c r="L245" s="72">
        <v>0</v>
      </c>
      <c r="M245" s="72">
        <v>0</v>
      </c>
      <c r="N245" s="72">
        <f>IF(AND(C245="",J245=0,K245=0,L245=0,M245=0),"",CADASTROS!$B$4+SUM($J$2:J245)+SUM($M$2:M245)-SUM($K$2:K245)-SUM($L$2:L245))</f>
        <v>338769.65000000014</v>
      </c>
      <c r="O245" s="72">
        <f>IF(A245="","",SUMIF(RATEIOS!$A$2:$A$3142,$A245,RATEIOS!$F$2:$F$3142))</f>
        <v>795.5</v>
      </c>
      <c r="P245" s="15">
        <f t="shared" si="7"/>
        <v>0</v>
      </c>
      <c r="Q245" s="49" t="str">
        <f>IF(AND(J245=0,K245=0,L245=0,M245=0),"",IF(O245=0,"PENDENTE DE RATEIO",IF(ABS(P245)&gt;0.005,"DIVERGÊNCIA",IF(COUNTIF(RATEIOS!$A$2:$A$3142,$A245)-COUNTIFS(RATEIOS!$A$2:$A$3142,$A245,RATEIOS!$D$2:$D$3142,"&lt;&gt;")&gt;0,"NÃO CLASSIFICADO","RATEIO OK"))))</f>
        <v>RATEIO OK</v>
      </c>
      <c r="R245" s="49" t="s">
        <v>2553</v>
      </c>
      <c r="S245" s="14" t="s">
        <v>2990</v>
      </c>
    </row>
    <row r="246" spans="1:19" ht="24.95" customHeight="1" x14ac:dyDescent="0.25">
      <c r="A246" s="49" t="s">
        <v>1627</v>
      </c>
      <c r="B246" s="98">
        <v>245</v>
      </c>
      <c r="C246" s="50">
        <v>46092</v>
      </c>
      <c r="D246" s="49">
        <f t="shared" si="6"/>
        <v>3</v>
      </c>
      <c r="E246" s="92" t="s">
        <v>72</v>
      </c>
      <c r="F246" s="49" t="s">
        <v>36</v>
      </c>
      <c r="G246" s="14" t="s">
        <v>401</v>
      </c>
      <c r="H246" s="14" t="s">
        <v>74</v>
      </c>
      <c r="I246" s="76" t="s">
        <v>402</v>
      </c>
      <c r="J246" s="73">
        <v>0</v>
      </c>
      <c r="K246" s="74">
        <v>784.99</v>
      </c>
      <c r="L246" s="72">
        <v>0</v>
      </c>
      <c r="M246" s="72">
        <v>0</v>
      </c>
      <c r="N246" s="72">
        <f>IF(AND(C246="",J246=0,K246=0,L246=0,M246=0),"",CADASTROS!$B$4+SUM($J$2:J246)+SUM($M$2:M246)-SUM($K$2:K246)-SUM($L$2:L246))</f>
        <v>337984.66000000015</v>
      </c>
      <c r="O246" s="72">
        <f>IF(A246="","",SUMIF(RATEIOS!$A$2:$A$3142,$A246,RATEIOS!$F$2:$F$3142))</f>
        <v>784.99</v>
      </c>
      <c r="P246" s="15">
        <f t="shared" si="7"/>
        <v>0</v>
      </c>
      <c r="Q246" s="49" t="str">
        <f>IF(AND(J246=0,K246=0,L246=0,M246=0),"",IF(O246=0,"PENDENTE DE RATEIO",IF(ABS(P246)&gt;0.005,"DIVERGÊNCIA",IF(COUNTIF(RATEIOS!$A$2:$A$3142,$A246)-COUNTIFS(RATEIOS!$A$2:$A$3142,$A246,RATEIOS!$D$2:$D$3142,"&lt;&gt;")&gt;0,"NÃO CLASSIFICADO","RATEIO OK"))))</f>
        <v>RATEIO OK</v>
      </c>
      <c r="R246" s="49" t="s">
        <v>2553</v>
      </c>
      <c r="S246" s="14" t="s">
        <v>2991</v>
      </c>
    </row>
    <row r="247" spans="1:19" ht="24.95" customHeight="1" x14ac:dyDescent="0.25">
      <c r="A247" s="49" t="s">
        <v>1628</v>
      </c>
      <c r="B247" s="98">
        <v>246</v>
      </c>
      <c r="C247" s="50">
        <v>46091</v>
      </c>
      <c r="D247" s="49">
        <f t="shared" si="6"/>
        <v>3</v>
      </c>
      <c r="E247" s="92" t="s">
        <v>287</v>
      </c>
      <c r="F247" s="49" t="s">
        <v>36</v>
      </c>
      <c r="G247" s="14" t="s">
        <v>403</v>
      </c>
      <c r="H247" s="14" t="s">
        <v>404</v>
      </c>
      <c r="I247" s="76" t="s">
        <v>405</v>
      </c>
      <c r="J247" s="73">
        <v>0</v>
      </c>
      <c r="K247" s="74">
        <v>514.89</v>
      </c>
      <c r="L247" s="72">
        <v>0</v>
      </c>
      <c r="M247" s="72">
        <v>0</v>
      </c>
      <c r="N247" s="72">
        <f>IF(AND(C247="",J247=0,K247=0,L247=0,M247=0),"",CADASTROS!$B$4+SUM($J$2:J247)+SUM($M$2:M247)-SUM($K$2:K247)-SUM($L$2:L247))</f>
        <v>337469.77000000014</v>
      </c>
      <c r="O247" s="72">
        <f>IF(A247="","",SUMIF(RATEIOS!$A$2:$A$3142,$A247,RATEIOS!$F$2:$F$3142))</f>
        <v>514.89</v>
      </c>
      <c r="P247" s="15">
        <f t="shared" si="7"/>
        <v>0</v>
      </c>
      <c r="Q247" s="49" t="str">
        <f>IF(AND(J247=0,K247=0,L247=0,M247=0),"",IF(O247=0,"PENDENTE DE RATEIO",IF(ABS(P247)&gt;0.005,"DIVERGÊNCIA",IF(COUNTIF(RATEIOS!$A$2:$A$3142,$A247)-COUNTIFS(RATEIOS!$A$2:$A$3142,$A247,RATEIOS!$D$2:$D$3142,"&lt;&gt;")&gt;0,"NÃO CLASSIFICADO","RATEIO OK"))))</f>
        <v>RATEIO OK</v>
      </c>
      <c r="R247" s="49" t="s">
        <v>2553</v>
      </c>
      <c r="S247" s="14"/>
    </row>
    <row r="248" spans="1:19" ht="24.95" customHeight="1" x14ac:dyDescent="0.25">
      <c r="A248" s="49" t="s">
        <v>1629</v>
      </c>
      <c r="B248" s="98">
        <v>247</v>
      </c>
      <c r="C248" s="50">
        <v>46091</v>
      </c>
      <c r="D248" s="49">
        <f t="shared" si="6"/>
        <v>3</v>
      </c>
      <c r="E248" s="92" t="s">
        <v>72</v>
      </c>
      <c r="F248" s="49" t="s">
        <v>36</v>
      </c>
      <c r="G248" s="14" t="s">
        <v>406</v>
      </c>
      <c r="H248" s="14" t="s">
        <v>74</v>
      </c>
      <c r="I248" s="76" t="s">
        <v>407</v>
      </c>
      <c r="J248" s="73">
        <v>0</v>
      </c>
      <c r="K248" s="74">
        <v>164.8</v>
      </c>
      <c r="L248" s="72">
        <v>0</v>
      </c>
      <c r="M248" s="72">
        <v>0</v>
      </c>
      <c r="N248" s="72">
        <f>IF(AND(C248="",J248=0,K248=0,L248=0,M248=0),"",CADASTROS!$B$4+SUM($J$2:J248)+SUM($M$2:M248)-SUM($K$2:K248)-SUM($L$2:L248))</f>
        <v>337304.97000000009</v>
      </c>
      <c r="O248" s="72">
        <f>IF(A248="","",SUMIF(RATEIOS!$A$2:$A$3142,$A248,RATEIOS!$F$2:$F$3142))</f>
        <v>164.8</v>
      </c>
      <c r="P248" s="15">
        <f t="shared" si="7"/>
        <v>0</v>
      </c>
      <c r="Q248" s="49" t="str">
        <f>IF(AND(J248=0,K248=0,L248=0,M248=0),"",IF(O248=0,"PENDENTE DE RATEIO",IF(ABS(P248)&gt;0.005,"DIVERGÊNCIA",IF(COUNTIF(RATEIOS!$A$2:$A$3142,$A248)-COUNTIFS(RATEIOS!$A$2:$A$3142,$A248,RATEIOS!$D$2:$D$3142,"&lt;&gt;")&gt;0,"NÃO CLASSIFICADO","RATEIO OK"))))</f>
        <v>RATEIO OK</v>
      </c>
      <c r="R248" s="49" t="s">
        <v>2553</v>
      </c>
      <c r="S248" s="14"/>
    </row>
    <row r="249" spans="1:19" ht="24.95" customHeight="1" x14ac:dyDescent="0.25">
      <c r="A249" s="49" t="s">
        <v>1630</v>
      </c>
      <c r="B249" s="98">
        <v>248</v>
      </c>
      <c r="C249" s="50">
        <v>46091</v>
      </c>
      <c r="D249" s="49">
        <f t="shared" si="6"/>
        <v>3</v>
      </c>
      <c r="E249" s="92" t="s">
        <v>118</v>
      </c>
      <c r="F249" s="49" t="s">
        <v>36</v>
      </c>
      <c r="G249" s="14" t="s">
        <v>119</v>
      </c>
      <c r="H249" s="14" t="s">
        <v>120</v>
      </c>
      <c r="I249" s="76" t="s">
        <v>408</v>
      </c>
      <c r="J249" s="73">
        <v>0</v>
      </c>
      <c r="K249" s="74">
        <v>149.9</v>
      </c>
      <c r="L249" s="72">
        <v>0</v>
      </c>
      <c r="M249" s="72">
        <v>0</v>
      </c>
      <c r="N249" s="72">
        <f>IF(AND(C249="",J249=0,K249=0,L249=0,M249=0),"",CADASTROS!$B$4+SUM($J$2:J249)+SUM($M$2:M249)-SUM($K$2:K249)-SUM($L$2:L249))</f>
        <v>337155.07000000007</v>
      </c>
      <c r="O249" s="72">
        <f>IF(A249="","",SUMIF(RATEIOS!$A$2:$A$3142,$A249,RATEIOS!$F$2:$F$3142))</f>
        <v>149.9</v>
      </c>
      <c r="P249" s="15">
        <f t="shared" si="7"/>
        <v>0</v>
      </c>
      <c r="Q249" s="49" t="str">
        <f>IF(AND(J249=0,K249=0,L249=0,M249=0),"",IF(O249=0,"PENDENTE DE RATEIO",IF(ABS(P249)&gt;0.005,"DIVERGÊNCIA",IF(COUNTIF(RATEIOS!$A$2:$A$3142,$A249)-COUNTIFS(RATEIOS!$A$2:$A$3142,$A249,RATEIOS!$D$2:$D$3142,"&lt;&gt;")&gt;0,"NÃO CLASSIFICADO","RATEIO OK"))))</f>
        <v>RATEIO OK</v>
      </c>
      <c r="R249" s="49" t="s">
        <v>2553</v>
      </c>
      <c r="S249" s="14" t="s">
        <v>409</v>
      </c>
    </row>
    <row r="250" spans="1:19" ht="24.95" customHeight="1" x14ac:dyDescent="0.25">
      <c r="A250" s="49" t="s">
        <v>1632</v>
      </c>
      <c r="B250" s="98">
        <v>249</v>
      </c>
      <c r="C250" s="50">
        <v>46091</v>
      </c>
      <c r="D250" s="49">
        <f t="shared" si="6"/>
        <v>3</v>
      </c>
      <c r="E250" s="92" t="s">
        <v>2556</v>
      </c>
      <c r="F250" s="49" t="s">
        <v>36</v>
      </c>
      <c r="G250" s="14" t="s">
        <v>297</v>
      </c>
      <c r="H250" s="14" t="s">
        <v>117</v>
      </c>
      <c r="I250" s="76"/>
      <c r="J250" s="73">
        <v>0</v>
      </c>
      <c r="K250" s="74">
        <v>131.5</v>
      </c>
      <c r="L250" s="72">
        <v>0</v>
      </c>
      <c r="M250" s="72">
        <v>0</v>
      </c>
      <c r="N250" s="72">
        <f>IF(AND(C250="",J250=0,K250=0,L250=0,M250=0),"",CADASTROS!$B$4+SUM($J$2:J250)+SUM($M$2:M250)-SUM($K$2:K250)-SUM($L$2:L250))</f>
        <v>337023.57000000007</v>
      </c>
      <c r="O250" s="72">
        <f>IF(A250="","",SUMIF(RATEIOS!$A$2:$A$3142,$A250,RATEIOS!$F$2:$F$3142))</f>
        <v>131.5</v>
      </c>
      <c r="P250" s="15">
        <f t="shared" si="7"/>
        <v>0</v>
      </c>
      <c r="Q250" s="49" t="str">
        <f>IF(AND(J250=0,K250=0,L250=0,M250=0),"",IF(O250=0,"PENDENTE DE RATEIO",IF(ABS(P250)&gt;0.005,"DIVERGÊNCIA",IF(COUNTIF(RATEIOS!$A$2:$A$3142,$A250)-COUNTIFS(RATEIOS!$A$2:$A$3142,$A250,RATEIOS!$D$2:$D$3142,"&lt;&gt;")&gt;0,"NÃO CLASSIFICADO","RATEIO OK"))))</f>
        <v>RATEIO OK</v>
      </c>
      <c r="R250" s="49" t="s">
        <v>2553</v>
      </c>
      <c r="S250" s="14"/>
    </row>
    <row r="251" spans="1:19" ht="24.95" customHeight="1" x14ac:dyDescent="0.25">
      <c r="A251" s="49" t="s">
        <v>1633</v>
      </c>
      <c r="B251" s="98">
        <v>250</v>
      </c>
      <c r="C251" s="50">
        <v>46093</v>
      </c>
      <c r="D251" s="49">
        <f t="shared" si="6"/>
        <v>3</v>
      </c>
      <c r="E251" s="92" t="s">
        <v>287</v>
      </c>
      <c r="F251" s="49" t="s">
        <v>36</v>
      </c>
      <c r="G251" s="14" t="s">
        <v>410</v>
      </c>
      <c r="H251" s="14" t="s">
        <v>411</v>
      </c>
      <c r="I251" s="76" t="s">
        <v>412</v>
      </c>
      <c r="J251" s="73">
        <v>0</v>
      </c>
      <c r="K251" s="74">
        <v>15000</v>
      </c>
      <c r="L251" s="72">
        <v>0</v>
      </c>
      <c r="M251" s="72">
        <v>0</v>
      </c>
      <c r="N251" s="72">
        <f>IF(AND(C251="",J251=0,K251=0,L251=0,M251=0),"",CADASTROS!$B$4+SUM($J$2:J251)+SUM($M$2:M251)-SUM($K$2:K251)-SUM($L$2:L251))</f>
        <v>322023.57000000007</v>
      </c>
      <c r="O251" s="72">
        <f>IF(A251="","",SUMIF(RATEIOS!$A$2:$A$3142,$A251,RATEIOS!$F$2:$F$3142))</f>
        <v>15000</v>
      </c>
      <c r="P251" s="15">
        <f t="shared" si="7"/>
        <v>0</v>
      </c>
      <c r="Q251" s="49" t="str">
        <f>IF(AND(J251=0,K251=0,L251=0,M251=0),"",IF(O251=0,"PENDENTE DE RATEIO",IF(ABS(P251)&gt;0.005,"DIVERGÊNCIA",IF(COUNTIF(RATEIOS!$A$2:$A$3142,$A251)-COUNTIFS(RATEIOS!$A$2:$A$3142,$A251,RATEIOS!$D$2:$D$3142,"&lt;&gt;")&gt;0,"NÃO CLASSIFICADO","RATEIO OK"))))</f>
        <v>RATEIO OK</v>
      </c>
      <c r="R251" s="49" t="s">
        <v>2553</v>
      </c>
      <c r="S251" s="14"/>
    </row>
    <row r="252" spans="1:19" ht="24.95" customHeight="1" x14ac:dyDescent="0.25">
      <c r="A252" s="49" t="s">
        <v>1634</v>
      </c>
      <c r="B252" s="98">
        <v>251</v>
      </c>
      <c r="C252" s="50">
        <v>46093</v>
      </c>
      <c r="D252" s="49">
        <f t="shared" si="6"/>
        <v>3</v>
      </c>
      <c r="E252" s="92" t="s">
        <v>287</v>
      </c>
      <c r="F252" s="49" t="s">
        <v>36</v>
      </c>
      <c r="G252" s="14" t="s">
        <v>413</v>
      </c>
      <c r="H252" s="14" t="s">
        <v>414</v>
      </c>
      <c r="I252" s="76" t="s">
        <v>415</v>
      </c>
      <c r="J252" s="73">
        <v>0</v>
      </c>
      <c r="K252" s="74">
        <v>11418.32</v>
      </c>
      <c r="L252" s="72">
        <v>0</v>
      </c>
      <c r="M252" s="72">
        <v>0</v>
      </c>
      <c r="N252" s="72">
        <f>IF(AND(C252="",J252=0,K252=0,L252=0,M252=0),"",CADASTROS!$B$4+SUM($J$2:J252)+SUM($M$2:M252)-SUM($K$2:K252)-SUM($L$2:L252))</f>
        <v>310605.25000000012</v>
      </c>
      <c r="O252" s="72">
        <f>IF(A252="","",SUMIF(RATEIOS!$A$2:$A$3142,$A252,RATEIOS!$F$2:$F$3142))</f>
        <v>11418.32</v>
      </c>
      <c r="P252" s="15">
        <f t="shared" si="7"/>
        <v>0</v>
      </c>
      <c r="Q252" s="49" t="str">
        <f>IF(AND(J252=0,K252=0,L252=0,M252=0),"",IF(O252=0,"PENDENTE DE RATEIO",IF(ABS(P252)&gt;0.005,"DIVERGÊNCIA",IF(COUNTIF(RATEIOS!$A$2:$A$3142,$A252)-COUNTIFS(RATEIOS!$A$2:$A$3142,$A252,RATEIOS!$D$2:$D$3142,"&lt;&gt;")&gt;0,"NÃO CLASSIFICADO","RATEIO OK"))))</f>
        <v>RATEIO OK</v>
      </c>
      <c r="R252" s="49" t="s">
        <v>2553</v>
      </c>
      <c r="S252" s="14"/>
    </row>
    <row r="253" spans="1:19" ht="24.95" customHeight="1" x14ac:dyDescent="0.25">
      <c r="A253" s="49" t="s">
        <v>1635</v>
      </c>
      <c r="B253" s="98">
        <v>252</v>
      </c>
      <c r="C253" s="50">
        <v>46093</v>
      </c>
      <c r="D253" s="49">
        <f t="shared" si="6"/>
        <v>3</v>
      </c>
      <c r="E253" s="92" t="s">
        <v>287</v>
      </c>
      <c r="F253" s="49" t="s">
        <v>36</v>
      </c>
      <c r="G253" s="14" t="s">
        <v>416</v>
      </c>
      <c r="H253" s="14" t="s">
        <v>417</v>
      </c>
      <c r="I253" s="76" t="s">
        <v>412</v>
      </c>
      <c r="J253" s="73">
        <v>0</v>
      </c>
      <c r="K253" s="74">
        <v>10000</v>
      </c>
      <c r="L253" s="72">
        <v>0</v>
      </c>
      <c r="M253" s="72">
        <v>0</v>
      </c>
      <c r="N253" s="72">
        <f>IF(AND(C253="",J253=0,K253=0,L253=0,M253=0),"",CADASTROS!$B$4+SUM($J$2:J253)+SUM($M$2:M253)-SUM($K$2:K253)-SUM($L$2:L253))</f>
        <v>300605.25000000012</v>
      </c>
      <c r="O253" s="72">
        <f>IF(A253="","",SUMIF(RATEIOS!$A$2:$A$3142,$A253,RATEIOS!$F$2:$F$3142))</f>
        <v>10000</v>
      </c>
      <c r="P253" s="15">
        <f t="shared" si="7"/>
        <v>0</v>
      </c>
      <c r="Q253" s="49" t="str">
        <f>IF(AND(J253=0,K253=0,L253=0,M253=0),"",IF(O253=0,"PENDENTE DE RATEIO",IF(ABS(P253)&gt;0.005,"DIVERGÊNCIA",IF(COUNTIF(RATEIOS!$A$2:$A$3142,$A253)-COUNTIFS(RATEIOS!$A$2:$A$3142,$A253,RATEIOS!$D$2:$D$3142,"&lt;&gt;")&gt;0,"NÃO CLASSIFICADO","RATEIO OK"))))</f>
        <v>RATEIO OK</v>
      </c>
      <c r="R253" s="49" t="s">
        <v>2553</v>
      </c>
      <c r="S253" s="14"/>
    </row>
    <row r="254" spans="1:19" ht="24.95" customHeight="1" x14ac:dyDescent="0.25">
      <c r="A254" s="49" t="s">
        <v>1636</v>
      </c>
      <c r="B254" s="98">
        <v>253</v>
      </c>
      <c r="C254" s="50">
        <v>46093</v>
      </c>
      <c r="D254" s="49">
        <f t="shared" si="6"/>
        <v>3</v>
      </c>
      <c r="E254" s="92" t="s">
        <v>72</v>
      </c>
      <c r="F254" s="49" t="s">
        <v>36</v>
      </c>
      <c r="G254" s="14" t="s">
        <v>418</v>
      </c>
      <c r="H254" s="14" t="s">
        <v>419</v>
      </c>
      <c r="I254" s="76" t="s">
        <v>420</v>
      </c>
      <c r="J254" s="73">
        <v>0</v>
      </c>
      <c r="K254" s="74">
        <v>10000</v>
      </c>
      <c r="L254" s="72">
        <v>0</v>
      </c>
      <c r="M254" s="72">
        <v>0</v>
      </c>
      <c r="N254" s="72">
        <f>IF(AND(C254="",J254=0,K254=0,L254=0,M254=0),"",CADASTROS!$B$4+SUM($J$2:J254)+SUM($M$2:M254)-SUM($K$2:K254)-SUM($L$2:L254))</f>
        <v>290605.25000000023</v>
      </c>
      <c r="O254" s="72">
        <f>IF(A254="","",SUMIF(RATEIOS!$A$2:$A$3142,$A254,RATEIOS!$F$2:$F$3142))</f>
        <v>10000</v>
      </c>
      <c r="P254" s="15">
        <f t="shared" si="7"/>
        <v>0</v>
      </c>
      <c r="Q254" s="49" t="str">
        <f>IF(AND(J254=0,K254=0,L254=0,M254=0),"",IF(O254=0,"PENDENTE DE RATEIO",IF(ABS(P254)&gt;0.005,"DIVERGÊNCIA",IF(COUNTIF(RATEIOS!$A$2:$A$3142,$A254)-COUNTIFS(RATEIOS!$A$2:$A$3142,$A254,RATEIOS!$D$2:$D$3142,"&lt;&gt;")&gt;0,"NÃO CLASSIFICADO","RATEIO OK"))))</f>
        <v>RATEIO OK</v>
      </c>
      <c r="R254" s="49" t="s">
        <v>2553</v>
      </c>
      <c r="S254" s="14"/>
    </row>
    <row r="255" spans="1:19" ht="24.95" customHeight="1" x14ac:dyDescent="0.25">
      <c r="A255" s="49" t="s">
        <v>1639</v>
      </c>
      <c r="B255" s="98">
        <v>254</v>
      </c>
      <c r="C255" s="50">
        <v>46093</v>
      </c>
      <c r="D255" s="49">
        <f t="shared" si="6"/>
        <v>3</v>
      </c>
      <c r="E255" s="92" t="s">
        <v>287</v>
      </c>
      <c r="F255" s="49" t="s">
        <v>36</v>
      </c>
      <c r="G255" s="14" t="s">
        <v>421</v>
      </c>
      <c r="H255" s="14" t="s">
        <v>347</v>
      </c>
      <c r="I255" s="76" t="s">
        <v>412</v>
      </c>
      <c r="J255" s="73">
        <v>0</v>
      </c>
      <c r="K255" s="74">
        <v>7500</v>
      </c>
      <c r="L255" s="72">
        <v>0</v>
      </c>
      <c r="M255" s="72">
        <v>0</v>
      </c>
      <c r="N255" s="72">
        <f>IF(AND(C255="",J255=0,K255=0,L255=0,M255=0),"",CADASTROS!$B$4+SUM($J$2:J255)+SUM($M$2:M255)-SUM($K$2:K255)-SUM($L$2:L255))</f>
        <v>283105.25000000023</v>
      </c>
      <c r="O255" s="72">
        <f>IF(A255="","",SUMIF(RATEIOS!$A$2:$A$3142,$A255,RATEIOS!$F$2:$F$3142))</f>
        <v>7500</v>
      </c>
      <c r="P255" s="15">
        <f t="shared" si="7"/>
        <v>0</v>
      </c>
      <c r="Q255" s="49" t="str">
        <f>IF(AND(J255=0,K255=0,L255=0,M255=0),"",IF(O255=0,"PENDENTE DE RATEIO",IF(ABS(P255)&gt;0.005,"DIVERGÊNCIA",IF(COUNTIF(RATEIOS!$A$2:$A$3142,$A255)-COUNTIFS(RATEIOS!$A$2:$A$3142,$A255,RATEIOS!$D$2:$D$3142,"&lt;&gt;")&gt;0,"NÃO CLASSIFICADO","RATEIO OK"))))</f>
        <v>RATEIO OK</v>
      </c>
      <c r="R255" s="49" t="s">
        <v>2553</v>
      </c>
      <c r="S255" s="14"/>
    </row>
    <row r="256" spans="1:19" ht="24.95" customHeight="1" x14ac:dyDescent="0.25">
      <c r="A256" s="49" t="s">
        <v>1641</v>
      </c>
      <c r="B256" s="98">
        <v>255</v>
      </c>
      <c r="C256" s="50">
        <v>46093</v>
      </c>
      <c r="D256" s="49">
        <f t="shared" si="6"/>
        <v>3</v>
      </c>
      <c r="E256" s="92" t="s">
        <v>287</v>
      </c>
      <c r="F256" s="49" t="s">
        <v>36</v>
      </c>
      <c r="G256" s="14" t="s">
        <v>422</v>
      </c>
      <c r="H256" s="14" t="s">
        <v>337</v>
      </c>
      <c r="I256" s="76" t="s">
        <v>412</v>
      </c>
      <c r="J256" s="73">
        <v>0</v>
      </c>
      <c r="K256" s="74">
        <v>7500</v>
      </c>
      <c r="L256" s="72">
        <v>0</v>
      </c>
      <c r="M256" s="72">
        <v>0</v>
      </c>
      <c r="N256" s="72">
        <f>IF(AND(C256="",J256=0,K256=0,L256=0,M256=0),"",CADASTROS!$B$4+SUM($J$2:J256)+SUM($M$2:M256)-SUM($K$2:K256)-SUM($L$2:L256))</f>
        <v>275605.25000000023</v>
      </c>
      <c r="O256" s="72">
        <f>IF(A256="","",SUMIF(RATEIOS!$A$2:$A$3142,$A256,RATEIOS!$F$2:$F$3142))</f>
        <v>7500</v>
      </c>
      <c r="P256" s="15">
        <f t="shared" si="7"/>
        <v>0</v>
      </c>
      <c r="Q256" s="49" t="str">
        <f>IF(AND(J256=0,K256=0,L256=0,M256=0),"",IF(O256=0,"PENDENTE DE RATEIO",IF(ABS(P256)&gt;0.005,"DIVERGÊNCIA",IF(COUNTIF(RATEIOS!$A$2:$A$3142,$A256)-COUNTIFS(RATEIOS!$A$2:$A$3142,$A256,RATEIOS!$D$2:$D$3142,"&lt;&gt;")&gt;0,"NÃO CLASSIFICADO","RATEIO OK"))))</f>
        <v>RATEIO OK</v>
      </c>
      <c r="R256" s="49" t="s">
        <v>2553</v>
      </c>
      <c r="S256" s="14"/>
    </row>
    <row r="257" spans="1:19" ht="24.95" customHeight="1" x14ac:dyDescent="0.25">
      <c r="A257" s="49" t="s">
        <v>1642</v>
      </c>
      <c r="B257" s="98">
        <v>256</v>
      </c>
      <c r="C257" s="50">
        <v>46093</v>
      </c>
      <c r="D257" s="49">
        <f t="shared" si="6"/>
        <v>3</v>
      </c>
      <c r="E257" s="92" t="s">
        <v>287</v>
      </c>
      <c r="F257" s="49" t="s">
        <v>36</v>
      </c>
      <c r="G257" s="14" t="s">
        <v>423</v>
      </c>
      <c r="H257" s="14" t="s">
        <v>349</v>
      </c>
      <c r="I257" s="76" t="s">
        <v>412</v>
      </c>
      <c r="J257" s="73">
        <v>0</v>
      </c>
      <c r="K257" s="74">
        <v>7500</v>
      </c>
      <c r="L257" s="72">
        <v>0</v>
      </c>
      <c r="M257" s="72">
        <v>0</v>
      </c>
      <c r="N257" s="72">
        <f>IF(AND(C257="",J257=0,K257=0,L257=0,M257=0),"",CADASTROS!$B$4+SUM($J$2:J257)+SUM($M$2:M257)-SUM($K$2:K257)-SUM($L$2:L257))</f>
        <v>268105.25000000023</v>
      </c>
      <c r="O257" s="72">
        <f>IF(A257="","",SUMIF(RATEIOS!$A$2:$A$3142,$A257,RATEIOS!$F$2:$F$3142))</f>
        <v>7500</v>
      </c>
      <c r="P257" s="15">
        <f t="shared" si="7"/>
        <v>0</v>
      </c>
      <c r="Q257" s="49" t="str">
        <f>IF(AND(J257=0,K257=0,L257=0,M257=0),"",IF(O257=0,"PENDENTE DE RATEIO",IF(ABS(P257)&gt;0.005,"DIVERGÊNCIA",IF(COUNTIF(RATEIOS!$A$2:$A$3142,$A257)-COUNTIFS(RATEIOS!$A$2:$A$3142,$A257,RATEIOS!$D$2:$D$3142,"&lt;&gt;")&gt;0,"NÃO CLASSIFICADO","RATEIO OK"))))</f>
        <v>RATEIO OK</v>
      </c>
      <c r="R257" s="49" t="s">
        <v>2553</v>
      </c>
      <c r="S257" s="14"/>
    </row>
    <row r="258" spans="1:19" ht="24.95" customHeight="1" x14ac:dyDescent="0.25">
      <c r="A258" s="49" t="s">
        <v>1644</v>
      </c>
      <c r="B258" s="98">
        <v>257</v>
      </c>
      <c r="C258" s="50">
        <v>46093</v>
      </c>
      <c r="D258" s="49">
        <f t="shared" ref="D258:D321" si="8">IF(C258="","",MONTH(C258))</f>
        <v>3</v>
      </c>
      <c r="E258" s="92" t="s">
        <v>72</v>
      </c>
      <c r="F258" s="49" t="s">
        <v>36</v>
      </c>
      <c r="G258" s="14" t="s">
        <v>424</v>
      </c>
      <c r="H258" s="14" t="s">
        <v>425</v>
      </c>
      <c r="I258" s="76" t="s">
        <v>426</v>
      </c>
      <c r="J258" s="73">
        <v>0</v>
      </c>
      <c r="K258" s="74">
        <v>6000</v>
      </c>
      <c r="L258" s="72">
        <v>0</v>
      </c>
      <c r="M258" s="72">
        <v>0</v>
      </c>
      <c r="N258" s="72">
        <f>IF(AND(C258="",J258=0,K258=0,L258=0,M258=0),"",CADASTROS!$B$4+SUM($J$2:J258)+SUM($M$2:M258)-SUM($K$2:K258)-SUM($L$2:L258))</f>
        <v>262105.25000000023</v>
      </c>
      <c r="O258" s="72">
        <f>IF(A258="","",SUMIF(RATEIOS!$A$2:$A$3142,$A258,RATEIOS!$F$2:$F$3142))</f>
        <v>6000</v>
      </c>
      <c r="P258" s="15">
        <f t="shared" ref="P258:P321" si="9">IF(A258="","",(J258+K258+L258+M258)-O258)</f>
        <v>0</v>
      </c>
      <c r="Q258" s="49" t="str">
        <f>IF(AND(J258=0,K258=0,L258=0,M258=0),"",IF(O258=0,"PENDENTE DE RATEIO",IF(ABS(P258)&gt;0.005,"DIVERGÊNCIA",IF(COUNTIF(RATEIOS!$A$2:$A$3142,$A258)-COUNTIFS(RATEIOS!$A$2:$A$3142,$A258,RATEIOS!$D$2:$D$3142,"&lt;&gt;")&gt;0,"NÃO CLASSIFICADO","RATEIO OK"))))</f>
        <v>RATEIO OK</v>
      </c>
      <c r="R258" s="49" t="s">
        <v>2553</v>
      </c>
      <c r="S258" s="14"/>
    </row>
    <row r="259" spans="1:19" ht="24.95" customHeight="1" x14ac:dyDescent="0.25">
      <c r="A259" s="49" t="s">
        <v>1645</v>
      </c>
      <c r="B259" s="98">
        <v>258</v>
      </c>
      <c r="C259" s="50">
        <v>46093</v>
      </c>
      <c r="D259" s="49">
        <f t="shared" si="8"/>
        <v>3</v>
      </c>
      <c r="E259" s="92" t="s">
        <v>72</v>
      </c>
      <c r="F259" s="49" t="s">
        <v>36</v>
      </c>
      <c r="G259" s="14" t="s">
        <v>427</v>
      </c>
      <c r="H259" s="14" t="s">
        <v>428</v>
      </c>
      <c r="I259" s="76" t="s">
        <v>249</v>
      </c>
      <c r="J259" s="73">
        <v>0</v>
      </c>
      <c r="K259" s="74">
        <v>4800</v>
      </c>
      <c r="L259" s="72">
        <v>0</v>
      </c>
      <c r="M259" s="72">
        <v>0</v>
      </c>
      <c r="N259" s="72">
        <f>IF(AND(C259="",J259=0,K259=0,L259=0,M259=0),"",CADASTROS!$B$4+SUM($J$2:J259)+SUM($M$2:M259)-SUM($K$2:K259)-SUM($L$2:L259))</f>
        <v>257305.25000000023</v>
      </c>
      <c r="O259" s="72">
        <f>IF(A259="","",SUMIF(RATEIOS!$A$2:$A$3142,$A259,RATEIOS!$F$2:$F$3142))</f>
        <v>4800</v>
      </c>
      <c r="P259" s="15">
        <f t="shared" si="9"/>
        <v>0</v>
      </c>
      <c r="Q259" s="49" t="str">
        <f>IF(AND(J259=0,K259=0,L259=0,M259=0),"",IF(O259=0,"PENDENTE DE RATEIO",IF(ABS(P259)&gt;0.005,"DIVERGÊNCIA",IF(COUNTIF(RATEIOS!$A$2:$A$3142,$A259)-COUNTIFS(RATEIOS!$A$2:$A$3142,$A259,RATEIOS!$D$2:$D$3142,"&lt;&gt;")&gt;0,"NÃO CLASSIFICADO","RATEIO OK"))))</f>
        <v>RATEIO OK</v>
      </c>
      <c r="R259" s="49" t="s">
        <v>2553</v>
      </c>
      <c r="S259" s="14"/>
    </row>
    <row r="260" spans="1:19" ht="24.95" customHeight="1" x14ac:dyDescent="0.25">
      <c r="A260" s="49" t="s">
        <v>1646</v>
      </c>
      <c r="B260" s="98">
        <v>259</v>
      </c>
      <c r="C260" s="50">
        <v>46093</v>
      </c>
      <c r="D260" s="49">
        <f t="shared" si="8"/>
        <v>3</v>
      </c>
      <c r="E260" s="92" t="s">
        <v>72</v>
      </c>
      <c r="F260" s="49" t="s">
        <v>36</v>
      </c>
      <c r="G260" s="14" t="s">
        <v>429</v>
      </c>
      <c r="H260" s="14" t="s">
        <v>143</v>
      </c>
      <c r="I260" s="76" t="s">
        <v>430</v>
      </c>
      <c r="J260" s="73">
        <v>0</v>
      </c>
      <c r="K260" s="74">
        <v>3600</v>
      </c>
      <c r="L260" s="72">
        <v>0</v>
      </c>
      <c r="M260" s="72">
        <v>0</v>
      </c>
      <c r="N260" s="72">
        <f>IF(AND(C260="",J260=0,K260=0,L260=0,M260=0),"",CADASTROS!$B$4+SUM($J$2:J260)+SUM($M$2:M260)-SUM($K$2:K260)-SUM($L$2:L260))</f>
        <v>253705.25000000023</v>
      </c>
      <c r="O260" s="72">
        <f>IF(A260="","",SUMIF(RATEIOS!$A$2:$A$3142,$A260,RATEIOS!$F$2:$F$3142))</f>
        <v>3600</v>
      </c>
      <c r="P260" s="15">
        <f t="shared" si="9"/>
        <v>0</v>
      </c>
      <c r="Q260" s="49" t="str">
        <f>IF(AND(J260=0,K260=0,L260=0,M260=0),"",IF(O260=0,"PENDENTE DE RATEIO",IF(ABS(P260)&gt;0.005,"DIVERGÊNCIA",IF(COUNTIF(RATEIOS!$A$2:$A$3142,$A260)-COUNTIFS(RATEIOS!$A$2:$A$3142,$A260,RATEIOS!$D$2:$D$3142,"&lt;&gt;")&gt;0,"NÃO CLASSIFICADO","RATEIO OK"))))</f>
        <v>RATEIO OK</v>
      </c>
      <c r="R260" s="49" t="s">
        <v>2553</v>
      </c>
      <c r="S260" s="14" t="s">
        <v>431</v>
      </c>
    </row>
    <row r="261" spans="1:19" ht="24.95" customHeight="1" x14ac:dyDescent="0.25">
      <c r="A261" s="49" t="s">
        <v>1647</v>
      </c>
      <c r="B261" s="98">
        <v>260</v>
      </c>
      <c r="C261" s="50">
        <v>46093</v>
      </c>
      <c r="D261" s="49">
        <f t="shared" si="8"/>
        <v>3</v>
      </c>
      <c r="E261" s="92" t="s">
        <v>72</v>
      </c>
      <c r="F261" s="49" t="s">
        <v>36</v>
      </c>
      <c r="G261" s="14" t="s">
        <v>432</v>
      </c>
      <c r="H261" s="14" t="s">
        <v>143</v>
      </c>
      <c r="I261" s="76" t="s">
        <v>433</v>
      </c>
      <c r="J261" s="73">
        <v>0</v>
      </c>
      <c r="K261" s="74">
        <v>3232.5</v>
      </c>
      <c r="L261" s="72">
        <v>0</v>
      </c>
      <c r="M261" s="72">
        <v>0</v>
      </c>
      <c r="N261" s="72">
        <f>IF(AND(C261="",J261=0,K261=0,L261=0,M261=0),"",CADASTROS!$B$4+SUM($J$2:J261)+SUM($M$2:M261)-SUM($K$2:K261)-SUM($L$2:L261))</f>
        <v>250472.75000000023</v>
      </c>
      <c r="O261" s="72">
        <f>IF(A261="","",SUMIF(RATEIOS!$A$2:$A$3142,$A261,RATEIOS!$F$2:$F$3142))</f>
        <v>3232.5</v>
      </c>
      <c r="P261" s="15">
        <f t="shared" si="9"/>
        <v>0</v>
      </c>
      <c r="Q261" s="49" t="str">
        <f>IF(AND(J261=0,K261=0,L261=0,M261=0),"",IF(O261=0,"PENDENTE DE RATEIO",IF(ABS(P261)&gt;0.005,"DIVERGÊNCIA",IF(COUNTIF(RATEIOS!$A$2:$A$3142,$A261)-COUNTIFS(RATEIOS!$A$2:$A$3142,$A261,RATEIOS!$D$2:$D$3142,"&lt;&gt;")&gt;0,"NÃO CLASSIFICADO","RATEIO OK"))))</f>
        <v>RATEIO OK</v>
      </c>
      <c r="R261" s="49" t="s">
        <v>2553</v>
      </c>
      <c r="S261" s="14" t="s">
        <v>434</v>
      </c>
    </row>
    <row r="262" spans="1:19" ht="24.95" customHeight="1" x14ac:dyDescent="0.25">
      <c r="A262" s="49" t="s">
        <v>1649</v>
      </c>
      <c r="B262" s="98">
        <v>261</v>
      </c>
      <c r="C262" s="50">
        <v>46093</v>
      </c>
      <c r="D262" s="49">
        <f t="shared" si="8"/>
        <v>3</v>
      </c>
      <c r="E262" s="92" t="s">
        <v>287</v>
      </c>
      <c r="F262" s="49" t="s">
        <v>36</v>
      </c>
      <c r="G262" s="14" t="s">
        <v>67</v>
      </c>
      <c r="H262" s="14" t="s">
        <v>67</v>
      </c>
      <c r="I262" s="76" t="s">
        <v>435</v>
      </c>
      <c r="J262" s="73">
        <v>0</v>
      </c>
      <c r="K262" s="74">
        <v>2593</v>
      </c>
      <c r="L262" s="72">
        <v>0</v>
      </c>
      <c r="M262" s="72">
        <v>0</v>
      </c>
      <c r="N262" s="72">
        <f>IF(AND(C262="",J262=0,K262=0,L262=0,M262=0),"",CADASTROS!$B$4+SUM($J$2:J262)+SUM($M$2:M262)-SUM($K$2:K262)-SUM($L$2:L262))</f>
        <v>247879.75000000023</v>
      </c>
      <c r="O262" s="72">
        <f>IF(A262="","",SUMIF(RATEIOS!$A$2:$A$3142,$A262,RATEIOS!$F$2:$F$3142))</f>
        <v>2593</v>
      </c>
      <c r="P262" s="15">
        <f t="shared" si="9"/>
        <v>0</v>
      </c>
      <c r="Q262" s="49" t="str">
        <f>IF(AND(J262=0,K262=0,L262=0,M262=0),"",IF(O262=0,"PENDENTE DE RATEIO",IF(ABS(P262)&gt;0.005,"DIVERGÊNCIA",IF(COUNTIF(RATEIOS!$A$2:$A$3142,$A262)-COUNTIFS(RATEIOS!$A$2:$A$3142,$A262,RATEIOS!$D$2:$D$3142,"&lt;&gt;")&gt;0,"NÃO CLASSIFICADO","RATEIO OK"))))</f>
        <v>RATEIO OK</v>
      </c>
      <c r="R262" s="49" t="s">
        <v>2553</v>
      </c>
      <c r="S262" s="14" t="s">
        <v>2992</v>
      </c>
    </row>
    <row r="263" spans="1:19" ht="24.95" customHeight="1" x14ac:dyDescent="0.25">
      <c r="A263" s="49" t="s">
        <v>1650</v>
      </c>
      <c r="B263" s="98">
        <v>262</v>
      </c>
      <c r="C263" s="50">
        <v>46093</v>
      </c>
      <c r="D263" s="49">
        <f t="shared" si="8"/>
        <v>3</v>
      </c>
      <c r="E263" s="92" t="s">
        <v>118</v>
      </c>
      <c r="F263" s="49" t="s">
        <v>36</v>
      </c>
      <c r="G263" s="14" t="s">
        <v>436</v>
      </c>
      <c r="H263" s="14" t="s">
        <v>1068</v>
      </c>
      <c r="I263" s="76" t="s">
        <v>438</v>
      </c>
      <c r="J263" s="73">
        <v>0</v>
      </c>
      <c r="K263" s="74">
        <v>2513.64</v>
      </c>
      <c r="L263" s="72">
        <v>0</v>
      </c>
      <c r="M263" s="72">
        <v>0</v>
      </c>
      <c r="N263" s="72">
        <f>IF(AND(C263="",J263=0,K263=0,L263=0,M263=0),"",CADASTROS!$B$4+SUM($J$2:J263)+SUM($M$2:M263)-SUM($K$2:K263)-SUM($L$2:L263))</f>
        <v>245366.11000000034</v>
      </c>
      <c r="O263" s="72">
        <f>IF(A263="","",SUMIF(RATEIOS!$A$2:$A$3142,$A263,RATEIOS!$F$2:$F$3142))</f>
        <v>2513.64</v>
      </c>
      <c r="P263" s="15">
        <f t="shared" si="9"/>
        <v>0</v>
      </c>
      <c r="Q263" s="49" t="str">
        <f>IF(AND(J263=0,K263=0,L263=0,M263=0),"",IF(O263=0,"PENDENTE DE RATEIO",IF(ABS(P263)&gt;0.005,"DIVERGÊNCIA",IF(COUNTIF(RATEIOS!$A$2:$A$3142,$A263)-COUNTIFS(RATEIOS!$A$2:$A$3142,$A263,RATEIOS!$D$2:$D$3142,"&lt;&gt;")&gt;0,"NÃO CLASSIFICADO","RATEIO OK"))))</f>
        <v>RATEIO OK</v>
      </c>
      <c r="R263" s="49" t="s">
        <v>2553</v>
      </c>
      <c r="S263" s="14"/>
    </row>
    <row r="264" spans="1:19" ht="24.95" customHeight="1" x14ac:dyDescent="0.25">
      <c r="A264" s="49" t="s">
        <v>1651</v>
      </c>
      <c r="B264" s="98">
        <v>263</v>
      </c>
      <c r="C264" s="50">
        <v>46093</v>
      </c>
      <c r="D264" s="49">
        <f t="shared" si="8"/>
        <v>3</v>
      </c>
      <c r="E264" s="92" t="s">
        <v>287</v>
      </c>
      <c r="F264" s="49" t="s">
        <v>36</v>
      </c>
      <c r="G264" s="14" t="s">
        <v>439</v>
      </c>
      <c r="H264" s="14" t="s">
        <v>2935</v>
      </c>
      <c r="I264" s="76" t="s">
        <v>441</v>
      </c>
      <c r="J264" s="73">
        <v>0</v>
      </c>
      <c r="K264" s="74">
        <v>1800</v>
      </c>
      <c r="L264" s="72">
        <v>0</v>
      </c>
      <c r="M264" s="72">
        <v>0</v>
      </c>
      <c r="N264" s="72">
        <f>IF(AND(C264="",J264=0,K264=0,L264=0,M264=0),"",CADASTROS!$B$4+SUM($J$2:J264)+SUM($M$2:M264)-SUM($K$2:K264)-SUM($L$2:L264))</f>
        <v>243566.11000000034</v>
      </c>
      <c r="O264" s="72">
        <f>IF(A264="","",SUMIF(RATEIOS!$A$2:$A$3142,$A264,RATEIOS!$F$2:$F$3142))</f>
        <v>1800</v>
      </c>
      <c r="P264" s="15">
        <f t="shared" si="9"/>
        <v>0</v>
      </c>
      <c r="Q264" s="49" t="str">
        <f>IF(AND(J264=0,K264=0,L264=0,M264=0),"",IF(O264=0,"PENDENTE DE RATEIO",IF(ABS(P264)&gt;0.005,"DIVERGÊNCIA",IF(COUNTIF(RATEIOS!$A$2:$A$3142,$A264)-COUNTIFS(RATEIOS!$A$2:$A$3142,$A264,RATEIOS!$D$2:$D$3142,"&lt;&gt;")&gt;0,"NÃO CLASSIFICADO","RATEIO OK"))))</f>
        <v>RATEIO OK</v>
      </c>
      <c r="R264" s="49" t="s">
        <v>2553</v>
      </c>
      <c r="S264" s="14"/>
    </row>
    <row r="265" spans="1:19" ht="24.95" customHeight="1" x14ac:dyDescent="0.25">
      <c r="A265" s="49" t="s">
        <v>1652</v>
      </c>
      <c r="B265" s="98">
        <v>264</v>
      </c>
      <c r="C265" s="50">
        <v>46093</v>
      </c>
      <c r="D265" s="49">
        <f t="shared" si="8"/>
        <v>3</v>
      </c>
      <c r="E265" s="92" t="s">
        <v>287</v>
      </c>
      <c r="F265" s="49" t="s">
        <v>35</v>
      </c>
      <c r="G265" s="14" t="s">
        <v>442</v>
      </c>
      <c r="H265" s="14" t="s">
        <v>2737</v>
      </c>
      <c r="I265" s="76"/>
      <c r="J265" s="73">
        <v>32760.61</v>
      </c>
      <c r="K265" s="74">
        <v>0</v>
      </c>
      <c r="L265" s="72">
        <v>0</v>
      </c>
      <c r="M265" s="72">
        <v>0</v>
      </c>
      <c r="N265" s="72">
        <f>IF(AND(C265="",J265=0,K265=0,L265=0,M265=0),"",CADASTROS!$B$4+SUM($J$2:J265)+SUM($M$2:M265)-SUM($K$2:K265)-SUM($L$2:L265))</f>
        <v>276326.72000000044</v>
      </c>
      <c r="O265" s="72">
        <f>IF(A265="","",SUMIF(RATEIOS!$A$2:$A$3142,$A265,RATEIOS!$F$2:$F$3142))</f>
        <v>32760.61</v>
      </c>
      <c r="P265" s="15">
        <f t="shared" si="9"/>
        <v>0</v>
      </c>
      <c r="Q265" s="49" t="str">
        <f>IF(AND(J265=0,K265=0,L265=0,M265=0),"",IF(O265=0,"PENDENTE DE RATEIO",IF(ABS(P265)&gt;0.005,"DIVERGÊNCIA",IF(COUNTIF(RATEIOS!$A$2:$A$3142,$A265)-COUNTIFS(RATEIOS!$A$2:$A$3142,$A265,RATEIOS!$D$2:$D$3142,"&lt;&gt;")&gt;0,"NÃO CLASSIFICADO","RATEIO OK"))))</f>
        <v>RATEIO OK</v>
      </c>
      <c r="R265" s="49" t="s">
        <v>2553</v>
      </c>
      <c r="S265" s="14"/>
    </row>
    <row r="266" spans="1:19" ht="24.95" customHeight="1" x14ac:dyDescent="0.25">
      <c r="A266" s="49" t="s">
        <v>1653</v>
      </c>
      <c r="B266" s="98">
        <v>265</v>
      </c>
      <c r="C266" s="50">
        <v>46093</v>
      </c>
      <c r="D266" s="49">
        <f t="shared" si="8"/>
        <v>3</v>
      </c>
      <c r="E266" s="92" t="s">
        <v>287</v>
      </c>
      <c r="F266" s="49" t="s">
        <v>36</v>
      </c>
      <c r="G266" s="14" t="s">
        <v>443</v>
      </c>
      <c r="H266" s="95" t="s">
        <v>2753</v>
      </c>
      <c r="I266" s="76" t="s">
        <v>444</v>
      </c>
      <c r="J266" s="73">
        <v>0</v>
      </c>
      <c r="K266" s="74">
        <v>1600</v>
      </c>
      <c r="L266" s="72">
        <v>0</v>
      </c>
      <c r="M266" s="72">
        <v>0</v>
      </c>
      <c r="N266" s="72">
        <f>IF(AND(C266="",J266=0,K266=0,L266=0,M266=0),"",CADASTROS!$B$4+SUM($J$2:J266)+SUM($M$2:M266)-SUM($K$2:K266)-SUM($L$2:L266))</f>
        <v>274726.72000000044</v>
      </c>
      <c r="O266" s="72">
        <f>IF(A266="","",SUMIF(RATEIOS!$A$2:$A$3142,$A266,RATEIOS!$F$2:$F$3142))</f>
        <v>1600</v>
      </c>
      <c r="P266" s="15">
        <f t="shared" si="9"/>
        <v>0</v>
      </c>
      <c r="Q266" s="49" t="str">
        <f>IF(AND(J266=0,K266=0,L266=0,M266=0),"",IF(O266=0,"PENDENTE DE RATEIO",IF(ABS(P266)&gt;0.005,"DIVERGÊNCIA",IF(COUNTIF(RATEIOS!$A$2:$A$3142,$A266)-COUNTIFS(RATEIOS!$A$2:$A$3142,$A266,RATEIOS!$D$2:$D$3142,"&lt;&gt;")&gt;0,"NÃO CLASSIFICADO","RATEIO OK"))))</f>
        <v>RATEIO OK</v>
      </c>
      <c r="R266" s="49" t="s">
        <v>2553</v>
      </c>
      <c r="S266" s="14" t="s">
        <v>2992</v>
      </c>
    </row>
    <row r="267" spans="1:19" ht="24.95" customHeight="1" x14ac:dyDescent="0.25">
      <c r="A267" s="49" t="s">
        <v>1656</v>
      </c>
      <c r="B267" s="98">
        <v>266</v>
      </c>
      <c r="C267" s="50">
        <v>46093</v>
      </c>
      <c r="D267" s="49">
        <f t="shared" si="8"/>
        <v>3</v>
      </c>
      <c r="E267" s="92" t="s">
        <v>287</v>
      </c>
      <c r="F267" s="49" t="s">
        <v>36</v>
      </c>
      <c r="G267" s="14" t="s">
        <v>445</v>
      </c>
      <c r="H267" s="14" t="s">
        <v>446</v>
      </c>
      <c r="I267" s="76" t="s">
        <v>447</v>
      </c>
      <c r="J267" s="73">
        <v>0</v>
      </c>
      <c r="K267" s="74">
        <v>1470</v>
      </c>
      <c r="L267" s="72">
        <v>0</v>
      </c>
      <c r="M267" s="72">
        <v>0</v>
      </c>
      <c r="N267" s="72">
        <f>IF(AND(C267="",J267=0,K267=0,L267=0,M267=0),"",CADASTROS!$B$4+SUM($J$2:J267)+SUM($M$2:M267)-SUM($K$2:K267)-SUM($L$2:L267))</f>
        <v>273256.72000000044</v>
      </c>
      <c r="O267" s="72">
        <f>IF(A267="","",SUMIF(RATEIOS!$A$2:$A$3142,$A267,RATEIOS!$F$2:$F$3142))</f>
        <v>1470</v>
      </c>
      <c r="P267" s="15">
        <f t="shared" si="9"/>
        <v>0</v>
      </c>
      <c r="Q267" s="49" t="str">
        <f>IF(AND(J267=0,K267=0,L267=0,M267=0),"",IF(O267=0,"PENDENTE DE RATEIO",IF(ABS(P267)&gt;0.005,"DIVERGÊNCIA",IF(COUNTIF(RATEIOS!$A$2:$A$3142,$A267)-COUNTIFS(RATEIOS!$A$2:$A$3142,$A267,RATEIOS!$D$2:$D$3142,"&lt;&gt;")&gt;0,"NÃO CLASSIFICADO","RATEIO OK"))))</f>
        <v>RATEIO OK</v>
      </c>
      <c r="R267" s="49" t="s">
        <v>2553</v>
      </c>
      <c r="S267" s="14"/>
    </row>
    <row r="268" spans="1:19" ht="24.95" customHeight="1" x14ac:dyDescent="0.25">
      <c r="A268" s="49" t="s">
        <v>1658</v>
      </c>
      <c r="B268" s="98">
        <v>267</v>
      </c>
      <c r="C268" s="50">
        <v>46093</v>
      </c>
      <c r="D268" s="49">
        <f t="shared" si="8"/>
        <v>3</v>
      </c>
      <c r="E268" s="92" t="s">
        <v>118</v>
      </c>
      <c r="F268" s="49" t="s">
        <v>36</v>
      </c>
      <c r="G268" s="14" t="s">
        <v>448</v>
      </c>
      <c r="H268" s="14" t="s">
        <v>207</v>
      </c>
      <c r="I268" s="76" t="s">
        <v>449</v>
      </c>
      <c r="J268" s="73">
        <v>0</v>
      </c>
      <c r="K268" s="74">
        <v>1416</v>
      </c>
      <c r="L268" s="72">
        <v>0</v>
      </c>
      <c r="M268" s="72">
        <v>0</v>
      </c>
      <c r="N268" s="72">
        <f>IF(AND(C268="",J268=0,K268=0,L268=0,M268=0),"",CADASTROS!$B$4+SUM($J$2:J268)+SUM($M$2:M268)-SUM($K$2:K268)-SUM($L$2:L268))</f>
        <v>271840.72000000044</v>
      </c>
      <c r="O268" s="72">
        <f>IF(A268="","",SUMIF(RATEIOS!$A$2:$A$3142,$A268,RATEIOS!$F$2:$F$3142))</f>
        <v>1416</v>
      </c>
      <c r="P268" s="15">
        <f t="shared" si="9"/>
        <v>0</v>
      </c>
      <c r="Q268" s="49" t="str">
        <f>IF(AND(J268=0,K268=0,L268=0,M268=0),"",IF(O268=0,"PENDENTE DE RATEIO",IF(ABS(P268)&gt;0.005,"DIVERGÊNCIA",IF(COUNTIF(RATEIOS!$A$2:$A$3142,$A268)-COUNTIFS(RATEIOS!$A$2:$A$3142,$A268,RATEIOS!$D$2:$D$3142,"&lt;&gt;")&gt;0,"NÃO CLASSIFICADO","RATEIO OK"))))</f>
        <v>RATEIO OK</v>
      </c>
      <c r="R268" s="49" t="s">
        <v>2553</v>
      </c>
      <c r="S268" s="14"/>
    </row>
    <row r="269" spans="1:19" ht="24.95" customHeight="1" x14ac:dyDescent="0.25">
      <c r="A269" s="49" t="s">
        <v>1659</v>
      </c>
      <c r="B269" s="98">
        <v>268</v>
      </c>
      <c r="C269" s="50">
        <v>46093</v>
      </c>
      <c r="D269" s="49">
        <f t="shared" si="8"/>
        <v>3</v>
      </c>
      <c r="E269" s="92" t="s">
        <v>72</v>
      </c>
      <c r="F269" s="49" t="s">
        <v>36</v>
      </c>
      <c r="G269" s="14" t="s">
        <v>450</v>
      </c>
      <c r="H269" s="14" t="s">
        <v>451</v>
      </c>
      <c r="I269" s="76" t="s">
        <v>452</v>
      </c>
      <c r="J269" s="73">
        <v>0</v>
      </c>
      <c r="K269" s="74">
        <v>980</v>
      </c>
      <c r="L269" s="72">
        <v>0</v>
      </c>
      <c r="M269" s="72">
        <v>0</v>
      </c>
      <c r="N269" s="72">
        <f>IF(AND(C269="",J269=0,K269=0,L269=0,M269=0),"",CADASTROS!$B$4+SUM($J$2:J269)+SUM($M$2:M269)-SUM($K$2:K269)-SUM($L$2:L269))</f>
        <v>270860.72000000044</v>
      </c>
      <c r="O269" s="72">
        <f>IF(A269="","",SUMIF(RATEIOS!$A$2:$A$3142,$A269,RATEIOS!$F$2:$F$3142))</f>
        <v>980</v>
      </c>
      <c r="P269" s="15">
        <f t="shared" si="9"/>
        <v>0</v>
      </c>
      <c r="Q269" s="49" t="str">
        <f>IF(AND(J269=0,K269=0,L269=0,M269=0),"",IF(O269=0,"PENDENTE DE RATEIO",IF(ABS(P269)&gt;0.005,"DIVERGÊNCIA",IF(COUNTIF(RATEIOS!$A$2:$A$3142,$A269)-COUNTIFS(RATEIOS!$A$2:$A$3142,$A269,RATEIOS!$D$2:$D$3142,"&lt;&gt;")&gt;0,"NÃO CLASSIFICADO","RATEIO OK"))))</f>
        <v>RATEIO OK</v>
      </c>
      <c r="R269" s="49" t="s">
        <v>2553</v>
      </c>
      <c r="S269" s="14"/>
    </row>
    <row r="270" spans="1:19" ht="24.95" customHeight="1" x14ac:dyDescent="0.25">
      <c r="A270" s="49" t="s">
        <v>1660</v>
      </c>
      <c r="B270" s="98">
        <v>269</v>
      </c>
      <c r="C270" s="50">
        <v>46093</v>
      </c>
      <c r="D270" s="49">
        <f t="shared" si="8"/>
        <v>3</v>
      </c>
      <c r="E270" s="92" t="s">
        <v>118</v>
      </c>
      <c r="F270" s="49" t="s">
        <v>36</v>
      </c>
      <c r="G270" s="14" t="s">
        <v>282</v>
      </c>
      <c r="H270" s="14" t="s">
        <v>283</v>
      </c>
      <c r="I270" s="76" t="s">
        <v>453</v>
      </c>
      <c r="J270" s="73">
        <v>0</v>
      </c>
      <c r="K270" s="74">
        <v>897.92</v>
      </c>
      <c r="L270" s="72">
        <v>0</v>
      </c>
      <c r="M270" s="72">
        <v>0</v>
      </c>
      <c r="N270" s="72">
        <f>IF(AND(C270="",J270=0,K270=0,L270=0,M270=0),"",CADASTROS!$B$4+SUM($J$2:J270)+SUM($M$2:M270)-SUM($K$2:K270)-SUM($L$2:L270))</f>
        <v>269962.80000000051</v>
      </c>
      <c r="O270" s="72">
        <f>IF(A270="","",SUMIF(RATEIOS!$A$2:$A$3142,$A270,RATEIOS!$F$2:$F$3142))</f>
        <v>897.92</v>
      </c>
      <c r="P270" s="15">
        <f t="shared" si="9"/>
        <v>0</v>
      </c>
      <c r="Q270" s="49" t="str">
        <f>IF(AND(J270=0,K270=0,L270=0,M270=0),"",IF(O270=0,"PENDENTE DE RATEIO",IF(ABS(P270)&gt;0.005,"DIVERGÊNCIA",IF(COUNTIF(RATEIOS!$A$2:$A$3142,$A270)-COUNTIFS(RATEIOS!$A$2:$A$3142,$A270,RATEIOS!$D$2:$D$3142,"&lt;&gt;")&gt;0,"NÃO CLASSIFICADO","RATEIO OK"))))</f>
        <v>RATEIO OK</v>
      </c>
      <c r="R270" s="49" t="s">
        <v>2553</v>
      </c>
      <c r="S270" s="14"/>
    </row>
    <row r="271" spans="1:19" ht="24.95" customHeight="1" x14ac:dyDescent="0.25">
      <c r="A271" s="49" t="s">
        <v>1662</v>
      </c>
      <c r="B271" s="98">
        <v>270</v>
      </c>
      <c r="C271" s="50">
        <v>46093</v>
      </c>
      <c r="D271" s="49">
        <f t="shared" si="8"/>
        <v>3</v>
      </c>
      <c r="E271" s="92" t="s">
        <v>287</v>
      </c>
      <c r="F271" s="49" t="s">
        <v>36</v>
      </c>
      <c r="G271" s="14" t="s">
        <v>454</v>
      </c>
      <c r="H271" s="14" t="s">
        <v>347</v>
      </c>
      <c r="I271" s="76" t="s">
        <v>455</v>
      </c>
      <c r="J271" s="73">
        <v>0</v>
      </c>
      <c r="K271" s="74">
        <v>858.83</v>
      </c>
      <c r="L271" s="72">
        <v>0</v>
      </c>
      <c r="M271" s="72">
        <v>0</v>
      </c>
      <c r="N271" s="72">
        <f>IF(AND(C271="",J271=0,K271=0,L271=0,M271=0),"",CADASTROS!$B$4+SUM($J$2:J271)+SUM($M$2:M271)-SUM($K$2:K271)-SUM($L$2:L271))</f>
        <v>269103.97000000044</v>
      </c>
      <c r="O271" s="72">
        <f>IF(A271="","",SUMIF(RATEIOS!$A$2:$A$3142,$A271,RATEIOS!$F$2:$F$3142))</f>
        <v>858.83</v>
      </c>
      <c r="P271" s="15">
        <f t="shared" si="9"/>
        <v>0</v>
      </c>
      <c r="Q271" s="49" t="str">
        <f>IF(AND(J271=0,K271=0,L271=0,M271=0),"",IF(O271=0,"PENDENTE DE RATEIO",IF(ABS(P271)&gt;0.005,"DIVERGÊNCIA",IF(COUNTIF(RATEIOS!$A$2:$A$3142,$A271)-COUNTIFS(RATEIOS!$A$2:$A$3142,$A271,RATEIOS!$D$2:$D$3142,"&lt;&gt;")&gt;0,"NÃO CLASSIFICADO","RATEIO OK"))))</f>
        <v>RATEIO OK</v>
      </c>
      <c r="R271" s="49" t="s">
        <v>2553</v>
      </c>
      <c r="S271" s="14"/>
    </row>
    <row r="272" spans="1:19" ht="24.95" customHeight="1" x14ac:dyDescent="0.25">
      <c r="A272" s="49" t="s">
        <v>1663</v>
      </c>
      <c r="B272" s="98">
        <v>271</v>
      </c>
      <c r="C272" s="50">
        <v>46093</v>
      </c>
      <c r="D272" s="49">
        <f t="shared" si="8"/>
        <v>3</v>
      </c>
      <c r="E272" s="92" t="s">
        <v>287</v>
      </c>
      <c r="F272" s="49" t="s">
        <v>36</v>
      </c>
      <c r="G272" s="14" t="s">
        <v>456</v>
      </c>
      <c r="H272" s="14" t="s">
        <v>2943</v>
      </c>
      <c r="I272" s="76" t="s">
        <v>2936</v>
      </c>
      <c r="J272" s="73">
        <v>0</v>
      </c>
      <c r="K272" s="74">
        <v>687</v>
      </c>
      <c r="L272" s="72">
        <v>0</v>
      </c>
      <c r="M272" s="72">
        <v>0</v>
      </c>
      <c r="N272" s="72">
        <f>IF(AND(C272="",J272=0,K272=0,L272=0,M272=0),"",CADASTROS!$B$4+SUM($J$2:J272)+SUM($M$2:M272)-SUM($K$2:K272)-SUM($L$2:L272))</f>
        <v>268416.97000000044</v>
      </c>
      <c r="O272" s="72">
        <f>IF(A272="","",SUMIF(RATEIOS!$A$2:$A$3142,$A272,RATEIOS!$F$2:$F$3142))</f>
        <v>687</v>
      </c>
      <c r="P272" s="15">
        <f t="shared" si="9"/>
        <v>0</v>
      </c>
      <c r="Q272" s="49" t="str">
        <f>IF(AND(J272=0,K272=0,L272=0,M272=0),"",IF(O272=0,"PENDENTE DE RATEIO",IF(ABS(P272)&gt;0.005,"DIVERGÊNCIA",IF(COUNTIF(RATEIOS!$A$2:$A$3142,$A272)-COUNTIFS(RATEIOS!$A$2:$A$3142,$A272,RATEIOS!$D$2:$D$3142,"&lt;&gt;")&gt;0,"NÃO CLASSIFICADO","RATEIO OK"))))</f>
        <v>RATEIO OK</v>
      </c>
      <c r="R272" s="49" t="s">
        <v>2553</v>
      </c>
      <c r="S272" s="14"/>
    </row>
    <row r="273" spans="1:19" ht="24.95" customHeight="1" x14ac:dyDescent="0.25">
      <c r="A273" s="49" t="s">
        <v>1665</v>
      </c>
      <c r="B273" s="98">
        <v>272</v>
      </c>
      <c r="C273" s="50">
        <v>46093</v>
      </c>
      <c r="D273" s="49">
        <f t="shared" si="8"/>
        <v>3</v>
      </c>
      <c r="E273" s="92" t="s">
        <v>287</v>
      </c>
      <c r="F273" s="49" t="s">
        <v>36</v>
      </c>
      <c r="G273" s="14" t="s">
        <v>459</v>
      </c>
      <c r="H273" s="14" t="s">
        <v>414</v>
      </c>
      <c r="I273" s="76" t="s">
        <v>460</v>
      </c>
      <c r="J273" s="73">
        <v>0</v>
      </c>
      <c r="K273" s="74">
        <v>125</v>
      </c>
      <c r="L273" s="72">
        <v>0</v>
      </c>
      <c r="M273" s="72">
        <v>0</v>
      </c>
      <c r="N273" s="72">
        <f>IF(AND(C273="",J273=0,K273=0,L273=0,M273=0),"",CADASTROS!$B$4+SUM($J$2:J273)+SUM($M$2:M273)-SUM($K$2:K273)-SUM($L$2:L273))</f>
        <v>268291.97000000044</v>
      </c>
      <c r="O273" s="72">
        <f>IF(A273="","",SUMIF(RATEIOS!$A$2:$A$3142,$A273,RATEIOS!$F$2:$F$3142))</f>
        <v>125</v>
      </c>
      <c r="P273" s="15">
        <f t="shared" si="9"/>
        <v>0</v>
      </c>
      <c r="Q273" s="49" t="str">
        <f>IF(AND(J273=0,K273=0,L273=0,M273=0),"",IF(O273=0,"PENDENTE DE RATEIO",IF(ABS(P273)&gt;0.005,"DIVERGÊNCIA",IF(COUNTIF(RATEIOS!$A$2:$A$3142,$A273)-COUNTIFS(RATEIOS!$A$2:$A$3142,$A273,RATEIOS!$D$2:$D$3142,"&lt;&gt;")&gt;0,"NÃO CLASSIFICADO","RATEIO OK"))))</f>
        <v>RATEIO OK</v>
      </c>
      <c r="R273" s="49" t="s">
        <v>2553</v>
      </c>
      <c r="S273" s="14"/>
    </row>
    <row r="274" spans="1:19" ht="24.95" customHeight="1" x14ac:dyDescent="0.25">
      <c r="A274" s="49" t="s">
        <v>1666</v>
      </c>
      <c r="B274" s="98">
        <v>273</v>
      </c>
      <c r="C274" s="50">
        <v>46094</v>
      </c>
      <c r="D274" s="49">
        <f t="shared" si="8"/>
        <v>3</v>
      </c>
      <c r="E274" s="92" t="s">
        <v>72</v>
      </c>
      <c r="F274" s="49" t="s">
        <v>36</v>
      </c>
      <c r="G274" s="14" t="s">
        <v>461</v>
      </c>
      <c r="H274" s="14" t="s">
        <v>462</v>
      </c>
      <c r="I274" s="91" t="s">
        <v>87</v>
      </c>
      <c r="J274" s="73">
        <v>0</v>
      </c>
      <c r="K274" s="74">
        <v>900</v>
      </c>
      <c r="L274" s="72">
        <v>0</v>
      </c>
      <c r="M274" s="72">
        <v>0</v>
      </c>
      <c r="N274" s="72">
        <f>IF(AND(C274="",J274=0,K274=0,L274=0,M274=0),"",CADASTROS!$B$4+SUM($J$2:J274)+SUM($M$2:M274)-SUM($K$2:K274)-SUM($L$2:L274))</f>
        <v>267391.97000000044</v>
      </c>
      <c r="O274" s="72">
        <f>IF(A274="","",SUMIF(RATEIOS!$A$2:$A$3142,$A274,RATEIOS!$F$2:$F$3142))</f>
        <v>900</v>
      </c>
      <c r="P274" s="15">
        <f t="shared" si="9"/>
        <v>0</v>
      </c>
      <c r="Q274" s="49" t="str">
        <f>IF(AND(J274=0,K274=0,L274=0,M274=0),"",IF(O274=0,"PENDENTE DE RATEIO",IF(ABS(P274)&gt;0.005,"DIVERGÊNCIA",IF(COUNTIF(RATEIOS!$A$2:$A$3142,$A274)-COUNTIFS(RATEIOS!$A$2:$A$3142,$A274,RATEIOS!$D$2:$D$3142,"&lt;&gt;")&gt;0,"NÃO CLASSIFICADO","RATEIO OK"))))</f>
        <v>RATEIO OK</v>
      </c>
      <c r="R274" s="49" t="s">
        <v>2553</v>
      </c>
      <c r="S274" s="14" t="s">
        <v>463</v>
      </c>
    </row>
    <row r="275" spans="1:19" ht="24.95" customHeight="1" x14ac:dyDescent="0.25">
      <c r="A275" s="49" t="s">
        <v>1667</v>
      </c>
      <c r="B275" s="98">
        <v>274</v>
      </c>
      <c r="C275" s="50">
        <v>46094</v>
      </c>
      <c r="D275" s="49">
        <f t="shared" si="8"/>
        <v>3</v>
      </c>
      <c r="E275" s="92" t="s">
        <v>118</v>
      </c>
      <c r="F275" s="49" t="s">
        <v>36</v>
      </c>
      <c r="G275" s="14" t="s">
        <v>464</v>
      </c>
      <c r="H275" s="14" t="s">
        <v>137</v>
      </c>
      <c r="I275" s="76" t="s">
        <v>465</v>
      </c>
      <c r="J275" s="73">
        <v>0</v>
      </c>
      <c r="K275" s="74">
        <v>419.86</v>
      </c>
      <c r="L275" s="72">
        <v>0</v>
      </c>
      <c r="M275" s="72">
        <v>0</v>
      </c>
      <c r="N275" s="72">
        <f>IF(AND(C275="",J275=0,K275=0,L275=0,M275=0),"",CADASTROS!$B$4+SUM($J$2:J275)+SUM($M$2:M275)-SUM($K$2:K275)-SUM($L$2:L275))</f>
        <v>266972.11000000034</v>
      </c>
      <c r="O275" s="72">
        <f>IF(A275="","",SUMIF(RATEIOS!$A$2:$A$3142,$A275,RATEIOS!$F$2:$F$3142))</f>
        <v>419.86</v>
      </c>
      <c r="P275" s="15">
        <f t="shared" si="9"/>
        <v>0</v>
      </c>
      <c r="Q275" s="49" t="str">
        <f>IF(AND(J275=0,K275=0,L275=0,M275=0),"",IF(O275=0,"PENDENTE DE RATEIO",IF(ABS(P275)&gt;0.005,"DIVERGÊNCIA",IF(COUNTIF(RATEIOS!$A$2:$A$3142,$A275)-COUNTIFS(RATEIOS!$A$2:$A$3142,$A275,RATEIOS!$D$2:$D$3142,"&lt;&gt;")&gt;0,"NÃO CLASSIFICADO","RATEIO OK"))))</f>
        <v>RATEIO OK</v>
      </c>
      <c r="R275" s="49" t="s">
        <v>2553</v>
      </c>
      <c r="S275" s="14"/>
    </row>
    <row r="276" spans="1:19" ht="24.95" customHeight="1" x14ac:dyDescent="0.25">
      <c r="A276" s="49" t="s">
        <v>1668</v>
      </c>
      <c r="B276" s="98">
        <v>275</v>
      </c>
      <c r="C276" s="50">
        <v>46094</v>
      </c>
      <c r="D276" s="49">
        <f t="shared" si="8"/>
        <v>3</v>
      </c>
      <c r="E276" s="92" t="s">
        <v>72</v>
      </c>
      <c r="F276" s="49" t="s">
        <v>36</v>
      </c>
      <c r="G276" s="14" t="s">
        <v>466</v>
      </c>
      <c r="H276" s="14" t="s">
        <v>467</v>
      </c>
      <c r="I276" s="76" t="s">
        <v>468</v>
      </c>
      <c r="J276" s="73">
        <v>0</v>
      </c>
      <c r="K276" s="74">
        <v>43.37</v>
      </c>
      <c r="L276" s="72">
        <v>0</v>
      </c>
      <c r="M276" s="72">
        <v>0</v>
      </c>
      <c r="N276" s="72">
        <f>IF(AND(C276="",J276=0,K276=0,L276=0,M276=0),"",CADASTROS!$B$4+SUM($J$2:J276)+SUM($M$2:M276)-SUM($K$2:K276)-SUM($L$2:L276))</f>
        <v>266928.74000000022</v>
      </c>
      <c r="O276" s="72">
        <f>IF(A276="","",SUMIF(RATEIOS!$A$2:$A$3142,$A276,RATEIOS!$F$2:$F$3142))</f>
        <v>43.37</v>
      </c>
      <c r="P276" s="15">
        <f t="shared" si="9"/>
        <v>0</v>
      </c>
      <c r="Q276" s="49" t="str">
        <f>IF(AND(J276=0,K276=0,L276=0,M276=0),"",IF(O276=0,"PENDENTE DE RATEIO",IF(ABS(P276)&gt;0.005,"DIVERGÊNCIA",IF(COUNTIF(RATEIOS!$A$2:$A$3142,$A276)-COUNTIFS(RATEIOS!$A$2:$A$3142,$A276,RATEIOS!$D$2:$D$3142,"&lt;&gt;")&gt;0,"NÃO CLASSIFICADO","RATEIO OK"))))</f>
        <v>RATEIO OK</v>
      </c>
      <c r="R276" s="49" t="s">
        <v>2553</v>
      </c>
      <c r="S276" s="14" t="s">
        <v>469</v>
      </c>
    </row>
    <row r="277" spans="1:19" ht="24.95" customHeight="1" x14ac:dyDescent="0.25">
      <c r="A277" s="49" t="s">
        <v>1670</v>
      </c>
      <c r="B277" s="98">
        <v>276</v>
      </c>
      <c r="C277" s="50">
        <v>46097</v>
      </c>
      <c r="D277" s="49">
        <f t="shared" si="8"/>
        <v>3</v>
      </c>
      <c r="E277" s="92" t="s">
        <v>118</v>
      </c>
      <c r="F277" s="49" t="s">
        <v>36</v>
      </c>
      <c r="G277" s="14" t="s">
        <v>470</v>
      </c>
      <c r="H277" s="14" t="s">
        <v>252</v>
      </c>
      <c r="I277" s="76" t="s">
        <v>253</v>
      </c>
      <c r="J277" s="73">
        <v>0</v>
      </c>
      <c r="K277" s="74">
        <v>16277.5</v>
      </c>
      <c r="L277" s="72">
        <v>0</v>
      </c>
      <c r="M277" s="72">
        <v>0</v>
      </c>
      <c r="N277" s="72">
        <f>IF(AND(C277="",J277=0,K277=0,L277=0,M277=0),"",CADASTROS!$B$4+SUM($J$2:J277)+SUM($M$2:M277)-SUM($K$2:K277)-SUM($L$2:L277))</f>
        <v>250651.24000000022</v>
      </c>
      <c r="O277" s="72">
        <f>IF(A277="","",SUMIF(RATEIOS!$A$2:$A$3142,$A277,RATEIOS!$F$2:$F$3142))</f>
        <v>16277.5</v>
      </c>
      <c r="P277" s="15">
        <f t="shared" si="9"/>
        <v>0</v>
      </c>
      <c r="Q277" s="49" t="str">
        <f>IF(AND(J277=0,K277=0,L277=0,M277=0),"",IF(O277=0,"PENDENTE DE RATEIO",IF(ABS(P277)&gt;0.005,"DIVERGÊNCIA",IF(COUNTIF(RATEIOS!$A$2:$A$3142,$A277)-COUNTIFS(RATEIOS!$A$2:$A$3142,$A277,RATEIOS!$D$2:$D$3142,"&lt;&gt;")&gt;0,"NÃO CLASSIFICADO","RATEIO OK"))))</f>
        <v>RATEIO OK</v>
      </c>
      <c r="R277" s="49" t="s">
        <v>2553</v>
      </c>
      <c r="S277" s="14" t="s">
        <v>471</v>
      </c>
    </row>
    <row r="278" spans="1:19" ht="24.95" customHeight="1" x14ac:dyDescent="0.25">
      <c r="A278" s="49" t="s">
        <v>1671</v>
      </c>
      <c r="B278" s="98">
        <v>277</v>
      </c>
      <c r="C278" s="50">
        <v>46097</v>
      </c>
      <c r="D278" s="49">
        <f t="shared" si="8"/>
        <v>3</v>
      </c>
      <c r="E278" s="92" t="s">
        <v>118</v>
      </c>
      <c r="F278" s="49" t="s">
        <v>36</v>
      </c>
      <c r="G278" s="14" t="s">
        <v>80</v>
      </c>
      <c r="H278" s="14" t="s">
        <v>81</v>
      </c>
      <c r="I278" s="76" t="s">
        <v>472</v>
      </c>
      <c r="J278" s="73">
        <v>0</v>
      </c>
      <c r="K278" s="74">
        <v>5167.7</v>
      </c>
      <c r="L278" s="72">
        <v>0</v>
      </c>
      <c r="M278" s="72">
        <v>0</v>
      </c>
      <c r="N278" s="72">
        <f>IF(AND(C278="",J278=0,K278=0,L278=0,M278=0),"",CADASTROS!$B$4+SUM($J$2:J278)+SUM($M$2:M278)-SUM($K$2:K278)-SUM($L$2:L278))</f>
        <v>245483.54000000027</v>
      </c>
      <c r="O278" s="72">
        <f>IF(A278="","",SUMIF(RATEIOS!$A$2:$A$3142,$A278,RATEIOS!$F$2:$F$3142))</f>
        <v>5167.7</v>
      </c>
      <c r="P278" s="15">
        <f t="shared" si="9"/>
        <v>0</v>
      </c>
      <c r="Q278" s="49" t="str">
        <f>IF(AND(J278=0,K278=0,L278=0,M278=0),"",IF(O278=0,"PENDENTE DE RATEIO",IF(ABS(P278)&gt;0.005,"DIVERGÊNCIA",IF(COUNTIF(RATEIOS!$A$2:$A$3142,$A278)-COUNTIFS(RATEIOS!$A$2:$A$3142,$A278,RATEIOS!$D$2:$D$3142,"&lt;&gt;")&gt;0,"NÃO CLASSIFICADO","RATEIO OK"))))</f>
        <v>RATEIO OK</v>
      </c>
      <c r="R278" s="49" t="s">
        <v>2553</v>
      </c>
      <c r="S278" s="14"/>
    </row>
    <row r="279" spans="1:19" ht="24.95" customHeight="1" x14ac:dyDescent="0.25">
      <c r="A279" s="49" t="s">
        <v>1672</v>
      </c>
      <c r="B279" s="98">
        <v>278</v>
      </c>
      <c r="C279" s="50">
        <v>46097</v>
      </c>
      <c r="D279" s="49">
        <f t="shared" si="8"/>
        <v>3</v>
      </c>
      <c r="E279" s="92" t="s">
        <v>118</v>
      </c>
      <c r="F279" s="49" t="s">
        <v>36</v>
      </c>
      <c r="G279" s="14" t="s">
        <v>473</v>
      </c>
      <c r="H279" s="14" t="s">
        <v>59</v>
      </c>
      <c r="I279" s="76" t="s">
        <v>243</v>
      </c>
      <c r="J279" s="73">
        <v>0</v>
      </c>
      <c r="K279" s="74">
        <v>2890</v>
      </c>
      <c r="L279" s="72">
        <v>0</v>
      </c>
      <c r="M279" s="72">
        <v>0</v>
      </c>
      <c r="N279" s="72">
        <f>IF(AND(C279="",J279=0,K279=0,L279=0,M279=0),"",CADASTROS!$B$4+SUM($J$2:J279)+SUM($M$2:M279)-SUM($K$2:K279)-SUM($L$2:L279))</f>
        <v>242593.54000000027</v>
      </c>
      <c r="O279" s="72">
        <f>IF(A279="","",SUMIF(RATEIOS!$A$2:$A$3142,$A279,RATEIOS!$F$2:$F$3142))</f>
        <v>2890</v>
      </c>
      <c r="P279" s="15">
        <f t="shared" si="9"/>
        <v>0</v>
      </c>
      <c r="Q279" s="49" t="str">
        <f>IF(AND(J279=0,K279=0,L279=0,M279=0),"",IF(O279=0,"PENDENTE DE RATEIO",IF(ABS(P279)&gt;0.005,"DIVERGÊNCIA",IF(COUNTIF(RATEIOS!$A$2:$A$3142,$A279)-COUNTIFS(RATEIOS!$A$2:$A$3142,$A279,RATEIOS!$D$2:$D$3142,"&lt;&gt;")&gt;0,"NÃO CLASSIFICADO","RATEIO OK"))))</f>
        <v>RATEIO OK</v>
      </c>
      <c r="R279" s="49" t="s">
        <v>2553</v>
      </c>
      <c r="S279" s="14" t="s">
        <v>474</v>
      </c>
    </row>
    <row r="280" spans="1:19" ht="24.95" customHeight="1" x14ac:dyDescent="0.25">
      <c r="A280" s="49" t="s">
        <v>1674</v>
      </c>
      <c r="B280" s="98">
        <v>279</v>
      </c>
      <c r="C280" s="50">
        <v>46097</v>
      </c>
      <c r="D280" s="49">
        <f t="shared" si="8"/>
        <v>3</v>
      </c>
      <c r="E280" s="92" t="s">
        <v>72</v>
      </c>
      <c r="F280" s="49" t="s">
        <v>36</v>
      </c>
      <c r="G280" s="14" t="s">
        <v>475</v>
      </c>
      <c r="H280" s="14" t="s">
        <v>3028</v>
      </c>
      <c r="I280" s="76" t="s">
        <v>627</v>
      </c>
      <c r="J280" s="73">
        <v>0</v>
      </c>
      <c r="K280" s="74">
        <v>2839</v>
      </c>
      <c r="L280" s="72">
        <v>0</v>
      </c>
      <c r="M280" s="72">
        <v>0</v>
      </c>
      <c r="N280" s="72">
        <f>IF(AND(C280="",J280=0,K280=0,L280=0,M280=0),"",CADASTROS!$B$4+SUM($J$2:J280)+SUM($M$2:M280)-SUM($K$2:K280)-SUM($L$2:L280))</f>
        <v>239754.54000000027</v>
      </c>
      <c r="O280" s="72">
        <f>IF(A280="","",SUMIF(RATEIOS!$A$2:$A$3142,$A280,RATEIOS!$F$2:$F$3142))</f>
        <v>2839</v>
      </c>
      <c r="P280" s="15">
        <f t="shared" si="9"/>
        <v>0</v>
      </c>
      <c r="Q280" s="49" t="str">
        <f>IF(AND(J280=0,K280=0,L280=0,M280=0),"",IF(O280=0,"PENDENTE DE RATEIO",IF(ABS(P280)&gt;0.005,"DIVERGÊNCIA",IF(COUNTIF(RATEIOS!$A$2:$A$3142,$A280)-COUNTIFS(RATEIOS!$A$2:$A$3142,$A280,RATEIOS!$D$2:$D$3142,"&lt;&gt;")&gt;0,"NÃO CLASSIFICADO","RATEIO OK"))))</f>
        <v>RATEIO OK</v>
      </c>
      <c r="R280" s="49" t="s">
        <v>2553</v>
      </c>
      <c r="S280" s="14"/>
    </row>
    <row r="281" spans="1:19" ht="24.95" customHeight="1" x14ac:dyDescent="0.25">
      <c r="A281" s="49" t="s">
        <v>1675</v>
      </c>
      <c r="B281" s="98">
        <v>280</v>
      </c>
      <c r="C281" s="50">
        <v>46097</v>
      </c>
      <c r="D281" s="49">
        <f t="shared" si="8"/>
        <v>3</v>
      </c>
      <c r="E281" s="92" t="s">
        <v>123</v>
      </c>
      <c r="F281" s="49" t="s">
        <v>36</v>
      </c>
      <c r="G281" s="14" t="s">
        <v>477</v>
      </c>
      <c r="H281" s="14" t="s">
        <v>3183</v>
      </c>
      <c r="I281" s="76"/>
      <c r="J281" s="73">
        <v>0</v>
      </c>
      <c r="K281" s="74">
        <v>32760.61</v>
      </c>
      <c r="L281" s="72">
        <v>0</v>
      </c>
      <c r="M281" s="72">
        <v>0</v>
      </c>
      <c r="N281" s="72">
        <f>IF(AND(C281="",J281=0,K281=0,L281=0,M281=0),"",CADASTROS!$B$4+SUM($J$2:J281)+SUM($M$2:M281)-SUM($K$2:K281)-SUM($L$2:L281))</f>
        <v>206993.93000000017</v>
      </c>
      <c r="O281" s="72">
        <f>IF(A281="","",SUMIF(RATEIOS!$A$2:$A$3142,$A281,RATEIOS!$F$2:$F$3142))</f>
        <v>32760.61</v>
      </c>
      <c r="P281" s="15">
        <f t="shared" si="9"/>
        <v>0</v>
      </c>
      <c r="Q281" s="49" t="str">
        <f>IF(AND(J281=0,K281=0,L281=0,M281=0),"",IF(O281=0,"PENDENTE DE RATEIO",IF(ABS(P281)&gt;0.005,"DIVERGÊNCIA",IF(COUNTIF(RATEIOS!$A$2:$A$3142,$A281)-COUNTIFS(RATEIOS!$A$2:$A$3142,$A281,RATEIOS!$D$2:$D$3142,"&lt;&gt;")&gt;0,"NÃO CLASSIFICADO","RATEIO OK"))))</f>
        <v>RATEIO OK</v>
      </c>
      <c r="R281" s="49" t="s">
        <v>2553</v>
      </c>
      <c r="S281" s="14"/>
    </row>
    <row r="282" spans="1:19" ht="24.95" customHeight="1" x14ac:dyDescent="0.25">
      <c r="A282" s="49" t="s">
        <v>1676</v>
      </c>
      <c r="B282" s="98">
        <v>281</v>
      </c>
      <c r="C282" s="50">
        <v>46097</v>
      </c>
      <c r="D282" s="49">
        <f t="shared" si="8"/>
        <v>3</v>
      </c>
      <c r="E282" s="92" t="s">
        <v>118</v>
      </c>
      <c r="F282" s="49" t="s">
        <v>36</v>
      </c>
      <c r="G282" s="14" t="s">
        <v>478</v>
      </c>
      <c r="H282" s="14" t="s">
        <v>59</v>
      </c>
      <c r="I282" s="76" t="s">
        <v>479</v>
      </c>
      <c r="J282" s="73">
        <v>0</v>
      </c>
      <c r="K282" s="74">
        <v>1530</v>
      </c>
      <c r="L282" s="72">
        <v>0</v>
      </c>
      <c r="M282" s="72">
        <v>0</v>
      </c>
      <c r="N282" s="72">
        <f>IF(AND(C282="",J282=0,K282=0,L282=0,M282=0),"",CADASTROS!$B$4+SUM($J$2:J282)+SUM($M$2:M282)-SUM($K$2:K282)-SUM($L$2:L282))</f>
        <v>205463.93000000017</v>
      </c>
      <c r="O282" s="72">
        <f>IF(A282="","",SUMIF(RATEIOS!$A$2:$A$3142,$A282,RATEIOS!$F$2:$F$3142))</f>
        <v>1530</v>
      </c>
      <c r="P282" s="15">
        <f t="shared" si="9"/>
        <v>0</v>
      </c>
      <c r="Q282" s="49" t="str">
        <f>IF(AND(J282=0,K282=0,L282=0,M282=0),"",IF(O282=0,"PENDENTE DE RATEIO",IF(ABS(P282)&gt;0.005,"DIVERGÊNCIA",IF(COUNTIF(RATEIOS!$A$2:$A$3142,$A282)-COUNTIFS(RATEIOS!$A$2:$A$3142,$A282,RATEIOS!$D$2:$D$3142,"&lt;&gt;")&gt;0,"NÃO CLASSIFICADO","RATEIO OK"))))</f>
        <v>RATEIO OK</v>
      </c>
      <c r="R282" s="49" t="s">
        <v>2553</v>
      </c>
      <c r="S282" s="14"/>
    </row>
    <row r="283" spans="1:19" ht="24.95" customHeight="1" x14ac:dyDescent="0.25">
      <c r="A283" s="49" t="s">
        <v>1680</v>
      </c>
      <c r="B283" s="98">
        <v>282</v>
      </c>
      <c r="C283" s="50">
        <v>46097</v>
      </c>
      <c r="D283" s="49">
        <f t="shared" si="8"/>
        <v>3</v>
      </c>
      <c r="E283" s="92" t="s">
        <v>118</v>
      </c>
      <c r="F283" s="49" t="s">
        <v>36</v>
      </c>
      <c r="G283" s="14" t="s">
        <v>291</v>
      </c>
      <c r="H283" s="14" t="s">
        <v>51</v>
      </c>
      <c r="I283" s="76" t="s">
        <v>480</v>
      </c>
      <c r="J283" s="73">
        <v>0</v>
      </c>
      <c r="K283" s="74">
        <v>1357</v>
      </c>
      <c r="L283" s="72">
        <v>0</v>
      </c>
      <c r="M283" s="72">
        <v>0</v>
      </c>
      <c r="N283" s="72">
        <f>IF(AND(C283="",J283=0,K283=0,L283=0,M283=0),"",CADASTROS!$B$4+SUM($J$2:J283)+SUM($M$2:M283)-SUM($K$2:K283)-SUM($L$2:L283))</f>
        <v>204106.93000000017</v>
      </c>
      <c r="O283" s="72">
        <f>IF(A283="","",SUMIF(RATEIOS!$A$2:$A$3142,$A283,RATEIOS!$F$2:$F$3142))</f>
        <v>1357</v>
      </c>
      <c r="P283" s="15">
        <f t="shared" si="9"/>
        <v>0</v>
      </c>
      <c r="Q283" s="49" t="str">
        <f>IF(AND(J283=0,K283=0,L283=0,M283=0),"",IF(O283=0,"PENDENTE DE RATEIO",IF(ABS(P283)&gt;0.005,"DIVERGÊNCIA",IF(COUNTIF(RATEIOS!$A$2:$A$3142,$A283)-COUNTIFS(RATEIOS!$A$2:$A$3142,$A283,RATEIOS!$D$2:$D$3142,"&lt;&gt;")&gt;0,"NÃO CLASSIFICADO","RATEIO OK"))))</f>
        <v>RATEIO OK</v>
      </c>
      <c r="R283" s="49" t="s">
        <v>2553</v>
      </c>
      <c r="S283" s="14"/>
    </row>
    <row r="284" spans="1:19" ht="24.95" customHeight="1" x14ac:dyDescent="0.25">
      <c r="A284" s="49" t="s">
        <v>1681</v>
      </c>
      <c r="B284" s="98">
        <v>283</v>
      </c>
      <c r="C284" s="50">
        <v>46097</v>
      </c>
      <c r="D284" s="49">
        <f t="shared" si="8"/>
        <v>3</v>
      </c>
      <c r="E284" s="92" t="s">
        <v>287</v>
      </c>
      <c r="F284" s="49" t="s">
        <v>36</v>
      </c>
      <c r="G284" s="14" t="s">
        <v>481</v>
      </c>
      <c r="H284" s="14" t="s">
        <v>482</v>
      </c>
      <c r="I284" s="76" t="s">
        <v>483</v>
      </c>
      <c r="J284" s="73">
        <v>0</v>
      </c>
      <c r="K284" s="74">
        <v>900</v>
      </c>
      <c r="L284" s="72">
        <v>0</v>
      </c>
      <c r="M284" s="72">
        <v>0</v>
      </c>
      <c r="N284" s="72">
        <f>IF(AND(C284="",J284=0,K284=0,L284=0,M284=0),"",CADASTROS!$B$4+SUM($J$2:J284)+SUM($M$2:M284)-SUM($K$2:K284)-SUM($L$2:L284))</f>
        <v>203206.93000000017</v>
      </c>
      <c r="O284" s="72">
        <f>IF(A284="","",SUMIF(RATEIOS!$A$2:$A$3142,$A284,RATEIOS!$F$2:$F$3142))</f>
        <v>900</v>
      </c>
      <c r="P284" s="15">
        <f t="shared" si="9"/>
        <v>0</v>
      </c>
      <c r="Q284" s="49" t="str">
        <f>IF(AND(J284=0,K284=0,L284=0,M284=0),"",IF(O284=0,"PENDENTE DE RATEIO",IF(ABS(P284)&gt;0.005,"DIVERGÊNCIA",IF(COUNTIF(RATEIOS!$A$2:$A$3142,$A284)-COUNTIFS(RATEIOS!$A$2:$A$3142,$A284,RATEIOS!$D$2:$D$3142,"&lt;&gt;")&gt;0,"NÃO CLASSIFICADO","RATEIO OK"))))</f>
        <v>RATEIO OK</v>
      </c>
      <c r="R284" s="49" t="s">
        <v>2553</v>
      </c>
      <c r="S284" s="14"/>
    </row>
    <row r="285" spans="1:19" ht="24.95" customHeight="1" x14ac:dyDescent="0.25">
      <c r="A285" s="49" t="s">
        <v>1682</v>
      </c>
      <c r="B285" s="98">
        <v>284</v>
      </c>
      <c r="C285" s="50">
        <v>46097</v>
      </c>
      <c r="D285" s="49">
        <f t="shared" si="8"/>
        <v>3</v>
      </c>
      <c r="E285" s="92" t="s">
        <v>118</v>
      </c>
      <c r="F285" s="49" t="s">
        <v>36</v>
      </c>
      <c r="G285" s="14" t="s">
        <v>274</v>
      </c>
      <c r="H285" s="14" t="s">
        <v>59</v>
      </c>
      <c r="I285" s="76" t="s">
        <v>275</v>
      </c>
      <c r="J285" s="73">
        <v>0</v>
      </c>
      <c r="K285" s="74">
        <v>630</v>
      </c>
      <c r="L285" s="72">
        <v>0</v>
      </c>
      <c r="M285" s="72">
        <v>0</v>
      </c>
      <c r="N285" s="72">
        <f>IF(AND(C285="",J285=0,K285=0,L285=0,M285=0),"",CADASTROS!$B$4+SUM($J$2:J285)+SUM($M$2:M285)-SUM($K$2:K285)-SUM($L$2:L285))</f>
        <v>202576.93000000017</v>
      </c>
      <c r="O285" s="72">
        <f>IF(A285="","",SUMIF(RATEIOS!$A$2:$A$3142,$A285,RATEIOS!$F$2:$F$3142))</f>
        <v>630</v>
      </c>
      <c r="P285" s="15">
        <f t="shared" si="9"/>
        <v>0</v>
      </c>
      <c r="Q285" s="49" t="str">
        <f>IF(AND(J285=0,K285=0,L285=0,M285=0),"",IF(O285=0,"PENDENTE DE RATEIO",IF(ABS(P285)&gt;0.005,"DIVERGÊNCIA",IF(COUNTIF(RATEIOS!$A$2:$A$3142,$A285)-COUNTIFS(RATEIOS!$A$2:$A$3142,$A285,RATEIOS!$D$2:$D$3142,"&lt;&gt;")&gt;0,"NÃO CLASSIFICADO","RATEIO OK"))))</f>
        <v>RATEIO OK</v>
      </c>
      <c r="R285" s="49" t="s">
        <v>2553</v>
      </c>
      <c r="S285" s="14" t="s">
        <v>484</v>
      </c>
    </row>
    <row r="286" spans="1:19" ht="24.95" customHeight="1" x14ac:dyDescent="0.25">
      <c r="A286" s="49" t="s">
        <v>1683</v>
      </c>
      <c r="B286" s="98">
        <v>285</v>
      </c>
      <c r="C286" s="50">
        <v>46097</v>
      </c>
      <c r="D286" s="49">
        <f t="shared" si="8"/>
        <v>3</v>
      </c>
      <c r="E286" s="92" t="s">
        <v>118</v>
      </c>
      <c r="F286" s="49" t="s">
        <v>36</v>
      </c>
      <c r="G286" s="14" t="s">
        <v>485</v>
      </c>
      <c r="H286" s="14" t="s">
        <v>204</v>
      </c>
      <c r="I286" s="76" t="s">
        <v>486</v>
      </c>
      <c r="J286" s="73">
        <v>0</v>
      </c>
      <c r="K286" s="74">
        <v>580.59</v>
      </c>
      <c r="L286" s="72">
        <v>0</v>
      </c>
      <c r="M286" s="72">
        <v>0</v>
      </c>
      <c r="N286" s="72">
        <f>IF(AND(C286="",J286=0,K286=0,L286=0,M286=0),"",CADASTROS!$B$4+SUM($J$2:J286)+SUM($M$2:M286)-SUM($K$2:K286)-SUM($L$2:L286))</f>
        <v>201996.34000000008</v>
      </c>
      <c r="O286" s="72">
        <f>IF(A286="","",SUMIF(RATEIOS!$A$2:$A$3142,$A286,RATEIOS!$F$2:$F$3142))</f>
        <v>580.59</v>
      </c>
      <c r="P286" s="15">
        <f t="shared" si="9"/>
        <v>0</v>
      </c>
      <c r="Q286" s="49" t="str">
        <f>IF(AND(J286=0,K286=0,L286=0,M286=0),"",IF(O286=0,"PENDENTE DE RATEIO",IF(ABS(P286)&gt;0.005,"DIVERGÊNCIA",IF(COUNTIF(RATEIOS!$A$2:$A$3142,$A286)-COUNTIFS(RATEIOS!$A$2:$A$3142,$A286,RATEIOS!$D$2:$D$3142,"&lt;&gt;")&gt;0,"NÃO CLASSIFICADO","RATEIO OK"))))</f>
        <v>RATEIO OK</v>
      </c>
      <c r="R286" s="49" t="s">
        <v>2553</v>
      </c>
      <c r="S286" s="14"/>
    </row>
    <row r="287" spans="1:19" ht="24.95" customHeight="1" x14ac:dyDescent="0.25">
      <c r="A287" s="49" t="s">
        <v>1684</v>
      </c>
      <c r="B287" s="98">
        <v>286</v>
      </c>
      <c r="C287" s="50">
        <v>46097</v>
      </c>
      <c r="D287" s="49">
        <f t="shared" si="8"/>
        <v>3</v>
      </c>
      <c r="E287" s="92" t="s">
        <v>287</v>
      </c>
      <c r="F287" s="49" t="s">
        <v>36</v>
      </c>
      <c r="G287" s="14" t="s">
        <v>487</v>
      </c>
      <c r="H287" s="14" t="s">
        <v>467</v>
      </c>
      <c r="I287" s="76" t="s">
        <v>468</v>
      </c>
      <c r="J287" s="73">
        <v>0</v>
      </c>
      <c r="K287" s="74">
        <v>332.71</v>
      </c>
      <c r="L287" s="72">
        <v>0</v>
      </c>
      <c r="M287" s="72">
        <v>0</v>
      </c>
      <c r="N287" s="72">
        <f>IF(AND(C287="",J287=0,K287=0,L287=0,M287=0),"",CADASTROS!$B$4+SUM($J$2:J287)+SUM($M$2:M287)-SUM($K$2:K287)-SUM($L$2:L287))</f>
        <v>201663.63000000012</v>
      </c>
      <c r="O287" s="72">
        <f>IF(A287="","",SUMIF(RATEIOS!$A$2:$A$3142,$A287,RATEIOS!$F$2:$F$3142))</f>
        <v>332.71</v>
      </c>
      <c r="P287" s="15">
        <f t="shared" si="9"/>
        <v>0</v>
      </c>
      <c r="Q287" s="49" t="str">
        <f>IF(AND(J287=0,K287=0,L287=0,M287=0),"",IF(O287=0,"PENDENTE DE RATEIO",IF(ABS(P287)&gt;0.005,"DIVERGÊNCIA",IF(COUNTIF(RATEIOS!$A$2:$A$3142,$A287)-COUNTIFS(RATEIOS!$A$2:$A$3142,$A287,RATEIOS!$D$2:$D$3142,"&lt;&gt;")&gt;0,"NÃO CLASSIFICADO","RATEIO OK"))))</f>
        <v>RATEIO OK</v>
      </c>
      <c r="R287" s="49" t="s">
        <v>2553</v>
      </c>
      <c r="S287" s="14" t="s">
        <v>469</v>
      </c>
    </row>
    <row r="288" spans="1:19" ht="24.95" customHeight="1" x14ac:dyDescent="0.25">
      <c r="A288" s="49" t="s">
        <v>1685</v>
      </c>
      <c r="B288" s="98">
        <v>287</v>
      </c>
      <c r="C288" s="50">
        <v>46097</v>
      </c>
      <c r="D288" s="49">
        <f t="shared" si="8"/>
        <v>3</v>
      </c>
      <c r="E288" s="92" t="s">
        <v>118</v>
      </c>
      <c r="F288" s="49" t="s">
        <v>36</v>
      </c>
      <c r="G288" s="14" t="s">
        <v>305</v>
      </c>
      <c r="H288" s="14" t="s">
        <v>3207</v>
      </c>
      <c r="I288" s="76" t="s">
        <v>488</v>
      </c>
      <c r="J288" s="73">
        <v>0</v>
      </c>
      <c r="K288" s="74">
        <v>207</v>
      </c>
      <c r="L288" s="72">
        <v>0</v>
      </c>
      <c r="M288" s="72">
        <v>0</v>
      </c>
      <c r="N288" s="72">
        <f>IF(AND(C288="",J288=0,K288=0,L288=0,M288=0),"",CADASTROS!$B$4+SUM($J$2:J288)+SUM($M$2:M288)-SUM($K$2:K288)-SUM($L$2:L288))</f>
        <v>201456.63000000012</v>
      </c>
      <c r="O288" s="72">
        <f>IF(A288="","",SUMIF(RATEIOS!$A$2:$A$3142,$A288,RATEIOS!$F$2:$F$3142))</f>
        <v>207</v>
      </c>
      <c r="P288" s="15">
        <f t="shared" si="9"/>
        <v>0</v>
      </c>
      <c r="Q288" s="49" t="str">
        <f>IF(AND(J288=0,K288=0,L288=0,M288=0),"",IF(O288=0,"PENDENTE DE RATEIO",IF(ABS(P288)&gt;0.005,"DIVERGÊNCIA",IF(COUNTIF(RATEIOS!$A$2:$A$3142,$A288)-COUNTIFS(RATEIOS!$A$2:$A$3142,$A288,RATEIOS!$D$2:$D$3142,"&lt;&gt;")&gt;0,"NÃO CLASSIFICADO","RATEIO OK"))))</f>
        <v>RATEIO OK</v>
      </c>
      <c r="R288" s="49" t="s">
        <v>2553</v>
      </c>
      <c r="S288" s="14" t="s">
        <v>489</v>
      </c>
    </row>
    <row r="289" spans="1:19" ht="24.95" customHeight="1" x14ac:dyDescent="0.25">
      <c r="A289" s="49" t="s">
        <v>1686</v>
      </c>
      <c r="B289" s="98">
        <v>288</v>
      </c>
      <c r="C289" s="50">
        <v>46097</v>
      </c>
      <c r="D289" s="49">
        <f t="shared" si="8"/>
        <v>3</v>
      </c>
      <c r="E289" s="92" t="s">
        <v>118</v>
      </c>
      <c r="F289" s="49" t="s">
        <v>36</v>
      </c>
      <c r="G289" s="14" t="s">
        <v>305</v>
      </c>
      <c r="H289" s="14" t="s">
        <v>3207</v>
      </c>
      <c r="I289" s="76" t="s">
        <v>490</v>
      </c>
      <c r="J289" s="73">
        <v>0</v>
      </c>
      <c r="K289" s="74">
        <v>95</v>
      </c>
      <c r="L289" s="72">
        <v>0</v>
      </c>
      <c r="M289" s="72">
        <v>0</v>
      </c>
      <c r="N289" s="72">
        <f>IF(AND(C289="",J289=0,K289=0,L289=0,M289=0),"",CADASTROS!$B$4+SUM($J$2:J289)+SUM($M$2:M289)-SUM($K$2:K289)-SUM($L$2:L289))</f>
        <v>201361.63000000012</v>
      </c>
      <c r="O289" s="72">
        <f>IF(A289="","",SUMIF(RATEIOS!$A$2:$A$3142,$A289,RATEIOS!$F$2:$F$3142))</f>
        <v>95</v>
      </c>
      <c r="P289" s="15">
        <f t="shared" si="9"/>
        <v>0</v>
      </c>
      <c r="Q289" s="49" t="str">
        <f>IF(AND(J289=0,K289=0,L289=0,M289=0),"",IF(O289=0,"PENDENTE DE RATEIO",IF(ABS(P289)&gt;0.005,"DIVERGÊNCIA",IF(COUNTIF(RATEIOS!$A$2:$A$3142,$A289)-COUNTIFS(RATEIOS!$A$2:$A$3142,$A289,RATEIOS!$D$2:$D$3142,"&lt;&gt;")&gt;0,"NÃO CLASSIFICADO","RATEIO OK"))))</f>
        <v>RATEIO OK</v>
      </c>
      <c r="R289" s="49" t="s">
        <v>2553</v>
      </c>
      <c r="S289" s="14" t="s">
        <v>491</v>
      </c>
    </row>
    <row r="290" spans="1:19" ht="24.95" customHeight="1" x14ac:dyDescent="0.25">
      <c r="A290" s="49" t="s">
        <v>1687</v>
      </c>
      <c r="B290" s="98">
        <v>289</v>
      </c>
      <c r="C290" s="50">
        <v>46097</v>
      </c>
      <c r="D290" s="49">
        <f t="shared" si="8"/>
        <v>3</v>
      </c>
      <c r="E290" s="92" t="s">
        <v>2556</v>
      </c>
      <c r="F290" s="49" t="s">
        <v>36</v>
      </c>
      <c r="G290" s="14" t="s">
        <v>276</v>
      </c>
      <c r="H290" s="14" t="s">
        <v>277</v>
      </c>
      <c r="I290" s="76"/>
      <c r="J290" s="73">
        <v>0</v>
      </c>
      <c r="K290" s="74">
        <v>35</v>
      </c>
      <c r="L290" s="72">
        <v>0</v>
      </c>
      <c r="M290" s="72">
        <v>0</v>
      </c>
      <c r="N290" s="72">
        <f>IF(AND(C290="",J290=0,K290=0,L290=0,M290=0),"",CADASTROS!$B$4+SUM($J$2:J290)+SUM($M$2:M290)-SUM($K$2:K290)-SUM($L$2:L290))</f>
        <v>201326.63000000012</v>
      </c>
      <c r="O290" s="72">
        <f>IF(A290="","",SUMIF(RATEIOS!$A$2:$A$3142,$A290,RATEIOS!$F$2:$F$3142))</f>
        <v>35</v>
      </c>
      <c r="P290" s="15">
        <f t="shared" si="9"/>
        <v>0</v>
      </c>
      <c r="Q290" s="49" t="str">
        <f>IF(AND(J290=0,K290=0,L290=0,M290=0),"",IF(O290=0,"PENDENTE DE RATEIO",IF(ABS(P290)&gt;0.005,"DIVERGÊNCIA",IF(COUNTIF(RATEIOS!$A$2:$A$3142,$A290)-COUNTIFS(RATEIOS!$A$2:$A$3142,$A290,RATEIOS!$D$2:$D$3142,"&lt;&gt;")&gt;0,"NÃO CLASSIFICADO","RATEIO OK"))))</f>
        <v>RATEIO OK</v>
      </c>
      <c r="R290" s="49" t="s">
        <v>2553</v>
      </c>
      <c r="S290" s="14"/>
    </row>
    <row r="291" spans="1:19" ht="24.95" customHeight="1" x14ac:dyDescent="0.25">
      <c r="A291" s="49" t="s">
        <v>1688</v>
      </c>
      <c r="B291" s="98">
        <v>290</v>
      </c>
      <c r="C291" s="50">
        <v>46098</v>
      </c>
      <c r="D291" s="49">
        <f t="shared" si="8"/>
        <v>3</v>
      </c>
      <c r="E291" s="92" t="s">
        <v>118</v>
      </c>
      <c r="F291" s="49" t="s">
        <v>36</v>
      </c>
      <c r="G291" s="14" t="s">
        <v>492</v>
      </c>
      <c r="H291" s="14" t="s">
        <v>252</v>
      </c>
      <c r="I291" s="76" t="s">
        <v>493</v>
      </c>
      <c r="J291" s="73">
        <v>0</v>
      </c>
      <c r="K291" s="74">
        <v>19086.61</v>
      </c>
      <c r="L291" s="72">
        <v>0</v>
      </c>
      <c r="M291" s="72">
        <v>0</v>
      </c>
      <c r="N291" s="72">
        <f>IF(AND(C291="",J291=0,K291=0,L291=0,M291=0),"",CADASTROS!$B$4+SUM($J$2:J291)+SUM($M$2:M291)-SUM($K$2:K291)-SUM($L$2:L291))</f>
        <v>182240.02000000002</v>
      </c>
      <c r="O291" s="72">
        <f>IF(A291="","",SUMIF(RATEIOS!$A$2:$A$3142,$A291,RATEIOS!$F$2:$F$3142))</f>
        <v>19086.61</v>
      </c>
      <c r="P291" s="15">
        <f t="shared" si="9"/>
        <v>0</v>
      </c>
      <c r="Q291" s="49" t="str">
        <f>IF(AND(J291=0,K291=0,L291=0,M291=0),"",IF(O291=0,"PENDENTE DE RATEIO",IF(ABS(P291)&gt;0.005,"DIVERGÊNCIA",IF(COUNTIF(RATEIOS!$A$2:$A$3142,$A291)-COUNTIFS(RATEIOS!$A$2:$A$3142,$A291,RATEIOS!$D$2:$D$3142,"&lt;&gt;")&gt;0,"NÃO CLASSIFICADO","RATEIO OK"))))</f>
        <v>RATEIO OK</v>
      </c>
      <c r="R291" s="49" t="s">
        <v>2553</v>
      </c>
      <c r="S291" s="14" t="s">
        <v>494</v>
      </c>
    </row>
    <row r="292" spans="1:19" ht="24.95" customHeight="1" x14ac:dyDescent="0.25">
      <c r="A292" s="49" t="s">
        <v>1689</v>
      </c>
      <c r="B292" s="98">
        <v>291</v>
      </c>
      <c r="C292" s="50">
        <v>46098</v>
      </c>
      <c r="D292" s="49">
        <f t="shared" si="8"/>
        <v>3</v>
      </c>
      <c r="E292" s="92" t="s">
        <v>72</v>
      </c>
      <c r="F292" s="49" t="s">
        <v>36</v>
      </c>
      <c r="G292" s="14" t="s">
        <v>495</v>
      </c>
      <c r="H292" s="14" t="s">
        <v>496</v>
      </c>
      <c r="I292" s="76" t="s">
        <v>497</v>
      </c>
      <c r="J292" s="73">
        <v>0</v>
      </c>
      <c r="K292" s="74">
        <v>2450</v>
      </c>
      <c r="L292" s="72">
        <v>0</v>
      </c>
      <c r="M292" s="72">
        <v>0</v>
      </c>
      <c r="N292" s="72">
        <f>IF(AND(C292="",J292=0,K292=0,L292=0,M292=0),"",CADASTROS!$B$4+SUM($J$2:J292)+SUM($M$2:M292)-SUM($K$2:K292)-SUM($L$2:L292))</f>
        <v>179790.02000000002</v>
      </c>
      <c r="O292" s="72">
        <f>IF(A292="","",SUMIF(RATEIOS!$A$2:$A$3142,$A292,RATEIOS!$F$2:$F$3142))</f>
        <v>2450</v>
      </c>
      <c r="P292" s="15">
        <f t="shared" si="9"/>
        <v>0</v>
      </c>
      <c r="Q292" s="49" t="str">
        <f>IF(AND(J292=0,K292=0,L292=0,M292=0),"",IF(O292=0,"PENDENTE DE RATEIO",IF(ABS(P292)&gt;0.005,"DIVERGÊNCIA",IF(COUNTIF(RATEIOS!$A$2:$A$3142,$A292)-COUNTIFS(RATEIOS!$A$2:$A$3142,$A292,RATEIOS!$D$2:$D$3142,"&lt;&gt;")&gt;0,"NÃO CLASSIFICADO","RATEIO OK"))))</f>
        <v>RATEIO OK</v>
      </c>
      <c r="R292" s="49" t="s">
        <v>2553</v>
      </c>
      <c r="S292" s="14"/>
    </row>
    <row r="293" spans="1:19" ht="24.95" customHeight="1" x14ac:dyDescent="0.25">
      <c r="A293" s="49" t="s">
        <v>1690</v>
      </c>
      <c r="B293" s="98">
        <v>292</v>
      </c>
      <c r="C293" s="50">
        <v>46098</v>
      </c>
      <c r="D293" s="49">
        <f t="shared" si="8"/>
        <v>3</v>
      </c>
      <c r="E293" s="92" t="s">
        <v>72</v>
      </c>
      <c r="F293" s="49" t="s">
        <v>36</v>
      </c>
      <c r="G293" s="14" t="s">
        <v>498</v>
      </c>
      <c r="H293" s="14" t="s">
        <v>499</v>
      </c>
      <c r="I293" s="76" t="s">
        <v>500</v>
      </c>
      <c r="J293" s="73">
        <v>0</v>
      </c>
      <c r="K293" s="74">
        <v>1500</v>
      </c>
      <c r="L293" s="72">
        <v>0</v>
      </c>
      <c r="M293" s="72">
        <v>0</v>
      </c>
      <c r="N293" s="72">
        <f>IF(AND(C293="",J293=0,K293=0,L293=0,M293=0),"",CADASTROS!$B$4+SUM($J$2:J293)+SUM($M$2:M293)-SUM($K$2:K293)-SUM($L$2:L293))</f>
        <v>178290.02000000002</v>
      </c>
      <c r="O293" s="72">
        <f>IF(A293="","",SUMIF(RATEIOS!$A$2:$A$3142,$A293,RATEIOS!$F$2:$F$3142))</f>
        <v>1500</v>
      </c>
      <c r="P293" s="15">
        <f t="shared" si="9"/>
        <v>0</v>
      </c>
      <c r="Q293" s="49" t="str">
        <f>IF(AND(J293=0,K293=0,L293=0,M293=0),"",IF(O293=0,"PENDENTE DE RATEIO",IF(ABS(P293)&gt;0.005,"DIVERGÊNCIA",IF(COUNTIF(RATEIOS!$A$2:$A$3142,$A293)-COUNTIFS(RATEIOS!$A$2:$A$3142,$A293,RATEIOS!$D$2:$D$3142,"&lt;&gt;")&gt;0,"NÃO CLASSIFICADO","RATEIO OK"))))</f>
        <v>RATEIO OK</v>
      </c>
      <c r="R293" s="49" t="s">
        <v>2553</v>
      </c>
      <c r="S293" s="14"/>
    </row>
    <row r="294" spans="1:19" ht="36" x14ac:dyDescent="0.25">
      <c r="A294" s="49" t="s">
        <v>1691</v>
      </c>
      <c r="B294" s="98">
        <v>293</v>
      </c>
      <c r="C294" s="50">
        <v>46098</v>
      </c>
      <c r="D294" s="49">
        <f t="shared" si="8"/>
        <v>3</v>
      </c>
      <c r="E294" s="92" t="s">
        <v>72</v>
      </c>
      <c r="F294" s="49" t="s">
        <v>36</v>
      </c>
      <c r="G294" s="14" t="s">
        <v>501</v>
      </c>
      <c r="H294" s="14" t="s">
        <v>74</v>
      </c>
      <c r="I294" s="76" t="s">
        <v>502</v>
      </c>
      <c r="J294" s="73">
        <v>0</v>
      </c>
      <c r="K294" s="74">
        <v>871.83</v>
      </c>
      <c r="L294" s="72">
        <v>0</v>
      </c>
      <c r="M294" s="72">
        <v>0</v>
      </c>
      <c r="N294" s="72">
        <f>IF(AND(C294="",J294=0,K294=0,L294=0,M294=0),"",CADASTROS!$B$4+SUM($J$2:J294)+SUM($M$2:M294)-SUM($K$2:K294)-SUM($L$2:L294))</f>
        <v>177418.18999999994</v>
      </c>
      <c r="O294" s="72">
        <f>IF(A294="","",SUMIF(RATEIOS!$A$2:$A$3142,$A294,RATEIOS!$F$2:$F$3142))</f>
        <v>871.82999999999993</v>
      </c>
      <c r="P294" s="15">
        <f t="shared" si="9"/>
        <v>1.1368683772161603E-13</v>
      </c>
      <c r="Q294" s="49" t="str">
        <f>IF(AND(J294=0,K294=0,L294=0,M294=0),"",IF(O294=0,"PENDENTE DE RATEIO",IF(ABS(P294)&gt;0.005,"DIVERGÊNCIA",IF(COUNTIF(RATEIOS!$A$2:$A$3142,$A294)-COUNTIFS(RATEIOS!$A$2:$A$3142,$A294,RATEIOS!$D$2:$D$3142,"&lt;&gt;")&gt;0,"NÃO CLASSIFICADO","RATEIO OK"))))</f>
        <v>RATEIO OK</v>
      </c>
      <c r="R294" s="49" t="s">
        <v>2553</v>
      </c>
      <c r="S294" s="14" t="s">
        <v>503</v>
      </c>
    </row>
    <row r="295" spans="1:19" ht="24.95" customHeight="1" x14ac:dyDescent="0.25">
      <c r="A295" s="49" t="s">
        <v>1692</v>
      </c>
      <c r="B295" s="98">
        <v>294</v>
      </c>
      <c r="C295" s="50">
        <v>46098</v>
      </c>
      <c r="D295" s="49">
        <f t="shared" si="8"/>
        <v>3</v>
      </c>
      <c r="E295" s="92" t="s">
        <v>72</v>
      </c>
      <c r="F295" s="49" t="s">
        <v>36</v>
      </c>
      <c r="G295" s="14" t="s">
        <v>504</v>
      </c>
      <c r="H295" s="14" t="s">
        <v>504</v>
      </c>
      <c r="I295" s="76"/>
      <c r="J295" s="73">
        <v>0</v>
      </c>
      <c r="K295" s="74">
        <v>200</v>
      </c>
      <c r="L295" s="72">
        <v>0</v>
      </c>
      <c r="M295" s="72">
        <v>0</v>
      </c>
      <c r="N295" s="72">
        <f>IF(AND(C295="",J295=0,K295=0,L295=0,M295=0),"",CADASTROS!$B$4+SUM($J$2:J295)+SUM($M$2:M295)-SUM($K$2:K295)-SUM($L$2:L295))</f>
        <v>177218.18999999994</v>
      </c>
      <c r="O295" s="72">
        <f>IF(A295="","",SUMIF(RATEIOS!$A$2:$A$3142,$A295,RATEIOS!$F$2:$F$3142))</f>
        <v>200</v>
      </c>
      <c r="P295" s="15">
        <f t="shared" si="9"/>
        <v>0</v>
      </c>
      <c r="Q295" s="49" t="str">
        <f>IF(AND(J295=0,K295=0,L295=0,M295=0),"",IF(O295=0,"PENDENTE DE RATEIO",IF(ABS(P295)&gt;0.005,"DIVERGÊNCIA",IF(COUNTIF(RATEIOS!$A$2:$A$3142,$A295)-COUNTIFS(RATEIOS!$A$2:$A$3142,$A295,RATEIOS!$D$2:$D$3142,"&lt;&gt;")&gt;0,"NÃO CLASSIFICADO","RATEIO OK"))))</f>
        <v>RATEIO OK</v>
      </c>
      <c r="R295" s="49" t="s">
        <v>2553</v>
      </c>
      <c r="S295" s="14"/>
    </row>
    <row r="296" spans="1:19" ht="24.95" customHeight="1" x14ac:dyDescent="0.25">
      <c r="A296" s="49" t="s">
        <v>1693</v>
      </c>
      <c r="B296" s="98">
        <v>295</v>
      </c>
      <c r="C296" s="50">
        <v>46099</v>
      </c>
      <c r="D296" s="49">
        <f t="shared" si="8"/>
        <v>3</v>
      </c>
      <c r="E296" s="92" t="s">
        <v>505</v>
      </c>
      <c r="F296" s="49" t="s">
        <v>36</v>
      </c>
      <c r="G296" s="14" t="s">
        <v>506</v>
      </c>
      <c r="H296" s="14" t="s">
        <v>3041</v>
      </c>
      <c r="I296" s="76" t="s">
        <v>507</v>
      </c>
      <c r="J296" s="73">
        <v>0</v>
      </c>
      <c r="K296" s="74">
        <v>7700</v>
      </c>
      <c r="L296" s="72">
        <v>0</v>
      </c>
      <c r="M296" s="72">
        <v>0</v>
      </c>
      <c r="N296" s="72">
        <f>IF(AND(C296="",J296=0,K296=0,L296=0,M296=0),"",CADASTROS!$B$4+SUM($J$2:J296)+SUM($M$2:M296)-SUM($K$2:K296)-SUM($L$2:L296))</f>
        <v>169518.18999999994</v>
      </c>
      <c r="O296" s="72">
        <f>IF(A296="","",SUMIF(RATEIOS!$A$2:$A$3142,$A296,RATEIOS!$F$2:$F$3142))</f>
        <v>7700</v>
      </c>
      <c r="P296" s="15">
        <f t="shared" si="9"/>
        <v>0</v>
      </c>
      <c r="Q296" s="49" t="str">
        <f>IF(AND(J296=0,K296=0,L296=0,M296=0),"",IF(O296=0,"PENDENTE DE RATEIO",IF(ABS(P296)&gt;0.005,"DIVERGÊNCIA",IF(COUNTIF(RATEIOS!$A$2:$A$3142,$A296)-COUNTIFS(RATEIOS!$A$2:$A$3142,$A296,RATEIOS!$D$2:$D$3142,"&lt;&gt;")&gt;0,"NÃO CLASSIFICADO","RATEIO OK"))))</f>
        <v>RATEIO OK</v>
      </c>
      <c r="R296" s="49" t="s">
        <v>2553</v>
      </c>
      <c r="S296" s="14"/>
    </row>
    <row r="297" spans="1:19" ht="24.95" customHeight="1" x14ac:dyDescent="0.25">
      <c r="A297" s="49" t="s">
        <v>1694</v>
      </c>
      <c r="B297" s="98">
        <v>296</v>
      </c>
      <c r="C297" s="50">
        <v>46099</v>
      </c>
      <c r="D297" s="49">
        <f t="shared" si="8"/>
        <v>3</v>
      </c>
      <c r="E297" s="92" t="s">
        <v>118</v>
      </c>
      <c r="F297" s="49" t="s">
        <v>36</v>
      </c>
      <c r="G297" s="14" t="s">
        <v>508</v>
      </c>
      <c r="H297" s="14" t="s">
        <v>143</v>
      </c>
      <c r="I297" s="76" t="s">
        <v>311</v>
      </c>
      <c r="J297" s="73">
        <v>0</v>
      </c>
      <c r="K297" s="74">
        <v>2750</v>
      </c>
      <c r="L297" s="72">
        <v>0</v>
      </c>
      <c r="M297" s="72">
        <v>0</v>
      </c>
      <c r="N297" s="72">
        <f>IF(AND(C297="",J297=0,K297=0,L297=0,M297=0),"",CADASTROS!$B$4+SUM($J$2:J297)+SUM($M$2:M297)-SUM($K$2:K297)-SUM($L$2:L297))</f>
        <v>166768.18999999994</v>
      </c>
      <c r="O297" s="72">
        <f>IF(A297="","",SUMIF(RATEIOS!$A$2:$A$3142,$A297,RATEIOS!$F$2:$F$3142))</f>
        <v>2750</v>
      </c>
      <c r="P297" s="15">
        <f t="shared" si="9"/>
        <v>0</v>
      </c>
      <c r="Q297" s="49" t="str">
        <f>IF(AND(J297=0,K297=0,L297=0,M297=0),"",IF(O297=0,"PENDENTE DE RATEIO",IF(ABS(P297)&gt;0.005,"DIVERGÊNCIA",IF(COUNTIF(RATEIOS!$A$2:$A$3142,$A297)-COUNTIFS(RATEIOS!$A$2:$A$3142,$A297,RATEIOS!$D$2:$D$3142,"&lt;&gt;")&gt;0,"NÃO CLASSIFICADO","RATEIO OK"))))</f>
        <v>RATEIO OK</v>
      </c>
      <c r="R297" s="49" t="s">
        <v>2553</v>
      </c>
      <c r="S297" s="14"/>
    </row>
    <row r="298" spans="1:19" ht="24.95" customHeight="1" x14ac:dyDescent="0.25">
      <c r="A298" s="49" t="s">
        <v>1695</v>
      </c>
      <c r="B298" s="98">
        <v>297</v>
      </c>
      <c r="C298" s="50">
        <v>46099</v>
      </c>
      <c r="D298" s="49">
        <f t="shared" si="8"/>
        <v>3</v>
      </c>
      <c r="E298" s="92" t="s">
        <v>287</v>
      </c>
      <c r="F298" s="49" t="s">
        <v>36</v>
      </c>
      <c r="G298" s="14" t="s">
        <v>293</v>
      </c>
      <c r="H298" s="14" t="s">
        <v>3033</v>
      </c>
      <c r="I298" s="76" t="s">
        <v>3031</v>
      </c>
      <c r="J298" s="73">
        <v>0</v>
      </c>
      <c r="K298" s="74">
        <v>1246</v>
      </c>
      <c r="L298" s="72">
        <v>0</v>
      </c>
      <c r="M298" s="72">
        <v>0</v>
      </c>
      <c r="N298" s="72">
        <f>IF(AND(C298="",J298=0,K298=0,L298=0,M298=0),"",CADASTROS!$B$4+SUM($J$2:J298)+SUM($M$2:M298)-SUM($K$2:K298)-SUM($L$2:L298))</f>
        <v>165522.18999999994</v>
      </c>
      <c r="O298" s="72">
        <f>IF(A298="","",SUMIF(RATEIOS!$A$2:$A$3142,$A298,RATEIOS!$F$2:$F$3142))</f>
        <v>1246</v>
      </c>
      <c r="P298" s="15">
        <f t="shared" si="9"/>
        <v>0</v>
      </c>
      <c r="Q298" s="49" t="str">
        <f>IF(AND(J298=0,K298=0,L298=0,M298=0),"",IF(O298=0,"PENDENTE DE RATEIO",IF(ABS(P298)&gt;0.005,"DIVERGÊNCIA",IF(COUNTIF(RATEIOS!$A$2:$A$3142,$A298)-COUNTIFS(RATEIOS!$A$2:$A$3142,$A298,RATEIOS!$D$2:$D$3142,"&lt;&gt;")&gt;0,"NÃO CLASSIFICADO","RATEIO OK"))))</f>
        <v>RATEIO OK</v>
      </c>
      <c r="R298" s="49" t="s">
        <v>2553</v>
      </c>
      <c r="S298" s="14" t="s">
        <v>509</v>
      </c>
    </row>
    <row r="299" spans="1:19" ht="24.95" customHeight="1" x14ac:dyDescent="0.25">
      <c r="A299" s="49" t="s">
        <v>1696</v>
      </c>
      <c r="B299" s="98">
        <v>298</v>
      </c>
      <c r="C299" s="50">
        <v>46099</v>
      </c>
      <c r="D299" s="49">
        <f t="shared" si="8"/>
        <v>3</v>
      </c>
      <c r="E299" s="92" t="s">
        <v>510</v>
      </c>
      <c r="F299" s="49" t="s">
        <v>36</v>
      </c>
      <c r="G299" s="14" t="s">
        <v>511</v>
      </c>
      <c r="H299" s="14" t="s">
        <v>512</v>
      </c>
      <c r="I299" s="76"/>
      <c r="J299" s="73">
        <v>0</v>
      </c>
      <c r="K299" s="74">
        <v>400</v>
      </c>
      <c r="L299" s="72">
        <v>0</v>
      </c>
      <c r="M299" s="72">
        <v>0</v>
      </c>
      <c r="N299" s="72">
        <f>IF(AND(C299="",J299=0,K299=0,L299=0,M299=0),"",CADASTROS!$B$4+SUM($J$2:J299)+SUM($M$2:M299)-SUM($K$2:K299)-SUM($L$2:L299))</f>
        <v>165122.18999999994</v>
      </c>
      <c r="O299" s="72">
        <f>IF(A299="","",SUMIF(RATEIOS!$A$2:$A$3142,$A299,RATEIOS!$F$2:$F$3142))</f>
        <v>400</v>
      </c>
      <c r="P299" s="15">
        <f t="shared" si="9"/>
        <v>0</v>
      </c>
      <c r="Q299" s="49" t="str">
        <f>IF(AND(J299=0,K299=0,L299=0,M299=0),"",IF(O299=0,"PENDENTE DE RATEIO",IF(ABS(P299)&gt;0.005,"DIVERGÊNCIA",IF(COUNTIF(RATEIOS!$A$2:$A$3142,$A299)-COUNTIFS(RATEIOS!$A$2:$A$3142,$A299,RATEIOS!$D$2:$D$3142,"&lt;&gt;")&gt;0,"NÃO CLASSIFICADO","RATEIO OK"))))</f>
        <v>RATEIO OK</v>
      </c>
      <c r="R299" s="49" t="s">
        <v>2553</v>
      </c>
      <c r="S299" s="14"/>
    </row>
    <row r="300" spans="1:19" ht="24.95" customHeight="1" x14ac:dyDescent="0.25">
      <c r="A300" s="49" t="s">
        <v>1698</v>
      </c>
      <c r="B300" s="98">
        <v>299</v>
      </c>
      <c r="C300" s="50">
        <v>46099</v>
      </c>
      <c r="D300" s="49">
        <f t="shared" si="8"/>
        <v>3</v>
      </c>
      <c r="E300" s="92" t="s">
        <v>118</v>
      </c>
      <c r="F300" s="49" t="s">
        <v>36</v>
      </c>
      <c r="G300" s="14" t="s">
        <v>513</v>
      </c>
      <c r="H300" s="14" t="s">
        <v>67</v>
      </c>
      <c r="I300" s="76" t="s">
        <v>515</v>
      </c>
      <c r="J300" s="73">
        <v>0</v>
      </c>
      <c r="K300" s="74">
        <v>300</v>
      </c>
      <c r="L300" s="72">
        <v>0</v>
      </c>
      <c r="M300" s="72">
        <v>0</v>
      </c>
      <c r="N300" s="72">
        <f>IF(AND(C300="",J300=0,K300=0,L300=0,M300=0),"",CADASTROS!$B$4+SUM($J$2:J300)+SUM($M$2:M300)-SUM($K$2:K300)-SUM($L$2:L300))</f>
        <v>164822.18999999994</v>
      </c>
      <c r="O300" s="72">
        <f>IF(A300="","",SUMIF(RATEIOS!$A$2:$A$3142,$A300,RATEIOS!$F$2:$F$3142))</f>
        <v>300</v>
      </c>
      <c r="P300" s="15">
        <f t="shared" si="9"/>
        <v>0</v>
      </c>
      <c r="Q300" s="49" t="str">
        <f>IF(AND(J300=0,K300=0,L300=0,M300=0),"",IF(O300=0,"PENDENTE DE RATEIO",IF(ABS(P300)&gt;0.005,"DIVERGÊNCIA",IF(COUNTIF(RATEIOS!$A$2:$A$3142,$A300)-COUNTIFS(RATEIOS!$A$2:$A$3142,$A300,RATEIOS!$D$2:$D$3142,"&lt;&gt;")&gt;0,"NÃO CLASSIFICADO","RATEIO OK"))))</f>
        <v>RATEIO OK</v>
      </c>
      <c r="R300" s="49" t="s">
        <v>2553</v>
      </c>
      <c r="S300" s="14" t="s">
        <v>516</v>
      </c>
    </row>
    <row r="301" spans="1:19" ht="24.95" customHeight="1" x14ac:dyDescent="0.25">
      <c r="A301" s="49" t="s">
        <v>1699</v>
      </c>
      <c r="B301" s="98">
        <v>300</v>
      </c>
      <c r="C301" s="50">
        <v>46099</v>
      </c>
      <c r="D301" s="49">
        <f t="shared" si="8"/>
        <v>3</v>
      </c>
      <c r="E301" s="92" t="s">
        <v>2556</v>
      </c>
      <c r="F301" s="49" t="s">
        <v>36</v>
      </c>
      <c r="G301" s="14" t="s">
        <v>517</v>
      </c>
      <c r="H301" s="14" t="s">
        <v>517</v>
      </c>
      <c r="I301" s="76"/>
      <c r="J301" s="73">
        <v>0</v>
      </c>
      <c r="K301" s="74">
        <v>19.100000000000001</v>
      </c>
      <c r="L301" s="72">
        <v>0</v>
      </c>
      <c r="M301" s="72">
        <v>0</v>
      </c>
      <c r="N301" s="72">
        <f>IF(AND(C301="",J301=0,K301=0,L301=0,M301=0),"",CADASTROS!$B$4+SUM($J$2:J301)+SUM($M$2:M301)-SUM($K$2:K301)-SUM($L$2:L301))</f>
        <v>164803.08999999985</v>
      </c>
      <c r="O301" s="72">
        <f>IF(A301="","",SUMIF(RATEIOS!$A$2:$A$3142,$A301,RATEIOS!$F$2:$F$3142))</f>
        <v>19.100000000000001</v>
      </c>
      <c r="P301" s="15">
        <f t="shared" si="9"/>
        <v>0</v>
      </c>
      <c r="Q301" s="49" t="str">
        <f>IF(AND(J301=0,K301=0,L301=0,M301=0),"",IF(O301=0,"PENDENTE DE RATEIO",IF(ABS(P301)&gt;0.005,"DIVERGÊNCIA",IF(COUNTIF(RATEIOS!$A$2:$A$3142,$A301)-COUNTIFS(RATEIOS!$A$2:$A$3142,$A301,RATEIOS!$D$2:$D$3142,"&lt;&gt;")&gt;0,"NÃO CLASSIFICADO","RATEIO OK"))))</f>
        <v>RATEIO OK</v>
      </c>
      <c r="R301" s="49" t="s">
        <v>2553</v>
      </c>
      <c r="S301" s="14"/>
    </row>
    <row r="302" spans="1:19" ht="24.95" customHeight="1" x14ac:dyDescent="0.25">
      <c r="A302" s="49" t="s">
        <v>1700</v>
      </c>
      <c r="B302" s="98">
        <v>301</v>
      </c>
      <c r="C302" s="50">
        <v>46101</v>
      </c>
      <c r="D302" s="49">
        <f t="shared" si="8"/>
        <v>3</v>
      </c>
      <c r="E302" s="92" t="s">
        <v>169</v>
      </c>
      <c r="F302" s="49" t="s">
        <v>36</v>
      </c>
      <c r="G302" s="14" t="s">
        <v>518</v>
      </c>
      <c r="H302" s="14" t="s">
        <v>167</v>
      </c>
      <c r="I302" s="76"/>
      <c r="J302" s="73">
        <v>0</v>
      </c>
      <c r="K302" s="74">
        <v>26646.04</v>
      </c>
      <c r="L302" s="72">
        <v>0</v>
      </c>
      <c r="M302" s="72">
        <v>0</v>
      </c>
      <c r="N302" s="72">
        <f>IF(AND(C302="",J302=0,K302=0,L302=0,M302=0),"",CADASTROS!$B$4+SUM($J$2:J302)+SUM($M$2:M302)-SUM($K$2:K302)-SUM($L$2:L302))</f>
        <v>138157.04999999981</v>
      </c>
      <c r="O302" s="72">
        <f>IF(A302="","",SUMIF(RATEIOS!$A$2:$A$3142,$A302,RATEIOS!$F$2:$F$3142))</f>
        <v>26646.04</v>
      </c>
      <c r="P302" s="15">
        <f t="shared" si="9"/>
        <v>0</v>
      </c>
      <c r="Q302" s="49" t="str">
        <f>IF(AND(J302=0,K302=0,L302=0,M302=0),"",IF(O302=0,"PENDENTE DE RATEIO",IF(ABS(P302)&gt;0.005,"DIVERGÊNCIA",IF(COUNTIF(RATEIOS!$A$2:$A$3142,$A302)-COUNTIFS(RATEIOS!$A$2:$A$3142,$A302,RATEIOS!$D$2:$D$3142,"&lt;&gt;")&gt;0,"NÃO CLASSIFICADO","RATEIO OK"))))</f>
        <v>RATEIO OK</v>
      </c>
      <c r="R302" s="49" t="s">
        <v>2553</v>
      </c>
      <c r="S302" s="14"/>
    </row>
    <row r="303" spans="1:19" ht="24.95" customHeight="1" x14ac:dyDescent="0.25">
      <c r="A303" s="49" t="s">
        <v>1701</v>
      </c>
      <c r="B303" s="98">
        <v>302</v>
      </c>
      <c r="C303" s="50">
        <v>46101</v>
      </c>
      <c r="D303" s="49">
        <f t="shared" si="8"/>
        <v>3</v>
      </c>
      <c r="E303" s="92" t="s">
        <v>72</v>
      </c>
      <c r="F303" s="49" t="s">
        <v>36</v>
      </c>
      <c r="G303" s="14" t="s">
        <v>519</v>
      </c>
      <c r="H303" s="14" t="s">
        <v>164</v>
      </c>
      <c r="I303" s="76"/>
      <c r="J303" s="73">
        <v>0</v>
      </c>
      <c r="K303" s="74">
        <v>6884.18</v>
      </c>
      <c r="L303" s="72">
        <v>0</v>
      </c>
      <c r="M303" s="72">
        <v>0</v>
      </c>
      <c r="N303" s="72">
        <f>IF(AND(C303="",J303=0,K303=0,L303=0,M303=0),"",CADASTROS!$B$4+SUM($J$2:J303)+SUM($M$2:M303)-SUM($K$2:K303)-SUM($L$2:L303))</f>
        <v>131272.86999999988</v>
      </c>
      <c r="O303" s="72">
        <f>IF(A303="","",SUMIF(RATEIOS!$A$2:$A$3142,$A303,RATEIOS!$F$2:$F$3142))</f>
        <v>6884.18</v>
      </c>
      <c r="P303" s="15">
        <f t="shared" si="9"/>
        <v>0</v>
      </c>
      <c r="Q303" s="49" t="str">
        <f>IF(AND(J303=0,K303=0,L303=0,M303=0),"",IF(O303=0,"PENDENTE DE RATEIO",IF(ABS(P303)&gt;0.005,"DIVERGÊNCIA",IF(COUNTIF(RATEIOS!$A$2:$A$3142,$A303)-COUNTIFS(RATEIOS!$A$2:$A$3142,$A303,RATEIOS!$D$2:$D$3142,"&lt;&gt;")&gt;0,"NÃO CLASSIFICADO","RATEIO OK"))))</f>
        <v>RATEIO OK</v>
      </c>
      <c r="R303" s="49" t="s">
        <v>2553</v>
      </c>
      <c r="S303" s="14"/>
    </row>
    <row r="304" spans="1:19" ht="24.95" customHeight="1" x14ac:dyDescent="0.25">
      <c r="A304" s="49" t="s">
        <v>1702</v>
      </c>
      <c r="B304" s="98">
        <v>303</v>
      </c>
      <c r="C304" s="50">
        <v>46101</v>
      </c>
      <c r="D304" s="49">
        <f t="shared" si="8"/>
        <v>3</v>
      </c>
      <c r="E304" s="92" t="s">
        <v>72</v>
      </c>
      <c r="F304" s="49" t="s">
        <v>36</v>
      </c>
      <c r="G304" s="14" t="s">
        <v>168</v>
      </c>
      <c r="H304" s="14" t="s">
        <v>2741</v>
      </c>
      <c r="I304" s="76"/>
      <c r="J304" s="73">
        <v>0</v>
      </c>
      <c r="K304" s="74">
        <v>98.78</v>
      </c>
      <c r="L304" s="72">
        <v>0</v>
      </c>
      <c r="M304" s="72">
        <v>0</v>
      </c>
      <c r="N304" s="72">
        <f>IF(AND(C304="",J304=0,K304=0,L304=0,M304=0),"",CADASTROS!$B$4+SUM($J$2:J304)+SUM($M$2:M304)-SUM($K$2:K304)-SUM($L$2:L304))</f>
        <v>131174.08999999985</v>
      </c>
      <c r="O304" s="72">
        <f>IF(A304="","",SUMIF(RATEIOS!$A$2:$A$3142,$A304,RATEIOS!$F$2:$F$3142))</f>
        <v>98.78</v>
      </c>
      <c r="P304" s="15">
        <f t="shared" si="9"/>
        <v>0</v>
      </c>
      <c r="Q304" s="49" t="str">
        <f>IF(AND(J304=0,K304=0,L304=0,M304=0),"",IF(O304=0,"PENDENTE DE RATEIO",IF(ABS(P304)&gt;0.005,"DIVERGÊNCIA",IF(COUNTIF(RATEIOS!$A$2:$A$3142,$A304)-COUNTIFS(RATEIOS!$A$2:$A$3142,$A304,RATEIOS!$D$2:$D$3142,"&lt;&gt;")&gt;0,"NÃO CLASSIFICADO","RATEIO OK"))))</f>
        <v>RATEIO OK</v>
      </c>
      <c r="R304" s="49" t="s">
        <v>2553</v>
      </c>
      <c r="S304" s="14"/>
    </row>
    <row r="305" spans="1:19" ht="24.95" customHeight="1" x14ac:dyDescent="0.25">
      <c r="A305" s="49" t="s">
        <v>1703</v>
      </c>
      <c r="B305" s="98">
        <v>304</v>
      </c>
      <c r="C305" s="50">
        <v>46101</v>
      </c>
      <c r="D305" s="49">
        <f t="shared" si="8"/>
        <v>3</v>
      </c>
      <c r="E305" s="92" t="s">
        <v>72</v>
      </c>
      <c r="F305" s="49" t="s">
        <v>36</v>
      </c>
      <c r="G305" s="14" t="s">
        <v>170</v>
      </c>
      <c r="H305" s="14" t="s">
        <v>2741</v>
      </c>
      <c r="I305" s="76"/>
      <c r="J305" s="73">
        <v>0</v>
      </c>
      <c r="K305" s="74">
        <v>31.86</v>
      </c>
      <c r="L305" s="72">
        <v>0</v>
      </c>
      <c r="M305" s="72">
        <v>0</v>
      </c>
      <c r="N305" s="72">
        <f>IF(AND(C305="",J305=0,K305=0,L305=0,M305=0),"",CADASTROS!$B$4+SUM($J$2:J305)+SUM($M$2:M305)-SUM($K$2:K305)-SUM($L$2:L305))</f>
        <v>131142.22999999975</v>
      </c>
      <c r="O305" s="72">
        <f>IF(A305="","",SUMIF(RATEIOS!$A$2:$A$3142,$A305,RATEIOS!$F$2:$F$3142))</f>
        <v>31.86</v>
      </c>
      <c r="P305" s="15">
        <f t="shared" si="9"/>
        <v>0</v>
      </c>
      <c r="Q305" s="49" t="str">
        <f>IF(AND(J305=0,K305=0,L305=0,M305=0),"",IF(O305=0,"PENDENTE DE RATEIO",IF(ABS(P305)&gt;0.005,"DIVERGÊNCIA",IF(COUNTIF(RATEIOS!$A$2:$A$3142,$A305)-COUNTIFS(RATEIOS!$A$2:$A$3142,$A305,RATEIOS!$D$2:$D$3142,"&lt;&gt;")&gt;0,"NÃO CLASSIFICADO","RATEIO OK"))))</f>
        <v>RATEIO OK</v>
      </c>
      <c r="R305" s="49" t="s">
        <v>2553</v>
      </c>
      <c r="S305" s="14"/>
    </row>
    <row r="306" spans="1:19" ht="24.95" customHeight="1" x14ac:dyDescent="0.25">
      <c r="A306" s="49" t="s">
        <v>1704</v>
      </c>
      <c r="B306" s="98">
        <v>305</v>
      </c>
      <c r="C306" s="50">
        <v>46104</v>
      </c>
      <c r="D306" s="49">
        <f t="shared" si="8"/>
        <v>3</v>
      </c>
      <c r="E306" s="92" t="s">
        <v>287</v>
      </c>
      <c r="F306" s="49" t="s">
        <v>36</v>
      </c>
      <c r="G306" s="14" t="s">
        <v>520</v>
      </c>
      <c r="H306" s="14" t="s">
        <v>159</v>
      </c>
      <c r="I306" s="76" t="s">
        <v>521</v>
      </c>
      <c r="J306" s="73">
        <v>0</v>
      </c>
      <c r="K306" s="74">
        <v>4600</v>
      </c>
      <c r="L306" s="72">
        <v>0</v>
      </c>
      <c r="M306" s="72">
        <v>0</v>
      </c>
      <c r="N306" s="72">
        <f>IF(AND(C306="",J306=0,K306=0,L306=0,M306=0),"",CADASTROS!$B$4+SUM($J$2:J306)+SUM($M$2:M306)-SUM($K$2:K306)-SUM($L$2:L306))</f>
        <v>126542.22999999975</v>
      </c>
      <c r="O306" s="72">
        <f>IF(A306="","",SUMIF(RATEIOS!$A$2:$A$3142,$A306,RATEIOS!$F$2:$F$3142))</f>
        <v>4600</v>
      </c>
      <c r="P306" s="15">
        <f t="shared" si="9"/>
        <v>0</v>
      </c>
      <c r="Q306" s="49" t="str">
        <f>IF(AND(J306=0,K306=0,L306=0,M306=0),"",IF(O306=0,"PENDENTE DE RATEIO",IF(ABS(P306)&gt;0.005,"DIVERGÊNCIA",IF(COUNTIF(RATEIOS!$A$2:$A$3142,$A306)-COUNTIFS(RATEIOS!$A$2:$A$3142,$A306,RATEIOS!$D$2:$D$3142,"&lt;&gt;")&gt;0,"NÃO CLASSIFICADO","RATEIO OK"))))</f>
        <v>RATEIO OK</v>
      </c>
      <c r="R306" s="49" t="s">
        <v>2553</v>
      </c>
      <c r="S306" s="14"/>
    </row>
    <row r="307" spans="1:19" ht="24.95" customHeight="1" x14ac:dyDescent="0.25">
      <c r="A307" s="49" t="s">
        <v>1705</v>
      </c>
      <c r="B307" s="98">
        <v>306</v>
      </c>
      <c r="C307" s="50">
        <v>46104</v>
      </c>
      <c r="D307" s="49">
        <f t="shared" si="8"/>
        <v>3</v>
      </c>
      <c r="E307" s="92" t="s">
        <v>118</v>
      </c>
      <c r="F307" s="49" t="s">
        <v>36</v>
      </c>
      <c r="G307" s="14" t="s">
        <v>522</v>
      </c>
      <c r="H307" s="14" t="s">
        <v>59</v>
      </c>
      <c r="I307" s="76" t="s">
        <v>313</v>
      </c>
      <c r="J307" s="73">
        <v>0</v>
      </c>
      <c r="K307" s="74">
        <v>2520</v>
      </c>
      <c r="L307" s="72">
        <v>0</v>
      </c>
      <c r="M307" s="72">
        <v>0</v>
      </c>
      <c r="N307" s="72">
        <f>IF(AND(C307="",J307=0,K307=0,L307=0,M307=0),"",CADASTROS!$B$4+SUM($J$2:J307)+SUM($M$2:M307)-SUM($K$2:K307)-SUM($L$2:L307))</f>
        <v>124022.22999999975</v>
      </c>
      <c r="O307" s="72">
        <f>IF(A307="","",SUMIF(RATEIOS!$A$2:$A$3142,$A307,RATEIOS!$F$2:$F$3142))</f>
        <v>2520</v>
      </c>
      <c r="P307" s="15">
        <f t="shared" si="9"/>
        <v>0</v>
      </c>
      <c r="Q307" s="49" t="str">
        <f>IF(AND(J307=0,K307=0,L307=0,M307=0),"",IF(O307=0,"PENDENTE DE RATEIO",IF(ABS(P307)&gt;0.005,"DIVERGÊNCIA",IF(COUNTIF(RATEIOS!$A$2:$A$3142,$A307)-COUNTIFS(RATEIOS!$A$2:$A$3142,$A307,RATEIOS!$D$2:$D$3142,"&lt;&gt;")&gt;0,"NÃO CLASSIFICADO","RATEIO OK"))))</f>
        <v>RATEIO OK</v>
      </c>
      <c r="R307" s="49" t="s">
        <v>2553</v>
      </c>
      <c r="S307" s="14"/>
    </row>
    <row r="308" spans="1:19" ht="24.95" customHeight="1" x14ac:dyDescent="0.25">
      <c r="A308" s="49" t="s">
        <v>1706</v>
      </c>
      <c r="B308" s="98">
        <v>307</v>
      </c>
      <c r="C308" s="50">
        <v>46104</v>
      </c>
      <c r="D308" s="49">
        <f t="shared" si="8"/>
        <v>3</v>
      </c>
      <c r="E308" s="92" t="s">
        <v>118</v>
      </c>
      <c r="F308" s="49" t="s">
        <v>36</v>
      </c>
      <c r="G308" s="14" t="s">
        <v>523</v>
      </c>
      <c r="H308" s="14" t="s">
        <v>143</v>
      </c>
      <c r="I308" s="76" t="s">
        <v>524</v>
      </c>
      <c r="J308" s="73">
        <v>0</v>
      </c>
      <c r="K308" s="74">
        <v>1722.5</v>
      </c>
      <c r="L308" s="72">
        <v>0</v>
      </c>
      <c r="M308" s="72">
        <v>0</v>
      </c>
      <c r="N308" s="72">
        <f>IF(AND(C308="",J308=0,K308=0,L308=0,M308=0),"",CADASTROS!$B$4+SUM($J$2:J308)+SUM($M$2:M308)-SUM($K$2:K308)-SUM($L$2:L308))</f>
        <v>122299.72999999975</v>
      </c>
      <c r="O308" s="72">
        <f>IF(A308="","",SUMIF(RATEIOS!$A$2:$A$3142,$A308,RATEIOS!$F$2:$F$3142))</f>
        <v>1722.5</v>
      </c>
      <c r="P308" s="15">
        <f t="shared" si="9"/>
        <v>0</v>
      </c>
      <c r="Q308" s="49" t="str">
        <f>IF(AND(J308=0,K308=0,L308=0,M308=0),"",IF(O308=0,"PENDENTE DE RATEIO",IF(ABS(P308)&gt;0.005,"DIVERGÊNCIA",IF(COUNTIF(RATEIOS!$A$2:$A$3142,$A308)-COUNTIFS(RATEIOS!$A$2:$A$3142,$A308,RATEIOS!$D$2:$D$3142,"&lt;&gt;")&gt;0,"NÃO CLASSIFICADO","RATEIO OK"))))</f>
        <v>RATEIO OK</v>
      </c>
      <c r="R308" s="49" t="s">
        <v>2553</v>
      </c>
      <c r="S308" s="14" t="s">
        <v>525</v>
      </c>
    </row>
    <row r="309" spans="1:19" ht="24.95" customHeight="1" x14ac:dyDescent="0.25">
      <c r="A309" s="49" t="s">
        <v>1707</v>
      </c>
      <c r="B309" s="98">
        <v>308</v>
      </c>
      <c r="C309" s="50">
        <v>46104</v>
      </c>
      <c r="D309" s="49">
        <f t="shared" si="8"/>
        <v>3</v>
      </c>
      <c r="E309" s="92" t="s">
        <v>118</v>
      </c>
      <c r="F309" s="49" t="s">
        <v>36</v>
      </c>
      <c r="G309" s="14" t="s">
        <v>526</v>
      </c>
      <c r="H309" s="14" t="s">
        <v>185</v>
      </c>
      <c r="I309" s="76" t="s">
        <v>186</v>
      </c>
      <c r="J309" s="73">
        <v>0</v>
      </c>
      <c r="K309" s="74">
        <v>1037</v>
      </c>
      <c r="L309" s="72">
        <v>0</v>
      </c>
      <c r="M309" s="72">
        <v>0</v>
      </c>
      <c r="N309" s="72">
        <f>IF(AND(C309="",J309=0,K309=0,L309=0,M309=0),"",CADASTROS!$B$4+SUM($J$2:J309)+SUM($M$2:M309)-SUM($K$2:K309)-SUM($L$2:L309))</f>
        <v>121262.72999999975</v>
      </c>
      <c r="O309" s="72">
        <f>IF(A309="","",SUMIF(RATEIOS!$A$2:$A$3142,$A309,RATEIOS!$F$2:$F$3142))</f>
        <v>1037</v>
      </c>
      <c r="P309" s="15">
        <f t="shared" si="9"/>
        <v>0</v>
      </c>
      <c r="Q309" s="49" t="str">
        <f>IF(AND(J309=0,K309=0,L309=0,M309=0),"",IF(O309=0,"PENDENTE DE RATEIO",IF(ABS(P309)&gt;0.005,"DIVERGÊNCIA",IF(COUNTIF(RATEIOS!$A$2:$A$3142,$A309)-COUNTIFS(RATEIOS!$A$2:$A$3142,$A309,RATEIOS!$D$2:$D$3142,"&lt;&gt;")&gt;0,"NÃO CLASSIFICADO","RATEIO OK"))))</f>
        <v>RATEIO OK</v>
      </c>
      <c r="R309" s="49" t="s">
        <v>2553</v>
      </c>
      <c r="S309" s="14"/>
    </row>
    <row r="310" spans="1:19" ht="24.95" customHeight="1" x14ac:dyDescent="0.25">
      <c r="A310" s="49" t="s">
        <v>1708</v>
      </c>
      <c r="B310" s="98">
        <v>309</v>
      </c>
      <c r="C310" s="50">
        <v>46104</v>
      </c>
      <c r="D310" s="49">
        <f t="shared" si="8"/>
        <v>3</v>
      </c>
      <c r="E310" s="92" t="s">
        <v>287</v>
      </c>
      <c r="F310" s="49" t="s">
        <v>35</v>
      </c>
      <c r="G310" s="14" t="s">
        <v>2918</v>
      </c>
      <c r="H310" s="14" t="s">
        <v>2736</v>
      </c>
      <c r="I310" s="76"/>
      <c r="J310" s="73">
        <v>511478.24</v>
      </c>
      <c r="K310" s="74">
        <v>0</v>
      </c>
      <c r="L310" s="72">
        <v>0</v>
      </c>
      <c r="M310" s="72">
        <v>0</v>
      </c>
      <c r="N310" s="72">
        <f>IF(AND(C310="",J310=0,K310=0,L310=0,M310=0),"",CADASTROS!$B$4+SUM($J$2:J310)+SUM($M$2:M310)-SUM($K$2:K310)-SUM($L$2:L310))</f>
        <v>632740.96999999951</v>
      </c>
      <c r="O310" s="72">
        <f>IF(A310="","",SUMIF(RATEIOS!$A$2:$A$3142,$A310,RATEIOS!$F$2:$F$3142))</f>
        <v>511478.24</v>
      </c>
      <c r="P310" s="15">
        <f t="shared" si="9"/>
        <v>0</v>
      </c>
      <c r="Q310" s="49" t="str">
        <f>IF(AND(J310=0,K310=0,L310=0,M310=0),"",IF(O310=0,"PENDENTE DE RATEIO",IF(ABS(P310)&gt;0.005,"DIVERGÊNCIA",IF(COUNTIF(RATEIOS!$A$2:$A$3142,$A310)-COUNTIFS(RATEIOS!$A$2:$A$3142,$A310,RATEIOS!$D$2:$D$3142,"&lt;&gt;")&gt;0,"NÃO CLASSIFICADO","RATEIO OK"))))</f>
        <v>RATEIO OK</v>
      </c>
      <c r="R310" s="49" t="s">
        <v>2553</v>
      </c>
      <c r="S310" s="14"/>
    </row>
    <row r="311" spans="1:19" ht="24.95" customHeight="1" x14ac:dyDescent="0.25">
      <c r="A311" s="49" t="s">
        <v>1709</v>
      </c>
      <c r="B311" s="98">
        <v>310</v>
      </c>
      <c r="C311" s="50">
        <v>46104</v>
      </c>
      <c r="D311" s="49">
        <f t="shared" si="8"/>
        <v>3</v>
      </c>
      <c r="E311" s="92" t="s">
        <v>72</v>
      </c>
      <c r="F311" s="49" t="s">
        <v>36</v>
      </c>
      <c r="G311" s="14" t="s">
        <v>528</v>
      </c>
      <c r="H311" s="14" t="s">
        <v>150</v>
      </c>
      <c r="I311" s="76" t="s">
        <v>529</v>
      </c>
      <c r="J311" s="73">
        <v>0</v>
      </c>
      <c r="K311" s="74">
        <v>500</v>
      </c>
      <c r="L311" s="72">
        <v>0</v>
      </c>
      <c r="M311" s="72">
        <v>0</v>
      </c>
      <c r="N311" s="72">
        <f>IF(AND(C311="",J311=0,K311=0,L311=0,M311=0),"",CADASTROS!$B$4+SUM($J$2:J311)+SUM($M$2:M311)-SUM($K$2:K311)-SUM($L$2:L311))</f>
        <v>632240.96999999951</v>
      </c>
      <c r="O311" s="72">
        <f>IF(A311="","",SUMIF(RATEIOS!$A$2:$A$3142,$A311,RATEIOS!$F$2:$F$3142))</f>
        <v>500</v>
      </c>
      <c r="P311" s="15">
        <f t="shared" si="9"/>
        <v>0</v>
      </c>
      <c r="Q311" s="49" t="str">
        <f>IF(AND(J311=0,K311=0,L311=0,M311=0),"",IF(O311=0,"PENDENTE DE RATEIO",IF(ABS(P311)&gt;0.005,"DIVERGÊNCIA",IF(COUNTIF(RATEIOS!$A$2:$A$3142,$A311)-COUNTIFS(RATEIOS!$A$2:$A$3142,$A311,RATEIOS!$D$2:$D$3142,"&lt;&gt;")&gt;0,"NÃO CLASSIFICADO","RATEIO OK"))))</f>
        <v>RATEIO OK</v>
      </c>
      <c r="R311" s="49" t="s">
        <v>2553</v>
      </c>
      <c r="S311" s="14"/>
    </row>
    <row r="312" spans="1:19" ht="24.95" customHeight="1" x14ac:dyDescent="0.25">
      <c r="A312" s="49" t="s">
        <v>1710</v>
      </c>
      <c r="B312" s="98">
        <v>311</v>
      </c>
      <c r="C312" s="50">
        <v>46105</v>
      </c>
      <c r="D312" s="49">
        <f t="shared" si="8"/>
        <v>3</v>
      </c>
      <c r="E312" s="92" t="s">
        <v>287</v>
      </c>
      <c r="F312" s="49" t="s">
        <v>36</v>
      </c>
      <c r="G312" s="14" t="s">
        <v>530</v>
      </c>
      <c r="H312" s="14" t="s">
        <v>411</v>
      </c>
      <c r="I312" s="76" t="s">
        <v>412</v>
      </c>
      <c r="J312" s="73">
        <v>0</v>
      </c>
      <c r="K312" s="74">
        <v>20000</v>
      </c>
      <c r="L312" s="72">
        <v>0</v>
      </c>
      <c r="M312" s="72">
        <v>0</v>
      </c>
      <c r="N312" s="72">
        <f>IF(AND(C312="",J312=0,K312=0,L312=0,M312=0),"",CADASTROS!$B$4+SUM($J$2:J312)+SUM($M$2:M312)-SUM($K$2:K312)-SUM($L$2:L312))</f>
        <v>612240.96999999951</v>
      </c>
      <c r="O312" s="72">
        <f>IF(A312="","",SUMIF(RATEIOS!$A$2:$A$3142,$A312,RATEIOS!$F$2:$F$3142))</f>
        <v>20000</v>
      </c>
      <c r="P312" s="15">
        <f t="shared" si="9"/>
        <v>0</v>
      </c>
      <c r="Q312" s="49" t="str">
        <f>IF(AND(J312=0,K312=0,L312=0,M312=0),"",IF(O312=0,"PENDENTE DE RATEIO",IF(ABS(P312)&gt;0.005,"DIVERGÊNCIA",IF(COUNTIF(RATEIOS!$A$2:$A$3142,$A312)-COUNTIFS(RATEIOS!$A$2:$A$3142,$A312,RATEIOS!$D$2:$D$3142,"&lt;&gt;")&gt;0,"NÃO CLASSIFICADO","RATEIO OK"))))</f>
        <v>RATEIO OK</v>
      </c>
      <c r="R312" s="49" t="s">
        <v>2553</v>
      </c>
      <c r="S312" s="14"/>
    </row>
    <row r="313" spans="1:19" ht="24.95" customHeight="1" x14ac:dyDescent="0.25">
      <c r="A313" s="49" t="s">
        <v>1711</v>
      </c>
      <c r="B313" s="98">
        <v>312</v>
      </c>
      <c r="C313" s="50">
        <v>46105</v>
      </c>
      <c r="D313" s="49">
        <f t="shared" si="8"/>
        <v>3</v>
      </c>
      <c r="E313" s="92" t="s">
        <v>287</v>
      </c>
      <c r="F313" s="49" t="s">
        <v>36</v>
      </c>
      <c r="G313" s="14" t="s">
        <v>531</v>
      </c>
      <c r="H313" s="14" t="s">
        <v>414</v>
      </c>
      <c r="I313" s="76" t="s">
        <v>532</v>
      </c>
      <c r="J313" s="73">
        <v>0</v>
      </c>
      <c r="K313" s="74">
        <v>11015.87</v>
      </c>
      <c r="L313" s="72">
        <v>0</v>
      </c>
      <c r="M313" s="72">
        <v>0</v>
      </c>
      <c r="N313" s="72">
        <f>IF(AND(C313="",J313=0,K313=0,L313=0,M313=0),"",CADASTROS!$B$4+SUM($J$2:J313)+SUM($M$2:M313)-SUM($K$2:K313)-SUM($L$2:L313))</f>
        <v>601225.09999999939</v>
      </c>
      <c r="O313" s="72">
        <f>IF(A313="","",SUMIF(RATEIOS!$A$2:$A$3142,$A313,RATEIOS!$F$2:$F$3142))</f>
        <v>11015.87</v>
      </c>
      <c r="P313" s="15">
        <f t="shared" si="9"/>
        <v>0</v>
      </c>
      <c r="Q313" s="49" t="str">
        <f>IF(AND(J313=0,K313=0,L313=0,M313=0),"",IF(O313=0,"PENDENTE DE RATEIO",IF(ABS(P313)&gt;0.005,"DIVERGÊNCIA",IF(COUNTIF(RATEIOS!$A$2:$A$3142,$A313)-COUNTIFS(RATEIOS!$A$2:$A$3142,$A313,RATEIOS!$D$2:$D$3142,"&lt;&gt;")&gt;0,"NÃO CLASSIFICADO","RATEIO OK"))))</f>
        <v>RATEIO OK</v>
      </c>
      <c r="R313" s="49" t="s">
        <v>2553</v>
      </c>
      <c r="S313" s="14"/>
    </row>
    <row r="314" spans="1:19" ht="24.95" customHeight="1" x14ac:dyDescent="0.25">
      <c r="A314" s="49" t="s">
        <v>1712</v>
      </c>
      <c r="B314" s="98">
        <v>313</v>
      </c>
      <c r="C314" s="50">
        <v>46105</v>
      </c>
      <c r="D314" s="49">
        <f t="shared" si="8"/>
        <v>3</v>
      </c>
      <c r="E314" s="92" t="s">
        <v>287</v>
      </c>
      <c r="F314" s="49" t="s">
        <v>36</v>
      </c>
      <c r="G314" s="14" t="s">
        <v>533</v>
      </c>
      <c r="H314" s="14" t="s">
        <v>417</v>
      </c>
      <c r="I314" s="76" t="s">
        <v>412</v>
      </c>
      <c r="J314" s="73">
        <v>0</v>
      </c>
      <c r="K314" s="74">
        <v>10000</v>
      </c>
      <c r="L314" s="72">
        <v>0</v>
      </c>
      <c r="M314" s="72">
        <v>0</v>
      </c>
      <c r="N314" s="72">
        <f>IF(AND(C314="",J314=0,K314=0,L314=0,M314=0),"",CADASTROS!$B$4+SUM($J$2:J314)+SUM($M$2:M314)-SUM($K$2:K314)-SUM($L$2:L314))</f>
        <v>591225.09999999939</v>
      </c>
      <c r="O314" s="72">
        <f>IF(A314="","",SUMIF(RATEIOS!$A$2:$A$3142,$A314,RATEIOS!$F$2:$F$3142))</f>
        <v>10000</v>
      </c>
      <c r="P314" s="15">
        <f t="shared" si="9"/>
        <v>0</v>
      </c>
      <c r="Q314" s="49" t="str">
        <f>IF(AND(J314=0,K314=0,L314=0,M314=0),"",IF(O314=0,"PENDENTE DE RATEIO",IF(ABS(P314)&gt;0.005,"DIVERGÊNCIA",IF(COUNTIF(RATEIOS!$A$2:$A$3142,$A314)-COUNTIFS(RATEIOS!$A$2:$A$3142,$A314,RATEIOS!$D$2:$D$3142,"&lt;&gt;")&gt;0,"NÃO CLASSIFICADO","RATEIO OK"))))</f>
        <v>RATEIO OK</v>
      </c>
      <c r="R314" s="49" t="s">
        <v>2553</v>
      </c>
      <c r="S314" s="14"/>
    </row>
    <row r="315" spans="1:19" ht="24.95" customHeight="1" x14ac:dyDescent="0.25">
      <c r="A315" s="49" t="s">
        <v>1713</v>
      </c>
      <c r="B315" s="98">
        <v>314</v>
      </c>
      <c r="C315" s="50">
        <v>46105</v>
      </c>
      <c r="D315" s="49">
        <f t="shared" si="8"/>
        <v>3</v>
      </c>
      <c r="E315" s="92" t="s">
        <v>287</v>
      </c>
      <c r="F315" s="49" t="s">
        <v>36</v>
      </c>
      <c r="G315" s="14" t="s">
        <v>534</v>
      </c>
      <c r="H315" s="14" t="s">
        <v>349</v>
      </c>
      <c r="I315" s="76" t="s">
        <v>412</v>
      </c>
      <c r="J315" s="73">
        <v>0</v>
      </c>
      <c r="K315" s="74">
        <v>10000</v>
      </c>
      <c r="L315" s="72">
        <v>0</v>
      </c>
      <c r="M315" s="72">
        <v>0</v>
      </c>
      <c r="N315" s="72">
        <f>IF(AND(C315="",J315=0,K315=0,L315=0,M315=0),"",CADASTROS!$B$4+SUM($J$2:J315)+SUM($M$2:M315)-SUM($K$2:K315)-SUM($L$2:L315))</f>
        <v>581225.09999999939</v>
      </c>
      <c r="O315" s="72">
        <f>IF(A315="","",SUMIF(RATEIOS!$A$2:$A$3142,$A315,RATEIOS!$F$2:$F$3142))</f>
        <v>10000</v>
      </c>
      <c r="P315" s="15">
        <f t="shared" si="9"/>
        <v>0</v>
      </c>
      <c r="Q315" s="49" t="str">
        <f>IF(AND(J315=0,K315=0,L315=0,M315=0),"",IF(O315=0,"PENDENTE DE RATEIO",IF(ABS(P315)&gt;0.005,"DIVERGÊNCIA",IF(COUNTIF(RATEIOS!$A$2:$A$3142,$A315)-COUNTIFS(RATEIOS!$A$2:$A$3142,$A315,RATEIOS!$D$2:$D$3142,"&lt;&gt;")&gt;0,"NÃO CLASSIFICADO","RATEIO OK"))))</f>
        <v>RATEIO OK</v>
      </c>
      <c r="R315" s="49" t="s">
        <v>2553</v>
      </c>
      <c r="S315" s="14"/>
    </row>
    <row r="316" spans="1:19" ht="24.95" customHeight="1" x14ac:dyDescent="0.25">
      <c r="A316" s="49" t="s">
        <v>1714</v>
      </c>
      <c r="B316" s="98">
        <v>315</v>
      </c>
      <c r="C316" s="50">
        <v>46105</v>
      </c>
      <c r="D316" s="49">
        <f t="shared" si="8"/>
        <v>3</v>
      </c>
      <c r="E316" s="92" t="s">
        <v>505</v>
      </c>
      <c r="F316" s="49" t="s">
        <v>36</v>
      </c>
      <c r="G316" s="14" t="s">
        <v>535</v>
      </c>
      <c r="H316" s="14" t="s">
        <v>3041</v>
      </c>
      <c r="I316" s="76" t="s">
        <v>536</v>
      </c>
      <c r="J316" s="73">
        <v>0</v>
      </c>
      <c r="K316" s="74">
        <v>7700</v>
      </c>
      <c r="L316" s="72">
        <v>0</v>
      </c>
      <c r="M316" s="72">
        <v>0</v>
      </c>
      <c r="N316" s="72">
        <f>IF(AND(C316="",J316=0,K316=0,L316=0,M316=0),"",CADASTROS!$B$4+SUM($J$2:J316)+SUM($M$2:M316)-SUM($K$2:K316)-SUM($L$2:L316))</f>
        <v>573525.09999999939</v>
      </c>
      <c r="O316" s="72">
        <f>IF(A316="","",SUMIF(RATEIOS!$A$2:$A$3142,$A316,RATEIOS!$F$2:$F$3142))</f>
        <v>7700</v>
      </c>
      <c r="P316" s="15">
        <f t="shared" si="9"/>
        <v>0</v>
      </c>
      <c r="Q316" s="49" t="str">
        <f>IF(AND(J316=0,K316=0,L316=0,M316=0),"",IF(O316=0,"PENDENTE DE RATEIO",IF(ABS(P316)&gt;0.005,"DIVERGÊNCIA",IF(COUNTIF(RATEIOS!$A$2:$A$3142,$A316)-COUNTIFS(RATEIOS!$A$2:$A$3142,$A316,RATEIOS!$D$2:$D$3142,"&lt;&gt;")&gt;0,"NÃO CLASSIFICADO","RATEIO OK"))))</f>
        <v>RATEIO OK</v>
      </c>
      <c r="R316" s="49" t="s">
        <v>2553</v>
      </c>
      <c r="S316" s="14"/>
    </row>
    <row r="317" spans="1:19" ht="24.95" customHeight="1" x14ac:dyDescent="0.25">
      <c r="A317" s="49" t="s">
        <v>1715</v>
      </c>
      <c r="B317" s="98">
        <v>316</v>
      </c>
      <c r="C317" s="50">
        <v>46105</v>
      </c>
      <c r="D317" s="49">
        <f t="shared" si="8"/>
        <v>3</v>
      </c>
      <c r="E317" s="92" t="s">
        <v>287</v>
      </c>
      <c r="F317" s="49" t="s">
        <v>36</v>
      </c>
      <c r="G317" s="14" t="s">
        <v>537</v>
      </c>
      <c r="H317" s="14" t="s">
        <v>347</v>
      </c>
      <c r="I317" s="76" t="s">
        <v>412</v>
      </c>
      <c r="J317" s="73">
        <v>0</v>
      </c>
      <c r="K317" s="74">
        <v>7500</v>
      </c>
      <c r="L317" s="72">
        <v>0</v>
      </c>
      <c r="M317" s="72">
        <v>0</v>
      </c>
      <c r="N317" s="72">
        <f>IF(AND(C317="",J317=0,K317=0,L317=0,M317=0),"",CADASTROS!$B$4+SUM($J$2:J317)+SUM($M$2:M317)-SUM($K$2:K317)-SUM($L$2:L317))</f>
        <v>566025.09999999939</v>
      </c>
      <c r="O317" s="72">
        <f>IF(A317="","",SUMIF(RATEIOS!$A$2:$A$3142,$A317,RATEIOS!$F$2:$F$3142))</f>
        <v>7500</v>
      </c>
      <c r="P317" s="15">
        <f t="shared" si="9"/>
        <v>0</v>
      </c>
      <c r="Q317" s="49" t="str">
        <f>IF(AND(J317=0,K317=0,L317=0,M317=0),"",IF(O317=0,"PENDENTE DE RATEIO",IF(ABS(P317)&gt;0.005,"DIVERGÊNCIA",IF(COUNTIF(RATEIOS!$A$2:$A$3142,$A317)-COUNTIFS(RATEIOS!$A$2:$A$3142,$A317,RATEIOS!$D$2:$D$3142,"&lt;&gt;")&gt;0,"NÃO CLASSIFICADO","RATEIO OK"))))</f>
        <v>RATEIO OK</v>
      </c>
      <c r="R317" s="49" t="s">
        <v>2553</v>
      </c>
      <c r="S317" s="14"/>
    </row>
    <row r="318" spans="1:19" ht="24.95" customHeight="1" x14ac:dyDescent="0.25">
      <c r="A318" s="49" t="s">
        <v>1716</v>
      </c>
      <c r="B318" s="98">
        <v>317</v>
      </c>
      <c r="C318" s="50">
        <v>46105</v>
      </c>
      <c r="D318" s="49">
        <f t="shared" si="8"/>
        <v>3</v>
      </c>
      <c r="E318" s="92" t="s">
        <v>118</v>
      </c>
      <c r="F318" s="49" t="s">
        <v>36</v>
      </c>
      <c r="G318" s="14" t="s">
        <v>538</v>
      </c>
      <c r="H318" s="14" t="s">
        <v>143</v>
      </c>
      <c r="I318" s="76" t="s">
        <v>380</v>
      </c>
      <c r="J318" s="73">
        <v>0</v>
      </c>
      <c r="K318" s="74">
        <v>6523.2</v>
      </c>
      <c r="L318" s="72">
        <v>0</v>
      </c>
      <c r="M318" s="72">
        <v>0</v>
      </c>
      <c r="N318" s="72">
        <f>IF(AND(C318="",J318=0,K318=0,L318=0,M318=0),"",CADASTROS!$B$4+SUM($J$2:J318)+SUM($M$2:M318)-SUM($K$2:K318)-SUM($L$2:L318))</f>
        <v>559501.89999999944</v>
      </c>
      <c r="O318" s="72">
        <f>IF(A318="","",SUMIF(RATEIOS!$A$2:$A$3142,$A318,RATEIOS!$F$2:$F$3142))</f>
        <v>6523.2</v>
      </c>
      <c r="P318" s="15">
        <f t="shared" si="9"/>
        <v>0</v>
      </c>
      <c r="Q318" s="49" t="str">
        <f>IF(AND(J318=0,K318=0,L318=0,M318=0),"",IF(O318=0,"PENDENTE DE RATEIO",IF(ABS(P318)&gt;0.005,"DIVERGÊNCIA",IF(COUNTIF(RATEIOS!$A$2:$A$3142,$A318)-COUNTIFS(RATEIOS!$A$2:$A$3142,$A318,RATEIOS!$D$2:$D$3142,"&lt;&gt;")&gt;0,"NÃO CLASSIFICADO","RATEIO OK"))))</f>
        <v>RATEIO OK</v>
      </c>
      <c r="R318" s="49" t="s">
        <v>2553</v>
      </c>
      <c r="S318" s="14"/>
    </row>
    <row r="319" spans="1:19" ht="24.95" customHeight="1" x14ac:dyDescent="0.25">
      <c r="A319" s="49" t="s">
        <v>1717</v>
      </c>
      <c r="B319" s="98">
        <v>318</v>
      </c>
      <c r="C319" s="50">
        <v>46105</v>
      </c>
      <c r="D319" s="49">
        <f t="shared" si="8"/>
        <v>3</v>
      </c>
      <c r="E319" s="92" t="s">
        <v>510</v>
      </c>
      <c r="F319" s="49" t="s">
        <v>36</v>
      </c>
      <c r="G319" s="14" t="s">
        <v>539</v>
      </c>
      <c r="H319" s="14" t="s">
        <v>425</v>
      </c>
      <c r="I319" s="76" t="s">
        <v>540</v>
      </c>
      <c r="J319" s="73">
        <v>0</v>
      </c>
      <c r="K319" s="74">
        <v>6000</v>
      </c>
      <c r="L319" s="72">
        <v>0</v>
      </c>
      <c r="M319" s="72">
        <v>0</v>
      </c>
      <c r="N319" s="72">
        <f>IF(AND(C319="",J319=0,K319=0,L319=0,M319=0),"",CADASTROS!$B$4+SUM($J$2:J319)+SUM($M$2:M319)-SUM($K$2:K319)-SUM($L$2:L319))</f>
        <v>553501.89999999944</v>
      </c>
      <c r="O319" s="72">
        <f>IF(A319="","",SUMIF(RATEIOS!$A$2:$A$3142,$A319,RATEIOS!$F$2:$F$3142))</f>
        <v>6000</v>
      </c>
      <c r="P319" s="15">
        <f t="shared" si="9"/>
        <v>0</v>
      </c>
      <c r="Q319" s="49" t="str">
        <f>IF(AND(J319=0,K319=0,L319=0,M319=0),"",IF(O319=0,"PENDENTE DE RATEIO",IF(ABS(P319)&gt;0.005,"DIVERGÊNCIA",IF(COUNTIF(RATEIOS!$A$2:$A$3142,$A319)-COUNTIFS(RATEIOS!$A$2:$A$3142,$A319,RATEIOS!$D$2:$D$3142,"&lt;&gt;")&gt;0,"NÃO CLASSIFICADO","RATEIO OK"))))</f>
        <v>RATEIO OK</v>
      </c>
      <c r="R319" s="49" t="s">
        <v>2553</v>
      </c>
      <c r="S319" s="14"/>
    </row>
    <row r="320" spans="1:19" ht="24.95" customHeight="1" x14ac:dyDescent="0.25">
      <c r="A320" s="49" t="s">
        <v>1718</v>
      </c>
      <c r="B320" s="98">
        <v>319</v>
      </c>
      <c r="C320" s="50">
        <v>46105</v>
      </c>
      <c r="D320" s="49">
        <f t="shared" si="8"/>
        <v>3</v>
      </c>
      <c r="E320" s="92" t="s">
        <v>72</v>
      </c>
      <c r="F320" s="49" t="s">
        <v>36</v>
      </c>
      <c r="G320" s="14" t="s">
        <v>541</v>
      </c>
      <c r="H320" s="14" t="s">
        <v>419</v>
      </c>
      <c r="I320" s="76" t="s">
        <v>542</v>
      </c>
      <c r="J320" s="73">
        <v>0</v>
      </c>
      <c r="K320" s="74">
        <v>6000</v>
      </c>
      <c r="L320" s="72">
        <v>0</v>
      </c>
      <c r="M320" s="72">
        <v>0</v>
      </c>
      <c r="N320" s="72">
        <f>IF(AND(C320="",J320=0,K320=0,L320=0,M320=0),"",CADASTROS!$B$4+SUM($J$2:J320)+SUM($M$2:M320)-SUM($K$2:K320)-SUM($L$2:L320))</f>
        <v>547501.89999999944</v>
      </c>
      <c r="O320" s="72">
        <f>IF(A320="","",SUMIF(RATEIOS!$A$2:$A$3142,$A320,RATEIOS!$F$2:$F$3142))</f>
        <v>6000</v>
      </c>
      <c r="P320" s="15">
        <f t="shared" si="9"/>
        <v>0</v>
      </c>
      <c r="Q320" s="49" t="str">
        <f>IF(AND(J320=0,K320=0,L320=0,M320=0),"",IF(O320=0,"PENDENTE DE RATEIO",IF(ABS(P320)&gt;0.005,"DIVERGÊNCIA",IF(COUNTIF(RATEIOS!$A$2:$A$3142,$A320)-COUNTIFS(RATEIOS!$A$2:$A$3142,$A320,RATEIOS!$D$2:$D$3142,"&lt;&gt;")&gt;0,"NÃO CLASSIFICADO","RATEIO OK"))))</f>
        <v>RATEIO OK</v>
      </c>
      <c r="R320" s="49" t="s">
        <v>2553</v>
      </c>
      <c r="S320" s="14"/>
    </row>
    <row r="321" spans="1:19" ht="24.95" customHeight="1" x14ac:dyDescent="0.25">
      <c r="A321" s="49" t="s">
        <v>1719</v>
      </c>
      <c r="B321" s="98">
        <v>320</v>
      </c>
      <c r="C321" s="50">
        <v>46105</v>
      </c>
      <c r="D321" s="49">
        <f t="shared" si="8"/>
        <v>3</v>
      </c>
      <c r="E321" s="92" t="s">
        <v>287</v>
      </c>
      <c r="F321" s="49" t="s">
        <v>36</v>
      </c>
      <c r="G321" s="14" t="s">
        <v>543</v>
      </c>
      <c r="H321" s="14" t="s">
        <v>337</v>
      </c>
      <c r="I321" s="76" t="s">
        <v>412</v>
      </c>
      <c r="J321" s="73">
        <v>0</v>
      </c>
      <c r="K321" s="74">
        <v>5000</v>
      </c>
      <c r="L321" s="72">
        <v>0</v>
      </c>
      <c r="M321" s="72">
        <v>0</v>
      </c>
      <c r="N321" s="72">
        <f>IF(AND(C321="",J321=0,K321=0,L321=0,M321=0),"",CADASTROS!$B$4+SUM($J$2:J321)+SUM($M$2:M321)-SUM($K$2:K321)-SUM($L$2:L321))</f>
        <v>542501.89999999944</v>
      </c>
      <c r="O321" s="72">
        <f>IF(A321="","",SUMIF(RATEIOS!$A$2:$A$3142,$A321,RATEIOS!$F$2:$F$3142))</f>
        <v>5000</v>
      </c>
      <c r="P321" s="15">
        <f t="shared" si="9"/>
        <v>0</v>
      </c>
      <c r="Q321" s="49" t="str">
        <f>IF(AND(J321=0,K321=0,L321=0,M321=0),"",IF(O321=0,"PENDENTE DE RATEIO",IF(ABS(P321)&gt;0.005,"DIVERGÊNCIA",IF(COUNTIF(RATEIOS!$A$2:$A$3142,$A321)-COUNTIFS(RATEIOS!$A$2:$A$3142,$A321,RATEIOS!$D$2:$D$3142,"&lt;&gt;")&gt;0,"NÃO CLASSIFICADO","RATEIO OK"))))</f>
        <v>RATEIO OK</v>
      </c>
      <c r="R321" s="49" t="s">
        <v>2553</v>
      </c>
      <c r="S321" s="14"/>
    </row>
    <row r="322" spans="1:19" ht="24.95" customHeight="1" x14ac:dyDescent="0.25">
      <c r="A322" s="49" t="s">
        <v>1720</v>
      </c>
      <c r="B322" s="98">
        <v>321</v>
      </c>
      <c r="C322" s="50">
        <v>46105</v>
      </c>
      <c r="D322" s="49">
        <f t="shared" ref="D322:D385" si="10">IF(C322="","",MONTH(C322))</f>
        <v>3</v>
      </c>
      <c r="E322" s="92" t="s">
        <v>72</v>
      </c>
      <c r="F322" s="49" t="s">
        <v>36</v>
      </c>
      <c r="G322" s="14" t="s">
        <v>544</v>
      </c>
      <c r="H322" s="14" t="s">
        <v>545</v>
      </c>
      <c r="I322" s="76" t="s">
        <v>377</v>
      </c>
      <c r="J322" s="73">
        <v>0</v>
      </c>
      <c r="K322" s="74">
        <v>4500</v>
      </c>
      <c r="L322" s="72">
        <v>0</v>
      </c>
      <c r="M322" s="72">
        <v>0</v>
      </c>
      <c r="N322" s="72">
        <f>IF(AND(C322="",J322=0,K322=0,L322=0,M322=0),"",CADASTROS!$B$4+SUM($J$2:J322)+SUM($M$2:M322)-SUM($K$2:K322)-SUM($L$2:L322))</f>
        <v>538001.89999999944</v>
      </c>
      <c r="O322" s="72">
        <f>IF(A322="","",SUMIF(RATEIOS!$A$2:$A$3142,$A322,RATEIOS!$F$2:$F$3142))</f>
        <v>4500</v>
      </c>
      <c r="P322" s="15">
        <f t="shared" ref="P322:P385" si="11">IF(A322="","",(J322+K322+L322+M322)-O322)</f>
        <v>0</v>
      </c>
      <c r="Q322" s="49" t="str">
        <f>IF(AND(J322=0,K322=0,L322=0,M322=0),"",IF(O322=0,"PENDENTE DE RATEIO",IF(ABS(P322)&gt;0.005,"DIVERGÊNCIA",IF(COUNTIF(RATEIOS!$A$2:$A$3142,$A322)-COUNTIFS(RATEIOS!$A$2:$A$3142,$A322,RATEIOS!$D$2:$D$3142,"&lt;&gt;")&gt;0,"NÃO CLASSIFICADO","RATEIO OK"))))</f>
        <v>RATEIO OK</v>
      </c>
      <c r="R322" s="49" t="s">
        <v>2553</v>
      </c>
      <c r="S322" s="14"/>
    </row>
    <row r="323" spans="1:19" ht="24.95" customHeight="1" x14ac:dyDescent="0.25">
      <c r="A323" s="49" t="s">
        <v>1721</v>
      </c>
      <c r="B323" s="98">
        <v>322</v>
      </c>
      <c r="C323" s="50">
        <v>46105</v>
      </c>
      <c r="D323" s="49">
        <f t="shared" si="10"/>
        <v>3</v>
      </c>
      <c r="E323" s="92" t="s">
        <v>287</v>
      </c>
      <c r="F323" s="49" t="s">
        <v>36</v>
      </c>
      <c r="G323" s="14" t="s">
        <v>546</v>
      </c>
      <c r="H323" s="14" t="s">
        <v>2935</v>
      </c>
      <c r="I323" s="76" t="s">
        <v>547</v>
      </c>
      <c r="J323" s="73">
        <v>0</v>
      </c>
      <c r="K323" s="74">
        <v>1800</v>
      </c>
      <c r="L323" s="72">
        <v>0</v>
      </c>
      <c r="M323" s="72">
        <v>0</v>
      </c>
      <c r="N323" s="72">
        <f>IF(AND(C323="",J323=0,K323=0,L323=0,M323=0),"",CADASTROS!$B$4+SUM($J$2:J323)+SUM($M$2:M323)-SUM($K$2:K323)-SUM($L$2:L323))</f>
        <v>536201.89999999944</v>
      </c>
      <c r="O323" s="72">
        <f>IF(A323="","",SUMIF(RATEIOS!$A$2:$A$3142,$A323,RATEIOS!$F$2:$F$3142))</f>
        <v>1800</v>
      </c>
      <c r="P323" s="15">
        <f t="shared" si="11"/>
        <v>0</v>
      </c>
      <c r="Q323" s="49" t="str">
        <f>IF(AND(J323=0,K323=0,L323=0,M323=0),"",IF(O323=0,"PENDENTE DE RATEIO",IF(ABS(P323)&gt;0.005,"DIVERGÊNCIA",IF(COUNTIF(RATEIOS!$A$2:$A$3142,$A323)-COUNTIFS(RATEIOS!$A$2:$A$3142,$A323,RATEIOS!$D$2:$D$3142,"&lt;&gt;")&gt;0,"NÃO CLASSIFICADO","RATEIO OK"))))</f>
        <v>RATEIO OK</v>
      </c>
      <c r="R323" s="49" t="s">
        <v>2553</v>
      </c>
      <c r="S323" s="14"/>
    </row>
    <row r="324" spans="1:19" ht="24.95" customHeight="1" x14ac:dyDescent="0.25">
      <c r="A324" s="49" t="s">
        <v>1722</v>
      </c>
      <c r="B324" s="98">
        <v>323</v>
      </c>
      <c r="C324" s="50">
        <v>46105</v>
      </c>
      <c r="D324" s="49">
        <f t="shared" si="10"/>
        <v>3</v>
      </c>
      <c r="E324" s="92" t="s">
        <v>72</v>
      </c>
      <c r="F324" s="49" t="s">
        <v>36</v>
      </c>
      <c r="G324" s="14" t="s">
        <v>548</v>
      </c>
      <c r="H324" s="14" t="s">
        <v>451</v>
      </c>
      <c r="I324" s="76" t="s">
        <v>549</v>
      </c>
      <c r="J324" s="73">
        <v>0</v>
      </c>
      <c r="K324" s="74">
        <v>1470</v>
      </c>
      <c r="L324" s="72">
        <v>0</v>
      </c>
      <c r="M324" s="72">
        <v>0</v>
      </c>
      <c r="N324" s="72">
        <f>IF(AND(C324="",J324=0,K324=0,L324=0,M324=0),"",CADASTROS!$B$4+SUM($J$2:J324)+SUM($M$2:M324)-SUM($K$2:K324)-SUM($L$2:L324))</f>
        <v>534731.89999999944</v>
      </c>
      <c r="O324" s="72">
        <f>IF(A324="","",SUMIF(RATEIOS!$A$2:$A$3142,$A324,RATEIOS!$F$2:$F$3142))</f>
        <v>1470</v>
      </c>
      <c r="P324" s="15">
        <f t="shared" si="11"/>
        <v>0</v>
      </c>
      <c r="Q324" s="49" t="str">
        <f>IF(AND(J324=0,K324=0,L324=0,M324=0),"",IF(O324=0,"PENDENTE DE RATEIO",IF(ABS(P324)&gt;0.005,"DIVERGÊNCIA",IF(COUNTIF(RATEIOS!$A$2:$A$3142,$A324)-COUNTIFS(RATEIOS!$A$2:$A$3142,$A324,RATEIOS!$D$2:$D$3142,"&lt;&gt;")&gt;0,"NÃO CLASSIFICADO","RATEIO OK"))))</f>
        <v>RATEIO OK</v>
      </c>
      <c r="R324" s="49" t="s">
        <v>2553</v>
      </c>
      <c r="S324" s="14"/>
    </row>
    <row r="325" spans="1:19" ht="24.95" customHeight="1" x14ac:dyDescent="0.25">
      <c r="A325" s="49" t="s">
        <v>1723</v>
      </c>
      <c r="B325" s="98">
        <v>324</v>
      </c>
      <c r="C325" s="50">
        <v>46105</v>
      </c>
      <c r="D325" s="49">
        <f t="shared" si="10"/>
        <v>3</v>
      </c>
      <c r="E325" s="92" t="s">
        <v>287</v>
      </c>
      <c r="F325" s="49" t="s">
        <v>36</v>
      </c>
      <c r="G325" s="14" t="s">
        <v>550</v>
      </c>
      <c r="H325" s="14" t="s">
        <v>446</v>
      </c>
      <c r="I325" s="76" t="s">
        <v>551</v>
      </c>
      <c r="J325" s="73">
        <v>0</v>
      </c>
      <c r="K325" s="74">
        <v>980</v>
      </c>
      <c r="L325" s="72">
        <v>0</v>
      </c>
      <c r="M325" s="72">
        <v>0</v>
      </c>
      <c r="N325" s="72">
        <f>IF(AND(C325="",J325=0,K325=0,L325=0,M325=0),"",CADASTROS!$B$4+SUM($J$2:J325)+SUM($M$2:M325)-SUM($K$2:K325)-SUM($L$2:L325))</f>
        <v>533751.89999999944</v>
      </c>
      <c r="O325" s="72">
        <f>IF(A325="","",SUMIF(RATEIOS!$A$2:$A$3142,$A325,RATEIOS!$F$2:$F$3142))</f>
        <v>980</v>
      </c>
      <c r="P325" s="15">
        <f t="shared" si="11"/>
        <v>0</v>
      </c>
      <c r="Q325" s="49" t="str">
        <f>IF(AND(J325=0,K325=0,L325=0,M325=0),"",IF(O325=0,"PENDENTE DE RATEIO",IF(ABS(P325)&gt;0.005,"DIVERGÊNCIA",IF(COUNTIF(RATEIOS!$A$2:$A$3142,$A325)-COUNTIFS(RATEIOS!$A$2:$A$3142,$A325,RATEIOS!$D$2:$D$3142,"&lt;&gt;")&gt;0,"NÃO CLASSIFICADO","RATEIO OK"))))</f>
        <v>RATEIO OK</v>
      </c>
      <c r="R325" s="49" t="s">
        <v>2553</v>
      </c>
      <c r="S325" s="14"/>
    </row>
    <row r="326" spans="1:19" ht="24.95" customHeight="1" x14ac:dyDescent="0.25">
      <c r="A326" s="49" t="s">
        <v>1724</v>
      </c>
      <c r="B326" s="98">
        <v>325</v>
      </c>
      <c r="C326" s="50">
        <v>46105</v>
      </c>
      <c r="D326" s="49">
        <f t="shared" si="10"/>
        <v>3</v>
      </c>
      <c r="E326" s="92" t="s">
        <v>287</v>
      </c>
      <c r="F326" s="49" t="s">
        <v>36</v>
      </c>
      <c r="G326" s="14" t="s">
        <v>2944</v>
      </c>
      <c r="H326" s="14" t="s">
        <v>2943</v>
      </c>
      <c r="I326" s="76" t="s">
        <v>2937</v>
      </c>
      <c r="J326" s="73">
        <v>0</v>
      </c>
      <c r="K326" s="74">
        <v>437</v>
      </c>
      <c r="L326" s="72">
        <v>0</v>
      </c>
      <c r="M326" s="72">
        <v>0</v>
      </c>
      <c r="N326" s="72">
        <f>IF(AND(C326="",J326=0,K326=0,L326=0,M326=0),"",CADASTROS!$B$4+SUM($J$2:J326)+SUM($M$2:M326)-SUM($K$2:K326)-SUM($L$2:L326))</f>
        <v>533314.89999999944</v>
      </c>
      <c r="O326" s="72">
        <f>IF(A326="","",SUMIF(RATEIOS!$A$2:$A$3142,$A326,RATEIOS!$F$2:$F$3142))</f>
        <v>437</v>
      </c>
      <c r="P326" s="15">
        <f t="shared" si="11"/>
        <v>0</v>
      </c>
      <c r="Q326" s="49" t="str">
        <f>IF(AND(J326=0,K326=0,L326=0,M326=0),"",IF(O326=0,"PENDENTE DE RATEIO",IF(ABS(P326)&gt;0.005,"DIVERGÊNCIA",IF(COUNTIF(RATEIOS!$A$2:$A$3142,$A326)-COUNTIFS(RATEIOS!$A$2:$A$3142,$A326,RATEIOS!$D$2:$D$3142,"&lt;&gt;")&gt;0,"NÃO CLASSIFICADO","RATEIO OK"))))</f>
        <v>RATEIO OK</v>
      </c>
      <c r="R326" s="49" t="s">
        <v>2553</v>
      </c>
      <c r="S326" s="14"/>
    </row>
    <row r="327" spans="1:19" ht="24.95" customHeight="1" x14ac:dyDescent="0.25">
      <c r="A327" s="49" t="s">
        <v>1725</v>
      </c>
      <c r="B327" s="98">
        <v>326</v>
      </c>
      <c r="C327" s="50">
        <v>46105</v>
      </c>
      <c r="D327" s="49">
        <f t="shared" si="10"/>
        <v>3</v>
      </c>
      <c r="E327" s="92" t="s">
        <v>287</v>
      </c>
      <c r="F327" s="49" t="s">
        <v>36</v>
      </c>
      <c r="G327" s="14" t="s">
        <v>553</v>
      </c>
      <c r="H327" s="14" t="s">
        <v>414</v>
      </c>
      <c r="I327" s="76" t="s">
        <v>554</v>
      </c>
      <c r="J327" s="73">
        <v>0</v>
      </c>
      <c r="K327" s="74">
        <v>125</v>
      </c>
      <c r="L327" s="72">
        <v>0</v>
      </c>
      <c r="M327" s="72">
        <v>0</v>
      </c>
      <c r="N327" s="72">
        <f>IF(AND(C327="",J327=0,K327=0,L327=0,M327=0),"",CADASTROS!$B$4+SUM($J$2:J327)+SUM($M$2:M327)-SUM($K$2:K327)-SUM($L$2:L327))</f>
        <v>533189.89999999944</v>
      </c>
      <c r="O327" s="72">
        <f>IF(A327="","",SUMIF(RATEIOS!$A$2:$A$3142,$A327,RATEIOS!$F$2:$F$3142))</f>
        <v>125</v>
      </c>
      <c r="P327" s="15">
        <f t="shared" si="11"/>
        <v>0</v>
      </c>
      <c r="Q327" s="49" t="str">
        <f>IF(AND(J327=0,K327=0,L327=0,M327=0),"",IF(O327=0,"PENDENTE DE RATEIO",IF(ABS(P327)&gt;0.005,"DIVERGÊNCIA",IF(COUNTIF(RATEIOS!$A$2:$A$3142,$A327)-COUNTIFS(RATEIOS!$A$2:$A$3142,$A327,RATEIOS!$D$2:$D$3142,"&lt;&gt;")&gt;0,"NÃO CLASSIFICADO","RATEIO OK"))))</f>
        <v>RATEIO OK</v>
      </c>
      <c r="R327" s="49" t="s">
        <v>2553</v>
      </c>
      <c r="S327" s="14"/>
    </row>
    <row r="328" spans="1:19" ht="24.95" customHeight="1" x14ac:dyDescent="0.25">
      <c r="A328" s="49" t="s">
        <v>1726</v>
      </c>
      <c r="B328" s="98">
        <v>327</v>
      </c>
      <c r="C328" s="50">
        <v>46105</v>
      </c>
      <c r="D328" s="49">
        <f t="shared" si="10"/>
        <v>3</v>
      </c>
      <c r="E328" s="92" t="s">
        <v>2556</v>
      </c>
      <c r="F328" s="49" t="s">
        <v>36</v>
      </c>
      <c r="G328" s="14" t="s">
        <v>517</v>
      </c>
      <c r="H328" s="14" t="s">
        <v>517</v>
      </c>
      <c r="I328" s="76"/>
      <c r="J328" s="73">
        <v>0</v>
      </c>
      <c r="K328" s="74">
        <v>19.100000000000001</v>
      </c>
      <c r="L328" s="72">
        <v>0</v>
      </c>
      <c r="M328" s="72">
        <v>0</v>
      </c>
      <c r="N328" s="72">
        <f>IF(AND(C328="",J328=0,K328=0,L328=0,M328=0),"",CADASTROS!$B$4+SUM($J$2:J328)+SUM($M$2:M328)-SUM($K$2:K328)-SUM($L$2:L328))</f>
        <v>533170.79999999935</v>
      </c>
      <c r="O328" s="72">
        <f>IF(A328="","",SUMIF(RATEIOS!$A$2:$A$3142,$A328,RATEIOS!$F$2:$F$3142))</f>
        <v>19.100000000000001</v>
      </c>
      <c r="P328" s="15">
        <f t="shared" si="11"/>
        <v>0</v>
      </c>
      <c r="Q328" s="49" t="str">
        <f>IF(AND(J328=0,K328=0,L328=0,M328=0),"",IF(O328=0,"PENDENTE DE RATEIO",IF(ABS(P328)&gt;0.005,"DIVERGÊNCIA",IF(COUNTIF(RATEIOS!$A$2:$A$3142,$A328)-COUNTIFS(RATEIOS!$A$2:$A$3142,$A328,RATEIOS!$D$2:$D$3142,"&lt;&gt;")&gt;0,"NÃO CLASSIFICADO","RATEIO OK"))))</f>
        <v>RATEIO OK</v>
      </c>
      <c r="R328" s="49" t="s">
        <v>2553</v>
      </c>
      <c r="S328" s="14"/>
    </row>
    <row r="329" spans="1:19" ht="24.95" customHeight="1" x14ac:dyDescent="0.25">
      <c r="A329" s="49" t="s">
        <v>1727</v>
      </c>
      <c r="B329" s="98">
        <v>328</v>
      </c>
      <c r="C329" s="50">
        <v>46105</v>
      </c>
      <c r="D329" s="49">
        <f t="shared" si="10"/>
        <v>3</v>
      </c>
      <c r="E329" s="92" t="s">
        <v>2556</v>
      </c>
      <c r="F329" s="49" t="s">
        <v>36</v>
      </c>
      <c r="G329" s="14" t="s">
        <v>555</v>
      </c>
      <c r="H329" s="14" t="s">
        <v>555</v>
      </c>
      <c r="I329" s="76"/>
      <c r="J329" s="73">
        <v>0</v>
      </c>
      <c r="K329" s="74">
        <v>10</v>
      </c>
      <c r="L329" s="72">
        <v>0</v>
      </c>
      <c r="M329" s="72">
        <v>0</v>
      </c>
      <c r="N329" s="72">
        <f>IF(AND(C329="",J329=0,K329=0,L329=0,M329=0),"",CADASTROS!$B$4+SUM($J$2:J329)+SUM($M$2:M329)-SUM($K$2:K329)-SUM($L$2:L329))</f>
        <v>533160.79999999935</v>
      </c>
      <c r="O329" s="72">
        <f>IF(A329="","",SUMIF(RATEIOS!$A$2:$A$3142,$A329,RATEIOS!$F$2:$F$3142))</f>
        <v>10</v>
      </c>
      <c r="P329" s="15">
        <f t="shared" si="11"/>
        <v>0</v>
      </c>
      <c r="Q329" s="49" t="str">
        <f>IF(AND(J329=0,K329=0,L329=0,M329=0),"",IF(O329=0,"PENDENTE DE RATEIO",IF(ABS(P329)&gt;0.005,"DIVERGÊNCIA",IF(COUNTIF(RATEIOS!$A$2:$A$3142,$A329)-COUNTIFS(RATEIOS!$A$2:$A$3142,$A329,RATEIOS!$D$2:$D$3142,"&lt;&gt;")&gt;0,"NÃO CLASSIFICADO","RATEIO OK"))))</f>
        <v>RATEIO OK</v>
      </c>
      <c r="R329" s="49" t="s">
        <v>2553</v>
      </c>
      <c r="S329" s="14"/>
    </row>
    <row r="330" spans="1:19" ht="24.95" customHeight="1" x14ac:dyDescent="0.25">
      <c r="A330" s="49" t="s">
        <v>1728</v>
      </c>
      <c r="B330" s="98">
        <v>329</v>
      </c>
      <c r="C330" s="50">
        <v>46106</v>
      </c>
      <c r="D330" s="49">
        <f t="shared" si="10"/>
        <v>3</v>
      </c>
      <c r="E330" s="92" t="s">
        <v>72</v>
      </c>
      <c r="F330" s="49" t="s">
        <v>36</v>
      </c>
      <c r="G330" s="14" t="s">
        <v>556</v>
      </c>
      <c r="H330" s="14" t="s">
        <v>156</v>
      </c>
      <c r="I330" s="76" t="s">
        <v>536</v>
      </c>
      <c r="J330" s="73">
        <v>0</v>
      </c>
      <c r="K330" s="74">
        <v>8506.33</v>
      </c>
      <c r="L330" s="72">
        <v>0</v>
      </c>
      <c r="M330" s="72">
        <v>0</v>
      </c>
      <c r="N330" s="72">
        <f>IF(AND(C330="",J330=0,K330=0,L330=0,M330=0),"",CADASTROS!$B$4+SUM($J$2:J330)+SUM($M$2:M330)-SUM($K$2:K330)-SUM($L$2:L330))</f>
        <v>524654.46999999927</v>
      </c>
      <c r="O330" s="72">
        <f>IF(A330="","",SUMIF(RATEIOS!$A$2:$A$3142,$A330,RATEIOS!$F$2:$F$3142))</f>
        <v>8506.33</v>
      </c>
      <c r="P330" s="15">
        <f t="shared" si="11"/>
        <v>0</v>
      </c>
      <c r="Q330" s="49" t="str">
        <f>IF(AND(J330=0,K330=0,L330=0,M330=0),"",IF(O330=0,"PENDENTE DE RATEIO",IF(ABS(P330)&gt;0.005,"DIVERGÊNCIA",IF(COUNTIF(RATEIOS!$A$2:$A$3142,$A330)-COUNTIFS(RATEIOS!$A$2:$A$3142,$A330,RATEIOS!$D$2:$D$3142,"&lt;&gt;")&gt;0,"NÃO CLASSIFICADO","RATEIO OK"))))</f>
        <v>RATEIO OK</v>
      </c>
      <c r="R330" s="49" t="s">
        <v>2553</v>
      </c>
      <c r="S330" s="14"/>
    </row>
    <row r="331" spans="1:19" ht="24.95" customHeight="1" x14ac:dyDescent="0.25">
      <c r="A331" s="49" t="s">
        <v>1729</v>
      </c>
      <c r="B331" s="98">
        <v>330</v>
      </c>
      <c r="C331" s="50">
        <v>46106</v>
      </c>
      <c r="D331" s="49">
        <f t="shared" si="10"/>
        <v>3</v>
      </c>
      <c r="E331" s="92" t="s">
        <v>287</v>
      </c>
      <c r="F331" s="49" t="s">
        <v>36</v>
      </c>
      <c r="G331" s="14" t="s">
        <v>557</v>
      </c>
      <c r="H331" s="14" t="s">
        <v>482</v>
      </c>
      <c r="I331" s="76" t="s">
        <v>542</v>
      </c>
      <c r="J331" s="73">
        <v>0</v>
      </c>
      <c r="K331" s="74">
        <v>2000</v>
      </c>
      <c r="L331" s="72">
        <v>0</v>
      </c>
      <c r="M331" s="72">
        <v>0</v>
      </c>
      <c r="N331" s="72">
        <f>IF(AND(C331="",J331=0,K331=0,L331=0,M331=0),"",CADASTROS!$B$4+SUM($J$2:J331)+SUM($M$2:M331)-SUM($K$2:K331)-SUM($L$2:L331))</f>
        <v>522654.46999999927</v>
      </c>
      <c r="O331" s="72">
        <f>IF(A331="","",SUMIF(RATEIOS!$A$2:$A$3142,$A331,RATEIOS!$F$2:$F$3142))</f>
        <v>2000</v>
      </c>
      <c r="P331" s="15">
        <f t="shared" si="11"/>
        <v>0</v>
      </c>
      <c r="Q331" s="49" t="str">
        <f>IF(AND(J331=0,K331=0,L331=0,M331=0),"",IF(O331=0,"PENDENTE DE RATEIO",IF(ABS(P331)&gt;0.005,"DIVERGÊNCIA",IF(COUNTIF(RATEIOS!$A$2:$A$3142,$A331)-COUNTIFS(RATEIOS!$A$2:$A$3142,$A331,RATEIOS!$D$2:$D$3142,"&lt;&gt;")&gt;0,"NÃO CLASSIFICADO","RATEIO OK"))))</f>
        <v>RATEIO OK</v>
      </c>
      <c r="R331" s="49" t="s">
        <v>2553</v>
      </c>
      <c r="S331" s="14" t="s">
        <v>558</v>
      </c>
    </row>
    <row r="332" spans="1:19" ht="24.95" customHeight="1" x14ac:dyDescent="0.25">
      <c r="A332" s="49" t="s">
        <v>1730</v>
      </c>
      <c r="B332" s="98">
        <v>331</v>
      </c>
      <c r="C332" s="50">
        <v>46106</v>
      </c>
      <c r="D332" s="49">
        <f t="shared" si="10"/>
        <v>3</v>
      </c>
      <c r="E332" s="92" t="s">
        <v>118</v>
      </c>
      <c r="F332" s="49" t="s">
        <v>36</v>
      </c>
      <c r="G332" s="14" t="s">
        <v>218</v>
      </c>
      <c r="H332" s="14" t="s">
        <v>219</v>
      </c>
      <c r="I332" s="76" t="s">
        <v>559</v>
      </c>
      <c r="J332" s="73">
        <v>0</v>
      </c>
      <c r="K332" s="74">
        <v>1032.93</v>
      </c>
      <c r="L332" s="72">
        <v>0</v>
      </c>
      <c r="M332" s="72">
        <v>0</v>
      </c>
      <c r="N332" s="72">
        <f>IF(AND(C332="",J332=0,K332=0,L332=0,M332=0),"",CADASTROS!$B$4+SUM($J$2:J332)+SUM($M$2:M332)-SUM($K$2:K332)-SUM($L$2:L332))</f>
        <v>521621.53999999934</v>
      </c>
      <c r="O332" s="72">
        <f>IF(A332="","",SUMIF(RATEIOS!$A$2:$A$3142,$A332,RATEIOS!$F$2:$F$3142))</f>
        <v>1032.93</v>
      </c>
      <c r="P332" s="15">
        <f t="shared" si="11"/>
        <v>0</v>
      </c>
      <c r="Q332" s="49" t="str">
        <f>IF(AND(J332=0,K332=0,L332=0,M332=0),"",IF(O332=0,"PENDENTE DE RATEIO",IF(ABS(P332)&gt;0.005,"DIVERGÊNCIA",IF(COUNTIF(RATEIOS!$A$2:$A$3142,$A332)-COUNTIFS(RATEIOS!$A$2:$A$3142,$A332,RATEIOS!$D$2:$D$3142,"&lt;&gt;")&gt;0,"NÃO CLASSIFICADO","RATEIO OK"))))</f>
        <v>RATEIO OK</v>
      </c>
      <c r="R332" s="49" t="s">
        <v>2553</v>
      </c>
      <c r="S332" s="14"/>
    </row>
    <row r="333" spans="1:19" ht="24.95" customHeight="1" x14ac:dyDescent="0.25">
      <c r="A333" s="49" t="s">
        <v>1731</v>
      </c>
      <c r="B333" s="98">
        <v>332</v>
      </c>
      <c r="C333" s="50">
        <v>46106</v>
      </c>
      <c r="D333" s="49">
        <f t="shared" si="10"/>
        <v>3</v>
      </c>
      <c r="E333" s="92" t="s">
        <v>2556</v>
      </c>
      <c r="F333" s="49" t="s">
        <v>36</v>
      </c>
      <c r="G333" s="14" t="s">
        <v>555</v>
      </c>
      <c r="H333" s="14" t="s">
        <v>555</v>
      </c>
      <c r="I333" s="76"/>
      <c r="J333" s="73">
        <v>0</v>
      </c>
      <c r="K333" s="74">
        <v>10</v>
      </c>
      <c r="L333" s="72">
        <v>0</v>
      </c>
      <c r="M333" s="72">
        <v>0</v>
      </c>
      <c r="N333" s="72">
        <f>IF(AND(C333="",J333=0,K333=0,L333=0,M333=0),"",CADASTROS!$B$4+SUM($J$2:J333)+SUM($M$2:M333)-SUM($K$2:K333)-SUM($L$2:L333))</f>
        <v>521611.53999999934</v>
      </c>
      <c r="O333" s="72">
        <f>IF(A333="","",SUMIF(RATEIOS!$A$2:$A$3142,$A333,RATEIOS!$F$2:$F$3142))</f>
        <v>10</v>
      </c>
      <c r="P333" s="15">
        <f t="shared" si="11"/>
        <v>0</v>
      </c>
      <c r="Q333" s="49" t="str">
        <f>IF(AND(J333=0,K333=0,L333=0,M333=0),"",IF(O333=0,"PENDENTE DE RATEIO",IF(ABS(P333)&gt;0.005,"DIVERGÊNCIA",IF(COUNTIF(RATEIOS!$A$2:$A$3142,$A333)-COUNTIFS(RATEIOS!$A$2:$A$3142,$A333,RATEIOS!$D$2:$D$3142,"&lt;&gt;")&gt;0,"NÃO CLASSIFICADO","RATEIO OK"))))</f>
        <v>RATEIO OK</v>
      </c>
      <c r="R333" s="49" t="s">
        <v>2553</v>
      </c>
      <c r="S333" s="14"/>
    </row>
    <row r="334" spans="1:19" ht="24.95" customHeight="1" x14ac:dyDescent="0.25">
      <c r="A334" s="49" t="s">
        <v>1732</v>
      </c>
      <c r="B334" s="98">
        <v>333</v>
      </c>
      <c r="C334" s="50">
        <v>46106</v>
      </c>
      <c r="D334" s="49">
        <f t="shared" si="10"/>
        <v>3</v>
      </c>
      <c r="E334" s="92" t="s">
        <v>72</v>
      </c>
      <c r="F334" s="49" t="s">
        <v>36</v>
      </c>
      <c r="G334" s="14" t="s">
        <v>571</v>
      </c>
      <c r="H334" s="14" t="s">
        <v>467</v>
      </c>
      <c r="I334" s="76" t="s">
        <v>468</v>
      </c>
      <c r="J334" s="73">
        <v>0</v>
      </c>
      <c r="K334" s="74">
        <v>101.88</v>
      </c>
      <c r="L334" s="72">
        <v>0</v>
      </c>
      <c r="M334" s="72">
        <v>0</v>
      </c>
      <c r="N334" s="72">
        <f>IF(AND(C334="",J334=0,K334=0,L334=0,M334=0),"",CADASTROS!$B$4+SUM($J$2:J334)+SUM($M$2:M334)-SUM($K$2:K334)-SUM($L$2:L334))</f>
        <v>521509.65999999945</v>
      </c>
      <c r="O334" s="72">
        <f>IF(A334="","",SUMIF(RATEIOS!$A$2:$A$3142,$A334,RATEIOS!$F$2:$F$3142))</f>
        <v>101.88</v>
      </c>
      <c r="P334" s="15">
        <f t="shared" si="11"/>
        <v>0</v>
      </c>
      <c r="Q334" s="49" t="str">
        <f>IF(AND(J334=0,K334=0,L334=0,M334=0),"",IF(O334=0,"PENDENTE DE RATEIO",IF(ABS(P334)&gt;0.005,"DIVERGÊNCIA",IF(COUNTIF(RATEIOS!$A$2:$A$3142,$A334)-COUNTIFS(RATEIOS!$A$2:$A$3142,$A334,RATEIOS!$D$2:$D$3142,"&lt;&gt;")&gt;0,"NÃO CLASSIFICADO","RATEIO OK"))))</f>
        <v>RATEIO OK</v>
      </c>
      <c r="R334" s="49" t="s">
        <v>2553</v>
      </c>
      <c r="S334" s="14"/>
    </row>
    <row r="335" spans="1:19" ht="24.95" customHeight="1" x14ac:dyDescent="0.25">
      <c r="A335" s="49" t="s">
        <v>1733</v>
      </c>
      <c r="B335" s="98">
        <v>334</v>
      </c>
      <c r="C335" s="50">
        <v>46107</v>
      </c>
      <c r="D335" s="49">
        <f t="shared" si="10"/>
        <v>3</v>
      </c>
      <c r="E335" s="92" t="s">
        <v>118</v>
      </c>
      <c r="F335" s="49" t="s">
        <v>36</v>
      </c>
      <c r="G335" s="14" t="s">
        <v>184</v>
      </c>
      <c r="H335" s="14" t="s">
        <v>185</v>
      </c>
      <c r="I335" s="76" t="s">
        <v>560</v>
      </c>
      <c r="J335" s="73">
        <v>0</v>
      </c>
      <c r="K335" s="74">
        <v>1497</v>
      </c>
      <c r="L335" s="72">
        <v>0</v>
      </c>
      <c r="M335" s="72">
        <v>0</v>
      </c>
      <c r="N335" s="72">
        <f>IF(AND(C335="",J335=0,K335=0,L335=0,M335=0),"",CADASTROS!$B$4+SUM($J$2:J335)+SUM($M$2:M335)-SUM($K$2:K335)-SUM($L$2:L335))</f>
        <v>520012.65999999945</v>
      </c>
      <c r="O335" s="72">
        <f>IF(A335="","",SUMIF(RATEIOS!$A$2:$A$3142,$A335,RATEIOS!$F$2:$F$3142))</f>
        <v>1497</v>
      </c>
      <c r="P335" s="15">
        <f t="shared" si="11"/>
        <v>0</v>
      </c>
      <c r="Q335" s="49" t="str">
        <f>IF(AND(J335=0,K335=0,L335=0,M335=0),"",IF(O335=0,"PENDENTE DE RATEIO",IF(ABS(P335)&gt;0.005,"DIVERGÊNCIA",IF(COUNTIF(RATEIOS!$A$2:$A$3142,$A335)-COUNTIFS(RATEIOS!$A$2:$A$3142,$A335,RATEIOS!$D$2:$D$3142,"&lt;&gt;")&gt;0,"NÃO CLASSIFICADO","RATEIO OK"))))</f>
        <v>RATEIO OK</v>
      </c>
      <c r="R335" s="49" t="s">
        <v>2553</v>
      </c>
      <c r="S335" s="14"/>
    </row>
    <row r="336" spans="1:19" ht="24.95" customHeight="1" x14ac:dyDescent="0.25">
      <c r="A336" s="49" t="s">
        <v>1734</v>
      </c>
      <c r="B336" s="98">
        <v>335</v>
      </c>
      <c r="C336" s="50">
        <v>46107</v>
      </c>
      <c r="D336" s="49">
        <f t="shared" si="10"/>
        <v>3</v>
      </c>
      <c r="E336" s="92" t="s">
        <v>118</v>
      </c>
      <c r="F336" s="49" t="s">
        <v>36</v>
      </c>
      <c r="G336" s="14" t="s">
        <v>561</v>
      </c>
      <c r="H336" s="14" t="s">
        <v>172</v>
      </c>
      <c r="I336" s="76" t="s">
        <v>200</v>
      </c>
      <c r="J336" s="73">
        <v>0</v>
      </c>
      <c r="K336" s="74">
        <v>590.54</v>
      </c>
      <c r="L336" s="72">
        <v>0</v>
      </c>
      <c r="M336" s="72">
        <v>0</v>
      </c>
      <c r="N336" s="72">
        <f>IF(AND(C336="",J336=0,K336=0,L336=0,M336=0),"",CADASTROS!$B$4+SUM($J$2:J336)+SUM($M$2:M336)-SUM($K$2:K336)-SUM($L$2:L336))</f>
        <v>519422.11999999941</v>
      </c>
      <c r="O336" s="72">
        <f>IF(A336="","",SUMIF(RATEIOS!$A$2:$A$3142,$A336,RATEIOS!$F$2:$F$3142))</f>
        <v>590.54</v>
      </c>
      <c r="P336" s="15">
        <f t="shared" si="11"/>
        <v>0</v>
      </c>
      <c r="Q336" s="49" t="str">
        <f>IF(AND(J336=0,K336=0,L336=0,M336=0),"",IF(O336=0,"PENDENTE DE RATEIO",IF(ABS(P336)&gt;0.005,"DIVERGÊNCIA",IF(COUNTIF(RATEIOS!$A$2:$A$3142,$A336)-COUNTIFS(RATEIOS!$A$2:$A$3142,$A336,RATEIOS!$D$2:$D$3142,"&lt;&gt;")&gt;0,"NÃO CLASSIFICADO","RATEIO OK"))))</f>
        <v>RATEIO OK</v>
      </c>
      <c r="R336" s="49" t="s">
        <v>2553</v>
      </c>
      <c r="S336" s="14"/>
    </row>
    <row r="337" spans="1:19" ht="24.95" customHeight="1" x14ac:dyDescent="0.25">
      <c r="A337" s="49" t="s">
        <v>1735</v>
      </c>
      <c r="B337" s="98">
        <v>336</v>
      </c>
      <c r="C337" s="50">
        <v>46111</v>
      </c>
      <c r="D337" s="49">
        <f t="shared" si="10"/>
        <v>3</v>
      </c>
      <c r="E337" s="92" t="s">
        <v>118</v>
      </c>
      <c r="F337" s="49" t="s">
        <v>36</v>
      </c>
      <c r="G337" s="14" t="s">
        <v>562</v>
      </c>
      <c r="H337" s="14" t="s">
        <v>143</v>
      </c>
      <c r="I337" s="76" t="s">
        <v>224</v>
      </c>
      <c r="J337" s="73">
        <v>0</v>
      </c>
      <c r="K337" s="74">
        <v>48992.160000000003</v>
      </c>
      <c r="L337" s="72">
        <v>0</v>
      </c>
      <c r="M337" s="72">
        <v>0</v>
      </c>
      <c r="N337" s="72">
        <f>IF(AND(C337="",J337=0,K337=0,L337=0,M337=0),"",CADASTROS!$B$4+SUM($J$2:J337)+SUM($M$2:M337)-SUM($K$2:K337)-SUM($L$2:L337))</f>
        <v>470429.9599999995</v>
      </c>
      <c r="O337" s="72">
        <f>IF(A337="","",SUMIF(RATEIOS!$A$2:$A$3142,$A337,RATEIOS!$F$2:$F$3142))</f>
        <v>48992.160000000003</v>
      </c>
      <c r="P337" s="15">
        <f t="shared" si="11"/>
        <v>0</v>
      </c>
      <c r="Q337" s="49" t="str">
        <f>IF(AND(J337=0,K337=0,L337=0,M337=0),"",IF(O337=0,"PENDENTE DE RATEIO",IF(ABS(P337)&gt;0.005,"DIVERGÊNCIA",IF(COUNTIF(RATEIOS!$A$2:$A$3142,$A337)-COUNTIFS(RATEIOS!$A$2:$A$3142,$A337,RATEIOS!$D$2:$D$3142,"&lt;&gt;")&gt;0,"NÃO CLASSIFICADO","RATEIO OK"))))</f>
        <v>RATEIO OK</v>
      </c>
      <c r="R337" s="49" t="s">
        <v>2553</v>
      </c>
      <c r="S337" s="14"/>
    </row>
    <row r="338" spans="1:19" ht="24.95" customHeight="1" x14ac:dyDescent="0.25">
      <c r="A338" s="49" t="s">
        <v>1736</v>
      </c>
      <c r="B338" s="98">
        <v>337</v>
      </c>
      <c r="C338" s="50">
        <v>46111</v>
      </c>
      <c r="D338" s="49">
        <f t="shared" si="10"/>
        <v>3</v>
      </c>
      <c r="E338" s="92" t="s">
        <v>118</v>
      </c>
      <c r="F338" s="49" t="s">
        <v>36</v>
      </c>
      <c r="G338" s="14" t="s">
        <v>563</v>
      </c>
      <c r="H338" s="14" t="s">
        <v>143</v>
      </c>
      <c r="I338" s="76" t="s">
        <v>226</v>
      </c>
      <c r="J338" s="73">
        <v>0</v>
      </c>
      <c r="K338" s="74">
        <v>9331.84</v>
      </c>
      <c r="L338" s="72">
        <v>0</v>
      </c>
      <c r="M338" s="72">
        <v>0</v>
      </c>
      <c r="N338" s="72">
        <f>IF(AND(C338="",J338=0,K338=0,L338=0,M338=0),"",CADASTROS!$B$4+SUM($J$2:J338)+SUM($M$2:M338)-SUM($K$2:K338)-SUM($L$2:L338))</f>
        <v>461098.11999999941</v>
      </c>
      <c r="O338" s="72">
        <f>IF(A338="","",SUMIF(RATEIOS!$A$2:$A$3142,$A338,RATEIOS!$F$2:$F$3142))</f>
        <v>9331.84</v>
      </c>
      <c r="P338" s="15">
        <f t="shared" si="11"/>
        <v>0</v>
      </c>
      <c r="Q338" s="49" t="str">
        <f>IF(AND(J338=0,K338=0,L338=0,M338=0),"",IF(O338=0,"PENDENTE DE RATEIO",IF(ABS(P338)&gt;0.005,"DIVERGÊNCIA",IF(COUNTIF(RATEIOS!$A$2:$A$3142,$A338)-COUNTIFS(RATEIOS!$A$2:$A$3142,$A338,RATEIOS!$D$2:$D$3142,"&lt;&gt;")&gt;0,"NÃO CLASSIFICADO","RATEIO OK"))))</f>
        <v>RATEIO OK</v>
      </c>
      <c r="R338" s="49" t="s">
        <v>2553</v>
      </c>
      <c r="S338" s="14"/>
    </row>
    <row r="339" spans="1:19" ht="24.95" customHeight="1" x14ac:dyDescent="0.25">
      <c r="A339" s="49" t="s">
        <v>1737</v>
      </c>
      <c r="B339" s="98">
        <v>338</v>
      </c>
      <c r="C339" s="50">
        <v>46111</v>
      </c>
      <c r="D339" s="49">
        <f t="shared" si="10"/>
        <v>3</v>
      </c>
      <c r="E339" s="92" t="s">
        <v>118</v>
      </c>
      <c r="F339" s="49" t="s">
        <v>36</v>
      </c>
      <c r="G339" s="14" t="s">
        <v>564</v>
      </c>
      <c r="H339" s="14" t="s">
        <v>59</v>
      </c>
      <c r="I339" s="76" t="s">
        <v>565</v>
      </c>
      <c r="J339" s="73">
        <v>0</v>
      </c>
      <c r="K339" s="74">
        <v>2200</v>
      </c>
      <c r="L339" s="72">
        <v>0</v>
      </c>
      <c r="M339" s="72">
        <v>0</v>
      </c>
      <c r="N339" s="72">
        <f>IF(AND(C339="",J339=0,K339=0,L339=0,M339=0),"",CADASTROS!$B$4+SUM($J$2:J339)+SUM($M$2:M339)-SUM($K$2:K339)-SUM($L$2:L339))</f>
        <v>458898.11999999941</v>
      </c>
      <c r="O339" s="72">
        <f>IF(A339="","",SUMIF(RATEIOS!$A$2:$A$3142,$A339,RATEIOS!$F$2:$F$3142))</f>
        <v>2200</v>
      </c>
      <c r="P339" s="15">
        <f t="shared" si="11"/>
        <v>0</v>
      </c>
      <c r="Q339" s="49" t="str">
        <f>IF(AND(J339=0,K339=0,L339=0,M339=0),"",IF(O339=0,"PENDENTE DE RATEIO",IF(ABS(P339)&gt;0.005,"DIVERGÊNCIA",IF(COUNTIF(RATEIOS!$A$2:$A$3142,$A339)-COUNTIFS(RATEIOS!$A$2:$A$3142,$A339,RATEIOS!$D$2:$D$3142,"&lt;&gt;")&gt;0,"NÃO CLASSIFICADO","RATEIO OK"))))</f>
        <v>RATEIO OK</v>
      </c>
      <c r="R339" s="49" t="s">
        <v>2553</v>
      </c>
      <c r="S339" s="14"/>
    </row>
    <row r="340" spans="1:19" ht="24.95" customHeight="1" x14ac:dyDescent="0.25">
      <c r="A340" s="49" t="s">
        <v>1738</v>
      </c>
      <c r="B340" s="98">
        <v>339</v>
      </c>
      <c r="C340" s="50">
        <v>46111</v>
      </c>
      <c r="D340" s="49">
        <f t="shared" si="10"/>
        <v>3</v>
      </c>
      <c r="E340" s="92" t="s">
        <v>287</v>
      </c>
      <c r="F340" s="49" t="s">
        <v>36</v>
      </c>
      <c r="G340" s="14" t="s">
        <v>566</v>
      </c>
      <c r="H340" s="14" t="s">
        <v>482</v>
      </c>
      <c r="I340" s="76" t="s">
        <v>542</v>
      </c>
      <c r="J340" s="73">
        <v>0</v>
      </c>
      <c r="K340" s="74">
        <v>1000</v>
      </c>
      <c r="L340" s="72">
        <v>0</v>
      </c>
      <c r="M340" s="72">
        <v>0</v>
      </c>
      <c r="N340" s="72">
        <f>IF(AND(C340="",J340=0,K340=0,L340=0,M340=0),"",CADASTROS!$B$4+SUM($J$2:J340)+SUM($M$2:M340)-SUM($K$2:K340)-SUM($L$2:L340))</f>
        <v>457898.11999999941</v>
      </c>
      <c r="O340" s="72">
        <f>IF(A340="","",SUMIF(RATEIOS!$A$2:$A$3142,$A340,RATEIOS!$F$2:$F$3142))</f>
        <v>1000</v>
      </c>
      <c r="P340" s="15">
        <f t="shared" si="11"/>
        <v>0</v>
      </c>
      <c r="Q340" s="49" t="str">
        <f>IF(AND(J340=0,K340=0,L340=0,M340=0),"",IF(O340=0,"PENDENTE DE RATEIO",IF(ABS(P340)&gt;0.005,"DIVERGÊNCIA",IF(COUNTIF(RATEIOS!$A$2:$A$3142,$A340)-COUNTIFS(RATEIOS!$A$2:$A$3142,$A340,RATEIOS!$D$2:$D$3142,"&lt;&gt;")&gt;0,"NÃO CLASSIFICADO","RATEIO OK"))))</f>
        <v>RATEIO OK</v>
      </c>
      <c r="R340" s="49" t="s">
        <v>2553</v>
      </c>
      <c r="S340" s="14" t="s">
        <v>567</v>
      </c>
    </row>
    <row r="341" spans="1:19" ht="24.95" customHeight="1" x14ac:dyDescent="0.25">
      <c r="A341" s="49" t="s">
        <v>1739</v>
      </c>
      <c r="B341" s="98">
        <v>340</v>
      </c>
      <c r="C341" s="50">
        <v>46111</v>
      </c>
      <c r="D341" s="49">
        <f t="shared" si="10"/>
        <v>3</v>
      </c>
      <c r="E341" s="92" t="s">
        <v>72</v>
      </c>
      <c r="F341" s="49" t="s">
        <v>36</v>
      </c>
      <c r="G341" s="14" t="s">
        <v>568</v>
      </c>
      <c r="H341" s="14" t="s">
        <v>569</v>
      </c>
      <c r="I341" s="76" t="s">
        <v>570</v>
      </c>
      <c r="J341" s="73">
        <v>0</v>
      </c>
      <c r="K341" s="74">
        <v>404.38</v>
      </c>
      <c r="L341" s="72">
        <v>0</v>
      </c>
      <c r="M341" s="72">
        <v>0</v>
      </c>
      <c r="N341" s="72">
        <f>IF(AND(C341="",J341=0,K341=0,L341=0,M341=0),"",CADASTROS!$B$4+SUM($J$2:J341)+SUM($M$2:M341)-SUM($K$2:K341)-SUM($L$2:L341))</f>
        <v>457493.73999999953</v>
      </c>
      <c r="O341" s="72">
        <f>IF(A341="","",SUMIF(RATEIOS!$A$2:$A$3142,$A341,RATEIOS!$F$2:$F$3142))</f>
        <v>404.38</v>
      </c>
      <c r="P341" s="15">
        <f t="shared" si="11"/>
        <v>0</v>
      </c>
      <c r="Q341" s="49" t="str">
        <f>IF(AND(J341=0,K341=0,L341=0,M341=0),"",IF(O341=0,"PENDENTE DE RATEIO",IF(ABS(P341)&gt;0.005,"DIVERGÊNCIA",IF(COUNTIF(RATEIOS!$A$2:$A$3142,$A341)-COUNTIFS(RATEIOS!$A$2:$A$3142,$A341,RATEIOS!$D$2:$D$3142,"&lt;&gt;")&gt;0,"NÃO CLASSIFICADO","RATEIO OK"))))</f>
        <v>RATEIO OK</v>
      </c>
      <c r="R341" s="49" t="s">
        <v>2553</v>
      </c>
      <c r="S341" s="14"/>
    </row>
    <row r="342" spans="1:19" ht="24.95" customHeight="1" x14ac:dyDescent="0.25">
      <c r="A342" s="49" t="s">
        <v>1740</v>
      </c>
      <c r="B342" s="98">
        <v>341</v>
      </c>
      <c r="C342" s="50">
        <v>46111</v>
      </c>
      <c r="D342" s="49">
        <f t="shared" si="10"/>
        <v>3</v>
      </c>
      <c r="E342" s="92" t="s">
        <v>2556</v>
      </c>
      <c r="F342" s="49" t="s">
        <v>36</v>
      </c>
      <c r="G342" s="14" t="s">
        <v>555</v>
      </c>
      <c r="H342" s="14" t="s">
        <v>555</v>
      </c>
      <c r="I342" s="76"/>
      <c r="J342" s="73">
        <v>0</v>
      </c>
      <c r="K342" s="74">
        <v>4</v>
      </c>
      <c r="L342" s="72">
        <v>0</v>
      </c>
      <c r="M342" s="72">
        <v>0</v>
      </c>
      <c r="N342" s="72">
        <f>IF(AND(C342="",J342=0,K342=0,L342=0,M342=0),"",CADASTROS!$B$4+SUM($J$2:J342)+SUM($M$2:M342)-SUM($K$2:K342)-SUM($L$2:L342))</f>
        <v>457489.73999999953</v>
      </c>
      <c r="O342" s="72">
        <f>IF(A342="","",SUMIF(RATEIOS!$A$2:$A$3142,$A342,RATEIOS!$F$2:$F$3142))</f>
        <v>4</v>
      </c>
      <c r="P342" s="15">
        <f t="shared" si="11"/>
        <v>0</v>
      </c>
      <c r="Q342" s="49" t="str">
        <f>IF(AND(J342=0,K342=0,L342=0,M342=0),"",IF(O342=0,"PENDENTE DE RATEIO",IF(ABS(P342)&gt;0.005,"DIVERGÊNCIA",IF(COUNTIF(RATEIOS!$A$2:$A$3142,$A342)-COUNTIFS(RATEIOS!$A$2:$A$3142,$A342,RATEIOS!$D$2:$D$3142,"&lt;&gt;")&gt;0,"NÃO CLASSIFICADO","RATEIO OK"))))</f>
        <v>RATEIO OK</v>
      </c>
      <c r="R342" s="49" t="s">
        <v>2553</v>
      </c>
      <c r="S342" s="14"/>
    </row>
    <row r="343" spans="1:19" ht="24.95" customHeight="1" x14ac:dyDescent="0.25">
      <c r="A343" s="49" t="s">
        <v>1741</v>
      </c>
      <c r="B343" s="98">
        <v>342</v>
      </c>
      <c r="C343" s="50">
        <v>46113</v>
      </c>
      <c r="D343" s="49">
        <f t="shared" si="10"/>
        <v>4</v>
      </c>
      <c r="E343" s="92" t="s">
        <v>287</v>
      </c>
      <c r="F343" s="49" t="s">
        <v>36</v>
      </c>
      <c r="G343" s="14" t="s">
        <v>572</v>
      </c>
      <c r="H343" s="14" t="s">
        <v>573</v>
      </c>
      <c r="I343" s="76" t="s">
        <v>574</v>
      </c>
      <c r="J343" s="73">
        <v>0</v>
      </c>
      <c r="K343" s="74">
        <v>4674.9799999999996</v>
      </c>
      <c r="L343" s="72">
        <v>0</v>
      </c>
      <c r="M343" s="72">
        <v>0</v>
      </c>
      <c r="N343" s="72">
        <f>IF(AND(C343="",J343=0,K343=0,L343=0,M343=0),"",CADASTROS!$B$4+SUM($J$2:J343)+SUM($M$2:M343)-SUM($K$2:K343)-SUM($L$2:L343))</f>
        <v>452814.75999999954</v>
      </c>
      <c r="O343" s="72">
        <f>IF(A343="","",SUMIF(RATEIOS!$A$2:$A$3142,$A343,RATEIOS!$F$2:$F$3142))</f>
        <v>4674.9799999999996</v>
      </c>
      <c r="P343" s="15">
        <f t="shared" si="11"/>
        <v>0</v>
      </c>
      <c r="Q343" s="49" t="str">
        <f>IF(AND(J343=0,K343=0,L343=0,M343=0),"",IF(O343=0,"PENDENTE DE RATEIO",IF(ABS(P343)&gt;0.005,"DIVERGÊNCIA",IF(COUNTIF(RATEIOS!$A$2:$A$3142,$A343)-COUNTIFS(RATEIOS!$A$2:$A$3142,$A343,RATEIOS!$D$2:$D$3142,"&lt;&gt;")&gt;0,"NÃO CLASSIFICADO","RATEIO OK"))))</f>
        <v>RATEIO OK</v>
      </c>
      <c r="R343" s="49" t="s">
        <v>2553</v>
      </c>
      <c r="S343" s="14"/>
    </row>
    <row r="344" spans="1:19" ht="24.95" customHeight="1" x14ac:dyDescent="0.25">
      <c r="A344" s="49" t="s">
        <v>1743</v>
      </c>
      <c r="B344" s="98">
        <v>343</v>
      </c>
      <c r="C344" s="50">
        <v>46113</v>
      </c>
      <c r="D344" s="49">
        <f t="shared" si="10"/>
        <v>4</v>
      </c>
      <c r="E344" s="92" t="s">
        <v>118</v>
      </c>
      <c r="F344" s="49" t="s">
        <v>36</v>
      </c>
      <c r="G344" s="14" t="s">
        <v>575</v>
      </c>
      <c r="H344" s="14" t="s">
        <v>143</v>
      </c>
      <c r="I344" s="76" t="s">
        <v>433</v>
      </c>
      <c r="J344" s="73">
        <v>0</v>
      </c>
      <c r="K344" s="74">
        <v>3232.5</v>
      </c>
      <c r="L344" s="72">
        <v>0</v>
      </c>
      <c r="M344" s="72">
        <v>0</v>
      </c>
      <c r="N344" s="72">
        <f>IF(AND(C344="",J344=0,K344=0,L344=0,M344=0),"",CADASTROS!$B$4+SUM($J$2:J344)+SUM($M$2:M344)-SUM($K$2:K344)-SUM($L$2:L344))</f>
        <v>449582.25999999954</v>
      </c>
      <c r="O344" s="72">
        <f>IF(A344="","",SUMIF(RATEIOS!$A$2:$A$3142,$A344,RATEIOS!$F$2:$F$3142))</f>
        <v>3232.5</v>
      </c>
      <c r="P344" s="15">
        <f t="shared" si="11"/>
        <v>0</v>
      </c>
      <c r="Q344" s="49" t="str">
        <f>IF(AND(J344=0,K344=0,L344=0,M344=0),"",IF(O344=0,"PENDENTE DE RATEIO",IF(ABS(P344)&gt;0.005,"DIVERGÊNCIA",IF(COUNTIF(RATEIOS!$A$2:$A$3142,$A344)-COUNTIFS(RATEIOS!$A$2:$A$3142,$A344,RATEIOS!$D$2:$D$3142,"&lt;&gt;")&gt;0,"NÃO CLASSIFICADO","RATEIO OK"))))</f>
        <v>RATEIO OK</v>
      </c>
      <c r="R344" s="49" t="s">
        <v>2553</v>
      </c>
      <c r="S344" s="14"/>
    </row>
    <row r="345" spans="1:19" ht="24.95" customHeight="1" x14ac:dyDescent="0.25">
      <c r="A345" s="49" t="s">
        <v>1744</v>
      </c>
      <c r="B345" s="98">
        <v>344</v>
      </c>
      <c r="C345" s="51">
        <v>46113</v>
      </c>
      <c r="D345" s="49">
        <f t="shared" si="10"/>
        <v>4</v>
      </c>
      <c r="E345" s="92" t="s">
        <v>118</v>
      </c>
      <c r="F345" s="49" t="s">
        <v>36</v>
      </c>
      <c r="G345" s="14" t="s">
        <v>576</v>
      </c>
      <c r="H345" s="14" t="s">
        <v>188</v>
      </c>
      <c r="I345" s="76" t="s">
        <v>577</v>
      </c>
      <c r="J345" s="73">
        <v>0</v>
      </c>
      <c r="K345" s="74">
        <v>1688</v>
      </c>
      <c r="L345" s="72">
        <v>0</v>
      </c>
      <c r="M345" s="72">
        <v>0</v>
      </c>
      <c r="N345" s="72">
        <f>IF(AND(C345="",J345=0,K345=0,L345=0,M345=0),"",CADASTROS!$B$4+SUM($J$2:J345)+SUM($M$2:M345)-SUM($K$2:K345)-SUM($L$2:L345))</f>
        <v>447894.25999999954</v>
      </c>
      <c r="O345" s="72">
        <f>IF(A345="","",SUMIF(RATEIOS!$A$2:$A$3142,$A345,RATEIOS!$F$2:$F$3142))</f>
        <v>1688</v>
      </c>
      <c r="P345" s="15">
        <f t="shared" si="11"/>
        <v>0</v>
      </c>
      <c r="Q345" s="49" t="str">
        <f>IF(AND(J345=0,K345=0,L345=0,M345=0),"",IF(O345=0,"PENDENTE DE RATEIO",IF(ABS(P345)&gt;0.005,"DIVERGÊNCIA",IF(COUNTIF(RATEIOS!$A$2:$A$3142,$A345)-COUNTIFS(RATEIOS!$A$2:$A$3142,$A345,RATEIOS!$D$2:$D$3142,"&lt;&gt;")&gt;0,"NÃO CLASSIFICADO","RATEIO OK"))))</f>
        <v>RATEIO OK</v>
      </c>
      <c r="R345" s="49" t="s">
        <v>2553</v>
      </c>
      <c r="S345" s="52"/>
    </row>
    <row r="346" spans="1:19" ht="24.95" customHeight="1" x14ac:dyDescent="0.25">
      <c r="A346" s="49" t="s">
        <v>1745</v>
      </c>
      <c r="B346" s="98">
        <v>345</v>
      </c>
      <c r="C346" s="50">
        <v>46114</v>
      </c>
      <c r="D346" s="49">
        <f t="shared" si="10"/>
        <v>4</v>
      </c>
      <c r="E346" s="92" t="s">
        <v>287</v>
      </c>
      <c r="F346" s="49" t="s">
        <v>36</v>
      </c>
      <c r="G346" s="14" t="s">
        <v>2766</v>
      </c>
      <c r="H346" s="14" t="s">
        <v>159</v>
      </c>
      <c r="I346" s="76" t="s">
        <v>578</v>
      </c>
      <c r="J346" s="73">
        <v>0</v>
      </c>
      <c r="K346" s="74">
        <v>3800</v>
      </c>
      <c r="L346" s="72">
        <v>0</v>
      </c>
      <c r="M346" s="72">
        <v>0</v>
      </c>
      <c r="N346" s="72">
        <f>IF(AND(C346="",J346=0,K346=0,L346=0,M346=0),"",CADASTROS!$B$4+SUM($J$2:J346)+SUM($M$2:M346)-SUM($K$2:K346)-SUM($L$2:L346))</f>
        <v>444094.25999999954</v>
      </c>
      <c r="O346" s="72">
        <f>IF(A346="","",SUMIF(RATEIOS!$A$2:$A$3142,$A346,RATEIOS!$F$2:$F$3142))</f>
        <v>3800</v>
      </c>
      <c r="P346" s="15">
        <f t="shared" si="11"/>
        <v>0</v>
      </c>
      <c r="Q346" s="49" t="str">
        <f>IF(AND(J346=0,K346=0,L346=0,M346=0),"",IF(O346=0,"PENDENTE DE RATEIO",IF(ABS(P346)&gt;0.005,"DIVERGÊNCIA",IF(COUNTIF(RATEIOS!$A$2:$A$3142,$A346)-COUNTIFS(RATEIOS!$A$2:$A$3142,$A346,RATEIOS!$D$2:$D$3142,"&lt;&gt;")&gt;0,"NÃO CLASSIFICADO","RATEIO OK"))))</f>
        <v>RATEIO OK</v>
      </c>
      <c r="R346" s="49" t="s">
        <v>2553</v>
      </c>
      <c r="S346" s="14"/>
    </row>
    <row r="347" spans="1:19" ht="24.95" customHeight="1" x14ac:dyDescent="0.25">
      <c r="A347" s="49" t="s">
        <v>1746</v>
      </c>
      <c r="B347" s="98">
        <v>346</v>
      </c>
      <c r="C347" s="51">
        <v>46114</v>
      </c>
      <c r="D347" s="49">
        <f t="shared" si="10"/>
        <v>4</v>
      </c>
      <c r="E347" s="92" t="s">
        <v>118</v>
      </c>
      <c r="F347" s="49" t="s">
        <v>36</v>
      </c>
      <c r="G347" s="14" t="s">
        <v>254</v>
      </c>
      <c r="H347" s="14" t="s">
        <v>255</v>
      </c>
      <c r="I347" s="76" t="s">
        <v>579</v>
      </c>
      <c r="J347" s="73">
        <v>0</v>
      </c>
      <c r="K347" s="74">
        <v>2938.4</v>
      </c>
      <c r="L347" s="72">
        <v>0</v>
      </c>
      <c r="M347" s="72">
        <v>0</v>
      </c>
      <c r="N347" s="72">
        <f>IF(AND(C347="",J347=0,K347=0,L347=0,M347=0),"",CADASTROS!$B$4+SUM($J$2:J347)+SUM($M$2:M347)-SUM($K$2:K347)-SUM($L$2:L347))</f>
        <v>441155.85999999964</v>
      </c>
      <c r="O347" s="72">
        <f>IF(A347="","",SUMIF(RATEIOS!$A$2:$A$3142,$A347,RATEIOS!$F$2:$F$3142))</f>
        <v>2938.4</v>
      </c>
      <c r="P347" s="15">
        <f t="shared" si="11"/>
        <v>0</v>
      </c>
      <c r="Q347" s="49" t="str">
        <f>IF(AND(J347=0,K347=0,L347=0,M347=0),"",IF(O347=0,"PENDENTE DE RATEIO",IF(ABS(P347)&gt;0.005,"DIVERGÊNCIA",IF(COUNTIF(RATEIOS!$A$2:$A$3142,$A347)-COUNTIFS(RATEIOS!$A$2:$A$3142,$A347,RATEIOS!$D$2:$D$3142,"&lt;&gt;")&gt;0,"NÃO CLASSIFICADO","RATEIO OK"))))</f>
        <v>RATEIO OK</v>
      </c>
      <c r="R347" s="49" t="s">
        <v>2553</v>
      </c>
      <c r="S347" s="52"/>
    </row>
    <row r="348" spans="1:19" ht="24.95" customHeight="1" x14ac:dyDescent="0.25">
      <c r="A348" s="49" t="s">
        <v>1747</v>
      </c>
      <c r="B348" s="98">
        <v>347</v>
      </c>
      <c r="C348" s="50">
        <v>46114</v>
      </c>
      <c r="D348" s="49">
        <f t="shared" si="10"/>
        <v>4</v>
      </c>
      <c r="E348" s="92" t="s">
        <v>118</v>
      </c>
      <c r="F348" s="49" t="s">
        <v>36</v>
      </c>
      <c r="G348" s="14" t="s">
        <v>580</v>
      </c>
      <c r="H348" s="14" t="s">
        <v>581</v>
      </c>
      <c r="I348" s="76" t="s">
        <v>582</v>
      </c>
      <c r="J348" s="73">
        <v>0</v>
      </c>
      <c r="K348" s="74">
        <v>841.5</v>
      </c>
      <c r="L348" s="72">
        <v>0</v>
      </c>
      <c r="M348" s="72">
        <v>0</v>
      </c>
      <c r="N348" s="72">
        <f>IF(AND(C348="",J348=0,K348=0,L348=0,M348=0),"",CADASTROS!$B$4+SUM($J$2:J348)+SUM($M$2:M348)-SUM($K$2:K348)-SUM($L$2:L348))</f>
        <v>440314.35999999964</v>
      </c>
      <c r="O348" s="72">
        <f>IF(A348="","",SUMIF(RATEIOS!$A$2:$A$3142,$A348,RATEIOS!$F$2:$F$3142))</f>
        <v>841.5</v>
      </c>
      <c r="P348" s="15">
        <f t="shared" si="11"/>
        <v>0</v>
      </c>
      <c r="Q348" s="49" t="str">
        <f>IF(AND(J348=0,K348=0,L348=0,M348=0),"",IF(O348=0,"PENDENTE DE RATEIO",IF(ABS(P348)&gt;0.005,"DIVERGÊNCIA",IF(COUNTIF(RATEIOS!$A$2:$A$3142,$A348)-COUNTIFS(RATEIOS!$A$2:$A$3142,$A348,RATEIOS!$D$2:$D$3142,"&lt;&gt;")&gt;0,"NÃO CLASSIFICADO","RATEIO OK"))))</f>
        <v>RATEIO OK</v>
      </c>
      <c r="R348" s="49" t="s">
        <v>2553</v>
      </c>
      <c r="S348" s="14" t="s">
        <v>583</v>
      </c>
    </row>
    <row r="349" spans="1:19" ht="24.95" customHeight="1" x14ac:dyDescent="0.25">
      <c r="A349" s="49" t="s">
        <v>1748</v>
      </c>
      <c r="B349" s="98">
        <v>348</v>
      </c>
      <c r="C349" s="50">
        <v>46114</v>
      </c>
      <c r="D349" s="49">
        <f t="shared" si="10"/>
        <v>4</v>
      </c>
      <c r="E349" s="92" t="s">
        <v>118</v>
      </c>
      <c r="F349" s="49" t="s">
        <v>36</v>
      </c>
      <c r="G349" s="14" t="s">
        <v>584</v>
      </c>
      <c r="H349" s="14" t="s">
        <v>59</v>
      </c>
      <c r="I349" s="76" t="s">
        <v>479</v>
      </c>
      <c r="J349" s="73">
        <v>0</v>
      </c>
      <c r="K349" s="74">
        <v>1530</v>
      </c>
      <c r="L349" s="72">
        <v>0</v>
      </c>
      <c r="M349" s="72">
        <v>0</v>
      </c>
      <c r="N349" s="72">
        <f>IF(AND(C349="",J349=0,K349=0,L349=0,M349=0),"",CADASTROS!$B$4+SUM($J$2:J349)+SUM($M$2:M349)-SUM($K$2:K349)-SUM($L$2:L349))</f>
        <v>438784.35999999964</v>
      </c>
      <c r="O349" s="72">
        <f>IF(A349="","",SUMIF(RATEIOS!$A$2:$A$3142,$A349,RATEIOS!$F$2:$F$3142))</f>
        <v>1530</v>
      </c>
      <c r="P349" s="15">
        <f t="shared" si="11"/>
        <v>0</v>
      </c>
      <c r="Q349" s="49" t="str">
        <f>IF(AND(J349=0,K349=0,L349=0,M349=0),"",IF(O349=0,"PENDENTE DE RATEIO",IF(ABS(P349)&gt;0.005,"DIVERGÊNCIA",IF(COUNTIF(RATEIOS!$A$2:$A$3142,$A349)-COUNTIFS(RATEIOS!$A$2:$A$3142,$A349,RATEIOS!$D$2:$D$3142,"&lt;&gt;")&gt;0,"NÃO CLASSIFICADO","RATEIO OK"))))</f>
        <v>RATEIO OK</v>
      </c>
      <c r="R349" s="49" t="s">
        <v>2553</v>
      </c>
      <c r="S349" s="14"/>
    </row>
    <row r="350" spans="1:19" ht="24.95" customHeight="1" x14ac:dyDescent="0.25">
      <c r="A350" s="49" t="s">
        <v>1749</v>
      </c>
      <c r="B350" s="98">
        <v>349</v>
      </c>
      <c r="C350" s="50">
        <v>46114</v>
      </c>
      <c r="D350" s="49">
        <f t="shared" si="10"/>
        <v>4</v>
      </c>
      <c r="E350" s="92" t="s">
        <v>118</v>
      </c>
      <c r="F350" s="49" t="s">
        <v>36</v>
      </c>
      <c r="G350" s="14" t="s">
        <v>585</v>
      </c>
      <c r="H350" s="14" t="s">
        <v>188</v>
      </c>
      <c r="I350" s="76" t="s">
        <v>344</v>
      </c>
      <c r="J350" s="73">
        <v>0</v>
      </c>
      <c r="K350" s="74">
        <v>1660</v>
      </c>
      <c r="L350" s="72">
        <v>0</v>
      </c>
      <c r="M350" s="72">
        <v>0</v>
      </c>
      <c r="N350" s="72">
        <f>IF(AND(C350="",J350=0,K350=0,L350=0,M350=0),"",CADASTROS!$B$4+SUM($J$2:J350)+SUM($M$2:M350)-SUM($K$2:K350)-SUM($L$2:L350))</f>
        <v>437124.35999999964</v>
      </c>
      <c r="O350" s="72">
        <f>IF(A350="","",SUMIF(RATEIOS!$A$2:$A$3142,$A350,RATEIOS!$F$2:$F$3142))</f>
        <v>1660</v>
      </c>
      <c r="P350" s="15">
        <f t="shared" si="11"/>
        <v>0</v>
      </c>
      <c r="Q350" s="49" t="str">
        <f>IF(AND(J350=0,K350=0,L350=0,M350=0),"",IF(O350=0,"PENDENTE DE RATEIO",IF(ABS(P350)&gt;0.005,"DIVERGÊNCIA",IF(COUNTIF(RATEIOS!$A$2:$A$3142,$A350)-COUNTIFS(RATEIOS!$A$2:$A$3142,$A350,RATEIOS!$D$2:$D$3142,"&lt;&gt;")&gt;0,"NÃO CLASSIFICADO","RATEIO OK"))))</f>
        <v>RATEIO OK</v>
      </c>
      <c r="R350" s="49" t="s">
        <v>2553</v>
      </c>
      <c r="S350" s="14"/>
    </row>
    <row r="351" spans="1:19" ht="24.95" customHeight="1" x14ac:dyDescent="0.25">
      <c r="A351" s="49" t="s">
        <v>1752</v>
      </c>
      <c r="B351" s="98">
        <v>350</v>
      </c>
      <c r="C351" s="50">
        <v>46114</v>
      </c>
      <c r="D351" s="49">
        <f t="shared" si="10"/>
        <v>4</v>
      </c>
      <c r="E351" s="92" t="s">
        <v>118</v>
      </c>
      <c r="F351" s="49" t="s">
        <v>36</v>
      </c>
      <c r="G351" s="14" t="s">
        <v>586</v>
      </c>
      <c r="H351" s="14" t="s">
        <v>143</v>
      </c>
      <c r="I351" s="76" t="s">
        <v>524</v>
      </c>
      <c r="J351" s="73">
        <v>0</v>
      </c>
      <c r="K351" s="74">
        <v>1722.5</v>
      </c>
      <c r="L351" s="72">
        <v>0</v>
      </c>
      <c r="M351" s="72">
        <v>0</v>
      </c>
      <c r="N351" s="72">
        <f>IF(AND(C351="",J351=0,K351=0,L351=0,M351=0),"",CADASTROS!$B$4+SUM($J$2:J351)+SUM($M$2:M351)-SUM($K$2:K351)-SUM($L$2:L351))</f>
        <v>435401.85999999964</v>
      </c>
      <c r="O351" s="72">
        <f>IF(A351="","",SUMIF(RATEIOS!$A$2:$A$3142,$A351,RATEIOS!$F$2:$F$3142))</f>
        <v>1722.5</v>
      </c>
      <c r="P351" s="15">
        <f t="shared" si="11"/>
        <v>0</v>
      </c>
      <c r="Q351" s="49" t="str">
        <f>IF(AND(J351=0,K351=0,L351=0,M351=0),"",IF(O351=0,"PENDENTE DE RATEIO",IF(ABS(P351)&gt;0.005,"DIVERGÊNCIA",IF(COUNTIF(RATEIOS!$A$2:$A$3142,$A351)-COUNTIFS(RATEIOS!$A$2:$A$3142,$A351,RATEIOS!$D$2:$D$3142,"&lt;&gt;")&gt;0,"NÃO CLASSIFICADO","RATEIO OK"))))</f>
        <v>RATEIO OK</v>
      </c>
      <c r="R351" s="49" t="s">
        <v>2553</v>
      </c>
      <c r="S351" s="53"/>
    </row>
    <row r="352" spans="1:19" ht="24.95" customHeight="1" x14ac:dyDescent="0.25">
      <c r="A352" s="49" t="s">
        <v>1753</v>
      </c>
      <c r="B352" s="98">
        <v>351</v>
      </c>
      <c r="C352" s="50">
        <v>46118</v>
      </c>
      <c r="D352" s="49">
        <f t="shared" si="10"/>
        <v>4</v>
      </c>
      <c r="E352" s="92" t="s">
        <v>123</v>
      </c>
      <c r="F352" s="49" t="s">
        <v>36</v>
      </c>
      <c r="G352" s="14" t="s">
        <v>587</v>
      </c>
      <c r="H352" s="14" t="s">
        <v>123</v>
      </c>
      <c r="I352" s="76" t="s">
        <v>412</v>
      </c>
      <c r="J352" s="73">
        <v>0</v>
      </c>
      <c r="K352" s="74">
        <v>72007.08</v>
      </c>
      <c r="L352" s="72">
        <v>0</v>
      </c>
      <c r="M352" s="72">
        <v>0</v>
      </c>
      <c r="N352" s="72">
        <f>IF(AND(C352="",J352=0,K352=0,L352=0,M352=0),"",CADASTROS!$B$4+SUM($J$2:J352)+SUM($M$2:M352)-SUM($K$2:K352)-SUM($L$2:L352))</f>
        <v>363394.77999999956</v>
      </c>
      <c r="O352" s="72">
        <f>IF(A352="","",SUMIF(RATEIOS!$A$2:$A$3142,$A352,RATEIOS!$F$2:$F$3142))</f>
        <v>72007.08</v>
      </c>
      <c r="P352" s="15">
        <f t="shared" si="11"/>
        <v>0</v>
      </c>
      <c r="Q352" s="49" t="str">
        <f>IF(AND(J352=0,K352=0,L352=0,M352=0),"",IF(O352=0,"PENDENTE DE RATEIO",IF(ABS(P352)&gt;0.005,"DIVERGÊNCIA",IF(COUNTIF(RATEIOS!$A$2:$A$3142,$A352)-COUNTIFS(RATEIOS!$A$2:$A$3142,$A352,RATEIOS!$D$2:$D$3142,"&lt;&gt;")&gt;0,"NÃO CLASSIFICADO","RATEIO OK"))))</f>
        <v>RATEIO OK</v>
      </c>
      <c r="R352" s="49" t="s">
        <v>2553</v>
      </c>
      <c r="S352" s="14"/>
    </row>
    <row r="353" spans="1:19" ht="24.95" customHeight="1" x14ac:dyDescent="0.25">
      <c r="A353" s="49" t="s">
        <v>1754</v>
      </c>
      <c r="B353" s="98">
        <v>352</v>
      </c>
      <c r="C353" s="50">
        <v>46118</v>
      </c>
      <c r="D353" s="49">
        <f t="shared" si="10"/>
        <v>4</v>
      </c>
      <c r="E353" s="92" t="s">
        <v>510</v>
      </c>
      <c r="F353" s="49" t="s">
        <v>36</v>
      </c>
      <c r="G353" s="14" t="s">
        <v>588</v>
      </c>
      <c r="H353" s="14" t="s">
        <v>512</v>
      </c>
      <c r="I353" s="76" t="s">
        <v>412</v>
      </c>
      <c r="J353" s="73">
        <v>0</v>
      </c>
      <c r="K353" s="74">
        <v>10850</v>
      </c>
      <c r="L353" s="72">
        <v>0</v>
      </c>
      <c r="M353" s="72">
        <v>0</v>
      </c>
      <c r="N353" s="72">
        <f>IF(AND(C353="",J353=0,K353=0,L353=0,M353=0),"",CADASTROS!$B$4+SUM($J$2:J353)+SUM($M$2:M353)-SUM($K$2:K353)-SUM($L$2:L353))</f>
        <v>352544.77999999956</v>
      </c>
      <c r="O353" s="72">
        <f>IF(A353="","",SUMIF(RATEIOS!$A$2:$A$3142,$A353,RATEIOS!$F$2:$F$3142))</f>
        <v>10850</v>
      </c>
      <c r="P353" s="15">
        <f t="shared" si="11"/>
        <v>0</v>
      </c>
      <c r="Q353" s="49" t="str">
        <f>IF(AND(J353=0,K353=0,L353=0,M353=0),"",IF(O353=0,"PENDENTE DE RATEIO",IF(ABS(P353)&gt;0.005,"DIVERGÊNCIA",IF(COUNTIF(RATEIOS!$A$2:$A$3142,$A353)-COUNTIFS(RATEIOS!$A$2:$A$3142,$A353,RATEIOS!$D$2:$D$3142,"&lt;&gt;")&gt;0,"NÃO CLASSIFICADO","RATEIO OK"))))</f>
        <v>RATEIO OK</v>
      </c>
      <c r="R353" s="49" t="s">
        <v>2553</v>
      </c>
      <c r="S353" s="14" t="s">
        <v>589</v>
      </c>
    </row>
    <row r="354" spans="1:19" ht="24.95" customHeight="1" x14ac:dyDescent="0.25">
      <c r="A354" s="49" t="s">
        <v>1755</v>
      </c>
      <c r="B354" s="98">
        <v>353</v>
      </c>
      <c r="C354" s="50">
        <v>46118</v>
      </c>
      <c r="D354" s="49">
        <f t="shared" si="10"/>
        <v>4</v>
      </c>
      <c r="E354" s="92" t="s">
        <v>72</v>
      </c>
      <c r="F354" s="49" t="s">
        <v>36</v>
      </c>
      <c r="G354" s="14" t="s">
        <v>590</v>
      </c>
      <c r="H354" s="14" t="s">
        <v>74</v>
      </c>
      <c r="I354" s="76" t="s">
        <v>591</v>
      </c>
      <c r="J354" s="73">
        <v>0</v>
      </c>
      <c r="K354" s="74">
        <v>238.07</v>
      </c>
      <c r="L354" s="72">
        <v>0</v>
      </c>
      <c r="M354" s="72">
        <v>0</v>
      </c>
      <c r="N354" s="72">
        <f>IF(AND(C354="",J354=0,K354=0,L354=0,M354=0),"",CADASTROS!$B$4+SUM($J$2:J354)+SUM($M$2:M354)-SUM($K$2:K354)-SUM($L$2:L354))</f>
        <v>352306.7099999995</v>
      </c>
      <c r="O354" s="72">
        <f>IF(A354="","",SUMIF(RATEIOS!$A$2:$A$3142,$A354,RATEIOS!$F$2:$F$3142))</f>
        <v>238.07</v>
      </c>
      <c r="P354" s="15">
        <f t="shared" si="11"/>
        <v>0</v>
      </c>
      <c r="Q354" s="49" t="str">
        <f>IF(AND(J354=0,K354=0,L354=0,M354=0),"",IF(O354=0,"PENDENTE DE RATEIO",IF(ABS(P354)&gt;0.005,"DIVERGÊNCIA",IF(COUNTIF(RATEIOS!$A$2:$A$3142,$A354)-COUNTIFS(RATEIOS!$A$2:$A$3142,$A354,RATEIOS!$D$2:$D$3142,"&lt;&gt;")&gt;0,"NÃO CLASSIFICADO","RATEIO OK"))))</f>
        <v>RATEIO OK</v>
      </c>
      <c r="R354" s="49" t="s">
        <v>2553</v>
      </c>
      <c r="S354" s="14"/>
    </row>
    <row r="355" spans="1:19" ht="24.95" customHeight="1" x14ac:dyDescent="0.25">
      <c r="A355" s="49" t="s">
        <v>1756</v>
      </c>
      <c r="B355" s="98">
        <v>354</v>
      </c>
      <c r="C355" s="50">
        <v>46118</v>
      </c>
      <c r="D355" s="49">
        <f t="shared" si="10"/>
        <v>4</v>
      </c>
      <c r="E355" s="92" t="s">
        <v>72</v>
      </c>
      <c r="F355" s="49" t="s">
        <v>36</v>
      </c>
      <c r="G355" s="14" t="s">
        <v>592</v>
      </c>
      <c r="H355" s="14" t="s">
        <v>593</v>
      </c>
      <c r="I355" s="76" t="s">
        <v>594</v>
      </c>
      <c r="J355" s="73">
        <v>0</v>
      </c>
      <c r="K355" s="74">
        <v>335</v>
      </c>
      <c r="L355" s="72">
        <v>0</v>
      </c>
      <c r="M355" s="72">
        <v>0</v>
      </c>
      <c r="N355" s="72">
        <f>IF(AND(C355="",J355=0,K355=0,L355=0,M355=0),"",CADASTROS!$B$4+SUM($J$2:J355)+SUM($M$2:M355)-SUM($K$2:K355)-SUM($L$2:L355))</f>
        <v>351971.7099999995</v>
      </c>
      <c r="O355" s="72">
        <f>IF(A355="","",SUMIF(RATEIOS!$A$2:$A$3142,$A355,RATEIOS!$F$2:$F$3142))</f>
        <v>335</v>
      </c>
      <c r="P355" s="15">
        <f t="shared" si="11"/>
        <v>0</v>
      </c>
      <c r="Q355" s="49" t="str">
        <f>IF(AND(J355=0,K355=0,L355=0,M355=0),"",IF(O355=0,"PENDENTE DE RATEIO",IF(ABS(P355)&gt;0.005,"DIVERGÊNCIA",IF(COUNTIF(RATEIOS!$A$2:$A$3142,$A355)-COUNTIFS(RATEIOS!$A$2:$A$3142,$A355,RATEIOS!$D$2:$D$3142,"&lt;&gt;")&gt;0,"NÃO CLASSIFICADO","RATEIO OK"))))</f>
        <v>RATEIO OK</v>
      </c>
      <c r="R355" s="49" t="s">
        <v>2553</v>
      </c>
      <c r="S355" s="14"/>
    </row>
    <row r="356" spans="1:19" ht="24.95" customHeight="1" x14ac:dyDescent="0.25">
      <c r="A356" s="49" t="s">
        <v>1759</v>
      </c>
      <c r="B356" s="98">
        <v>355</v>
      </c>
      <c r="C356" s="50">
        <v>46118</v>
      </c>
      <c r="D356" s="49">
        <f t="shared" si="10"/>
        <v>4</v>
      </c>
      <c r="E356" s="92" t="s">
        <v>118</v>
      </c>
      <c r="F356" s="49" t="s">
        <v>36</v>
      </c>
      <c r="G356" s="14" t="s">
        <v>67</v>
      </c>
      <c r="H356" s="14" t="s">
        <v>67</v>
      </c>
      <c r="I356" s="76" t="s">
        <v>595</v>
      </c>
      <c r="J356" s="73">
        <v>0</v>
      </c>
      <c r="K356" s="74">
        <v>2593</v>
      </c>
      <c r="L356" s="72">
        <v>0</v>
      </c>
      <c r="M356" s="72">
        <v>0</v>
      </c>
      <c r="N356" s="72">
        <f>IF(AND(C356="",J356=0,K356=0,L356=0,M356=0),"",CADASTROS!$B$4+SUM($J$2:J356)+SUM($M$2:M356)-SUM($K$2:K356)-SUM($L$2:L356))</f>
        <v>349378.7099999995</v>
      </c>
      <c r="O356" s="72">
        <f>IF(A356="","",SUMIF(RATEIOS!$A$2:$A$3142,$A356,RATEIOS!$F$2:$F$3142))</f>
        <v>2593</v>
      </c>
      <c r="P356" s="15">
        <f t="shared" si="11"/>
        <v>0</v>
      </c>
      <c r="Q356" s="49" t="str">
        <f>IF(AND(J356=0,K356=0,L356=0,M356=0),"",IF(O356=0,"PENDENTE DE RATEIO",IF(ABS(P356)&gt;0.005,"DIVERGÊNCIA",IF(COUNTIF(RATEIOS!$A$2:$A$3142,$A356)-COUNTIFS(RATEIOS!$A$2:$A$3142,$A356,RATEIOS!$D$2:$D$3142,"&lt;&gt;")&gt;0,"NÃO CLASSIFICADO","RATEIO OK"))))</f>
        <v>RATEIO OK</v>
      </c>
      <c r="R356" s="49" t="s">
        <v>2553</v>
      </c>
      <c r="S356" s="14"/>
    </row>
    <row r="357" spans="1:19" ht="24.95" customHeight="1" x14ac:dyDescent="0.25">
      <c r="A357" s="49" t="s">
        <v>1760</v>
      </c>
      <c r="B357" s="98">
        <v>356</v>
      </c>
      <c r="C357" s="50">
        <v>46118</v>
      </c>
      <c r="D357" s="49">
        <f t="shared" si="10"/>
        <v>4</v>
      </c>
      <c r="E357" s="92" t="s">
        <v>118</v>
      </c>
      <c r="F357" s="49" t="s">
        <v>36</v>
      </c>
      <c r="G357" s="14" t="s">
        <v>282</v>
      </c>
      <c r="H357" s="14" t="s">
        <v>283</v>
      </c>
      <c r="I357" s="76" t="s">
        <v>596</v>
      </c>
      <c r="J357" s="73">
        <v>0</v>
      </c>
      <c r="K357" s="74">
        <v>897.92</v>
      </c>
      <c r="L357" s="72">
        <v>0</v>
      </c>
      <c r="M357" s="72">
        <v>0</v>
      </c>
      <c r="N357" s="72">
        <f>IF(AND(C357="",J357=0,K357=0,L357=0,M357=0),"",CADASTROS!$B$4+SUM($J$2:J357)+SUM($M$2:M357)-SUM($K$2:K357)-SUM($L$2:L357))</f>
        <v>348480.78999999957</v>
      </c>
      <c r="O357" s="72">
        <f>IF(A357="","",SUMIF(RATEIOS!$A$2:$A$3142,$A357,RATEIOS!$F$2:$F$3142))</f>
        <v>897.92</v>
      </c>
      <c r="P357" s="15">
        <f t="shared" si="11"/>
        <v>0</v>
      </c>
      <c r="Q357" s="49" t="str">
        <f>IF(AND(J357=0,K357=0,L357=0,M357=0),"",IF(O357=0,"PENDENTE DE RATEIO",IF(ABS(P357)&gt;0.005,"DIVERGÊNCIA",IF(COUNTIF(RATEIOS!$A$2:$A$3142,$A357)-COUNTIFS(RATEIOS!$A$2:$A$3142,$A357,RATEIOS!$D$2:$D$3142,"&lt;&gt;")&gt;0,"NÃO CLASSIFICADO","RATEIO OK"))))</f>
        <v>RATEIO OK</v>
      </c>
      <c r="R357" s="49" t="s">
        <v>2553</v>
      </c>
      <c r="S357" s="14"/>
    </row>
    <row r="358" spans="1:19" ht="24.95" customHeight="1" x14ac:dyDescent="0.25">
      <c r="A358" s="49" t="s">
        <v>1761</v>
      </c>
      <c r="B358" s="98">
        <v>357</v>
      </c>
      <c r="C358" s="50">
        <v>46118</v>
      </c>
      <c r="D358" s="49">
        <f t="shared" si="10"/>
        <v>4</v>
      </c>
      <c r="E358" s="92" t="s">
        <v>118</v>
      </c>
      <c r="F358" s="49" t="s">
        <v>36</v>
      </c>
      <c r="G358" s="14" t="s">
        <v>597</v>
      </c>
      <c r="H358" s="14" t="s">
        <v>340</v>
      </c>
      <c r="I358" s="76" t="s">
        <v>341</v>
      </c>
      <c r="J358" s="73">
        <v>0</v>
      </c>
      <c r="K358" s="74">
        <v>1765</v>
      </c>
      <c r="L358" s="72">
        <v>0</v>
      </c>
      <c r="M358" s="72">
        <v>0</v>
      </c>
      <c r="N358" s="72">
        <f>IF(AND(C358="",J358=0,K358=0,L358=0,M358=0),"",CADASTROS!$B$4+SUM($J$2:J358)+SUM($M$2:M358)-SUM($K$2:K358)-SUM($L$2:L358))</f>
        <v>346715.78999999957</v>
      </c>
      <c r="O358" s="72">
        <f>IF(A358="","",SUMIF(RATEIOS!$A$2:$A$3142,$A358,RATEIOS!$F$2:$F$3142))</f>
        <v>1765</v>
      </c>
      <c r="P358" s="15">
        <f t="shared" si="11"/>
        <v>0</v>
      </c>
      <c r="Q358" s="49" t="str">
        <f>IF(AND(J358=0,K358=0,L358=0,M358=0),"",IF(O358=0,"PENDENTE DE RATEIO",IF(ABS(P358)&gt;0.005,"DIVERGÊNCIA",IF(COUNTIF(RATEIOS!$A$2:$A$3142,$A358)-COUNTIFS(RATEIOS!$A$2:$A$3142,$A358,RATEIOS!$D$2:$D$3142,"&lt;&gt;")&gt;0,"NÃO CLASSIFICADO","RATEIO OK"))))</f>
        <v>RATEIO OK</v>
      </c>
      <c r="R358" s="49" t="s">
        <v>2553</v>
      </c>
      <c r="S358" s="14"/>
    </row>
    <row r="359" spans="1:19" ht="24.95" customHeight="1" x14ac:dyDescent="0.25">
      <c r="A359" s="49" t="s">
        <v>1762</v>
      </c>
      <c r="B359" s="98">
        <v>358</v>
      </c>
      <c r="C359" s="50">
        <v>46118</v>
      </c>
      <c r="D359" s="49">
        <f t="shared" si="10"/>
        <v>4</v>
      </c>
      <c r="E359" s="92" t="s">
        <v>118</v>
      </c>
      <c r="F359" s="49" t="s">
        <v>36</v>
      </c>
      <c r="G359" s="14" t="s">
        <v>400</v>
      </c>
      <c r="H359" s="14" t="s">
        <v>65</v>
      </c>
      <c r="I359" s="76" t="s">
        <v>365</v>
      </c>
      <c r="J359" s="73">
        <v>0</v>
      </c>
      <c r="K359" s="74">
        <v>808</v>
      </c>
      <c r="L359" s="72">
        <v>0</v>
      </c>
      <c r="M359" s="72">
        <v>0</v>
      </c>
      <c r="N359" s="72">
        <f>IF(AND(C359="",J359=0,K359=0,L359=0,M359=0),"",CADASTROS!$B$4+SUM($J$2:J359)+SUM($M$2:M359)-SUM($K$2:K359)-SUM($L$2:L359))</f>
        <v>345907.78999999957</v>
      </c>
      <c r="O359" s="72">
        <f>IF(A359="","",SUMIF(RATEIOS!$A$2:$A$3142,$A359,RATEIOS!$F$2:$F$3142))</f>
        <v>808</v>
      </c>
      <c r="P359" s="15">
        <f t="shared" si="11"/>
        <v>0</v>
      </c>
      <c r="Q359" s="49" t="str">
        <f>IF(AND(J359=0,K359=0,L359=0,M359=0),"",IF(O359=0,"PENDENTE DE RATEIO",IF(ABS(P359)&gt;0.005,"DIVERGÊNCIA",IF(COUNTIF(RATEIOS!$A$2:$A$3142,$A359)-COUNTIFS(RATEIOS!$A$2:$A$3142,$A359,RATEIOS!$D$2:$D$3142,"&lt;&gt;")&gt;0,"NÃO CLASSIFICADO","RATEIO OK"))))</f>
        <v>RATEIO OK</v>
      </c>
      <c r="R359" s="49" t="s">
        <v>2553</v>
      </c>
      <c r="S359" s="14"/>
    </row>
    <row r="360" spans="1:19" ht="24.95" customHeight="1" x14ac:dyDescent="0.25">
      <c r="A360" s="49" t="s">
        <v>1763</v>
      </c>
      <c r="B360" s="98">
        <v>359</v>
      </c>
      <c r="C360" s="50">
        <v>46118</v>
      </c>
      <c r="D360" s="49">
        <f t="shared" si="10"/>
        <v>4</v>
      </c>
      <c r="E360" s="92" t="s">
        <v>118</v>
      </c>
      <c r="F360" s="49" t="s">
        <v>36</v>
      </c>
      <c r="G360" s="14" t="s">
        <v>598</v>
      </c>
      <c r="H360" s="14" t="s">
        <v>65</v>
      </c>
      <c r="I360" s="76" t="s">
        <v>599</v>
      </c>
      <c r="J360" s="73">
        <v>0</v>
      </c>
      <c r="K360" s="74">
        <v>1302</v>
      </c>
      <c r="L360" s="72">
        <v>0</v>
      </c>
      <c r="M360" s="72">
        <v>0</v>
      </c>
      <c r="N360" s="72">
        <f>IF(AND(C360="",J360=0,K360=0,L360=0,M360=0),"",CADASTROS!$B$4+SUM($J$2:J360)+SUM($M$2:M360)-SUM($K$2:K360)-SUM($L$2:L360))</f>
        <v>344605.78999999957</v>
      </c>
      <c r="O360" s="72">
        <f>IF(A360="","",SUMIF(RATEIOS!$A$2:$A$3142,$A360,RATEIOS!$F$2:$F$3142))</f>
        <v>1302</v>
      </c>
      <c r="P360" s="15">
        <f t="shared" si="11"/>
        <v>0</v>
      </c>
      <c r="Q360" s="49" t="str">
        <f>IF(AND(J360=0,K360=0,L360=0,M360=0),"",IF(O360=0,"PENDENTE DE RATEIO",IF(ABS(P360)&gt;0.005,"DIVERGÊNCIA",IF(COUNTIF(RATEIOS!$A$2:$A$3142,$A360)-COUNTIFS(RATEIOS!$A$2:$A$3142,$A360,RATEIOS!$D$2:$D$3142,"&lt;&gt;")&gt;0,"NÃO CLASSIFICADO","RATEIO OK"))))</f>
        <v>RATEIO OK</v>
      </c>
      <c r="R360" s="49" t="s">
        <v>2553</v>
      </c>
      <c r="S360" s="14"/>
    </row>
    <row r="361" spans="1:19" ht="24.95" customHeight="1" x14ac:dyDescent="0.25">
      <c r="A361" s="49" t="s">
        <v>1764</v>
      </c>
      <c r="B361" s="98">
        <v>360</v>
      </c>
      <c r="C361" s="50">
        <v>46118</v>
      </c>
      <c r="D361" s="49">
        <f t="shared" si="10"/>
        <v>4</v>
      </c>
      <c r="E361" s="92" t="s">
        <v>118</v>
      </c>
      <c r="F361" s="49" t="s">
        <v>36</v>
      </c>
      <c r="G361" s="14" t="s">
        <v>600</v>
      </c>
      <c r="H361" s="14" t="s">
        <v>84</v>
      </c>
      <c r="I361" s="76" t="s">
        <v>412</v>
      </c>
      <c r="J361" s="73">
        <v>0</v>
      </c>
      <c r="K361" s="74">
        <v>13783.46</v>
      </c>
      <c r="L361" s="72">
        <v>0</v>
      </c>
      <c r="M361" s="72">
        <v>0</v>
      </c>
      <c r="N361" s="72">
        <f>IF(AND(C361="",J361=0,K361=0,L361=0,M361=0),"",CADASTROS!$B$4+SUM($J$2:J361)+SUM($M$2:M361)-SUM($K$2:K361)-SUM($L$2:L361))</f>
        <v>330822.32999999961</v>
      </c>
      <c r="O361" s="72">
        <f>IF(A361="","",SUMIF(RATEIOS!$A$2:$A$3142,$A361,RATEIOS!$F$2:$F$3142))</f>
        <v>13783.46</v>
      </c>
      <c r="P361" s="15">
        <f t="shared" si="11"/>
        <v>0</v>
      </c>
      <c r="Q361" s="49" t="str">
        <f>IF(AND(J361=0,K361=0,L361=0,M361=0),"",IF(O361=0,"PENDENTE DE RATEIO",IF(ABS(P361)&gt;0.005,"DIVERGÊNCIA",IF(COUNTIF(RATEIOS!$A$2:$A$3142,$A361)-COUNTIFS(RATEIOS!$A$2:$A$3142,$A361,RATEIOS!$D$2:$D$3142,"&lt;&gt;")&gt;0,"NÃO CLASSIFICADO","RATEIO OK"))))</f>
        <v>RATEIO OK</v>
      </c>
      <c r="R361" s="49" t="s">
        <v>2553</v>
      </c>
      <c r="S361" s="14"/>
    </row>
    <row r="362" spans="1:19" ht="24.95" customHeight="1" x14ac:dyDescent="0.25">
      <c r="A362" s="49" t="s">
        <v>1765</v>
      </c>
      <c r="B362" s="98">
        <v>361</v>
      </c>
      <c r="C362" s="50">
        <v>46118</v>
      </c>
      <c r="D362" s="49">
        <f t="shared" si="10"/>
        <v>4</v>
      </c>
      <c r="E362" s="92" t="s">
        <v>118</v>
      </c>
      <c r="F362" s="49" t="s">
        <v>36</v>
      </c>
      <c r="G362" s="14" t="s">
        <v>601</v>
      </c>
      <c r="H362" s="14" t="s">
        <v>59</v>
      </c>
      <c r="I362" s="76" t="s">
        <v>602</v>
      </c>
      <c r="J362" s="73">
        <v>0</v>
      </c>
      <c r="K362" s="74">
        <v>1330</v>
      </c>
      <c r="L362" s="72">
        <v>0</v>
      </c>
      <c r="M362" s="72">
        <v>0</v>
      </c>
      <c r="N362" s="72">
        <f>IF(AND(C362="",J362=0,K362=0,L362=0,M362=0),"",CADASTROS!$B$4+SUM($J$2:J362)+SUM($M$2:M362)-SUM($K$2:K362)-SUM($L$2:L362))</f>
        <v>329492.32999999961</v>
      </c>
      <c r="O362" s="72">
        <f>IF(A362="","",SUMIF(RATEIOS!$A$2:$A$3142,$A362,RATEIOS!$F$2:$F$3142))</f>
        <v>1330</v>
      </c>
      <c r="P362" s="15">
        <f t="shared" si="11"/>
        <v>0</v>
      </c>
      <c r="Q362" s="49" t="str">
        <f>IF(AND(J362=0,K362=0,L362=0,M362=0),"",IF(O362=0,"PENDENTE DE RATEIO",IF(ABS(P362)&gt;0.005,"DIVERGÊNCIA",IF(COUNTIF(RATEIOS!$A$2:$A$3142,$A362)-COUNTIFS(RATEIOS!$A$2:$A$3142,$A362,RATEIOS!$D$2:$D$3142,"&lt;&gt;")&gt;0,"NÃO CLASSIFICADO","RATEIO OK"))))</f>
        <v>RATEIO OK</v>
      </c>
      <c r="R362" s="49" t="s">
        <v>2553</v>
      </c>
      <c r="S362" s="14"/>
    </row>
    <row r="363" spans="1:19" ht="24.95" customHeight="1" x14ac:dyDescent="0.25">
      <c r="A363" s="49" t="s">
        <v>1766</v>
      </c>
      <c r="B363" s="98">
        <v>362</v>
      </c>
      <c r="C363" s="50">
        <v>46118</v>
      </c>
      <c r="D363" s="49">
        <f t="shared" si="10"/>
        <v>4</v>
      </c>
      <c r="E363" s="92" t="s">
        <v>2556</v>
      </c>
      <c r="F363" s="49" t="s">
        <v>36</v>
      </c>
      <c r="G363" s="14" t="s">
        <v>276</v>
      </c>
      <c r="H363" s="14" t="s">
        <v>277</v>
      </c>
      <c r="I363" s="76" t="s">
        <v>412</v>
      </c>
      <c r="J363" s="73">
        <v>0</v>
      </c>
      <c r="K363" s="74">
        <v>38.5</v>
      </c>
      <c r="L363" s="72">
        <v>0</v>
      </c>
      <c r="M363" s="72">
        <v>0</v>
      </c>
      <c r="N363" s="72">
        <f>IF(AND(C363="",J363=0,K363=0,L363=0,M363=0),"",CADASTROS!$B$4+SUM($J$2:J363)+SUM($M$2:M363)-SUM($K$2:K363)-SUM($L$2:L363))</f>
        <v>329453.82999999961</v>
      </c>
      <c r="O363" s="72">
        <f>IF(A363="","",SUMIF(RATEIOS!$A$2:$A$3142,$A363,RATEIOS!$F$2:$F$3142))</f>
        <v>38.5</v>
      </c>
      <c r="P363" s="15">
        <f t="shared" si="11"/>
        <v>0</v>
      </c>
      <c r="Q363" s="49" t="str">
        <f>IF(AND(J363=0,K363=0,L363=0,M363=0),"",IF(O363=0,"PENDENTE DE RATEIO",IF(ABS(P363)&gt;0.005,"DIVERGÊNCIA",IF(COUNTIF(RATEIOS!$A$2:$A$3142,$A363)-COUNTIFS(RATEIOS!$A$2:$A$3142,$A363,RATEIOS!$D$2:$D$3142,"&lt;&gt;")&gt;0,"NÃO CLASSIFICADO","RATEIO OK"))))</f>
        <v>RATEIO OK</v>
      </c>
      <c r="R363" s="49" t="s">
        <v>2553</v>
      </c>
      <c r="S363" s="14"/>
    </row>
    <row r="364" spans="1:19" ht="24.95" customHeight="1" x14ac:dyDescent="0.25">
      <c r="A364" s="49" t="s">
        <v>1767</v>
      </c>
      <c r="B364" s="98">
        <v>363</v>
      </c>
      <c r="C364" s="50">
        <v>46119</v>
      </c>
      <c r="D364" s="49">
        <f t="shared" si="10"/>
        <v>4</v>
      </c>
      <c r="E364" s="92" t="s">
        <v>72</v>
      </c>
      <c r="F364" s="49" t="s">
        <v>36</v>
      </c>
      <c r="G364" s="14" t="s">
        <v>603</v>
      </c>
      <c r="H364" s="14" t="s">
        <v>74</v>
      </c>
      <c r="I364" s="76" t="s">
        <v>604</v>
      </c>
      <c r="J364" s="73">
        <v>0</v>
      </c>
      <c r="K364" s="74">
        <v>695.77</v>
      </c>
      <c r="L364" s="72">
        <v>0</v>
      </c>
      <c r="M364" s="72">
        <v>0</v>
      </c>
      <c r="N364" s="72">
        <f>IF(AND(C364="",J364=0,K364=0,L364=0,M364=0),"",CADASTROS!$B$4+SUM($J$2:J364)+SUM($M$2:M364)-SUM($K$2:K364)-SUM($L$2:L364))</f>
        <v>328758.05999999959</v>
      </c>
      <c r="O364" s="72">
        <f>IF(A364="","",SUMIF(RATEIOS!$A$2:$A$3142,$A364,RATEIOS!$F$2:$F$3142))</f>
        <v>695.77</v>
      </c>
      <c r="P364" s="15">
        <f t="shared" si="11"/>
        <v>0</v>
      </c>
      <c r="Q364" s="49" t="str">
        <f>IF(AND(J364=0,K364=0,L364=0,M364=0),"",IF(O364=0,"PENDENTE DE RATEIO",IF(ABS(P364)&gt;0.005,"DIVERGÊNCIA",IF(COUNTIF(RATEIOS!$A$2:$A$3142,$A364)-COUNTIFS(RATEIOS!$A$2:$A$3142,$A364,RATEIOS!$D$2:$D$3142,"&lt;&gt;")&gt;0,"NÃO CLASSIFICADO","RATEIO OK"))))</f>
        <v>RATEIO OK</v>
      </c>
      <c r="R364" s="49" t="s">
        <v>2553</v>
      </c>
      <c r="S364" s="14" t="s">
        <v>605</v>
      </c>
    </row>
    <row r="365" spans="1:19" ht="24.95" customHeight="1" x14ac:dyDescent="0.25">
      <c r="A365" s="49" t="s">
        <v>1768</v>
      </c>
      <c r="B365" s="98">
        <v>364</v>
      </c>
      <c r="C365" s="50">
        <v>46119</v>
      </c>
      <c r="D365" s="49">
        <f t="shared" si="10"/>
        <v>4</v>
      </c>
      <c r="E365" s="92" t="s">
        <v>118</v>
      </c>
      <c r="F365" s="49" t="s">
        <v>36</v>
      </c>
      <c r="G365" s="14" t="s">
        <v>606</v>
      </c>
      <c r="H365" s="14" t="s">
        <v>143</v>
      </c>
      <c r="I365" s="76" t="s">
        <v>430</v>
      </c>
      <c r="J365" s="73">
        <v>0</v>
      </c>
      <c r="K365" s="74">
        <v>3600</v>
      </c>
      <c r="L365" s="72">
        <v>0</v>
      </c>
      <c r="M365" s="72">
        <v>0</v>
      </c>
      <c r="N365" s="72">
        <f>IF(AND(C365="",J365=0,K365=0,L365=0,M365=0),"",CADASTROS!$B$4+SUM($J$2:J365)+SUM($M$2:M365)-SUM($K$2:K365)-SUM($L$2:L365))</f>
        <v>325158.05999999959</v>
      </c>
      <c r="O365" s="72">
        <f>IF(A365="","",SUMIF(RATEIOS!$A$2:$A$3142,$A365,RATEIOS!$F$2:$F$3142))</f>
        <v>3600</v>
      </c>
      <c r="P365" s="15">
        <f t="shared" si="11"/>
        <v>0</v>
      </c>
      <c r="Q365" s="49" t="str">
        <f>IF(AND(J365=0,K365=0,L365=0,M365=0),"",IF(O365=0,"PENDENTE DE RATEIO",IF(ABS(P365)&gt;0.005,"DIVERGÊNCIA",IF(COUNTIF(RATEIOS!$A$2:$A$3142,$A365)-COUNTIFS(RATEIOS!$A$2:$A$3142,$A365,RATEIOS!$D$2:$D$3142,"&lt;&gt;")&gt;0,"NÃO CLASSIFICADO","RATEIO OK"))))</f>
        <v>RATEIO OK</v>
      </c>
      <c r="R365" s="49" t="s">
        <v>2553</v>
      </c>
      <c r="S365" s="14"/>
    </row>
    <row r="366" spans="1:19" ht="24.95" customHeight="1" x14ac:dyDescent="0.25">
      <c r="A366" s="49" t="s">
        <v>1769</v>
      </c>
      <c r="B366" s="98">
        <v>365</v>
      </c>
      <c r="C366" s="50">
        <v>46119</v>
      </c>
      <c r="D366" s="49">
        <f t="shared" si="10"/>
        <v>4</v>
      </c>
      <c r="E366" s="92" t="s">
        <v>118</v>
      </c>
      <c r="F366" s="49" t="s">
        <v>36</v>
      </c>
      <c r="G366" s="14" t="s">
        <v>607</v>
      </c>
      <c r="H366" s="14" t="s">
        <v>265</v>
      </c>
      <c r="I366" s="76" t="s">
        <v>399</v>
      </c>
      <c r="J366" s="73">
        <v>0</v>
      </c>
      <c r="K366" s="74">
        <v>1238.23</v>
      </c>
      <c r="L366" s="72">
        <v>0</v>
      </c>
      <c r="M366" s="72">
        <v>0</v>
      </c>
      <c r="N366" s="72">
        <f>IF(AND(C366="",J366=0,K366=0,L366=0,M366=0),"",CADASTROS!$B$4+SUM($J$2:J366)+SUM($M$2:M366)-SUM($K$2:K366)-SUM($L$2:L366))</f>
        <v>323919.82999999961</v>
      </c>
      <c r="O366" s="72">
        <f>IF(A366="","",SUMIF(RATEIOS!$A$2:$A$3142,$A366,RATEIOS!$F$2:$F$3142))</f>
        <v>1238.23</v>
      </c>
      <c r="P366" s="15">
        <f t="shared" si="11"/>
        <v>0</v>
      </c>
      <c r="Q366" s="49" t="str">
        <f>IF(AND(J366=0,K366=0,L366=0,M366=0),"",IF(O366=0,"PENDENTE DE RATEIO",IF(ABS(P366)&gt;0.005,"DIVERGÊNCIA",IF(COUNTIF(RATEIOS!$A$2:$A$3142,$A366)-COUNTIFS(RATEIOS!$A$2:$A$3142,$A366,RATEIOS!$D$2:$D$3142,"&lt;&gt;")&gt;0,"NÃO CLASSIFICADO","RATEIO OK"))))</f>
        <v>RATEIO OK</v>
      </c>
      <c r="R366" s="49" t="s">
        <v>2553</v>
      </c>
      <c r="S366" s="14"/>
    </row>
    <row r="367" spans="1:19" ht="24.95" customHeight="1" x14ac:dyDescent="0.25">
      <c r="A367" s="49" t="s">
        <v>1770</v>
      </c>
      <c r="B367" s="98">
        <v>366</v>
      </c>
      <c r="C367" s="50">
        <v>46119</v>
      </c>
      <c r="D367" s="49">
        <f t="shared" si="10"/>
        <v>4</v>
      </c>
      <c r="E367" s="92" t="s">
        <v>118</v>
      </c>
      <c r="F367" s="49" t="s">
        <v>36</v>
      </c>
      <c r="G367" s="14" t="s">
        <v>386</v>
      </c>
      <c r="H367" s="14" t="s">
        <v>204</v>
      </c>
      <c r="I367" s="76" t="s">
        <v>394</v>
      </c>
      <c r="J367" s="73">
        <v>0</v>
      </c>
      <c r="K367" s="74">
        <v>2107.4</v>
      </c>
      <c r="L367" s="72">
        <v>0</v>
      </c>
      <c r="M367" s="72">
        <v>0</v>
      </c>
      <c r="N367" s="72">
        <f>IF(AND(C367="",J367=0,K367=0,L367=0,M367=0),"",CADASTROS!$B$4+SUM($J$2:J367)+SUM($M$2:M367)-SUM($K$2:K367)-SUM($L$2:L367))</f>
        <v>321812.4299999997</v>
      </c>
      <c r="O367" s="72">
        <f>IF(A367="","",SUMIF(RATEIOS!$A$2:$A$3142,$A367,RATEIOS!$F$2:$F$3142))</f>
        <v>2107.4</v>
      </c>
      <c r="P367" s="15">
        <f t="shared" si="11"/>
        <v>0</v>
      </c>
      <c r="Q367" s="49" t="str">
        <f>IF(AND(J367=0,K367=0,L367=0,M367=0),"",IF(O367=0,"PENDENTE DE RATEIO",IF(ABS(P367)&gt;0.005,"DIVERGÊNCIA",IF(COUNTIF(RATEIOS!$A$2:$A$3142,$A367)-COUNTIFS(RATEIOS!$A$2:$A$3142,$A367,RATEIOS!$D$2:$D$3142,"&lt;&gt;")&gt;0,"NÃO CLASSIFICADO","RATEIO OK"))))</f>
        <v>RATEIO OK</v>
      </c>
      <c r="R367" s="49" t="s">
        <v>2553</v>
      </c>
      <c r="S367" s="14"/>
    </row>
    <row r="368" spans="1:19" ht="24.95" customHeight="1" x14ac:dyDescent="0.25">
      <c r="A368" s="49" t="s">
        <v>1771</v>
      </c>
      <c r="B368" s="98">
        <v>367</v>
      </c>
      <c r="C368" s="50">
        <v>46119</v>
      </c>
      <c r="D368" s="49">
        <f t="shared" si="10"/>
        <v>4</v>
      </c>
      <c r="E368" s="92" t="s">
        <v>118</v>
      </c>
      <c r="F368" s="49" t="s">
        <v>36</v>
      </c>
      <c r="G368" s="14" t="s">
        <v>608</v>
      </c>
      <c r="H368" s="14" t="s">
        <v>51</v>
      </c>
      <c r="I368" s="76" t="s">
        <v>393</v>
      </c>
      <c r="J368" s="73">
        <v>0</v>
      </c>
      <c r="K368" s="74">
        <v>2156.7199999999998</v>
      </c>
      <c r="L368" s="72">
        <v>0</v>
      </c>
      <c r="M368" s="72">
        <v>0</v>
      </c>
      <c r="N368" s="72">
        <f>IF(AND(C368="",J368=0,K368=0,L368=0,M368=0),"",CADASTROS!$B$4+SUM($J$2:J368)+SUM($M$2:M368)-SUM($K$2:K368)-SUM($L$2:L368))</f>
        <v>319655.70999999973</v>
      </c>
      <c r="O368" s="72">
        <f>IF(A368="","",SUMIF(RATEIOS!$A$2:$A$3142,$A368,RATEIOS!$F$2:$F$3142))</f>
        <v>2156.7199999999998</v>
      </c>
      <c r="P368" s="15">
        <f t="shared" si="11"/>
        <v>0</v>
      </c>
      <c r="Q368" s="49" t="str">
        <f>IF(AND(J368=0,K368=0,L368=0,M368=0),"",IF(O368=0,"PENDENTE DE RATEIO",IF(ABS(P368)&gt;0.005,"DIVERGÊNCIA",IF(COUNTIF(RATEIOS!$A$2:$A$3142,$A368)-COUNTIFS(RATEIOS!$A$2:$A$3142,$A368,RATEIOS!$D$2:$D$3142,"&lt;&gt;")&gt;0,"NÃO CLASSIFICADO","RATEIO OK"))))</f>
        <v>RATEIO OK</v>
      </c>
      <c r="R368" s="49" t="s">
        <v>2553</v>
      </c>
      <c r="S368" s="14" t="s">
        <v>609</v>
      </c>
    </row>
    <row r="369" spans="1:19" ht="24.95" customHeight="1" x14ac:dyDescent="0.25">
      <c r="A369" s="49" t="s">
        <v>1772</v>
      </c>
      <c r="B369" s="98">
        <v>368</v>
      </c>
      <c r="C369" s="50">
        <v>46119</v>
      </c>
      <c r="D369" s="49">
        <f t="shared" si="10"/>
        <v>4</v>
      </c>
      <c r="E369" s="92" t="s">
        <v>118</v>
      </c>
      <c r="F369" s="49" t="s">
        <v>36</v>
      </c>
      <c r="G369" s="14" t="s">
        <v>390</v>
      </c>
      <c r="H369" s="14" t="s">
        <v>191</v>
      </c>
      <c r="I369" s="76" t="s">
        <v>389</v>
      </c>
      <c r="J369" s="73">
        <v>0</v>
      </c>
      <c r="K369" s="74">
        <v>2492.35</v>
      </c>
      <c r="L369" s="72">
        <v>0</v>
      </c>
      <c r="M369" s="72">
        <v>0</v>
      </c>
      <c r="N369" s="72">
        <f>IF(AND(C369="",J369=0,K369=0,L369=0,M369=0),"",CADASTROS!$B$4+SUM($J$2:J369)+SUM($M$2:M369)-SUM($K$2:K369)-SUM($L$2:L369))</f>
        <v>317163.35999999964</v>
      </c>
      <c r="O369" s="72">
        <f>IF(A369="","",SUMIF(RATEIOS!$A$2:$A$3142,$A369,RATEIOS!$F$2:$F$3142))</f>
        <v>2492.35</v>
      </c>
      <c r="P369" s="15">
        <f t="shared" si="11"/>
        <v>0</v>
      </c>
      <c r="Q369" s="49" t="str">
        <f>IF(AND(J369=0,K369=0,L369=0,M369=0),"",IF(O369=0,"PENDENTE DE RATEIO",IF(ABS(P369)&gt;0.005,"DIVERGÊNCIA",IF(COUNTIF(RATEIOS!$A$2:$A$3142,$A369)-COUNTIFS(RATEIOS!$A$2:$A$3142,$A369,RATEIOS!$D$2:$D$3142,"&lt;&gt;")&gt;0,"NÃO CLASSIFICADO","RATEIO OK"))))</f>
        <v>RATEIO OK</v>
      </c>
      <c r="R369" s="49" t="s">
        <v>2553</v>
      </c>
      <c r="S369" s="14"/>
    </row>
    <row r="370" spans="1:19" ht="24.95" customHeight="1" x14ac:dyDescent="0.25">
      <c r="A370" s="49" t="s">
        <v>1773</v>
      </c>
      <c r="B370" s="98">
        <v>369</v>
      </c>
      <c r="C370" s="50">
        <v>46120</v>
      </c>
      <c r="D370" s="49">
        <f t="shared" si="10"/>
        <v>4</v>
      </c>
      <c r="E370" s="92" t="s">
        <v>287</v>
      </c>
      <c r="F370" s="49" t="s">
        <v>36</v>
      </c>
      <c r="G370" s="14" t="s">
        <v>610</v>
      </c>
      <c r="H370" s="14" t="s">
        <v>611</v>
      </c>
      <c r="I370" s="76" t="s">
        <v>612</v>
      </c>
      <c r="J370" s="73">
        <v>0</v>
      </c>
      <c r="K370" s="74">
        <v>599.77</v>
      </c>
      <c r="L370" s="72">
        <v>0</v>
      </c>
      <c r="M370" s="72">
        <v>0</v>
      </c>
      <c r="N370" s="72">
        <f>IF(AND(C370="",J370=0,K370=0,L370=0,M370=0),"",CADASTROS!$B$4+SUM($J$2:J370)+SUM($M$2:M370)-SUM($K$2:K370)-SUM($L$2:L370))</f>
        <v>316563.58999999962</v>
      </c>
      <c r="O370" s="72">
        <f>IF(A370="","",SUMIF(RATEIOS!$A$2:$A$3142,$A370,RATEIOS!$F$2:$F$3142))</f>
        <v>599.77</v>
      </c>
      <c r="P370" s="15">
        <f t="shared" si="11"/>
        <v>0</v>
      </c>
      <c r="Q370" s="49" t="str">
        <f>IF(AND(J370=0,K370=0,L370=0,M370=0),"",IF(O370=0,"PENDENTE DE RATEIO",IF(ABS(P370)&gt;0.005,"DIVERGÊNCIA",IF(COUNTIF(RATEIOS!$A$2:$A$3142,$A370)-COUNTIFS(RATEIOS!$A$2:$A$3142,$A370,RATEIOS!$D$2:$D$3142,"&lt;&gt;")&gt;0,"NÃO CLASSIFICADO","RATEIO OK"))))</f>
        <v>RATEIO OK</v>
      </c>
      <c r="R370" s="49" t="s">
        <v>2553</v>
      </c>
      <c r="S370" s="14"/>
    </row>
    <row r="371" spans="1:19" ht="24.95" customHeight="1" x14ac:dyDescent="0.25">
      <c r="A371" s="49" t="s">
        <v>1774</v>
      </c>
      <c r="B371" s="98">
        <v>370</v>
      </c>
      <c r="C371" s="50">
        <v>46120</v>
      </c>
      <c r="D371" s="49">
        <f t="shared" si="10"/>
        <v>4</v>
      </c>
      <c r="E371" s="92" t="s">
        <v>118</v>
      </c>
      <c r="F371" s="49" t="s">
        <v>36</v>
      </c>
      <c r="G371" s="14" t="s">
        <v>613</v>
      </c>
      <c r="H371" s="14" t="s">
        <v>92</v>
      </c>
      <c r="I371" s="76" t="s">
        <v>93</v>
      </c>
      <c r="J371" s="73">
        <v>0</v>
      </c>
      <c r="K371" s="74">
        <v>1935.4</v>
      </c>
      <c r="L371" s="72">
        <v>0</v>
      </c>
      <c r="M371" s="72">
        <v>0</v>
      </c>
      <c r="N371" s="72">
        <f>IF(AND(C371="",J371=0,K371=0,L371=0,M371=0),"",CADASTROS!$B$4+SUM($J$2:J371)+SUM($M$2:M371)-SUM($K$2:K371)-SUM($L$2:L371))</f>
        <v>314628.18999999971</v>
      </c>
      <c r="O371" s="72">
        <f>IF(A371="","",SUMIF(RATEIOS!$A$2:$A$3142,$A371,RATEIOS!$F$2:$F$3142))</f>
        <v>1935.4</v>
      </c>
      <c r="P371" s="15">
        <f t="shared" si="11"/>
        <v>0</v>
      </c>
      <c r="Q371" s="49" t="str">
        <f>IF(AND(J371=0,K371=0,L371=0,M371=0),"",IF(O371=0,"PENDENTE DE RATEIO",IF(ABS(P371)&gt;0.005,"DIVERGÊNCIA",IF(COUNTIF(RATEIOS!$A$2:$A$3142,$A371)-COUNTIFS(RATEIOS!$A$2:$A$3142,$A371,RATEIOS!$D$2:$D$3142,"&lt;&gt;")&gt;0,"NÃO CLASSIFICADO","RATEIO OK"))))</f>
        <v>RATEIO OK</v>
      </c>
      <c r="R371" s="49" t="s">
        <v>2553</v>
      </c>
      <c r="S371" s="14"/>
    </row>
    <row r="372" spans="1:19" ht="24.95" customHeight="1" x14ac:dyDescent="0.25">
      <c r="A372" s="49" t="s">
        <v>1775</v>
      </c>
      <c r="B372" s="98">
        <v>371</v>
      </c>
      <c r="C372" s="50">
        <v>46122</v>
      </c>
      <c r="D372" s="49">
        <f t="shared" si="10"/>
        <v>4</v>
      </c>
      <c r="E372" s="92" t="s">
        <v>287</v>
      </c>
      <c r="F372" s="49" t="s">
        <v>35</v>
      </c>
      <c r="G372" s="14" t="s">
        <v>614</v>
      </c>
      <c r="H372" s="14" t="s">
        <v>2737</v>
      </c>
      <c r="I372" s="76" t="s">
        <v>412</v>
      </c>
      <c r="J372" s="73">
        <v>32760.61</v>
      </c>
      <c r="K372" s="74">
        <v>0</v>
      </c>
      <c r="L372" s="72">
        <v>0</v>
      </c>
      <c r="M372" s="72">
        <v>0</v>
      </c>
      <c r="N372" s="72">
        <f>IF(AND(C372="",J372=0,K372=0,L372=0,M372=0),"",CADASTROS!$B$4+SUM($J$2:J372)+SUM($M$2:M372)-SUM($K$2:K372)-SUM($L$2:L372))</f>
        <v>347388.80000000005</v>
      </c>
      <c r="O372" s="72">
        <f>IF(A372="","",SUMIF(RATEIOS!$A$2:$A$3142,$A372,RATEIOS!$F$2:$F$3142))</f>
        <v>32760.61</v>
      </c>
      <c r="P372" s="15">
        <f t="shared" si="11"/>
        <v>0</v>
      </c>
      <c r="Q372" s="49" t="str">
        <f>IF(AND(J372=0,K372=0,L372=0,M372=0),"",IF(O372=0,"PENDENTE DE RATEIO",IF(ABS(P372)&gt;0.005,"DIVERGÊNCIA",IF(COUNTIF(RATEIOS!$A$2:$A$3142,$A372)-COUNTIFS(RATEIOS!$A$2:$A$3142,$A372,RATEIOS!$D$2:$D$3142,"&lt;&gt;")&gt;0,"NÃO CLASSIFICADO","RATEIO OK"))))</f>
        <v>RATEIO OK</v>
      </c>
      <c r="R372" s="49" t="s">
        <v>2553</v>
      </c>
      <c r="S372" s="14"/>
    </row>
    <row r="373" spans="1:19" ht="24.95" customHeight="1" x14ac:dyDescent="0.25">
      <c r="A373" s="49" t="s">
        <v>1776</v>
      </c>
      <c r="B373" s="98">
        <v>372</v>
      </c>
      <c r="C373" s="50">
        <v>46122</v>
      </c>
      <c r="D373" s="49">
        <f t="shared" si="10"/>
        <v>4</v>
      </c>
      <c r="E373" s="92" t="s">
        <v>118</v>
      </c>
      <c r="F373" s="49" t="s">
        <v>36</v>
      </c>
      <c r="G373" s="14" t="s">
        <v>615</v>
      </c>
      <c r="H373" s="14" t="s">
        <v>143</v>
      </c>
      <c r="I373" s="76" t="s">
        <v>616</v>
      </c>
      <c r="J373" s="73">
        <v>0</v>
      </c>
      <c r="K373" s="74">
        <v>5172.5</v>
      </c>
      <c r="L373" s="72">
        <v>0</v>
      </c>
      <c r="M373" s="72">
        <v>0</v>
      </c>
      <c r="N373" s="72">
        <f>IF(AND(C373="",J373=0,K373=0,L373=0,M373=0),"",CADASTROS!$B$4+SUM($J$2:J373)+SUM($M$2:M373)-SUM($K$2:K373)-SUM($L$2:L373))</f>
        <v>342216.30000000005</v>
      </c>
      <c r="O373" s="72">
        <f>IF(A373="","",SUMIF(RATEIOS!$A$2:$A$3142,$A373,RATEIOS!$F$2:$F$3142))</f>
        <v>5172.5</v>
      </c>
      <c r="P373" s="15">
        <f t="shared" si="11"/>
        <v>0</v>
      </c>
      <c r="Q373" s="49" t="str">
        <f>IF(AND(J373=0,K373=0,L373=0,M373=0),"",IF(O373=0,"PENDENTE DE RATEIO",IF(ABS(P373)&gt;0.005,"DIVERGÊNCIA",IF(COUNTIF(RATEIOS!$A$2:$A$3142,$A373)-COUNTIFS(RATEIOS!$A$2:$A$3142,$A373,RATEIOS!$D$2:$D$3142,"&lt;&gt;")&gt;0,"NÃO CLASSIFICADO","RATEIO OK"))))</f>
        <v>RATEIO OK</v>
      </c>
      <c r="R373" s="49" t="s">
        <v>2553</v>
      </c>
      <c r="S373" s="14"/>
    </row>
    <row r="374" spans="1:19" ht="24.95" customHeight="1" x14ac:dyDescent="0.25">
      <c r="A374" s="49" t="s">
        <v>1777</v>
      </c>
      <c r="B374" s="98">
        <v>373</v>
      </c>
      <c r="C374" s="50">
        <v>46122</v>
      </c>
      <c r="D374" s="49">
        <f t="shared" si="10"/>
        <v>4</v>
      </c>
      <c r="E374" s="92" t="s">
        <v>118</v>
      </c>
      <c r="F374" s="49" t="s">
        <v>36</v>
      </c>
      <c r="G374" s="14" t="s">
        <v>617</v>
      </c>
      <c r="H374" s="14" t="s">
        <v>618</v>
      </c>
      <c r="I374" s="76" t="s">
        <v>619</v>
      </c>
      <c r="J374" s="73">
        <v>0</v>
      </c>
      <c r="K374" s="74">
        <v>7250</v>
      </c>
      <c r="L374" s="72">
        <v>0</v>
      </c>
      <c r="M374" s="72">
        <v>0</v>
      </c>
      <c r="N374" s="72">
        <f>IF(AND(C374="",J374=0,K374=0,L374=0,M374=0),"",CADASTROS!$B$4+SUM($J$2:J374)+SUM($M$2:M374)-SUM($K$2:K374)-SUM($L$2:L374))</f>
        <v>334966.30000000005</v>
      </c>
      <c r="O374" s="72">
        <f>IF(A374="","",SUMIF(RATEIOS!$A$2:$A$3142,$A374,RATEIOS!$F$2:$F$3142))</f>
        <v>7250</v>
      </c>
      <c r="P374" s="15">
        <f t="shared" si="11"/>
        <v>0</v>
      </c>
      <c r="Q374" s="49" t="str">
        <f>IF(AND(J374=0,K374=0,L374=0,M374=0),"",IF(O374=0,"PENDENTE DE RATEIO",IF(ABS(P374)&gt;0.005,"DIVERGÊNCIA",IF(COUNTIF(RATEIOS!$A$2:$A$3142,$A374)-COUNTIFS(RATEIOS!$A$2:$A$3142,$A374,RATEIOS!$D$2:$D$3142,"&lt;&gt;")&gt;0,"NÃO CLASSIFICADO","RATEIO OK"))))</f>
        <v>RATEIO OK</v>
      </c>
      <c r="R374" s="49" t="s">
        <v>2553</v>
      </c>
      <c r="S374" s="14"/>
    </row>
    <row r="375" spans="1:19" ht="24.95" customHeight="1" x14ac:dyDescent="0.25">
      <c r="A375" s="49" t="s">
        <v>1778</v>
      </c>
      <c r="B375" s="98">
        <v>374</v>
      </c>
      <c r="C375" s="50">
        <v>46122</v>
      </c>
      <c r="D375" s="49">
        <f t="shared" si="10"/>
        <v>4</v>
      </c>
      <c r="E375" s="92" t="s">
        <v>118</v>
      </c>
      <c r="F375" s="49" t="s">
        <v>36</v>
      </c>
      <c r="G375" s="14" t="s">
        <v>621</v>
      </c>
      <c r="H375" s="14" t="s">
        <v>125</v>
      </c>
      <c r="I375" s="76" t="s">
        <v>412</v>
      </c>
      <c r="J375" s="73">
        <v>0</v>
      </c>
      <c r="K375" s="74">
        <v>25884.53</v>
      </c>
      <c r="L375" s="72">
        <v>0</v>
      </c>
      <c r="M375" s="72">
        <v>0</v>
      </c>
      <c r="N375" s="72">
        <f>IF(AND(C375="",J375=0,K375=0,L375=0,M375=0),"",CADASTROS!$B$4+SUM($J$2:J375)+SUM($M$2:M375)-SUM($K$2:K375)-SUM($L$2:L375))</f>
        <v>309081.77</v>
      </c>
      <c r="O375" s="72">
        <f>IF(A375="","",SUMIF(RATEIOS!$A$2:$A$3142,$A375,RATEIOS!$F$2:$F$3142))</f>
        <v>25884.53</v>
      </c>
      <c r="P375" s="15">
        <f t="shared" si="11"/>
        <v>0</v>
      </c>
      <c r="Q375" s="49" t="str">
        <f>IF(AND(J375=0,K375=0,L375=0,M375=0),"",IF(O375=0,"PENDENTE DE RATEIO",IF(ABS(P375)&gt;0.005,"DIVERGÊNCIA",IF(COUNTIF(RATEIOS!$A$2:$A$3142,$A375)-COUNTIFS(RATEIOS!$A$2:$A$3142,$A375,RATEIOS!$D$2:$D$3142,"&lt;&gt;")&gt;0,"NÃO CLASSIFICADO","RATEIO OK"))))</f>
        <v>RATEIO OK</v>
      </c>
      <c r="R375" s="49" t="s">
        <v>2553</v>
      </c>
      <c r="S375" s="14"/>
    </row>
    <row r="376" spans="1:19" ht="24.95" customHeight="1" x14ac:dyDescent="0.25">
      <c r="A376" s="49" t="s">
        <v>1780</v>
      </c>
      <c r="B376" s="98">
        <v>375</v>
      </c>
      <c r="C376" s="50">
        <v>46122</v>
      </c>
      <c r="D376" s="49">
        <f t="shared" si="10"/>
        <v>4</v>
      </c>
      <c r="E376" s="92" t="s">
        <v>118</v>
      </c>
      <c r="F376" s="49" t="s">
        <v>36</v>
      </c>
      <c r="G376" s="14" t="s">
        <v>119</v>
      </c>
      <c r="H376" s="14" t="s">
        <v>120</v>
      </c>
      <c r="I376" s="76" t="s">
        <v>622</v>
      </c>
      <c r="J376" s="73">
        <v>0</v>
      </c>
      <c r="K376" s="74">
        <v>149.9</v>
      </c>
      <c r="L376" s="72">
        <v>0</v>
      </c>
      <c r="M376" s="72">
        <v>0</v>
      </c>
      <c r="N376" s="72">
        <f>IF(AND(C376="",J376=0,K376=0,L376=0,M376=0),"",CADASTROS!$B$4+SUM($J$2:J376)+SUM($M$2:M376)-SUM($K$2:K376)-SUM($L$2:L376))</f>
        <v>308931.87000000011</v>
      </c>
      <c r="O376" s="72">
        <f>IF(A376="","",SUMIF(RATEIOS!$A$2:$A$3142,$A376,RATEIOS!$F$2:$F$3142))</f>
        <v>149.9</v>
      </c>
      <c r="P376" s="15">
        <f t="shared" si="11"/>
        <v>0</v>
      </c>
      <c r="Q376" s="49" t="str">
        <f>IF(AND(J376=0,K376=0,L376=0,M376=0),"",IF(O376=0,"PENDENTE DE RATEIO",IF(ABS(P376)&gt;0.005,"DIVERGÊNCIA",IF(COUNTIF(RATEIOS!$A$2:$A$3142,$A376)-COUNTIFS(RATEIOS!$A$2:$A$3142,$A376,RATEIOS!$D$2:$D$3142,"&lt;&gt;")&gt;0,"NÃO CLASSIFICADO","RATEIO OK"))))</f>
        <v>RATEIO OK</v>
      </c>
      <c r="R376" s="49" t="s">
        <v>2553</v>
      </c>
      <c r="S376" s="14" t="s">
        <v>409</v>
      </c>
    </row>
    <row r="377" spans="1:19" ht="24.95" customHeight="1" x14ac:dyDescent="0.25">
      <c r="A377" s="49" t="s">
        <v>1781</v>
      </c>
      <c r="B377" s="98">
        <v>376</v>
      </c>
      <c r="C377" s="50">
        <v>46122</v>
      </c>
      <c r="D377" s="49">
        <f t="shared" si="10"/>
        <v>4</v>
      </c>
      <c r="E377" s="92" t="s">
        <v>118</v>
      </c>
      <c r="F377" s="49" t="s">
        <v>36</v>
      </c>
      <c r="G377" s="14" t="s">
        <v>623</v>
      </c>
      <c r="H377" s="96" t="s">
        <v>2753</v>
      </c>
      <c r="I377" s="76" t="s">
        <v>624</v>
      </c>
      <c r="J377" s="73">
        <v>0</v>
      </c>
      <c r="K377" s="74">
        <v>1600</v>
      </c>
      <c r="L377" s="72">
        <v>0</v>
      </c>
      <c r="M377" s="72">
        <v>0</v>
      </c>
      <c r="N377" s="72">
        <f>IF(AND(C377="",J377=0,K377=0,L377=0,M377=0),"",CADASTROS!$B$4+SUM($J$2:J377)+SUM($M$2:M377)-SUM($K$2:K377)-SUM($L$2:L377))</f>
        <v>307331.87000000011</v>
      </c>
      <c r="O377" s="72">
        <f>IF(A377="","",SUMIF(RATEIOS!$A$2:$A$3142,$A377,RATEIOS!$F$2:$F$3142))</f>
        <v>1600</v>
      </c>
      <c r="P377" s="15">
        <f t="shared" si="11"/>
        <v>0</v>
      </c>
      <c r="Q377" s="49" t="str">
        <f>IF(AND(J377=0,K377=0,L377=0,M377=0),"",IF(O377=0,"PENDENTE DE RATEIO",IF(ABS(P377)&gt;0.005,"DIVERGÊNCIA",IF(COUNTIF(RATEIOS!$A$2:$A$3142,$A377)-COUNTIFS(RATEIOS!$A$2:$A$3142,$A377,RATEIOS!$D$2:$D$3142,"&lt;&gt;")&gt;0,"NÃO CLASSIFICADO","RATEIO OK"))))</f>
        <v>RATEIO OK</v>
      </c>
      <c r="R377" s="49" t="s">
        <v>2553</v>
      </c>
      <c r="S377" s="14"/>
    </row>
    <row r="378" spans="1:19" ht="24.95" customHeight="1" x14ac:dyDescent="0.25">
      <c r="A378" s="49" t="s">
        <v>1782</v>
      </c>
      <c r="B378" s="98">
        <v>377</v>
      </c>
      <c r="C378" s="50">
        <v>46122</v>
      </c>
      <c r="D378" s="49">
        <f t="shared" si="10"/>
        <v>4</v>
      </c>
      <c r="E378" s="92" t="s">
        <v>72</v>
      </c>
      <c r="F378" s="49" t="s">
        <v>36</v>
      </c>
      <c r="G378" s="14" t="s">
        <v>625</v>
      </c>
      <c r="H378" s="14" t="s">
        <v>626</v>
      </c>
      <c r="I378" s="76" t="s">
        <v>627</v>
      </c>
      <c r="J378" s="73">
        <v>0</v>
      </c>
      <c r="K378" s="74">
        <v>1050</v>
      </c>
      <c r="L378" s="72">
        <v>0</v>
      </c>
      <c r="M378" s="72">
        <v>0</v>
      </c>
      <c r="N378" s="72">
        <f>IF(AND(C378="",J378=0,K378=0,L378=0,M378=0),"",CADASTROS!$B$4+SUM($J$2:J378)+SUM($M$2:M378)-SUM($K$2:K378)-SUM($L$2:L378))</f>
        <v>306281.87000000011</v>
      </c>
      <c r="O378" s="72">
        <f>IF(A378="","",SUMIF(RATEIOS!$A$2:$A$3142,$A378,RATEIOS!$F$2:$F$3142))</f>
        <v>1050</v>
      </c>
      <c r="P378" s="15">
        <f t="shared" si="11"/>
        <v>0</v>
      </c>
      <c r="Q378" s="49" t="str">
        <f>IF(AND(J378=0,K378=0,L378=0,M378=0),"",IF(O378=0,"PENDENTE DE RATEIO",IF(ABS(P378)&gt;0.005,"DIVERGÊNCIA",IF(COUNTIF(RATEIOS!$A$2:$A$3142,$A378)-COUNTIFS(RATEIOS!$A$2:$A$3142,$A378,RATEIOS!$D$2:$D$3142,"&lt;&gt;")&gt;0,"NÃO CLASSIFICADO","RATEIO OK"))))</f>
        <v>RATEIO OK</v>
      </c>
      <c r="R378" s="49" t="s">
        <v>2553</v>
      </c>
      <c r="S378" s="14" t="s">
        <v>628</v>
      </c>
    </row>
    <row r="379" spans="1:19" ht="24.95" customHeight="1" x14ac:dyDescent="0.25">
      <c r="A379" s="49" t="s">
        <v>1783</v>
      </c>
      <c r="B379" s="98">
        <v>378</v>
      </c>
      <c r="C379" s="50">
        <v>46122</v>
      </c>
      <c r="D379" s="49">
        <f t="shared" si="10"/>
        <v>4</v>
      </c>
      <c r="E379" s="92" t="s">
        <v>2556</v>
      </c>
      <c r="F379" s="49" t="s">
        <v>36</v>
      </c>
      <c r="G379" s="14" t="s">
        <v>297</v>
      </c>
      <c r="H379" s="14" t="s">
        <v>117</v>
      </c>
      <c r="I379" s="76" t="s">
        <v>412</v>
      </c>
      <c r="J379" s="73">
        <v>0</v>
      </c>
      <c r="K379" s="74">
        <v>131.5</v>
      </c>
      <c r="L379" s="72">
        <v>0</v>
      </c>
      <c r="M379" s="72">
        <v>0</v>
      </c>
      <c r="N379" s="72">
        <f>IF(AND(C379="",J379=0,K379=0,L379=0,M379=0),"",CADASTROS!$B$4+SUM($J$2:J379)+SUM($M$2:M379)-SUM($K$2:K379)-SUM($L$2:L379))</f>
        <v>306150.37000000011</v>
      </c>
      <c r="O379" s="72">
        <f>IF(A379="","",SUMIF(RATEIOS!$A$2:$A$3142,$A379,RATEIOS!$F$2:$F$3142))</f>
        <v>131.5</v>
      </c>
      <c r="P379" s="15">
        <f t="shared" si="11"/>
        <v>0</v>
      </c>
      <c r="Q379" s="49" t="str">
        <f>IF(AND(J379=0,K379=0,L379=0,M379=0),"",IF(O379=0,"PENDENTE DE RATEIO",IF(ABS(P379)&gt;0.005,"DIVERGÊNCIA",IF(COUNTIF(RATEIOS!$A$2:$A$3142,$A379)-COUNTIFS(RATEIOS!$A$2:$A$3142,$A379,RATEIOS!$D$2:$D$3142,"&lt;&gt;")&gt;0,"NÃO CLASSIFICADO","RATEIO OK"))))</f>
        <v>RATEIO OK</v>
      </c>
      <c r="R379" s="49" t="s">
        <v>2553</v>
      </c>
      <c r="S379" s="14"/>
    </row>
    <row r="380" spans="1:19" ht="24.95" customHeight="1" x14ac:dyDescent="0.25">
      <c r="A380" s="49" t="s">
        <v>1784</v>
      </c>
      <c r="B380" s="98">
        <v>379</v>
      </c>
      <c r="C380" s="50">
        <v>46125</v>
      </c>
      <c r="D380" s="49">
        <f t="shared" si="10"/>
        <v>4</v>
      </c>
      <c r="E380" s="92" t="s">
        <v>123</v>
      </c>
      <c r="F380" s="49" t="s">
        <v>36</v>
      </c>
      <c r="G380" s="14" t="s">
        <v>629</v>
      </c>
      <c r="H380" s="14" t="s">
        <v>3183</v>
      </c>
      <c r="I380" s="76" t="s">
        <v>412</v>
      </c>
      <c r="J380" s="73">
        <v>0</v>
      </c>
      <c r="K380" s="74">
        <v>32760.61</v>
      </c>
      <c r="L380" s="72">
        <v>0</v>
      </c>
      <c r="M380" s="72">
        <v>0</v>
      </c>
      <c r="N380" s="72">
        <f>IF(AND(C380="",J380=0,K380=0,L380=0,M380=0),"",CADASTROS!$B$4+SUM($J$2:J380)+SUM($M$2:M380)-SUM($K$2:K380)-SUM($L$2:L380))</f>
        <v>273389.76</v>
      </c>
      <c r="O380" s="72">
        <f>IF(A380="","",SUMIF(RATEIOS!$A$2:$A$3142,$A380,RATEIOS!$F$2:$F$3142))</f>
        <v>32760.61</v>
      </c>
      <c r="P380" s="15">
        <f t="shared" si="11"/>
        <v>0</v>
      </c>
      <c r="Q380" s="49" t="str">
        <f>IF(AND(J380=0,K380=0,L380=0,M380=0),"",IF(O380=0,"PENDENTE DE RATEIO",IF(ABS(P380)&gt;0.005,"DIVERGÊNCIA",IF(COUNTIF(RATEIOS!$A$2:$A$3142,$A380)-COUNTIFS(RATEIOS!$A$2:$A$3142,$A380,RATEIOS!$D$2:$D$3142,"&lt;&gt;")&gt;0,"NÃO CLASSIFICADO","RATEIO OK"))))</f>
        <v>RATEIO OK</v>
      </c>
      <c r="R380" s="49" t="s">
        <v>2553</v>
      </c>
      <c r="S380" s="14"/>
    </row>
    <row r="381" spans="1:19" ht="24.95" customHeight="1" x14ac:dyDescent="0.25">
      <c r="A381" s="49" t="s">
        <v>1785</v>
      </c>
      <c r="B381" s="98">
        <v>380</v>
      </c>
      <c r="C381" s="50">
        <v>46125</v>
      </c>
      <c r="D381" s="49">
        <f t="shared" si="10"/>
        <v>4</v>
      </c>
      <c r="E381" s="92" t="s">
        <v>118</v>
      </c>
      <c r="F381" s="49" t="s">
        <v>36</v>
      </c>
      <c r="G381" s="14" t="s">
        <v>630</v>
      </c>
      <c r="H381" s="14" t="s">
        <v>197</v>
      </c>
      <c r="I381" s="76" t="s">
        <v>631</v>
      </c>
      <c r="J381" s="73">
        <v>0</v>
      </c>
      <c r="K381" s="74">
        <v>2449.52</v>
      </c>
      <c r="L381" s="72">
        <v>0</v>
      </c>
      <c r="M381" s="72">
        <v>0</v>
      </c>
      <c r="N381" s="72">
        <f>IF(AND(C381="",J381=0,K381=0,L381=0,M381=0),"",CADASTROS!$B$4+SUM($J$2:J381)+SUM($M$2:M381)-SUM($K$2:K381)-SUM($L$2:L381))</f>
        <v>270940.24</v>
      </c>
      <c r="O381" s="72">
        <f>IF(A381="","",SUMIF(RATEIOS!$A$2:$A$3142,$A381,RATEIOS!$F$2:$F$3142))</f>
        <v>2449.52</v>
      </c>
      <c r="P381" s="15">
        <f t="shared" si="11"/>
        <v>0</v>
      </c>
      <c r="Q381" s="49" t="str">
        <f>IF(AND(J381=0,K381=0,L381=0,M381=0),"",IF(O381=0,"PENDENTE DE RATEIO",IF(ABS(P381)&gt;0.005,"DIVERGÊNCIA",IF(COUNTIF(RATEIOS!$A$2:$A$3142,$A381)-COUNTIFS(RATEIOS!$A$2:$A$3142,$A381,RATEIOS!$D$2:$D$3142,"&lt;&gt;")&gt;0,"NÃO CLASSIFICADO","RATEIO OK"))))</f>
        <v>RATEIO OK</v>
      </c>
      <c r="R381" s="49" t="s">
        <v>2553</v>
      </c>
      <c r="S381" s="14"/>
    </row>
    <row r="382" spans="1:19" ht="24.95" customHeight="1" x14ac:dyDescent="0.25">
      <c r="A382" s="49" t="s">
        <v>1786</v>
      </c>
      <c r="B382" s="98">
        <v>381</v>
      </c>
      <c r="C382" s="50">
        <v>46125</v>
      </c>
      <c r="D382" s="49">
        <f t="shared" si="10"/>
        <v>4</v>
      </c>
      <c r="E382" s="92" t="s">
        <v>118</v>
      </c>
      <c r="F382" s="49" t="s">
        <v>36</v>
      </c>
      <c r="G382" s="14" t="s">
        <v>632</v>
      </c>
      <c r="H382" s="14" t="s">
        <v>65</v>
      </c>
      <c r="I382" s="76" t="s">
        <v>633</v>
      </c>
      <c r="J382" s="73">
        <v>0</v>
      </c>
      <c r="K382" s="74">
        <v>80</v>
      </c>
      <c r="L382" s="72">
        <v>0</v>
      </c>
      <c r="M382" s="72">
        <v>0</v>
      </c>
      <c r="N382" s="72">
        <f>IF(AND(C382="",J382=0,K382=0,L382=0,M382=0),"",CADASTROS!$B$4+SUM($J$2:J382)+SUM($M$2:M382)-SUM($K$2:K382)-SUM($L$2:L382))</f>
        <v>270860.24</v>
      </c>
      <c r="O382" s="72">
        <f>IF(A382="","",SUMIF(RATEIOS!$A$2:$A$3142,$A382,RATEIOS!$F$2:$F$3142))</f>
        <v>80</v>
      </c>
      <c r="P382" s="15">
        <f t="shared" si="11"/>
        <v>0</v>
      </c>
      <c r="Q382" s="49" t="str">
        <f>IF(AND(J382=0,K382=0,L382=0,M382=0),"",IF(O382=0,"PENDENTE DE RATEIO",IF(ABS(P382)&gt;0.005,"DIVERGÊNCIA",IF(COUNTIF(RATEIOS!$A$2:$A$3142,$A382)-COUNTIFS(RATEIOS!$A$2:$A$3142,$A382,RATEIOS!$D$2:$D$3142,"&lt;&gt;")&gt;0,"NÃO CLASSIFICADO","RATEIO OK"))))</f>
        <v>RATEIO OK</v>
      </c>
      <c r="R382" s="49" t="s">
        <v>2553</v>
      </c>
      <c r="S382" s="14"/>
    </row>
    <row r="383" spans="1:19" ht="24.95" customHeight="1" x14ac:dyDescent="0.25">
      <c r="A383" s="49" t="s">
        <v>1787</v>
      </c>
      <c r="B383" s="98">
        <v>382</v>
      </c>
      <c r="C383" s="50">
        <v>46125</v>
      </c>
      <c r="D383" s="49">
        <f t="shared" si="10"/>
        <v>4</v>
      </c>
      <c r="E383" s="92" t="s">
        <v>72</v>
      </c>
      <c r="F383" s="49" t="s">
        <v>36</v>
      </c>
      <c r="G383" s="14" t="s">
        <v>634</v>
      </c>
      <c r="H383" s="14" t="s">
        <v>84</v>
      </c>
      <c r="I383" s="76" t="s">
        <v>412</v>
      </c>
      <c r="J383" s="73">
        <v>0</v>
      </c>
      <c r="K383" s="74">
        <v>27.91</v>
      </c>
      <c r="L383" s="72">
        <v>0</v>
      </c>
      <c r="M383" s="72">
        <v>0</v>
      </c>
      <c r="N383" s="72">
        <f>IF(AND(C383="",J383=0,K383=0,L383=0,M383=0),"",CADASTROS!$B$4+SUM($J$2:J383)+SUM($M$2:M383)-SUM($K$2:K383)-SUM($L$2:L383))</f>
        <v>270832.33000000007</v>
      </c>
      <c r="O383" s="72">
        <f>IF(A383="","",SUMIF(RATEIOS!$A$2:$A$3142,$A383,RATEIOS!$F$2:$F$3142))</f>
        <v>27.91</v>
      </c>
      <c r="P383" s="15">
        <f t="shared" si="11"/>
        <v>0</v>
      </c>
      <c r="Q383" s="49" t="str">
        <f>IF(AND(J383=0,K383=0,L383=0,M383=0),"",IF(O383=0,"PENDENTE DE RATEIO",IF(ABS(P383)&gt;0.005,"DIVERGÊNCIA",IF(COUNTIF(RATEIOS!$A$2:$A$3142,$A383)-COUNTIFS(RATEIOS!$A$2:$A$3142,$A383,RATEIOS!$D$2:$D$3142,"&lt;&gt;")&gt;0,"NÃO CLASSIFICADO","RATEIO OK"))))</f>
        <v>RATEIO OK</v>
      </c>
      <c r="R383" s="49" t="s">
        <v>2553</v>
      </c>
      <c r="S383" s="14"/>
    </row>
    <row r="384" spans="1:19" ht="24.95" customHeight="1" x14ac:dyDescent="0.25">
      <c r="A384" s="49" t="s">
        <v>1788</v>
      </c>
      <c r="B384" s="98">
        <v>383</v>
      </c>
      <c r="C384" s="50">
        <v>46125</v>
      </c>
      <c r="D384" s="49">
        <f t="shared" si="10"/>
        <v>4</v>
      </c>
      <c r="E384" s="92" t="s">
        <v>118</v>
      </c>
      <c r="F384" s="49" t="s">
        <v>36</v>
      </c>
      <c r="G384" s="14" t="s">
        <v>635</v>
      </c>
      <c r="H384" s="14" t="s">
        <v>204</v>
      </c>
      <c r="I384" s="76" t="s">
        <v>486</v>
      </c>
      <c r="J384" s="73">
        <v>0</v>
      </c>
      <c r="K384" s="74">
        <v>580.59</v>
      </c>
      <c r="L384" s="72">
        <v>0</v>
      </c>
      <c r="M384" s="72">
        <v>0</v>
      </c>
      <c r="N384" s="72">
        <f>IF(AND(C384="",J384=0,K384=0,L384=0,M384=0),"",CADASTROS!$B$4+SUM($J$2:J384)+SUM($M$2:M384)-SUM($K$2:K384)-SUM($L$2:L384))</f>
        <v>270251.74</v>
      </c>
      <c r="O384" s="72">
        <f>IF(A384="","",SUMIF(RATEIOS!$A$2:$A$3142,$A384,RATEIOS!$F$2:$F$3142))</f>
        <v>580.59</v>
      </c>
      <c r="P384" s="15">
        <f t="shared" si="11"/>
        <v>0</v>
      </c>
      <c r="Q384" s="49" t="str">
        <f>IF(AND(J384=0,K384=0,L384=0,M384=0),"",IF(O384=0,"PENDENTE DE RATEIO",IF(ABS(P384)&gt;0.005,"DIVERGÊNCIA",IF(COUNTIF(RATEIOS!$A$2:$A$3142,$A384)-COUNTIFS(RATEIOS!$A$2:$A$3142,$A384,RATEIOS!$D$2:$D$3142,"&lt;&gt;")&gt;0,"NÃO CLASSIFICADO","RATEIO OK"))))</f>
        <v>RATEIO OK</v>
      </c>
      <c r="R384" s="49" t="s">
        <v>2553</v>
      </c>
      <c r="S384" s="14"/>
    </row>
    <row r="385" spans="1:19" ht="24.95" customHeight="1" x14ac:dyDescent="0.25">
      <c r="A385" s="49" t="s">
        <v>1789</v>
      </c>
      <c r="B385" s="98">
        <v>384</v>
      </c>
      <c r="C385" s="50">
        <v>46125</v>
      </c>
      <c r="D385" s="49">
        <f t="shared" si="10"/>
        <v>4</v>
      </c>
      <c r="E385" s="92" t="s">
        <v>2556</v>
      </c>
      <c r="F385" s="49" t="s">
        <v>36</v>
      </c>
      <c r="G385" s="14" t="s">
        <v>276</v>
      </c>
      <c r="H385" s="14" t="s">
        <v>277</v>
      </c>
      <c r="I385" s="76" t="s">
        <v>412</v>
      </c>
      <c r="J385" s="73">
        <v>0</v>
      </c>
      <c r="K385" s="74">
        <v>35</v>
      </c>
      <c r="L385" s="72">
        <v>0</v>
      </c>
      <c r="M385" s="72">
        <v>0</v>
      </c>
      <c r="N385" s="72">
        <f>IF(AND(C385="",J385=0,K385=0,L385=0,M385=0),"",CADASTROS!$B$4+SUM($J$2:J385)+SUM($M$2:M385)-SUM($K$2:K385)-SUM($L$2:L385))</f>
        <v>270216.74</v>
      </c>
      <c r="O385" s="72">
        <f>IF(A385="","",SUMIF(RATEIOS!$A$2:$A$3142,$A385,RATEIOS!$F$2:$F$3142))</f>
        <v>35</v>
      </c>
      <c r="P385" s="15">
        <f t="shared" si="11"/>
        <v>0</v>
      </c>
      <c r="Q385" s="49" t="str">
        <f>IF(AND(J385=0,K385=0,L385=0,M385=0),"",IF(O385=0,"PENDENTE DE RATEIO",IF(ABS(P385)&gt;0.005,"DIVERGÊNCIA",IF(COUNTIF(RATEIOS!$A$2:$A$3142,$A385)-COUNTIFS(RATEIOS!$A$2:$A$3142,$A385,RATEIOS!$D$2:$D$3142,"&lt;&gt;")&gt;0,"NÃO CLASSIFICADO","RATEIO OK"))))</f>
        <v>RATEIO OK</v>
      </c>
      <c r="R385" s="49" t="s">
        <v>2553</v>
      </c>
      <c r="S385" s="14"/>
    </row>
    <row r="386" spans="1:19" ht="24.95" customHeight="1" x14ac:dyDescent="0.25">
      <c r="A386" s="49" t="s">
        <v>1790</v>
      </c>
      <c r="B386" s="98">
        <v>385</v>
      </c>
      <c r="C386" s="50">
        <v>46126</v>
      </c>
      <c r="D386" s="49">
        <f t="shared" ref="D386:D449" si="12">IF(C386="","",MONTH(C386))</f>
        <v>4</v>
      </c>
      <c r="E386" s="92" t="s">
        <v>287</v>
      </c>
      <c r="F386" s="49" t="s">
        <v>36</v>
      </c>
      <c r="G386" s="14" t="s">
        <v>636</v>
      </c>
      <c r="H386" s="14" t="s">
        <v>159</v>
      </c>
      <c r="I386" s="76" t="s">
        <v>637</v>
      </c>
      <c r="J386" s="73">
        <v>0</v>
      </c>
      <c r="K386" s="74">
        <v>3800</v>
      </c>
      <c r="L386" s="72">
        <v>0</v>
      </c>
      <c r="M386" s="72">
        <v>0</v>
      </c>
      <c r="N386" s="72">
        <f>IF(AND(C386="",J386=0,K386=0,L386=0,M386=0),"",CADASTROS!$B$4+SUM($J$2:J386)+SUM($M$2:M386)-SUM($K$2:K386)-SUM($L$2:L386))</f>
        <v>266416.74</v>
      </c>
      <c r="O386" s="72">
        <f>IF(A386="","",SUMIF(RATEIOS!$A$2:$A$3142,$A386,RATEIOS!$F$2:$F$3142))</f>
        <v>3800</v>
      </c>
      <c r="P386" s="15">
        <f t="shared" ref="P386:P449" si="13">IF(A386="","",(J386+K386+L386+M386)-O386)</f>
        <v>0</v>
      </c>
      <c r="Q386" s="49" t="str">
        <f>IF(AND(J386=0,K386=0,L386=0,M386=0),"",IF(O386=0,"PENDENTE DE RATEIO",IF(ABS(P386)&gt;0.005,"DIVERGÊNCIA",IF(COUNTIF(RATEIOS!$A$2:$A$3142,$A386)-COUNTIFS(RATEIOS!$A$2:$A$3142,$A386,RATEIOS!$D$2:$D$3142,"&lt;&gt;")&gt;0,"NÃO CLASSIFICADO","RATEIO OK"))))</f>
        <v>RATEIO OK</v>
      </c>
      <c r="R386" s="49" t="s">
        <v>2553</v>
      </c>
      <c r="S386" s="14" t="s">
        <v>638</v>
      </c>
    </row>
    <row r="387" spans="1:19" ht="24.95" customHeight="1" x14ac:dyDescent="0.25">
      <c r="A387" s="49" t="s">
        <v>1791</v>
      </c>
      <c r="B387" s="98">
        <v>386</v>
      </c>
      <c r="C387" s="50">
        <v>46126</v>
      </c>
      <c r="D387" s="49">
        <f t="shared" si="12"/>
        <v>4</v>
      </c>
      <c r="E387" s="92" t="s">
        <v>287</v>
      </c>
      <c r="F387" s="49" t="s">
        <v>36</v>
      </c>
      <c r="G387" s="14" t="s">
        <v>639</v>
      </c>
      <c r="H387" s="14" t="s">
        <v>2942</v>
      </c>
      <c r="I387" s="76" t="s">
        <v>640</v>
      </c>
      <c r="J387" s="73">
        <v>0</v>
      </c>
      <c r="K387" s="74">
        <v>5865.9</v>
      </c>
      <c r="L387" s="72">
        <v>0</v>
      </c>
      <c r="M387" s="72">
        <v>0</v>
      </c>
      <c r="N387" s="72">
        <f>IF(AND(C387="",J387=0,K387=0,L387=0,M387=0),"",CADASTROS!$B$4+SUM($J$2:J387)+SUM($M$2:M387)-SUM($K$2:K387)-SUM($L$2:L387))</f>
        <v>260550.84000000008</v>
      </c>
      <c r="O387" s="72">
        <f>IF(A387="","",SUMIF(RATEIOS!$A$2:$A$3142,$A387,RATEIOS!$F$2:$F$3142))</f>
        <v>5865.9</v>
      </c>
      <c r="P387" s="15">
        <f t="shared" si="13"/>
        <v>0</v>
      </c>
      <c r="Q387" s="49" t="str">
        <f>IF(AND(J387=0,K387=0,L387=0,M387=0),"",IF(O387=0,"PENDENTE DE RATEIO",IF(ABS(P387)&gt;0.005,"DIVERGÊNCIA",IF(COUNTIF(RATEIOS!$A$2:$A$3142,$A387)-COUNTIFS(RATEIOS!$A$2:$A$3142,$A387,RATEIOS!$D$2:$D$3142,"&lt;&gt;")&gt;0,"NÃO CLASSIFICADO","RATEIO OK"))))</f>
        <v>RATEIO OK</v>
      </c>
      <c r="R387" s="49" t="s">
        <v>2553</v>
      </c>
      <c r="S387" s="14" t="s">
        <v>641</v>
      </c>
    </row>
    <row r="388" spans="1:19" ht="24.95" customHeight="1" x14ac:dyDescent="0.25">
      <c r="A388" s="49" t="s">
        <v>1792</v>
      </c>
      <c r="B388" s="98">
        <v>387</v>
      </c>
      <c r="C388" s="50">
        <v>46126</v>
      </c>
      <c r="D388" s="49">
        <f t="shared" si="12"/>
        <v>4</v>
      </c>
      <c r="E388" s="92" t="s">
        <v>72</v>
      </c>
      <c r="F388" s="49" t="s">
        <v>36</v>
      </c>
      <c r="G388" s="14" t="s">
        <v>642</v>
      </c>
      <c r="H388" s="14" t="s">
        <v>643</v>
      </c>
      <c r="I388" s="76" t="s">
        <v>101</v>
      </c>
      <c r="J388" s="73">
        <v>0</v>
      </c>
      <c r="K388" s="74">
        <v>73.08</v>
      </c>
      <c r="L388" s="72">
        <v>0</v>
      </c>
      <c r="M388" s="72">
        <v>0</v>
      </c>
      <c r="N388" s="72">
        <f>IF(AND(C388="",J388=0,K388=0,L388=0,M388=0),"",CADASTROS!$B$4+SUM($J$2:J388)+SUM($M$2:M388)-SUM($K$2:K388)-SUM($L$2:L388))</f>
        <v>260477.76</v>
      </c>
      <c r="O388" s="72">
        <f>IF(A388="","",SUMIF(RATEIOS!$A$2:$A$3142,$A388,RATEIOS!$F$2:$F$3142))</f>
        <v>73.08</v>
      </c>
      <c r="P388" s="15">
        <f t="shared" si="13"/>
        <v>0</v>
      </c>
      <c r="Q388" s="49" t="str">
        <f>IF(AND(J388=0,K388=0,L388=0,M388=0),"",IF(O388=0,"PENDENTE DE RATEIO",IF(ABS(P388)&gt;0.005,"DIVERGÊNCIA",IF(COUNTIF(RATEIOS!$A$2:$A$3142,$A388)-COUNTIFS(RATEIOS!$A$2:$A$3142,$A388,RATEIOS!$D$2:$D$3142,"&lt;&gt;")&gt;0,"NÃO CLASSIFICADO","RATEIO OK"))))</f>
        <v>RATEIO OK</v>
      </c>
      <c r="R388" s="49" t="s">
        <v>2553</v>
      </c>
      <c r="S388" s="14" t="s">
        <v>644</v>
      </c>
    </row>
    <row r="389" spans="1:19" ht="24.95" customHeight="1" x14ac:dyDescent="0.25">
      <c r="A389" s="49" t="s">
        <v>1793</v>
      </c>
      <c r="B389" s="98">
        <v>388</v>
      </c>
      <c r="C389" s="50">
        <v>46126</v>
      </c>
      <c r="D389" s="49">
        <f t="shared" si="12"/>
        <v>4</v>
      </c>
      <c r="E389" s="92" t="s">
        <v>118</v>
      </c>
      <c r="F389" s="49" t="s">
        <v>36</v>
      </c>
      <c r="G389" s="14" t="s">
        <v>645</v>
      </c>
      <c r="H389" s="14" t="s">
        <v>252</v>
      </c>
      <c r="I389" s="76" t="s">
        <v>493</v>
      </c>
      <c r="J389" s="73">
        <v>0</v>
      </c>
      <c r="K389" s="74">
        <v>19055.5</v>
      </c>
      <c r="L389" s="72">
        <v>0</v>
      </c>
      <c r="M389" s="72">
        <v>0</v>
      </c>
      <c r="N389" s="72">
        <f>IF(AND(C389="",J389=0,K389=0,L389=0,M389=0),"",CADASTROS!$B$4+SUM($J$2:J389)+SUM($M$2:M389)-SUM($K$2:K389)-SUM($L$2:L389))</f>
        <v>241422.26</v>
      </c>
      <c r="O389" s="72">
        <f>IF(A389="","",SUMIF(RATEIOS!$A$2:$A$3142,$A389,RATEIOS!$F$2:$F$3142))</f>
        <v>19055.5</v>
      </c>
      <c r="P389" s="15">
        <f t="shared" si="13"/>
        <v>0</v>
      </c>
      <c r="Q389" s="49" t="str">
        <f>IF(AND(J389=0,K389=0,L389=0,M389=0),"",IF(O389=0,"PENDENTE DE RATEIO",IF(ABS(P389)&gt;0.005,"DIVERGÊNCIA",IF(COUNTIF(RATEIOS!$A$2:$A$3142,$A389)-COUNTIFS(RATEIOS!$A$2:$A$3142,$A389,RATEIOS!$D$2:$D$3142,"&lt;&gt;")&gt;0,"NÃO CLASSIFICADO","RATEIO OK"))))</f>
        <v>RATEIO OK</v>
      </c>
      <c r="R389" s="49" t="s">
        <v>2553</v>
      </c>
      <c r="S389" s="14"/>
    </row>
    <row r="390" spans="1:19" ht="24.95" customHeight="1" x14ac:dyDescent="0.25">
      <c r="A390" s="49" t="s">
        <v>1794</v>
      </c>
      <c r="B390" s="98">
        <v>389</v>
      </c>
      <c r="C390" s="50">
        <v>46126</v>
      </c>
      <c r="D390" s="49">
        <f t="shared" si="12"/>
        <v>4</v>
      </c>
      <c r="E390" s="92" t="s">
        <v>118</v>
      </c>
      <c r="F390" s="49" t="s">
        <v>36</v>
      </c>
      <c r="G390" s="14" t="s">
        <v>53</v>
      </c>
      <c r="H390" s="14" t="s">
        <v>51</v>
      </c>
      <c r="I390" s="76" t="s">
        <v>480</v>
      </c>
      <c r="J390" s="73">
        <v>0</v>
      </c>
      <c r="K390" s="74">
        <v>1357</v>
      </c>
      <c r="L390" s="72">
        <v>0</v>
      </c>
      <c r="M390" s="72">
        <v>0</v>
      </c>
      <c r="N390" s="72">
        <f>IF(AND(C390="",J390=0,K390=0,L390=0,M390=0),"",CADASTROS!$B$4+SUM($J$2:J390)+SUM($M$2:M390)-SUM($K$2:K390)-SUM($L$2:L390))</f>
        <v>240065.26</v>
      </c>
      <c r="O390" s="72">
        <f>IF(A390="","",SUMIF(RATEIOS!$A$2:$A$3142,$A390,RATEIOS!$F$2:$F$3142))</f>
        <v>1357</v>
      </c>
      <c r="P390" s="15">
        <f t="shared" si="13"/>
        <v>0</v>
      </c>
      <c r="Q390" s="49" t="str">
        <f>IF(AND(J390=0,K390=0,L390=0,M390=0),"",IF(O390=0,"PENDENTE DE RATEIO",IF(ABS(P390)&gt;0.005,"DIVERGÊNCIA",IF(COUNTIF(RATEIOS!$A$2:$A$3142,$A390)-COUNTIFS(RATEIOS!$A$2:$A$3142,$A390,RATEIOS!$D$2:$D$3142,"&lt;&gt;")&gt;0,"NÃO CLASSIFICADO","RATEIO OK"))))</f>
        <v>RATEIO OK</v>
      </c>
      <c r="R390" s="49" t="s">
        <v>2553</v>
      </c>
      <c r="S390" s="14"/>
    </row>
    <row r="391" spans="1:19" ht="24.95" customHeight="1" x14ac:dyDescent="0.25">
      <c r="A391" s="49" t="s">
        <v>1795</v>
      </c>
      <c r="B391" s="98">
        <v>390</v>
      </c>
      <c r="C391" s="50">
        <v>46126</v>
      </c>
      <c r="D391" s="49">
        <f t="shared" si="12"/>
        <v>4</v>
      </c>
      <c r="E391" s="92" t="s">
        <v>118</v>
      </c>
      <c r="F391" s="49" t="s">
        <v>36</v>
      </c>
      <c r="G391" s="14" t="s">
        <v>273</v>
      </c>
      <c r="H391" s="14" t="s">
        <v>81</v>
      </c>
      <c r="I391" s="76" t="s">
        <v>472</v>
      </c>
      <c r="J391" s="73">
        <v>0</v>
      </c>
      <c r="K391" s="74">
        <v>5166.1499999999996</v>
      </c>
      <c r="L391" s="72">
        <v>0</v>
      </c>
      <c r="M391" s="72">
        <v>0</v>
      </c>
      <c r="N391" s="72">
        <f>IF(AND(C391="",J391=0,K391=0,L391=0,M391=0),"",CADASTROS!$B$4+SUM($J$2:J391)+SUM($M$2:M391)-SUM($K$2:K391)-SUM($L$2:L391))</f>
        <v>234899.1100000001</v>
      </c>
      <c r="O391" s="72">
        <f>IF(A391="","",SUMIF(RATEIOS!$A$2:$A$3142,$A391,RATEIOS!$F$2:$F$3142))</f>
        <v>5166.1499999999996</v>
      </c>
      <c r="P391" s="15">
        <f t="shared" si="13"/>
        <v>0</v>
      </c>
      <c r="Q391" s="49" t="str">
        <f>IF(AND(J391=0,K391=0,L391=0,M391=0),"",IF(O391=0,"PENDENTE DE RATEIO",IF(ABS(P391)&gt;0.005,"DIVERGÊNCIA",IF(COUNTIF(RATEIOS!$A$2:$A$3142,$A391)-COUNTIFS(RATEIOS!$A$2:$A$3142,$A391,RATEIOS!$D$2:$D$3142,"&lt;&gt;")&gt;0,"NÃO CLASSIFICADO","RATEIO OK"))))</f>
        <v>RATEIO OK</v>
      </c>
      <c r="R391" s="49" t="s">
        <v>2553</v>
      </c>
      <c r="S391" s="14"/>
    </row>
    <row r="392" spans="1:19" ht="24.95" customHeight="1" x14ac:dyDescent="0.25">
      <c r="A392" s="49" t="s">
        <v>1796</v>
      </c>
      <c r="B392" s="98">
        <v>391</v>
      </c>
      <c r="C392" s="50">
        <v>46127</v>
      </c>
      <c r="D392" s="49">
        <f t="shared" si="12"/>
        <v>4</v>
      </c>
      <c r="E392" s="92" t="s">
        <v>118</v>
      </c>
      <c r="F392" s="49" t="s">
        <v>36</v>
      </c>
      <c r="G392" s="14" t="s">
        <v>646</v>
      </c>
      <c r="H392" s="14" t="s">
        <v>204</v>
      </c>
      <c r="I392" s="76" t="s">
        <v>647</v>
      </c>
      <c r="J392" s="73">
        <v>0</v>
      </c>
      <c r="K392" s="74">
        <v>8192.69</v>
      </c>
      <c r="L392" s="72">
        <v>0</v>
      </c>
      <c r="M392" s="72">
        <v>0</v>
      </c>
      <c r="N392" s="72">
        <f>IF(AND(C392="",J392=0,K392=0,L392=0,M392=0),"",CADASTROS!$B$4+SUM($J$2:J392)+SUM($M$2:M392)-SUM($K$2:K392)-SUM($L$2:L392))</f>
        <v>226706.42000000016</v>
      </c>
      <c r="O392" s="72">
        <f>IF(A392="","",SUMIF(RATEIOS!$A$2:$A$3142,$A392,RATEIOS!$F$2:$F$3142))</f>
        <v>8192.69</v>
      </c>
      <c r="P392" s="15">
        <f t="shared" si="13"/>
        <v>0</v>
      </c>
      <c r="Q392" s="49" t="str">
        <f>IF(AND(J392=0,K392=0,L392=0,M392=0),"",IF(O392=0,"PENDENTE DE RATEIO",IF(ABS(P392)&gt;0.005,"DIVERGÊNCIA",IF(COUNTIF(RATEIOS!$A$2:$A$3142,$A392)-COUNTIFS(RATEIOS!$A$2:$A$3142,$A392,RATEIOS!$D$2:$D$3142,"&lt;&gt;")&gt;0,"NÃO CLASSIFICADO","RATEIO OK"))))</f>
        <v>RATEIO OK</v>
      </c>
      <c r="R392" s="49" t="s">
        <v>2553</v>
      </c>
      <c r="S392" s="14"/>
    </row>
    <row r="393" spans="1:19" ht="24.95" customHeight="1" x14ac:dyDescent="0.25">
      <c r="A393" s="49" t="s">
        <v>1797</v>
      </c>
      <c r="B393" s="98">
        <v>392</v>
      </c>
      <c r="C393" s="50">
        <v>46127</v>
      </c>
      <c r="D393" s="49">
        <f t="shared" si="12"/>
        <v>4</v>
      </c>
      <c r="E393" s="92" t="s">
        <v>118</v>
      </c>
      <c r="F393" s="49" t="s">
        <v>36</v>
      </c>
      <c r="G393" s="14" t="s">
        <v>305</v>
      </c>
      <c r="H393" s="14" t="s">
        <v>3207</v>
      </c>
      <c r="I393" s="76" t="s">
        <v>648</v>
      </c>
      <c r="J393" s="73">
        <v>0</v>
      </c>
      <c r="K393" s="74">
        <v>95</v>
      </c>
      <c r="L393" s="72">
        <v>0</v>
      </c>
      <c r="M393" s="72">
        <v>0</v>
      </c>
      <c r="N393" s="72">
        <f>IF(AND(C393="",J393=0,K393=0,L393=0,M393=0),"",CADASTROS!$B$4+SUM($J$2:J393)+SUM($M$2:M393)-SUM($K$2:K393)-SUM($L$2:L393))</f>
        <v>226611.42000000016</v>
      </c>
      <c r="O393" s="72">
        <f>IF(A393="","",SUMIF(RATEIOS!$A$2:$A$3142,$A393,RATEIOS!$F$2:$F$3142))</f>
        <v>95</v>
      </c>
      <c r="P393" s="15">
        <f t="shared" si="13"/>
        <v>0</v>
      </c>
      <c r="Q393" s="49" t="str">
        <f>IF(AND(J393=0,K393=0,L393=0,M393=0),"",IF(O393=0,"PENDENTE DE RATEIO",IF(ABS(P393)&gt;0.005,"DIVERGÊNCIA",IF(COUNTIF(RATEIOS!$A$2:$A$3142,$A393)-COUNTIFS(RATEIOS!$A$2:$A$3142,$A393,RATEIOS!$D$2:$D$3142,"&lt;&gt;")&gt;0,"NÃO CLASSIFICADO","RATEIO OK"))))</f>
        <v>RATEIO OK</v>
      </c>
      <c r="R393" s="49" t="s">
        <v>2553</v>
      </c>
      <c r="S393" s="14" t="s">
        <v>649</v>
      </c>
    </row>
    <row r="394" spans="1:19" ht="24.95" customHeight="1" x14ac:dyDescent="0.25">
      <c r="A394" s="49" t="s">
        <v>1798</v>
      </c>
      <c r="B394" s="98">
        <v>393</v>
      </c>
      <c r="C394" s="50">
        <v>46127</v>
      </c>
      <c r="D394" s="49">
        <f t="shared" si="12"/>
        <v>4</v>
      </c>
      <c r="E394" s="92" t="s">
        <v>118</v>
      </c>
      <c r="F394" s="49" t="s">
        <v>36</v>
      </c>
      <c r="G394" s="14" t="s">
        <v>305</v>
      </c>
      <c r="H394" s="14" t="s">
        <v>3207</v>
      </c>
      <c r="I394" s="76" t="s">
        <v>650</v>
      </c>
      <c r="J394" s="73">
        <v>0</v>
      </c>
      <c r="K394" s="74">
        <v>207</v>
      </c>
      <c r="L394" s="72">
        <v>0</v>
      </c>
      <c r="M394" s="72">
        <v>0</v>
      </c>
      <c r="N394" s="72">
        <f>IF(AND(C394="",J394=0,K394=0,L394=0,M394=0),"",CADASTROS!$B$4+SUM($J$2:J394)+SUM($M$2:M394)-SUM($K$2:K394)-SUM($L$2:L394))</f>
        <v>226404.42000000016</v>
      </c>
      <c r="O394" s="72">
        <f>IF(A394="","",SUMIF(RATEIOS!$A$2:$A$3142,$A394,RATEIOS!$F$2:$F$3142))</f>
        <v>207</v>
      </c>
      <c r="P394" s="15">
        <f t="shared" si="13"/>
        <v>0</v>
      </c>
      <c r="Q394" s="49" t="str">
        <f>IF(AND(J394=0,K394=0,L394=0,M394=0),"",IF(O394=0,"PENDENTE DE RATEIO",IF(ABS(P394)&gt;0.005,"DIVERGÊNCIA",IF(COUNTIF(RATEIOS!$A$2:$A$3142,$A394)-COUNTIFS(RATEIOS!$A$2:$A$3142,$A394,RATEIOS!$D$2:$D$3142,"&lt;&gt;")&gt;0,"NÃO CLASSIFICADO","RATEIO OK"))))</f>
        <v>RATEIO OK</v>
      </c>
      <c r="R394" s="49" t="s">
        <v>2553</v>
      </c>
      <c r="S394" s="14" t="s">
        <v>651</v>
      </c>
    </row>
    <row r="395" spans="1:19" ht="24.95" customHeight="1" x14ac:dyDescent="0.25">
      <c r="A395" s="49" t="s">
        <v>1799</v>
      </c>
      <c r="B395" s="98">
        <v>394</v>
      </c>
      <c r="C395" s="50">
        <v>46127</v>
      </c>
      <c r="D395" s="49">
        <f t="shared" si="12"/>
        <v>4</v>
      </c>
      <c r="E395" s="92" t="s">
        <v>118</v>
      </c>
      <c r="F395" s="49" t="s">
        <v>36</v>
      </c>
      <c r="G395" s="14" t="s">
        <v>448</v>
      </c>
      <c r="H395" s="14" t="s">
        <v>207</v>
      </c>
      <c r="I395" s="76" t="s">
        <v>652</v>
      </c>
      <c r="J395" s="73">
        <v>0</v>
      </c>
      <c r="K395" s="74">
        <v>1416</v>
      </c>
      <c r="L395" s="72">
        <v>0</v>
      </c>
      <c r="M395" s="72">
        <v>0</v>
      </c>
      <c r="N395" s="72">
        <f>IF(AND(C395="",J395=0,K395=0,L395=0,M395=0),"",CADASTROS!$B$4+SUM($J$2:J395)+SUM($M$2:M395)-SUM($K$2:K395)-SUM($L$2:L395))</f>
        <v>224988.42000000016</v>
      </c>
      <c r="O395" s="72">
        <f>IF(A395="","",SUMIF(RATEIOS!$A$2:$A$3142,$A395,RATEIOS!$F$2:$F$3142))</f>
        <v>1416</v>
      </c>
      <c r="P395" s="15">
        <f t="shared" si="13"/>
        <v>0</v>
      </c>
      <c r="Q395" s="49" t="str">
        <f>IF(AND(J395=0,K395=0,L395=0,M395=0),"",IF(O395=0,"PENDENTE DE RATEIO",IF(ABS(P395)&gt;0.005,"DIVERGÊNCIA",IF(COUNTIF(RATEIOS!$A$2:$A$3142,$A395)-COUNTIFS(RATEIOS!$A$2:$A$3142,$A395,RATEIOS!$D$2:$D$3142,"&lt;&gt;")&gt;0,"NÃO CLASSIFICADO","RATEIO OK"))))</f>
        <v>RATEIO OK</v>
      </c>
      <c r="R395" s="49" t="s">
        <v>2553</v>
      </c>
      <c r="S395" s="14" t="s">
        <v>653</v>
      </c>
    </row>
    <row r="396" spans="1:19" ht="24.95" customHeight="1" x14ac:dyDescent="0.25">
      <c r="A396" s="49" t="s">
        <v>1800</v>
      </c>
      <c r="B396" s="98">
        <v>395</v>
      </c>
      <c r="C396" s="50">
        <v>46128</v>
      </c>
      <c r="D396" s="49">
        <f t="shared" si="12"/>
        <v>4</v>
      </c>
      <c r="E396" s="92" t="s">
        <v>118</v>
      </c>
      <c r="F396" s="49" t="s">
        <v>36</v>
      </c>
      <c r="G396" s="14" t="s">
        <v>136</v>
      </c>
      <c r="H396" s="14" t="s">
        <v>137</v>
      </c>
      <c r="I396" s="76" t="s">
        <v>654</v>
      </c>
      <c r="J396" s="73">
        <v>0</v>
      </c>
      <c r="K396" s="74">
        <v>500</v>
      </c>
      <c r="L396" s="72">
        <v>0</v>
      </c>
      <c r="M396" s="72">
        <v>0</v>
      </c>
      <c r="N396" s="72">
        <f>IF(AND(C396="",J396=0,K396=0,L396=0,M396=0),"",CADASTROS!$B$4+SUM($J$2:J396)+SUM($M$2:M396)-SUM($K$2:K396)-SUM($L$2:L396))</f>
        <v>224488.42000000016</v>
      </c>
      <c r="O396" s="72">
        <f>IF(A396="","",SUMIF(RATEIOS!$A$2:$A$3142,$A396,RATEIOS!$F$2:$F$3142))</f>
        <v>500</v>
      </c>
      <c r="P396" s="15">
        <f t="shared" si="13"/>
        <v>0</v>
      </c>
      <c r="Q396" s="49" t="str">
        <f>IF(AND(J396=0,K396=0,L396=0,M396=0),"",IF(O396=0,"PENDENTE DE RATEIO",IF(ABS(P396)&gt;0.005,"DIVERGÊNCIA",IF(COUNTIF(RATEIOS!$A$2:$A$3142,$A396)-COUNTIFS(RATEIOS!$A$2:$A$3142,$A396,RATEIOS!$D$2:$D$3142,"&lt;&gt;")&gt;0,"NÃO CLASSIFICADO","RATEIO OK"))))</f>
        <v>RATEIO OK</v>
      </c>
      <c r="R396" s="49" t="s">
        <v>2553</v>
      </c>
      <c r="S396" s="14"/>
    </row>
    <row r="397" spans="1:19" ht="24.95" customHeight="1" x14ac:dyDescent="0.25">
      <c r="A397" s="49" t="s">
        <v>1801</v>
      </c>
      <c r="B397" s="98">
        <v>396</v>
      </c>
      <c r="C397" s="50">
        <v>46129</v>
      </c>
      <c r="D397" s="49">
        <f t="shared" si="12"/>
        <v>4</v>
      </c>
      <c r="E397" s="92" t="s">
        <v>118</v>
      </c>
      <c r="F397" s="49" t="s">
        <v>36</v>
      </c>
      <c r="G397" s="14" t="s">
        <v>492</v>
      </c>
      <c r="H397" s="14" t="s">
        <v>252</v>
      </c>
      <c r="I397" s="76" t="s">
        <v>655</v>
      </c>
      <c r="J397" s="73">
        <v>0</v>
      </c>
      <c r="K397" s="74">
        <v>18353.5</v>
      </c>
      <c r="L397" s="72">
        <v>0</v>
      </c>
      <c r="M397" s="72">
        <v>0</v>
      </c>
      <c r="N397" s="72">
        <f>IF(AND(C397="",J397=0,K397=0,L397=0,M397=0),"",CADASTROS!$B$4+SUM($J$2:J397)+SUM($M$2:M397)-SUM($K$2:K397)-SUM($L$2:L397))</f>
        <v>206134.92000000016</v>
      </c>
      <c r="O397" s="72">
        <f>IF(A397="","",SUMIF(RATEIOS!$A$2:$A$3142,$A397,RATEIOS!$F$2:$F$3142))</f>
        <v>18353.5</v>
      </c>
      <c r="P397" s="15">
        <f t="shared" si="13"/>
        <v>0</v>
      </c>
      <c r="Q397" s="49" t="str">
        <f>IF(AND(J397=0,K397=0,L397=0,M397=0),"",IF(O397=0,"PENDENTE DE RATEIO",IF(ABS(P397)&gt;0.005,"DIVERGÊNCIA",IF(COUNTIF(RATEIOS!$A$2:$A$3142,$A397)-COUNTIFS(RATEIOS!$A$2:$A$3142,$A397,RATEIOS!$D$2:$D$3142,"&lt;&gt;")&gt;0,"NÃO CLASSIFICADO","RATEIO OK"))))</f>
        <v>RATEIO OK</v>
      </c>
      <c r="R397" s="49" t="s">
        <v>2553</v>
      </c>
      <c r="S397" s="14"/>
    </row>
    <row r="398" spans="1:19" ht="24.95" customHeight="1" x14ac:dyDescent="0.25">
      <c r="A398" s="49" t="s">
        <v>1804</v>
      </c>
      <c r="B398" s="98">
        <v>397</v>
      </c>
      <c r="C398" s="50">
        <v>46132</v>
      </c>
      <c r="D398" s="49">
        <f t="shared" si="12"/>
        <v>4</v>
      </c>
      <c r="E398" s="92" t="s">
        <v>72</v>
      </c>
      <c r="F398" s="49" t="s">
        <v>36</v>
      </c>
      <c r="G398" s="14" t="s">
        <v>656</v>
      </c>
      <c r="H398" s="14" t="s">
        <v>657</v>
      </c>
      <c r="I398" s="76" t="s">
        <v>101</v>
      </c>
      <c r="J398" s="73">
        <v>0</v>
      </c>
      <c r="K398" s="74">
        <v>73.08</v>
      </c>
      <c r="L398" s="72">
        <v>0</v>
      </c>
      <c r="M398" s="72">
        <v>0</v>
      </c>
      <c r="N398" s="72">
        <f>IF(AND(C398="",J398=0,K398=0,L398=0,M398=0),"",CADASTROS!$B$4+SUM($J$2:J398)+SUM($M$2:M398)-SUM($K$2:K398)-SUM($L$2:L398))</f>
        <v>206061.84000000008</v>
      </c>
      <c r="O398" s="72">
        <f>IF(A398="","",SUMIF(RATEIOS!$A$2:$A$3142,$A398,RATEIOS!$F$2:$F$3142))</f>
        <v>73.08</v>
      </c>
      <c r="P398" s="15">
        <f t="shared" si="13"/>
        <v>0</v>
      </c>
      <c r="Q398" s="49" t="str">
        <f>IF(AND(J398=0,K398=0,L398=0,M398=0),"",IF(O398=0,"PENDENTE DE RATEIO",IF(ABS(P398)&gt;0.005,"DIVERGÊNCIA",IF(COUNTIF(RATEIOS!$A$2:$A$3142,$A398)-COUNTIFS(RATEIOS!$A$2:$A$3142,$A398,RATEIOS!$D$2:$D$3142,"&lt;&gt;")&gt;0,"NÃO CLASSIFICADO","RATEIO OK"))))</f>
        <v>RATEIO OK</v>
      </c>
      <c r="R398" s="49" t="s">
        <v>2553</v>
      </c>
      <c r="S398" s="14"/>
    </row>
    <row r="399" spans="1:19" ht="24.95" customHeight="1" x14ac:dyDescent="0.25">
      <c r="A399" s="49" t="s">
        <v>1805</v>
      </c>
      <c r="B399" s="98">
        <v>398</v>
      </c>
      <c r="C399" s="50">
        <v>46132</v>
      </c>
      <c r="D399" s="49">
        <f t="shared" si="12"/>
        <v>4</v>
      </c>
      <c r="E399" s="92" t="s">
        <v>72</v>
      </c>
      <c r="F399" s="49" t="s">
        <v>36</v>
      </c>
      <c r="G399" s="14" t="s">
        <v>658</v>
      </c>
      <c r="H399" s="14" t="s">
        <v>3028</v>
      </c>
      <c r="I399" s="76" t="s">
        <v>659</v>
      </c>
      <c r="J399" s="73">
        <v>0</v>
      </c>
      <c r="K399" s="74">
        <v>3757</v>
      </c>
      <c r="L399" s="72">
        <v>0</v>
      </c>
      <c r="M399" s="72">
        <v>0</v>
      </c>
      <c r="N399" s="72">
        <f>IF(AND(C399="",J399=0,K399=0,L399=0,M399=0),"",CADASTROS!$B$4+SUM($J$2:J399)+SUM($M$2:M399)-SUM($K$2:K399)-SUM($L$2:L399))</f>
        <v>202304.84000000008</v>
      </c>
      <c r="O399" s="72">
        <f>IF(A399="","",SUMIF(RATEIOS!$A$2:$A$3142,$A399,RATEIOS!$F$2:$F$3142))</f>
        <v>3757</v>
      </c>
      <c r="P399" s="15">
        <f t="shared" si="13"/>
        <v>0</v>
      </c>
      <c r="Q399" s="49" t="str">
        <f>IF(AND(J399=0,K399=0,L399=0,M399=0),"",IF(O399=0,"PENDENTE DE RATEIO",IF(ABS(P399)&gt;0.005,"DIVERGÊNCIA",IF(COUNTIF(RATEIOS!$A$2:$A$3142,$A399)-COUNTIFS(RATEIOS!$A$2:$A$3142,$A399,RATEIOS!$D$2:$D$3142,"&lt;&gt;")&gt;0,"NÃO CLASSIFICADO","RATEIO OK"))))</f>
        <v>RATEIO OK</v>
      </c>
      <c r="R399" s="49" t="s">
        <v>2553</v>
      </c>
      <c r="S399" s="14"/>
    </row>
    <row r="400" spans="1:19" ht="24.95" customHeight="1" x14ac:dyDescent="0.25">
      <c r="A400" s="49" t="s">
        <v>1806</v>
      </c>
      <c r="B400" s="98">
        <v>399</v>
      </c>
      <c r="C400" s="50">
        <v>46132</v>
      </c>
      <c r="D400" s="49">
        <f t="shared" si="12"/>
        <v>4</v>
      </c>
      <c r="E400" s="92" t="s">
        <v>72</v>
      </c>
      <c r="F400" s="49" t="s">
        <v>36</v>
      </c>
      <c r="G400" s="14" t="s">
        <v>2928</v>
      </c>
      <c r="H400" s="14" t="s">
        <v>2934</v>
      </c>
      <c r="I400" s="76" t="s">
        <v>661</v>
      </c>
      <c r="J400" s="73">
        <v>0</v>
      </c>
      <c r="K400" s="74">
        <v>1800</v>
      </c>
      <c r="L400" s="72">
        <v>0</v>
      </c>
      <c r="M400" s="72">
        <v>0</v>
      </c>
      <c r="N400" s="72">
        <f>IF(AND(C400="",J400=0,K400=0,L400=0,M400=0),"",CADASTROS!$B$4+SUM($J$2:J400)+SUM($M$2:M400)-SUM($K$2:K400)-SUM($L$2:L400))</f>
        <v>200504.84000000008</v>
      </c>
      <c r="O400" s="72">
        <f>IF(A400="","",SUMIF(RATEIOS!$A$2:$A$3142,$A400,RATEIOS!$F$2:$F$3142))</f>
        <v>1800</v>
      </c>
      <c r="P400" s="15">
        <f t="shared" si="13"/>
        <v>0</v>
      </c>
      <c r="Q400" s="49" t="str">
        <f>IF(AND(J400=0,K400=0,L400=0,M400=0),"",IF(O400=0,"PENDENTE DE RATEIO",IF(ABS(P400)&gt;0.005,"DIVERGÊNCIA",IF(COUNTIF(RATEIOS!$A$2:$A$3142,$A400)-COUNTIFS(RATEIOS!$A$2:$A$3142,$A400,RATEIOS!$D$2:$D$3142,"&lt;&gt;")&gt;0,"NÃO CLASSIFICADO","RATEIO OK"))))</f>
        <v>RATEIO OK</v>
      </c>
      <c r="R400" s="49" t="s">
        <v>2553</v>
      </c>
      <c r="S400" s="14"/>
    </row>
    <row r="401" spans="1:19" ht="24.95" customHeight="1" x14ac:dyDescent="0.25">
      <c r="A401" s="49" t="s">
        <v>1807</v>
      </c>
      <c r="B401" s="98">
        <v>400</v>
      </c>
      <c r="C401" s="50">
        <v>46132</v>
      </c>
      <c r="D401" s="49">
        <f t="shared" si="12"/>
        <v>4</v>
      </c>
      <c r="E401" s="92" t="s">
        <v>287</v>
      </c>
      <c r="F401" s="49" t="s">
        <v>36</v>
      </c>
      <c r="G401" s="14" t="s">
        <v>636</v>
      </c>
      <c r="H401" s="14" t="s">
        <v>159</v>
      </c>
      <c r="I401" s="76" t="s">
        <v>637</v>
      </c>
      <c r="J401" s="73">
        <v>0</v>
      </c>
      <c r="K401" s="74">
        <v>200</v>
      </c>
      <c r="L401" s="72">
        <v>0</v>
      </c>
      <c r="M401" s="72">
        <v>0</v>
      </c>
      <c r="N401" s="72">
        <f>IF(AND(C401="",J401=0,K401=0,L401=0,M401=0),"",CADASTROS!$B$4+SUM($J$2:J401)+SUM($M$2:M401)-SUM($K$2:K401)-SUM($L$2:L401))</f>
        <v>200304.84000000008</v>
      </c>
      <c r="O401" s="72">
        <f>IF(A401="","",SUMIF(RATEIOS!$A$2:$A$3142,$A401,RATEIOS!$F$2:$F$3142))</f>
        <v>200</v>
      </c>
      <c r="P401" s="15">
        <f t="shared" si="13"/>
        <v>0</v>
      </c>
      <c r="Q401" s="49" t="str">
        <f>IF(AND(J401=0,K401=0,L401=0,M401=0),"",IF(O401=0,"PENDENTE DE RATEIO",IF(ABS(P401)&gt;0.005,"DIVERGÊNCIA",IF(COUNTIF(RATEIOS!$A$2:$A$3142,$A401)-COUNTIFS(RATEIOS!$A$2:$A$3142,$A401,RATEIOS!$D$2:$D$3142,"&lt;&gt;")&gt;0,"NÃO CLASSIFICADO","RATEIO OK"))))</f>
        <v>RATEIO OK</v>
      </c>
      <c r="R401" s="49" t="s">
        <v>2553</v>
      </c>
      <c r="S401" s="14" t="s">
        <v>662</v>
      </c>
    </row>
    <row r="402" spans="1:19" ht="24.95" customHeight="1" x14ac:dyDescent="0.25">
      <c r="A402" s="49" t="s">
        <v>1808</v>
      </c>
      <c r="B402" s="98">
        <v>401</v>
      </c>
      <c r="C402" s="50">
        <v>46132</v>
      </c>
      <c r="D402" s="49">
        <f t="shared" si="12"/>
        <v>4</v>
      </c>
      <c r="E402" s="92" t="s">
        <v>72</v>
      </c>
      <c r="F402" s="49" t="s">
        <v>36</v>
      </c>
      <c r="G402" s="14" t="s">
        <v>663</v>
      </c>
      <c r="H402" s="14" t="s">
        <v>164</v>
      </c>
      <c r="I402" s="76" t="s">
        <v>412</v>
      </c>
      <c r="J402" s="73">
        <v>0</v>
      </c>
      <c r="K402" s="74">
        <v>7476.61</v>
      </c>
      <c r="L402" s="72">
        <v>0</v>
      </c>
      <c r="M402" s="72">
        <v>0</v>
      </c>
      <c r="N402" s="72">
        <f>IF(AND(C402="",J402=0,K402=0,L402=0,M402=0),"",CADASTROS!$B$4+SUM($J$2:J402)+SUM($M$2:M402)-SUM($K$2:K402)-SUM($L$2:L402))</f>
        <v>192828.22999999998</v>
      </c>
      <c r="O402" s="72">
        <f>IF(A402="","",SUMIF(RATEIOS!$A$2:$A$3142,$A402,RATEIOS!$F$2:$F$3142))</f>
        <v>7476.61</v>
      </c>
      <c r="P402" s="15">
        <f t="shared" si="13"/>
        <v>0</v>
      </c>
      <c r="Q402" s="49" t="str">
        <f>IF(AND(J402=0,K402=0,L402=0,M402=0),"",IF(O402=0,"PENDENTE DE RATEIO",IF(ABS(P402)&gt;0.005,"DIVERGÊNCIA",IF(COUNTIF(RATEIOS!$A$2:$A$3142,$A402)-COUNTIFS(RATEIOS!$A$2:$A$3142,$A402,RATEIOS!$D$2:$D$3142,"&lt;&gt;")&gt;0,"NÃO CLASSIFICADO","RATEIO OK"))))</f>
        <v>RATEIO OK</v>
      </c>
      <c r="R402" s="49" t="s">
        <v>2553</v>
      </c>
      <c r="S402" s="14"/>
    </row>
    <row r="403" spans="1:19" ht="24.95" customHeight="1" x14ac:dyDescent="0.25">
      <c r="A403" s="49" t="s">
        <v>1811</v>
      </c>
      <c r="B403" s="98">
        <v>402</v>
      </c>
      <c r="C403" s="50">
        <v>46132</v>
      </c>
      <c r="D403" s="49">
        <f t="shared" si="12"/>
        <v>4</v>
      </c>
      <c r="E403" s="92" t="s">
        <v>169</v>
      </c>
      <c r="F403" s="49" t="s">
        <v>36</v>
      </c>
      <c r="G403" s="14" t="s">
        <v>664</v>
      </c>
      <c r="H403" s="14" t="s">
        <v>167</v>
      </c>
      <c r="I403" s="76" t="s">
        <v>412</v>
      </c>
      <c r="J403" s="73">
        <v>0</v>
      </c>
      <c r="K403" s="74">
        <v>28402.02</v>
      </c>
      <c r="L403" s="72">
        <v>0</v>
      </c>
      <c r="M403" s="72">
        <v>0</v>
      </c>
      <c r="N403" s="72">
        <f>IF(AND(C403="",J403=0,K403=0,L403=0,M403=0),"",CADASTROS!$B$4+SUM($J$2:J403)+SUM($M$2:M403)-SUM($K$2:K403)-SUM($L$2:L403))</f>
        <v>164426.20999999996</v>
      </c>
      <c r="O403" s="72">
        <f>IF(A403="","",SUMIF(RATEIOS!$A$2:$A$3142,$A403,RATEIOS!$F$2:$F$3142))</f>
        <v>28402.02</v>
      </c>
      <c r="P403" s="15">
        <f t="shared" si="13"/>
        <v>0</v>
      </c>
      <c r="Q403" s="49" t="str">
        <f>IF(AND(J403=0,K403=0,L403=0,M403=0),"",IF(O403=0,"PENDENTE DE RATEIO",IF(ABS(P403)&gt;0.005,"DIVERGÊNCIA",IF(COUNTIF(RATEIOS!$A$2:$A$3142,$A403)-COUNTIFS(RATEIOS!$A$2:$A$3142,$A403,RATEIOS!$D$2:$D$3142,"&lt;&gt;")&gt;0,"NÃO CLASSIFICADO","RATEIO OK"))))</f>
        <v>RATEIO OK</v>
      </c>
      <c r="R403" s="49" t="s">
        <v>2553</v>
      </c>
      <c r="S403" s="14"/>
    </row>
    <row r="404" spans="1:19" ht="24.95" customHeight="1" x14ac:dyDescent="0.25">
      <c r="A404" s="49" t="s">
        <v>1812</v>
      </c>
      <c r="B404" s="98">
        <v>403</v>
      </c>
      <c r="C404" s="50">
        <v>46132</v>
      </c>
      <c r="D404" s="49">
        <f t="shared" si="12"/>
        <v>4</v>
      </c>
      <c r="E404" s="92" t="s">
        <v>169</v>
      </c>
      <c r="F404" s="49" t="s">
        <v>36</v>
      </c>
      <c r="G404" s="14" t="s">
        <v>168</v>
      </c>
      <c r="H404" s="14" t="s">
        <v>2741</v>
      </c>
      <c r="I404" s="76" t="s">
        <v>412</v>
      </c>
      <c r="J404" s="73">
        <v>0</v>
      </c>
      <c r="K404" s="74">
        <v>51.18</v>
      </c>
      <c r="L404" s="72">
        <v>0</v>
      </c>
      <c r="M404" s="72">
        <v>0</v>
      </c>
      <c r="N404" s="72">
        <f>IF(AND(C404="",J404=0,K404=0,L404=0,M404=0),"",CADASTROS!$B$4+SUM($J$2:J404)+SUM($M$2:M404)-SUM($K$2:K404)-SUM($L$2:L404))</f>
        <v>164375.03000000003</v>
      </c>
      <c r="O404" s="72">
        <f>IF(A404="","",SUMIF(RATEIOS!$A$2:$A$3142,$A404,RATEIOS!$F$2:$F$3142))</f>
        <v>51.18</v>
      </c>
      <c r="P404" s="15">
        <f t="shared" si="13"/>
        <v>0</v>
      </c>
      <c r="Q404" s="49" t="str">
        <f>IF(AND(J404=0,K404=0,L404=0,M404=0),"",IF(O404=0,"PENDENTE DE RATEIO",IF(ABS(P404)&gt;0.005,"DIVERGÊNCIA",IF(COUNTIF(RATEIOS!$A$2:$A$3142,$A404)-COUNTIFS(RATEIOS!$A$2:$A$3142,$A404,RATEIOS!$D$2:$D$3142,"&lt;&gt;")&gt;0,"NÃO CLASSIFICADO","RATEIO OK"))))</f>
        <v>RATEIO OK</v>
      </c>
      <c r="R404" s="49" t="s">
        <v>2553</v>
      </c>
      <c r="S404" s="14"/>
    </row>
    <row r="405" spans="1:19" ht="24.95" customHeight="1" x14ac:dyDescent="0.25">
      <c r="A405" s="49" t="s">
        <v>1813</v>
      </c>
      <c r="B405" s="98">
        <v>404</v>
      </c>
      <c r="C405" s="50">
        <v>46132</v>
      </c>
      <c r="D405" s="49">
        <f t="shared" si="12"/>
        <v>4</v>
      </c>
      <c r="E405" s="92" t="s">
        <v>169</v>
      </c>
      <c r="F405" s="49" t="s">
        <v>36</v>
      </c>
      <c r="G405" s="14" t="s">
        <v>170</v>
      </c>
      <c r="H405" s="14" t="s">
        <v>2741</v>
      </c>
      <c r="I405" s="76" t="s">
        <v>412</v>
      </c>
      <c r="J405" s="73">
        <v>0</v>
      </c>
      <c r="K405" s="74">
        <v>16.510000000000002</v>
      </c>
      <c r="L405" s="72">
        <v>0</v>
      </c>
      <c r="M405" s="72">
        <v>0</v>
      </c>
      <c r="N405" s="72">
        <f>IF(AND(C405="",J405=0,K405=0,L405=0,M405=0),"",CADASTROS!$B$4+SUM($J$2:J405)+SUM($M$2:M405)-SUM($K$2:K405)-SUM($L$2:L405))</f>
        <v>164358.52000000002</v>
      </c>
      <c r="O405" s="72">
        <f>IF(A405="","",SUMIF(RATEIOS!$A$2:$A$3142,$A405,RATEIOS!$F$2:$F$3142))</f>
        <v>16.510000000000002</v>
      </c>
      <c r="P405" s="15">
        <f t="shared" si="13"/>
        <v>0</v>
      </c>
      <c r="Q405" s="49" t="str">
        <f>IF(AND(J405=0,K405=0,L405=0,M405=0),"",IF(O405=0,"PENDENTE DE RATEIO",IF(ABS(P405)&gt;0.005,"DIVERGÊNCIA",IF(COUNTIF(RATEIOS!$A$2:$A$3142,$A405)-COUNTIFS(RATEIOS!$A$2:$A$3142,$A405,RATEIOS!$D$2:$D$3142,"&lt;&gt;")&gt;0,"NÃO CLASSIFICADO","RATEIO OK"))))</f>
        <v>RATEIO OK</v>
      </c>
      <c r="R405" s="49" t="s">
        <v>2553</v>
      </c>
      <c r="S405" s="14"/>
    </row>
    <row r="406" spans="1:19" ht="24.95" customHeight="1" x14ac:dyDescent="0.25">
      <c r="A406" s="49" t="s">
        <v>1814</v>
      </c>
      <c r="B406" s="98">
        <v>405</v>
      </c>
      <c r="C406" s="50">
        <v>46132</v>
      </c>
      <c r="D406" s="49">
        <f t="shared" si="12"/>
        <v>4</v>
      </c>
      <c r="E406" s="92" t="s">
        <v>118</v>
      </c>
      <c r="F406" s="49" t="s">
        <v>36</v>
      </c>
      <c r="G406" s="14" t="s">
        <v>513</v>
      </c>
      <c r="H406" s="14" t="s">
        <v>67</v>
      </c>
      <c r="I406" s="76" t="s">
        <v>665</v>
      </c>
      <c r="J406" s="73">
        <v>0</v>
      </c>
      <c r="K406" s="74">
        <v>300</v>
      </c>
      <c r="L406" s="72">
        <v>0</v>
      </c>
      <c r="M406" s="72">
        <v>0</v>
      </c>
      <c r="N406" s="72">
        <f>IF(AND(C406="",J406=0,K406=0,L406=0,M406=0),"",CADASTROS!$B$4+SUM($J$2:J406)+SUM($M$2:M406)-SUM($K$2:K406)-SUM($L$2:L406))</f>
        <v>164058.52000000002</v>
      </c>
      <c r="O406" s="72">
        <f>IF(A406="","",SUMIF(RATEIOS!$A$2:$A$3142,$A406,RATEIOS!$F$2:$F$3142))</f>
        <v>300</v>
      </c>
      <c r="P406" s="15">
        <f t="shared" si="13"/>
        <v>0</v>
      </c>
      <c r="Q406" s="49" t="str">
        <f>IF(AND(J406=0,K406=0,L406=0,M406=0),"",IF(O406=0,"PENDENTE DE RATEIO",IF(ABS(P406)&gt;0.005,"DIVERGÊNCIA",IF(COUNTIF(RATEIOS!$A$2:$A$3142,$A406)-COUNTIFS(RATEIOS!$A$2:$A$3142,$A406,RATEIOS!$D$2:$D$3142,"&lt;&gt;")&gt;0,"NÃO CLASSIFICADO","RATEIO OK"))))</f>
        <v>RATEIO OK</v>
      </c>
      <c r="R406" s="49" t="s">
        <v>2553</v>
      </c>
      <c r="S406" s="14"/>
    </row>
    <row r="407" spans="1:19" ht="24.95" customHeight="1" x14ac:dyDescent="0.25">
      <c r="A407" s="49" t="s">
        <v>1815</v>
      </c>
      <c r="B407" s="98">
        <v>406</v>
      </c>
      <c r="C407" s="50">
        <v>46134</v>
      </c>
      <c r="D407" s="49">
        <f t="shared" si="12"/>
        <v>4</v>
      </c>
      <c r="E407" s="92" t="s">
        <v>72</v>
      </c>
      <c r="F407" s="49" t="s">
        <v>36</v>
      </c>
      <c r="G407" s="14" t="s">
        <v>666</v>
      </c>
      <c r="H407" s="14" t="s">
        <v>467</v>
      </c>
      <c r="I407" s="76" t="s">
        <v>101</v>
      </c>
      <c r="J407" s="73">
        <v>0</v>
      </c>
      <c r="K407" s="74">
        <v>43.37</v>
      </c>
      <c r="L407" s="72">
        <v>0</v>
      </c>
      <c r="M407" s="72">
        <v>0</v>
      </c>
      <c r="N407" s="72">
        <f>IF(AND(C407="",J407=0,K407=0,L407=0,M407=0),"",CADASTROS!$B$4+SUM($J$2:J407)+SUM($M$2:M407)-SUM($K$2:K407)-SUM($L$2:L407))</f>
        <v>164015.14999999991</v>
      </c>
      <c r="O407" s="72">
        <f>IF(A407="","",SUMIF(RATEIOS!$A$2:$A$3142,$A407,RATEIOS!$F$2:$F$3142))</f>
        <v>43.37</v>
      </c>
      <c r="P407" s="15">
        <f t="shared" si="13"/>
        <v>0</v>
      </c>
      <c r="Q407" s="49" t="str">
        <f>IF(AND(J407=0,K407=0,L407=0,M407=0),"",IF(O407=0,"PENDENTE DE RATEIO",IF(ABS(P407)&gt;0.005,"DIVERGÊNCIA",IF(COUNTIF(RATEIOS!$A$2:$A$3142,$A407)-COUNTIFS(RATEIOS!$A$2:$A$3142,$A407,RATEIOS!$D$2:$D$3142,"&lt;&gt;")&gt;0,"NÃO CLASSIFICADO","RATEIO OK"))))</f>
        <v>RATEIO OK</v>
      </c>
      <c r="R407" s="49" t="s">
        <v>2553</v>
      </c>
      <c r="S407" s="14"/>
    </row>
    <row r="408" spans="1:19" ht="24.95" customHeight="1" x14ac:dyDescent="0.25">
      <c r="A408" s="49" t="s">
        <v>1816</v>
      </c>
      <c r="B408" s="98">
        <v>407</v>
      </c>
      <c r="C408" s="50">
        <v>46135</v>
      </c>
      <c r="D408" s="49">
        <f t="shared" si="12"/>
        <v>4</v>
      </c>
      <c r="E408" s="92" t="s">
        <v>72</v>
      </c>
      <c r="F408" s="49" t="s">
        <v>36</v>
      </c>
      <c r="G408" s="14" t="s">
        <v>667</v>
      </c>
      <c r="H408" s="14" t="s">
        <v>668</v>
      </c>
      <c r="I408" s="91" t="s">
        <v>87</v>
      </c>
      <c r="J408" s="73">
        <v>0</v>
      </c>
      <c r="K408" s="74">
        <v>374.56</v>
      </c>
      <c r="L408" s="72">
        <v>0</v>
      </c>
      <c r="M408" s="72">
        <v>0</v>
      </c>
      <c r="N408" s="72">
        <f>IF(AND(C408="",J408=0,K408=0,L408=0,M408=0),"",CADASTROS!$B$4+SUM($J$2:J408)+SUM($M$2:M408)-SUM($K$2:K408)-SUM($L$2:L408))</f>
        <v>163640.58999999985</v>
      </c>
      <c r="O408" s="72">
        <f>IF(A408="","",SUMIF(RATEIOS!$A$2:$A$3142,$A408,RATEIOS!$F$2:$F$3142))</f>
        <v>374.56</v>
      </c>
      <c r="P408" s="15">
        <f t="shared" si="13"/>
        <v>0</v>
      </c>
      <c r="Q408" s="49" t="str">
        <f>IF(AND(J408=0,K408=0,L408=0,M408=0),"",IF(O408=0,"PENDENTE DE RATEIO",IF(ABS(P408)&gt;0.005,"DIVERGÊNCIA",IF(COUNTIF(RATEIOS!$A$2:$A$3142,$A408)-COUNTIFS(RATEIOS!$A$2:$A$3142,$A408,RATEIOS!$D$2:$D$3142,"&lt;&gt;")&gt;0,"NÃO CLASSIFICADO","RATEIO OK"))))</f>
        <v>RATEIO OK</v>
      </c>
      <c r="R408" s="49" t="s">
        <v>2553</v>
      </c>
      <c r="S408" s="14" t="s">
        <v>2993</v>
      </c>
    </row>
    <row r="409" spans="1:19" ht="24.95" customHeight="1" x14ac:dyDescent="0.25">
      <c r="A409" s="49" t="s">
        <v>1817</v>
      </c>
      <c r="B409" s="98">
        <v>408</v>
      </c>
      <c r="C409" s="50">
        <v>46135</v>
      </c>
      <c r="D409" s="49">
        <f t="shared" si="12"/>
        <v>4</v>
      </c>
      <c r="E409" s="92" t="s">
        <v>118</v>
      </c>
      <c r="F409" s="49" t="s">
        <v>36</v>
      </c>
      <c r="G409" s="14" t="s">
        <v>218</v>
      </c>
      <c r="H409" s="14" t="s">
        <v>219</v>
      </c>
      <c r="I409" s="76" t="s">
        <v>669</v>
      </c>
      <c r="J409" s="73">
        <v>0</v>
      </c>
      <c r="K409" s="74">
        <v>1212.9100000000001</v>
      </c>
      <c r="L409" s="72">
        <v>0</v>
      </c>
      <c r="M409" s="72">
        <v>0</v>
      </c>
      <c r="N409" s="72">
        <f>IF(AND(C409="",J409=0,K409=0,L409=0,M409=0),"",CADASTROS!$B$4+SUM($J$2:J409)+SUM($M$2:M409)-SUM($K$2:K409)-SUM($L$2:L409))</f>
        <v>162427.67999999993</v>
      </c>
      <c r="O409" s="72">
        <f>IF(A409="","",SUMIF(RATEIOS!$A$2:$A$3142,$A409,RATEIOS!$F$2:$F$3142))</f>
        <v>1212.9100000000001</v>
      </c>
      <c r="P409" s="15">
        <f t="shared" si="13"/>
        <v>0</v>
      </c>
      <c r="Q409" s="49" t="str">
        <f>IF(AND(J409=0,K409=0,L409=0,M409=0),"",IF(O409=0,"PENDENTE DE RATEIO",IF(ABS(P409)&gt;0.005,"DIVERGÊNCIA",IF(COUNTIF(RATEIOS!$A$2:$A$3142,$A409)-COUNTIFS(RATEIOS!$A$2:$A$3142,$A409,RATEIOS!$D$2:$D$3142,"&lt;&gt;")&gt;0,"NÃO CLASSIFICADO","RATEIO OK"))))</f>
        <v>RATEIO OK</v>
      </c>
      <c r="R409" s="49" t="s">
        <v>2553</v>
      </c>
      <c r="S409" s="14"/>
    </row>
    <row r="410" spans="1:19" ht="24.95" customHeight="1" x14ac:dyDescent="0.25">
      <c r="A410" s="49" t="s">
        <v>1818</v>
      </c>
      <c r="B410" s="98">
        <v>409</v>
      </c>
      <c r="C410" s="50">
        <v>46136</v>
      </c>
      <c r="D410" s="49">
        <f t="shared" si="12"/>
        <v>4</v>
      </c>
      <c r="E410" s="92" t="s">
        <v>72</v>
      </c>
      <c r="F410" s="49" t="s">
        <v>36</v>
      </c>
      <c r="G410" s="14" t="s">
        <v>670</v>
      </c>
      <c r="H410" s="14" t="s">
        <v>671</v>
      </c>
      <c r="I410" s="76" t="s">
        <v>672</v>
      </c>
      <c r="J410" s="73">
        <v>0</v>
      </c>
      <c r="K410" s="74">
        <v>72</v>
      </c>
      <c r="L410" s="72">
        <v>0</v>
      </c>
      <c r="M410" s="72">
        <v>0</v>
      </c>
      <c r="N410" s="72">
        <f>IF(AND(C410="",J410=0,K410=0,L410=0,M410=0),"",CADASTROS!$B$4+SUM($J$2:J410)+SUM($M$2:M410)-SUM($K$2:K410)-SUM($L$2:L410))</f>
        <v>162355.67999999993</v>
      </c>
      <c r="O410" s="72">
        <f>IF(A410="","",SUMIF(RATEIOS!$A$2:$A$3142,$A410,RATEIOS!$F$2:$F$3142))</f>
        <v>72</v>
      </c>
      <c r="P410" s="15">
        <f t="shared" si="13"/>
        <v>0</v>
      </c>
      <c r="Q410" s="49" t="str">
        <f>IF(AND(J410=0,K410=0,L410=0,M410=0),"",IF(O410=0,"PENDENTE DE RATEIO",IF(ABS(P410)&gt;0.005,"DIVERGÊNCIA",IF(COUNTIF(RATEIOS!$A$2:$A$3142,$A410)-COUNTIFS(RATEIOS!$A$2:$A$3142,$A410,RATEIOS!$D$2:$D$3142,"&lt;&gt;")&gt;0,"NÃO CLASSIFICADO","RATEIO OK"))))</f>
        <v>RATEIO OK</v>
      </c>
      <c r="R410" s="49" t="s">
        <v>2553</v>
      </c>
      <c r="S410" s="14"/>
    </row>
    <row r="411" spans="1:19" ht="24.95" customHeight="1" x14ac:dyDescent="0.25">
      <c r="A411" s="49" t="s">
        <v>1819</v>
      </c>
      <c r="B411" s="98">
        <v>410</v>
      </c>
      <c r="C411" s="50">
        <v>46136</v>
      </c>
      <c r="D411" s="49">
        <f t="shared" si="12"/>
        <v>4</v>
      </c>
      <c r="E411" s="92" t="s">
        <v>72</v>
      </c>
      <c r="F411" s="49" t="s">
        <v>36</v>
      </c>
      <c r="G411" s="14" t="s">
        <v>673</v>
      </c>
      <c r="H411" s="14" t="s">
        <v>626</v>
      </c>
      <c r="I411" s="76" t="s">
        <v>627</v>
      </c>
      <c r="J411" s="73">
        <v>0</v>
      </c>
      <c r="K411" s="74">
        <v>1050</v>
      </c>
      <c r="L411" s="72">
        <v>0</v>
      </c>
      <c r="M411" s="72">
        <v>0</v>
      </c>
      <c r="N411" s="72">
        <f>IF(AND(C411="",J411=0,K411=0,L411=0,M411=0),"",CADASTROS!$B$4+SUM($J$2:J411)+SUM($M$2:M411)-SUM($K$2:K411)-SUM($L$2:L411))</f>
        <v>161305.67999999993</v>
      </c>
      <c r="O411" s="72">
        <f>IF(A411="","",SUMIF(RATEIOS!$A$2:$A$3142,$A411,RATEIOS!$F$2:$F$3142))</f>
        <v>1050</v>
      </c>
      <c r="P411" s="15">
        <f t="shared" si="13"/>
        <v>0</v>
      </c>
      <c r="Q411" s="49" t="str">
        <f>IF(AND(J411=0,K411=0,L411=0,M411=0),"",IF(O411=0,"PENDENTE DE RATEIO",IF(ABS(P411)&gt;0.005,"DIVERGÊNCIA",IF(COUNTIF(RATEIOS!$A$2:$A$3142,$A411)-COUNTIFS(RATEIOS!$A$2:$A$3142,$A411,RATEIOS!$D$2:$D$3142,"&lt;&gt;")&gt;0,"NÃO CLASSIFICADO","RATEIO OK"))))</f>
        <v>RATEIO OK</v>
      </c>
      <c r="R411" s="49" t="s">
        <v>2553</v>
      </c>
      <c r="S411" s="14" t="s">
        <v>628</v>
      </c>
    </row>
    <row r="412" spans="1:19" ht="24.95" customHeight="1" x14ac:dyDescent="0.25">
      <c r="A412" s="49" t="s">
        <v>1820</v>
      </c>
      <c r="B412" s="98">
        <v>411</v>
      </c>
      <c r="C412" s="50">
        <v>46136</v>
      </c>
      <c r="D412" s="49">
        <f t="shared" si="12"/>
        <v>4</v>
      </c>
      <c r="E412" s="92" t="s">
        <v>169</v>
      </c>
      <c r="F412" s="49" t="s">
        <v>36</v>
      </c>
      <c r="G412" s="14" t="s">
        <v>2810</v>
      </c>
      <c r="H412" s="14" t="s">
        <v>179</v>
      </c>
      <c r="I412" s="76" t="s">
        <v>412</v>
      </c>
      <c r="J412" s="73">
        <v>0</v>
      </c>
      <c r="K412" s="74">
        <v>6707.31</v>
      </c>
      <c r="L412" s="72">
        <v>0</v>
      </c>
      <c r="M412" s="72">
        <v>0</v>
      </c>
      <c r="N412" s="72">
        <f>IF(AND(C412="",J412=0,K412=0,L412=0,M412=0),"",CADASTROS!$B$4+SUM($J$2:J412)+SUM($M$2:M412)-SUM($K$2:K412)-SUM($L$2:L412))</f>
        <v>154598.36999999988</v>
      </c>
      <c r="O412" s="72">
        <f>IF(A412="","",SUMIF(RATEIOS!$A$2:$A$3142,$A412,RATEIOS!$F$2:$F$3142))</f>
        <v>6707.31</v>
      </c>
      <c r="P412" s="15">
        <f t="shared" si="13"/>
        <v>0</v>
      </c>
      <c r="Q412" s="49" t="str">
        <f>IF(AND(J412=0,K412=0,L412=0,M412=0),"",IF(O412=0,"PENDENTE DE RATEIO",IF(ABS(P412)&gt;0.005,"DIVERGÊNCIA",IF(COUNTIF(RATEIOS!$A$2:$A$3142,$A412)-COUNTIFS(RATEIOS!$A$2:$A$3142,$A412,RATEIOS!$D$2:$D$3142,"&lt;&gt;")&gt;0,"NÃO CLASSIFICADO","RATEIO OK"))))</f>
        <v>RATEIO OK</v>
      </c>
      <c r="R412" s="49" t="s">
        <v>2553</v>
      </c>
      <c r="S412" s="14"/>
    </row>
    <row r="413" spans="1:19" ht="24.95" customHeight="1" x14ac:dyDescent="0.25">
      <c r="A413" s="49" t="s">
        <v>1821</v>
      </c>
      <c r="B413" s="98">
        <v>412</v>
      </c>
      <c r="C413" s="50">
        <v>46136</v>
      </c>
      <c r="D413" s="49">
        <f t="shared" si="12"/>
        <v>4</v>
      </c>
      <c r="E413" s="92" t="s">
        <v>169</v>
      </c>
      <c r="F413" s="49" t="s">
        <v>36</v>
      </c>
      <c r="G413" s="14" t="s">
        <v>2813</v>
      </c>
      <c r="H413" s="14" t="s">
        <v>180</v>
      </c>
      <c r="I413" s="76" t="s">
        <v>412</v>
      </c>
      <c r="J413" s="73">
        <v>0</v>
      </c>
      <c r="K413" s="74">
        <v>30956.81</v>
      </c>
      <c r="L413" s="72">
        <v>0</v>
      </c>
      <c r="M413" s="72">
        <v>0</v>
      </c>
      <c r="N413" s="72">
        <f>IF(AND(C413="",J413=0,K413=0,L413=0,M413=0),"",CADASTROS!$B$4+SUM($J$2:J413)+SUM($M$2:M413)-SUM($K$2:K413)-SUM($L$2:L413))</f>
        <v>123641.55999999982</v>
      </c>
      <c r="O413" s="72">
        <f>IF(A413="","",SUMIF(RATEIOS!$A$2:$A$3142,$A413,RATEIOS!$F$2:$F$3142))</f>
        <v>30956.81</v>
      </c>
      <c r="P413" s="15">
        <f t="shared" si="13"/>
        <v>0</v>
      </c>
      <c r="Q413" s="49" t="str">
        <f>IF(AND(J413=0,K413=0,L413=0,M413=0),"",IF(O413=0,"PENDENTE DE RATEIO",IF(ABS(P413)&gt;0.005,"DIVERGÊNCIA",IF(COUNTIF(RATEIOS!$A$2:$A$3142,$A413)-COUNTIFS(RATEIOS!$A$2:$A$3142,$A413,RATEIOS!$D$2:$D$3142,"&lt;&gt;")&gt;0,"NÃO CLASSIFICADO","RATEIO OK"))))</f>
        <v>RATEIO OK</v>
      </c>
      <c r="R413" s="49" t="s">
        <v>2553</v>
      </c>
      <c r="S413" s="14"/>
    </row>
    <row r="414" spans="1:19" ht="24.95" customHeight="1" x14ac:dyDescent="0.25">
      <c r="A414" s="49" t="s">
        <v>1822</v>
      </c>
      <c r="B414" s="98">
        <v>413</v>
      </c>
      <c r="C414" s="50">
        <v>46139</v>
      </c>
      <c r="D414" s="49">
        <f t="shared" si="12"/>
        <v>4</v>
      </c>
      <c r="E414" s="92" t="s">
        <v>287</v>
      </c>
      <c r="F414" s="49" t="s">
        <v>36</v>
      </c>
      <c r="G414" s="14" t="s">
        <v>674</v>
      </c>
      <c r="H414" s="14" t="s">
        <v>467</v>
      </c>
      <c r="I414" s="76" t="s">
        <v>675</v>
      </c>
      <c r="J414" s="73">
        <v>0</v>
      </c>
      <c r="K414" s="74">
        <v>10002.629999999999</v>
      </c>
      <c r="L414" s="72">
        <v>0</v>
      </c>
      <c r="M414" s="72">
        <v>0</v>
      </c>
      <c r="N414" s="72">
        <f>IF(AND(C414="",J414=0,K414=0,L414=0,M414=0),"",CADASTROS!$B$4+SUM($J$2:J414)+SUM($M$2:M414)-SUM($K$2:K414)-SUM($L$2:L414))</f>
        <v>113638.92999999993</v>
      </c>
      <c r="O414" s="72">
        <f>IF(A414="","",SUMIF(RATEIOS!$A$2:$A$3142,$A414,RATEIOS!$F$2:$F$3142))</f>
        <v>10002.629999999999</v>
      </c>
      <c r="P414" s="15">
        <f t="shared" si="13"/>
        <v>0</v>
      </c>
      <c r="Q414" s="49" t="str">
        <f>IF(AND(J414=0,K414=0,L414=0,M414=0),"",IF(O414=0,"PENDENTE DE RATEIO",IF(ABS(P414)&gt;0.005,"DIVERGÊNCIA",IF(COUNTIF(RATEIOS!$A$2:$A$3142,$A414)-COUNTIFS(RATEIOS!$A$2:$A$3142,$A414,RATEIOS!$D$2:$D$3142,"&lt;&gt;")&gt;0,"NÃO CLASSIFICADO","RATEIO OK"))))</f>
        <v>RATEIO OK</v>
      </c>
      <c r="R414" s="49" t="s">
        <v>2553</v>
      </c>
      <c r="S414" s="14"/>
    </row>
    <row r="415" spans="1:19" ht="24.95" customHeight="1" x14ac:dyDescent="0.25">
      <c r="A415" s="49" t="s">
        <v>1823</v>
      </c>
      <c r="B415" s="98">
        <v>414</v>
      </c>
      <c r="C415" s="50">
        <v>46139</v>
      </c>
      <c r="D415" s="49">
        <f t="shared" si="12"/>
        <v>4</v>
      </c>
      <c r="E415" s="92" t="s">
        <v>72</v>
      </c>
      <c r="F415" s="49" t="s">
        <v>36</v>
      </c>
      <c r="G415" s="14" t="s">
        <v>676</v>
      </c>
      <c r="H415" s="14" t="s">
        <v>74</v>
      </c>
      <c r="I415" s="76" t="s">
        <v>677</v>
      </c>
      <c r="J415" s="73">
        <v>0</v>
      </c>
      <c r="K415" s="74">
        <v>157.80000000000001</v>
      </c>
      <c r="L415" s="72">
        <v>0</v>
      </c>
      <c r="M415" s="72">
        <v>0</v>
      </c>
      <c r="N415" s="72">
        <f>IF(AND(C415="",J415=0,K415=0,L415=0,M415=0),"",CADASTROS!$B$4+SUM($J$2:J415)+SUM($M$2:M415)-SUM($K$2:K415)-SUM($L$2:L415))</f>
        <v>113481.12999999989</v>
      </c>
      <c r="O415" s="72">
        <f>IF(A415="","",SUMIF(RATEIOS!$A$2:$A$3142,$A415,RATEIOS!$F$2:$F$3142))</f>
        <v>157.80000000000001</v>
      </c>
      <c r="P415" s="15">
        <f t="shared" si="13"/>
        <v>0</v>
      </c>
      <c r="Q415" s="49" t="str">
        <f>IF(AND(J415=0,K415=0,L415=0,M415=0),"",IF(O415=0,"PENDENTE DE RATEIO",IF(ABS(P415)&gt;0.005,"DIVERGÊNCIA",IF(COUNTIF(RATEIOS!$A$2:$A$3142,$A415)-COUNTIFS(RATEIOS!$A$2:$A$3142,$A415,RATEIOS!$D$2:$D$3142,"&lt;&gt;")&gt;0,"NÃO CLASSIFICADO","RATEIO OK"))))</f>
        <v>RATEIO OK</v>
      </c>
      <c r="R415" s="49" t="s">
        <v>2553</v>
      </c>
      <c r="S415" s="14"/>
    </row>
    <row r="416" spans="1:19" ht="24.95" customHeight="1" x14ac:dyDescent="0.25">
      <c r="A416" s="49" t="s">
        <v>1824</v>
      </c>
      <c r="B416" s="98">
        <v>415</v>
      </c>
      <c r="C416" s="50">
        <v>46139</v>
      </c>
      <c r="D416" s="49">
        <f t="shared" si="12"/>
        <v>4</v>
      </c>
      <c r="E416" s="92" t="s">
        <v>118</v>
      </c>
      <c r="F416" s="49" t="s">
        <v>36</v>
      </c>
      <c r="G416" s="14" t="s">
        <v>678</v>
      </c>
      <c r="H416" s="14" t="s">
        <v>679</v>
      </c>
      <c r="I416" s="76" t="s">
        <v>412</v>
      </c>
      <c r="J416" s="73">
        <v>0</v>
      </c>
      <c r="K416" s="74">
        <v>400</v>
      </c>
      <c r="L416" s="72">
        <v>0</v>
      </c>
      <c r="M416" s="72">
        <v>0</v>
      </c>
      <c r="N416" s="72">
        <f>IF(AND(C416="",J416=0,K416=0,L416=0,M416=0),"",CADASTROS!$B$4+SUM($J$2:J416)+SUM($M$2:M416)-SUM($K$2:K416)-SUM($L$2:L416))</f>
        <v>113081.12999999989</v>
      </c>
      <c r="O416" s="72">
        <f>IF(A416="","",SUMIF(RATEIOS!$A$2:$A$3142,$A416,RATEIOS!$F$2:$F$3142))</f>
        <v>400</v>
      </c>
      <c r="P416" s="15">
        <f t="shared" si="13"/>
        <v>0</v>
      </c>
      <c r="Q416" s="49" t="str">
        <f>IF(AND(J416=0,K416=0,L416=0,M416=0),"",IF(O416=0,"PENDENTE DE RATEIO",IF(ABS(P416)&gt;0.005,"DIVERGÊNCIA",IF(COUNTIF(RATEIOS!$A$2:$A$3142,$A416)-COUNTIFS(RATEIOS!$A$2:$A$3142,$A416,RATEIOS!$D$2:$D$3142,"&lt;&gt;")&gt;0,"NÃO CLASSIFICADO","RATEIO OK"))))</f>
        <v>RATEIO OK</v>
      </c>
      <c r="R416" s="49" t="s">
        <v>2553</v>
      </c>
      <c r="S416" s="14"/>
    </row>
    <row r="417" spans="1:19" ht="24.95" customHeight="1" x14ac:dyDescent="0.25">
      <c r="A417" s="49" t="s">
        <v>1825</v>
      </c>
      <c r="B417" s="98">
        <v>416</v>
      </c>
      <c r="C417" s="50">
        <v>46139</v>
      </c>
      <c r="D417" s="49">
        <f t="shared" si="12"/>
        <v>4</v>
      </c>
      <c r="E417" s="92" t="s">
        <v>118</v>
      </c>
      <c r="F417" s="49" t="s">
        <v>36</v>
      </c>
      <c r="G417" s="14" t="s">
        <v>403</v>
      </c>
      <c r="H417" s="14" t="s">
        <v>404</v>
      </c>
      <c r="I417" s="76" t="s">
        <v>680</v>
      </c>
      <c r="J417" s="73">
        <v>0</v>
      </c>
      <c r="K417" s="74">
        <v>294.54000000000002</v>
      </c>
      <c r="L417" s="72">
        <v>0</v>
      </c>
      <c r="M417" s="72">
        <v>0</v>
      </c>
      <c r="N417" s="72">
        <f>IF(AND(C417="",J417=0,K417=0,L417=0,M417=0),"",CADASTROS!$B$4+SUM($J$2:J417)+SUM($M$2:M417)-SUM($K$2:K417)-SUM($L$2:L417))</f>
        <v>112786.58999999985</v>
      </c>
      <c r="O417" s="72">
        <f>IF(A417="","",SUMIF(RATEIOS!$A$2:$A$3142,$A417,RATEIOS!$F$2:$F$3142))</f>
        <v>294.54000000000002</v>
      </c>
      <c r="P417" s="15">
        <f t="shared" si="13"/>
        <v>0</v>
      </c>
      <c r="Q417" s="49" t="str">
        <f>IF(AND(J417=0,K417=0,L417=0,M417=0),"",IF(O417=0,"PENDENTE DE RATEIO",IF(ABS(P417)&gt;0.005,"DIVERGÊNCIA",IF(COUNTIF(RATEIOS!$A$2:$A$3142,$A417)-COUNTIFS(RATEIOS!$A$2:$A$3142,$A417,RATEIOS!$D$2:$D$3142,"&lt;&gt;")&gt;0,"NÃO CLASSIFICADO","RATEIO OK"))))</f>
        <v>RATEIO OK</v>
      </c>
      <c r="R417" s="49" t="s">
        <v>2553</v>
      </c>
      <c r="S417" s="14"/>
    </row>
    <row r="418" spans="1:19" ht="24.95" customHeight="1" x14ac:dyDescent="0.25">
      <c r="A418" s="49" t="s">
        <v>1826</v>
      </c>
      <c r="B418" s="98">
        <v>417</v>
      </c>
      <c r="C418" s="50">
        <v>46139</v>
      </c>
      <c r="D418" s="49">
        <f t="shared" si="12"/>
        <v>4</v>
      </c>
      <c r="E418" s="92" t="s">
        <v>118</v>
      </c>
      <c r="F418" s="49" t="s">
        <v>36</v>
      </c>
      <c r="G418" s="14" t="s">
        <v>323</v>
      </c>
      <c r="H418" s="14" t="s">
        <v>185</v>
      </c>
      <c r="I418" s="76" t="s">
        <v>560</v>
      </c>
      <c r="J418" s="73">
        <v>0</v>
      </c>
      <c r="K418" s="74">
        <v>1495</v>
      </c>
      <c r="L418" s="72">
        <v>0</v>
      </c>
      <c r="M418" s="72">
        <v>0</v>
      </c>
      <c r="N418" s="72">
        <f>IF(AND(C418="",J418=0,K418=0,L418=0,M418=0),"",CADASTROS!$B$4+SUM($J$2:J418)+SUM($M$2:M418)-SUM($K$2:K418)-SUM($L$2:L418))</f>
        <v>111291.58999999985</v>
      </c>
      <c r="O418" s="72">
        <f>IF(A418="","",SUMIF(RATEIOS!$A$2:$A$3142,$A418,RATEIOS!$F$2:$F$3142))</f>
        <v>1495</v>
      </c>
      <c r="P418" s="15">
        <f t="shared" si="13"/>
        <v>0</v>
      </c>
      <c r="Q418" s="49" t="str">
        <f>IF(AND(J418=0,K418=0,L418=0,M418=0),"",IF(O418=0,"PENDENTE DE RATEIO",IF(ABS(P418)&gt;0.005,"DIVERGÊNCIA",IF(COUNTIF(RATEIOS!$A$2:$A$3142,$A418)-COUNTIFS(RATEIOS!$A$2:$A$3142,$A418,RATEIOS!$D$2:$D$3142,"&lt;&gt;")&gt;0,"NÃO CLASSIFICADO","RATEIO OK"))))</f>
        <v>RATEIO OK</v>
      </c>
      <c r="R418" s="49" t="s">
        <v>2553</v>
      </c>
      <c r="S418" s="14"/>
    </row>
    <row r="419" spans="1:19" ht="24.95" customHeight="1" x14ac:dyDescent="0.25">
      <c r="A419" s="49" t="s">
        <v>1827</v>
      </c>
      <c r="B419" s="98">
        <v>418</v>
      </c>
      <c r="C419" s="50">
        <v>46140</v>
      </c>
      <c r="D419" s="49">
        <f t="shared" si="12"/>
        <v>4</v>
      </c>
      <c r="E419" s="92" t="s">
        <v>118</v>
      </c>
      <c r="F419" s="49" t="s">
        <v>36</v>
      </c>
      <c r="G419" s="14" t="s">
        <v>681</v>
      </c>
      <c r="H419" s="14" t="s">
        <v>143</v>
      </c>
      <c r="I419" s="76" t="s">
        <v>682</v>
      </c>
      <c r="J419" s="73">
        <v>0</v>
      </c>
      <c r="K419" s="74">
        <v>3600</v>
      </c>
      <c r="L419" s="72">
        <v>0</v>
      </c>
      <c r="M419" s="72">
        <v>0</v>
      </c>
      <c r="N419" s="72">
        <f>IF(AND(C419="",J419=0,K419=0,L419=0,M419=0),"",CADASTROS!$B$4+SUM($J$2:J419)+SUM($M$2:M419)-SUM($K$2:K419)-SUM($L$2:L419))</f>
        <v>107691.58999999985</v>
      </c>
      <c r="O419" s="72">
        <f>IF(A419="","",SUMIF(RATEIOS!$A$2:$A$3142,$A419,RATEIOS!$F$2:$F$3142))</f>
        <v>3600</v>
      </c>
      <c r="P419" s="15">
        <f t="shared" si="13"/>
        <v>0</v>
      </c>
      <c r="Q419" s="49" t="str">
        <f>IF(AND(J419=0,K419=0,L419=0,M419=0),"",IF(O419=0,"PENDENTE DE RATEIO",IF(ABS(P419)&gt;0.005,"DIVERGÊNCIA",IF(COUNTIF(RATEIOS!$A$2:$A$3142,$A419)-COUNTIFS(RATEIOS!$A$2:$A$3142,$A419,RATEIOS!$D$2:$D$3142,"&lt;&gt;")&gt;0,"NÃO CLASSIFICADO","RATEIO OK"))))</f>
        <v>RATEIO OK</v>
      </c>
      <c r="R419" s="49" t="s">
        <v>2553</v>
      </c>
      <c r="S419" s="14"/>
    </row>
    <row r="420" spans="1:19" ht="24.95" customHeight="1" x14ac:dyDescent="0.25">
      <c r="A420" s="49" t="s">
        <v>1828</v>
      </c>
      <c r="B420" s="98">
        <v>419</v>
      </c>
      <c r="C420" s="50">
        <v>46141</v>
      </c>
      <c r="D420" s="49">
        <f t="shared" si="12"/>
        <v>4</v>
      </c>
      <c r="E420" s="92" t="s">
        <v>118</v>
      </c>
      <c r="F420" s="49" t="s">
        <v>36</v>
      </c>
      <c r="G420" s="14" t="s">
        <v>254</v>
      </c>
      <c r="H420" s="14" t="s">
        <v>255</v>
      </c>
      <c r="I420" s="76" t="s">
        <v>683</v>
      </c>
      <c r="J420" s="73">
        <v>0</v>
      </c>
      <c r="K420" s="74">
        <v>2938.4</v>
      </c>
      <c r="L420" s="72">
        <v>0</v>
      </c>
      <c r="M420" s="72">
        <v>0</v>
      </c>
      <c r="N420" s="72">
        <f>IF(AND(C420="",J420=0,K420=0,L420=0,M420=0),"",CADASTROS!$B$4+SUM($J$2:J420)+SUM($M$2:M420)-SUM($K$2:K420)-SUM($L$2:L420))</f>
        <v>104753.18999999994</v>
      </c>
      <c r="O420" s="72">
        <f>IF(A420="","",SUMIF(RATEIOS!$A$2:$A$3142,$A420,RATEIOS!$F$2:$F$3142))</f>
        <v>2938.4</v>
      </c>
      <c r="P420" s="15">
        <f t="shared" si="13"/>
        <v>0</v>
      </c>
      <c r="Q420" s="49" t="str">
        <f>IF(AND(J420=0,K420=0,L420=0,M420=0),"",IF(O420=0,"PENDENTE DE RATEIO",IF(ABS(P420)&gt;0.005,"DIVERGÊNCIA",IF(COUNTIF(RATEIOS!$A$2:$A$3142,$A420)-COUNTIFS(RATEIOS!$A$2:$A$3142,$A420,RATEIOS!$D$2:$D$3142,"&lt;&gt;")&gt;0,"NÃO CLASSIFICADO","RATEIO OK"))))</f>
        <v>RATEIO OK</v>
      </c>
      <c r="R420" s="49" t="s">
        <v>2553</v>
      </c>
      <c r="S420" s="14"/>
    </row>
    <row r="421" spans="1:19" ht="24.95" customHeight="1" x14ac:dyDescent="0.25">
      <c r="A421" s="49" t="s">
        <v>1829</v>
      </c>
      <c r="B421" s="98">
        <v>420</v>
      </c>
      <c r="C421" s="50">
        <v>46142</v>
      </c>
      <c r="D421" s="49">
        <f t="shared" si="12"/>
        <v>4</v>
      </c>
      <c r="E421" s="92" t="s">
        <v>169</v>
      </c>
      <c r="F421" s="49" t="s">
        <v>36</v>
      </c>
      <c r="G421" s="14" t="s">
        <v>684</v>
      </c>
      <c r="H421" s="14" t="s">
        <v>215</v>
      </c>
      <c r="I421" s="76" t="s">
        <v>412</v>
      </c>
      <c r="J421" s="73">
        <v>0</v>
      </c>
      <c r="K421" s="74">
        <v>2450.0300000000002</v>
      </c>
      <c r="L421" s="72">
        <v>0</v>
      </c>
      <c r="M421" s="72">
        <v>0</v>
      </c>
      <c r="N421" s="72">
        <f>IF(AND(C421="",J421=0,K421=0,L421=0,M421=0),"",CADASTROS!$B$4+SUM($J$2:J421)+SUM($M$2:M421)-SUM($K$2:K421)-SUM($L$2:L421))</f>
        <v>102303.15999999992</v>
      </c>
      <c r="O421" s="72">
        <f>IF(A421="","",SUMIF(RATEIOS!$A$2:$A$3142,$A421,RATEIOS!$F$2:$F$3142))</f>
        <v>2450.0300000000002</v>
      </c>
      <c r="P421" s="15">
        <f t="shared" si="13"/>
        <v>0</v>
      </c>
      <c r="Q421" s="49" t="str">
        <f>IF(AND(J421=0,K421=0,L421=0,M421=0),"",IF(O421=0,"PENDENTE DE RATEIO",IF(ABS(P421)&gt;0.005,"DIVERGÊNCIA",IF(COUNTIF(RATEIOS!$A$2:$A$3142,$A421)-COUNTIFS(RATEIOS!$A$2:$A$3142,$A421,RATEIOS!$D$2:$D$3142,"&lt;&gt;")&gt;0,"NÃO CLASSIFICADO","RATEIO OK"))))</f>
        <v>RATEIO OK</v>
      </c>
      <c r="R421" s="49" t="s">
        <v>2553</v>
      </c>
      <c r="S421" s="14"/>
    </row>
    <row r="422" spans="1:19" ht="24.95" customHeight="1" x14ac:dyDescent="0.25">
      <c r="A422" s="49" t="s">
        <v>1830</v>
      </c>
      <c r="B422" s="98">
        <v>421</v>
      </c>
      <c r="C422" s="50">
        <v>46142</v>
      </c>
      <c r="D422" s="49">
        <f t="shared" si="12"/>
        <v>4</v>
      </c>
      <c r="E422" s="92" t="s">
        <v>169</v>
      </c>
      <c r="F422" s="49" t="s">
        <v>36</v>
      </c>
      <c r="G422" s="14" t="s">
        <v>685</v>
      </c>
      <c r="H422" s="14" t="s">
        <v>217</v>
      </c>
      <c r="I422" s="76" t="s">
        <v>412</v>
      </c>
      <c r="J422" s="73">
        <v>0</v>
      </c>
      <c r="K422" s="74">
        <v>11820.16</v>
      </c>
      <c r="L422" s="72">
        <v>0</v>
      </c>
      <c r="M422" s="72">
        <v>0</v>
      </c>
      <c r="N422" s="72">
        <f>IF(AND(C422="",J422=0,K422=0,L422=0,M422=0),"",CADASTROS!$B$4+SUM($J$2:J422)+SUM($M$2:M422)-SUM($K$2:K422)-SUM($L$2:L422))</f>
        <v>90483</v>
      </c>
      <c r="O422" s="72">
        <f>IF(A422="","",SUMIF(RATEIOS!$A$2:$A$3142,$A422,RATEIOS!$F$2:$F$3142))</f>
        <v>11820.16</v>
      </c>
      <c r="P422" s="15">
        <f t="shared" si="13"/>
        <v>0</v>
      </c>
      <c r="Q422" s="49" t="str">
        <f>IF(AND(J422=0,K422=0,L422=0,M422=0),"",IF(O422=0,"PENDENTE DE RATEIO",IF(ABS(P422)&gt;0.005,"DIVERGÊNCIA",IF(COUNTIF(RATEIOS!$A$2:$A$3142,$A422)-COUNTIFS(RATEIOS!$A$2:$A$3142,$A422,RATEIOS!$D$2:$D$3142,"&lt;&gt;")&gt;0,"NÃO CLASSIFICADO","RATEIO OK"))))</f>
        <v>RATEIO OK</v>
      </c>
      <c r="R422" s="49" t="s">
        <v>2553</v>
      </c>
      <c r="S422" s="14"/>
    </row>
    <row r="423" spans="1:19" ht="24.95" customHeight="1" x14ac:dyDescent="0.25">
      <c r="A423" s="49" t="s">
        <v>1831</v>
      </c>
      <c r="B423" s="98">
        <v>422</v>
      </c>
      <c r="C423" s="50">
        <v>46142</v>
      </c>
      <c r="D423" s="49">
        <f t="shared" si="12"/>
        <v>4</v>
      </c>
      <c r="E423" s="92" t="s">
        <v>118</v>
      </c>
      <c r="F423" s="49" t="s">
        <v>36</v>
      </c>
      <c r="G423" s="14" t="s">
        <v>686</v>
      </c>
      <c r="H423" s="14" t="s">
        <v>143</v>
      </c>
      <c r="I423" s="76" t="s">
        <v>226</v>
      </c>
      <c r="J423" s="73">
        <v>0</v>
      </c>
      <c r="K423" s="74">
        <v>9331.84</v>
      </c>
      <c r="L423" s="72">
        <v>0</v>
      </c>
      <c r="M423" s="72">
        <v>0</v>
      </c>
      <c r="N423" s="72">
        <f>IF(AND(C423="",J423=0,K423=0,L423=0,M423=0),"",CADASTROS!$B$4+SUM($J$2:J423)+SUM($M$2:M423)-SUM($K$2:K423)-SUM($L$2:L423))</f>
        <v>81151.159999999916</v>
      </c>
      <c r="O423" s="72">
        <f>IF(A423="","",SUMIF(RATEIOS!$A$2:$A$3142,$A423,RATEIOS!$F$2:$F$3142))</f>
        <v>9331.84</v>
      </c>
      <c r="P423" s="15">
        <f t="shared" si="13"/>
        <v>0</v>
      </c>
      <c r="Q423" s="49" t="str">
        <f>IF(AND(J423=0,K423=0,L423=0,M423=0),"",IF(O423=0,"PENDENTE DE RATEIO",IF(ABS(P423)&gt;0.005,"DIVERGÊNCIA",IF(COUNTIF(RATEIOS!$A$2:$A$3142,$A423)-COUNTIFS(RATEIOS!$A$2:$A$3142,$A423,RATEIOS!$D$2:$D$3142,"&lt;&gt;")&gt;0,"NÃO CLASSIFICADO","RATEIO OK"))))</f>
        <v>RATEIO OK</v>
      </c>
      <c r="R423" s="49" t="s">
        <v>2553</v>
      </c>
      <c r="S423" s="14"/>
    </row>
    <row r="424" spans="1:19" ht="24.95" customHeight="1" x14ac:dyDescent="0.25">
      <c r="A424" s="49" t="s">
        <v>1832</v>
      </c>
      <c r="B424" s="98">
        <v>423</v>
      </c>
      <c r="C424" s="50">
        <v>46142</v>
      </c>
      <c r="D424" s="49">
        <f t="shared" si="12"/>
        <v>4</v>
      </c>
      <c r="E424" s="92" t="s">
        <v>118</v>
      </c>
      <c r="F424" s="49" t="s">
        <v>36</v>
      </c>
      <c r="G424" s="14" t="s">
        <v>687</v>
      </c>
      <c r="H424" s="14" t="s">
        <v>143</v>
      </c>
      <c r="I424" s="76" t="s">
        <v>224</v>
      </c>
      <c r="J424" s="73">
        <v>0</v>
      </c>
      <c r="K424" s="74">
        <v>48992.160000000003</v>
      </c>
      <c r="L424" s="72">
        <v>0</v>
      </c>
      <c r="M424" s="72">
        <v>0</v>
      </c>
      <c r="N424" s="72">
        <f>IF(AND(C424="",J424=0,K424=0,L424=0,M424=0),"",CADASTROS!$B$4+SUM($J$2:J424)+SUM($M$2:M424)-SUM($K$2:K424)-SUM($L$2:L424))</f>
        <v>32159</v>
      </c>
      <c r="O424" s="72">
        <f>IF(A424="","",SUMIF(RATEIOS!$A$2:$A$3142,$A424,RATEIOS!$F$2:$F$3142))</f>
        <v>48992.160000000003</v>
      </c>
      <c r="P424" s="15">
        <f t="shared" si="13"/>
        <v>0</v>
      </c>
      <c r="Q424" s="49" t="str">
        <f>IF(AND(J424=0,K424=0,L424=0,M424=0),"",IF(O424=0,"PENDENTE DE RATEIO",IF(ABS(P424)&gt;0.005,"DIVERGÊNCIA",IF(COUNTIF(RATEIOS!$A$2:$A$3142,$A424)-COUNTIFS(RATEIOS!$A$2:$A$3142,$A424,RATEIOS!$D$2:$D$3142,"&lt;&gt;")&gt;0,"NÃO CLASSIFICADO","RATEIO OK"))))</f>
        <v>RATEIO OK</v>
      </c>
      <c r="R424" s="49" t="s">
        <v>2553</v>
      </c>
      <c r="S424" s="14"/>
    </row>
    <row r="425" spans="1:19" ht="24.95" customHeight="1" x14ac:dyDescent="0.25">
      <c r="A425" s="49" t="s">
        <v>1833</v>
      </c>
      <c r="B425" s="98">
        <v>424</v>
      </c>
      <c r="C425" s="50">
        <v>46142</v>
      </c>
      <c r="D425" s="49">
        <f t="shared" si="12"/>
        <v>4</v>
      </c>
      <c r="E425" s="92" t="s">
        <v>118</v>
      </c>
      <c r="F425" s="49" t="s">
        <v>36</v>
      </c>
      <c r="G425" s="14" t="s">
        <v>688</v>
      </c>
      <c r="H425" s="14" t="s">
        <v>618</v>
      </c>
      <c r="I425" s="76" t="s">
        <v>619</v>
      </c>
      <c r="J425" s="73">
        <v>0</v>
      </c>
      <c r="K425" s="74">
        <v>7250</v>
      </c>
      <c r="L425" s="72">
        <v>0</v>
      </c>
      <c r="M425" s="72">
        <v>0</v>
      </c>
      <c r="N425" s="72">
        <f>IF(AND(C425="",J425=0,K425=0,L425=0,M425=0),"",CADASTROS!$B$4+SUM($J$2:J425)+SUM($M$2:M425)-SUM($K$2:K425)-SUM($L$2:L425))</f>
        <v>24909</v>
      </c>
      <c r="O425" s="72">
        <f>IF(A425="","",SUMIF(RATEIOS!$A$2:$A$3142,$A425,RATEIOS!$F$2:$F$3142))</f>
        <v>7250</v>
      </c>
      <c r="P425" s="15">
        <f t="shared" si="13"/>
        <v>0</v>
      </c>
      <c r="Q425" s="49" t="str">
        <f>IF(AND(J425=0,K425=0,L425=0,M425=0),"",IF(O425=0,"PENDENTE DE RATEIO",IF(ABS(P425)&gt;0.005,"DIVERGÊNCIA",IF(COUNTIF(RATEIOS!$A$2:$A$3142,$A425)-COUNTIFS(RATEIOS!$A$2:$A$3142,$A425,RATEIOS!$D$2:$D$3142,"&lt;&gt;")&gt;0,"NÃO CLASSIFICADO","RATEIO OK"))))</f>
        <v>RATEIO OK</v>
      </c>
      <c r="R425" s="49" t="s">
        <v>2553</v>
      </c>
      <c r="S425" s="14"/>
    </row>
    <row r="426" spans="1:19" ht="24.95" customHeight="1" x14ac:dyDescent="0.25">
      <c r="A426" s="49" t="s">
        <v>1834</v>
      </c>
      <c r="B426" s="98">
        <v>425</v>
      </c>
      <c r="C426" s="50">
        <v>46146</v>
      </c>
      <c r="D426" s="49">
        <f t="shared" si="12"/>
        <v>5</v>
      </c>
      <c r="E426" s="92" t="s">
        <v>118</v>
      </c>
      <c r="F426" s="49" t="s">
        <v>36</v>
      </c>
      <c r="G426" s="14" t="s">
        <v>689</v>
      </c>
      <c r="H426" s="14" t="s">
        <v>618</v>
      </c>
      <c r="I426" s="76" t="s">
        <v>690</v>
      </c>
      <c r="J426" s="73">
        <v>0</v>
      </c>
      <c r="K426" s="74">
        <v>7271.66</v>
      </c>
      <c r="L426" s="72">
        <v>0</v>
      </c>
      <c r="M426" s="72">
        <v>0</v>
      </c>
      <c r="N426" s="72">
        <f>IF(AND(C426="",J426=0,K426=0,L426=0,M426=0),"",CADASTROS!$B$4+SUM($J$2:J426)+SUM($M$2:M426)-SUM($K$2:K426)-SUM($L$2:L426))</f>
        <v>17637.340000000084</v>
      </c>
      <c r="O426" s="72">
        <f>IF(A426="","",SUMIF(RATEIOS!$A$2:$A$3142,$A426,RATEIOS!$F$2:$F$3142))</f>
        <v>7271.66</v>
      </c>
      <c r="P426" s="15">
        <f t="shared" si="13"/>
        <v>0</v>
      </c>
      <c r="Q426" s="49" t="str">
        <f>IF(AND(J426=0,K426=0,L426=0,M426=0),"",IF(O426=0,"PENDENTE DE RATEIO",IF(ABS(P426)&gt;0.005,"DIVERGÊNCIA",IF(COUNTIF(RATEIOS!$A$2:$A$3142,$A426)-COUNTIFS(RATEIOS!$A$2:$A$3142,$A426,RATEIOS!$D$2:$D$3142,"&lt;&gt;")&gt;0,"NÃO CLASSIFICADO","RATEIO OK"))))</f>
        <v>RATEIO OK</v>
      </c>
      <c r="R426" s="49" t="s">
        <v>2553</v>
      </c>
      <c r="S426" s="14"/>
    </row>
    <row r="427" spans="1:19" ht="24.95" customHeight="1" x14ac:dyDescent="0.25">
      <c r="A427" s="49" t="s">
        <v>1835</v>
      </c>
      <c r="B427" s="98">
        <v>426</v>
      </c>
      <c r="C427" s="50">
        <v>46146</v>
      </c>
      <c r="D427" s="49">
        <f t="shared" si="12"/>
        <v>5</v>
      </c>
      <c r="E427" s="92" t="s">
        <v>118</v>
      </c>
      <c r="F427" s="49" t="s">
        <v>36</v>
      </c>
      <c r="G427" s="14" t="s">
        <v>691</v>
      </c>
      <c r="H427" s="14" t="s">
        <v>59</v>
      </c>
      <c r="I427" s="76" t="s">
        <v>692</v>
      </c>
      <c r="J427" s="73">
        <v>0</v>
      </c>
      <c r="K427" s="74">
        <v>2096</v>
      </c>
      <c r="L427" s="72">
        <v>0</v>
      </c>
      <c r="M427" s="72">
        <v>0</v>
      </c>
      <c r="N427" s="72">
        <f>IF(AND(C427="",J427=0,K427=0,L427=0,M427=0),"",CADASTROS!$B$4+SUM($J$2:J427)+SUM($M$2:M427)-SUM($K$2:K427)-SUM($L$2:L427))</f>
        <v>15541.340000000084</v>
      </c>
      <c r="O427" s="72">
        <f>IF(A427="","",SUMIF(RATEIOS!$A$2:$A$3142,$A427,RATEIOS!$F$2:$F$3142))</f>
        <v>2096</v>
      </c>
      <c r="P427" s="15">
        <f t="shared" si="13"/>
        <v>0</v>
      </c>
      <c r="Q427" s="49" t="str">
        <f>IF(AND(J427=0,K427=0,L427=0,M427=0),"",IF(O427=0,"PENDENTE DE RATEIO",IF(ABS(P427)&gt;0.005,"DIVERGÊNCIA",IF(COUNTIF(RATEIOS!$A$2:$A$3142,$A427)-COUNTIFS(RATEIOS!$A$2:$A$3142,$A427,RATEIOS!$D$2:$D$3142,"&lt;&gt;")&gt;0,"NÃO CLASSIFICADO","RATEIO OK"))))</f>
        <v>RATEIO OK</v>
      </c>
      <c r="R427" s="49" t="s">
        <v>2553</v>
      </c>
      <c r="S427" s="14" t="s">
        <v>693</v>
      </c>
    </row>
    <row r="428" spans="1:19" ht="24.95" customHeight="1" x14ac:dyDescent="0.25">
      <c r="A428" s="49" t="s">
        <v>1836</v>
      </c>
      <c r="B428" s="98">
        <v>427</v>
      </c>
      <c r="C428" s="50">
        <v>46146</v>
      </c>
      <c r="D428" s="49">
        <f t="shared" si="12"/>
        <v>5</v>
      </c>
      <c r="E428" s="92" t="s">
        <v>118</v>
      </c>
      <c r="F428" s="49" t="s">
        <v>36</v>
      </c>
      <c r="G428" s="14" t="s">
        <v>694</v>
      </c>
      <c r="H428" s="14" t="s">
        <v>188</v>
      </c>
      <c r="I428" s="76" t="s">
        <v>577</v>
      </c>
      <c r="J428" s="73">
        <v>0</v>
      </c>
      <c r="K428" s="74">
        <v>1688</v>
      </c>
      <c r="L428" s="72">
        <v>0</v>
      </c>
      <c r="M428" s="72">
        <v>0</v>
      </c>
      <c r="N428" s="72">
        <f>IF(AND(C428="",J428=0,K428=0,L428=0,M428=0),"",CADASTROS!$B$4+SUM($J$2:J428)+SUM($M$2:M428)-SUM($K$2:K428)-SUM($L$2:L428))</f>
        <v>13853.340000000084</v>
      </c>
      <c r="O428" s="72">
        <f>IF(A428="","",SUMIF(RATEIOS!$A$2:$A$3142,$A428,RATEIOS!$F$2:$F$3142))</f>
        <v>1688</v>
      </c>
      <c r="P428" s="15">
        <f t="shared" si="13"/>
        <v>0</v>
      </c>
      <c r="Q428" s="49" t="str">
        <f>IF(AND(J428=0,K428=0,L428=0,M428=0),"",IF(O428=0,"PENDENTE DE RATEIO",IF(ABS(P428)&gt;0.005,"DIVERGÊNCIA",IF(COUNTIF(RATEIOS!$A$2:$A$3142,$A428)-COUNTIFS(RATEIOS!$A$2:$A$3142,$A428,RATEIOS!$D$2:$D$3142,"&lt;&gt;")&gt;0,"NÃO CLASSIFICADO","RATEIO OK"))))</f>
        <v>RATEIO OK</v>
      </c>
      <c r="R428" s="49" t="s">
        <v>2553</v>
      </c>
      <c r="S428" s="14"/>
    </row>
    <row r="429" spans="1:19" ht="24.95" customHeight="1" x14ac:dyDescent="0.25">
      <c r="A429" s="49" t="s">
        <v>1837</v>
      </c>
      <c r="B429" s="98">
        <v>428</v>
      </c>
      <c r="C429" s="50">
        <v>46146</v>
      </c>
      <c r="D429" s="49">
        <f t="shared" si="12"/>
        <v>5</v>
      </c>
      <c r="E429" s="92" t="s">
        <v>118</v>
      </c>
      <c r="F429" s="49" t="s">
        <v>36</v>
      </c>
      <c r="G429" s="14" t="s">
        <v>695</v>
      </c>
      <c r="H429" s="14" t="s">
        <v>188</v>
      </c>
      <c r="I429" s="76" t="s">
        <v>696</v>
      </c>
      <c r="J429" s="73">
        <v>0</v>
      </c>
      <c r="K429" s="74">
        <v>1227.5</v>
      </c>
      <c r="L429" s="72">
        <v>0</v>
      </c>
      <c r="M429" s="72">
        <v>0</v>
      </c>
      <c r="N429" s="72">
        <f>IF(AND(C429="",J429=0,K429=0,L429=0,M429=0),"",CADASTROS!$B$4+SUM($J$2:J429)+SUM($M$2:M429)-SUM($K$2:K429)-SUM($L$2:L429))</f>
        <v>12625.840000000084</v>
      </c>
      <c r="O429" s="72">
        <f>IF(A429="","",SUMIF(RATEIOS!$A$2:$A$3142,$A429,RATEIOS!$F$2:$F$3142))</f>
        <v>1227.5</v>
      </c>
      <c r="P429" s="15">
        <f t="shared" si="13"/>
        <v>0</v>
      </c>
      <c r="Q429" s="49" t="str">
        <f>IF(AND(J429=0,K429=0,L429=0,M429=0),"",IF(O429=0,"PENDENTE DE RATEIO",IF(ABS(P429)&gt;0.005,"DIVERGÊNCIA",IF(COUNTIF(RATEIOS!$A$2:$A$3142,$A429)-COUNTIFS(RATEIOS!$A$2:$A$3142,$A429,RATEIOS!$D$2:$D$3142,"&lt;&gt;")&gt;0,"NÃO CLASSIFICADO","RATEIO OK"))))</f>
        <v>RATEIO OK</v>
      </c>
      <c r="R429" s="49" t="s">
        <v>2553</v>
      </c>
      <c r="S429" s="14"/>
    </row>
    <row r="430" spans="1:19" ht="24.95" customHeight="1" x14ac:dyDescent="0.25">
      <c r="A430" s="49" t="s">
        <v>1838</v>
      </c>
      <c r="B430" s="98">
        <v>429</v>
      </c>
      <c r="C430" s="50">
        <v>46147</v>
      </c>
      <c r="D430" s="49">
        <f t="shared" si="12"/>
        <v>5</v>
      </c>
      <c r="E430" s="92" t="s">
        <v>118</v>
      </c>
      <c r="F430" s="49" t="s">
        <v>36</v>
      </c>
      <c r="G430" s="14" t="s">
        <v>67</v>
      </c>
      <c r="H430" s="14" t="s">
        <v>67</v>
      </c>
      <c r="I430" s="76" t="s">
        <v>697</v>
      </c>
      <c r="J430" s="73">
        <v>0</v>
      </c>
      <c r="K430" s="74">
        <v>2593</v>
      </c>
      <c r="L430" s="72">
        <v>0</v>
      </c>
      <c r="M430" s="72">
        <v>0</v>
      </c>
      <c r="N430" s="72">
        <f>IF(AND(C430="",J430=0,K430=0,L430=0,M430=0),"",CADASTROS!$B$4+SUM($J$2:J430)+SUM($M$2:M430)-SUM($K$2:K430)-SUM($L$2:L430))</f>
        <v>10032.840000000084</v>
      </c>
      <c r="O430" s="72">
        <f>IF(A430="","",SUMIF(RATEIOS!$A$2:$A$3142,$A430,RATEIOS!$F$2:$F$3142))</f>
        <v>2593</v>
      </c>
      <c r="P430" s="15">
        <f t="shared" si="13"/>
        <v>0</v>
      </c>
      <c r="Q430" s="49" t="str">
        <f>IF(AND(J430=0,K430=0,L430=0,M430=0),"",IF(O430=0,"PENDENTE DE RATEIO",IF(ABS(P430)&gt;0.005,"DIVERGÊNCIA",IF(COUNTIF(RATEIOS!$A$2:$A$3142,$A430)-COUNTIFS(RATEIOS!$A$2:$A$3142,$A430,RATEIOS!$D$2:$D$3142,"&lt;&gt;")&gt;0,"NÃO CLASSIFICADO","RATEIO OK"))))</f>
        <v>RATEIO OK</v>
      </c>
      <c r="R430" s="49" t="s">
        <v>2553</v>
      </c>
      <c r="S430" s="14"/>
    </row>
    <row r="431" spans="1:19" ht="24.95" customHeight="1" x14ac:dyDescent="0.25">
      <c r="A431" s="49" t="s">
        <v>1839</v>
      </c>
      <c r="B431" s="98">
        <v>430</v>
      </c>
      <c r="C431" s="50">
        <v>46147</v>
      </c>
      <c r="D431" s="49">
        <f t="shared" si="12"/>
        <v>5</v>
      </c>
      <c r="E431" s="92" t="s">
        <v>118</v>
      </c>
      <c r="F431" s="49" t="s">
        <v>36</v>
      </c>
      <c r="G431" s="14" t="s">
        <v>698</v>
      </c>
      <c r="H431" s="14" t="s">
        <v>59</v>
      </c>
      <c r="I431" s="76" t="s">
        <v>602</v>
      </c>
      <c r="J431" s="73">
        <v>0</v>
      </c>
      <c r="K431" s="74">
        <v>1330</v>
      </c>
      <c r="L431" s="72">
        <v>0</v>
      </c>
      <c r="M431" s="72">
        <v>0</v>
      </c>
      <c r="N431" s="72">
        <f>IF(AND(C431="",J431=0,K431=0,L431=0,M431=0),"",CADASTROS!$B$4+SUM($J$2:J431)+SUM($M$2:M431)-SUM($K$2:K431)-SUM($L$2:L431))</f>
        <v>8702.8400000000838</v>
      </c>
      <c r="O431" s="72">
        <f>IF(A431="","",SUMIF(RATEIOS!$A$2:$A$3142,$A431,RATEIOS!$F$2:$F$3142))</f>
        <v>1330</v>
      </c>
      <c r="P431" s="15">
        <f t="shared" si="13"/>
        <v>0</v>
      </c>
      <c r="Q431" s="49" t="str">
        <f>IF(AND(J431=0,K431=0,L431=0,M431=0),"",IF(O431=0,"PENDENTE DE RATEIO",IF(ABS(P431)&gt;0.005,"DIVERGÊNCIA",IF(COUNTIF(RATEIOS!$A$2:$A$3142,$A431)-COUNTIFS(RATEIOS!$A$2:$A$3142,$A431,RATEIOS!$D$2:$D$3142,"&lt;&gt;")&gt;0,"NÃO CLASSIFICADO","RATEIO OK"))))</f>
        <v>RATEIO OK</v>
      </c>
      <c r="R431" s="49" t="s">
        <v>2553</v>
      </c>
      <c r="S431" s="14"/>
    </row>
    <row r="432" spans="1:19" ht="24.95" customHeight="1" x14ac:dyDescent="0.25">
      <c r="A432" s="49" t="s">
        <v>1841</v>
      </c>
      <c r="B432" s="98">
        <v>431</v>
      </c>
      <c r="C432" s="50">
        <v>46147</v>
      </c>
      <c r="D432" s="49">
        <f t="shared" si="12"/>
        <v>5</v>
      </c>
      <c r="E432" s="92" t="s">
        <v>287</v>
      </c>
      <c r="F432" s="49" t="s">
        <v>35</v>
      </c>
      <c r="G432" s="14" t="s">
        <v>699</v>
      </c>
      <c r="H432" s="14" t="s">
        <v>417</v>
      </c>
      <c r="I432" s="76" t="s">
        <v>412</v>
      </c>
      <c r="J432" s="73">
        <v>22400</v>
      </c>
      <c r="K432" s="74">
        <v>0</v>
      </c>
      <c r="L432" s="72">
        <v>0</v>
      </c>
      <c r="M432" s="72">
        <v>0</v>
      </c>
      <c r="N432" s="72">
        <f>IF(AND(C432="",J432=0,K432=0,L432=0,M432=0),"",CADASTROS!$B$4+SUM($J$2:J432)+SUM($M$2:M432)-SUM($K$2:K432)-SUM($L$2:L432))</f>
        <v>31102.840000000084</v>
      </c>
      <c r="O432" s="72">
        <f>IF(A432="","",SUMIF(RATEIOS!$A$2:$A$3142,$A432,RATEIOS!$F$2:$F$3142))</f>
        <v>22400</v>
      </c>
      <c r="P432" s="15">
        <f t="shared" si="13"/>
        <v>0</v>
      </c>
      <c r="Q432" s="49" t="str">
        <f>IF(AND(J432=0,K432=0,L432=0,M432=0),"",IF(O432=0,"PENDENTE DE RATEIO",IF(ABS(P432)&gt;0.005,"DIVERGÊNCIA",IF(COUNTIF(RATEIOS!$A$2:$A$3142,$A432)-COUNTIFS(RATEIOS!$A$2:$A$3142,$A432,RATEIOS!$D$2:$D$3142,"&lt;&gt;")&gt;0,"NÃO CLASSIFICADO","RATEIO OK"))))</f>
        <v>RATEIO OK</v>
      </c>
      <c r="R432" s="49" t="s">
        <v>2553</v>
      </c>
      <c r="S432" s="14"/>
    </row>
    <row r="433" spans="1:19" ht="24.95" customHeight="1" x14ac:dyDescent="0.25">
      <c r="A433" s="49" t="s">
        <v>1843</v>
      </c>
      <c r="B433" s="98">
        <v>432</v>
      </c>
      <c r="C433" s="50">
        <v>46147</v>
      </c>
      <c r="D433" s="49">
        <f t="shared" si="12"/>
        <v>5</v>
      </c>
      <c r="E433" s="92" t="s">
        <v>287</v>
      </c>
      <c r="F433" s="49" t="s">
        <v>35</v>
      </c>
      <c r="G433" s="14" t="s">
        <v>336</v>
      </c>
      <c r="H433" s="14" t="s">
        <v>337</v>
      </c>
      <c r="I433" s="76" t="s">
        <v>412</v>
      </c>
      <c r="J433" s="73">
        <v>11200</v>
      </c>
      <c r="K433" s="74">
        <v>0</v>
      </c>
      <c r="L433" s="72">
        <v>0</v>
      </c>
      <c r="M433" s="72">
        <v>0</v>
      </c>
      <c r="N433" s="72">
        <f>IF(AND(C433="",J433=0,K433=0,L433=0,M433=0),"",CADASTROS!$B$4+SUM($J$2:J433)+SUM($M$2:M433)-SUM($K$2:K433)-SUM($L$2:L433))</f>
        <v>42302.840000000084</v>
      </c>
      <c r="O433" s="72">
        <f>IF(A433="","",SUMIF(RATEIOS!$A$2:$A$3142,$A433,RATEIOS!$F$2:$F$3142))</f>
        <v>11200</v>
      </c>
      <c r="P433" s="15">
        <f t="shared" si="13"/>
        <v>0</v>
      </c>
      <c r="Q433" s="49" t="str">
        <f>IF(AND(J433=0,K433=0,L433=0,M433=0),"",IF(O433=0,"PENDENTE DE RATEIO",IF(ABS(P433)&gt;0.005,"DIVERGÊNCIA",IF(COUNTIF(RATEIOS!$A$2:$A$3142,$A433)-COUNTIFS(RATEIOS!$A$2:$A$3142,$A433,RATEIOS!$D$2:$D$3142,"&lt;&gt;")&gt;0,"NÃO CLASSIFICADO","RATEIO OK"))))</f>
        <v>RATEIO OK</v>
      </c>
      <c r="R433" s="49" t="s">
        <v>2553</v>
      </c>
      <c r="S433" s="14"/>
    </row>
    <row r="434" spans="1:19" ht="24.95" customHeight="1" x14ac:dyDescent="0.25">
      <c r="A434" s="49" t="s">
        <v>1846</v>
      </c>
      <c r="B434" s="98">
        <v>433</v>
      </c>
      <c r="C434" s="50">
        <v>46148</v>
      </c>
      <c r="D434" s="49">
        <f t="shared" si="12"/>
        <v>5</v>
      </c>
      <c r="E434" s="92" t="s">
        <v>287</v>
      </c>
      <c r="F434" s="49" t="s">
        <v>35</v>
      </c>
      <c r="G434" s="14" t="s">
        <v>334</v>
      </c>
      <c r="H434" s="14" t="s">
        <v>335</v>
      </c>
      <c r="I434" s="76" t="s">
        <v>412</v>
      </c>
      <c r="J434" s="73">
        <v>11200</v>
      </c>
      <c r="K434" s="74">
        <v>0</v>
      </c>
      <c r="L434" s="72">
        <v>0</v>
      </c>
      <c r="M434" s="72">
        <v>0</v>
      </c>
      <c r="N434" s="72">
        <f>IF(AND(C434="",J434=0,K434=0,L434=0,M434=0),"",CADASTROS!$B$4+SUM($J$2:J434)+SUM($M$2:M434)-SUM($K$2:K434)-SUM($L$2:L434))</f>
        <v>53502.840000000084</v>
      </c>
      <c r="O434" s="72">
        <f>IF(A434="","",SUMIF(RATEIOS!$A$2:$A$3142,$A434,RATEIOS!$F$2:$F$3142))</f>
        <v>11200</v>
      </c>
      <c r="P434" s="15">
        <f t="shared" si="13"/>
        <v>0</v>
      </c>
      <c r="Q434" s="49" t="str">
        <f>IF(AND(J434=0,K434=0,L434=0,M434=0),"",IF(O434=0,"PENDENTE DE RATEIO",IF(ABS(P434)&gt;0.005,"DIVERGÊNCIA",IF(COUNTIF(RATEIOS!$A$2:$A$3142,$A434)-COUNTIFS(RATEIOS!$A$2:$A$3142,$A434,RATEIOS!$D$2:$D$3142,"&lt;&gt;")&gt;0,"NÃO CLASSIFICADO","RATEIO OK"))))</f>
        <v>RATEIO OK</v>
      </c>
      <c r="R434" s="49" t="s">
        <v>2553</v>
      </c>
      <c r="S434" s="14"/>
    </row>
    <row r="435" spans="1:19" ht="24.95" customHeight="1" x14ac:dyDescent="0.25">
      <c r="A435" s="49" t="s">
        <v>1849</v>
      </c>
      <c r="B435" s="98">
        <v>434</v>
      </c>
      <c r="C435" s="50">
        <v>46149</v>
      </c>
      <c r="D435" s="49">
        <f t="shared" si="12"/>
        <v>5</v>
      </c>
      <c r="E435" s="92" t="s">
        <v>123</v>
      </c>
      <c r="F435" s="49" t="s">
        <v>36</v>
      </c>
      <c r="G435" s="14" t="s">
        <v>701</v>
      </c>
      <c r="H435" s="14" t="s">
        <v>123</v>
      </c>
      <c r="I435" s="76"/>
      <c r="J435" s="73">
        <v>0</v>
      </c>
      <c r="K435" s="74">
        <v>77991.11</v>
      </c>
      <c r="L435" s="72">
        <v>0</v>
      </c>
      <c r="M435" s="72">
        <v>0</v>
      </c>
      <c r="N435" s="72">
        <f>IF(AND(C435="",J435=0,K435=0,L435=0,M435=0),"",CADASTROS!$B$4+SUM($J$2:J435)+SUM($M$2:M435)-SUM($K$2:K435)-SUM($L$2:L435))</f>
        <v>-24488.270000000019</v>
      </c>
      <c r="O435" s="72">
        <f>IF(A435="","",SUMIF(RATEIOS!$A$2:$A$3142,$A435,RATEIOS!$F$2:$F$3142))</f>
        <v>77991.11</v>
      </c>
      <c r="P435" s="15">
        <f t="shared" si="13"/>
        <v>0</v>
      </c>
      <c r="Q435" s="49" t="str">
        <f>IF(AND(J435=0,K435=0,L435=0,M435=0),"",IF(O435=0,"PENDENTE DE RATEIO",IF(ABS(P435)&gt;0.005,"DIVERGÊNCIA",IF(COUNTIF(RATEIOS!$A$2:$A$3142,$A435)-COUNTIFS(RATEIOS!$A$2:$A$3142,$A435,RATEIOS!$D$2:$D$3142,"&lt;&gt;")&gt;0,"NÃO CLASSIFICADO","RATEIO OK"))))</f>
        <v>RATEIO OK</v>
      </c>
      <c r="R435" s="49" t="s">
        <v>2553</v>
      </c>
      <c r="S435" s="14"/>
    </row>
    <row r="436" spans="1:19" ht="24.95" customHeight="1" x14ac:dyDescent="0.25">
      <c r="A436" s="49" t="s">
        <v>1850</v>
      </c>
      <c r="B436" s="98">
        <v>435</v>
      </c>
      <c r="C436" s="50">
        <v>46149</v>
      </c>
      <c r="D436" s="49">
        <f t="shared" si="12"/>
        <v>5</v>
      </c>
      <c r="E436" s="92" t="s">
        <v>510</v>
      </c>
      <c r="F436" s="49" t="s">
        <v>36</v>
      </c>
      <c r="G436" s="14" t="s">
        <v>588</v>
      </c>
      <c r="H436" s="14" t="s">
        <v>512</v>
      </c>
      <c r="I436" s="76" t="s">
        <v>412</v>
      </c>
      <c r="J436" s="73">
        <v>0</v>
      </c>
      <c r="K436" s="74">
        <v>35000</v>
      </c>
      <c r="L436" s="72">
        <v>0</v>
      </c>
      <c r="M436" s="72">
        <v>0</v>
      </c>
      <c r="N436" s="72">
        <f>IF(AND(C436="",J436=0,K436=0,L436=0,M436=0),"",CADASTROS!$B$4+SUM($J$2:J436)+SUM($M$2:M436)-SUM($K$2:K436)-SUM($L$2:L436))</f>
        <v>-59488.270000000019</v>
      </c>
      <c r="O436" s="72">
        <f>IF(A436="","",SUMIF(RATEIOS!$A$2:$A$3142,$A436,RATEIOS!$F$2:$F$3142))</f>
        <v>35000</v>
      </c>
      <c r="P436" s="15">
        <f t="shared" si="13"/>
        <v>0</v>
      </c>
      <c r="Q436" s="49" t="str">
        <f>IF(AND(J436=0,K436=0,L436=0,M436=0),"",IF(O436=0,"PENDENTE DE RATEIO",IF(ABS(P436)&gt;0.005,"DIVERGÊNCIA",IF(COUNTIF(RATEIOS!$A$2:$A$3142,$A436)-COUNTIFS(RATEIOS!$A$2:$A$3142,$A436,RATEIOS!$D$2:$D$3142,"&lt;&gt;")&gt;0,"NÃO CLASSIFICADO","RATEIO OK"))))</f>
        <v>RATEIO OK</v>
      </c>
      <c r="R436" s="49" t="s">
        <v>2553</v>
      </c>
      <c r="S436" s="14"/>
    </row>
    <row r="437" spans="1:19" ht="24.95" customHeight="1" x14ac:dyDescent="0.25">
      <c r="A437" s="49" t="s">
        <v>1852</v>
      </c>
      <c r="B437" s="98">
        <v>436</v>
      </c>
      <c r="C437" s="50">
        <v>46149</v>
      </c>
      <c r="D437" s="49">
        <f t="shared" si="12"/>
        <v>5</v>
      </c>
      <c r="E437" s="92" t="s">
        <v>2556</v>
      </c>
      <c r="F437" s="49" t="s">
        <v>36</v>
      </c>
      <c r="G437" s="14" t="s">
        <v>276</v>
      </c>
      <c r="H437" s="14" t="s">
        <v>277</v>
      </c>
      <c r="I437" s="76"/>
      <c r="J437" s="73">
        <v>0</v>
      </c>
      <c r="K437" s="74">
        <v>40.25</v>
      </c>
      <c r="L437" s="72">
        <v>0</v>
      </c>
      <c r="M437" s="72">
        <v>0</v>
      </c>
      <c r="N437" s="72">
        <f>IF(AND(C437="",J437=0,K437=0,L437=0,M437=0),"",CADASTROS!$B$4+SUM($J$2:J437)+SUM($M$2:M437)-SUM($K$2:K437)-SUM($L$2:L437))</f>
        <v>-59528.520000000019</v>
      </c>
      <c r="O437" s="72">
        <f>IF(A437="","",SUMIF(RATEIOS!$A$2:$A$3142,$A437,RATEIOS!$F$2:$F$3142))</f>
        <v>40.25</v>
      </c>
      <c r="P437" s="15">
        <f t="shared" si="13"/>
        <v>0</v>
      </c>
      <c r="Q437" s="49" t="str">
        <f>IF(AND(J437=0,K437=0,L437=0,M437=0),"",IF(O437=0,"PENDENTE DE RATEIO",IF(ABS(P437)&gt;0.005,"DIVERGÊNCIA",IF(COUNTIF(RATEIOS!$A$2:$A$3142,$A437)-COUNTIFS(RATEIOS!$A$2:$A$3142,$A437,RATEIOS!$D$2:$D$3142,"&lt;&gt;")&gt;0,"NÃO CLASSIFICADO","RATEIO OK"))))</f>
        <v>RATEIO OK</v>
      </c>
      <c r="R437" s="49" t="s">
        <v>2553</v>
      </c>
      <c r="S437" s="14"/>
    </row>
    <row r="438" spans="1:19" ht="24.95" customHeight="1" x14ac:dyDescent="0.25">
      <c r="A438" s="49" t="s">
        <v>1853</v>
      </c>
      <c r="B438" s="98">
        <v>437</v>
      </c>
      <c r="C438" s="50">
        <v>46149</v>
      </c>
      <c r="D438" s="49">
        <f t="shared" si="12"/>
        <v>5</v>
      </c>
      <c r="E438" s="92" t="s">
        <v>287</v>
      </c>
      <c r="F438" s="49" t="s">
        <v>35</v>
      </c>
      <c r="G438" s="14" t="s">
        <v>702</v>
      </c>
      <c r="H438" s="14" t="s">
        <v>703</v>
      </c>
      <c r="I438" s="76" t="s">
        <v>412</v>
      </c>
      <c r="J438" s="73">
        <v>22400</v>
      </c>
      <c r="K438" s="74">
        <v>0</v>
      </c>
      <c r="L438" s="72">
        <v>0</v>
      </c>
      <c r="M438" s="72">
        <v>0</v>
      </c>
      <c r="N438" s="72">
        <f>IF(AND(C438="",J438=0,K438=0,L438=0,M438=0),"",CADASTROS!$B$4+SUM($J$2:J438)+SUM($M$2:M438)-SUM($K$2:K438)-SUM($L$2:L438))</f>
        <v>-37128.520000000019</v>
      </c>
      <c r="O438" s="72">
        <f>IF(A438="","",SUMIF(RATEIOS!$A$2:$A$3142,$A438,RATEIOS!$F$2:$F$3142))</f>
        <v>22400</v>
      </c>
      <c r="P438" s="15">
        <f t="shared" si="13"/>
        <v>0</v>
      </c>
      <c r="Q438" s="49" t="str">
        <f>IF(AND(J438=0,K438=0,L438=0,M438=0),"",IF(O438=0,"PENDENTE DE RATEIO",IF(ABS(P438)&gt;0.005,"DIVERGÊNCIA",IF(COUNTIF(RATEIOS!$A$2:$A$3142,$A438)-COUNTIFS(RATEIOS!$A$2:$A$3142,$A438,RATEIOS!$D$2:$D$3142,"&lt;&gt;")&gt;0,"NÃO CLASSIFICADO","RATEIO OK"))))</f>
        <v>RATEIO OK</v>
      </c>
      <c r="R438" s="49" t="s">
        <v>2553</v>
      </c>
      <c r="S438" s="14"/>
    </row>
    <row r="439" spans="1:19" ht="24.95" customHeight="1" x14ac:dyDescent="0.25">
      <c r="A439" s="49" t="s">
        <v>1854</v>
      </c>
      <c r="B439" s="98">
        <v>438</v>
      </c>
      <c r="C439" s="50">
        <v>46149</v>
      </c>
      <c r="D439" s="49">
        <f t="shared" si="12"/>
        <v>5</v>
      </c>
      <c r="E439" s="92" t="s">
        <v>287</v>
      </c>
      <c r="F439" s="49" t="s">
        <v>35</v>
      </c>
      <c r="G439" s="14" t="s">
        <v>346</v>
      </c>
      <c r="H439" s="14" t="s">
        <v>347</v>
      </c>
      <c r="I439" s="76" t="s">
        <v>412</v>
      </c>
      <c r="J439" s="73">
        <v>11200</v>
      </c>
      <c r="K439" s="74">
        <v>0</v>
      </c>
      <c r="L439" s="72">
        <v>0</v>
      </c>
      <c r="M439" s="72">
        <v>0</v>
      </c>
      <c r="N439" s="72">
        <f>IF(AND(C439="",J439=0,K439=0,L439=0,M439=0),"",CADASTROS!$B$4+SUM($J$2:J439)+SUM($M$2:M439)-SUM($K$2:K439)-SUM($L$2:L439))</f>
        <v>-25928.520000000019</v>
      </c>
      <c r="O439" s="72">
        <f>IF(A439="","",SUMIF(RATEIOS!$A$2:$A$3142,$A439,RATEIOS!$F$2:$F$3142))</f>
        <v>11200</v>
      </c>
      <c r="P439" s="15">
        <f t="shared" si="13"/>
        <v>0</v>
      </c>
      <c r="Q439" s="49" t="str">
        <f>IF(AND(J439=0,K439=0,L439=0,M439=0),"",IF(O439=0,"PENDENTE DE RATEIO",IF(ABS(P439)&gt;0.005,"DIVERGÊNCIA",IF(COUNTIF(RATEIOS!$A$2:$A$3142,$A439)-COUNTIFS(RATEIOS!$A$2:$A$3142,$A439,RATEIOS!$D$2:$D$3142,"&lt;&gt;")&gt;0,"NÃO CLASSIFICADO","RATEIO OK"))))</f>
        <v>RATEIO OK</v>
      </c>
      <c r="R439" s="49" t="s">
        <v>2553</v>
      </c>
      <c r="S439" s="14"/>
    </row>
    <row r="440" spans="1:19" ht="24.95" customHeight="1" x14ac:dyDescent="0.25">
      <c r="A440" s="49" t="s">
        <v>1855</v>
      </c>
      <c r="B440" s="98">
        <v>439</v>
      </c>
      <c r="C440" s="50">
        <v>46149</v>
      </c>
      <c r="D440" s="49">
        <f t="shared" si="12"/>
        <v>5</v>
      </c>
      <c r="E440" s="92" t="s">
        <v>287</v>
      </c>
      <c r="F440" s="49" t="s">
        <v>35</v>
      </c>
      <c r="G440" s="14" t="s">
        <v>348</v>
      </c>
      <c r="H440" s="14" t="s">
        <v>349</v>
      </c>
      <c r="I440" s="76" t="s">
        <v>412</v>
      </c>
      <c r="J440" s="73">
        <v>22500</v>
      </c>
      <c r="K440" s="74">
        <v>0</v>
      </c>
      <c r="L440" s="72">
        <v>0</v>
      </c>
      <c r="M440" s="72">
        <v>0</v>
      </c>
      <c r="N440" s="72">
        <f>IF(AND(C440="",J440=0,K440=0,L440=0,M440=0),"",CADASTROS!$B$4+SUM($J$2:J440)+SUM($M$2:M440)-SUM($K$2:K440)-SUM($L$2:L440))</f>
        <v>-3428.5200000000186</v>
      </c>
      <c r="O440" s="72">
        <f>IF(A440="","",SUMIF(RATEIOS!$A$2:$A$3142,$A440,RATEIOS!$F$2:$F$3142))</f>
        <v>22500</v>
      </c>
      <c r="P440" s="15">
        <f t="shared" si="13"/>
        <v>0</v>
      </c>
      <c r="Q440" s="49" t="str">
        <f>IF(AND(J440=0,K440=0,L440=0,M440=0),"",IF(O440=0,"PENDENTE DE RATEIO",IF(ABS(P440)&gt;0.005,"DIVERGÊNCIA",IF(COUNTIF(RATEIOS!$A$2:$A$3142,$A440)-COUNTIFS(RATEIOS!$A$2:$A$3142,$A440,RATEIOS!$D$2:$D$3142,"&lt;&gt;")&gt;0,"NÃO CLASSIFICADO","RATEIO OK"))))</f>
        <v>RATEIO OK</v>
      </c>
      <c r="R440" s="49" t="s">
        <v>2553</v>
      </c>
      <c r="S440" s="14"/>
    </row>
    <row r="441" spans="1:19" ht="24.95" customHeight="1" x14ac:dyDescent="0.25">
      <c r="A441" s="49" t="s">
        <v>1856</v>
      </c>
      <c r="B441" s="98">
        <v>440</v>
      </c>
      <c r="C441" s="50">
        <v>46149</v>
      </c>
      <c r="D441" s="49">
        <f t="shared" si="12"/>
        <v>5</v>
      </c>
      <c r="E441" s="92" t="s">
        <v>287</v>
      </c>
      <c r="F441" s="49" t="s">
        <v>35</v>
      </c>
      <c r="G441" s="14" t="s">
        <v>350</v>
      </c>
      <c r="H441" s="14" t="s">
        <v>351</v>
      </c>
      <c r="I441" s="76" t="s">
        <v>412</v>
      </c>
      <c r="J441" s="73">
        <v>11200</v>
      </c>
      <c r="K441" s="74">
        <v>0</v>
      </c>
      <c r="L441" s="72">
        <v>0</v>
      </c>
      <c r="M441" s="72">
        <v>0</v>
      </c>
      <c r="N441" s="72">
        <f>IF(AND(C441="",J441=0,K441=0,L441=0,M441=0),"",CADASTROS!$B$4+SUM($J$2:J441)+SUM($M$2:M441)-SUM($K$2:K441)-SUM($L$2:L441))</f>
        <v>7771.4799999999814</v>
      </c>
      <c r="O441" s="72">
        <f>IF(A441="","",SUMIF(RATEIOS!$A$2:$A$3142,$A441,RATEIOS!$F$2:$F$3142))</f>
        <v>11200</v>
      </c>
      <c r="P441" s="15">
        <f t="shared" si="13"/>
        <v>0</v>
      </c>
      <c r="Q441" s="49" t="str">
        <f>IF(AND(J441=0,K441=0,L441=0,M441=0),"",IF(O441=0,"PENDENTE DE RATEIO",IF(ABS(P441)&gt;0.005,"DIVERGÊNCIA",IF(COUNTIF(RATEIOS!$A$2:$A$3142,$A441)-COUNTIFS(RATEIOS!$A$2:$A$3142,$A441,RATEIOS!$D$2:$D$3142,"&lt;&gt;")&gt;0,"NÃO CLASSIFICADO","RATEIO OK"))))</f>
        <v>RATEIO OK</v>
      </c>
      <c r="R441" s="49" t="s">
        <v>2553</v>
      </c>
      <c r="S441" s="14"/>
    </row>
    <row r="442" spans="1:19" ht="24.95" customHeight="1" x14ac:dyDescent="0.25">
      <c r="A442" s="49" t="s">
        <v>1857</v>
      </c>
      <c r="B442" s="98">
        <v>441</v>
      </c>
      <c r="C442" s="50">
        <v>46150</v>
      </c>
      <c r="D442" s="49">
        <f t="shared" si="12"/>
        <v>5</v>
      </c>
      <c r="E442" s="92" t="s">
        <v>118</v>
      </c>
      <c r="F442" s="49" t="s">
        <v>36</v>
      </c>
      <c r="G442" s="14" t="s">
        <v>257</v>
      </c>
      <c r="H442" s="14" t="s">
        <v>191</v>
      </c>
      <c r="I442" s="76" t="s">
        <v>704</v>
      </c>
      <c r="J442" s="73">
        <v>0</v>
      </c>
      <c r="K442" s="74">
        <v>2938.14</v>
      </c>
      <c r="L442" s="72">
        <v>0</v>
      </c>
      <c r="M442" s="72">
        <v>0</v>
      </c>
      <c r="N442" s="72">
        <f>IF(AND(C442="",J442=0,K442=0,L442=0,M442=0),"",CADASTROS!$B$4+SUM($J$2:J442)+SUM($M$2:M442)-SUM($K$2:K442)-SUM($L$2:L442))</f>
        <v>4833.3400000000838</v>
      </c>
      <c r="O442" s="72">
        <f>IF(A442="","",SUMIF(RATEIOS!$A$2:$A$3142,$A442,RATEIOS!$F$2:$F$3142))</f>
        <v>2938.14</v>
      </c>
      <c r="P442" s="15">
        <f t="shared" si="13"/>
        <v>0</v>
      </c>
      <c r="Q442" s="49" t="str">
        <f>IF(AND(J442=0,K442=0,L442=0,M442=0),"",IF(O442=0,"PENDENTE DE RATEIO",IF(ABS(P442)&gt;0.005,"DIVERGÊNCIA",IF(COUNTIF(RATEIOS!$A$2:$A$3142,$A442)-COUNTIFS(RATEIOS!$A$2:$A$3142,$A442,RATEIOS!$D$2:$D$3142,"&lt;&gt;")&gt;0,"NÃO CLASSIFICADO","RATEIO OK"))))</f>
        <v>RATEIO OK</v>
      </c>
      <c r="R442" s="49" t="s">
        <v>2553</v>
      </c>
      <c r="S442" s="14" t="s">
        <v>705</v>
      </c>
    </row>
    <row r="443" spans="1:19" ht="24.95" customHeight="1" x14ac:dyDescent="0.25">
      <c r="A443" s="49" t="s">
        <v>1858</v>
      </c>
      <c r="B443" s="98">
        <v>442</v>
      </c>
      <c r="C443" s="50">
        <v>46150</v>
      </c>
      <c r="D443" s="49">
        <f t="shared" si="12"/>
        <v>5</v>
      </c>
      <c r="E443" s="92" t="s">
        <v>118</v>
      </c>
      <c r="F443" s="49" t="s">
        <v>36</v>
      </c>
      <c r="G443" s="14" t="s">
        <v>706</v>
      </c>
      <c r="H443" s="14" t="s">
        <v>191</v>
      </c>
      <c r="I443" s="76" t="s">
        <v>707</v>
      </c>
      <c r="J443" s="73">
        <v>0</v>
      </c>
      <c r="K443" s="74">
        <v>2503.6</v>
      </c>
      <c r="L443" s="72">
        <v>0</v>
      </c>
      <c r="M443" s="72">
        <v>0</v>
      </c>
      <c r="N443" s="72">
        <f>IF(AND(C443="",J443=0,K443=0,L443=0,M443=0),"",CADASTROS!$B$4+SUM($J$2:J443)+SUM($M$2:M443)-SUM($K$2:K443)-SUM($L$2:L443))</f>
        <v>2329.7399999999907</v>
      </c>
      <c r="O443" s="72">
        <f>IF(A443="","",SUMIF(RATEIOS!$A$2:$A$3142,$A443,RATEIOS!$F$2:$F$3142))</f>
        <v>2503.6</v>
      </c>
      <c r="P443" s="15">
        <f t="shared" si="13"/>
        <v>0</v>
      </c>
      <c r="Q443" s="49" t="str">
        <f>IF(AND(J443=0,K443=0,L443=0,M443=0),"",IF(O443=0,"PENDENTE DE RATEIO",IF(ABS(P443)&gt;0.005,"DIVERGÊNCIA",IF(COUNTIF(RATEIOS!$A$2:$A$3142,$A443)-COUNTIFS(RATEIOS!$A$2:$A$3142,$A443,RATEIOS!$D$2:$D$3142,"&lt;&gt;")&gt;0,"NÃO CLASSIFICADO","RATEIO OK"))))</f>
        <v>RATEIO OK</v>
      </c>
      <c r="R443" s="49" t="s">
        <v>2553</v>
      </c>
      <c r="S443" s="14" t="s">
        <v>708</v>
      </c>
    </row>
    <row r="444" spans="1:19" ht="24.95" customHeight="1" x14ac:dyDescent="0.25">
      <c r="A444" s="49" t="s">
        <v>1859</v>
      </c>
      <c r="B444" s="98">
        <v>443</v>
      </c>
      <c r="C444" s="50">
        <v>46150</v>
      </c>
      <c r="D444" s="49">
        <f t="shared" si="12"/>
        <v>5</v>
      </c>
      <c r="E444" s="92" t="s">
        <v>72</v>
      </c>
      <c r="F444" s="49" t="s">
        <v>36</v>
      </c>
      <c r="G444" s="14" t="s">
        <v>709</v>
      </c>
      <c r="H444" s="14" t="s">
        <v>112</v>
      </c>
      <c r="I444" s="76" t="s">
        <v>710</v>
      </c>
      <c r="J444" s="73">
        <v>0</v>
      </c>
      <c r="K444" s="74">
        <v>180</v>
      </c>
      <c r="L444" s="72">
        <v>0</v>
      </c>
      <c r="M444" s="72">
        <v>0</v>
      </c>
      <c r="N444" s="72">
        <f>IF(AND(C444="",J444=0,K444=0,L444=0,M444=0),"",CADASTROS!$B$4+SUM($J$2:J444)+SUM($M$2:M444)-SUM($K$2:K444)-SUM($L$2:L444))</f>
        <v>2149.7399999999907</v>
      </c>
      <c r="O444" s="72">
        <f>IF(A444="","",SUMIF(RATEIOS!$A$2:$A$3142,$A444,RATEIOS!$F$2:$F$3142))</f>
        <v>180</v>
      </c>
      <c r="P444" s="15">
        <f t="shared" si="13"/>
        <v>0</v>
      </c>
      <c r="Q444" s="49" t="str">
        <f>IF(AND(J444=0,K444=0,L444=0,M444=0),"",IF(O444=0,"PENDENTE DE RATEIO",IF(ABS(P444)&gt;0.005,"DIVERGÊNCIA",IF(COUNTIF(RATEIOS!$A$2:$A$3142,$A444)-COUNTIFS(RATEIOS!$A$2:$A$3142,$A444,RATEIOS!$D$2:$D$3142,"&lt;&gt;")&gt;0,"NÃO CLASSIFICADO","RATEIO OK"))))</f>
        <v>RATEIO OK</v>
      </c>
      <c r="R444" s="49" t="s">
        <v>2553</v>
      </c>
      <c r="S444" s="14"/>
    </row>
    <row r="445" spans="1:19" ht="24.95" customHeight="1" x14ac:dyDescent="0.25">
      <c r="A445" s="49" t="s">
        <v>1860</v>
      </c>
      <c r="B445" s="98">
        <v>444</v>
      </c>
      <c r="C445" s="50">
        <v>46150</v>
      </c>
      <c r="D445" s="49">
        <f t="shared" si="12"/>
        <v>5</v>
      </c>
      <c r="E445" s="92" t="s">
        <v>287</v>
      </c>
      <c r="F445" s="49" t="s">
        <v>35</v>
      </c>
      <c r="G445" s="14" t="s">
        <v>711</v>
      </c>
      <c r="H445" s="14" t="s">
        <v>712</v>
      </c>
      <c r="I445" s="76" t="s">
        <v>412</v>
      </c>
      <c r="J445" s="73">
        <v>22400</v>
      </c>
      <c r="K445" s="74">
        <v>0</v>
      </c>
      <c r="L445" s="72">
        <v>0</v>
      </c>
      <c r="M445" s="72">
        <v>0</v>
      </c>
      <c r="N445" s="72">
        <f>IF(AND(C445="",J445=0,K445=0,L445=0,M445=0),"",CADASTROS!$B$4+SUM($J$2:J445)+SUM($M$2:M445)-SUM($K$2:K445)-SUM($L$2:L445))</f>
        <v>24549.739999999991</v>
      </c>
      <c r="O445" s="72">
        <f>IF(A445="","",SUMIF(RATEIOS!$A$2:$A$3142,$A445,RATEIOS!$F$2:$F$3142))</f>
        <v>22400</v>
      </c>
      <c r="P445" s="15">
        <f t="shared" si="13"/>
        <v>0</v>
      </c>
      <c r="Q445" s="49" t="str">
        <f>IF(AND(J445=0,K445=0,L445=0,M445=0),"",IF(O445=0,"PENDENTE DE RATEIO",IF(ABS(P445)&gt;0.005,"DIVERGÊNCIA",IF(COUNTIF(RATEIOS!$A$2:$A$3142,$A445)-COUNTIFS(RATEIOS!$A$2:$A$3142,$A445,RATEIOS!$D$2:$D$3142,"&lt;&gt;")&gt;0,"NÃO CLASSIFICADO","RATEIO OK"))))</f>
        <v>RATEIO OK</v>
      </c>
      <c r="R445" s="49" t="s">
        <v>2553</v>
      </c>
      <c r="S445" s="14"/>
    </row>
    <row r="446" spans="1:19" ht="24.95" customHeight="1" x14ac:dyDescent="0.25">
      <c r="A446" s="49" t="s">
        <v>1861</v>
      </c>
      <c r="B446" s="98">
        <v>445</v>
      </c>
      <c r="C446" s="50">
        <v>46150</v>
      </c>
      <c r="D446" s="49">
        <f t="shared" si="12"/>
        <v>5</v>
      </c>
      <c r="E446" s="92" t="s">
        <v>72</v>
      </c>
      <c r="F446" s="49" t="s">
        <v>35</v>
      </c>
      <c r="G446" s="14" t="s">
        <v>713</v>
      </c>
      <c r="H446" s="14" t="s">
        <v>411</v>
      </c>
      <c r="I446" s="76" t="s">
        <v>412</v>
      </c>
      <c r="J446" s="73">
        <v>5600</v>
      </c>
      <c r="K446" s="74">
        <v>0</v>
      </c>
      <c r="L446" s="72">
        <v>0</v>
      </c>
      <c r="M446" s="72">
        <v>0</v>
      </c>
      <c r="N446" s="72">
        <f>IF(AND(C446="",J446=0,K446=0,L446=0,M446=0),"",CADASTROS!$B$4+SUM($J$2:J446)+SUM($M$2:M446)-SUM($K$2:K446)-SUM($L$2:L446))</f>
        <v>30149.739999999991</v>
      </c>
      <c r="O446" s="72">
        <f>IF(A446="","",SUMIF(RATEIOS!$A$2:$A$3142,$A446,RATEIOS!$F$2:$F$3142))</f>
        <v>5600</v>
      </c>
      <c r="P446" s="15">
        <f t="shared" si="13"/>
        <v>0</v>
      </c>
      <c r="Q446" s="49" t="str">
        <f>IF(AND(J446=0,K446=0,L446=0,M446=0),"",IF(O446=0,"PENDENTE DE RATEIO",IF(ABS(P446)&gt;0.005,"DIVERGÊNCIA",IF(COUNTIF(RATEIOS!$A$2:$A$3142,$A446)-COUNTIFS(RATEIOS!$A$2:$A$3142,$A446,RATEIOS!$D$2:$D$3142,"&lt;&gt;")&gt;0,"NÃO CLASSIFICADO","RATEIO OK"))))</f>
        <v>RATEIO OK</v>
      </c>
      <c r="R446" s="49" t="s">
        <v>2553</v>
      </c>
      <c r="S446" s="14"/>
    </row>
    <row r="447" spans="1:19" ht="24.95" customHeight="1" x14ac:dyDescent="0.25">
      <c r="A447" s="49" t="s">
        <v>1862</v>
      </c>
      <c r="B447" s="98">
        <v>446</v>
      </c>
      <c r="C447" s="50">
        <v>46150</v>
      </c>
      <c r="D447" s="49">
        <f t="shared" si="12"/>
        <v>5</v>
      </c>
      <c r="E447" s="92" t="s">
        <v>287</v>
      </c>
      <c r="F447" s="49" t="s">
        <v>35</v>
      </c>
      <c r="G447" s="14" t="s">
        <v>714</v>
      </c>
      <c r="H447" s="14" t="s">
        <v>2737</v>
      </c>
      <c r="I447" s="76" t="s">
        <v>412</v>
      </c>
      <c r="J447" s="73">
        <v>27754.639999999999</v>
      </c>
      <c r="K447" s="74">
        <v>0</v>
      </c>
      <c r="L447" s="72">
        <v>0</v>
      </c>
      <c r="M447" s="72">
        <v>0</v>
      </c>
      <c r="N447" s="72">
        <f>IF(AND(C447="",J447=0,K447=0,L447=0,M447=0),"",CADASTROS!$B$4+SUM($J$2:J447)+SUM($M$2:M447)-SUM($K$2:K447)-SUM($L$2:L447))</f>
        <v>57904.379999999655</v>
      </c>
      <c r="O447" s="72">
        <f>IF(A447="","",SUMIF(RATEIOS!$A$2:$A$3142,$A447,RATEIOS!$F$2:$F$3142))</f>
        <v>27754.639999999999</v>
      </c>
      <c r="P447" s="15">
        <f t="shared" si="13"/>
        <v>0</v>
      </c>
      <c r="Q447" s="49" t="str">
        <f>IF(AND(J447=0,K447=0,L447=0,M447=0),"",IF(O447=0,"PENDENTE DE RATEIO",IF(ABS(P447)&gt;0.005,"DIVERGÊNCIA",IF(COUNTIF(RATEIOS!$A$2:$A$3142,$A447)-COUNTIFS(RATEIOS!$A$2:$A$3142,$A447,RATEIOS!$D$2:$D$3142,"&lt;&gt;")&gt;0,"NÃO CLASSIFICADO","RATEIO OK"))))</f>
        <v>RATEIO OK</v>
      </c>
      <c r="R447" s="49" t="s">
        <v>2553</v>
      </c>
      <c r="S447" s="14"/>
    </row>
    <row r="448" spans="1:19" ht="24.95" customHeight="1" x14ac:dyDescent="0.25">
      <c r="A448" s="49" t="s">
        <v>1863</v>
      </c>
      <c r="B448" s="98">
        <v>447</v>
      </c>
      <c r="C448" s="50">
        <v>46153</v>
      </c>
      <c r="D448" s="49">
        <f t="shared" si="12"/>
        <v>5</v>
      </c>
      <c r="E448" s="92" t="s">
        <v>72</v>
      </c>
      <c r="F448" s="49" t="s">
        <v>36</v>
      </c>
      <c r="G448" s="14" t="s">
        <v>715</v>
      </c>
      <c r="H448" s="14" t="s">
        <v>156</v>
      </c>
      <c r="I448" s="76" t="s">
        <v>716</v>
      </c>
      <c r="J448" s="73">
        <v>0</v>
      </c>
      <c r="K448" s="74">
        <v>8506.33</v>
      </c>
      <c r="L448" s="72">
        <v>0</v>
      </c>
      <c r="M448" s="72">
        <v>0</v>
      </c>
      <c r="N448" s="72">
        <f>IF(AND(C448="",J448=0,K448=0,L448=0,M448=0),"",CADASTROS!$B$4+SUM($J$2:J448)+SUM($M$2:M448)-SUM($K$2:K448)-SUM($L$2:L448))</f>
        <v>49398.049999999581</v>
      </c>
      <c r="O448" s="72">
        <f>IF(A448="","",SUMIF(RATEIOS!$A$2:$A$3142,$A448,RATEIOS!$F$2:$F$3142))</f>
        <v>8506.33</v>
      </c>
      <c r="P448" s="15">
        <f t="shared" si="13"/>
        <v>0</v>
      </c>
      <c r="Q448" s="49" t="str">
        <f>IF(AND(J448=0,K448=0,L448=0,M448=0),"",IF(O448=0,"PENDENTE DE RATEIO",IF(ABS(P448)&gt;0.005,"DIVERGÊNCIA",IF(COUNTIF(RATEIOS!$A$2:$A$3142,$A448)-COUNTIFS(RATEIOS!$A$2:$A$3142,$A448,RATEIOS!$D$2:$D$3142,"&lt;&gt;")&gt;0,"NÃO CLASSIFICADO","RATEIO OK"))))</f>
        <v>RATEIO OK</v>
      </c>
      <c r="R448" s="49" t="s">
        <v>2553</v>
      </c>
      <c r="S448" s="14"/>
    </row>
    <row r="449" spans="1:19" ht="24.95" customHeight="1" x14ac:dyDescent="0.25">
      <c r="A449" s="49" t="s">
        <v>1864</v>
      </c>
      <c r="B449" s="98">
        <v>448</v>
      </c>
      <c r="C449" s="50">
        <v>46153</v>
      </c>
      <c r="D449" s="49">
        <f t="shared" si="12"/>
        <v>5</v>
      </c>
      <c r="E449" s="92" t="s">
        <v>287</v>
      </c>
      <c r="F449" s="49" t="s">
        <v>36</v>
      </c>
      <c r="G449" s="14" t="s">
        <v>717</v>
      </c>
      <c r="H449" s="14" t="s">
        <v>2942</v>
      </c>
      <c r="I449" s="76" t="s">
        <v>718</v>
      </c>
      <c r="J449" s="73">
        <v>0</v>
      </c>
      <c r="K449" s="74">
        <v>5117.8599999999997</v>
      </c>
      <c r="L449" s="72">
        <v>0</v>
      </c>
      <c r="M449" s="72">
        <v>0</v>
      </c>
      <c r="N449" s="72">
        <f>IF(AND(C449="",J449=0,K449=0,L449=0,M449=0),"",CADASTROS!$B$4+SUM($J$2:J449)+SUM($M$2:M449)-SUM($K$2:K449)-SUM($L$2:L449))</f>
        <v>44280.189999999478</v>
      </c>
      <c r="O449" s="72">
        <f>IF(A449="","",SUMIF(RATEIOS!$A$2:$A$3142,$A449,RATEIOS!$F$2:$F$3142))</f>
        <v>5117.8599999999997</v>
      </c>
      <c r="P449" s="15">
        <f t="shared" si="13"/>
        <v>0</v>
      </c>
      <c r="Q449" s="49" t="str">
        <f>IF(AND(J449=0,K449=0,L449=0,M449=0),"",IF(O449=0,"PENDENTE DE RATEIO",IF(ABS(P449)&gt;0.005,"DIVERGÊNCIA",IF(COUNTIF(RATEIOS!$A$2:$A$3142,$A449)-COUNTIFS(RATEIOS!$A$2:$A$3142,$A449,RATEIOS!$D$2:$D$3142,"&lt;&gt;")&gt;0,"NÃO CLASSIFICADO","RATEIO OK"))))</f>
        <v>RATEIO OK</v>
      </c>
      <c r="R449" s="49" t="s">
        <v>2553</v>
      </c>
      <c r="S449" s="14" t="s">
        <v>719</v>
      </c>
    </row>
    <row r="450" spans="1:19" ht="24.95" customHeight="1" x14ac:dyDescent="0.25">
      <c r="A450" s="49" t="s">
        <v>1865</v>
      </c>
      <c r="B450" s="98">
        <v>449</v>
      </c>
      <c r="C450" s="50">
        <v>46153</v>
      </c>
      <c r="D450" s="49">
        <f t="shared" ref="D450:D513" si="14">IF(C450="","",MONTH(C450))</f>
        <v>5</v>
      </c>
      <c r="E450" s="92" t="s">
        <v>72</v>
      </c>
      <c r="F450" s="49" t="s">
        <v>36</v>
      </c>
      <c r="G450" s="14" t="s">
        <v>658</v>
      </c>
      <c r="H450" s="14" t="s">
        <v>3028</v>
      </c>
      <c r="I450" s="76" t="s">
        <v>157</v>
      </c>
      <c r="J450" s="73">
        <v>0</v>
      </c>
      <c r="K450" s="74">
        <v>3893</v>
      </c>
      <c r="L450" s="72">
        <v>0</v>
      </c>
      <c r="M450" s="72">
        <v>0</v>
      </c>
      <c r="N450" s="72">
        <f>IF(AND(C450="",J450=0,K450=0,L450=0,M450=0),"",CADASTROS!$B$4+SUM($J$2:J450)+SUM($M$2:M450)-SUM($K$2:K450)-SUM($L$2:L450))</f>
        <v>40387.189999999478</v>
      </c>
      <c r="O450" s="72">
        <f>IF(A450="","",SUMIF(RATEIOS!$A$2:$A$3142,$A450,RATEIOS!$F$2:$F$3142))</f>
        <v>3893</v>
      </c>
      <c r="P450" s="15">
        <f t="shared" ref="P450:P513" si="15">IF(A450="","",(J450+K450+L450+M450)-O450)</f>
        <v>0</v>
      </c>
      <c r="Q450" s="49" t="str">
        <f>IF(AND(J450=0,K450=0,L450=0,M450=0),"",IF(O450=0,"PENDENTE DE RATEIO",IF(ABS(P450)&gt;0.005,"DIVERGÊNCIA",IF(COUNTIF(RATEIOS!$A$2:$A$3142,$A450)-COUNTIFS(RATEIOS!$A$2:$A$3142,$A450,RATEIOS!$D$2:$D$3142,"&lt;&gt;")&gt;0,"NÃO CLASSIFICADO","RATEIO OK"))))</f>
        <v>RATEIO OK</v>
      </c>
      <c r="R450" s="49" t="s">
        <v>2553</v>
      </c>
      <c r="S450" s="14"/>
    </row>
    <row r="451" spans="1:19" ht="24.95" customHeight="1" x14ac:dyDescent="0.25">
      <c r="A451" s="49" t="s">
        <v>1866</v>
      </c>
      <c r="B451" s="98">
        <v>450</v>
      </c>
      <c r="C451" s="50">
        <v>46153</v>
      </c>
      <c r="D451" s="49">
        <f t="shared" si="14"/>
        <v>5</v>
      </c>
      <c r="E451" s="92" t="s">
        <v>72</v>
      </c>
      <c r="F451" s="49" t="s">
        <v>36</v>
      </c>
      <c r="G451" s="14" t="s">
        <v>2929</v>
      </c>
      <c r="H451" s="14" t="s">
        <v>2934</v>
      </c>
      <c r="I451" s="76" t="s">
        <v>721</v>
      </c>
      <c r="J451" s="73">
        <v>0</v>
      </c>
      <c r="K451" s="74">
        <v>1800</v>
      </c>
      <c r="L451" s="72">
        <v>0</v>
      </c>
      <c r="M451" s="72">
        <v>0</v>
      </c>
      <c r="N451" s="72">
        <f>IF(AND(C451="",J451=0,K451=0,L451=0,M451=0),"",CADASTROS!$B$4+SUM($J$2:J451)+SUM($M$2:M451)-SUM($K$2:K451)-SUM($L$2:L451))</f>
        <v>38587.189999999478</v>
      </c>
      <c r="O451" s="72">
        <f>IF(A451="","",SUMIF(RATEIOS!$A$2:$A$3142,$A451,RATEIOS!$F$2:$F$3142))</f>
        <v>1800</v>
      </c>
      <c r="P451" s="15">
        <f t="shared" si="15"/>
        <v>0</v>
      </c>
      <c r="Q451" s="49" t="str">
        <f>IF(AND(J451=0,K451=0,L451=0,M451=0),"",IF(O451=0,"PENDENTE DE RATEIO",IF(ABS(P451)&gt;0.005,"DIVERGÊNCIA",IF(COUNTIF(RATEIOS!$A$2:$A$3142,$A451)-COUNTIFS(RATEIOS!$A$2:$A$3142,$A451,RATEIOS!$D$2:$D$3142,"&lt;&gt;")&gt;0,"NÃO CLASSIFICADO","RATEIO OK"))))</f>
        <v>RATEIO OK</v>
      </c>
      <c r="R451" s="49" t="s">
        <v>2553</v>
      </c>
      <c r="S451" s="14"/>
    </row>
    <row r="452" spans="1:19" ht="24.95" customHeight="1" x14ac:dyDescent="0.25">
      <c r="A452" s="49" t="s">
        <v>1867</v>
      </c>
      <c r="B452" s="98">
        <v>451</v>
      </c>
      <c r="C452" s="50">
        <v>46153</v>
      </c>
      <c r="D452" s="49">
        <f t="shared" si="14"/>
        <v>5</v>
      </c>
      <c r="E452" s="92" t="s">
        <v>2556</v>
      </c>
      <c r="F452" s="49" t="s">
        <v>36</v>
      </c>
      <c r="G452" s="14" t="s">
        <v>297</v>
      </c>
      <c r="H452" s="14" t="s">
        <v>117</v>
      </c>
      <c r="I452" s="76" t="s">
        <v>412</v>
      </c>
      <c r="J452" s="73">
        <v>0</v>
      </c>
      <c r="K452" s="74">
        <v>275</v>
      </c>
      <c r="L452" s="72">
        <v>0</v>
      </c>
      <c r="M452" s="72">
        <v>0</v>
      </c>
      <c r="N452" s="72">
        <f>IF(AND(C452="",J452=0,K452=0,L452=0,M452=0),"",CADASTROS!$B$4+SUM($J$2:J452)+SUM($M$2:M452)-SUM($K$2:K452)-SUM($L$2:L452))</f>
        <v>38312.189999999478</v>
      </c>
      <c r="O452" s="72">
        <f>IF(A452="","",SUMIF(RATEIOS!$A$2:$A$3142,$A452,RATEIOS!$F$2:$F$3142))</f>
        <v>275</v>
      </c>
      <c r="P452" s="15">
        <f t="shared" si="15"/>
        <v>0</v>
      </c>
      <c r="Q452" s="49" t="str">
        <f>IF(AND(J452=0,K452=0,L452=0,M452=0),"",IF(O452=0,"PENDENTE DE RATEIO",IF(ABS(P452)&gt;0.005,"DIVERGÊNCIA",IF(COUNTIF(RATEIOS!$A$2:$A$3142,$A452)-COUNTIFS(RATEIOS!$A$2:$A$3142,$A452,RATEIOS!$D$2:$D$3142,"&lt;&gt;")&gt;0,"NÃO CLASSIFICADO","RATEIO OK"))))</f>
        <v>RATEIO OK</v>
      </c>
      <c r="R452" s="49" t="s">
        <v>2553</v>
      </c>
      <c r="S452" s="14"/>
    </row>
    <row r="453" spans="1:19" ht="24.95" customHeight="1" x14ac:dyDescent="0.25">
      <c r="A453" s="49" t="s">
        <v>1868</v>
      </c>
      <c r="B453" s="98">
        <v>452</v>
      </c>
      <c r="C453" s="50">
        <v>46153</v>
      </c>
      <c r="D453" s="49">
        <f t="shared" si="14"/>
        <v>5</v>
      </c>
      <c r="E453" s="92" t="s">
        <v>118</v>
      </c>
      <c r="F453" s="49" t="s">
        <v>36</v>
      </c>
      <c r="G453" s="14" t="s">
        <v>119</v>
      </c>
      <c r="H453" s="14" t="s">
        <v>120</v>
      </c>
      <c r="I453" s="76" t="s">
        <v>2949</v>
      </c>
      <c r="J453" s="73">
        <v>0</v>
      </c>
      <c r="K453" s="74">
        <v>149.9</v>
      </c>
      <c r="L453" s="72">
        <v>0</v>
      </c>
      <c r="M453" s="72">
        <v>0</v>
      </c>
      <c r="N453" s="72">
        <f>IF(AND(C453="",J453=0,K453=0,L453=0,M453=0),"",CADASTROS!$B$4+SUM($J$2:J453)+SUM($M$2:M453)-SUM($K$2:K453)-SUM($L$2:L453))</f>
        <v>38162.289999999572</v>
      </c>
      <c r="O453" s="72">
        <f>IF(A453="","",SUMIF(RATEIOS!$A$2:$A$3142,$A453,RATEIOS!$F$2:$F$3142))</f>
        <v>149.9</v>
      </c>
      <c r="P453" s="15">
        <f t="shared" si="15"/>
        <v>0</v>
      </c>
      <c r="Q453" s="49" t="str">
        <f>IF(AND(J453=0,K453=0,L453=0,M453=0),"",IF(O453=0,"PENDENTE DE RATEIO",IF(ABS(P453)&gt;0.005,"DIVERGÊNCIA",IF(COUNTIF(RATEIOS!$A$2:$A$3142,$A453)-COUNTIFS(RATEIOS!$A$2:$A$3142,$A453,RATEIOS!$D$2:$D$3142,"&lt;&gt;")&gt;0,"NÃO CLASSIFICADO","RATEIO OK"))))</f>
        <v>RATEIO OK</v>
      </c>
      <c r="R453" s="49" t="s">
        <v>2553</v>
      </c>
      <c r="S453" s="14"/>
    </row>
    <row r="454" spans="1:19" ht="24.95" customHeight="1" x14ac:dyDescent="0.25">
      <c r="A454" s="49" t="s">
        <v>1869</v>
      </c>
      <c r="B454" s="98">
        <v>453</v>
      </c>
      <c r="C454" s="50">
        <v>46153</v>
      </c>
      <c r="D454" s="49">
        <f t="shared" si="14"/>
        <v>5</v>
      </c>
      <c r="E454" s="92" t="s">
        <v>287</v>
      </c>
      <c r="F454" s="49" t="s">
        <v>35</v>
      </c>
      <c r="G454" s="14" t="s">
        <v>722</v>
      </c>
      <c r="H454" s="14" t="s">
        <v>2737</v>
      </c>
      <c r="I454" s="76" t="s">
        <v>412</v>
      </c>
      <c r="J454" s="73">
        <v>8413.9699999999993</v>
      </c>
      <c r="K454" s="74">
        <v>0</v>
      </c>
      <c r="L454" s="72">
        <v>0</v>
      </c>
      <c r="M454" s="72">
        <v>0</v>
      </c>
      <c r="N454" s="72">
        <f>IF(AND(C454="",J454=0,K454=0,L454=0,M454=0),"",CADASTROS!$B$4+SUM($J$2:J454)+SUM($M$2:M454)-SUM($K$2:K454)-SUM($L$2:L454))</f>
        <v>46576.259999999776</v>
      </c>
      <c r="O454" s="72">
        <f>IF(A454="","",SUMIF(RATEIOS!$A$2:$A$3142,$A454,RATEIOS!$F$2:$F$3142))</f>
        <v>8413.9699999999993</v>
      </c>
      <c r="P454" s="15">
        <f t="shared" si="15"/>
        <v>0</v>
      </c>
      <c r="Q454" s="49" t="str">
        <f>IF(AND(J454=0,K454=0,L454=0,M454=0),"",IF(O454=0,"PENDENTE DE RATEIO",IF(ABS(P454)&gt;0.005,"DIVERGÊNCIA",IF(COUNTIF(RATEIOS!$A$2:$A$3142,$A454)-COUNTIFS(RATEIOS!$A$2:$A$3142,$A454,RATEIOS!$D$2:$D$3142,"&lt;&gt;")&gt;0,"NÃO CLASSIFICADO","RATEIO OK"))))</f>
        <v>RATEIO OK</v>
      </c>
      <c r="R454" s="49" t="s">
        <v>2553</v>
      </c>
      <c r="S454" s="14"/>
    </row>
    <row r="455" spans="1:19" ht="24.95" customHeight="1" x14ac:dyDescent="0.25">
      <c r="A455" s="49" t="s">
        <v>1870</v>
      </c>
      <c r="B455" s="98">
        <v>454</v>
      </c>
      <c r="C455" s="50">
        <v>46154</v>
      </c>
      <c r="D455" s="49">
        <f t="shared" si="14"/>
        <v>5</v>
      </c>
      <c r="E455" s="92" t="s">
        <v>72</v>
      </c>
      <c r="F455" s="49" t="s">
        <v>36</v>
      </c>
      <c r="G455" s="14" t="s">
        <v>69</v>
      </c>
      <c r="H455" s="14" t="s">
        <v>70</v>
      </c>
      <c r="I455" s="76" t="s">
        <v>723</v>
      </c>
      <c r="J455" s="73">
        <v>0</v>
      </c>
      <c r="K455" s="74">
        <v>230</v>
      </c>
      <c r="L455" s="72">
        <v>0</v>
      </c>
      <c r="M455" s="72">
        <v>0</v>
      </c>
      <c r="N455" s="72">
        <f>IF(AND(C455="",J455=0,K455=0,L455=0,M455=0),"",CADASTROS!$B$4+SUM($J$2:J455)+SUM($M$2:M455)-SUM($K$2:K455)-SUM($L$2:L455))</f>
        <v>46346.259999999776</v>
      </c>
      <c r="O455" s="72">
        <f>IF(A455="","",SUMIF(RATEIOS!$A$2:$A$3142,$A455,RATEIOS!$F$2:$F$3142))</f>
        <v>230</v>
      </c>
      <c r="P455" s="15">
        <f t="shared" si="15"/>
        <v>0</v>
      </c>
      <c r="Q455" s="49" t="str">
        <f>IF(AND(J455=0,K455=0,L455=0,M455=0),"",IF(O455=0,"PENDENTE DE RATEIO",IF(ABS(P455)&gt;0.005,"DIVERGÊNCIA",IF(COUNTIF(RATEIOS!$A$2:$A$3142,$A455)-COUNTIFS(RATEIOS!$A$2:$A$3142,$A455,RATEIOS!$D$2:$D$3142,"&lt;&gt;")&gt;0,"NÃO CLASSIFICADO","RATEIO OK"))))</f>
        <v>RATEIO OK</v>
      </c>
      <c r="R455" s="49" t="s">
        <v>2553</v>
      </c>
      <c r="S455" s="14"/>
    </row>
    <row r="456" spans="1:19" ht="24.95" customHeight="1" x14ac:dyDescent="0.25">
      <c r="A456" s="49" t="s">
        <v>1871</v>
      </c>
      <c r="B456" s="98">
        <v>455</v>
      </c>
      <c r="C456" s="50">
        <v>46155</v>
      </c>
      <c r="D456" s="49">
        <f t="shared" si="14"/>
        <v>5</v>
      </c>
      <c r="E456" s="92" t="s">
        <v>123</v>
      </c>
      <c r="F456" s="49" t="s">
        <v>36</v>
      </c>
      <c r="G456" s="14" t="s">
        <v>2919</v>
      </c>
      <c r="H456" s="14" t="s">
        <v>3183</v>
      </c>
      <c r="I456" s="76" t="s">
        <v>412</v>
      </c>
      <c r="J456" s="73">
        <v>0</v>
      </c>
      <c r="K456" s="74">
        <v>36168.61</v>
      </c>
      <c r="L456" s="72">
        <v>0</v>
      </c>
      <c r="M456" s="72">
        <v>0</v>
      </c>
      <c r="N456" s="72">
        <f>IF(AND(C456="",J456=0,K456=0,L456=0,M456=0),"",CADASTROS!$B$4+SUM($J$2:J456)+SUM($M$2:M456)-SUM($K$2:K456)-SUM($L$2:L456))</f>
        <v>10177.649999999674</v>
      </c>
      <c r="O456" s="72">
        <f>IF(A456="","",SUMIF(RATEIOS!$A$2:$A$3142,$A456,RATEIOS!$F$2:$F$3142))</f>
        <v>36168.61</v>
      </c>
      <c r="P456" s="15">
        <f t="shared" si="15"/>
        <v>0</v>
      </c>
      <c r="Q456" s="49" t="str">
        <f>IF(AND(J456=0,K456=0,L456=0,M456=0),"",IF(O456=0,"PENDENTE DE RATEIO",IF(ABS(P456)&gt;0.005,"DIVERGÊNCIA",IF(COUNTIF(RATEIOS!$A$2:$A$3142,$A456)-COUNTIFS(RATEIOS!$A$2:$A$3142,$A456,RATEIOS!$D$2:$D$3142,"&lt;&gt;")&gt;0,"NÃO CLASSIFICADO","RATEIO OK"))))</f>
        <v>RATEIO OK</v>
      </c>
      <c r="R456" s="49" t="s">
        <v>2553</v>
      </c>
      <c r="S456" s="14"/>
    </row>
    <row r="457" spans="1:19" ht="24.95" customHeight="1" x14ac:dyDescent="0.25">
      <c r="A457" s="49" t="s">
        <v>1872</v>
      </c>
      <c r="B457" s="98">
        <v>456</v>
      </c>
      <c r="C457" s="50">
        <v>46155</v>
      </c>
      <c r="D457" s="49">
        <f t="shared" si="14"/>
        <v>5</v>
      </c>
      <c r="E457" s="92" t="s">
        <v>2556</v>
      </c>
      <c r="F457" s="49" t="s">
        <v>36</v>
      </c>
      <c r="G457" s="14" t="s">
        <v>276</v>
      </c>
      <c r="H457" s="14" t="s">
        <v>277</v>
      </c>
      <c r="I457" s="76" t="s">
        <v>412</v>
      </c>
      <c r="J457" s="73">
        <v>0</v>
      </c>
      <c r="K457" s="74">
        <v>38.5</v>
      </c>
      <c r="L457" s="72">
        <v>0</v>
      </c>
      <c r="M457" s="72">
        <v>0</v>
      </c>
      <c r="N457" s="72">
        <f>IF(AND(C457="",J457=0,K457=0,L457=0,M457=0),"",CADASTROS!$B$4+SUM($J$2:J457)+SUM($M$2:M457)-SUM($K$2:K457)-SUM($L$2:L457))</f>
        <v>10139.149999999674</v>
      </c>
      <c r="O457" s="72">
        <f>IF(A457="","",SUMIF(RATEIOS!$A$2:$A$3142,$A457,RATEIOS!$F$2:$F$3142))</f>
        <v>38.5</v>
      </c>
      <c r="P457" s="15">
        <f t="shared" si="15"/>
        <v>0</v>
      </c>
      <c r="Q457" s="49" t="str">
        <f>IF(AND(J457=0,K457=0,L457=0,M457=0),"",IF(O457=0,"PENDENTE DE RATEIO",IF(ABS(P457)&gt;0.005,"DIVERGÊNCIA",IF(COUNTIF(RATEIOS!$A$2:$A$3142,$A457)-COUNTIFS(RATEIOS!$A$2:$A$3142,$A457,RATEIOS!$D$2:$D$3142,"&lt;&gt;")&gt;0,"NÃO CLASSIFICADO","RATEIO OK"))))</f>
        <v>RATEIO OK</v>
      </c>
      <c r="R457" s="49" t="s">
        <v>2553</v>
      </c>
      <c r="S457" s="14"/>
    </row>
    <row r="458" spans="1:19" ht="24.95" customHeight="1" x14ac:dyDescent="0.25">
      <c r="A458" s="49" t="s">
        <v>1873</v>
      </c>
      <c r="B458" s="98">
        <v>457</v>
      </c>
      <c r="C458" s="50">
        <v>46156</v>
      </c>
      <c r="D458" s="49">
        <f t="shared" si="14"/>
        <v>5</v>
      </c>
      <c r="E458" s="92" t="s">
        <v>118</v>
      </c>
      <c r="F458" s="49" t="s">
        <v>36</v>
      </c>
      <c r="G458" s="14" t="s">
        <v>724</v>
      </c>
      <c r="H458" s="14" t="s">
        <v>92</v>
      </c>
      <c r="I458" s="76" t="s">
        <v>93</v>
      </c>
      <c r="J458" s="73">
        <v>0</v>
      </c>
      <c r="K458" s="74">
        <v>2001.76</v>
      </c>
      <c r="L458" s="72">
        <v>0</v>
      </c>
      <c r="M458" s="72">
        <v>0</v>
      </c>
      <c r="N458" s="72">
        <f>IF(AND(C458="",J458=0,K458=0,L458=0,M458=0),"",CADASTROS!$B$4+SUM($J$2:J458)+SUM($M$2:M458)-SUM($K$2:K458)-SUM($L$2:L458))</f>
        <v>8137.3899999996647</v>
      </c>
      <c r="O458" s="72">
        <f>IF(A458="","",SUMIF(RATEIOS!$A$2:$A$3142,$A458,RATEIOS!$F$2:$F$3142))</f>
        <v>2001.76</v>
      </c>
      <c r="P458" s="15">
        <f t="shared" si="15"/>
        <v>0</v>
      </c>
      <c r="Q458" s="49" t="str">
        <f>IF(AND(J458=0,K458=0,L458=0,M458=0),"",IF(O458=0,"PENDENTE DE RATEIO",IF(ABS(P458)&gt;0.005,"DIVERGÊNCIA",IF(COUNTIF(RATEIOS!$A$2:$A$3142,$A458)-COUNTIFS(RATEIOS!$A$2:$A$3142,$A458,RATEIOS!$D$2:$D$3142,"&lt;&gt;")&gt;0,"NÃO CLASSIFICADO","RATEIO OK"))))</f>
        <v>RATEIO OK</v>
      </c>
      <c r="R458" s="49" t="s">
        <v>2553</v>
      </c>
      <c r="S458" s="14" t="s">
        <v>725</v>
      </c>
    </row>
    <row r="459" spans="1:19" ht="24.95" customHeight="1" x14ac:dyDescent="0.25">
      <c r="A459" s="49" t="s">
        <v>1874</v>
      </c>
      <c r="B459" s="98">
        <v>458</v>
      </c>
      <c r="C459" s="50">
        <v>46162</v>
      </c>
      <c r="D459" s="49">
        <f t="shared" si="14"/>
        <v>5</v>
      </c>
      <c r="E459" s="92" t="s">
        <v>169</v>
      </c>
      <c r="F459" s="49" t="s">
        <v>36</v>
      </c>
      <c r="G459" s="14" t="s">
        <v>726</v>
      </c>
      <c r="H459" s="14" t="s">
        <v>167</v>
      </c>
      <c r="I459" s="76" t="s">
        <v>412</v>
      </c>
      <c r="J459" s="73">
        <v>0</v>
      </c>
      <c r="K459" s="74">
        <v>30826.71</v>
      </c>
      <c r="L459" s="72">
        <v>0</v>
      </c>
      <c r="M459" s="72">
        <v>0</v>
      </c>
      <c r="N459" s="72">
        <f>IF(AND(C459="",J459=0,K459=0,L459=0,M459=0),"",CADASTROS!$B$4+SUM($J$2:J459)+SUM($M$2:M459)-SUM($K$2:K459)-SUM($L$2:L459))</f>
        <v>-22689.320000000298</v>
      </c>
      <c r="O459" s="72">
        <f>IF(A459="","",SUMIF(RATEIOS!$A$2:$A$3142,$A459,RATEIOS!$F$2:$F$3142))</f>
        <v>30826.71</v>
      </c>
      <c r="P459" s="15">
        <f t="shared" si="15"/>
        <v>0</v>
      </c>
      <c r="Q459" s="49" t="str">
        <f>IF(AND(J459=0,K459=0,L459=0,M459=0),"",IF(O459=0,"PENDENTE DE RATEIO",IF(ABS(P459)&gt;0.005,"DIVERGÊNCIA",IF(COUNTIF(RATEIOS!$A$2:$A$3142,$A459)-COUNTIFS(RATEIOS!$A$2:$A$3142,$A459,RATEIOS!$D$2:$D$3142,"&lt;&gt;")&gt;0,"NÃO CLASSIFICADO","RATEIO OK"))))</f>
        <v>RATEIO OK</v>
      </c>
      <c r="R459" s="49" t="s">
        <v>2553</v>
      </c>
      <c r="S459" s="14"/>
    </row>
    <row r="460" spans="1:19" ht="24.95" customHeight="1" x14ac:dyDescent="0.25">
      <c r="A460" s="49" t="s">
        <v>1875</v>
      </c>
      <c r="B460" s="98">
        <v>459</v>
      </c>
      <c r="C460" s="50">
        <v>46162</v>
      </c>
      <c r="D460" s="49">
        <f t="shared" si="14"/>
        <v>5</v>
      </c>
      <c r="E460" s="92" t="s">
        <v>118</v>
      </c>
      <c r="F460" s="49" t="s">
        <v>36</v>
      </c>
      <c r="G460" s="14" t="s">
        <v>727</v>
      </c>
      <c r="H460" s="14" t="s">
        <v>84</v>
      </c>
      <c r="I460" s="76" t="s">
        <v>412</v>
      </c>
      <c r="J460" s="73">
        <v>0</v>
      </c>
      <c r="K460" s="74">
        <v>25963.55</v>
      </c>
      <c r="L460" s="72">
        <v>0</v>
      </c>
      <c r="M460" s="72">
        <v>0</v>
      </c>
      <c r="N460" s="72">
        <f>IF(AND(C460="",J460=0,K460=0,L460=0,M460=0),"",CADASTROS!$B$4+SUM($J$2:J460)+SUM($M$2:M460)-SUM($K$2:K460)-SUM($L$2:L460))</f>
        <v>-48652.870000000112</v>
      </c>
      <c r="O460" s="72">
        <f>IF(A460="","",SUMIF(RATEIOS!$A$2:$A$3142,$A460,RATEIOS!$F$2:$F$3142))</f>
        <v>25963.55</v>
      </c>
      <c r="P460" s="15">
        <f t="shared" si="15"/>
        <v>0</v>
      </c>
      <c r="Q460" s="49" t="str">
        <f>IF(AND(J460=0,K460=0,L460=0,M460=0),"",IF(O460=0,"PENDENTE DE RATEIO",IF(ABS(P460)&gt;0.005,"DIVERGÊNCIA",IF(COUNTIF(RATEIOS!$A$2:$A$3142,$A460)-COUNTIFS(RATEIOS!$A$2:$A$3142,$A460,RATEIOS!$D$2:$D$3142,"&lt;&gt;")&gt;0,"NÃO CLASSIFICADO","RATEIO OK"))))</f>
        <v>RATEIO OK</v>
      </c>
      <c r="R460" s="49" t="s">
        <v>2553</v>
      </c>
      <c r="S460" s="14" t="s">
        <v>2994</v>
      </c>
    </row>
    <row r="461" spans="1:19" ht="24.95" customHeight="1" x14ac:dyDescent="0.25">
      <c r="A461" s="49" t="s">
        <v>1876</v>
      </c>
      <c r="B461" s="98">
        <v>460</v>
      </c>
      <c r="C461" s="50">
        <v>46162</v>
      </c>
      <c r="D461" s="49">
        <f t="shared" si="14"/>
        <v>5</v>
      </c>
      <c r="E461" s="92" t="s">
        <v>118</v>
      </c>
      <c r="F461" s="49" t="s">
        <v>36</v>
      </c>
      <c r="G461" s="14" t="s">
        <v>728</v>
      </c>
      <c r="H461" s="14" t="s">
        <v>252</v>
      </c>
      <c r="I461" s="76" t="s">
        <v>729</v>
      </c>
      <c r="J461" s="73">
        <v>0</v>
      </c>
      <c r="K461" s="74">
        <v>16171</v>
      </c>
      <c r="L461" s="72">
        <v>0</v>
      </c>
      <c r="M461" s="72">
        <v>0</v>
      </c>
      <c r="N461" s="72">
        <f>IF(AND(C461="",J461=0,K461=0,L461=0,M461=0),"",CADASTROS!$B$4+SUM($J$2:J461)+SUM($M$2:M461)-SUM($K$2:K461)-SUM($L$2:L461))</f>
        <v>-64823.870000000112</v>
      </c>
      <c r="O461" s="72">
        <f>IF(A461="","",SUMIF(RATEIOS!$A$2:$A$3142,$A461,RATEIOS!$F$2:$F$3142))</f>
        <v>16171</v>
      </c>
      <c r="P461" s="15">
        <f t="shared" si="15"/>
        <v>0</v>
      </c>
      <c r="Q461" s="49" t="str">
        <f>IF(AND(J461=0,K461=0,L461=0,M461=0),"",IF(O461=0,"PENDENTE DE RATEIO",IF(ABS(P461)&gt;0.005,"DIVERGÊNCIA",IF(COUNTIF(RATEIOS!$A$2:$A$3142,$A461)-COUNTIFS(RATEIOS!$A$2:$A$3142,$A461,RATEIOS!$D$2:$D$3142,"&lt;&gt;")&gt;0,"NÃO CLASSIFICADO","RATEIO OK"))))</f>
        <v>RATEIO OK</v>
      </c>
      <c r="R461" s="49" t="s">
        <v>2553</v>
      </c>
      <c r="S461" s="14" t="s">
        <v>730</v>
      </c>
    </row>
    <row r="462" spans="1:19" ht="24.95" customHeight="1" x14ac:dyDescent="0.25">
      <c r="A462" s="49" t="s">
        <v>1877</v>
      </c>
      <c r="B462" s="98">
        <v>461</v>
      </c>
      <c r="C462" s="50">
        <v>46162</v>
      </c>
      <c r="D462" s="49">
        <f t="shared" si="14"/>
        <v>5</v>
      </c>
      <c r="E462" s="92" t="s">
        <v>287</v>
      </c>
      <c r="F462" s="49" t="s">
        <v>36</v>
      </c>
      <c r="G462" s="14" t="s">
        <v>731</v>
      </c>
      <c r="H462" s="14" t="s">
        <v>417</v>
      </c>
      <c r="I462" s="76" t="s">
        <v>412</v>
      </c>
      <c r="J462" s="73">
        <v>0</v>
      </c>
      <c r="K462" s="74">
        <v>15332.88</v>
      </c>
      <c r="L462" s="72">
        <v>0</v>
      </c>
      <c r="M462" s="72">
        <v>0</v>
      </c>
      <c r="N462" s="72">
        <f>IF(AND(C462="",J462=0,K462=0,L462=0,M462=0),"",CADASTROS!$B$4+SUM($J$2:J462)+SUM($M$2:M462)-SUM($K$2:K462)-SUM($L$2:L462))</f>
        <v>-80156.75</v>
      </c>
      <c r="O462" s="72">
        <f>IF(A462="","",SUMIF(RATEIOS!$A$2:$A$3142,$A462,RATEIOS!$F$2:$F$3142))</f>
        <v>15332.880000000001</v>
      </c>
      <c r="P462" s="15">
        <f t="shared" si="15"/>
        <v>-1.8189894035458565E-12</v>
      </c>
      <c r="Q462" s="49" t="str">
        <f>IF(AND(J462=0,K462=0,L462=0,M462=0),"",IF(O462=0,"PENDENTE DE RATEIO",IF(ABS(P462)&gt;0.005,"DIVERGÊNCIA",IF(COUNTIF(RATEIOS!$A$2:$A$3142,$A462)-COUNTIFS(RATEIOS!$A$2:$A$3142,$A462,RATEIOS!$D$2:$D$3142,"&lt;&gt;")&gt;0,"NÃO CLASSIFICADO","RATEIO OK"))))</f>
        <v>RATEIO OK</v>
      </c>
      <c r="R462" s="49" t="s">
        <v>2553</v>
      </c>
      <c r="S462" s="14" t="s">
        <v>2995</v>
      </c>
    </row>
    <row r="463" spans="1:19" ht="24.95" customHeight="1" x14ac:dyDescent="0.25">
      <c r="A463" s="49" t="s">
        <v>1878</v>
      </c>
      <c r="B463" s="98">
        <v>462</v>
      </c>
      <c r="C463" s="50">
        <v>46162</v>
      </c>
      <c r="D463" s="49">
        <f t="shared" si="14"/>
        <v>5</v>
      </c>
      <c r="E463" s="92" t="s">
        <v>72</v>
      </c>
      <c r="F463" s="49" t="s">
        <v>36</v>
      </c>
      <c r="G463" s="14" t="s">
        <v>2920</v>
      </c>
      <c r="H463" s="14" t="s">
        <v>419</v>
      </c>
      <c r="I463" s="76" t="s">
        <v>733</v>
      </c>
      <c r="J463" s="73">
        <v>0</v>
      </c>
      <c r="K463" s="74">
        <v>14000</v>
      </c>
      <c r="L463" s="72">
        <v>0</v>
      </c>
      <c r="M463" s="72">
        <v>0</v>
      </c>
      <c r="N463" s="72">
        <f>IF(AND(C463="",J463=0,K463=0,L463=0,M463=0),"",CADASTROS!$B$4+SUM($J$2:J463)+SUM($M$2:M463)-SUM($K$2:K463)-SUM($L$2:L463))</f>
        <v>-94156.75</v>
      </c>
      <c r="O463" s="72">
        <f>IF(A463="","",SUMIF(RATEIOS!$A$2:$A$3142,$A463,RATEIOS!$F$2:$F$3142))</f>
        <v>14000</v>
      </c>
      <c r="P463" s="15">
        <f t="shared" si="15"/>
        <v>0</v>
      </c>
      <c r="Q463" s="49" t="str">
        <f>IF(AND(J463=0,K463=0,L463=0,M463=0),"",IF(O463=0,"PENDENTE DE RATEIO",IF(ABS(P463)&gt;0.005,"DIVERGÊNCIA",IF(COUNTIF(RATEIOS!$A$2:$A$3142,$A463)-COUNTIFS(RATEIOS!$A$2:$A$3142,$A463,RATEIOS!$D$2:$D$3142,"&lt;&gt;")&gt;0,"NÃO CLASSIFICADO","RATEIO OK"))))</f>
        <v>RATEIO OK</v>
      </c>
      <c r="R463" s="49" t="s">
        <v>2553</v>
      </c>
      <c r="S463" s="14"/>
    </row>
    <row r="464" spans="1:19" ht="24.95" customHeight="1" x14ac:dyDescent="0.25">
      <c r="A464" s="49" t="s">
        <v>1879</v>
      </c>
      <c r="B464" s="98">
        <v>463</v>
      </c>
      <c r="C464" s="50">
        <v>46162</v>
      </c>
      <c r="D464" s="49">
        <f t="shared" si="14"/>
        <v>5</v>
      </c>
      <c r="E464" s="92" t="s">
        <v>287</v>
      </c>
      <c r="F464" s="49" t="s">
        <v>36</v>
      </c>
      <c r="G464" s="14" t="s">
        <v>734</v>
      </c>
      <c r="H464" s="14" t="s">
        <v>411</v>
      </c>
      <c r="I464" s="76" t="s">
        <v>412</v>
      </c>
      <c r="J464" s="73">
        <v>0</v>
      </c>
      <c r="K464" s="74">
        <v>13833.22</v>
      </c>
      <c r="L464" s="72">
        <v>0</v>
      </c>
      <c r="M464" s="72">
        <v>0</v>
      </c>
      <c r="N464" s="72">
        <f>IF(AND(C464="",J464=0,K464=0,L464=0,M464=0),"",CADASTROS!$B$4+SUM($J$2:J464)+SUM($M$2:M464)-SUM($K$2:K464)-SUM($L$2:L464))</f>
        <v>-107989.9700000002</v>
      </c>
      <c r="O464" s="72">
        <f>IF(A464="","",SUMIF(RATEIOS!$A$2:$A$3142,$A464,RATEIOS!$F$2:$F$3142))</f>
        <v>13833.22</v>
      </c>
      <c r="P464" s="15">
        <f t="shared" si="15"/>
        <v>0</v>
      </c>
      <c r="Q464" s="49" t="str">
        <f>IF(AND(J464=0,K464=0,L464=0,M464=0),"",IF(O464=0,"PENDENTE DE RATEIO",IF(ABS(P464)&gt;0.005,"DIVERGÊNCIA",IF(COUNTIF(RATEIOS!$A$2:$A$3142,$A464)-COUNTIFS(RATEIOS!$A$2:$A$3142,$A464,RATEIOS!$D$2:$D$3142,"&lt;&gt;")&gt;0,"NÃO CLASSIFICADO","RATEIO OK"))))</f>
        <v>RATEIO OK</v>
      </c>
      <c r="R464" s="49" t="s">
        <v>2553</v>
      </c>
      <c r="S464" s="14" t="s">
        <v>2996</v>
      </c>
    </row>
    <row r="465" spans="1:19" ht="24.95" customHeight="1" x14ac:dyDescent="0.25">
      <c r="A465" s="49" t="s">
        <v>1880</v>
      </c>
      <c r="B465" s="98">
        <v>464</v>
      </c>
      <c r="C465" s="50">
        <v>46162</v>
      </c>
      <c r="D465" s="49">
        <f t="shared" si="14"/>
        <v>5</v>
      </c>
      <c r="E465" s="92" t="s">
        <v>287</v>
      </c>
      <c r="F465" s="49" t="s">
        <v>36</v>
      </c>
      <c r="G465" s="14" t="s">
        <v>736</v>
      </c>
      <c r="H465" s="14" t="s">
        <v>349</v>
      </c>
      <c r="I465" s="76" t="s">
        <v>412</v>
      </c>
      <c r="J465" s="73">
        <v>0</v>
      </c>
      <c r="K465" s="74">
        <v>12832.88</v>
      </c>
      <c r="L465" s="72">
        <v>0</v>
      </c>
      <c r="M465" s="72">
        <v>0</v>
      </c>
      <c r="N465" s="72">
        <f>IF(AND(C465="",J465=0,K465=0,L465=0,M465=0),"",CADASTROS!$B$4+SUM($J$2:J465)+SUM($M$2:M465)-SUM($K$2:K465)-SUM($L$2:L465))</f>
        <v>-120822.85000000009</v>
      </c>
      <c r="O465" s="72">
        <f>IF(A465="","",SUMIF(RATEIOS!$A$2:$A$3142,$A465,RATEIOS!$F$2:$F$3142))</f>
        <v>12832.880000000001</v>
      </c>
      <c r="P465" s="15">
        <f t="shared" si="15"/>
        <v>-1.8189894035458565E-12</v>
      </c>
      <c r="Q465" s="49" t="str">
        <f>IF(AND(J465=0,K465=0,L465=0,M465=0),"",IF(O465=0,"PENDENTE DE RATEIO",IF(ABS(P465)&gt;0.005,"DIVERGÊNCIA",IF(COUNTIF(RATEIOS!$A$2:$A$3142,$A465)-COUNTIFS(RATEIOS!$A$2:$A$3142,$A465,RATEIOS!$D$2:$D$3142,"&lt;&gt;")&gt;0,"NÃO CLASSIFICADO","RATEIO OK"))))</f>
        <v>RATEIO OK</v>
      </c>
      <c r="R465" s="49" t="s">
        <v>2553</v>
      </c>
      <c r="S465" s="14" t="s">
        <v>2997</v>
      </c>
    </row>
    <row r="466" spans="1:19" ht="24.95" customHeight="1" x14ac:dyDescent="0.25">
      <c r="A466" s="49" t="s">
        <v>1881</v>
      </c>
      <c r="B466" s="98">
        <v>465</v>
      </c>
      <c r="C466" s="50">
        <v>46162</v>
      </c>
      <c r="D466" s="49">
        <f t="shared" si="14"/>
        <v>5</v>
      </c>
      <c r="E466" s="92" t="s">
        <v>287</v>
      </c>
      <c r="F466" s="49" t="s">
        <v>36</v>
      </c>
      <c r="G466" s="14" t="s">
        <v>737</v>
      </c>
      <c r="H466" s="14" t="s">
        <v>414</v>
      </c>
      <c r="I466" s="76" t="s">
        <v>738</v>
      </c>
      <c r="J466" s="73">
        <v>0</v>
      </c>
      <c r="K466" s="74">
        <v>11098.96</v>
      </c>
      <c r="L466" s="72">
        <v>0</v>
      </c>
      <c r="M466" s="72">
        <v>0</v>
      </c>
      <c r="N466" s="72">
        <f>IF(AND(C466="",J466=0,K466=0,L466=0,M466=0),"",CADASTROS!$B$4+SUM($J$2:J466)+SUM($M$2:M466)-SUM($K$2:K466)-SUM($L$2:L466))</f>
        <v>-131921.81000000006</v>
      </c>
      <c r="O466" s="72">
        <f>IF(A466="","",SUMIF(RATEIOS!$A$2:$A$3142,$A466,RATEIOS!$F$2:$F$3142))</f>
        <v>11098.96</v>
      </c>
      <c r="P466" s="15">
        <f t="shared" si="15"/>
        <v>0</v>
      </c>
      <c r="Q466" s="49" t="str">
        <f>IF(AND(J466=0,K466=0,L466=0,M466=0),"",IF(O466=0,"PENDENTE DE RATEIO",IF(ABS(P466)&gt;0.005,"DIVERGÊNCIA",IF(COUNTIF(RATEIOS!$A$2:$A$3142,$A466)-COUNTIFS(RATEIOS!$A$2:$A$3142,$A466,RATEIOS!$D$2:$D$3142,"&lt;&gt;")&gt;0,"NÃO CLASSIFICADO","RATEIO OK"))))</f>
        <v>RATEIO OK</v>
      </c>
      <c r="R466" s="49" t="s">
        <v>2553</v>
      </c>
      <c r="S466" s="14"/>
    </row>
    <row r="467" spans="1:19" ht="24.95" customHeight="1" x14ac:dyDescent="0.25">
      <c r="A467" s="49" t="s">
        <v>1884</v>
      </c>
      <c r="B467" s="98">
        <v>466</v>
      </c>
      <c r="C467" s="50">
        <v>46162</v>
      </c>
      <c r="D467" s="49">
        <f t="shared" si="14"/>
        <v>5</v>
      </c>
      <c r="E467" s="92" t="s">
        <v>118</v>
      </c>
      <c r="F467" s="49" t="s">
        <v>36</v>
      </c>
      <c r="G467" s="14" t="s">
        <v>739</v>
      </c>
      <c r="H467" s="14" t="s">
        <v>204</v>
      </c>
      <c r="I467" s="76" t="s">
        <v>647</v>
      </c>
      <c r="J467" s="73">
        <v>0</v>
      </c>
      <c r="K467" s="74">
        <v>8438.49</v>
      </c>
      <c r="L467" s="72">
        <v>0</v>
      </c>
      <c r="M467" s="72">
        <v>0</v>
      </c>
      <c r="N467" s="72">
        <f>IF(AND(C467="",J467=0,K467=0,L467=0,M467=0),"",CADASTROS!$B$4+SUM($J$2:J467)+SUM($M$2:M467)-SUM($K$2:K467)-SUM($L$2:L467))</f>
        <v>-140360.30000000028</v>
      </c>
      <c r="O467" s="72">
        <f>IF(A467="","",SUMIF(RATEIOS!$A$2:$A$3142,$A467,RATEIOS!$F$2:$F$3142))</f>
        <v>8438.49</v>
      </c>
      <c r="P467" s="15">
        <f t="shared" si="15"/>
        <v>0</v>
      </c>
      <c r="Q467" s="49" t="str">
        <f>IF(AND(J467=0,K467=0,L467=0,M467=0),"",IF(O467=0,"PENDENTE DE RATEIO",IF(ABS(P467)&gt;0.005,"DIVERGÊNCIA",IF(COUNTIF(RATEIOS!$A$2:$A$3142,$A467)-COUNTIFS(RATEIOS!$A$2:$A$3142,$A467,RATEIOS!$D$2:$D$3142,"&lt;&gt;")&gt;0,"NÃO CLASSIFICADO","RATEIO OK"))))</f>
        <v>RATEIO OK</v>
      </c>
      <c r="R467" s="49" t="s">
        <v>2553</v>
      </c>
      <c r="S467" s="14" t="s">
        <v>740</v>
      </c>
    </row>
    <row r="468" spans="1:19" ht="24.95" customHeight="1" x14ac:dyDescent="0.25">
      <c r="A468" s="49" t="s">
        <v>1887</v>
      </c>
      <c r="B468" s="98">
        <v>467</v>
      </c>
      <c r="C468" s="50">
        <v>46162</v>
      </c>
      <c r="D468" s="49">
        <f t="shared" si="14"/>
        <v>5</v>
      </c>
      <c r="E468" s="92" t="s">
        <v>72</v>
      </c>
      <c r="F468" s="49" t="s">
        <v>36</v>
      </c>
      <c r="G468" s="14" t="s">
        <v>741</v>
      </c>
      <c r="H468" s="14" t="s">
        <v>164</v>
      </c>
      <c r="I468" s="76" t="s">
        <v>412</v>
      </c>
      <c r="J468" s="73">
        <v>0</v>
      </c>
      <c r="K468" s="74">
        <v>8213.39</v>
      </c>
      <c r="L468" s="72">
        <v>0</v>
      </c>
      <c r="M468" s="72">
        <v>0</v>
      </c>
      <c r="N468" s="72">
        <f>IF(AND(C468="",J468=0,K468=0,L468=0,M468=0),"",CADASTROS!$B$4+SUM($J$2:J468)+SUM($M$2:M468)-SUM($K$2:K468)-SUM($L$2:L468))</f>
        <v>-148573.69000000041</v>
      </c>
      <c r="O468" s="72">
        <f>IF(A468="","",SUMIF(RATEIOS!$A$2:$A$3142,$A468,RATEIOS!$F$2:$F$3142))</f>
        <v>8213.39</v>
      </c>
      <c r="P468" s="15">
        <f t="shared" si="15"/>
        <v>0</v>
      </c>
      <c r="Q468" s="49" t="str">
        <f>IF(AND(J468=0,K468=0,L468=0,M468=0),"",IF(O468=0,"PENDENTE DE RATEIO",IF(ABS(P468)&gt;0.005,"DIVERGÊNCIA",IF(COUNTIF(RATEIOS!$A$2:$A$3142,$A468)-COUNTIFS(RATEIOS!$A$2:$A$3142,$A468,RATEIOS!$D$2:$D$3142,"&lt;&gt;")&gt;0,"NÃO CLASSIFICADO","RATEIO OK"))))</f>
        <v>RATEIO OK</v>
      </c>
      <c r="R468" s="49" t="s">
        <v>2553</v>
      </c>
      <c r="S468" s="14"/>
    </row>
    <row r="469" spans="1:19" ht="24.95" customHeight="1" x14ac:dyDescent="0.25">
      <c r="A469" s="49" t="s">
        <v>1888</v>
      </c>
      <c r="B469" s="98">
        <v>468</v>
      </c>
      <c r="C469" s="50">
        <v>46162</v>
      </c>
      <c r="D469" s="49">
        <f t="shared" si="14"/>
        <v>5</v>
      </c>
      <c r="E469" s="92" t="s">
        <v>287</v>
      </c>
      <c r="F469" s="49" t="s">
        <v>36</v>
      </c>
      <c r="G469" s="14" t="s">
        <v>742</v>
      </c>
      <c r="H469" s="14" t="s">
        <v>743</v>
      </c>
      <c r="I469" s="76" t="s">
        <v>412</v>
      </c>
      <c r="J469" s="73">
        <v>0</v>
      </c>
      <c r="K469" s="74">
        <v>7666.44</v>
      </c>
      <c r="L469" s="72">
        <v>0</v>
      </c>
      <c r="M469" s="72">
        <v>0</v>
      </c>
      <c r="N469" s="72">
        <f>IF(AND(C469="",J469=0,K469=0,L469=0,M469=0),"",CADASTROS!$B$4+SUM($J$2:J469)+SUM($M$2:M469)-SUM($K$2:K469)-SUM($L$2:L469))</f>
        <v>-156240.13000000035</v>
      </c>
      <c r="O469" s="72">
        <f>IF(A469="","",SUMIF(RATEIOS!$A$2:$A$3142,$A469,RATEIOS!$F$2:$F$3142))</f>
        <v>7666.4400000000005</v>
      </c>
      <c r="P469" s="15">
        <f t="shared" si="15"/>
        <v>-9.0949470177292824E-13</v>
      </c>
      <c r="Q469" s="49" t="str">
        <f>IF(AND(J469=0,K469=0,L469=0,M469=0),"",IF(O469=0,"PENDENTE DE RATEIO",IF(ABS(P469)&gt;0.005,"DIVERGÊNCIA",IF(COUNTIF(RATEIOS!$A$2:$A$3142,$A469)-COUNTIFS(RATEIOS!$A$2:$A$3142,$A469,RATEIOS!$D$2:$D$3142,"&lt;&gt;")&gt;0,"NÃO CLASSIFICADO","RATEIO OK"))))</f>
        <v>RATEIO OK</v>
      </c>
      <c r="R469" s="49" t="s">
        <v>2553</v>
      </c>
      <c r="S469" s="14" t="s">
        <v>2998</v>
      </c>
    </row>
    <row r="470" spans="1:19" ht="24.95" customHeight="1" x14ac:dyDescent="0.25">
      <c r="A470" s="49" t="s">
        <v>1891</v>
      </c>
      <c r="B470" s="98">
        <v>469</v>
      </c>
      <c r="C470" s="50">
        <v>46162</v>
      </c>
      <c r="D470" s="49">
        <f t="shared" si="14"/>
        <v>5</v>
      </c>
      <c r="E470" s="92" t="s">
        <v>72</v>
      </c>
      <c r="F470" s="49" t="s">
        <v>36</v>
      </c>
      <c r="G470" s="14" t="s">
        <v>744</v>
      </c>
      <c r="H470" s="14" t="s">
        <v>425</v>
      </c>
      <c r="I470" s="76" t="s">
        <v>745</v>
      </c>
      <c r="J470" s="73">
        <v>0</v>
      </c>
      <c r="K470" s="74">
        <v>6000</v>
      </c>
      <c r="L470" s="72">
        <v>0</v>
      </c>
      <c r="M470" s="72">
        <v>0</v>
      </c>
      <c r="N470" s="72">
        <f>IF(AND(C470="",J470=0,K470=0,L470=0,M470=0),"",CADASTROS!$B$4+SUM($J$2:J470)+SUM($M$2:M470)-SUM($K$2:K470)-SUM($L$2:L470))</f>
        <v>-162240.13000000035</v>
      </c>
      <c r="O470" s="72">
        <f>IF(A470="","",SUMIF(RATEIOS!$A$2:$A$3142,$A470,RATEIOS!$F$2:$F$3142))</f>
        <v>6000</v>
      </c>
      <c r="P470" s="15">
        <f t="shared" si="15"/>
        <v>0</v>
      </c>
      <c r="Q470" s="49" t="str">
        <f>IF(AND(J470=0,K470=0,L470=0,M470=0),"",IF(O470=0,"PENDENTE DE RATEIO",IF(ABS(P470)&gt;0.005,"DIVERGÊNCIA",IF(COUNTIF(RATEIOS!$A$2:$A$3142,$A470)-COUNTIFS(RATEIOS!$A$2:$A$3142,$A470,RATEIOS!$D$2:$D$3142,"&lt;&gt;")&gt;0,"NÃO CLASSIFICADO","RATEIO OK"))))</f>
        <v>RATEIO OK</v>
      </c>
      <c r="R470" s="49" t="s">
        <v>2553</v>
      </c>
      <c r="S470" s="14" t="s">
        <v>746</v>
      </c>
    </row>
    <row r="471" spans="1:19" ht="24.95" customHeight="1" x14ac:dyDescent="0.25">
      <c r="A471" s="49" t="s">
        <v>1894</v>
      </c>
      <c r="B471" s="98">
        <v>470</v>
      </c>
      <c r="C471" s="50">
        <v>46162</v>
      </c>
      <c r="D471" s="49">
        <f t="shared" si="14"/>
        <v>5</v>
      </c>
      <c r="E471" s="92" t="s">
        <v>287</v>
      </c>
      <c r="F471" s="49" t="s">
        <v>36</v>
      </c>
      <c r="G471" s="14" t="s">
        <v>747</v>
      </c>
      <c r="H471" s="14" t="s">
        <v>712</v>
      </c>
      <c r="I471" s="76" t="s">
        <v>412</v>
      </c>
      <c r="J471" s="73">
        <v>0</v>
      </c>
      <c r="K471" s="74">
        <v>5332.88</v>
      </c>
      <c r="L471" s="72">
        <v>0</v>
      </c>
      <c r="M471" s="72">
        <v>0</v>
      </c>
      <c r="N471" s="72">
        <f>IF(AND(C471="",J471=0,K471=0,L471=0,M471=0),"",CADASTROS!$B$4+SUM($J$2:J471)+SUM($M$2:M471)-SUM($K$2:K471)-SUM($L$2:L471))</f>
        <v>-167573.01000000024</v>
      </c>
      <c r="O471" s="72">
        <f>IF(A471="","",SUMIF(RATEIOS!$A$2:$A$3142,$A471,RATEIOS!$F$2:$F$3142))</f>
        <v>5332.88</v>
      </c>
      <c r="P471" s="15">
        <f t="shared" si="15"/>
        <v>0</v>
      </c>
      <c r="Q471" s="49" t="str">
        <f>IF(AND(J471=0,K471=0,L471=0,M471=0),"",IF(O471=0,"PENDENTE DE RATEIO",IF(ABS(P471)&gt;0.005,"DIVERGÊNCIA",IF(COUNTIF(RATEIOS!$A$2:$A$3142,$A471)-COUNTIFS(RATEIOS!$A$2:$A$3142,$A471,RATEIOS!$D$2:$D$3142,"&lt;&gt;")&gt;0,"NÃO CLASSIFICADO","RATEIO OK"))))</f>
        <v>RATEIO OK</v>
      </c>
      <c r="R471" s="49" t="s">
        <v>2553</v>
      </c>
      <c r="S471" s="14" t="s">
        <v>2999</v>
      </c>
    </row>
    <row r="472" spans="1:19" ht="24.95" customHeight="1" x14ac:dyDescent="0.25">
      <c r="A472" s="49" t="s">
        <v>1895</v>
      </c>
      <c r="B472" s="98">
        <v>471</v>
      </c>
      <c r="C472" s="50">
        <v>46162</v>
      </c>
      <c r="D472" s="49">
        <f t="shared" si="14"/>
        <v>5</v>
      </c>
      <c r="E472" s="92" t="s">
        <v>287</v>
      </c>
      <c r="F472" s="49" t="s">
        <v>36</v>
      </c>
      <c r="G472" s="14" t="s">
        <v>748</v>
      </c>
      <c r="H472" s="14" t="s">
        <v>703</v>
      </c>
      <c r="I472" s="76" t="s">
        <v>412</v>
      </c>
      <c r="J472" s="73">
        <v>0</v>
      </c>
      <c r="K472" s="74">
        <v>5332.88</v>
      </c>
      <c r="L472" s="72">
        <v>0</v>
      </c>
      <c r="M472" s="72">
        <v>0</v>
      </c>
      <c r="N472" s="72">
        <f>IF(AND(C472="",J472=0,K472=0,L472=0,M472=0),"",CADASTROS!$B$4+SUM($J$2:J472)+SUM($M$2:M472)-SUM($K$2:K472)-SUM($L$2:L472))</f>
        <v>-172905.89000000013</v>
      </c>
      <c r="O472" s="72">
        <f>IF(A472="","",SUMIF(RATEIOS!$A$2:$A$3142,$A472,RATEIOS!$F$2:$F$3142))</f>
        <v>5332.88</v>
      </c>
      <c r="P472" s="15">
        <f t="shared" si="15"/>
        <v>0</v>
      </c>
      <c r="Q472" s="49" t="str">
        <f>IF(AND(J472=0,K472=0,L472=0,M472=0),"",IF(O472=0,"PENDENTE DE RATEIO",IF(ABS(P472)&gt;0.005,"DIVERGÊNCIA",IF(COUNTIF(RATEIOS!$A$2:$A$3142,$A472)-COUNTIFS(RATEIOS!$A$2:$A$3142,$A472,RATEIOS!$D$2:$D$3142,"&lt;&gt;")&gt;0,"NÃO CLASSIFICADO","RATEIO OK"))))</f>
        <v>RATEIO OK</v>
      </c>
      <c r="R472" s="49" t="s">
        <v>2553</v>
      </c>
      <c r="S472" s="14" t="s">
        <v>2999</v>
      </c>
    </row>
    <row r="473" spans="1:19" ht="24.95" customHeight="1" x14ac:dyDescent="0.25">
      <c r="A473" s="49" t="s">
        <v>1898</v>
      </c>
      <c r="B473" s="98">
        <v>472</v>
      </c>
      <c r="C473" s="50">
        <v>46162</v>
      </c>
      <c r="D473" s="49">
        <f t="shared" si="14"/>
        <v>5</v>
      </c>
      <c r="E473" s="92" t="s">
        <v>118</v>
      </c>
      <c r="F473" s="49" t="s">
        <v>36</v>
      </c>
      <c r="G473" s="14" t="s">
        <v>161</v>
      </c>
      <c r="H473" s="14" t="s">
        <v>81</v>
      </c>
      <c r="I473" s="76" t="s">
        <v>472</v>
      </c>
      <c r="J473" s="73">
        <v>0</v>
      </c>
      <c r="K473" s="74">
        <v>5207.46</v>
      </c>
      <c r="L473" s="72">
        <v>0</v>
      </c>
      <c r="M473" s="72">
        <v>0</v>
      </c>
      <c r="N473" s="72">
        <f>IF(AND(C473="",J473=0,K473=0,L473=0,M473=0),"",CADASTROS!$B$4+SUM($J$2:J473)+SUM($M$2:M473)-SUM($K$2:K473)-SUM($L$2:L473))</f>
        <v>-178113.35000000009</v>
      </c>
      <c r="O473" s="72">
        <f>IF(A473="","",SUMIF(RATEIOS!$A$2:$A$3142,$A473,RATEIOS!$F$2:$F$3142))</f>
        <v>5207.46</v>
      </c>
      <c r="P473" s="15">
        <f t="shared" si="15"/>
        <v>0</v>
      </c>
      <c r="Q473" s="49" t="str">
        <f>IF(AND(J473=0,K473=0,L473=0,M473=0),"",IF(O473=0,"PENDENTE DE RATEIO",IF(ABS(P473)&gt;0.005,"DIVERGÊNCIA",IF(COUNTIF(RATEIOS!$A$2:$A$3142,$A473)-COUNTIFS(RATEIOS!$A$2:$A$3142,$A473,RATEIOS!$D$2:$D$3142,"&lt;&gt;")&gt;0,"NÃO CLASSIFICADO","RATEIO OK"))))</f>
        <v>RATEIO OK</v>
      </c>
      <c r="R473" s="49" t="s">
        <v>2553</v>
      </c>
      <c r="S473" s="14" t="s">
        <v>749</v>
      </c>
    </row>
    <row r="474" spans="1:19" ht="24.95" customHeight="1" x14ac:dyDescent="0.25">
      <c r="A474" s="49" t="s">
        <v>1899</v>
      </c>
      <c r="B474" s="98">
        <v>473</v>
      </c>
      <c r="C474" s="50">
        <v>46162</v>
      </c>
      <c r="D474" s="49">
        <f t="shared" si="14"/>
        <v>5</v>
      </c>
      <c r="E474" s="92" t="s">
        <v>118</v>
      </c>
      <c r="F474" s="49" t="s">
        <v>36</v>
      </c>
      <c r="G474" s="14" t="s">
        <v>750</v>
      </c>
      <c r="H474" s="14" t="s">
        <v>143</v>
      </c>
      <c r="I474" s="76" t="s">
        <v>616</v>
      </c>
      <c r="J474" s="73">
        <v>0</v>
      </c>
      <c r="K474" s="74">
        <v>5172.5</v>
      </c>
      <c r="L474" s="72">
        <v>0</v>
      </c>
      <c r="M474" s="72">
        <v>0</v>
      </c>
      <c r="N474" s="72">
        <f>IF(AND(C474="",J474=0,K474=0,L474=0,M474=0),"",CADASTROS!$B$4+SUM($J$2:J474)+SUM($M$2:M474)-SUM($K$2:K474)-SUM($L$2:L474))</f>
        <v>-183285.85000000009</v>
      </c>
      <c r="O474" s="72">
        <f>IF(A474="","",SUMIF(RATEIOS!$A$2:$A$3142,$A474,RATEIOS!$F$2:$F$3142))</f>
        <v>5172.5</v>
      </c>
      <c r="P474" s="15">
        <f t="shared" si="15"/>
        <v>0</v>
      </c>
      <c r="Q474" s="49" t="str">
        <f>IF(AND(J474=0,K474=0,L474=0,M474=0),"",IF(O474=0,"PENDENTE DE RATEIO",IF(ABS(P474)&gt;0.005,"DIVERGÊNCIA",IF(COUNTIF(RATEIOS!$A$2:$A$3142,$A474)-COUNTIFS(RATEIOS!$A$2:$A$3142,$A474,RATEIOS!$D$2:$D$3142,"&lt;&gt;")&gt;0,"NÃO CLASSIFICADO","RATEIO OK"))))</f>
        <v>RATEIO OK</v>
      </c>
      <c r="R474" s="49" t="s">
        <v>2553</v>
      </c>
      <c r="S474" s="14" t="s">
        <v>730</v>
      </c>
    </row>
    <row r="475" spans="1:19" ht="24.95" customHeight="1" x14ac:dyDescent="0.25">
      <c r="A475" s="49" t="s">
        <v>1902</v>
      </c>
      <c r="B475" s="98">
        <v>474</v>
      </c>
      <c r="C475" s="50">
        <v>46162</v>
      </c>
      <c r="D475" s="49">
        <f t="shared" si="14"/>
        <v>5</v>
      </c>
      <c r="E475" s="92" t="s">
        <v>118</v>
      </c>
      <c r="F475" s="49" t="s">
        <v>36</v>
      </c>
      <c r="G475" s="14" t="s">
        <v>751</v>
      </c>
      <c r="H475" s="14" t="s">
        <v>143</v>
      </c>
      <c r="I475" s="76" t="s">
        <v>752</v>
      </c>
      <c r="J475" s="73">
        <v>0</v>
      </c>
      <c r="K475" s="74">
        <v>4771.5</v>
      </c>
      <c r="L475" s="72">
        <v>0</v>
      </c>
      <c r="M475" s="72">
        <v>0</v>
      </c>
      <c r="N475" s="72">
        <f>IF(AND(C475="",J475=0,K475=0,L475=0,M475=0),"",CADASTROS!$B$4+SUM($J$2:J475)+SUM($M$2:M475)-SUM($K$2:K475)-SUM($L$2:L475))</f>
        <v>-188057.35000000009</v>
      </c>
      <c r="O475" s="72">
        <f>IF(A475="","",SUMIF(RATEIOS!$A$2:$A$3142,$A475,RATEIOS!$F$2:$F$3142))</f>
        <v>4771.5</v>
      </c>
      <c r="P475" s="15">
        <f t="shared" si="15"/>
        <v>0</v>
      </c>
      <c r="Q475" s="49" t="str">
        <f>IF(AND(J475=0,K475=0,L475=0,M475=0),"",IF(O475=0,"PENDENTE DE RATEIO",IF(ABS(P475)&gt;0.005,"DIVERGÊNCIA",IF(COUNTIF(RATEIOS!$A$2:$A$3142,$A475)-COUNTIFS(RATEIOS!$A$2:$A$3142,$A475,RATEIOS!$D$2:$D$3142,"&lt;&gt;")&gt;0,"NÃO CLASSIFICADO","RATEIO OK"))))</f>
        <v>RATEIO OK</v>
      </c>
      <c r="R475" s="49" t="s">
        <v>2553</v>
      </c>
      <c r="S475" s="14" t="s">
        <v>753</v>
      </c>
    </row>
    <row r="476" spans="1:19" ht="24.95" customHeight="1" x14ac:dyDescent="0.25">
      <c r="A476" s="49" t="s">
        <v>1903</v>
      </c>
      <c r="B476" s="98">
        <v>475</v>
      </c>
      <c r="C476" s="50">
        <v>46162</v>
      </c>
      <c r="D476" s="49">
        <f t="shared" si="14"/>
        <v>5</v>
      </c>
      <c r="E476" s="92" t="s">
        <v>287</v>
      </c>
      <c r="F476" s="49" t="s">
        <v>36</v>
      </c>
      <c r="G476" s="14" t="s">
        <v>754</v>
      </c>
      <c r="H476" s="14" t="s">
        <v>755</v>
      </c>
      <c r="I476" s="76" t="s">
        <v>412</v>
      </c>
      <c r="J476" s="73">
        <v>0</v>
      </c>
      <c r="K476" s="74">
        <v>2666.44</v>
      </c>
      <c r="L476" s="72">
        <v>0</v>
      </c>
      <c r="M476" s="72">
        <v>0</v>
      </c>
      <c r="N476" s="72">
        <f>IF(AND(C476="",J476=0,K476=0,L476=0,M476=0),"",CADASTROS!$B$4+SUM($J$2:J476)+SUM($M$2:M476)-SUM($K$2:K476)-SUM($L$2:L476))</f>
        <v>-190723.79000000004</v>
      </c>
      <c r="O476" s="72">
        <f>IF(A476="","",SUMIF(RATEIOS!$A$2:$A$3142,$A476,RATEIOS!$F$2:$F$3142))</f>
        <v>2666.44</v>
      </c>
      <c r="P476" s="15">
        <f t="shared" si="15"/>
        <v>0</v>
      </c>
      <c r="Q476" s="49" t="str">
        <f>IF(AND(J476=0,K476=0,L476=0,M476=0),"",IF(O476=0,"PENDENTE DE RATEIO",IF(ABS(P476)&gt;0.005,"DIVERGÊNCIA",IF(COUNTIF(RATEIOS!$A$2:$A$3142,$A476)-COUNTIFS(RATEIOS!$A$2:$A$3142,$A476,RATEIOS!$D$2:$D$3142,"&lt;&gt;")&gt;0,"NÃO CLASSIFICADO","RATEIO OK"))))</f>
        <v>RATEIO OK</v>
      </c>
      <c r="R476" s="49" t="s">
        <v>2553</v>
      </c>
      <c r="S476" s="14" t="s">
        <v>3000</v>
      </c>
    </row>
    <row r="477" spans="1:19" ht="24.95" customHeight="1" x14ac:dyDescent="0.25">
      <c r="A477" s="49" t="s">
        <v>1906</v>
      </c>
      <c r="B477" s="98">
        <v>476</v>
      </c>
      <c r="C477" s="50">
        <v>46162</v>
      </c>
      <c r="D477" s="49">
        <f t="shared" si="14"/>
        <v>5</v>
      </c>
      <c r="E477" s="92" t="s">
        <v>287</v>
      </c>
      <c r="F477" s="49" t="s">
        <v>36</v>
      </c>
      <c r="G477" s="14" t="s">
        <v>756</v>
      </c>
      <c r="H477" s="14" t="s">
        <v>337</v>
      </c>
      <c r="I477" s="76" t="s">
        <v>412</v>
      </c>
      <c r="J477" s="73">
        <v>0</v>
      </c>
      <c r="K477" s="74">
        <v>2666.44</v>
      </c>
      <c r="L477" s="72">
        <v>0</v>
      </c>
      <c r="M477" s="72">
        <v>0</v>
      </c>
      <c r="N477" s="72">
        <f>IF(AND(C477="",J477=0,K477=0,L477=0,M477=0),"",CADASTROS!$B$4+SUM($J$2:J477)+SUM($M$2:M477)-SUM($K$2:K477)-SUM($L$2:L477))</f>
        <v>-193390.22999999998</v>
      </c>
      <c r="O477" s="72">
        <f>IF(A477="","",SUMIF(RATEIOS!$A$2:$A$3142,$A477,RATEIOS!$F$2:$F$3142))</f>
        <v>2666.44</v>
      </c>
      <c r="P477" s="15">
        <f t="shared" si="15"/>
        <v>0</v>
      </c>
      <c r="Q477" s="49" t="str">
        <f>IF(AND(J477=0,K477=0,L477=0,M477=0),"",IF(O477=0,"PENDENTE DE RATEIO",IF(ABS(P477)&gt;0.005,"DIVERGÊNCIA",IF(COUNTIF(RATEIOS!$A$2:$A$3142,$A477)-COUNTIFS(RATEIOS!$A$2:$A$3142,$A477,RATEIOS!$D$2:$D$3142,"&lt;&gt;")&gt;0,"NÃO CLASSIFICADO","RATEIO OK"))))</f>
        <v>RATEIO OK</v>
      </c>
      <c r="R477" s="49" t="s">
        <v>2553</v>
      </c>
      <c r="S477" s="14" t="s">
        <v>3000</v>
      </c>
    </row>
    <row r="478" spans="1:19" ht="24.95" customHeight="1" x14ac:dyDescent="0.25">
      <c r="A478" s="49" t="s">
        <v>1907</v>
      </c>
      <c r="B478" s="98">
        <v>477</v>
      </c>
      <c r="C478" s="50">
        <v>46162</v>
      </c>
      <c r="D478" s="49">
        <f t="shared" si="14"/>
        <v>5</v>
      </c>
      <c r="E478" s="92" t="s">
        <v>287</v>
      </c>
      <c r="F478" s="49" t="s">
        <v>36</v>
      </c>
      <c r="G478" s="14" t="s">
        <v>757</v>
      </c>
      <c r="H478" s="14" t="s">
        <v>758</v>
      </c>
      <c r="I478" s="76" t="s">
        <v>412</v>
      </c>
      <c r="J478" s="73">
        <v>0</v>
      </c>
      <c r="K478" s="74">
        <v>2666.44</v>
      </c>
      <c r="L478" s="72">
        <v>0</v>
      </c>
      <c r="M478" s="72">
        <v>0</v>
      </c>
      <c r="N478" s="72">
        <f>IF(AND(C478="",J478=0,K478=0,L478=0,M478=0),"",CADASTROS!$B$4+SUM($J$2:J478)+SUM($M$2:M478)-SUM($K$2:K478)-SUM($L$2:L478))</f>
        <v>-196056.66999999993</v>
      </c>
      <c r="O478" s="72">
        <f>IF(A478="","",SUMIF(RATEIOS!$A$2:$A$3142,$A478,RATEIOS!$F$2:$F$3142))</f>
        <v>2666.44</v>
      </c>
      <c r="P478" s="15">
        <f t="shared" si="15"/>
        <v>0</v>
      </c>
      <c r="Q478" s="49" t="str">
        <f>IF(AND(J478=0,K478=0,L478=0,M478=0),"",IF(O478=0,"PENDENTE DE RATEIO",IF(ABS(P478)&gt;0.005,"DIVERGÊNCIA",IF(COUNTIF(RATEIOS!$A$2:$A$3142,$A478)-COUNTIFS(RATEIOS!$A$2:$A$3142,$A478,RATEIOS!$D$2:$D$3142,"&lt;&gt;")&gt;0,"NÃO CLASSIFICADO","RATEIO OK"))))</f>
        <v>RATEIO OK</v>
      </c>
      <c r="R478" s="49" t="s">
        <v>2553</v>
      </c>
      <c r="S478" s="14" t="s">
        <v>3001</v>
      </c>
    </row>
    <row r="479" spans="1:19" ht="24.95" customHeight="1" x14ac:dyDescent="0.25">
      <c r="A479" s="49" t="s">
        <v>1908</v>
      </c>
      <c r="B479" s="98">
        <v>478</v>
      </c>
      <c r="C479" s="50">
        <v>46162</v>
      </c>
      <c r="D479" s="49">
        <f t="shared" si="14"/>
        <v>5</v>
      </c>
      <c r="E479" s="92" t="s">
        <v>118</v>
      </c>
      <c r="F479" s="49" t="s">
        <v>36</v>
      </c>
      <c r="G479" s="14" t="s">
        <v>759</v>
      </c>
      <c r="H479" s="14" t="s">
        <v>197</v>
      </c>
      <c r="I479" s="76" t="s">
        <v>631</v>
      </c>
      <c r="J479" s="73">
        <v>0</v>
      </c>
      <c r="K479" s="74">
        <v>2555.65</v>
      </c>
      <c r="L479" s="72">
        <v>0</v>
      </c>
      <c r="M479" s="72">
        <v>0</v>
      </c>
      <c r="N479" s="72">
        <f>IF(AND(C479="",J479=0,K479=0,L479=0,M479=0),"",CADASTROS!$B$4+SUM($J$2:J479)+SUM($M$2:M479)-SUM($K$2:K479)-SUM($L$2:L479))</f>
        <v>-198612.31999999983</v>
      </c>
      <c r="O479" s="72">
        <f>IF(A479="","",SUMIF(RATEIOS!$A$2:$A$3142,$A479,RATEIOS!$F$2:$F$3142))</f>
        <v>2555.65</v>
      </c>
      <c r="P479" s="15">
        <f t="shared" si="15"/>
        <v>0</v>
      </c>
      <c r="Q479" s="49" t="str">
        <f>IF(AND(J479=0,K479=0,L479=0,M479=0),"",IF(O479=0,"PENDENTE DE RATEIO",IF(ABS(P479)&gt;0.005,"DIVERGÊNCIA",IF(COUNTIF(RATEIOS!$A$2:$A$3142,$A479)-COUNTIFS(RATEIOS!$A$2:$A$3142,$A479,RATEIOS!$D$2:$D$3142,"&lt;&gt;")&gt;0,"NÃO CLASSIFICADO","RATEIO OK"))))</f>
        <v>RATEIO OK</v>
      </c>
      <c r="R479" s="49" t="s">
        <v>2553</v>
      </c>
      <c r="S479" s="14" t="s">
        <v>760</v>
      </c>
    </row>
    <row r="480" spans="1:19" ht="24.95" customHeight="1" x14ac:dyDescent="0.25">
      <c r="A480" s="49" t="s">
        <v>1909</v>
      </c>
      <c r="B480" s="98">
        <v>479</v>
      </c>
      <c r="C480" s="50">
        <v>46162</v>
      </c>
      <c r="D480" s="49">
        <f t="shared" si="14"/>
        <v>5</v>
      </c>
      <c r="E480" s="92" t="s">
        <v>72</v>
      </c>
      <c r="F480" s="49" t="s">
        <v>36</v>
      </c>
      <c r="G480" s="14" t="s">
        <v>761</v>
      </c>
      <c r="H480" s="14" t="s">
        <v>451</v>
      </c>
      <c r="I480" s="76" t="s">
        <v>762</v>
      </c>
      <c r="J480" s="73">
        <v>0</v>
      </c>
      <c r="K480" s="74">
        <v>1960</v>
      </c>
      <c r="L480" s="72">
        <v>0</v>
      </c>
      <c r="M480" s="72">
        <v>0</v>
      </c>
      <c r="N480" s="72">
        <f>IF(AND(C480="",J480=0,K480=0,L480=0,M480=0),"",CADASTROS!$B$4+SUM($J$2:J480)+SUM($M$2:M480)-SUM($K$2:K480)-SUM($L$2:L480))</f>
        <v>-200572.31999999983</v>
      </c>
      <c r="O480" s="72">
        <f>IF(A480="","",SUMIF(RATEIOS!$A$2:$A$3142,$A480,RATEIOS!$F$2:$F$3142))</f>
        <v>1960</v>
      </c>
      <c r="P480" s="15">
        <f t="shared" si="15"/>
        <v>0</v>
      </c>
      <c r="Q480" s="49" t="str">
        <f>IF(AND(J480=0,K480=0,L480=0,M480=0),"",IF(O480=0,"PENDENTE DE RATEIO",IF(ABS(P480)&gt;0.005,"DIVERGÊNCIA",IF(COUNTIF(RATEIOS!$A$2:$A$3142,$A480)-COUNTIFS(RATEIOS!$A$2:$A$3142,$A480,RATEIOS!$D$2:$D$3142,"&lt;&gt;")&gt;0,"NÃO CLASSIFICADO","RATEIO OK"))))</f>
        <v>RATEIO OK</v>
      </c>
      <c r="R480" s="49" t="s">
        <v>2553</v>
      </c>
      <c r="S480" s="14"/>
    </row>
    <row r="481" spans="1:19" ht="24.95" customHeight="1" x14ac:dyDescent="0.25">
      <c r="A481" s="49" t="s">
        <v>1912</v>
      </c>
      <c r="B481" s="98">
        <v>480</v>
      </c>
      <c r="C481" s="50">
        <v>46162</v>
      </c>
      <c r="D481" s="49">
        <f t="shared" si="14"/>
        <v>5</v>
      </c>
      <c r="E481" s="92" t="s">
        <v>118</v>
      </c>
      <c r="F481" s="49" t="s">
        <v>36</v>
      </c>
      <c r="G481" s="14" t="s">
        <v>184</v>
      </c>
      <c r="H481" s="14" t="s">
        <v>185</v>
      </c>
      <c r="I481" s="76" t="s">
        <v>763</v>
      </c>
      <c r="J481" s="73">
        <v>0</v>
      </c>
      <c r="K481" s="74">
        <v>1824.46</v>
      </c>
      <c r="L481" s="72">
        <v>0</v>
      </c>
      <c r="M481" s="72">
        <v>0</v>
      </c>
      <c r="N481" s="72">
        <f>IF(AND(C481="",J481=0,K481=0,L481=0,M481=0),"",CADASTROS!$B$4+SUM($J$2:J481)+SUM($M$2:M481)-SUM($K$2:K481)-SUM($L$2:L481))</f>
        <v>-202396.7799999998</v>
      </c>
      <c r="O481" s="72">
        <f>IF(A481="","",SUMIF(RATEIOS!$A$2:$A$3142,$A481,RATEIOS!$F$2:$F$3142))</f>
        <v>1824.46</v>
      </c>
      <c r="P481" s="15">
        <f t="shared" si="15"/>
        <v>0</v>
      </c>
      <c r="Q481" s="49" t="str">
        <f>IF(AND(J481=0,K481=0,L481=0,M481=0),"",IF(O481=0,"PENDENTE DE RATEIO",IF(ABS(P481)&gt;0.005,"DIVERGÊNCIA",IF(COUNTIF(RATEIOS!$A$2:$A$3142,$A481)-COUNTIFS(RATEIOS!$A$2:$A$3142,$A481,RATEIOS!$D$2:$D$3142,"&lt;&gt;")&gt;0,"NÃO CLASSIFICADO","RATEIO OK"))))</f>
        <v>RATEIO OK</v>
      </c>
      <c r="R481" s="49" t="s">
        <v>2553</v>
      </c>
      <c r="S481" s="14" t="s">
        <v>764</v>
      </c>
    </row>
    <row r="482" spans="1:19" ht="24.95" customHeight="1" x14ac:dyDescent="0.25">
      <c r="A482" s="49" t="s">
        <v>1913</v>
      </c>
      <c r="B482" s="98">
        <v>481</v>
      </c>
      <c r="C482" s="50">
        <v>46162</v>
      </c>
      <c r="D482" s="49">
        <f t="shared" si="14"/>
        <v>5</v>
      </c>
      <c r="E482" s="92" t="s">
        <v>118</v>
      </c>
      <c r="F482" s="49" t="s">
        <v>36</v>
      </c>
      <c r="G482" s="14" t="s">
        <v>448</v>
      </c>
      <c r="H482" s="14" t="s">
        <v>207</v>
      </c>
      <c r="I482" s="76" t="s">
        <v>765</v>
      </c>
      <c r="J482" s="73">
        <v>0</v>
      </c>
      <c r="K482" s="74">
        <v>1651.51</v>
      </c>
      <c r="L482" s="72">
        <v>0</v>
      </c>
      <c r="M482" s="72">
        <v>0</v>
      </c>
      <c r="N482" s="72">
        <f>IF(AND(C482="",J482=0,K482=0,L482=0,M482=0),"",CADASTROS!$B$4+SUM($J$2:J482)+SUM($M$2:M482)-SUM($K$2:K482)-SUM($L$2:L482))</f>
        <v>-204048.28999999957</v>
      </c>
      <c r="O482" s="72">
        <f>IF(A482="","",SUMIF(RATEIOS!$A$2:$A$3142,$A482,RATEIOS!$F$2:$F$3142))</f>
        <v>1651.51</v>
      </c>
      <c r="P482" s="15">
        <f t="shared" si="15"/>
        <v>0</v>
      </c>
      <c r="Q482" s="49" t="str">
        <f>IF(AND(J482=0,K482=0,L482=0,M482=0),"",IF(O482=0,"PENDENTE DE RATEIO",IF(ABS(P482)&gt;0.005,"DIVERGÊNCIA",IF(COUNTIF(RATEIOS!$A$2:$A$3142,$A482)-COUNTIFS(RATEIOS!$A$2:$A$3142,$A482,RATEIOS!$D$2:$D$3142,"&lt;&gt;")&gt;0,"NÃO CLASSIFICADO","RATEIO OK"))))</f>
        <v>RATEIO OK</v>
      </c>
      <c r="R482" s="49" t="s">
        <v>2553</v>
      </c>
      <c r="S482" s="14" t="s">
        <v>766</v>
      </c>
    </row>
    <row r="483" spans="1:19" ht="24.95" customHeight="1" x14ac:dyDescent="0.25">
      <c r="A483" s="49" t="s">
        <v>1915</v>
      </c>
      <c r="B483" s="98">
        <v>482</v>
      </c>
      <c r="C483" s="50">
        <v>46162</v>
      </c>
      <c r="D483" s="49">
        <f t="shared" si="14"/>
        <v>5</v>
      </c>
      <c r="E483" s="92" t="s">
        <v>118</v>
      </c>
      <c r="F483" s="49" t="s">
        <v>36</v>
      </c>
      <c r="G483" s="14" t="s">
        <v>767</v>
      </c>
      <c r="H483" s="96" t="s">
        <v>2753</v>
      </c>
      <c r="I483" s="76" t="s">
        <v>768</v>
      </c>
      <c r="J483" s="73">
        <v>0</v>
      </c>
      <c r="K483" s="74">
        <v>1636.79</v>
      </c>
      <c r="L483" s="72">
        <v>0</v>
      </c>
      <c r="M483" s="72">
        <v>0</v>
      </c>
      <c r="N483" s="72">
        <f>IF(AND(C483="",J483=0,K483=0,L483=0,M483=0),"",CADASTROS!$B$4+SUM($J$2:J483)+SUM($M$2:M483)-SUM($K$2:K483)-SUM($L$2:L483))</f>
        <v>-205685.07999999961</v>
      </c>
      <c r="O483" s="72">
        <f>IF(A483="","",SUMIF(RATEIOS!$A$2:$A$3142,$A483,RATEIOS!$F$2:$F$3142))</f>
        <v>1636.79</v>
      </c>
      <c r="P483" s="15">
        <f t="shared" si="15"/>
        <v>0</v>
      </c>
      <c r="Q483" s="49" t="str">
        <f>IF(AND(J483=0,K483=0,L483=0,M483=0),"",IF(O483=0,"PENDENTE DE RATEIO",IF(ABS(P483)&gt;0.005,"DIVERGÊNCIA",IF(COUNTIF(RATEIOS!$A$2:$A$3142,$A483)-COUNTIFS(RATEIOS!$A$2:$A$3142,$A483,RATEIOS!$D$2:$D$3142,"&lt;&gt;")&gt;0,"NÃO CLASSIFICADO","RATEIO OK"))))</f>
        <v>RATEIO OK</v>
      </c>
      <c r="R483" s="49" t="s">
        <v>2553</v>
      </c>
      <c r="S483" s="14" t="s">
        <v>769</v>
      </c>
    </row>
    <row r="484" spans="1:19" ht="24.95" customHeight="1" x14ac:dyDescent="0.25">
      <c r="A484" s="49" t="s">
        <v>1916</v>
      </c>
      <c r="B484" s="98">
        <v>483</v>
      </c>
      <c r="C484" s="50">
        <v>46162</v>
      </c>
      <c r="D484" s="49">
        <f t="shared" si="14"/>
        <v>5</v>
      </c>
      <c r="E484" s="92" t="s">
        <v>118</v>
      </c>
      <c r="F484" s="49" t="s">
        <v>36</v>
      </c>
      <c r="G484" s="14" t="s">
        <v>291</v>
      </c>
      <c r="H484" s="14" t="s">
        <v>51</v>
      </c>
      <c r="I484" s="76" t="s">
        <v>770</v>
      </c>
      <c r="J484" s="73">
        <v>0</v>
      </c>
      <c r="K484" s="74">
        <v>1608.86</v>
      </c>
      <c r="L484" s="72">
        <v>0</v>
      </c>
      <c r="M484" s="72">
        <v>0</v>
      </c>
      <c r="N484" s="72">
        <f>IF(AND(C484="",J484=0,K484=0,L484=0,M484=0),"",CADASTROS!$B$4+SUM($J$2:J484)+SUM($M$2:M484)-SUM($K$2:K484)-SUM($L$2:L484))</f>
        <v>-207293.93999999948</v>
      </c>
      <c r="O484" s="72">
        <f>IF(A484="","",SUMIF(RATEIOS!$A$2:$A$3142,$A484,RATEIOS!$F$2:$F$3142))</f>
        <v>1608.86</v>
      </c>
      <c r="P484" s="15">
        <f t="shared" si="15"/>
        <v>0</v>
      </c>
      <c r="Q484" s="49" t="str">
        <f>IF(AND(J484=0,K484=0,L484=0,M484=0),"",IF(O484=0,"PENDENTE DE RATEIO",IF(ABS(P484)&gt;0.005,"DIVERGÊNCIA",IF(COUNTIF(RATEIOS!$A$2:$A$3142,$A484)-COUNTIFS(RATEIOS!$A$2:$A$3142,$A484,RATEIOS!$D$2:$D$3142,"&lt;&gt;")&gt;0,"NÃO CLASSIFICADO","RATEIO OK"))))</f>
        <v>RATEIO OK</v>
      </c>
      <c r="R484" s="49" t="s">
        <v>2553</v>
      </c>
      <c r="S484" s="14" t="s">
        <v>771</v>
      </c>
    </row>
    <row r="485" spans="1:19" ht="24.95" customHeight="1" x14ac:dyDescent="0.25">
      <c r="A485" s="49" t="s">
        <v>1917</v>
      </c>
      <c r="B485" s="98">
        <v>484</v>
      </c>
      <c r="C485" s="50">
        <v>46162</v>
      </c>
      <c r="D485" s="49">
        <f t="shared" si="14"/>
        <v>5</v>
      </c>
      <c r="E485" s="92" t="s">
        <v>118</v>
      </c>
      <c r="F485" s="49" t="s">
        <v>36</v>
      </c>
      <c r="G485" s="14" t="s">
        <v>218</v>
      </c>
      <c r="H485" s="14" t="s">
        <v>219</v>
      </c>
      <c r="I485" s="76" t="s">
        <v>772</v>
      </c>
      <c r="J485" s="73">
        <v>0</v>
      </c>
      <c r="K485" s="74">
        <v>1165.98</v>
      </c>
      <c r="L485" s="72">
        <v>0</v>
      </c>
      <c r="M485" s="72">
        <v>0</v>
      </c>
      <c r="N485" s="72">
        <f>IF(AND(C485="",J485=0,K485=0,L485=0,M485=0),"",CADASTROS!$B$4+SUM($J$2:J485)+SUM($M$2:M485)-SUM($K$2:K485)-SUM($L$2:L485))</f>
        <v>-208459.91999999946</v>
      </c>
      <c r="O485" s="72">
        <f>IF(A485="","",SUMIF(RATEIOS!$A$2:$A$3142,$A485,RATEIOS!$F$2:$F$3142))</f>
        <v>1165.98</v>
      </c>
      <c r="P485" s="15">
        <f t="shared" si="15"/>
        <v>0</v>
      </c>
      <c r="Q485" s="49" t="str">
        <f>IF(AND(J485=0,K485=0,L485=0,M485=0),"",IF(O485=0,"PENDENTE DE RATEIO",IF(ABS(P485)&gt;0.005,"DIVERGÊNCIA",IF(COUNTIF(RATEIOS!$A$2:$A$3142,$A485)-COUNTIFS(RATEIOS!$A$2:$A$3142,$A485,RATEIOS!$D$2:$D$3142,"&lt;&gt;")&gt;0,"NÃO CLASSIFICADO","RATEIO OK"))))</f>
        <v>RATEIO OK</v>
      </c>
      <c r="R485" s="49" t="s">
        <v>2553</v>
      </c>
      <c r="S485" s="14"/>
    </row>
    <row r="486" spans="1:19" ht="24.95" customHeight="1" x14ac:dyDescent="0.25">
      <c r="A486" s="49" t="s">
        <v>1918</v>
      </c>
      <c r="B486" s="98">
        <v>485</v>
      </c>
      <c r="C486" s="50">
        <v>46162</v>
      </c>
      <c r="D486" s="49">
        <f t="shared" si="14"/>
        <v>5</v>
      </c>
      <c r="E486" s="92" t="s">
        <v>118</v>
      </c>
      <c r="F486" s="49" t="s">
        <v>36</v>
      </c>
      <c r="G486" s="14" t="s">
        <v>773</v>
      </c>
      <c r="H486" s="14" t="s">
        <v>59</v>
      </c>
      <c r="I486" s="76" t="s">
        <v>774</v>
      </c>
      <c r="J486" s="73">
        <v>0</v>
      </c>
      <c r="K486" s="74">
        <v>1100</v>
      </c>
      <c r="L486" s="72">
        <v>0</v>
      </c>
      <c r="M486" s="72">
        <v>0</v>
      </c>
      <c r="N486" s="72">
        <f>IF(AND(C486="",J486=0,K486=0,L486=0,M486=0),"",CADASTROS!$B$4+SUM($J$2:J486)+SUM($M$2:M486)-SUM($K$2:K486)-SUM($L$2:L486))</f>
        <v>-209559.91999999946</v>
      </c>
      <c r="O486" s="72">
        <f>IF(A486="","",SUMIF(RATEIOS!$A$2:$A$3142,$A486,RATEIOS!$F$2:$F$3142))</f>
        <v>1100</v>
      </c>
      <c r="P486" s="15">
        <f t="shared" si="15"/>
        <v>0</v>
      </c>
      <c r="Q486" s="49" t="str">
        <f>IF(AND(J486=0,K486=0,L486=0,M486=0),"",IF(O486=0,"PENDENTE DE RATEIO",IF(ABS(P486)&gt;0.005,"DIVERGÊNCIA",IF(COUNTIF(RATEIOS!$A$2:$A$3142,$A486)-COUNTIFS(RATEIOS!$A$2:$A$3142,$A486,RATEIOS!$D$2:$D$3142,"&lt;&gt;")&gt;0,"NÃO CLASSIFICADO","RATEIO OK"))))</f>
        <v>RATEIO OK</v>
      </c>
      <c r="R486" s="49" t="s">
        <v>2553</v>
      </c>
      <c r="S486" s="14" t="s">
        <v>730</v>
      </c>
    </row>
    <row r="487" spans="1:19" ht="24.95" customHeight="1" x14ac:dyDescent="0.25">
      <c r="A487" s="49" t="s">
        <v>1919</v>
      </c>
      <c r="B487" s="98">
        <v>486</v>
      </c>
      <c r="C487" s="50">
        <v>46162</v>
      </c>
      <c r="D487" s="49">
        <f t="shared" si="14"/>
        <v>5</v>
      </c>
      <c r="E487" s="92" t="s">
        <v>118</v>
      </c>
      <c r="F487" s="49" t="s">
        <v>36</v>
      </c>
      <c r="G487" s="14" t="s">
        <v>775</v>
      </c>
      <c r="H487" s="14" t="s">
        <v>260</v>
      </c>
      <c r="I487" s="76" t="s">
        <v>776</v>
      </c>
      <c r="J487" s="73">
        <v>0</v>
      </c>
      <c r="K487" s="74">
        <v>997.92</v>
      </c>
      <c r="L487" s="72">
        <v>0</v>
      </c>
      <c r="M487" s="72">
        <v>0</v>
      </c>
      <c r="N487" s="72">
        <f>IF(AND(C487="",J487=0,K487=0,L487=0,M487=0),"",CADASTROS!$B$4+SUM($J$2:J487)+SUM($M$2:M487)-SUM($K$2:K487)-SUM($L$2:L487))</f>
        <v>-210557.83999999939</v>
      </c>
      <c r="O487" s="72">
        <f>IF(A487="","",SUMIF(RATEIOS!$A$2:$A$3142,$A487,RATEIOS!$F$2:$F$3142))</f>
        <v>997.92</v>
      </c>
      <c r="P487" s="15">
        <f t="shared" si="15"/>
        <v>0</v>
      </c>
      <c r="Q487" s="49" t="str">
        <f>IF(AND(J487=0,K487=0,L487=0,M487=0),"",IF(O487=0,"PENDENTE DE RATEIO",IF(ABS(P487)&gt;0.005,"DIVERGÊNCIA",IF(COUNTIF(RATEIOS!$A$2:$A$3142,$A487)-COUNTIFS(RATEIOS!$A$2:$A$3142,$A487,RATEIOS!$D$2:$D$3142,"&lt;&gt;")&gt;0,"NÃO CLASSIFICADO","RATEIO OK"))))</f>
        <v>RATEIO OK</v>
      </c>
      <c r="R487" s="49" t="s">
        <v>2553</v>
      </c>
      <c r="S487" s="14" t="s">
        <v>777</v>
      </c>
    </row>
    <row r="488" spans="1:19" ht="24.95" customHeight="1" x14ac:dyDescent="0.25">
      <c r="A488" s="49" t="s">
        <v>1920</v>
      </c>
      <c r="B488" s="98">
        <v>487</v>
      </c>
      <c r="C488" s="50">
        <v>46162</v>
      </c>
      <c r="D488" s="49">
        <f t="shared" si="14"/>
        <v>5</v>
      </c>
      <c r="E488" s="92" t="s">
        <v>287</v>
      </c>
      <c r="F488" s="49" t="s">
        <v>36</v>
      </c>
      <c r="G488" s="14" t="s">
        <v>3042</v>
      </c>
      <c r="H488" s="14" t="s">
        <v>2943</v>
      </c>
      <c r="I488" s="76" t="s">
        <v>3043</v>
      </c>
      <c r="J488" s="73">
        <v>0</v>
      </c>
      <c r="K488" s="74">
        <v>797</v>
      </c>
      <c r="L488" s="72">
        <v>0</v>
      </c>
      <c r="M488" s="72">
        <v>0</v>
      </c>
      <c r="N488" s="72">
        <f>IF(AND(C488="",J488=0,K488=0,L488=0,M488=0),"",CADASTROS!$B$4+SUM($J$2:J488)+SUM($M$2:M488)-SUM($K$2:K488)-SUM($L$2:L488))</f>
        <v>-211354.83999999939</v>
      </c>
      <c r="O488" s="72">
        <f>IF(A488="","",SUMIF(RATEIOS!$A$2:$A$3142,$A488,RATEIOS!$F$2:$F$3142))</f>
        <v>797</v>
      </c>
      <c r="P488" s="15">
        <f t="shared" si="15"/>
        <v>0</v>
      </c>
      <c r="Q488" s="49" t="str">
        <f>IF(AND(J488=0,K488=0,L488=0,M488=0),"",IF(O488=0,"PENDENTE DE RATEIO",IF(ABS(P488)&gt;0.005,"DIVERGÊNCIA",IF(COUNTIF(RATEIOS!$A$2:$A$3142,$A488)-COUNTIFS(RATEIOS!$A$2:$A$3142,$A488,RATEIOS!$D$2:$D$3142,"&lt;&gt;")&gt;0,"NÃO CLASSIFICADO","RATEIO OK"))))</f>
        <v>RATEIO OK</v>
      </c>
      <c r="R488" s="49" t="s">
        <v>2553</v>
      </c>
      <c r="S488" s="14"/>
    </row>
    <row r="489" spans="1:19" ht="24.95" customHeight="1" x14ac:dyDescent="0.25">
      <c r="A489" s="49" t="s">
        <v>1921</v>
      </c>
      <c r="B489" s="98">
        <v>488</v>
      </c>
      <c r="C489" s="50">
        <v>46162</v>
      </c>
      <c r="D489" s="49">
        <f t="shared" si="14"/>
        <v>5</v>
      </c>
      <c r="E489" s="92" t="s">
        <v>72</v>
      </c>
      <c r="F489" s="49" t="s">
        <v>36</v>
      </c>
      <c r="G489" s="14" t="s">
        <v>779</v>
      </c>
      <c r="H489" s="14" t="s">
        <v>153</v>
      </c>
      <c r="I489" s="76" t="s">
        <v>780</v>
      </c>
      <c r="J489" s="73">
        <v>0</v>
      </c>
      <c r="K489" s="74">
        <v>685</v>
      </c>
      <c r="L489" s="72">
        <v>0</v>
      </c>
      <c r="M489" s="72">
        <v>0</v>
      </c>
      <c r="N489" s="72">
        <f>IF(AND(C489="",J489=0,K489=0,L489=0,M489=0),"",CADASTROS!$B$4+SUM($J$2:J489)+SUM($M$2:M489)-SUM($K$2:K489)-SUM($L$2:L489))</f>
        <v>-212039.83999999939</v>
      </c>
      <c r="O489" s="72">
        <f>IF(A489="","",SUMIF(RATEIOS!$A$2:$A$3142,$A489,RATEIOS!$F$2:$F$3142))</f>
        <v>685</v>
      </c>
      <c r="P489" s="15">
        <f t="shared" si="15"/>
        <v>0</v>
      </c>
      <c r="Q489" s="49" t="str">
        <f>IF(AND(J489=0,K489=0,L489=0,M489=0),"",IF(O489=0,"PENDENTE DE RATEIO",IF(ABS(P489)&gt;0.005,"DIVERGÊNCIA",IF(COUNTIF(RATEIOS!$A$2:$A$3142,$A489)-COUNTIFS(RATEIOS!$A$2:$A$3142,$A489,RATEIOS!$D$2:$D$3142,"&lt;&gt;")&gt;0,"NÃO CLASSIFICADO","RATEIO OK"))))</f>
        <v>RATEIO OK</v>
      </c>
      <c r="R489" s="49" t="s">
        <v>2553</v>
      </c>
      <c r="S489" s="14"/>
    </row>
    <row r="490" spans="1:19" ht="24.95" customHeight="1" x14ac:dyDescent="0.25">
      <c r="A490" s="49" t="s">
        <v>1922</v>
      </c>
      <c r="B490" s="98">
        <v>489</v>
      </c>
      <c r="C490" s="50">
        <v>46162</v>
      </c>
      <c r="D490" s="49">
        <f t="shared" si="14"/>
        <v>5</v>
      </c>
      <c r="E490" s="92" t="s">
        <v>118</v>
      </c>
      <c r="F490" s="49" t="s">
        <v>36</v>
      </c>
      <c r="G490" s="14" t="s">
        <v>781</v>
      </c>
      <c r="H490" s="14" t="s">
        <v>283</v>
      </c>
      <c r="I490" s="76" t="s">
        <v>782</v>
      </c>
      <c r="J490" s="73">
        <v>0</v>
      </c>
      <c r="K490" s="74">
        <v>647.29999999999995</v>
      </c>
      <c r="L490" s="72">
        <v>0</v>
      </c>
      <c r="M490" s="72">
        <v>0</v>
      </c>
      <c r="N490" s="72">
        <f>IF(AND(C490="",J490=0,K490=0,L490=0,M490=0),"",CADASTROS!$B$4+SUM($J$2:J490)+SUM($M$2:M490)-SUM($K$2:K490)-SUM($L$2:L490))</f>
        <v>-212687.1399999992</v>
      </c>
      <c r="O490" s="72">
        <f>IF(A490="","",SUMIF(RATEIOS!$A$2:$A$3142,$A490,RATEIOS!$F$2:$F$3142))</f>
        <v>647.29999999999995</v>
      </c>
      <c r="P490" s="15">
        <f t="shared" si="15"/>
        <v>0</v>
      </c>
      <c r="Q490" s="49" t="str">
        <f>IF(AND(J490=0,K490=0,L490=0,M490=0),"",IF(O490=0,"PENDENTE DE RATEIO",IF(ABS(P490)&gt;0.005,"DIVERGÊNCIA",IF(COUNTIF(RATEIOS!$A$2:$A$3142,$A490)-COUNTIFS(RATEIOS!$A$2:$A$3142,$A490,RATEIOS!$D$2:$D$3142,"&lt;&gt;")&gt;0,"NÃO CLASSIFICADO","RATEIO OK"))))</f>
        <v>RATEIO OK</v>
      </c>
      <c r="R490" s="49" t="s">
        <v>2553</v>
      </c>
      <c r="S490" s="14" t="s">
        <v>777</v>
      </c>
    </row>
    <row r="491" spans="1:19" ht="24.95" customHeight="1" x14ac:dyDescent="0.25">
      <c r="A491" s="49" t="s">
        <v>1923</v>
      </c>
      <c r="B491" s="98">
        <v>490</v>
      </c>
      <c r="C491" s="50">
        <v>46162</v>
      </c>
      <c r="D491" s="49">
        <f t="shared" si="14"/>
        <v>5</v>
      </c>
      <c r="E491" s="92" t="s">
        <v>287</v>
      </c>
      <c r="F491" s="49" t="s">
        <v>36</v>
      </c>
      <c r="G491" s="14" t="s">
        <v>783</v>
      </c>
      <c r="H491" s="14" t="s">
        <v>446</v>
      </c>
      <c r="I491" s="76" t="s">
        <v>784</v>
      </c>
      <c r="J491" s="73">
        <v>0</v>
      </c>
      <c r="K491" s="74">
        <v>490</v>
      </c>
      <c r="L491" s="72">
        <v>0</v>
      </c>
      <c r="M491" s="72">
        <v>0</v>
      </c>
      <c r="N491" s="72">
        <f>IF(AND(C491="",J491=0,K491=0,L491=0,M491=0),"",CADASTROS!$B$4+SUM($J$2:J491)+SUM($M$2:M491)-SUM($K$2:K491)-SUM($L$2:L491))</f>
        <v>-213177.1399999992</v>
      </c>
      <c r="O491" s="72">
        <f>IF(A491="","",SUMIF(RATEIOS!$A$2:$A$3142,$A491,RATEIOS!$F$2:$F$3142))</f>
        <v>490</v>
      </c>
      <c r="P491" s="15">
        <f t="shared" si="15"/>
        <v>0</v>
      </c>
      <c r="Q491" s="49" t="str">
        <f>IF(AND(J491=0,K491=0,L491=0,M491=0),"",IF(O491=0,"PENDENTE DE RATEIO",IF(ABS(P491)&gt;0.005,"DIVERGÊNCIA",IF(COUNTIF(RATEIOS!$A$2:$A$3142,$A491)-COUNTIFS(RATEIOS!$A$2:$A$3142,$A491,RATEIOS!$D$2:$D$3142,"&lt;&gt;")&gt;0,"NÃO CLASSIFICADO","RATEIO OK"))))</f>
        <v>RATEIO OK</v>
      </c>
      <c r="R491" s="49" t="s">
        <v>2553</v>
      </c>
      <c r="S491" s="14"/>
    </row>
    <row r="492" spans="1:19" ht="24.95" customHeight="1" x14ac:dyDescent="0.25">
      <c r="A492" s="49" t="s">
        <v>1924</v>
      </c>
      <c r="B492" s="98">
        <v>491</v>
      </c>
      <c r="C492" s="50">
        <v>46162</v>
      </c>
      <c r="D492" s="49">
        <f t="shared" si="14"/>
        <v>5</v>
      </c>
      <c r="E492" s="92" t="s">
        <v>72</v>
      </c>
      <c r="F492" s="49" t="s">
        <v>36</v>
      </c>
      <c r="G492" s="14" t="s">
        <v>785</v>
      </c>
      <c r="H492" s="14" t="s">
        <v>150</v>
      </c>
      <c r="I492" s="76" t="s">
        <v>786</v>
      </c>
      <c r="J492" s="73">
        <v>0</v>
      </c>
      <c r="K492" s="74">
        <v>450</v>
      </c>
      <c r="L492" s="72">
        <v>0</v>
      </c>
      <c r="M492" s="72">
        <v>0</v>
      </c>
      <c r="N492" s="72">
        <f>IF(AND(C492="",J492=0,K492=0,L492=0,M492=0),"",CADASTROS!$B$4+SUM($J$2:J492)+SUM($M$2:M492)-SUM($K$2:K492)-SUM($L$2:L492))</f>
        <v>-213627.1399999992</v>
      </c>
      <c r="O492" s="72">
        <f>IF(A492="","",SUMIF(RATEIOS!$A$2:$A$3142,$A492,RATEIOS!$F$2:$F$3142))</f>
        <v>450</v>
      </c>
      <c r="P492" s="15">
        <f t="shared" si="15"/>
        <v>0</v>
      </c>
      <c r="Q492" s="49" t="str">
        <f>IF(AND(J492=0,K492=0,L492=0,M492=0),"",IF(O492=0,"PENDENTE DE RATEIO",IF(ABS(P492)&gt;0.005,"DIVERGÊNCIA",IF(COUNTIF(RATEIOS!$A$2:$A$3142,$A492)-COUNTIFS(RATEIOS!$A$2:$A$3142,$A492,RATEIOS!$D$2:$D$3142,"&lt;&gt;")&gt;0,"NÃO CLASSIFICADO","RATEIO OK"))))</f>
        <v>RATEIO OK</v>
      </c>
      <c r="R492" s="49" t="s">
        <v>2553</v>
      </c>
      <c r="S492" s="14"/>
    </row>
    <row r="493" spans="1:19" ht="24.95" customHeight="1" x14ac:dyDescent="0.25">
      <c r="A493" s="49" t="s">
        <v>1927</v>
      </c>
      <c r="B493" s="98">
        <v>492</v>
      </c>
      <c r="C493" s="50">
        <v>46162</v>
      </c>
      <c r="D493" s="49">
        <f t="shared" si="14"/>
        <v>5</v>
      </c>
      <c r="E493" s="92" t="s">
        <v>118</v>
      </c>
      <c r="F493" s="49" t="s">
        <v>36</v>
      </c>
      <c r="G493" s="14" t="s">
        <v>239</v>
      </c>
      <c r="H493" s="14" t="s">
        <v>65</v>
      </c>
      <c r="I493" s="76" t="s">
        <v>787</v>
      </c>
      <c r="J493" s="73">
        <v>0</v>
      </c>
      <c r="K493" s="74">
        <v>448</v>
      </c>
      <c r="L493" s="72">
        <v>0</v>
      </c>
      <c r="M493" s="72">
        <v>0</v>
      </c>
      <c r="N493" s="72">
        <f>IF(AND(C493="",J493=0,K493=0,L493=0,M493=0),"",CADASTROS!$B$4+SUM($J$2:J493)+SUM($M$2:M493)-SUM($K$2:K493)-SUM($L$2:L493))</f>
        <v>-214075.1399999992</v>
      </c>
      <c r="O493" s="72">
        <f>IF(A493="","",SUMIF(RATEIOS!$A$2:$A$3142,$A493,RATEIOS!$F$2:$F$3142))</f>
        <v>448</v>
      </c>
      <c r="P493" s="15">
        <f t="shared" si="15"/>
        <v>0</v>
      </c>
      <c r="Q493" s="49" t="str">
        <f>IF(AND(J493=0,K493=0,L493=0,M493=0),"",IF(O493=0,"PENDENTE DE RATEIO",IF(ABS(P493)&gt;0.005,"DIVERGÊNCIA",IF(COUNTIF(RATEIOS!$A$2:$A$3142,$A493)-COUNTIFS(RATEIOS!$A$2:$A$3142,$A493,RATEIOS!$D$2:$D$3142,"&lt;&gt;")&gt;0,"NÃO CLASSIFICADO","RATEIO OK"))))</f>
        <v>RATEIO OK</v>
      </c>
      <c r="R493" s="49" t="s">
        <v>2553</v>
      </c>
      <c r="S493" s="14" t="s">
        <v>788</v>
      </c>
    </row>
    <row r="494" spans="1:19" ht="24.95" customHeight="1" x14ac:dyDescent="0.25">
      <c r="A494" s="49" t="s">
        <v>1928</v>
      </c>
      <c r="B494" s="98">
        <v>493</v>
      </c>
      <c r="C494" s="50">
        <v>46162</v>
      </c>
      <c r="D494" s="49">
        <f t="shared" si="14"/>
        <v>5</v>
      </c>
      <c r="E494" s="92" t="s">
        <v>118</v>
      </c>
      <c r="F494" s="49" t="s">
        <v>36</v>
      </c>
      <c r="G494" s="14" t="s">
        <v>136</v>
      </c>
      <c r="H494" s="14" t="s">
        <v>137</v>
      </c>
      <c r="I494" s="76" t="s">
        <v>789</v>
      </c>
      <c r="J494" s="73">
        <v>0</v>
      </c>
      <c r="K494" s="74">
        <v>400</v>
      </c>
      <c r="L494" s="72">
        <v>0</v>
      </c>
      <c r="M494" s="72">
        <v>0</v>
      </c>
      <c r="N494" s="72">
        <f>IF(AND(C494="",J494=0,K494=0,L494=0,M494=0),"",CADASTROS!$B$4+SUM($J$2:J494)+SUM($M$2:M494)-SUM($K$2:K494)-SUM($L$2:L494))</f>
        <v>-214475.1399999992</v>
      </c>
      <c r="O494" s="72">
        <f>IF(A494="","",SUMIF(RATEIOS!$A$2:$A$3142,$A494,RATEIOS!$F$2:$F$3142))</f>
        <v>400</v>
      </c>
      <c r="P494" s="15">
        <f t="shared" si="15"/>
        <v>0</v>
      </c>
      <c r="Q494" s="49" t="str">
        <f>IF(AND(J494=0,K494=0,L494=0,M494=0),"",IF(O494=0,"PENDENTE DE RATEIO",IF(ABS(P494)&gt;0.005,"DIVERGÊNCIA",IF(COUNTIF(RATEIOS!$A$2:$A$3142,$A494)-COUNTIFS(RATEIOS!$A$2:$A$3142,$A494,RATEIOS!$D$2:$D$3142,"&lt;&gt;")&gt;0,"NÃO CLASSIFICADO","RATEIO OK"))))</f>
        <v>RATEIO OK</v>
      </c>
      <c r="R494" s="49" t="s">
        <v>2553</v>
      </c>
      <c r="S494" s="14" t="s">
        <v>790</v>
      </c>
    </row>
    <row r="495" spans="1:19" ht="24.95" customHeight="1" x14ac:dyDescent="0.25">
      <c r="A495" s="49" t="s">
        <v>1929</v>
      </c>
      <c r="B495" s="98">
        <v>494</v>
      </c>
      <c r="C495" s="50">
        <v>46162</v>
      </c>
      <c r="D495" s="49">
        <f t="shared" si="14"/>
        <v>5</v>
      </c>
      <c r="E495" s="92" t="s">
        <v>118</v>
      </c>
      <c r="F495" s="49" t="s">
        <v>36</v>
      </c>
      <c r="G495" s="14" t="s">
        <v>513</v>
      </c>
      <c r="H495" s="14" t="s">
        <v>67</v>
      </c>
      <c r="I495" s="89" t="s">
        <v>458</v>
      </c>
      <c r="J495" s="73">
        <v>0</v>
      </c>
      <c r="K495" s="74">
        <v>300</v>
      </c>
      <c r="L495" s="72">
        <v>0</v>
      </c>
      <c r="M495" s="72">
        <v>0</v>
      </c>
      <c r="N495" s="72">
        <f>IF(AND(C495="",J495=0,K495=0,L495=0,M495=0),"",CADASTROS!$B$4+SUM($J$2:J495)+SUM($M$2:M495)-SUM($K$2:K495)-SUM($L$2:L495))</f>
        <v>-214775.1399999992</v>
      </c>
      <c r="O495" s="72">
        <f>IF(A495="","",SUMIF(RATEIOS!$A$2:$A$3142,$A495,RATEIOS!$F$2:$F$3142))</f>
        <v>300</v>
      </c>
      <c r="P495" s="15">
        <f t="shared" si="15"/>
        <v>0</v>
      </c>
      <c r="Q495" s="49" t="str">
        <f>IF(AND(J495=0,K495=0,L495=0,M495=0),"",IF(O495=0,"PENDENTE DE RATEIO",IF(ABS(P495)&gt;0.005,"DIVERGÊNCIA",IF(COUNTIF(RATEIOS!$A$2:$A$3142,$A495)-COUNTIFS(RATEIOS!$A$2:$A$3142,$A495,RATEIOS!$D$2:$D$3142,"&lt;&gt;")&gt;0,"NÃO CLASSIFICADO","RATEIO OK"))))</f>
        <v>RATEIO OK</v>
      </c>
      <c r="R495" s="49" t="s">
        <v>2553</v>
      </c>
      <c r="S495" s="14"/>
    </row>
    <row r="496" spans="1:19" ht="24.95" customHeight="1" x14ac:dyDescent="0.25">
      <c r="A496" s="49" t="s">
        <v>1930</v>
      </c>
      <c r="B496" s="98">
        <v>495</v>
      </c>
      <c r="C496" s="50">
        <v>46162</v>
      </c>
      <c r="D496" s="49">
        <f t="shared" si="14"/>
        <v>5</v>
      </c>
      <c r="E496" s="92" t="s">
        <v>118</v>
      </c>
      <c r="F496" s="49" t="s">
        <v>36</v>
      </c>
      <c r="G496" s="14" t="s">
        <v>305</v>
      </c>
      <c r="H496" s="14" t="s">
        <v>3207</v>
      </c>
      <c r="I496" s="76" t="s">
        <v>791</v>
      </c>
      <c r="J496" s="73">
        <v>0</v>
      </c>
      <c r="K496" s="74">
        <v>212.51</v>
      </c>
      <c r="L496" s="72">
        <v>0</v>
      </c>
      <c r="M496" s="72">
        <v>0</v>
      </c>
      <c r="N496" s="72">
        <f>IF(AND(C496="",J496=0,K496=0,L496=0,M496=0),"",CADASTROS!$B$4+SUM($J$2:J496)+SUM($M$2:M496)-SUM($K$2:K496)-SUM($L$2:L496))</f>
        <v>-214987.64999999898</v>
      </c>
      <c r="O496" s="72">
        <f>IF(A496="","",SUMIF(RATEIOS!$A$2:$A$3142,$A496,RATEIOS!$F$2:$F$3142))</f>
        <v>212.51</v>
      </c>
      <c r="P496" s="15">
        <f t="shared" si="15"/>
        <v>0</v>
      </c>
      <c r="Q496" s="49" t="str">
        <f>IF(AND(J496=0,K496=0,L496=0,M496=0),"",IF(O496=0,"PENDENTE DE RATEIO",IF(ABS(P496)&gt;0.005,"DIVERGÊNCIA",IF(COUNTIF(RATEIOS!$A$2:$A$3142,$A496)-COUNTIFS(RATEIOS!$A$2:$A$3142,$A496,RATEIOS!$D$2:$D$3142,"&lt;&gt;")&gt;0,"NÃO CLASSIFICADO","RATEIO OK"))))</f>
        <v>RATEIO OK</v>
      </c>
      <c r="R496" s="49" t="s">
        <v>2553</v>
      </c>
      <c r="S496" s="14" t="s">
        <v>792</v>
      </c>
    </row>
    <row r="497" spans="1:19" ht="24.95" customHeight="1" x14ac:dyDescent="0.25">
      <c r="A497" s="49" t="s">
        <v>1931</v>
      </c>
      <c r="B497" s="98">
        <v>496</v>
      </c>
      <c r="C497" s="50">
        <v>46162</v>
      </c>
      <c r="D497" s="49">
        <f t="shared" si="14"/>
        <v>5</v>
      </c>
      <c r="E497" s="92" t="s">
        <v>118</v>
      </c>
      <c r="F497" s="49" t="s">
        <v>36</v>
      </c>
      <c r="G497" s="14" t="s">
        <v>305</v>
      </c>
      <c r="H497" s="14" t="s">
        <v>3207</v>
      </c>
      <c r="I497" s="76" t="s">
        <v>793</v>
      </c>
      <c r="J497" s="73">
        <v>0</v>
      </c>
      <c r="K497" s="74">
        <v>97.53</v>
      </c>
      <c r="L497" s="72">
        <v>0</v>
      </c>
      <c r="M497" s="72">
        <v>0</v>
      </c>
      <c r="N497" s="72">
        <f>IF(AND(C497="",J497=0,K497=0,L497=0,M497=0),"",CADASTROS!$B$4+SUM($J$2:J497)+SUM($M$2:M497)-SUM($K$2:K497)-SUM($L$2:L497))</f>
        <v>-215085.17999999877</v>
      </c>
      <c r="O497" s="72">
        <f>IF(A497="","",SUMIF(RATEIOS!$A$2:$A$3142,$A497,RATEIOS!$F$2:$F$3142))</f>
        <v>97.53</v>
      </c>
      <c r="P497" s="15">
        <f t="shared" si="15"/>
        <v>0</v>
      </c>
      <c r="Q497" s="49" t="str">
        <f>IF(AND(J497=0,K497=0,L497=0,M497=0),"",IF(O497=0,"PENDENTE DE RATEIO",IF(ABS(P497)&gt;0.005,"DIVERGÊNCIA",IF(COUNTIF(RATEIOS!$A$2:$A$3142,$A497)-COUNTIFS(RATEIOS!$A$2:$A$3142,$A497,RATEIOS!$D$2:$D$3142,"&lt;&gt;")&gt;0,"NÃO CLASSIFICADO","RATEIO OK"))))</f>
        <v>RATEIO OK</v>
      </c>
      <c r="R497" s="49" t="s">
        <v>2553</v>
      </c>
      <c r="S497" s="14" t="s">
        <v>794</v>
      </c>
    </row>
    <row r="498" spans="1:19" ht="24.95" customHeight="1" x14ac:dyDescent="0.25">
      <c r="A498" s="49" t="s">
        <v>1932</v>
      </c>
      <c r="B498" s="98">
        <v>497</v>
      </c>
      <c r="C498" s="50">
        <v>46162</v>
      </c>
      <c r="D498" s="49">
        <f t="shared" si="14"/>
        <v>5</v>
      </c>
      <c r="E498" s="92" t="s">
        <v>169</v>
      </c>
      <c r="F498" s="49" t="s">
        <v>36</v>
      </c>
      <c r="G498" s="14" t="s">
        <v>168</v>
      </c>
      <c r="H498" s="14" t="s">
        <v>2741</v>
      </c>
      <c r="I498" s="76"/>
      <c r="J498" s="73">
        <v>0</v>
      </c>
      <c r="K498" s="74">
        <v>60.09</v>
      </c>
      <c r="L498" s="72">
        <v>0</v>
      </c>
      <c r="M498" s="72">
        <v>0</v>
      </c>
      <c r="N498" s="72">
        <f>IF(AND(C498="",J498=0,K498=0,L498=0,M498=0),"",CADASTROS!$B$4+SUM($J$2:J498)+SUM($M$2:M498)-SUM($K$2:K498)-SUM($L$2:L498))</f>
        <v>-215145.26999999862</v>
      </c>
      <c r="O498" s="72">
        <f>IF(A498="","",SUMIF(RATEIOS!$A$2:$A$3142,$A498,RATEIOS!$F$2:$F$3142))</f>
        <v>60.09</v>
      </c>
      <c r="P498" s="15">
        <f t="shared" si="15"/>
        <v>0</v>
      </c>
      <c r="Q498" s="49" t="str">
        <f>IF(AND(J498=0,K498=0,L498=0,M498=0),"",IF(O498=0,"PENDENTE DE RATEIO",IF(ABS(P498)&gt;0.005,"DIVERGÊNCIA",IF(COUNTIF(RATEIOS!$A$2:$A$3142,$A498)-COUNTIFS(RATEIOS!$A$2:$A$3142,$A498,RATEIOS!$D$2:$D$3142,"&lt;&gt;")&gt;0,"NÃO CLASSIFICADO","RATEIO OK"))))</f>
        <v>RATEIO OK</v>
      </c>
      <c r="R498" s="49" t="s">
        <v>2553</v>
      </c>
      <c r="S498" s="14"/>
    </row>
    <row r="499" spans="1:19" ht="24.95" customHeight="1" x14ac:dyDescent="0.25">
      <c r="A499" s="49" t="s">
        <v>1933</v>
      </c>
      <c r="B499" s="98">
        <v>498</v>
      </c>
      <c r="C499" s="50">
        <v>46162</v>
      </c>
      <c r="D499" s="49">
        <f t="shared" si="14"/>
        <v>5</v>
      </c>
      <c r="E499" s="92" t="s">
        <v>118</v>
      </c>
      <c r="F499" s="49" t="s">
        <v>36</v>
      </c>
      <c r="G499" s="14" t="s">
        <v>795</v>
      </c>
      <c r="H499" s="14" t="s">
        <v>84</v>
      </c>
      <c r="I499" s="76" t="s">
        <v>412</v>
      </c>
      <c r="J499" s="73">
        <v>0</v>
      </c>
      <c r="K499" s="74">
        <v>28.19</v>
      </c>
      <c r="L499" s="72">
        <v>0</v>
      </c>
      <c r="M499" s="72">
        <v>0</v>
      </c>
      <c r="N499" s="72">
        <f>IF(AND(C499="",J499=0,K499=0,L499=0,M499=0),"",CADASTROS!$B$4+SUM($J$2:J499)+SUM($M$2:M499)-SUM($K$2:K499)-SUM($L$2:L499))</f>
        <v>-215173.45999999857</v>
      </c>
      <c r="O499" s="72">
        <f>IF(A499="","",SUMIF(RATEIOS!$A$2:$A$3142,$A499,RATEIOS!$F$2:$F$3142))</f>
        <v>28.19</v>
      </c>
      <c r="P499" s="15">
        <f t="shared" si="15"/>
        <v>0</v>
      </c>
      <c r="Q499" s="49" t="str">
        <f>IF(AND(J499=0,K499=0,L499=0,M499=0),"",IF(O499=0,"PENDENTE DE RATEIO",IF(ABS(P499)&gt;0.005,"DIVERGÊNCIA",IF(COUNTIF(RATEIOS!$A$2:$A$3142,$A499)-COUNTIFS(RATEIOS!$A$2:$A$3142,$A499,RATEIOS!$D$2:$D$3142,"&lt;&gt;")&gt;0,"NÃO CLASSIFICADO","RATEIO OK"))))</f>
        <v>RATEIO OK</v>
      </c>
      <c r="R499" s="49" t="s">
        <v>2553</v>
      </c>
      <c r="S499" s="14" t="s">
        <v>3002</v>
      </c>
    </row>
    <row r="500" spans="1:19" ht="24.95" customHeight="1" x14ac:dyDescent="0.25">
      <c r="A500" s="49" t="s">
        <v>1934</v>
      </c>
      <c r="B500" s="98">
        <v>499</v>
      </c>
      <c r="C500" s="50">
        <v>46162</v>
      </c>
      <c r="D500" s="49">
        <f t="shared" si="14"/>
        <v>5</v>
      </c>
      <c r="E500" s="92" t="s">
        <v>169</v>
      </c>
      <c r="F500" s="49" t="s">
        <v>36</v>
      </c>
      <c r="G500" s="14" t="s">
        <v>170</v>
      </c>
      <c r="H500" s="14" t="s">
        <v>2741</v>
      </c>
      <c r="I500" s="76"/>
      <c r="J500" s="73">
        <v>0</v>
      </c>
      <c r="K500" s="74">
        <v>19.39</v>
      </c>
      <c r="L500" s="72">
        <v>0</v>
      </c>
      <c r="M500" s="72">
        <v>0</v>
      </c>
      <c r="N500" s="72">
        <f>IF(AND(C500="",J500=0,K500=0,L500=0,M500=0),"",CADASTROS!$B$4+SUM($J$2:J500)+SUM($M$2:M500)-SUM($K$2:K500)-SUM($L$2:L500))</f>
        <v>-215192.8499999987</v>
      </c>
      <c r="O500" s="72">
        <f>IF(A500="","",SUMIF(RATEIOS!$A$2:$A$3142,$A500,RATEIOS!$F$2:$F$3142))</f>
        <v>19.39</v>
      </c>
      <c r="P500" s="15">
        <f t="shared" si="15"/>
        <v>0</v>
      </c>
      <c r="Q500" s="49" t="str">
        <f>IF(AND(J500=0,K500=0,L500=0,M500=0),"",IF(O500=0,"PENDENTE DE RATEIO",IF(ABS(P500)&gt;0.005,"DIVERGÊNCIA",IF(COUNTIF(RATEIOS!$A$2:$A$3142,$A500)-COUNTIFS(RATEIOS!$A$2:$A$3142,$A500,RATEIOS!$D$2:$D$3142,"&lt;&gt;")&gt;0,"NÃO CLASSIFICADO","RATEIO OK"))))</f>
        <v>RATEIO OK</v>
      </c>
      <c r="R500" s="49" t="s">
        <v>2553</v>
      </c>
      <c r="S500" s="14"/>
    </row>
    <row r="501" spans="1:19" ht="24.95" customHeight="1" x14ac:dyDescent="0.25">
      <c r="A501" s="49" t="s">
        <v>1935</v>
      </c>
      <c r="B501" s="98">
        <v>500</v>
      </c>
      <c r="C501" s="50">
        <v>46162</v>
      </c>
      <c r="D501" s="49">
        <f t="shared" si="14"/>
        <v>5</v>
      </c>
      <c r="E501" s="92" t="s">
        <v>287</v>
      </c>
      <c r="F501" s="49" t="s">
        <v>35</v>
      </c>
      <c r="G501" s="14" t="s">
        <v>796</v>
      </c>
      <c r="H501" s="14" t="s">
        <v>2736</v>
      </c>
      <c r="I501" s="76" t="s">
        <v>412</v>
      </c>
      <c r="J501" s="73">
        <v>445665.97</v>
      </c>
      <c r="K501" s="74">
        <v>0</v>
      </c>
      <c r="L501" s="72">
        <v>0</v>
      </c>
      <c r="M501" s="72">
        <v>0</v>
      </c>
      <c r="N501" s="72">
        <f>IF(AND(C501="",J501=0,K501=0,L501=0,M501=0),"",CADASTROS!$B$4+SUM($J$2:J501)+SUM($M$2:M501)-SUM($K$2:K501)-SUM($L$2:L501))</f>
        <v>230473.12000000104</v>
      </c>
      <c r="O501" s="72">
        <f>IF(A501="","",SUMIF(RATEIOS!$A$2:$A$3142,$A501,RATEIOS!$F$2:$F$3142))</f>
        <v>445665.97</v>
      </c>
      <c r="P501" s="15">
        <f t="shared" si="15"/>
        <v>0</v>
      </c>
      <c r="Q501" s="49" t="str">
        <f>IF(AND(J501=0,K501=0,L501=0,M501=0),"",IF(O501=0,"PENDENTE DE RATEIO",IF(ABS(P501)&gt;0.005,"DIVERGÊNCIA",IF(COUNTIF(RATEIOS!$A$2:$A$3142,$A501)-COUNTIFS(RATEIOS!$A$2:$A$3142,$A501,RATEIOS!$D$2:$D$3142,"&lt;&gt;")&gt;0,"NÃO CLASSIFICADO","RATEIO OK"))))</f>
        <v>RATEIO OK</v>
      </c>
      <c r="R501" s="49" t="s">
        <v>2553</v>
      </c>
      <c r="S501" s="14"/>
    </row>
    <row r="502" spans="1:19" ht="24.95" customHeight="1" x14ac:dyDescent="0.25">
      <c r="A502" s="49" t="s">
        <v>1936</v>
      </c>
      <c r="B502" s="98">
        <v>501</v>
      </c>
      <c r="C502" s="50">
        <v>46163</v>
      </c>
      <c r="D502" s="49">
        <f t="shared" si="14"/>
        <v>5</v>
      </c>
      <c r="E502" s="92" t="s">
        <v>287</v>
      </c>
      <c r="F502" s="49" t="s">
        <v>36</v>
      </c>
      <c r="G502" s="14" t="s">
        <v>797</v>
      </c>
      <c r="H502" s="14" t="s">
        <v>417</v>
      </c>
      <c r="I502" s="76" t="s">
        <v>412</v>
      </c>
      <c r="J502" s="73">
        <v>0</v>
      </c>
      <c r="K502" s="74">
        <v>34395.839999999997</v>
      </c>
      <c r="L502" s="72">
        <v>0</v>
      </c>
      <c r="M502" s="72">
        <v>0</v>
      </c>
      <c r="N502" s="72">
        <f>IF(AND(C502="",J502=0,K502=0,L502=0,M502=0),"",CADASTROS!$B$4+SUM($J$2:J502)+SUM($M$2:M502)-SUM($K$2:K502)-SUM($L$2:L502))</f>
        <v>196077.28000000119</v>
      </c>
      <c r="O502" s="72">
        <f>IF(A502="","",SUMIF(RATEIOS!$A$2:$A$3142,$A502,RATEIOS!$F$2:$F$3142))</f>
        <v>34395.839999999997</v>
      </c>
      <c r="P502" s="15">
        <f t="shared" si="15"/>
        <v>0</v>
      </c>
      <c r="Q502" s="49" t="str">
        <f>IF(AND(J502=0,K502=0,L502=0,M502=0),"",IF(O502=0,"PENDENTE DE RATEIO",IF(ABS(P502)&gt;0.005,"DIVERGÊNCIA",IF(COUNTIF(RATEIOS!$A$2:$A$3142,$A502)-COUNTIFS(RATEIOS!$A$2:$A$3142,$A502,RATEIOS!$D$2:$D$3142,"&lt;&gt;")&gt;0,"NÃO CLASSIFICADO","RATEIO OK"))))</f>
        <v>RATEIO OK</v>
      </c>
      <c r="R502" s="49" t="s">
        <v>2553</v>
      </c>
      <c r="S502" s="14" t="s">
        <v>3003</v>
      </c>
    </row>
    <row r="503" spans="1:19" ht="24.95" customHeight="1" x14ac:dyDescent="0.25">
      <c r="A503" s="49" t="s">
        <v>1937</v>
      </c>
      <c r="B503" s="98">
        <v>502</v>
      </c>
      <c r="C503" s="50">
        <v>46163</v>
      </c>
      <c r="D503" s="49">
        <f t="shared" si="14"/>
        <v>5</v>
      </c>
      <c r="E503" s="92" t="s">
        <v>287</v>
      </c>
      <c r="F503" s="49" t="s">
        <v>36</v>
      </c>
      <c r="G503" s="14" t="s">
        <v>798</v>
      </c>
      <c r="H503" s="14" t="s">
        <v>349</v>
      </c>
      <c r="I503" s="76" t="s">
        <v>412</v>
      </c>
      <c r="J503" s="73">
        <v>0</v>
      </c>
      <c r="K503" s="74">
        <v>34395.839999999997</v>
      </c>
      <c r="L503" s="72">
        <v>0</v>
      </c>
      <c r="M503" s="72">
        <v>0</v>
      </c>
      <c r="N503" s="72">
        <f>IF(AND(C503="",J503=0,K503=0,L503=0,M503=0),"",CADASTROS!$B$4+SUM($J$2:J503)+SUM($M$2:M503)-SUM($K$2:K503)-SUM($L$2:L503))</f>
        <v>161681.44000000134</v>
      </c>
      <c r="O503" s="72">
        <f>IF(A503="","",SUMIF(RATEIOS!$A$2:$A$3142,$A503,RATEIOS!$F$2:$F$3142))</f>
        <v>34395.839999999997</v>
      </c>
      <c r="P503" s="15">
        <f t="shared" si="15"/>
        <v>0</v>
      </c>
      <c r="Q503" s="49" t="str">
        <f>IF(AND(J503=0,K503=0,L503=0,M503=0),"",IF(O503=0,"PENDENTE DE RATEIO",IF(ABS(P503)&gt;0.005,"DIVERGÊNCIA",IF(COUNTIF(RATEIOS!$A$2:$A$3142,$A503)-COUNTIFS(RATEIOS!$A$2:$A$3142,$A503,RATEIOS!$D$2:$D$3142,"&lt;&gt;")&gt;0,"NÃO CLASSIFICADO","RATEIO OK"))))</f>
        <v>RATEIO OK</v>
      </c>
      <c r="R503" s="49" t="s">
        <v>2553</v>
      </c>
      <c r="S503" s="14" t="s">
        <v>3003</v>
      </c>
    </row>
    <row r="504" spans="1:19" ht="24.95" customHeight="1" x14ac:dyDescent="0.25">
      <c r="A504" s="49" t="s">
        <v>1938</v>
      </c>
      <c r="B504" s="98">
        <v>503</v>
      </c>
      <c r="C504" s="50">
        <v>46163</v>
      </c>
      <c r="D504" s="49">
        <f t="shared" si="14"/>
        <v>5</v>
      </c>
      <c r="E504" s="92" t="s">
        <v>287</v>
      </c>
      <c r="F504" s="49" t="s">
        <v>36</v>
      </c>
      <c r="G504" s="14" t="s">
        <v>799</v>
      </c>
      <c r="H504" s="14" t="s">
        <v>712</v>
      </c>
      <c r="I504" s="76" t="s">
        <v>412</v>
      </c>
      <c r="J504" s="73">
        <v>0</v>
      </c>
      <c r="K504" s="74">
        <v>24395.84</v>
      </c>
      <c r="L504" s="72">
        <v>0</v>
      </c>
      <c r="M504" s="72">
        <v>0</v>
      </c>
      <c r="N504" s="72">
        <f>IF(AND(C504="",J504=0,K504=0,L504=0,M504=0),"",CADASTROS!$B$4+SUM($J$2:J504)+SUM($M$2:M504)-SUM($K$2:K504)-SUM($L$2:L504))</f>
        <v>137285.60000000149</v>
      </c>
      <c r="O504" s="72">
        <f>IF(A504="","",SUMIF(RATEIOS!$A$2:$A$3142,$A504,RATEIOS!$F$2:$F$3142))</f>
        <v>24395.84</v>
      </c>
      <c r="P504" s="15">
        <f t="shared" si="15"/>
        <v>0</v>
      </c>
      <c r="Q504" s="49" t="str">
        <f>IF(AND(J504=0,K504=0,L504=0,M504=0),"",IF(O504=0,"PENDENTE DE RATEIO",IF(ABS(P504)&gt;0.005,"DIVERGÊNCIA",IF(COUNTIF(RATEIOS!$A$2:$A$3142,$A504)-COUNTIFS(RATEIOS!$A$2:$A$3142,$A504,RATEIOS!$D$2:$D$3142,"&lt;&gt;")&gt;0,"NÃO CLASSIFICADO","RATEIO OK"))))</f>
        <v>RATEIO OK</v>
      </c>
      <c r="R504" s="49" t="s">
        <v>2553</v>
      </c>
      <c r="S504" s="14" t="s">
        <v>3005</v>
      </c>
    </row>
    <row r="505" spans="1:19" ht="24.95" customHeight="1" x14ac:dyDescent="0.25">
      <c r="A505" s="49" t="s">
        <v>1939</v>
      </c>
      <c r="B505" s="98">
        <v>504</v>
      </c>
      <c r="C505" s="50">
        <v>46163</v>
      </c>
      <c r="D505" s="49">
        <f t="shared" si="14"/>
        <v>5</v>
      </c>
      <c r="E505" s="92" t="s">
        <v>287</v>
      </c>
      <c r="F505" s="49" t="s">
        <v>36</v>
      </c>
      <c r="G505" s="14" t="s">
        <v>800</v>
      </c>
      <c r="H505" s="14" t="s">
        <v>703</v>
      </c>
      <c r="I505" s="76" t="s">
        <v>412</v>
      </c>
      <c r="J505" s="73">
        <v>0</v>
      </c>
      <c r="K505" s="74">
        <v>24395.84</v>
      </c>
      <c r="L505" s="72">
        <v>0</v>
      </c>
      <c r="M505" s="72">
        <v>0</v>
      </c>
      <c r="N505" s="72">
        <f>IF(AND(C505="",J505=0,K505=0,L505=0,M505=0),"",CADASTROS!$B$4+SUM($J$2:J505)+SUM($M$2:M505)-SUM($K$2:K505)-SUM($L$2:L505))</f>
        <v>112889.76000000164</v>
      </c>
      <c r="O505" s="72">
        <f>IF(A505="","",SUMIF(RATEIOS!$A$2:$A$3142,$A505,RATEIOS!$F$2:$F$3142))</f>
        <v>24395.84</v>
      </c>
      <c r="P505" s="15">
        <f t="shared" si="15"/>
        <v>0</v>
      </c>
      <c r="Q505" s="49" t="str">
        <f>IF(AND(J505=0,K505=0,L505=0,M505=0),"",IF(O505=0,"PENDENTE DE RATEIO",IF(ABS(P505)&gt;0.005,"DIVERGÊNCIA",IF(COUNTIF(RATEIOS!$A$2:$A$3142,$A505)-COUNTIFS(RATEIOS!$A$2:$A$3142,$A505,RATEIOS!$D$2:$D$3142,"&lt;&gt;")&gt;0,"NÃO CLASSIFICADO","RATEIO OK"))))</f>
        <v>RATEIO OK</v>
      </c>
      <c r="R505" s="49" t="s">
        <v>2553</v>
      </c>
      <c r="S505" s="14" t="s">
        <v>3005</v>
      </c>
    </row>
    <row r="506" spans="1:19" ht="24.95" customHeight="1" x14ac:dyDescent="0.25">
      <c r="A506" s="49" t="s">
        <v>1940</v>
      </c>
      <c r="B506" s="98">
        <v>505</v>
      </c>
      <c r="C506" s="50">
        <v>46163</v>
      </c>
      <c r="D506" s="49">
        <f t="shared" si="14"/>
        <v>5</v>
      </c>
      <c r="E506" s="92" t="s">
        <v>118</v>
      </c>
      <c r="F506" s="49" t="s">
        <v>36</v>
      </c>
      <c r="G506" s="14" t="s">
        <v>801</v>
      </c>
      <c r="H506" s="14" t="s">
        <v>125</v>
      </c>
      <c r="I506" s="76" t="s">
        <v>412</v>
      </c>
      <c r="J506" s="73">
        <v>0</v>
      </c>
      <c r="K506" s="74">
        <v>22553.95</v>
      </c>
      <c r="L506" s="72">
        <v>0</v>
      </c>
      <c r="M506" s="72">
        <v>0</v>
      </c>
      <c r="N506" s="72">
        <f>IF(AND(C506="",J506=0,K506=0,L506=0,M506=0),"",CADASTROS!$B$4+SUM($J$2:J506)+SUM($M$2:M506)-SUM($K$2:K506)-SUM($L$2:L506))</f>
        <v>90335.810000001453</v>
      </c>
      <c r="O506" s="72">
        <f>IF(A506="","",SUMIF(RATEIOS!$A$2:$A$3142,$A506,RATEIOS!$F$2:$F$3142))</f>
        <v>22553.95</v>
      </c>
      <c r="P506" s="15">
        <f t="shared" si="15"/>
        <v>0</v>
      </c>
      <c r="Q506" s="49" t="str">
        <f>IF(AND(J506=0,K506=0,L506=0,M506=0),"",IF(O506=0,"PENDENTE DE RATEIO",IF(ABS(P506)&gt;0.005,"DIVERGÊNCIA",IF(COUNTIF(RATEIOS!$A$2:$A$3142,$A506)-COUNTIFS(RATEIOS!$A$2:$A$3142,$A506,RATEIOS!$D$2:$D$3142,"&lt;&gt;")&gt;0,"NÃO CLASSIFICADO","RATEIO OK"))))</f>
        <v>RATEIO OK</v>
      </c>
      <c r="R506" s="49" t="s">
        <v>2553</v>
      </c>
      <c r="S506" s="14" t="s">
        <v>3006</v>
      </c>
    </row>
    <row r="507" spans="1:19" ht="24.95" customHeight="1" x14ac:dyDescent="0.25">
      <c r="A507" s="49" t="s">
        <v>1941</v>
      </c>
      <c r="B507" s="98">
        <v>506</v>
      </c>
      <c r="C507" s="50">
        <v>46163</v>
      </c>
      <c r="D507" s="49">
        <f t="shared" si="14"/>
        <v>5</v>
      </c>
      <c r="E507" s="92" t="s">
        <v>287</v>
      </c>
      <c r="F507" s="49" t="s">
        <v>36</v>
      </c>
      <c r="G507" s="14" t="s">
        <v>802</v>
      </c>
      <c r="H507" s="14" t="s">
        <v>411</v>
      </c>
      <c r="I507" s="76" t="s">
        <v>412</v>
      </c>
      <c r="J507" s="73">
        <v>0</v>
      </c>
      <c r="K507" s="74">
        <v>21098.959999999999</v>
      </c>
      <c r="L507" s="72">
        <v>0</v>
      </c>
      <c r="M507" s="72">
        <v>0</v>
      </c>
      <c r="N507" s="72">
        <f>IF(AND(C507="",J507=0,K507=0,L507=0,M507=0),"",CADASTROS!$B$4+SUM($J$2:J507)+SUM($M$2:M507)-SUM($K$2:K507)-SUM($L$2:L507))</f>
        <v>69236.85000000149</v>
      </c>
      <c r="O507" s="72">
        <f>IF(A507="","",SUMIF(RATEIOS!$A$2:$A$3142,$A507,RATEIOS!$F$2:$F$3142))</f>
        <v>21098.959999999999</v>
      </c>
      <c r="P507" s="15">
        <f t="shared" si="15"/>
        <v>0</v>
      </c>
      <c r="Q507" s="49" t="str">
        <f>IF(AND(J507=0,K507=0,L507=0,M507=0),"",IF(O507=0,"PENDENTE DE RATEIO",IF(ABS(P507)&gt;0.005,"DIVERGÊNCIA",IF(COUNTIF(RATEIOS!$A$2:$A$3142,$A507)-COUNTIFS(RATEIOS!$A$2:$A$3142,$A507,RATEIOS!$D$2:$D$3142,"&lt;&gt;")&gt;0,"NÃO CLASSIFICADO","RATEIO OK"))))</f>
        <v>RATEIO OK</v>
      </c>
      <c r="R507" s="49" t="s">
        <v>2553</v>
      </c>
      <c r="S507" s="14" t="s">
        <v>3007</v>
      </c>
    </row>
    <row r="508" spans="1:19" ht="24.95" customHeight="1" x14ac:dyDescent="0.25">
      <c r="A508" s="49" t="s">
        <v>1944</v>
      </c>
      <c r="B508" s="98">
        <v>507</v>
      </c>
      <c r="C508" s="50">
        <v>46163</v>
      </c>
      <c r="D508" s="49">
        <f t="shared" si="14"/>
        <v>5</v>
      </c>
      <c r="E508" s="92" t="s">
        <v>287</v>
      </c>
      <c r="F508" s="49" t="s">
        <v>36</v>
      </c>
      <c r="G508" s="14" t="s">
        <v>803</v>
      </c>
      <c r="H508" s="14" t="s">
        <v>743</v>
      </c>
      <c r="I508" s="76" t="s">
        <v>412</v>
      </c>
      <c r="J508" s="73">
        <v>0</v>
      </c>
      <c r="K508" s="74">
        <v>17197.919999999998</v>
      </c>
      <c r="L508" s="72">
        <v>0</v>
      </c>
      <c r="M508" s="72">
        <v>0</v>
      </c>
      <c r="N508" s="72">
        <f>IF(AND(C508="",J508=0,K508=0,L508=0,M508=0),"",CADASTROS!$B$4+SUM($J$2:J508)+SUM($M$2:M508)-SUM($K$2:K508)-SUM($L$2:L508))</f>
        <v>52038.930000001565</v>
      </c>
      <c r="O508" s="72">
        <f>IF(A508="","",SUMIF(RATEIOS!$A$2:$A$3142,$A508,RATEIOS!$F$2:$F$3142))</f>
        <v>17197.919999999998</v>
      </c>
      <c r="P508" s="15">
        <f t="shared" si="15"/>
        <v>0</v>
      </c>
      <c r="Q508" s="49" t="str">
        <f>IF(AND(J508=0,K508=0,L508=0,M508=0),"",IF(O508=0,"PENDENTE DE RATEIO",IF(ABS(P508)&gt;0.005,"DIVERGÊNCIA",IF(COUNTIF(RATEIOS!$A$2:$A$3142,$A508)-COUNTIFS(RATEIOS!$A$2:$A$3142,$A508,RATEIOS!$D$2:$D$3142,"&lt;&gt;")&gt;0,"NÃO CLASSIFICADO","RATEIO OK"))))</f>
        <v>RATEIO OK</v>
      </c>
      <c r="R508" s="49" t="s">
        <v>2553</v>
      </c>
      <c r="S508" s="14" t="s">
        <v>3008</v>
      </c>
    </row>
    <row r="509" spans="1:19" ht="24.95" customHeight="1" x14ac:dyDescent="0.25">
      <c r="A509" s="49" t="s">
        <v>1947</v>
      </c>
      <c r="B509" s="98">
        <v>508</v>
      </c>
      <c r="C509" s="50">
        <v>46163</v>
      </c>
      <c r="D509" s="49">
        <f t="shared" si="14"/>
        <v>5</v>
      </c>
      <c r="E509" s="92" t="s">
        <v>287</v>
      </c>
      <c r="F509" s="49" t="s">
        <v>36</v>
      </c>
      <c r="G509" s="14" t="s">
        <v>804</v>
      </c>
      <c r="H509" s="14" t="s">
        <v>337</v>
      </c>
      <c r="I509" s="76" t="s">
        <v>412</v>
      </c>
      <c r="J509" s="73">
        <v>0</v>
      </c>
      <c r="K509" s="74">
        <v>17197.919999999998</v>
      </c>
      <c r="L509" s="72">
        <v>0</v>
      </c>
      <c r="M509" s="72">
        <v>0</v>
      </c>
      <c r="N509" s="72">
        <f>IF(AND(C509="",J509=0,K509=0,L509=0,M509=0),"",CADASTROS!$B$4+SUM($J$2:J509)+SUM($M$2:M509)-SUM($K$2:K509)-SUM($L$2:L509))</f>
        <v>34841.010000001639</v>
      </c>
      <c r="O509" s="72">
        <f>IF(A509="","",SUMIF(RATEIOS!$A$2:$A$3142,$A509,RATEIOS!$F$2:$F$3142))</f>
        <v>17197.919999999998</v>
      </c>
      <c r="P509" s="15">
        <f t="shared" si="15"/>
        <v>0</v>
      </c>
      <c r="Q509" s="49" t="str">
        <f>IF(AND(J509=0,K509=0,L509=0,M509=0),"",IF(O509=0,"PENDENTE DE RATEIO",IF(ABS(P509)&gt;0.005,"DIVERGÊNCIA",IF(COUNTIF(RATEIOS!$A$2:$A$3142,$A509)-COUNTIFS(RATEIOS!$A$2:$A$3142,$A509,RATEIOS!$D$2:$D$3142,"&lt;&gt;")&gt;0,"NÃO CLASSIFICADO","RATEIO OK"))))</f>
        <v>RATEIO OK</v>
      </c>
      <c r="R509" s="49" t="s">
        <v>2553</v>
      </c>
      <c r="S509" s="14" t="s">
        <v>3008</v>
      </c>
    </row>
    <row r="510" spans="1:19" ht="24.95" customHeight="1" x14ac:dyDescent="0.25">
      <c r="A510" s="49" t="s">
        <v>1948</v>
      </c>
      <c r="B510" s="98">
        <v>509</v>
      </c>
      <c r="C510" s="50">
        <v>46163</v>
      </c>
      <c r="D510" s="49">
        <f t="shared" si="14"/>
        <v>5</v>
      </c>
      <c r="E510" s="92" t="s">
        <v>72</v>
      </c>
      <c r="F510" s="49" t="s">
        <v>36</v>
      </c>
      <c r="G510" s="14" t="s">
        <v>2921</v>
      </c>
      <c r="H510" s="14" t="s">
        <v>419</v>
      </c>
      <c r="I510" s="76" t="s">
        <v>2922</v>
      </c>
      <c r="J510" s="73">
        <v>0</v>
      </c>
      <c r="K510" s="74">
        <v>12000</v>
      </c>
      <c r="L510" s="72">
        <v>0</v>
      </c>
      <c r="M510" s="72">
        <v>0</v>
      </c>
      <c r="N510" s="72">
        <f>IF(AND(C510="",J510=0,K510=0,L510=0,M510=0),"",CADASTROS!$B$4+SUM($J$2:J510)+SUM($M$2:M510)-SUM($K$2:K510)-SUM($L$2:L510))</f>
        <v>22841.010000001639</v>
      </c>
      <c r="O510" s="72">
        <f>IF(A510="","",SUMIF(RATEIOS!$A$2:$A$3142,$A510,RATEIOS!$F$2:$F$3142))</f>
        <v>12000</v>
      </c>
      <c r="P510" s="15">
        <f t="shared" si="15"/>
        <v>0</v>
      </c>
      <c r="Q510" s="49" t="str">
        <f>IF(AND(J510=0,K510=0,L510=0,M510=0),"",IF(O510=0,"PENDENTE DE RATEIO",IF(ABS(P510)&gt;0.005,"DIVERGÊNCIA",IF(COUNTIF(RATEIOS!$A$2:$A$3142,$A510)-COUNTIFS(RATEIOS!$A$2:$A$3142,$A510,RATEIOS!$D$2:$D$3142,"&lt;&gt;")&gt;0,"NÃO CLASSIFICADO","RATEIO OK"))))</f>
        <v>RATEIO OK</v>
      </c>
      <c r="R510" s="49" t="s">
        <v>2553</v>
      </c>
      <c r="S510" s="14"/>
    </row>
    <row r="511" spans="1:19" ht="24.95" customHeight="1" x14ac:dyDescent="0.25">
      <c r="A511" s="49" t="s">
        <v>1950</v>
      </c>
      <c r="B511" s="98">
        <v>510</v>
      </c>
      <c r="C511" s="50">
        <v>46163</v>
      </c>
      <c r="D511" s="49">
        <f t="shared" si="14"/>
        <v>5</v>
      </c>
      <c r="E511" s="92" t="s">
        <v>72</v>
      </c>
      <c r="F511" s="49" t="s">
        <v>36</v>
      </c>
      <c r="G511" s="14" t="s">
        <v>806</v>
      </c>
      <c r="H511" s="14" t="s">
        <v>425</v>
      </c>
      <c r="I511" s="76" t="s">
        <v>807</v>
      </c>
      <c r="J511" s="73">
        <v>0</v>
      </c>
      <c r="K511" s="74">
        <v>4000</v>
      </c>
      <c r="L511" s="72">
        <v>0</v>
      </c>
      <c r="M511" s="72">
        <v>0</v>
      </c>
      <c r="N511" s="72">
        <f>IF(AND(C511="",J511=0,K511=0,L511=0,M511=0),"",CADASTROS!$B$4+SUM($J$2:J511)+SUM($M$2:M511)-SUM($K$2:K511)-SUM($L$2:L511))</f>
        <v>18841.010000001639</v>
      </c>
      <c r="O511" s="72">
        <f>IF(A511="","",SUMIF(RATEIOS!$A$2:$A$3142,$A511,RATEIOS!$F$2:$F$3142))</f>
        <v>4000</v>
      </c>
      <c r="P511" s="15">
        <f t="shared" si="15"/>
        <v>0</v>
      </c>
      <c r="Q511" s="49" t="str">
        <f>IF(AND(J511=0,K511=0,L511=0,M511=0),"",IF(O511=0,"PENDENTE DE RATEIO",IF(ABS(P511)&gt;0.005,"DIVERGÊNCIA",IF(COUNTIF(RATEIOS!$A$2:$A$3142,$A511)-COUNTIFS(RATEIOS!$A$2:$A$3142,$A511,RATEIOS!$D$2:$D$3142,"&lt;&gt;")&gt;0,"NÃO CLASSIFICADO","RATEIO OK"))))</f>
        <v>RATEIO OK</v>
      </c>
      <c r="R511" s="49" t="s">
        <v>2553</v>
      </c>
      <c r="S511" s="14"/>
    </row>
    <row r="512" spans="1:19" ht="24.95" customHeight="1" x14ac:dyDescent="0.25">
      <c r="A512" s="49" t="s">
        <v>1951</v>
      </c>
      <c r="B512" s="98">
        <v>511</v>
      </c>
      <c r="C512" s="50">
        <v>46163</v>
      </c>
      <c r="D512" s="49">
        <f t="shared" si="14"/>
        <v>5</v>
      </c>
      <c r="E512" s="92" t="s">
        <v>287</v>
      </c>
      <c r="F512" s="49" t="s">
        <v>35</v>
      </c>
      <c r="G512" s="14" t="s">
        <v>334</v>
      </c>
      <c r="H512" s="14" t="s">
        <v>335</v>
      </c>
      <c r="I512" s="76" t="s">
        <v>412</v>
      </c>
      <c r="J512" s="73">
        <v>997.92</v>
      </c>
      <c r="K512" s="74">
        <v>0</v>
      </c>
      <c r="L512" s="72">
        <v>0</v>
      </c>
      <c r="M512" s="72">
        <v>0</v>
      </c>
      <c r="N512" s="72">
        <f>IF(AND(C512="",J512=0,K512=0,L512=0,M512=0),"",CADASTROS!$B$4+SUM($J$2:J512)+SUM($M$2:M512)-SUM($K$2:K512)-SUM($L$2:L512))</f>
        <v>19838.930000001565</v>
      </c>
      <c r="O512" s="72">
        <f>IF(A512="","",SUMIF(RATEIOS!$A$2:$A$3142,$A512,RATEIOS!$F$2:$F$3142))</f>
        <v>997.92</v>
      </c>
      <c r="P512" s="15">
        <f t="shared" si="15"/>
        <v>0</v>
      </c>
      <c r="Q512" s="49" t="str">
        <f>IF(AND(J512=0,K512=0,L512=0,M512=0),"",IF(O512=0,"PENDENTE DE RATEIO",IF(ABS(P512)&gt;0.005,"DIVERGÊNCIA",IF(COUNTIF(RATEIOS!$A$2:$A$3142,$A512)-COUNTIFS(RATEIOS!$A$2:$A$3142,$A512,RATEIOS!$D$2:$D$3142,"&lt;&gt;")&gt;0,"NÃO CLASSIFICADO","RATEIO OK"))))</f>
        <v>NÃO CLASSIFICADO</v>
      </c>
      <c r="R512" s="49" t="s">
        <v>2553</v>
      </c>
      <c r="S512" s="14"/>
    </row>
    <row r="513" spans="1:19" ht="24.95" customHeight="1" x14ac:dyDescent="0.25">
      <c r="A513" s="49" t="s">
        <v>1954</v>
      </c>
      <c r="B513" s="98">
        <v>512</v>
      </c>
      <c r="C513" s="50">
        <v>46163</v>
      </c>
      <c r="D513" s="49">
        <f t="shared" si="14"/>
        <v>5</v>
      </c>
      <c r="E513" s="92" t="s">
        <v>510</v>
      </c>
      <c r="F513" s="49" t="s">
        <v>35</v>
      </c>
      <c r="G513" s="14" t="s">
        <v>808</v>
      </c>
      <c r="H513" s="14" t="s">
        <v>512</v>
      </c>
      <c r="I513" s="76" t="s">
        <v>412</v>
      </c>
      <c r="J513" s="73">
        <v>100000</v>
      </c>
      <c r="K513" s="74">
        <v>0</v>
      </c>
      <c r="L513" s="72">
        <v>0</v>
      </c>
      <c r="M513" s="72">
        <v>0</v>
      </c>
      <c r="N513" s="72">
        <f>IF(AND(C513="",J513=0,K513=0,L513=0,M513=0),"",CADASTROS!$B$4+SUM($J$2:J513)+SUM($M$2:M513)-SUM($K$2:K513)-SUM($L$2:L513))</f>
        <v>119838.93000000156</v>
      </c>
      <c r="O513" s="72">
        <f>IF(A513="","",SUMIF(RATEIOS!$A$2:$A$3142,$A513,RATEIOS!$F$2:$F$3142))</f>
        <v>100000</v>
      </c>
      <c r="P513" s="15">
        <f t="shared" si="15"/>
        <v>0</v>
      </c>
      <c r="Q513" s="49" t="str">
        <f>IF(AND(J513=0,K513=0,L513=0,M513=0),"",IF(O513=0,"PENDENTE DE RATEIO",IF(ABS(P513)&gt;0.005,"DIVERGÊNCIA",IF(COUNTIF(RATEIOS!$A$2:$A$3142,$A513)-COUNTIFS(RATEIOS!$A$2:$A$3142,$A513,RATEIOS!$D$2:$D$3142,"&lt;&gt;")&gt;0,"NÃO CLASSIFICADO","RATEIO OK"))))</f>
        <v>RATEIO OK</v>
      </c>
      <c r="R513" s="49" t="s">
        <v>2553</v>
      </c>
      <c r="S513" s="14"/>
    </row>
    <row r="514" spans="1:19" ht="24.95" customHeight="1" x14ac:dyDescent="0.25">
      <c r="A514" s="49" t="s">
        <v>1956</v>
      </c>
      <c r="B514" s="98">
        <v>513</v>
      </c>
      <c r="C514" s="50">
        <v>46164</v>
      </c>
      <c r="D514" s="49">
        <f t="shared" ref="D514:D577" si="16">IF(C514="","",MONTH(C514))</f>
        <v>5</v>
      </c>
      <c r="E514" s="92" t="s">
        <v>118</v>
      </c>
      <c r="F514" s="49" t="s">
        <v>36</v>
      </c>
      <c r="G514" s="14" t="s">
        <v>809</v>
      </c>
      <c r="H514" s="14" t="s">
        <v>252</v>
      </c>
      <c r="I514" s="76" t="s">
        <v>810</v>
      </c>
      <c r="J514" s="73">
        <v>0</v>
      </c>
      <c r="K514" s="74">
        <v>17339.599999999999</v>
      </c>
      <c r="L514" s="72">
        <v>0</v>
      </c>
      <c r="M514" s="72">
        <v>0</v>
      </c>
      <c r="N514" s="72">
        <f>IF(AND(C514="",J514=0,K514=0,L514=0,M514=0),"",CADASTROS!$B$4+SUM($J$2:J514)+SUM($M$2:M514)-SUM($K$2:K514)-SUM($L$2:L514))</f>
        <v>102499.33000000147</v>
      </c>
      <c r="O514" s="72">
        <f>IF(A514="","",SUMIF(RATEIOS!$A$2:$A$3142,$A514,RATEIOS!$F$2:$F$3142))</f>
        <v>17339.599999999999</v>
      </c>
      <c r="P514" s="15">
        <f t="shared" ref="P514:P577" si="17">IF(A514="","",(J514+K514+L514+M514)-O514)</f>
        <v>0</v>
      </c>
      <c r="Q514" s="49" t="str">
        <f>IF(AND(J514=0,K514=0,L514=0,M514=0),"",IF(O514=0,"PENDENTE DE RATEIO",IF(ABS(P514)&gt;0.005,"DIVERGÊNCIA",IF(COUNTIF(RATEIOS!$A$2:$A$3142,$A514)-COUNTIFS(RATEIOS!$A$2:$A$3142,$A514,RATEIOS!$D$2:$D$3142,"&lt;&gt;")&gt;0,"NÃO CLASSIFICADO","RATEIO OK"))))</f>
        <v>RATEIO OK</v>
      </c>
      <c r="R514" s="49" t="s">
        <v>2553</v>
      </c>
      <c r="S514" s="14"/>
    </row>
    <row r="515" spans="1:19" ht="24.95" customHeight="1" x14ac:dyDescent="0.25">
      <c r="A515" s="49" t="s">
        <v>1958</v>
      </c>
      <c r="B515" s="98">
        <v>514</v>
      </c>
      <c r="C515" s="50">
        <v>46164</v>
      </c>
      <c r="D515" s="49">
        <f t="shared" si="16"/>
        <v>5</v>
      </c>
      <c r="E515" s="92" t="s">
        <v>287</v>
      </c>
      <c r="F515" s="49" t="s">
        <v>36</v>
      </c>
      <c r="G515" s="14" t="s">
        <v>811</v>
      </c>
      <c r="H515" s="14" t="s">
        <v>414</v>
      </c>
      <c r="I515" s="76" t="s">
        <v>812</v>
      </c>
      <c r="J515" s="73">
        <v>0</v>
      </c>
      <c r="K515" s="74">
        <v>16357.94</v>
      </c>
      <c r="L515" s="72">
        <v>0</v>
      </c>
      <c r="M515" s="72">
        <v>0</v>
      </c>
      <c r="N515" s="72">
        <f>IF(AND(C515="",J515=0,K515=0,L515=0,M515=0),"",CADASTROS!$B$4+SUM($J$2:J515)+SUM($M$2:M515)-SUM($K$2:K515)-SUM($L$2:L515))</f>
        <v>86141.390000001527</v>
      </c>
      <c r="O515" s="72">
        <f>IF(A515="","",SUMIF(RATEIOS!$A$2:$A$3142,$A515,RATEIOS!$F$2:$F$3142))</f>
        <v>16357.94</v>
      </c>
      <c r="P515" s="15">
        <f t="shared" si="17"/>
        <v>0</v>
      </c>
      <c r="Q515" s="49" t="str">
        <f>IF(AND(J515=0,K515=0,L515=0,M515=0),"",IF(O515=0,"PENDENTE DE RATEIO",IF(ABS(P515)&gt;0.005,"DIVERGÊNCIA",IF(COUNTIF(RATEIOS!$A$2:$A$3142,$A515)-COUNTIFS(RATEIOS!$A$2:$A$3142,$A515,RATEIOS!$D$2:$D$3142,"&lt;&gt;")&gt;0,"NÃO CLASSIFICADO","RATEIO OK"))))</f>
        <v>RATEIO OK</v>
      </c>
      <c r="R515" s="49" t="s">
        <v>2553</v>
      </c>
      <c r="S515" s="14"/>
    </row>
    <row r="516" spans="1:19" ht="24.95" customHeight="1" x14ac:dyDescent="0.25">
      <c r="A516" s="49" t="s">
        <v>1959</v>
      </c>
      <c r="B516" s="98">
        <v>515</v>
      </c>
      <c r="C516" s="50">
        <v>46164</v>
      </c>
      <c r="D516" s="49">
        <f t="shared" si="16"/>
        <v>5</v>
      </c>
      <c r="E516" s="92" t="s">
        <v>505</v>
      </c>
      <c r="F516" s="49" t="s">
        <v>36</v>
      </c>
      <c r="G516" s="14" t="s">
        <v>813</v>
      </c>
      <c r="H516" s="14" t="s">
        <v>3041</v>
      </c>
      <c r="I516" s="76" t="s">
        <v>507</v>
      </c>
      <c r="J516" s="73">
        <v>0</v>
      </c>
      <c r="K516" s="74">
        <v>7700</v>
      </c>
      <c r="L516" s="72">
        <v>0</v>
      </c>
      <c r="M516" s="72">
        <v>0</v>
      </c>
      <c r="N516" s="72">
        <f>IF(AND(C516="",J516=0,K516=0,L516=0,M516=0),"",CADASTROS!$B$4+SUM($J$2:J516)+SUM($M$2:M516)-SUM($K$2:K516)-SUM($L$2:L516))</f>
        <v>78441.390000001527</v>
      </c>
      <c r="O516" s="72">
        <f>IF(A516="","",SUMIF(RATEIOS!$A$2:$A$3142,$A516,RATEIOS!$F$2:$F$3142))</f>
        <v>7700</v>
      </c>
      <c r="P516" s="15">
        <f t="shared" si="17"/>
        <v>0</v>
      </c>
      <c r="Q516" s="49" t="str">
        <f>IF(AND(J516=0,K516=0,L516=0,M516=0),"",IF(O516=0,"PENDENTE DE RATEIO",IF(ABS(P516)&gt;0.005,"DIVERGÊNCIA",IF(COUNTIF(RATEIOS!$A$2:$A$3142,$A516)-COUNTIFS(RATEIOS!$A$2:$A$3142,$A516,RATEIOS!$D$2:$D$3142,"&lt;&gt;")&gt;0,"NÃO CLASSIFICADO","RATEIO OK"))))</f>
        <v>RATEIO OK</v>
      </c>
      <c r="R516" s="49" t="s">
        <v>2553</v>
      </c>
      <c r="S516" s="14"/>
    </row>
    <row r="517" spans="1:19" ht="24.95" customHeight="1" x14ac:dyDescent="0.25">
      <c r="A517" s="49" t="s">
        <v>1960</v>
      </c>
      <c r="B517" s="98">
        <v>516</v>
      </c>
      <c r="C517" s="50">
        <v>46164</v>
      </c>
      <c r="D517" s="49">
        <f t="shared" si="16"/>
        <v>5</v>
      </c>
      <c r="E517" s="92" t="s">
        <v>505</v>
      </c>
      <c r="F517" s="49" t="s">
        <v>36</v>
      </c>
      <c r="G517" s="14" t="s">
        <v>814</v>
      </c>
      <c r="H517" s="14" t="s">
        <v>3041</v>
      </c>
      <c r="I517" s="76" t="s">
        <v>536</v>
      </c>
      <c r="J517" s="73">
        <v>0</v>
      </c>
      <c r="K517" s="74">
        <v>7700</v>
      </c>
      <c r="L517" s="72">
        <v>0</v>
      </c>
      <c r="M517" s="72">
        <v>0</v>
      </c>
      <c r="N517" s="72">
        <f>IF(AND(C517="",J517=0,K517=0,L517=0,M517=0),"",CADASTROS!$B$4+SUM($J$2:J517)+SUM($M$2:M517)-SUM($K$2:K517)-SUM($L$2:L517))</f>
        <v>70741.390000001527</v>
      </c>
      <c r="O517" s="72">
        <f>IF(A517="","",SUMIF(RATEIOS!$A$2:$A$3142,$A517,RATEIOS!$F$2:$F$3142))</f>
        <v>7700</v>
      </c>
      <c r="P517" s="15">
        <f t="shared" si="17"/>
        <v>0</v>
      </c>
      <c r="Q517" s="49" t="str">
        <f>IF(AND(J517=0,K517=0,L517=0,M517=0),"",IF(O517=0,"PENDENTE DE RATEIO",IF(ABS(P517)&gt;0.005,"DIVERGÊNCIA",IF(COUNTIF(RATEIOS!$A$2:$A$3142,$A517)-COUNTIFS(RATEIOS!$A$2:$A$3142,$A517,RATEIOS!$D$2:$D$3142,"&lt;&gt;")&gt;0,"NÃO CLASSIFICADO","RATEIO OK"))))</f>
        <v>RATEIO OK</v>
      </c>
      <c r="R517" s="49" t="s">
        <v>2553</v>
      </c>
      <c r="S517" s="14"/>
    </row>
    <row r="518" spans="1:19" ht="24.95" customHeight="1" x14ac:dyDescent="0.25">
      <c r="A518" s="49" t="s">
        <v>1961</v>
      </c>
      <c r="B518" s="98">
        <v>517</v>
      </c>
      <c r="C518" s="50">
        <v>46164</v>
      </c>
      <c r="D518" s="49">
        <f t="shared" si="16"/>
        <v>5</v>
      </c>
      <c r="E518" s="92" t="s">
        <v>118</v>
      </c>
      <c r="F518" s="49" t="s">
        <v>36</v>
      </c>
      <c r="G518" s="14" t="s">
        <v>815</v>
      </c>
      <c r="H518" s="14" t="s">
        <v>143</v>
      </c>
      <c r="I518" s="76" t="s">
        <v>816</v>
      </c>
      <c r="J518" s="73">
        <v>0</v>
      </c>
      <c r="K518" s="74">
        <v>7583.75</v>
      </c>
      <c r="L518" s="72">
        <v>0</v>
      </c>
      <c r="M518" s="72">
        <v>0</v>
      </c>
      <c r="N518" s="72">
        <f>IF(AND(C518="",J518=0,K518=0,L518=0,M518=0),"",CADASTROS!$B$4+SUM($J$2:J518)+SUM($M$2:M518)-SUM($K$2:K518)-SUM($L$2:L518))</f>
        <v>63157.640000001527</v>
      </c>
      <c r="O518" s="72">
        <f>IF(A518="","",SUMIF(RATEIOS!$A$2:$A$3142,$A518,RATEIOS!$F$2:$F$3142))</f>
        <v>7583.75</v>
      </c>
      <c r="P518" s="15">
        <f t="shared" si="17"/>
        <v>0</v>
      </c>
      <c r="Q518" s="49" t="str">
        <f>IF(AND(J518=0,K518=0,L518=0,M518=0),"",IF(O518=0,"PENDENTE DE RATEIO",IF(ABS(P518)&gt;0.005,"DIVERGÊNCIA",IF(COUNTIF(RATEIOS!$A$2:$A$3142,$A518)-COUNTIFS(RATEIOS!$A$2:$A$3142,$A518,RATEIOS!$D$2:$D$3142,"&lt;&gt;")&gt;0,"NÃO CLASSIFICADO","RATEIO OK"))))</f>
        <v>RATEIO OK</v>
      </c>
      <c r="R518" s="49" t="s">
        <v>2553</v>
      </c>
      <c r="S518" s="14"/>
    </row>
    <row r="519" spans="1:19" ht="24.95" customHeight="1" x14ac:dyDescent="0.25">
      <c r="A519" s="49" t="s">
        <v>1963</v>
      </c>
      <c r="B519" s="98">
        <v>518</v>
      </c>
      <c r="C519" s="50">
        <v>46164</v>
      </c>
      <c r="D519" s="49">
        <f t="shared" si="16"/>
        <v>5</v>
      </c>
      <c r="E519" s="92" t="s">
        <v>72</v>
      </c>
      <c r="F519" s="49" t="s">
        <v>36</v>
      </c>
      <c r="G519" s="14" t="s">
        <v>817</v>
      </c>
      <c r="H519" s="14" t="s">
        <v>545</v>
      </c>
      <c r="I519" s="76" t="s">
        <v>818</v>
      </c>
      <c r="J519" s="73">
        <v>0</v>
      </c>
      <c r="K519" s="74">
        <v>5100</v>
      </c>
      <c r="L519" s="72">
        <v>0</v>
      </c>
      <c r="M519" s="72">
        <v>0</v>
      </c>
      <c r="N519" s="72">
        <f>IF(AND(C519="",J519=0,K519=0,L519=0,M519=0),"",CADASTROS!$B$4+SUM($J$2:J519)+SUM($M$2:M519)-SUM($K$2:K519)-SUM($L$2:L519))</f>
        <v>58057.640000001527</v>
      </c>
      <c r="O519" s="72">
        <f>IF(A519="","",SUMIF(RATEIOS!$A$2:$A$3142,$A519,RATEIOS!$F$2:$F$3142))</f>
        <v>5100</v>
      </c>
      <c r="P519" s="15">
        <f t="shared" si="17"/>
        <v>0</v>
      </c>
      <c r="Q519" s="49" t="str">
        <f>IF(AND(J519=0,K519=0,L519=0,M519=0),"",IF(O519=0,"PENDENTE DE RATEIO",IF(ABS(P519)&gt;0.005,"DIVERGÊNCIA",IF(COUNTIF(RATEIOS!$A$2:$A$3142,$A519)-COUNTIFS(RATEIOS!$A$2:$A$3142,$A519,RATEIOS!$D$2:$D$3142,"&lt;&gt;")&gt;0,"NÃO CLASSIFICADO","RATEIO OK"))))</f>
        <v>RATEIO OK</v>
      </c>
      <c r="R519" s="49" t="s">
        <v>2553</v>
      </c>
      <c r="S519" s="14"/>
    </row>
    <row r="520" spans="1:19" ht="24.95" customHeight="1" x14ac:dyDescent="0.25">
      <c r="A520" s="49" t="s">
        <v>1966</v>
      </c>
      <c r="B520" s="98">
        <v>519</v>
      </c>
      <c r="C520" s="50">
        <v>46164</v>
      </c>
      <c r="D520" s="49">
        <f t="shared" si="16"/>
        <v>5</v>
      </c>
      <c r="E520" s="92" t="s">
        <v>118</v>
      </c>
      <c r="F520" s="49" t="s">
        <v>36</v>
      </c>
      <c r="G520" s="14" t="s">
        <v>819</v>
      </c>
      <c r="H520" s="14" t="s">
        <v>252</v>
      </c>
      <c r="I520" s="76" t="s">
        <v>820</v>
      </c>
      <c r="J520" s="73">
        <v>0</v>
      </c>
      <c r="K520" s="74">
        <v>3884.4</v>
      </c>
      <c r="L520" s="72">
        <v>0</v>
      </c>
      <c r="M520" s="72">
        <v>0</v>
      </c>
      <c r="N520" s="72">
        <f>IF(AND(C520="",J520=0,K520=0,L520=0,M520=0),"",CADASTROS!$B$4+SUM($J$2:J520)+SUM($M$2:M520)-SUM($K$2:K520)-SUM($L$2:L520))</f>
        <v>54173.240000001621</v>
      </c>
      <c r="O520" s="72">
        <f>IF(A520="","",SUMIF(RATEIOS!$A$2:$A$3142,$A520,RATEIOS!$F$2:$F$3142))</f>
        <v>3884.4</v>
      </c>
      <c r="P520" s="15">
        <f t="shared" si="17"/>
        <v>0</v>
      </c>
      <c r="Q520" s="49" t="str">
        <f>IF(AND(J520=0,K520=0,L520=0,M520=0),"",IF(O520=0,"PENDENTE DE RATEIO",IF(ABS(P520)&gt;0.005,"DIVERGÊNCIA",IF(COUNTIF(RATEIOS!$A$2:$A$3142,$A520)-COUNTIFS(RATEIOS!$A$2:$A$3142,$A520,RATEIOS!$D$2:$D$3142,"&lt;&gt;")&gt;0,"NÃO CLASSIFICADO","RATEIO OK"))))</f>
        <v>RATEIO OK</v>
      </c>
      <c r="R520" s="49" t="s">
        <v>2553</v>
      </c>
      <c r="S520" s="14"/>
    </row>
    <row r="521" spans="1:19" ht="24.95" customHeight="1" x14ac:dyDescent="0.25">
      <c r="A521" s="49" t="s">
        <v>1967</v>
      </c>
      <c r="B521" s="98">
        <v>520</v>
      </c>
      <c r="C521" s="50">
        <v>46164</v>
      </c>
      <c r="D521" s="49">
        <f t="shared" si="16"/>
        <v>5</v>
      </c>
      <c r="E521" s="92" t="s">
        <v>287</v>
      </c>
      <c r="F521" s="49" t="s">
        <v>36</v>
      </c>
      <c r="G521" s="14" t="s">
        <v>821</v>
      </c>
      <c r="H521" s="14" t="s">
        <v>159</v>
      </c>
      <c r="I521" s="76" t="s">
        <v>822</v>
      </c>
      <c r="J521" s="73">
        <v>0</v>
      </c>
      <c r="K521" s="74">
        <v>3600</v>
      </c>
      <c r="L521" s="72">
        <v>0</v>
      </c>
      <c r="M521" s="72">
        <v>0</v>
      </c>
      <c r="N521" s="72">
        <f>IF(AND(C521="",J521=0,K521=0,L521=0,M521=0),"",CADASTROS!$B$4+SUM($J$2:J521)+SUM($M$2:M521)-SUM($K$2:K521)-SUM($L$2:L521))</f>
        <v>50573.240000001621</v>
      </c>
      <c r="O521" s="72">
        <f>IF(A521="","",SUMIF(RATEIOS!$A$2:$A$3142,$A521,RATEIOS!$F$2:$F$3142))</f>
        <v>3600</v>
      </c>
      <c r="P521" s="15">
        <f t="shared" si="17"/>
        <v>0</v>
      </c>
      <c r="Q521" s="49" t="str">
        <f>IF(AND(J521=0,K521=0,L521=0,M521=0),"",IF(O521=0,"PENDENTE DE RATEIO",IF(ABS(P521)&gt;0.005,"DIVERGÊNCIA",IF(COUNTIF(RATEIOS!$A$2:$A$3142,$A521)-COUNTIFS(RATEIOS!$A$2:$A$3142,$A521,RATEIOS!$D$2:$D$3142,"&lt;&gt;")&gt;0,"NÃO CLASSIFICADO","RATEIO OK"))))</f>
        <v>RATEIO OK</v>
      </c>
      <c r="R521" s="49" t="s">
        <v>2553</v>
      </c>
      <c r="S521" s="14"/>
    </row>
    <row r="522" spans="1:19" ht="24.95" customHeight="1" x14ac:dyDescent="0.25">
      <c r="A522" s="49" t="s">
        <v>1968</v>
      </c>
      <c r="B522" s="98">
        <v>521</v>
      </c>
      <c r="C522" s="50">
        <v>46164</v>
      </c>
      <c r="D522" s="49">
        <f t="shared" si="16"/>
        <v>5</v>
      </c>
      <c r="E522" s="92" t="s">
        <v>287</v>
      </c>
      <c r="F522" s="49" t="s">
        <v>36</v>
      </c>
      <c r="G522" s="14" t="s">
        <v>293</v>
      </c>
      <c r="H522" s="14" t="s">
        <v>3033</v>
      </c>
      <c r="I522" s="76" t="s">
        <v>823</v>
      </c>
      <c r="J522" s="73">
        <v>0</v>
      </c>
      <c r="K522" s="74">
        <v>1246</v>
      </c>
      <c r="L522" s="72">
        <v>0</v>
      </c>
      <c r="M522" s="72">
        <v>0</v>
      </c>
      <c r="N522" s="72">
        <f>IF(AND(C522="",J522=0,K522=0,L522=0,M522=0),"",CADASTROS!$B$4+SUM($J$2:J522)+SUM($M$2:M522)-SUM($K$2:K522)-SUM($L$2:L522))</f>
        <v>49327.240000001621</v>
      </c>
      <c r="O522" s="72">
        <f>IF(A522="","",SUMIF(RATEIOS!$A$2:$A$3142,$A522,RATEIOS!$F$2:$F$3142))</f>
        <v>1246</v>
      </c>
      <c r="P522" s="15">
        <f t="shared" si="17"/>
        <v>0</v>
      </c>
      <c r="Q522" s="49" t="str">
        <f>IF(AND(J522=0,K522=0,L522=0,M522=0),"",IF(O522=0,"PENDENTE DE RATEIO",IF(ABS(P522)&gt;0.005,"DIVERGÊNCIA",IF(COUNTIF(RATEIOS!$A$2:$A$3142,$A522)-COUNTIFS(RATEIOS!$A$2:$A$3142,$A522,RATEIOS!$D$2:$D$3142,"&lt;&gt;")&gt;0,"NÃO CLASSIFICADO","RATEIO OK"))))</f>
        <v>RATEIO OK</v>
      </c>
      <c r="R522" s="49" t="s">
        <v>2553</v>
      </c>
      <c r="S522" s="14"/>
    </row>
    <row r="523" spans="1:19" ht="24.95" customHeight="1" x14ac:dyDescent="0.25">
      <c r="A523" s="49" t="s">
        <v>1969</v>
      </c>
      <c r="B523" s="98">
        <v>522</v>
      </c>
      <c r="C523" s="50">
        <v>46164</v>
      </c>
      <c r="D523" s="49">
        <f t="shared" si="16"/>
        <v>5</v>
      </c>
      <c r="E523" s="92" t="s">
        <v>72</v>
      </c>
      <c r="F523" s="49" t="s">
        <v>36</v>
      </c>
      <c r="G523" s="14" t="s">
        <v>824</v>
      </c>
      <c r="H523" s="14" t="s">
        <v>153</v>
      </c>
      <c r="I523" s="76" t="s">
        <v>825</v>
      </c>
      <c r="J523" s="73">
        <v>0</v>
      </c>
      <c r="K523" s="74">
        <v>890</v>
      </c>
      <c r="L523" s="72">
        <v>0</v>
      </c>
      <c r="M523" s="72">
        <v>0</v>
      </c>
      <c r="N523" s="72">
        <f>IF(AND(C523="",J523=0,K523=0,L523=0,M523=0),"",CADASTROS!$B$4+SUM($J$2:J523)+SUM($M$2:M523)-SUM($K$2:K523)-SUM($L$2:L523))</f>
        <v>48437.240000001621</v>
      </c>
      <c r="O523" s="72">
        <f>IF(A523="","",SUMIF(RATEIOS!$A$2:$A$3142,$A523,RATEIOS!$F$2:$F$3142))</f>
        <v>890</v>
      </c>
      <c r="P523" s="15">
        <f t="shared" si="17"/>
        <v>0</v>
      </c>
      <c r="Q523" s="49" t="str">
        <f>IF(AND(J523=0,K523=0,L523=0,M523=0),"",IF(O523=0,"PENDENTE DE RATEIO",IF(ABS(P523)&gt;0.005,"DIVERGÊNCIA",IF(COUNTIF(RATEIOS!$A$2:$A$3142,$A523)-COUNTIFS(RATEIOS!$A$2:$A$3142,$A523,RATEIOS!$D$2:$D$3142,"&lt;&gt;")&gt;0,"NÃO CLASSIFICADO","RATEIO OK"))))</f>
        <v>RATEIO OK</v>
      </c>
      <c r="R523" s="49" t="s">
        <v>2553</v>
      </c>
      <c r="S523" s="14"/>
    </row>
    <row r="524" spans="1:19" ht="24.95" customHeight="1" x14ac:dyDescent="0.25">
      <c r="A524" s="49" t="s">
        <v>1970</v>
      </c>
      <c r="B524" s="98">
        <v>523</v>
      </c>
      <c r="C524" s="50">
        <v>46164</v>
      </c>
      <c r="D524" s="49">
        <f t="shared" si="16"/>
        <v>5</v>
      </c>
      <c r="E524" s="92" t="s">
        <v>72</v>
      </c>
      <c r="F524" s="49" t="s">
        <v>36</v>
      </c>
      <c r="G524" s="14" t="s">
        <v>826</v>
      </c>
      <c r="H524" s="14" t="s">
        <v>153</v>
      </c>
      <c r="I524" s="76" t="s">
        <v>827</v>
      </c>
      <c r="J524" s="73">
        <v>0</v>
      </c>
      <c r="K524" s="74">
        <v>820</v>
      </c>
      <c r="L524" s="72">
        <v>0</v>
      </c>
      <c r="M524" s="72">
        <v>0</v>
      </c>
      <c r="N524" s="72">
        <f>IF(AND(C524="",J524=0,K524=0,L524=0,M524=0),"",CADASTROS!$B$4+SUM($J$2:J524)+SUM($M$2:M524)-SUM($K$2:K524)-SUM($L$2:L524))</f>
        <v>47617.240000001621</v>
      </c>
      <c r="O524" s="72">
        <f>IF(A524="","",SUMIF(RATEIOS!$A$2:$A$3142,$A524,RATEIOS!$F$2:$F$3142))</f>
        <v>820</v>
      </c>
      <c r="P524" s="15">
        <f t="shared" si="17"/>
        <v>0</v>
      </c>
      <c r="Q524" s="49" t="str">
        <f>IF(AND(J524=0,K524=0,L524=0,M524=0),"",IF(O524=0,"PENDENTE DE RATEIO",IF(ABS(P524)&gt;0.005,"DIVERGÊNCIA",IF(COUNTIF(RATEIOS!$A$2:$A$3142,$A524)-COUNTIFS(RATEIOS!$A$2:$A$3142,$A524,RATEIOS!$D$2:$D$3142,"&lt;&gt;")&gt;0,"NÃO CLASSIFICADO","RATEIO OK"))))</f>
        <v>RATEIO OK</v>
      </c>
      <c r="R524" s="49" t="s">
        <v>2553</v>
      </c>
      <c r="S524" s="14"/>
    </row>
    <row r="525" spans="1:19" ht="24.95" customHeight="1" x14ac:dyDescent="0.25">
      <c r="A525" s="49" t="s">
        <v>1971</v>
      </c>
      <c r="B525" s="98">
        <v>524</v>
      </c>
      <c r="C525" s="50">
        <v>46164</v>
      </c>
      <c r="D525" s="49">
        <f t="shared" si="16"/>
        <v>5</v>
      </c>
      <c r="E525" s="92" t="s">
        <v>287</v>
      </c>
      <c r="F525" s="49" t="s">
        <v>36</v>
      </c>
      <c r="G525" s="14" t="s">
        <v>2945</v>
      </c>
      <c r="H525" s="14" t="s">
        <v>2943</v>
      </c>
      <c r="I525" s="76" t="s">
        <v>948</v>
      </c>
      <c r="J525" s="73">
        <v>0</v>
      </c>
      <c r="K525" s="74">
        <v>700</v>
      </c>
      <c r="L525" s="72">
        <v>0</v>
      </c>
      <c r="M525" s="72">
        <v>0</v>
      </c>
      <c r="N525" s="72">
        <f>IF(AND(C525="",J525=0,K525=0,L525=0,M525=0),"",CADASTROS!$B$4+SUM($J$2:J525)+SUM($M$2:M525)-SUM($K$2:K525)-SUM($L$2:L525))</f>
        <v>46917.240000001621</v>
      </c>
      <c r="O525" s="72">
        <f>IF(A525="","",SUMIF(RATEIOS!$A$2:$A$3142,$A525,RATEIOS!$F$2:$F$3142))</f>
        <v>700</v>
      </c>
      <c r="P525" s="15">
        <f t="shared" si="17"/>
        <v>0</v>
      </c>
      <c r="Q525" s="49" t="str">
        <f>IF(AND(J525=0,K525=0,L525=0,M525=0),"",IF(O525=0,"PENDENTE DE RATEIO",IF(ABS(P525)&gt;0.005,"DIVERGÊNCIA",IF(COUNTIF(RATEIOS!$A$2:$A$3142,$A525)-COUNTIFS(RATEIOS!$A$2:$A$3142,$A525,RATEIOS!$D$2:$D$3142,"&lt;&gt;")&gt;0,"NÃO CLASSIFICADO","RATEIO OK"))))</f>
        <v>RATEIO OK</v>
      </c>
      <c r="R525" s="49" t="s">
        <v>2553</v>
      </c>
      <c r="S525" s="14"/>
    </row>
    <row r="526" spans="1:19" ht="24.95" customHeight="1" x14ac:dyDescent="0.25">
      <c r="A526" s="49" t="s">
        <v>1972</v>
      </c>
      <c r="B526" s="98">
        <v>525</v>
      </c>
      <c r="C526" s="50">
        <v>46164</v>
      </c>
      <c r="D526" s="49">
        <f t="shared" si="16"/>
        <v>5</v>
      </c>
      <c r="E526" s="92" t="s">
        <v>72</v>
      </c>
      <c r="F526" s="49" t="s">
        <v>36</v>
      </c>
      <c r="G526" s="14" t="s">
        <v>829</v>
      </c>
      <c r="H526" s="14" t="s">
        <v>150</v>
      </c>
      <c r="I526" s="76" t="s">
        <v>830</v>
      </c>
      <c r="J526" s="73">
        <v>0</v>
      </c>
      <c r="K526" s="74">
        <v>500</v>
      </c>
      <c r="L526" s="72">
        <v>0</v>
      </c>
      <c r="M526" s="72">
        <v>0</v>
      </c>
      <c r="N526" s="72">
        <f>IF(AND(C526="",J526=0,K526=0,L526=0,M526=0),"",CADASTROS!$B$4+SUM($J$2:J526)+SUM($M$2:M526)-SUM($K$2:K526)-SUM($L$2:L526))</f>
        <v>46417.240000001621</v>
      </c>
      <c r="O526" s="72">
        <f>IF(A526="","",SUMIF(RATEIOS!$A$2:$A$3142,$A526,RATEIOS!$F$2:$F$3142))</f>
        <v>500</v>
      </c>
      <c r="P526" s="15">
        <f t="shared" si="17"/>
        <v>0</v>
      </c>
      <c r="Q526" s="49" t="str">
        <f>IF(AND(J526=0,K526=0,L526=0,M526=0),"",IF(O526=0,"PENDENTE DE RATEIO",IF(ABS(P526)&gt;0.005,"DIVERGÊNCIA",IF(COUNTIF(RATEIOS!$A$2:$A$3142,$A526)-COUNTIFS(RATEIOS!$A$2:$A$3142,$A526,RATEIOS!$D$2:$D$3142,"&lt;&gt;")&gt;0,"NÃO CLASSIFICADO","RATEIO OK"))))</f>
        <v>RATEIO OK</v>
      </c>
      <c r="R526" s="49" t="s">
        <v>2553</v>
      </c>
      <c r="S526" s="14"/>
    </row>
    <row r="527" spans="1:19" ht="24.95" customHeight="1" x14ac:dyDescent="0.25">
      <c r="A527" s="49" t="s">
        <v>1973</v>
      </c>
      <c r="B527" s="98">
        <v>526</v>
      </c>
      <c r="C527" s="50">
        <v>46164</v>
      </c>
      <c r="D527" s="49">
        <f t="shared" si="16"/>
        <v>5</v>
      </c>
      <c r="E527" s="92" t="s">
        <v>287</v>
      </c>
      <c r="F527" s="49" t="s">
        <v>36</v>
      </c>
      <c r="G527" s="14" t="s">
        <v>831</v>
      </c>
      <c r="H527" s="14" t="s">
        <v>414</v>
      </c>
      <c r="I527" s="76" t="s">
        <v>832</v>
      </c>
      <c r="J527" s="73">
        <v>0</v>
      </c>
      <c r="K527" s="74">
        <v>212.5</v>
      </c>
      <c r="L527" s="72">
        <v>0</v>
      </c>
      <c r="M527" s="72">
        <v>0</v>
      </c>
      <c r="N527" s="72">
        <f>IF(AND(C527="",J527=0,K527=0,L527=0,M527=0),"",CADASTROS!$B$4+SUM($J$2:J527)+SUM($M$2:M527)-SUM($K$2:K527)-SUM($L$2:L527))</f>
        <v>46204.740000001621</v>
      </c>
      <c r="O527" s="72">
        <f>IF(A527="","",SUMIF(RATEIOS!$A$2:$A$3142,$A527,RATEIOS!$F$2:$F$3142))</f>
        <v>212.5</v>
      </c>
      <c r="P527" s="15">
        <f t="shared" si="17"/>
        <v>0</v>
      </c>
      <c r="Q527" s="49" t="str">
        <f>IF(AND(J527=0,K527=0,L527=0,M527=0),"",IF(O527=0,"PENDENTE DE RATEIO",IF(ABS(P527)&gt;0.005,"DIVERGÊNCIA",IF(COUNTIF(RATEIOS!$A$2:$A$3142,$A527)-COUNTIFS(RATEIOS!$A$2:$A$3142,$A527,RATEIOS!$D$2:$D$3142,"&lt;&gt;")&gt;0,"NÃO CLASSIFICADO","RATEIO OK"))))</f>
        <v>RATEIO OK</v>
      </c>
      <c r="R527" s="49" t="s">
        <v>2553</v>
      </c>
      <c r="S527" s="14"/>
    </row>
    <row r="528" spans="1:19" ht="24.95" customHeight="1" x14ac:dyDescent="0.25">
      <c r="A528" s="49" t="s">
        <v>1974</v>
      </c>
      <c r="B528" s="98">
        <v>527</v>
      </c>
      <c r="C528" s="50">
        <v>46164</v>
      </c>
      <c r="D528" s="49">
        <f t="shared" si="16"/>
        <v>5</v>
      </c>
      <c r="E528" s="92" t="s">
        <v>2556</v>
      </c>
      <c r="F528" s="49" t="s">
        <v>36</v>
      </c>
      <c r="G528" s="14" t="s">
        <v>517</v>
      </c>
      <c r="H528" s="14" t="s">
        <v>517</v>
      </c>
      <c r="I528" s="76" t="s">
        <v>412</v>
      </c>
      <c r="J528" s="73">
        <v>0</v>
      </c>
      <c r="K528" s="74">
        <v>21.8</v>
      </c>
      <c r="L528" s="72">
        <v>0</v>
      </c>
      <c r="M528" s="72">
        <v>0</v>
      </c>
      <c r="N528" s="72">
        <f>IF(AND(C528="",J528=0,K528=0,L528=0,M528=0),"",CADASTROS!$B$4+SUM($J$2:J528)+SUM($M$2:M528)-SUM($K$2:K528)-SUM($L$2:L528))</f>
        <v>46182.940000001807</v>
      </c>
      <c r="O528" s="72">
        <f>IF(A528="","",SUMIF(RATEIOS!$A$2:$A$3142,$A528,RATEIOS!$F$2:$F$3142))</f>
        <v>21.8</v>
      </c>
      <c r="P528" s="15">
        <f t="shared" si="17"/>
        <v>0</v>
      </c>
      <c r="Q528" s="49" t="str">
        <f>IF(AND(J528=0,K528=0,L528=0,M528=0),"",IF(O528=0,"PENDENTE DE RATEIO",IF(ABS(P528)&gt;0.005,"DIVERGÊNCIA",IF(COUNTIF(RATEIOS!$A$2:$A$3142,$A528)-COUNTIFS(RATEIOS!$A$2:$A$3142,$A528,RATEIOS!$D$2:$D$3142,"&lt;&gt;")&gt;0,"NÃO CLASSIFICADO","RATEIO OK"))))</f>
        <v>RATEIO OK</v>
      </c>
      <c r="R528" s="49" t="s">
        <v>2553</v>
      </c>
      <c r="S528" s="14"/>
    </row>
    <row r="529" spans="1:19" ht="24.95" customHeight="1" x14ac:dyDescent="0.25">
      <c r="A529" s="49" t="s">
        <v>1975</v>
      </c>
      <c r="B529" s="98">
        <v>528</v>
      </c>
      <c r="C529" s="50">
        <v>46164</v>
      </c>
      <c r="D529" s="49">
        <f t="shared" si="16"/>
        <v>5</v>
      </c>
      <c r="E529" s="92" t="s">
        <v>2556</v>
      </c>
      <c r="F529" s="49" t="s">
        <v>36</v>
      </c>
      <c r="G529" s="14" t="s">
        <v>517</v>
      </c>
      <c r="H529" s="14" t="s">
        <v>517</v>
      </c>
      <c r="I529" s="76" t="s">
        <v>412</v>
      </c>
      <c r="J529" s="73">
        <v>0</v>
      </c>
      <c r="K529" s="74">
        <v>21.8</v>
      </c>
      <c r="L529" s="72">
        <v>0</v>
      </c>
      <c r="M529" s="72">
        <v>0</v>
      </c>
      <c r="N529" s="72">
        <f>IF(AND(C529="",J529=0,K529=0,L529=0,M529=0),"",CADASTROS!$B$4+SUM($J$2:J529)+SUM($M$2:M529)-SUM($K$2:K529)-SUM($L$2:L529))</f>
        <v>46161.140000001993</v>
      </c>
      <c r="O529" s="72">
        <f>IF(A529="","",SUMIF(RATEIOS!$A$2:$A$3142,$A529,RATEIOS!$F$2:$F$3142))</f>
        <v>21.8</v>
      </c>
      <c r="P529" s="15">
        <f t="shared" si="17"/>
        <v>0</v>
      </c>
      <c r="Q529" s="49" t="str">
        <f>IF(AND(J529=0,K529=0,L529=0,M529=0),"",IF(O529=0,"PENDENTE DE RATEIO",IF(ABS(P529)&gt;0.005,"DIVERGÊNCIA",IF(COUNTIF(RATEIOS!$A$2:$A$3142,$A529)-COUNTIFS(RATEIOS!$A$2:$A$3142,$A529,RATEIOS!$D$2:$D$3142,"&lt;&gt;")&gt;0,"NÃO CLASSIFICADO","RATEIO OK"))))</f>
        <v>RATEIO OK</v>
      </c>
      <c r="R529" s="49" t="s">
        <v>2553</v>
      </c>
      <c r="S529" s="14"/>
    </row>
    <row r="530" spans="1:19" ht="24.95" customHeight="1" x14ac:dyDescent="0.25">
      <c r="A530" s="49" t="s">
        <v>1976</v>
      </c>
      <c r="B530" s="98">
        <v>529</v>
      </c>
      <c r="C530" s="50">
        <v>46167</v>
      </c>
      <c r="D530" s="49">
        <f t="shared" si="16"/>
        <v>5</v>
      </c>
      <c r="E530" s="92" t="s">
        <v>118</v>
      </c>
      <c r="F530" s="49" t="s">
        <v>36</v>
      </c>
      <c r="G530" s="14" t="s">
        <v>645</v>
      </c>
      <c r="H530" s="14" t="s">
        <v>252</v>
      </c>
      <c r="I530" s="76" t="s">
        <v>655</v>
      </c>
      <c r="J530" s="73">
        <v>0</v>
      </c>
      <c r="K530" s="74">
        <v>18353.5</v>
      </c>
      <c r="L530" s="72">
        <v>0</v>
      </c>
      <c r="M530" s="72">
        <v>0</v>
      </c>
      <c r="N530" s="72">
        <f>IF(AND(C530="",J530=0,K530=0,L530=0,M530=0),"",CADASTROS!$B$4+SUM($J$2:J530)+SUM($M$2:M530)-SUM($K$2:K530)-SUM($L$2:L530))</f>
        <v>27807.640000001993</v>
      </c>
      <c r="O530" s="72">
        <f>IF(A530="","",SUMIF(RATEIOS!$A$2:$A$3142,$A530,RATEIOS!$F$2:$F$3142))</f>
        <v>18353.5</v>
      </c>
      <c r="P530" s="15">
        <f t="shared" si="17"/>
        <v>0</v>
      </c>
      <c r="Q530" s="49" t="str">
        <f>IF(AND(J530=0,K530=0,L530=0,M530=0),"",IF(O530=0,"PENDENTE DE RATEIO",IF(ABS(P530)&gt;0.005,"DIVERGÊNCIA",IF(COUNTIF(RATEIOS!$A$2:$A$3142,$A530)-COUNTIFS(RATEIOS!$A$2:$A$3142,$A530,RATEIOS!$D$2:$D$3142,"&lt;&gt;")&gt;0,"NÃO CLASSIFICADO","RATEIO OK"))))</f>
        <v>RATEIO OK</v>
      </c>
      <c r="R530" s="49" t="s">
        <v>2553</v>
      </c>
      <c r="S530" s="14" t="s">
        <v>833</v>
      </c>
    </row>
    <row r="531" spans="1:19" ht="24.95" customHeight="1" x14ac:dyDescent="0.25">
      <c r="A531" s="49" t="s">
        <v>1977</v>
      </c>
      <c r="B531" s="98">
        <v>530</v>
      </c>
      <c r="C531" s="50">
        <v>46167</v>
      </c>
      <c r="D531" s="49">
        <f t="shared" si="16"/>
        <v>5</v>
      </c>
      <c r="E531" s="92" t="s">
        <v>287</v>
      </c>
      <c r="F531" s="49" t="s">
        <v>36</v>
      </c>
      <c r="G531" s="14" t="s">
        <v>834</v>
      </c>
      <c r="H531" s="14" t="s">
        <v>755</v>
      </c>
      <c r="I531" s="76" t="s">
        <v>412</v>
      </c>
      <c r="J531" s="73">
        <v>0</v>
      </c>
      <c r="K531" s="74">
        <v>12197.92</v>
      </c>
      <c r="L531" s="72">
        <v>0</v>
      </c>
      <c r="M531" s="72">
        <v>0</v>
      </c>
      <c r="N531" s="72">
        <f>IF(AND(C531="",J531=0,K531=0,L531=0,M531=0),"",CADASTROS!$B$4+SUM($J$2:J531)+SUM($M$2:M531)-SUM($K$2:K531)-SUM($L$2:L531))</f>
        <v>15609.720000002068</v>
      </c>
      <c r="O531" s="72">
        <f>IF(A531="","",SUMIF(RATEIOS!$A$2:$A$3142,$A531,RATEIOS!$F$2:$F$3142))</f>
        <v>12197.92</v>
      </c>
      <c r="P531" s="15">
        <f t="shared" si="17"/>
        <v>0</v>
      </c>
      <c r="Q531" s="49" t="str">
        <f>IF(AND(J531=0,K531=0,L531=0,M531=0),"",IF(O531=0,"PENDENTE DE RATEIO",IF(ABS(P531)&gt;0.005,"DIVERGÊNCIA",IF(COUNTIF(RATEIOS!$A$2:$A$3142,$A531)-COUNTIFS(RATEIOS!$A$2:$A$3142,$A531,RATEIOS!$D$2:$D$3142,"&lt;&gt;")&gt;0,"NÃO CLASSIFICADO","RATEIO OK"))))</f>
        <v>RATEIO OK</v>
      </c>
      <c r="R531" s="49" t="s">
        <v>2553</v>
      </c>
      <c r="S531" s="14" t="s">
        <v>3009</v>
      </c>
    </row>
    <row r="532" spans="1:19" ht="24.95" customHeight="1" x14ac:dyDescent="0.25">
      <c r="A532" s="49" t="s">
        <v>1978</v>
      </c>
      <c r="B532" s="98">
        <v>531</v>
      </c>
      <c r="C532" s="50">
        <v>46167</v>
      </c>
      <c r="D532" s="49">
        <f t="shared" si="16"/>
        <v>5</v>
      </c>
      <c r="E532" s="92" t="s">
        <v>287</v>
      </c>
      <c r="F532" s="49" t="s">
        <v>36</v>
      </c>
      <c r="G532" s="14" t="s">
        <v>835</v>
      </c>
      <c r="H532" s="14" t="s">
        <v>758</v>
      </c>
      <c r="I532" s="76" t="s">
        <v>412</v>
      </c>
      <c r="J532" s="73">
        <v>0</v>
      </c>
      <c r="K532" s="74">
        <v>12197.92</v>
      </c>
      <c r="L532" s="72">
        <v>0</v>
      </c>
      <c r="M532" s="72">
        <v>0</v>
      </c>
      <c r="N532" s="72">
        <f>IF(AND(C532="",J532=0,K532=0,L532=0,M532=0),"",CADASTROS!$B$4+SUM($J$2:J532)+SUM($M$2:M532)-SUM($K$2:K532)-SUM($L$2:L532))</f>
        <v>3411.800000002142</v>
      </c>
      <c r="O532" s="72">
        <f>IF(A532="","",SUMIF(RATEIOS!$A$2:$A$3142,$A532,RATEIOS!$F$2:$F$3142))</f>
        <v>12197.92</v>
      </c>
      <c r="P532" s="15">
        <f t="shared" si="17"/>
        <v>0</v>
      </c>
      <c r="Q532" s="49" t="str">
        <f>IF(AND(J532=0,K532=0,L532=0,M532=0),"",IF(O532=0,"PENDENTE DE RATEIO",IF(ABS(P532)&gt;0.005,"DIVERGÊNCIA",IF(COUNTIF(RATEIOS!$A$2:$A$3142,$A532)-COUNTIFS(RATEIOS!$A$2:$A$3142,$A532,RATEIOS!$D$2:$D$3142,"&lt;&gt;")&gt;0,"NÃO CLASSIFICADO","RATEIO OK"))))</f>
        <v>RATEIO OK</v>
      </c>
      <c r="R532" s="49" t="s">
        <v>2553</v>
      </c>
      <c r="S532" s="14" t="s">
        <v>3009</v>
      </c>
    </row>
    <row r="533" spans="1:19" ht="24.95" customHeight="1" x14ac:dyDescent="0.25">
      <c r="A533" s="49" t="s">
        <v>1979</v>
      </c>
      <c r="B533" s="98">
        <v>532</v>
      </c>
      <c r="C533" s="50">
        <v>46167</v>
      </c>
      <c r="D533" s="49">
        <f t="shared" si="16"/>
        <v>5</v>
      </c>
      <c r="E533" s="92" t="s">
        <v>72</v>
      </c>
      <c r="F533" s="49" t="s">
        <v>36</v>
      </c>
      <c r="G533" s="14" t="s">
        <v>836</v>
      </c>
      <c r="H533" s="14" t="s">
        <v>156</v>
      </c>
      <c r="I533" s="76" t="s">
        <v>837</v>
      </c>
      <c r="J533" s="73">
        <v>0</v>
      </c>
      <c r="K533" s="74">
        <v>8506.33</v>
      </c>
      <c r="L533" s="72">
        <v>0</v>
      </c>
      <c r="M533" s="72">
        <v>0</v>
      </c>
      <c r="N533" s="72">
        <f>IF(AND(C533="",J533=0,K533=0,L533=0,M533=0),"",CADASTROS!$B$4+SUM($J$2:J533)+SUM($M$2:M533)-SUM($K$2:K533)-SUM($L$2:L533))</f>
        <v>-5094.5299999979325</v>
      </c>
      <c r="O533" s="72">
        <f>IF(A533="","",SUMIF(RATEIOS!$A$2:$A$3142,$A533,RATEIOS!$F$2:$F$3142))</f>
        <v>8506.33</v>
      </c>
      <c r="P533" s="15">
        <f t="shared" si="17"/>
        <v>0</v>
      </c>
      <c r="Q533" s="49" t="str">
        <f>IF(AND(J533=0,K533=0,L533=0,M533=0),"",IF(O533=0,"PENDENTE DE RATEIO",IF(ABS(P533)&gt;0.005,"DIVERGÊNCIA",IF(COUNTIF(RATEIOS!$A$2:$A$3142,$A533)-COUNTIFS(RATEIOS!$A$2:$A$3142,$A533,RATEIOS!$D$2:$D$3142,"&lt;&gt;")&gt;0,"NÃO CLASSIFICADO","RATEIO OK"))))</f>
        <v>RATEIO OK</v>
      </c>
      <c r="R533" s="49" t="s">
        <v>2553</v>
      </c>
      <c r="S533" s="14"/>
    </row>
    <row r="534" spans="1:19" ht="24.95" customHeight="1" x14ac:dyDescent="0.25">
      <c r="A534" s="49" t="s">
        <v>1980</v>
      </c>
      <c r="B534" s="98">
        <v>533</v>
      </c>
      <c r="C534" s="50">
        <v>46167</v>
      </c>
      <c r="D534" s="49">
        <f t="shared" si="16"/>
        <v>5</v>
      </c>
      <c r="E534" s="92" t="s">
        <v>118</v>
      </c>
      <c r="F534" s="49" t="s">
        <v>36</v>
      </c>
      <c r="G534" s="14" t="s">
        <v>838</v>
      </c>
      <c r="H534" s="14" t="s">
        <v>252</v>
      </c>
      <c r="I534" s="76" t="s">
        <v>839</v>
      </c>
      <c r="J534" s="73">
        <v>0</v>
      </c>
      <c r="K534" s="74">
        <v>4914</v>
      </c>
      <c r="L534" s="72">
        <v>0</v>
      </c>
      <c r="M534" s="72">
        <v>0</v>
      </c>
      <c r="N534" s="72">
        <f>IF(AND(C534="",J534=0,K534=0,L534=0,M534=0),"",CADASTROS!$B$4+SUM($J$2:J534)+SUM($M$2:M534)-SUM($K$2:K534)-SUM($L$2:L534))</f>
        <v>-10008.529999997932</v>
      </c>
      <c r="O534" s="72">
        <f>IF(A534="","",SUMIF(RATEIOS!$A$2:$A$3142,$A534,RATEIOS!$F$2:$F$3142))</f>
        <v>4914</v>
      </c>
      <c r="P534" s="15">
        <f t="shared" si="17"/>
        <v>0</v>
      </c>
      <c r="Q534" s="49" t="str">
        <f>IF(AND(J534=0,K534=0,L534=0,M534=0),"",IF(O534=0,"PENDENTE DE RATEIO",IF(ABS(P534)&gt;0.005,"DIVERGÊNCIA",IF(COUNTIF(RATEIOS!$A$2:$A$3142,$A534)-COUNTIFS(RATEIOS!$A$2:$A$3142,$A534,RATEIOS!$D$2:$D$3142,"&lt;&gt;")&gt;0,"NÃO CLASSIFICADO","RATEIO OK"))))</f>
        <v>RATEIO OK</v>
      </c>
      <c r="R534" s="49" t="s">
        <v>2553</v>
      </c>
      <c r="S534" s="14" t="s">
        <v>840</v>
      </c>
    </row>
    <row r="535" spans="1:19" ht="24.95" customHeight="1" x14ac:dyDescent="0.25">
      <c r="A535" s="49" t="s">
        <v>1981</v>
      </c>
      <c r="B535" s="98">
        <v>534</v>
      </c>
      <c r="C535" s="50">
        <v>46167</v>
      </c>
      <c r="D535" s="49">
        <f t="shared" si="16"/>
        <v>5</v>
      </c>
      <c r="E535" s="92" t="s">
        <v>118</v>
      </c>
      <c r="F535" s="49" t="s">
        <v>36</v>
      </c>
      <c r="G535" s="14" t="s">
        <v>526</v>
      </c>
      <c r="H535" s="14" t="s">
        <v>185</v>
      </c>
      <c r="I535" s="76" t="s">
        <v>560</v>
      </c>
      <c r="J535" s="73">
        <v>0</v>
      </c>
      <c r="K535" s="74">
        <v>1496</v>
      </c>
      <c r="L535" s="72">
        <v>0</v>
      </c>
      <c r="M535" s="72">
        <v>0</v>
      </c>
      <c r="N535" s="72">
        <f>IF(AND(C535="",J535=0,K535=0,L535=0,M535=0),"",CADASTROS!$B$4+SUM($J$2:J535)+SUM($M$2:M535)-SUM($K$2:K535)-SUM($L$2:L535))</f>
        <v>-11504.529999997932</v>
      </c>
      <c r="O535" s="72">
        <f>IF(A535="","",SUMIF(RATEIOS!$A$2:$A$3142,$A535,RATEIOS!$F$2:$F$3142))</f>
        <v>1496</v>
      </c>
      <c r="P535" s="15">
        <f t="shared" si="17"/>
        <v>0</v>
      </c>
      <c r="Q535" s="49" t="str">
        <f>IF(AND(J535=0,K535=0,L535=0,M535=0),"",IF(O535=0,"PENDENTE DE RATEIO",IF(ABS(P535)&gt;0.005,"DIVERGÊNCIA",IF(COUNTIF(RATEIOS!$A$2:$A$3142,$A535)-COUNTIFS(RATEIOS!$A$2:$A$3142,$A535,RATEIOS!$D$2:$D$3142,"&lt;&gt;")&gt;0,"NÃO CLASSIFICADO","RATEIO OK"))))</f>
        <v>RATEIO OK</v>
      </c>
      <c r="R535" s="49" t="s">
        <v>2553</v>
      </c>
      <c r="S535" s="14"/>
    </row>
    <row r="536" spans="1:19" ht="24.95" customHeight="1" x14ac:dyDescent="0.25">
      <c r="A536" s="49" t="s">
        <v>1984</v>
      </c>
      <c r="B536" s="98">
        <v>535</v>
      </c>
      <c r="C536" s="50">
        <v>46167</v>
      </c>
      <c r="D536" s="49">
        <f t="shared" si="16"/>
        <v>5</v>
      </c>
      <c r="E536" s="92" t="s">
        <v>72</v>
      </c>
      <c r="F536" s="49" t="s">
        <v>36</v>
      </c>
      <c r="G536" s="14" t="s">
        <v>841</v>
      </c>
      <c r="H536" s="14" t="s">
        <v>842</v>
      </c>
      <c r="I536" s="76" t="s">
        <v>412</v>
      </c>
      <c r="J536" s="73">
        <v>0</v>
      </c>
      <c r="K536" s="74">
        <v>997.92</v>
      </c>
      <c r="L536" s="72">
        <v>0</v>
      </c>
      <c r="M536" s="72">
        <v>0</v>
      </c>
      <c r="N536" s="72">
        <f>IF(AND(C536="",J536=0,K536=0,L536=0,M536=0),"",CADASTROS!$B$4+SUM($J$2:J536)+SUM($M$2:M536)-SUM($K$2:K536)-SUM($L$2:L536))</f>
        <v>-12502.449999997858</v>
      </c>
      <c r="O536" s="72">
        <f>IF(A536="","",SUMIF(RATEIOS!$A$2:$A$3142,$A536,RATEIOS!$F$2:$F$3142))</f>
        <v>997.92</v>
      </c>
      <c r="P536" s="15">
        <f t="shared" si="17"/>
        <v>0</v>
      </c>
      <c r="Q536" s="49" t="str">
        <f>IF(AND(J536=0,K536=0,L536=0,M536=0),"",IF(O536=0,"PENDENTE DE RATEIO",IF(ABS(P536)&gt;0.005,"DIVERGÊNCIA",IF(COUNTIF(RATEIOS!$A$2:$A$3142,$A536)-COUNTIFS(RATEIOS!$A$2:$A$3142,$A536,RATEIOS!$D$2:$D$3142,"&lt;&gt;")&gt;0,"NÃO CLASSIFICADO","RATEIO OK"))))</f>
        <v>NÃO CLASSIFICADO</v>
      </c>
      <c r="R536" s="49" t="s">
        <v>2553</v>
      </c>
      <c r="S536" s="14"/>
    </row>
    <row r="537" spans="1:19" ht="24.95" customHeight="1" x14ac:dyDescent="0.25">
      <c r="A537" s="49" t="s">
        <v>1986</v>
      </c>
      <c r="B537" s="98">
        <v>536</v>
      </c>
      <c r="C537" s="50">
        <v>46167</v>
      </c>
      <c r="D537" s="49">
        <f t="shared" si="16"/>
        <v>5</v>
      </c>
      <c r="E537" s="92" t="s">
        <v>118</v>
      </c>
      <c r="F537" s="49" t="s">
        <v>36</v>
      </c>
      <c r="G537" s="14" t="s">
        <v>678</v>
      </c>
      <c r="H537" s="14" t="s">
        <v>679</v>
      </c>
      <c r="I537" s="76" t="s">
        <v>412</v>
      </c>
      <c r="J537" s="73">
        <v>0</v>
      </c>
      <c r="K537" s="74">
        <v>400</v>
      </c>
      <c r="L537" s="72">
        <v>0</v>
      </c>
      <c r="M537" s="72">
        <v>0</v>
      </c>
      <c r="N537" s="72">
        <f>IF(AND(C537="",J537=0,K537=0,L537=0,M537=0),"",CADASTROS!$B$4+SUM($J$2:J537)+SUM($M$2:M537)-SUM($K$2:K537)-SUM($L$2:L537))</f>
        <v>-12902.449999997858</v>
      </c>
      <c r="O537" s="72">
        <f>IF(A537="","",SUMIF(RATEIOS!$A$2:$A$3142,$A537,RATEIOS!$F$2:$F$3142))</f>
        <v>400</v>
      </c>
      <c r="P537" s="15">
        <f t="shared" si="17"/>
        <v>0</v>
      </c>
      <c r="Q537" s="49" t="str">
        <f>IF(AND(J537=0,K537=0,L537=0,M537=0),"",IF(O537=0,"PENDENTE DE RATEIO",IF(ABS(P537)&gt;0.005,"DIVERGÊNCIA",IF(COUNTIF(RATEIOS!$A$2:$A$3142,$A537)-COUNTIFS(RATEIOS!$A$2:$A$3142,$A537,RATEIOS!$D$2:$D$3142,"&lt;&gt;")&gt;0,"NÃO CLASSIFICADO","RATEIO OK"))))</f>
        <v>RATEIO OK</v>
      </c>
      <c r="R537" s="49" t="s">
        <v>2553</v>
      </c>
      <c r="S537" s="14"/>
    </row>
    <row r="538" spans="1:19" ht="24.95" customHeight="1" x14ac:dyDescent="0.25">
      <c r="A538" s="49" t="s">
        <v>1988</v>
      </c>
      <c r="B538" s="98">
        <v>537</v>
      </c>
      <c r="C538" s="50">
        <v>46167</v>
      </c>
      <c r="D538" s="49">
        <f t="shared" si="16"/>
        <v>5</v>
      </c>
      <c r="E538" s="92" t="s">
        <v>72</v>
      </c>
      <c r="F538" s="49" t="s">
        <v>36</v>
      </c>
      <c r="G538" s="14" t="s">
        <v>843</v>
      </c>
      <c r="H538" s="14" t="s">
        <v>109</v>
      </c>
      <c r="I538" s="76" t="s">
        <v>845</v>
      </c>
      <c r="J538" s="73">
        <v>0</v>
      </c>
      <c r="K538" s="74">
        <v>170</v>
      </c>
      <c r="L538" s="72">
        <v>0</v>
      </c>
      <c r="M538" s="72">
        <v>0</v>
      </c>
      <c r="N538" s="72">
        <f>IF(AND(C538="",J538=0,K538=0,L538=0,M538=0),"",CADASTROS!$B$4+SUM($J$2:J538)+SUM($M$2:M538)-SUM($K$2:K538)-SUM($L$2:L538))</f>
        <v>-13072.449999997858</v>
      </c>
      <c r="O538" s="72">
        <f>IF(A538="","",SUMIF(RATEIOS!$A$2:$A$3142,$A538,RATEIOS!$F$2:$F$3142))</f>
        <v>170</v>
      </c>
      <c r="P538" s="15">
        <f t="shared" si="17"/>
        <v>0</v>
      </c>
      <c r="Q538" s="49" t="str">
        <f>IF(AND(J538=0,K538=0,L538=0,M538=0),"",IF(O538=0,"PENDENTE DE RATEIO",IF(ABS(P538)&gt;0.005,"DIVERGÊNCIA",IF(COUNTIF(RATEIOS!$A$2:$A$3142,$A538)-COUNTIFS(RATEIOS!$A$2:$A$3142,$A538,RATEIOS!$D$2:$D$3142,"&lt;&gt;")&gt;0,"NÃO CLASSIFICADO","RATEIO OK"))))</f>
        <v>RATEIO OK</v>
      </c>
      <c r="R538" s="49" t="s">
        <v>2553</v>
      </c>
      <c r="S538" s="14"/>
    </row>
    <row r="539" spans="1:19" ht="24.95" customHeight="1" x14ac:dyDescent="0.25">
      <c r="A539" s="49" t="s">
        <v>1989</v>
      </c>
      <c r="B539" s="98">
        <v>538</v>
      </c>
      <c r="C539" s="50">
        <v>46167</v>
      </c>
      <c r="D539" s="49">
        <f t="shared" si="16"/>
        <v>5</v>
      </c>
      <c r="E539" s="92" t="s">
        <v>510</v>
      </c>
      <c r="F539" s="49" t="s">
        <v>35</v>
      </c>
      <c r="G539" s="14" t="s">
        <v>808</v>
      </c>
      <c r="H539" s="14" t="s">
        <v>512</v>
      </c>
      <c r="I539" s="76" t="s">
        <v>412</v>
      </c>
      <c r="J539" s="73">
        <v>100000</v>
      </c>
      <c r="K539" s="74">
        <v>0</v>
      </c>
      <c r="L539" s="72">
        <v>0</v>
      </c>
      <c r="M539" s="72">
        <v>0</v>
      </c>
      <c r="N539" s="72">
        <f>IF(AND(C539="",J539=0,K539=0,L539=0,M539=0),"",CADASTROS!$B$4+SUM($J$2:J539)+SUM($M$2:M539)-SUM($K$2:K539)-SUM($L$2:L539))</f>
        <v>86927.550000002142</v>
      </c>
      <c r="O539" s="72">
        <f>IF(A539="","",SUMIF(RATEIOS!$A$2:$A$3142,$A539,RATEIOS!$F$2:$F$3142))</f>
        <v>100000</v>
      </c>
      <c r="P539" s="15">
        <f t="shared" si="17"/>
        <v>0</v>
      </c>
      <c r="Q539" s="49" t="str">
        <f>IF(AND(J539=0,K539=0,L539=0,M539=0),"",IF(O539=0,"PENDENTE DE RATEIO",IF(ABS(P539)&gt;0.005,"DIVERGÊNCIA",IF(COUNTIF(RATEIOS!$A$2:$A$3142,$A539)-COUNTIFS(RATEIOS!$A$2:$A$3142,$A539,RATEIOS!$D$2:$D$3142,"&lt;&gt;")&gt;0,"NÃO CLASSIFICADO","RATEIO OK"))))</f>
        <v>RATEIO OK</v>
      </c>
      <c r="R539" s="49" t="s">
        <v>2553</v>
      </c>
      <c r="S539" s="14"/>
    </row>
    <row r="540" spans="1:19" ht="24.95" customHeight="1" x14ac:dyDescent="0.25">
      <c r="A540" s="49" t="s">
        <v>1990</v>
      </c>
      <c r="B540" s="98">
        <v>539</v>
      </c>
      <c r="C540" s="50">
        <v>46168</v>
      </c>
      <c r="D540" s="49">
        <f t="shared" si="16"/>
        <v>5</v>
      </c>
      <c r="E540" s="92" t="s">
        <v>118</v>
      </c>
      <c r="F540" s="49" t="s">
        <v>36</v>
      </c>
      <c r="G540" s="14" t="s">
        <v>846</v>
      </c>
      <c r="H540" s="14" t="s">
        <v>143</v>
      </c>
      <c r="I540" s="76" t="s">
        <v>682</v>
      </c>
      <c r="J540" s="73">
        <v>0</v>
      </c>
      <c r="K540" s="74">
        <v>3600</v>
      </c>
      <c r="L540" s="72">
        <v>0</v>
      </c>
      <c r="M540" s="72">
        <v>0</v>
      </c>
      <c r="N540" s="72">
        <f>IF(AND(C540="",J540=0,K540=0,L540=0,M540=0),"",CADASTROS!$B$4+SUM($J$2:J540)+SUM($M$2:M540)-SUM($K$2:K540)-SUM($L$2:L540))</f>
        <v>83327.550000002142</v>
      </c>
      <c r="O540" s="72">
        <f>IF(A540="","",SUMIF(RATEIOS!$A$2:$A$3142,$A540,RATEIOS!$F$2:$F$3142))</f>
        <v>3600</v>
      </c>
      <c r="P540" s="15">
        <f t="shared" si="17"/>
        <v>0</v>
      </c>
      <c r="Q540" s="49" t="str">
        <f>IF(AND(J540=0,K540=0,L540=0,M540=0),"",IF(O540=0,"PENDENTE DE RATEIO",IF(ABS(P540)&gt;0.005,"DIVERGÊNCIA",IF(COUNTIF(RATEIOS!$A$2:$A$3142,$A540)-COUNTIFS(RATEIOS!$A$2:$A$3142,$A540,RATEIOS!$D$2:$D$3142,"&lt;&gt;")&gt;0,"NÃO CLASSIFICADO","RATEIO OK"))))</f>
        <v>RATEIO OK</v>
      </c>
      <c r="R540" s="49" t="s">
        <v>2553</v>
      </c>
      <c r="S540" s="14"/>
    </row>
    <row r="541" spans="1:19" ht="24.95" customHeight="1" x14ac:dyDescent="0.25">
      <c r="A541" s="49" t="s">
        <v>1991</v>
      </c>
      <c r="B541" s="98">
        <v>540</v>
      </c>
      <c r="C541" s="50">
        <v>46168</v>
      </c>
      <c r="D541" s="49">
        <f t="shared" si="16"/>
        <v>5</v>
      </c>
      <c r="E541" s="92" t="s">
        <v>118</v>
      </c>
      <c r="F541" s="49" t="s">
        <v>36</v>
      </c>
      <c r="G541" s="14" t="s">
        <v>847</v>
      </c>
      <c r="H541" s="14" t="s">
        <v>340</v>
      </c>
      <c r="I541" s="76" t="s">
        <v>848</v>
      </c>
      <c r="J541" s="73">
        <v>0</v>
      </c>
      <c r="K541" s="74">
        <v>1320</v>
      </c>
      <c r="L541" s="72">
        <v>0</v>
      </c>
      <c r="M541" s="72">
        <v>0</v>
      </c>
      <c r="N541" s="72">
        <f>IF(AND(C541="",J541=0,K541=0,L541=0,M541=0),"",CADASTROS!$B$4+SUM($J$2:J541)+SUM($M$2:M541)-SUM($K$2:K541)-SUM($L$2:L541))</f>
        <v>82007.550000002142</v>
      </c>
      <c r="O541" s="72">
        <f>IF(A541="","",SUMIF(RATEIOS!$A$2:$A$3142,$A541,RATEIOS!$F$2:$F$3142))</f>
        <v>1320</v>
      </c>
      <c r="P541" s="15">
        <f t="shared" si="17"/>
        <v>0</v>
      </c>
      <c r="Q541" s="49" t="str">
        <f>IF(AND(J541=0,K541=0,L541=0,M541=0),"",IF(O541=0,"PENDENTE DE RATEIO",IF(ABS(P541)&gt;0.005,"DIVERGÊNCIA",IF(COUNTIF(RATEIOS!$A$2:$A$3142,$A541)-COUNTIFS(RATEIOS!$A$2:$A$3142,$A541,RATEIOS!$D$2:$D$3142,"&lt;&gt;")&gt;0,"NÃO CLASSIFICADO","RATEIO OK"))))</f>
        <v>RATEIO OK</v>
      </c>
      <c r="R541" s="49" t="s">
        <v>2553</v>
      </c>
      <c r="S541" s="14"/>
    </row>
    <row r="542" spans="1:19" ht="24.95" customHeight="1" x14ac:dyDescent="0.25">
      <c r="A542" s="49" t="s">
        <v>1992</v>
      </c>
      <c r="B542" s="98">
        <v>541</v>
      </c>
      <c r="C542" s="50">
        <v>46170</v>
      </c>
      <c r="D542" s="49">
        <f t="shared" si="16"/>
        <v>5</v>
      </c>
      <c r="E542" s="92" t="s">
        <v>118</v>
      </c>
      <c r="F542" s="49" t="s">
        <v>36</v>
      </c>
      <c r="G542" s="14" t="s">
        <v>849</v>
      </c>
      <c r="H542" s="14" t="s">
        <v>260</v>
      </c>
      <c r="I542" s="76" t="s">
        <v>776</v>
      </c>
      <c r="J542" s="73">
        <v>0</v>
      </c>
      <c r="K542" s="74">
        <v>997.92</v>
      </c>
      <c r="L542" s="72">
        <v>0</v>
      </c>
      <c r="M542" s="72">
        <v>0</v>
      </c>
      <c r="N542" s="72">
        <f>IF(AND(C542="",J542=0,K542=0,L542=0,M542=0),"",CADASTROS!$B$4+SUM($J$2:J542)+SUM($M$2:M542)-SUM($K$2:K542)-SUM($L$2:L542))</f>
        <v>81009.630000002217</v>
      </c>
      <c r="O542" s="72">
        <f>IF(A542="","",SUMIF(RATEIOS!$A$2:$A$3142,$A542,RATEIOS!$F$2:$F$3142))</f>
        <v>997.92</v>
      </c>
      <c r="P542" s="15">
        <f t="shared" si="17"/>
        <v>0</v>
      </c>
      <c r="Q542" s="49" t="str">
        <f>IF(AND(J542=0,K542=0,L542=0,M542=0),"",IF(O542=0,"PENDENTE DE RATEIO",IF(ABS(P542)&gt;0.005,"DIVERGÊNCIA",IF(COUNTIF(RATEIOS!$A$2:$A$3142,$A542)-COUNTIFS(RATEIOS!$A$2:$A$3142,$A542,RATEIOS!$D$2:$D$3142,"&lt;&gt;")&gt;0,"NÃO CLASSIFICADO","RATEIO OK"))))</f>
        <v>RATEIO OK</v>
      </c>
      <c r="R542" s="49" t="s">
        <v>2553</v>
      </c>
      <c r="S542" s="14"/>
    </row>
    <row r="543" spans="1:19" ht="24.95" customHeight="1" x14ac:dyDescent="0.25">
      <c r="A543" s="49" t="s">
        <v>1993</v>
      </c>
      <c r="B543" s="98">
        <v>542</v>
      </c>
      <c r="C543" s="50">
        <v>46170</v>
      </c>
      <c r="D543" s="49">
        <f t="shared" si="16"/>
        <v>5</v>
      </c>
      <c r="E543" s="92" t="s">
        <v>118</v>
      </c>
      <c r="F543" s="49" t="s">
        <v>36</v>
      </c>
      <c r="G543" s="14" t="s">
        <v>850</v>
      </c>
      <c r="H543" s="14" t="s">
        <v>283</v>
      </c>
      <c r="I543" s="76" t="s">
        <v>782</v>
      </c>
      <c r="J543" s="73">
        <v>0</v>
      </c>
      <c r="K543" s="74">
        <v>647.29999999999995</v>
      </c>
      <c r="L543" s="72">
        <v>0</v>
      </c>
      <c r="M543" s="72">
        <v>0</v>
      </c>
      <c r="N543" s="72">
        <f>IF(AND(C543="",J543=0,K543=0,L543=0,M543=0),"",CADASTROS!$B$4+SUM($J$2:J543)+SUM($M$2:M543)-SUM($K$2:K543)-SUM($L$2:L543))</f>
        <v>80362.330000002403</v>
      </c>
      <c r="O543" s="72">
        <f>IF(A543="","",SUMIF(RATEIOS!$A$2:$A$3142,$A543,RATEIOS!$F$2:$F$3142))</f>
        <v>647.29999999999995</v>
      </c>
      <c r="P543" s="15">
        <f t="shared" si="17"/>
        <v>0</v>
      </c>
      <c r="Q543" s="49" t="str">
        <f>IF(AND(J543=0,K543=0,L543=0,M543=0),"",IF(O543=0,"PENDENTE DE RATEIO",IF(ABS(P543)&gt;0.005,"DIVERGÊNCIA",IF(COUNTIF(RATEIOS!$A$2:$A$3142,$A543)-COUNTIFS(RATEIOS!$A$2:$A$3142,$A543,RATEIOS!$D$2:$D$3142,"&lt;&gt;")&gt;0,"NÃO CLASSIFICADO","RATEIO OK"))))</f>
        <v>RATEIO OK</v>
      </c>
      <c r="R543" s="49" t="s">
        <v>2553</v>
      </c>
      <c r="S543" s="14"/>
    </row>
    <row r="544" spans="1:19" ht="24.95" customHeight="1" x14ac:dyDescent="0.25">
      <c r="A544" s="49" t="s">
        <v>1994</v>
      </c>
      <c r="B544" s="98">
        <v>543</v>
      </c>
      <c r="C544" s="50">
        <v>46171</v>
      </c>
      <c r="D544" s="49">
        <f t="shared" si="16"/>
        <v>5</v>
      </c>
      <c r="E544" s="92" t="s">
        <v>72</v>
      </c>
      <c r="F544" s="49" t="s">
        <v>36</v>
      </c>
      <c r="G544" s="14" t="s">
        <v>851</v>
      </c>
      <c r="H544" s="14" t="s">
        <v>545</v>
      </c>
      <c r="I544" s="76" t="s">
        <v>852</v>
      </c>
      <c r="J544" s="73">
        <v>0</v>
      </c>
      <c r="K544" s="74">
        <v>4500</v>
      </c>
      <c r="L544" s="72">
        <v>0</v>
      </c>
      <c r="M544" s="72">
        <v>0</v>
      </c>
      <c r="N544" s="72">
        <f>IF(AND(C544="",J544=0,K544=0,L544=0,M544=0),"",CADASTROS!$B$4+SUM($J$2:J544)+SUM($M$2:M544)-SUM($K$2:K544)-SUM($L$2:L544))</f>
        <v>75862.330000002403</v>
      </c>
      <c r="O544" s="72">
        <f>IF(A544="","",SUMIF(RATEIOS!$A$2:$A$3142,$A544,RATEIOS!$F$2:$F$3142))</f>
        <v>4500</v>
      </c>
      <c r="P544" s="15">
        <f t="shared" si="17"/>
        <v>0</v>
      </c>
      <c r="Q544" s="49" t="str">
        <f>IF(AND(J544=0,K544=0,L544=0,M544=0),"",IF(O544=0,"PENDENTE DE RATEIO",IF(ABS(P544)&gt;0.005,"DIVERGÊNCIA",IF(COUNTIF(RATEIOS!$A$2:$A$3142,$A544)-COUNTIFS(RATEIOS!$A$2:$A$3142,$A544,RATEIOS!$D$2:$D$3142,"&lt;&gt;")&gt;0,"NÃO CLASSIFICADO","RATEIO OK"))))</f>
        <v>RATEIO OK</v>
      </c>
      <c r="R544" s="49" t="s">
        <v>2553</v>
      </c>
      <c r="S544" s="14"/>
    </row>
    <row r="545" spans="1:19" ht="24.95" customHeight="1" x14ac:dyDescent="0.25">
      <c r="A545" s="49" t="s">
        <v>1995</v>
      </c>
      <c r="B545" s="98">
        <v>544</v>
      </c>
      <c r="C545" s="50">
        <v>46171</v>
      </c>
      <c r="D545" s="49">
        <f t="shared" si="16"/>
        <v>5</v>
      </c>
      <c r="E545" s="92" t="s">
        <v>287</v>
      </c>
      <c r="F545" s="49" t="s">
        <v>36</v>
      </c>
      <c r="G545" s="14" t="s">
        <v>853</v>
      </c>
      <c r="H545" s="14" t="s">
        <v>446</v>
      </c>
      <c r="I545" s="76" t="s">
        <v>3026</v>
      </c>
      <c r="J545" s="73">
        <v>0</v>
      </c>
      <c r="K545" s="74">
        <v>1470</v>
      </c>
      <c r="L545" s="72">
        <v>0</v>
      </c>
      <c r="M545" s="72">
        <v>0</v>
      </c>
      <c r="N545" s="72">
        <f>IF(AND(C545="",J545=0,K545=0,L545=0,M545=0),"",CADASTROS!$B$4+SUM($J$2:J545)+SUM($M$2:M545)-SUM($K$2:K545)-SUM($L$2:L545))</f>
        <v>74392.330000002403</v>
      </c>
      <c r="O545" s="72">
        <f>IF(A545="","",SUMIF(RATEIOS!$A$2:$A$3142,$A545,RATEIOS!$F$2:$F$3142))</f>
        <v>1470</v>
      </c>
      <c r="P545" s="15">
        <f t="shared" si="17"/>
        <v>0</v>
      </c>
      <c r="Q545" s="49" t="str">
        <f>IF(AND(J545=0,K545=0,L545=0,M545=0),"",IF(O545=0,"PENDENTE DE RATEIO",IF(ABS(P545)&gt;0.005,"DIVERGÊNCIA",IF(COUNTIF(RATEIOS!$A$2:$A$3142,$A545)-COUNTIFS(RATEIOS!$A$2:$A$3142,$A545,RATEIOS!$D$2:$D$3142,"&lt;&gt;")&gt;0,"NÃO CLASSIFICADO","RATEIO OK"))))</f>
        <v>RATEIO OK</v>
      </c>
      <c r="R545" s="49" t="s">
        <v>2553</v>
      </c>
      <c r="S545" s="14"/>
    </row>
    <row r="546" spans="1:19" ht="24.95" customHeight="1" x14ac:dyDescent="0.25">
      <c r="A546" s="49" t="s">
        <v>1996</v>
      </c>
      <c r="B546" s="98">
        <v>545</v>
      </c>
      <c r="C546" s="50">
        <v>46171</v>
      </c>
      <c r="D546" s="49">
        <f t="shared" si="16"/>
        <v>5</v>
      </c>
      <c r="E546" s="92" t="s">
        <v>72</v>
      </c>
      <c r="F546" s="49" t="s">
        <v>36</v>
      </c>
      <c r="G546" s="14" t="s">
        <v>854</v>
      </c>
      <c r="H546" s="14" t="s">
        <v>855</v>
      </c>
      <c r="I546" s="76" t="s">
        <v>856</v>
      </c>
      <c r="J546" s="73">
        <v>0</v>
      </c>
      <c r="K546" s="74">
        <v>300</v>
      </c>
      <c r="L546" s="72">
        <v>0</v>
      </c>
      <c r="M546" s="72">
        <v>0</v>
      </c>
      <c r="N546" s="72">
        <f>IF(AND(C546="",J546=0,K546=0,L546=0,M546=0),"",CADASTROS!$B$4+SUM($J$2:J546)+SUM($M$2:M546)-SUM($K$2:K546)-SUM($L$2:L546))</f>
        <v>74092.330000002403</v>
      </c>
      <c r="O546" s="72">
        <f>IF(A546="","",SUMIF(RATEIOS!$A$2:$A$3142,$A546,RATEIOS!$F$2:$F$3142))</f>
        <v>300</v>
      </c>
      <c r="P546" s="15">
        <f t="shared" si="17"/>
        <v>0</v>
      </c>
      <c r="Q546" s="49" t="str">
        <f>IF(AND(J546=0,K546=0,L546=0,M546=0),"",IF(O546=0,"PENDENTE DE RATEIO",IF(ABS(P546)&gt;0.005,"DIVERGÊNCIA",IF(COUNTIF(RATEIOS!$A$2:$A$3142,$A546)-COUNTIFS(RATEIOS!$A$2:$A$3142,$A546,RATEIOS!$D$2:$D$3142,"&lt;&gt;")&gt;0,"NÃO CLASSIFICADO","RATEIO OK"))))</f>
        <v>RATEIO OK</v>
      </c>
      <c r="R546" s="49" t="s">
        <v>2553</v>
      </c>
      <c r="S546" s="14"/>
    </row>
    <row r="547" spans="1:19" ht="24.95" customHeight="1" x14ac:dyDescent="0.25">
      <c r="A547" s="49" t="s">
        <v>1997</v>
      </c>
      <c r="B547" s="98">
        <v>546</v>
      </c>
      <c r="C547" s="50">
        <v>46174</v>
      </c>
      <c r="D547" s="49">
        <f t="shared" si="16"/>
        <v>6</v>
      </c>
      <c r="E547" s="92" t="s">
        <v>118</v>
      </c>
      <c r="F547" s="49" t="s">
        <v>36</v>
      </c>
      <c r="G547" s="14" t="s">
        <v>857</v>
      </c>
      <c r="H547" s="14" t="s">
        <v>143</v>
      </c>
      <c r="I547" s="76" t="s">
        <v>224</v>
      </c>
      <c r="J547" s="73">
        <v>0</v>
      </c>
      <c r="K547" s="74">
        <v>48992.160000000003</v>
      </c>
      <c r="L547" s="72">
        <v>0</v>
      </c>
      <c r="M547" s="72">
        <v>0</v>
      </c>
      <c r="N547" s="72">
        <f>IF(AND(C547="",J547=0,K547=0,L547=0,M547=0),"",CADASTROS!$B$4+SUM($J$2:J547)+SUM($M$2:M547)-SUM($K$2:K547)-SUM($L$2:L547))</f>
        <v>25100.170000002254</v>
      </c>
      <c r="O547" s="72">
        <f>IF(A547="","",SUMIF(RATEIOS!$A$2:$A$3142,$A547,RATEIOS!$F$2:$F$3142))</f>
        <v>48992.160000000003</v>
      </c>
      <c r="P547" s="15">
        <f t="shared" si="17"/>
        <v>0</v>
      </c>
      <c r="Q547" s="49" t="str">
        <f>IF(AND(J547=0,K547=0,L547=0,M547=0),"",IF(O547=0,"PENDENTE DE RATEIO",IF(ABS(P547)&gt;0.005,"DIVERGÊNCIA",IF(COUNTIF(RATEIOS!$A$2:$A$3142,$A547)-COUNTIFS(RATEIOS!$A$2:$A$3142,$A547,RATEIOS!$D$2:$D$3142,"&lt;&gt;")&gt;0,"NÃO CLASSIFICADO","RATEIO OK"))))</f>
        <v>RATEIO OK</v>
      </c>
      <c r="R547" s="49" t="s">
        <v>2553</v>
      </c>
      <c r="S547" s="14"/>
    </row>
    <row r="548" spans="1:19" ht="24.95" customHeight="1" x14ac:dyDescent="0.25">
      <c r="A548" s="49" t="s">
        <v>1998</v>
      </c>
      <c r="B548" s="98">
        <v>547</v>
      </c>
      <c r="C548" s="50">
        <v>46174</v>
      </c>
      <c r="D548" s="49">
        <f t="shared" si="16"/>
        <v>6</v>
      </c>
      <c r="E548" s="92" t="s">
        <v>118</v>
      </c>
      <c r="F548" s="49" t="s">
        <v>36</v>
      </c>
      <c r="G548" s="14" t="s">
        <v>858</v>
      </c>
      <c r="H548" s="14" t="s">
        <v>143</v>
      </c>
      <c r="I548" s="76" t="s">
        <v>226</v>
      </c>
      <c r="J548" s="73">
        <v>0</v>
      </c>
      <c r="K548" s="74">
        <v>9331.84</v>
      </c>
      <c r="L548" s="72">
        <v>0</v>
      </c>
      <c r="M548" s="72">
        <v>0</v>
      </c>
      <c r="N548" s="72">
        <f>IF(AND(C548="",J548=0,K548=0,L548=0,M548=0),"",CADASTROS!$B$4+SUM($J$2:J548)+SUM($M$2:M548)-SUM($K$2:K548)-SUM($L$2:L548))</f>
        <v>15768.330000002403</v>
      </c>
      <c r="O548" s="72">
        <f>IF(A548="","",SUMIF(RATEIOS!$A$2:$A$3142,$A548,RATEIOS!$F$2:$F$3142))</f>
        <v>9331.84</v>
      </c>
      <c r="P548" s="15">
        <f t="shared" si="17"/>
        <v>0</v>
      </c>
      <c r="Q548" s="49" t="str">
        <f>IF(AND(J548=0,K548=0,L548=0,M548=0),"",IF(O548=0,"PENDENTE DE RATEIO",IF(ABS(P548)&gt;0.005,"DIVERGÊNCIA",IF(COUNTIF(RATEIOS!$A$2:$A$3142,$A548)-COUNTIFS(RATEIOS!$A$2:$A$3142,$A548,RATEIOS!$D$2:$D$3142,"&lt;&gt;")&gt;0,"NÃO CLASSIFICADO","RATEIO OK"))))</f>
        <v>RATEIO OK</v>
      </c>
      <c r="R548" s="49" t="s">
        <v>2553</v>
      </c>
      <c r="S548" s="14"/>
    </row>
    <row r="549" spans="1:19" ht="24.95" customHeight="1" x14ac:dyDescent="0.25">
      <c r="A549" s="49" t="s">
        <v>1999</v>
      </c>
      <c r="B549" s="98">
        <v>548</v>
      </c>
      <c r="C549" s="50">
        <v>46174</v>
      </c>
      <c r="D549" s="49">
        <f t="shared" si="16"/>
        <v>6</v>
      </c>
      <c r="E549" s="92" t="s">
        <v>118</v>
      </c>
      <c r="F549" s="49" t="s">
        <v>36</v>
      </c>
      <c r="G549" s="14" t="s">
        <v>859</v>
      </c>
      <c r="H549" s="14" t="s">
        <v>143</v>
      </c>
      <c r="I549" s="76" t="s">
        <v>860</v>
      </c>
      <c r="J549" s="73">
        <v>0</v>
      </c>
      <c r="K549" s="74">
        <v>10173.75</v>
      </c>
      <c r="L549" s="72">
        <v>0</v>
      </c>
      <c r="M549" s="72">
        <v>0</v>
      </c>
      <c r="N549" s="72">
        <f>IF(AND(C549="",J549=0,K549=0,L549=0,M549=0),"",CADASTROS!$B$4+SUM($J$2:J549)+SUM($M$2:M549)-SUM($K$2:K549)-SUM($L$2:L549))</f>
        <v>5594.5800000024028</v>
      </c>
      <c r="O549" s="72">
        <f>IF(A549="","",SUMIF(RATEIOS!$A$2:$A$3142,$A549,RATEIOS!$F$2:$F$3142))</f>
        <v>10173.75</v>
      </c>
      <c r="P549" s="15">
        <f t="shared" si="17"/>
        <v>0</v>
      </c>
      <c r="Q549" s="49" t="str">
        <f>IF(AND(J549=0,K549=0,L549=0,M549=0),"",IF(O549=0,"PENDENTE DE RATEIO",IF(ABS(P549)&gt;0.005,"DIVERGÊNCIA",IF(COUNTIF(RATEIOS!$A$2:$A$3142,$A549)-COUNTIFS(RATEIOS!$A$2:$A$3142,$A549,RATEIOS!$D$2:$D$3142,"&lt;&gt;")&gt;0,"NÃO CLASSIFICADO","RATEIO OK"))))</f>
        <v>RATEIO OK</v>
      </c>
      <c r="R549" s="49" t="s">
        <v>2553</v>
      </c>
      <c r="S549" s="14"/>
    </row>
    <row r="550" spans="1:19" ht="24.95" customHeight="1" x14ac:dyDescent="0.25">
      <c r="A550" s="49" t="s">
        <v>2000</v>
      </c>
      <c r="B550" s="98">
        <v>549</v>
      </c>
      <c r="C550" s="50">
        <v>46174</v>
      </c>
      <c r="D550" s="49">
        <f t="shared" si="16"/>
        <v>6</v>
      </c>
      <c r="E550" s="92" t="s">
        <v>118</v>
      </c>
      <c r="F550" s="49" t="s">
        <v>36</v>
      </c>
      <c r="G550" s="14" t="s">
        <v>861</v>
      </c>
      <c r="H550" s="14" t="s">
        <v>84</v>
      </c>
      <c r="I550" s="76" t="s">
        <v>412</v>
      </c>
      <c r="J550" s="73">
        <v>0</v>
      </c>
      <c r="K550" s="74">
        <v>27.39</v>
      </c>
      <c r="L550" s="72">
        <v>0</v>
      </c>
      <c r="M550" s="72">
        <v>0</v>
      </c>
      <c r="N550" s="72">
        <f>IF(AND(C550="",J550=0,K550=0,L550=0,M550=0),"",CADASTROS!$B$4+SUM($J$2:J550)+SUM($M$2:M550)-SUM($K$2:K550)-SUM($L$2:L550))</f>
        <v>5567.1900000022724</v>
      </c>
      <c r="O550" s="72">
        <f>IF(A550="","",SUMIF(RATEIOS!$A$2:$A$3142,$A550,RATEIOS!$F$2:$F$3142))</f>
        <v>27.39</v>
      </c>
      <c r="P550" s="15">
        <f t="shared" si="17"/>
        <v>0</v>
      </c>
      <c r="Q550" s="49" t="str">
        <f>IF(AND(J550=0,K550=0,L550=0,M550=0),"",IF(O550=0,"PENDENTE DE RATEIO",IF(ABS(P550)&gt;0.005,"DIVERGÊNCIA",IF(COUNTIF(RATEIOS!$A$2:$A$3142,$A550)-COUNTIFS(RATEIOS!$A$2:$A$3142,$A550,RATEIOS!$D$2:$D$3142,"&lt;&gt;")&gt;0,"NÃO CLASSIFICADO","RATEIO OK"))))</f>
        <v>RATEIO OK</v>
      </c>
      <c r="R550" s="49" t="s">
        <v>2553</v>
      </c>
      <c r="S550" s="14"/>
    </row>
    <row r="551" spans="1:19" ht="24.95" customHeight="1" x14ac:dyDescent="0.25">
      <c r="A551" s="49" t="s">
        <v>2001</v>
      </c>
      <c r="B551" s="98">
        <v>550</v>
      </c>
      <c r="C551" s="50">
        <v>46174</v>
      </c>
      <c r="D551" s="49">
        <f t="shared" si="16"/>
        <v>6</v>
      </c>
      <c r="E551" s="92" t="s">
        <v>118</v>
      </c>
      <c r="F551" s="49" t="s">
        <v>36</v>
      </c>
      <c r="G551" s="14" t="s">
        <v>862</v>
      </c>
      <c r="H551" s="14" t="s">
        <v>59</v>
      </c>
      <c r="I551" s="76" t="s">
        <v>863</v>
      </c>
      <c r="J551" s="73">
        <v>0</v>
      </c>
      <c r="K551" s="74">
        <v>2782</v>
      </c>
      <c r="L551" s="72">
        <v>0</v>
      </c>
      <c r="M551" s="72">
        <v>0</v>
      </c>
      <c r="N551" s="72">
        <f>IF(AND(C551="",J551=0,K551=0,L551=0,M551=0),"",CADASTROS!$B$4+SUM($J$2:J551)+SUM($M$2:M551)-SUM($K$2:K551)-SUM($L$2:L551))</f>
        <v>2785.1900000022724</v>
      </c>
      <c r="O551" s="72">
        <f>IF(A551="","",SUMIF(RATEIOS!$A$2:$A$3142,$A551,RATEIOS!$F$2:$F$3142))</f>
        <v>2782</v>
      </c>
      <c r="P551" s="15">
        <f t="shared" si="17"/>
        <v>0</v>
      </c>
      <c r="Q551" s="49" t="str">
        <f>IF(AND(J551=0,K551=0,L551=0,M551=0),"",IF(O551=0,"PENDENTE DE RATEIO",IF(ABS(P551)&gt;0.005,"DIVERGÊNCIA",IF(COUNTIF(RATEIOS!$A$2:$A$3142,$A551)-COUNTIFS(RATEIOS!$A$2:$A$3142,$A551,RATEIOS!$D$2:$D$3142,"&lt;&gt;")&gt;0,"NÃO CLASSIFICADO","RATEIO OK"))))</f>
        <v>RATEIO OK</v>
      </c>
      <c r="R551" s="49" t="s">
        <v>2553</v>
      </c>
      <c r="S551" s="14"/>
    </row>
    <row r="552" spans="1:19" ht="24.95" customHeight="1" x14ac:dyDescent="0.25">
      <c r="A552" s="49" t="s">
        <v>2002</v>
      </c>
      <c r="B552" s="98">
        <v>551</v>
      </c>
      <c r="C552" s="50">
        <v>46174</v>
      </c>
      <c r="D552" s="49">
        <f t="shared" si="16"/>
        <v>6</v>
      </c>
      <c r="E552" s="92" t="s">
        <v>118</v>
      </c>
      <c r="F552" s="49" t="s">
        <v>36</v>
      </c>
      <c r="G552" s="14" t="s">
        <v>864</v>
      </c>
      <c r="H552" s="14" t="s">
        <v>188</v>
      </c>
      <c r="I552" s="76" t="s">
        <v>696</v>
      </c>
      <c r="J552" s="73">
        <v>0</v>
      </c>
      <c r="K552" s="74">
        <v>1227.5</v>
      </c>
      <c r="L552" s="72">
        <v>0</v>
      </c>
      <c r="M552" s="72">
        <v>0</v>
      </c>
      <c r="N552" s="72">
        <f>IF(AND(C552="",J552=0,K552=0,L552=0,M552=0),"",CADASTROS!$B$4+SUM($J$2:J552)+SUM($M$2:M552)-SUM($K$2:K552)-SUM($L$2:L552))</f>
        <v>1557.6900000022724</v>
      </c>
      <c r="O552" s="72">
        <f>IF(A552="","",SUMIF(RATEIOS!$A$2:$A$3142,$A552,RATEIOS!$F$2:$F$3142))</f>
        <v>1227.5</v>
      </c>
      <c r="P552" s="15">
        <f t="shared" si="17"/>
        <v>0</v>
      </c>
      <c r="Q552" s="49" t="str">
        <f>IF(AND(J552=0,K552=0,L552=0,M552=0),"",IF(O552=0,"PENDENTE DE RATEIO",IF(ABS(P552)&gt;0.005,"DIVERGÊNCIA",IF(COUNTIF(RATEIOS!$A$2:$A$3142,$A552)-COUNTIFS(RATEIOS!$A$2:$A$3142,$A552,RATEIOS!$D$2:$D$3142,"&lt;&gt;")&gt;0,"NÃO CLASSIFICADO","RATEIO OK"))))</f>
        <v>RATEIO OK</v>
      </c>
      <c r="R552" s="49" t="s">
        <v>2553</v>
      </c>
      <c r="S552" s="14"/>
    </row>
    <row r="553" spans="1:19" ht="24.95" customHeight="1" x14ac:dyDescent="0.25">
      <c r="A553" s="49" t="s">
        <v>2003</v>
      </c>
      <c r="B553" s="98">
        <v>552</v>
      </c>
      <c r="C553" s="50">
        <v>46174</v>
      </c>
      <c r="D553" s="49">
        <f t="shared" si="16"/>
        <v>6</v>
      </c>
      <c r="E553" s="92" t="s">
        <v>118</v>
      </c>
      <c r="F553" s="49" t="s">
        <v>36</v>
      </c>
      <c r="G553" s="14" t="s">
        <v>53</v>
      </c>
      <c r="H553" s="14" t="s">
        <v>51</v>
      </c>
      <c r="I553" s="76" t="s">
        <v>770</v>
      </c>
      <c r="J553" s="73">
        <v>0</v>
      </c>
      <c r="K553" s="74">
        <v>1561</v>
      </c>
      <c r="L553" s="72">
        <v>0</v>
      </c>
      <c r="M553" s="72">
        <v>0</v>
      </c>
      <c r="N553" s="72">
        <f>IF(AND(C553="",J553=0,K553=0,L553=0,M553=0),"",CADASTROS!$B$4+SUM($J$2:J553)+SUM($M$2:M553)-SUM($K$2:K553)-SUM($L$2:L553))</f>
        <v>-3.3099999977275729</v>
      </c>
      <c r="O553" s="72">
        <f>IF(A553="","",SUMIF(RATEIOS!$A$2:$A$3142,$A553,RATEIOS!$F$2:$F$3142))</f>
        <v>1561</v>
      </c>
      <c r="P553" s="15">
        <f t="shared" si="17"/>
        <v>0</v>
      </c>
      <c r="Q553" s="49" t="str">
        <f>IF(AND(J553=0,K553=0,L553=0,M553=0),"",IF(O553=0,"PENDENTE DE RATEIO",IF(ABS(P553)&gt;0.005,"DIVERGÊNCIA",IF(COUNTIF(RATEIOS!$A$2:$A$3142,$A553)-COUNTIFS(RATEIOS!$A$2:$A$3142,$A553,RATEIOS!$D$2:$D$3142,"&lt;&gt;")&gt;0,"NÃO CLASSIFICADO","RATEIO OK"))))</f>
        <v>RATEIO OK</v>
      </c>
      <c r="R553" s="49" t="s">
        <v>2553</v>
      </c>
      <c r="S553" s="14"/>
    </row>
    <row r="554" spans="1:19" ht="24.95" customHeight="1" x14ac:dyDescent="0.25">
      <c r="A554" s="49" t="s">
        <v>2004</v>
      </c>
      <c r="B554" s="98">
        <v>553</v>
      </c>
      <c r="C554" s="50">
        <v>46174</v>
      </c>
      <c r="D554" s="49">
        <f t="shared" si="16"/>
        <v>6</v>
      </c>
      <c r="E554" s="92" t="s">
        <v>2558</v>
      </c>
      <c r="F554" s="49" t="s">
        <v>38</v>
      </c>
      <c r="G554" s="14" t="s">
        <v>45</v>
      </c>
      <c r="H554" s="14" t="s">
        <v>46</v>
      </c>
      <c r="I554" s="76" t="s">
        <v>412</v>
      </c>
      <c r="J554" s="73">
        <v>0</v>
      </c>
      <c r="K554" s="74">
        <v>0</v>
      </c>
      <c r="L554" s="72">
        <v>0</v>
      </c>
      <c r="M554" s="72">
        <v>500</v>
      </c>
      <c r="N554" s="72">
        <f>IF(AND(C554="",J554=0,K554=0,L554=0,M554=0),"",CADASTROS!$B$4+SUM($J$2:J554)+SUM($M$2:M554)-SUM($K$2:K554)-SUM($L$2:L554))</f>
        <v>496.69000000227243</v>
      </c>
      <c r="O554" s="72">
        <f>IF(A554="","",SUMIF(RATEIOS!$A$2:$A$3142,$A554,RATEIOS!$F$2:$F$3142))</f>
        <v>500</v>
      </c>
      <c r="P554" s="15">
        <f t="shared" si="17"/>
        <v>0</v>
      </c>
      <c r="Q554" s="49" t="str">
        <f>IF(AND(J554=0,K554=0,L554=0,M554=0),"",IF(O554=0,"PENDENTE DE RATEIO",IF(ABS(P554)&gt;0.005,"DIVERGÊNCIA",IF(COUNTIF(RATEIOS!$A$2:$A$3142,$A554)-COUNTIFS(RATEIOS!$A$2:$A$3142,$A554,RATEIOS!$D$2:$D$3142,"&lt;&gt;")&gt;0,"NÃO CLASSIFICADO","RATEIO OK"))))</f>
        <v>RATEIO OK</v>
      </c>
      <c r="R554" s="49" t="s">
        <v>2553</v>
      </c>
      <c r="S554" s="14"/>
    </row>
    <row r="555" spans="1:19" ht="24.95" customHeight="1" x14ac:dyDescent="0.25">
      <c r="A555" s="49" t="s">
        <v>2005</v>
      </c>
      <c r="B555" s="98">
        <v>554</v>
      </c>
      <c r="C555" s="50">
        <v>46175</v>
      </c>
      <c r="D555" s="49">
        <f t="shared" si="16"/>
        <v>6</v>
      </c>
      <c r="E555" s="92" t="s">
        <v>510</v>
      </c>
      <c r="F555" s="49" t="s">
        <v>35</v>
      </c>
      <c r="G555" s="14" t="s">
        <v>808</v>
      </c>
      <c r="H555" s="14" t="s">
        <v>512</v>
      </c>
      <c r="I555" s="76" t="s">
        <v>412</v>
      </c>
      <c r="J555" s="73">
        <v>100000</v>
      </c>
      <c r="K555" s="74">
        <v>0</v>
      </c>
      <c r="L555" s="72">
        <v>0</v>
      </c>
      <c r="M555" s="72">
        <v>0</v>
      </c>
      <c r="N555" s="72">
        <f>IF(AND(C555="",J555=0,K555=0,L555=0,M555=0),"",CADASTROS!$B$4+SUM($J$2:J555)+SUM($M$2:M555)-SUM($K$2:K555)-SUM($L$2:L555))</f>
        <v>100496.69000000227</v>
      </c>
      <c r="O555" s="72">
        <f>IF(A555="","",SUMIF(RATEIOS!$A$2:$A$3142,$A555,RATEIOS!$F$2:$F$3142))</f>
        <v>100000</v>
      </c>
      <c r="P555" s="15">
        <f t="shared" si="17"/>
        <v>0</v>
      </c>
      <c r="Q555" s="49" t="str">
        <f>IF(AND(J555=0,K555=0,L555=0,M555=0),"",IF(O555=0,"PENDENTE DE RATEIO",IF(ABS(P555)&gt;0.005,"DIVERGÊNCIA",IF(COUNTIF(RATEIOS!$A$2:$A$3142,$A555)-COUNTIFS(RATEIOS!$A$2:$A$3142,$A555,RATEIOS!$D$2:$D$3142,"&lt;&gt;")&gt;0,"NÃO CLASSIFICADO","RATEIO OK"))))</f>
        <v>RATEIO OK</v>
      </c>
      <c r="R555" s="49" t="s">
        <v>2553</v>
      </c>
      <c r="S555" s="14"/>
    </row>
    <row r="556" spans="1:19" ht="24.95" customHeight="1" x14ac:dyDescent="0.25">
      <c r="A556" s="49" t="s">
        <v>2006</v>
      </c>
      <c r="B556" s="98">
        <v>555</v>
      </c>
      <c r="C556" s="50">
        <v>46175</v>
      </c>
      <c r="D556" s="49">
        <f t="shared" si="16"/>
        <v>6</v>
      </c>
      <c r="E556" s="92" t="s">
        <v>2558</v>
      </c>
      <c r="F556" s="49" t="s">
        <v>38</v>
      </c>
      <c r="G556" s="14" t="s">
        <v>45</v>
      </c>
      <c r="H556" s="14" t="s">
        <v>46</v>
      </c>
      <c r="I556" s="76" t="s">
        <v>412</v>
      </c>
      <c r="J556" s="73">
        <v>0</v>
      </c>
      <c r="K556" s="74">
        <v>0</v>
      </c>
      <c r="L556" s="72">
        <v>0</v>
      </c>
      <c r="M556" s="72">
        <v>21.88</v>
      </c>
      <c r="N556" s="72">
        <f>IF(AND(C556="",J556=0,K556=0,L556=0,M556=0),"",CADASTROS!$B$4+SUM($J$2:J556)+SUM($M$2:M556)-SUM($K$2:K556)-SUM($L$2:L556))</f>
        <v>100518.57000000216</v>
      </c>
      <c r="O556" s="72">
        <f>IF(A556="","",SUMIF(RATEIOS!$A$2:$A$3142,$A556,RATEIOS!$F$2:$F$3142))</f>
        <v>21.88</v>
      </c>
      <c r="P556" s="15">
        <f t="shared" si="17"/>
        <v>0</v>
      </c>
      <c r="Q556" s="49" t="str">
        <f>IF(AND(J556=0,K556=0,L556=0,M556=0),"",IF(O556=0,"PENDENTE DE RATEIO",IF(ABS(P556)&gt;0.005,"DIVERGÊNCIA",IF(COUNTIF(RATEIOS!$A$2:$A$3142,$A556)-COUNTIFS(RATEIOS!$A$2:$A$3142,$A556,RATEIOS!$D$2:$D$3142,"&lt;&gt;")&gt;0,"NÃO CLASSIFICADO","RATEIO OK"))))</f>
        <v>RATEIO OK</v>
      </c>
      <c r="R556" s="49" t="s">
        <v>2553</v>
      </c>
      <c r="S556" s="14"/>
    </row>
    <row r="557" spans="1:19" ht="24.95" customHeight="1" x14ac:dyDescent="0.25">
      <c r="A557" s="49" t="s">
        <v>2009</v>
      </c>
      <c r="B557" s="98">
        <v>556</v>
      </c>
      <c r="C557" s="50">
        <v>46175</v>
      </c>
      <c r="D557" s="49">
        <f t="shared" si="16"/>
        <v>6</v>
      </c>
      <c r="E557" s="92" t="s">
        <v>118</v>
      </c>
      <c r="F557" s="49" t="s">
        <v>36</v>
      </c>
      <c r="G557" s="14" t="s">
        <v>865</v>
      </c>
      <c r="H557" s="14" t="s">
        <v>252</v>
      </c>
      <c r="I557" s="76" t="s">
        <v>866</v>
      </c>
      <c r="J557" s="73">
        <v>0</v>
      </c>
      <c r="K557" s="74">
        <v>15996.07</v>
      </c>
      <c r="L557" s="72">
        <v>0</v>
      </c>
      <c r="M557" s="72">
        <v>0</v>
      </c>
      <c r="N557" s="72">
        <f>IF(AND(C557="",J557=0,K557=0,L557=0,M557=0),"",CADASTROS!$B$4+SUM($J$2:J557)+SUM($M$2:M557)-SUM($K$2:K557)-SUM($L$2:L557))</f>
        <v>84522.500000002328</v>
      </c>
      <c r="O557" s="72">
        <f>IF(A557="","",SUMIF(RATEIOS!$A$2:$A$3142,$A557,RATEIOS!$F$2:$F$3142))</f>
        <v>15996.07</v>
      </c>
      <c r="P557" s="15">
        <f t="shared" si="17"/>
        <v>0</v>
      </c>
      <c r="Q557" s="49" t="str">
        <f>IF(AND(J557=0,K557=0,L557=0,M557=0),"",IF(O557=0,"PENDENTE DE RATEIO",IF(ABS(P557)&gt;0.005,"DIVERGÊNCIA",IF(COUNTIF(RATEIOS!$A$2:$A$3142,$A557)-COUNTIFS(RATEIOS!$A$2:$A$3142,$A557,RATEIOS!$D$2:$D$3142,"&lt;&gt;")&gt;0,"NÃO CLASSIFICADO","RATEIO OK"))))</f>
        <v>RATEIO OK</v>
      </c>
      <c r="R557" s="49" t="s">
        <v>2553</v>
      </c>
      <c r="S557" s="14" t="s">
        <v>867</v>
      </c>
    </row>
    <row r="558" spans="1:19" ht="24.95" customHeight="1" x14ac:dyDescent="0.25">
      <c r="A558" s="49" t="s">
        <v>2012</v>
      </c>
      <c r="B558" s="98">
        <v>557</v>
      </c>
      <c r="C558" s="50">
        <v>46175</v>
      </c>
      <c r="D558" s="49">
        <f t="shared" si="16"/>
        <v>6</v>
      </c>
      <c r="E558" s="92" t="s">
        <v>118</v>
      </c>
      <c r="F558" s="49" t="s">
        <v>36</v>
      </c>
      <c r="G558" s="14" t="s">
        <v>254</v>
      </c>
      <c r="H558" s="14" t="s">
        <v>255</v>
      </c>
      <c r="I558" s="76" t="s">
        <v>868</v>
      </c>
      <c r="J558" s="73">
        <v>0</v>
      </c>
      <c r="K558" s="74">
        <v>2998.13</v>
      </c>
      <c r="L558" s="72">
        <v>0</v>
      </c>
      <c r="M558" s="72">
        <v>0</v>
      </c>
      <c r="N558" s="72">
        <f>IF(AND(C558="",J558=0,K558=0,L558=0,M558=0),"",CADASTROS!$B$4+SUM($J$2:J558)+SUM($M$2:M558)-SUM($K$2:K558)-SUM($L$2:L558))</f>
        <v>81524.37000000244</v>
      </c>
      <c r="O558" s="72">
        <f>IF(A558="","",SUMIF(RATEIOS!$A$2:$A$3142,$A558,RATEIOS!$F$2:$F$3142))</f>
        <v>2998.13</v>
      </c>
      <c r="P558" s="15">
        <f t="shared" si="17"/>
        <v>0</v>
      </c>
      <c r="Q558" s="49" t="str">
        <f>IF(AND(J558=0,K558=0,L558=0,M558=0),"",IF(O558=0,"PENDENTE DE RATEIO",IF(ABS(P558)&gt;0.005,"DIVERGÊNCIA",IF(COUNTIF(RATEIOS!$A$2:$A$3142,$A558)-COUNTIFS(RATEIOS!$A$2:$A$3142,$A558,RATEIOS!$D$2:$D$3142,"&lt;&gt;")&gt;0,"NÃO CLASSIFICADO","RATEIO OK"))))</f>
        <v>RATEIO OK</v>
      </c>
      <c r="R558" s="49" t="s">
        <v>2553</v>
      </c>
      <c r="S558" s="14" t="s">
        <v>869</v>
      </c>
    </row>
    <row r="559" spans="1:19" ht="24.95" customHeight="1" x14ac:dyDescent="0.25">
      <c r="A559" s="49" t="s">
        <v>2013</v>
      </c>
      <c r="B559" s="98">
        <v>558</v>
      </c>
      <c r="C559" s="50">
        <v>46175</v>
      </c>
      <c r="D559" s="49">
        <f t="shared" si="16"/>
        <v>6</v>
      </c>
      <c r="E559" s="92" t="s">
        <v>118</v>
      </c>
      <c r="F559" s="49" t="s">
        <v>36</v>
      </c>
      <c r="G559" s="14" t="s">
        <v>870</v>
      </c>
      <c r="H559" s="14" t="s">
        <v>84</v>
      </c>
      <c r="I559" s="76" t="s">
        <v>412</v>
      </c>
      <c r="J559" s="73">
        <v>0</v>
      </c>
      <c r="K559" s="74">
        <v>21363.33</v>
      </c>
      <c r="L559" s="72">
        <v>0</v>
      </c>
      <c r="M559" s="72">
        <v>0</v>
      </c>
      <c r="N559" s="72">
        <f>IF(AND(C559="",J559=0,K559=0,L559=0,M559=0),"",CADASTROS!$B$4+SUM($J$2:J559)+SUM($M$2:M559)-SUM($K$2:K559)-SUM($L$2:L559))</f>
        <v>60161.040000002366</v>
      </c>
      <c r="O559" s="72">
        <f>IF(A559="","",SUMIF(RATEIOS!$A$2:$A$3142,$A559,RATEIOS!$F$2:$F$3142))</f>
        <v>21363.33</v>
      </c>
      <c r="P559" s="15">
        <f t="shared" si="17"/>
        <v>0</v>
      </c>
      <c r="Q559" s="49" t="str">
        <f>IF(AND(J559=0,K559=0,L559=0,M559=0),"",IF(O559=0,"PENDENTE DE RATEIO",IF(ABS(P559)&gt;0.005,"DIVERGÊNCIA",IF(COUNTIF(RATEIOS!$A$2:$A$3142,$A559)-COUNTIFS(RATEIOS!$A$2:$A$3142,$A559,RATEIOS!$D$2:$D$3142,"&lt;&gt;")&gt;0,"NÃO CLASSIFICADO","RATEIO OK"))))</f>
        <v>RATEIO OK</v>
      </c>
      <c r="R559" s="49" t="s">
        <v>2553</v>
      </c>
      <c r="S559" s="14"/>
    </row>
    <row r="560" spans="1:19" ht="24.95" customHeight="1" x14ac:dyDescent="0.25">
      <c r="A560" s="49" t="s">
        <v>2014</v>
      </c>
      <c r="B560" s="98">
        <v>559</v>
      </c>
      <c r="C560" s="50">
        <v>46175</v>
      </c>
      <c r="D560" s="49">
        <f t="shared" si="16"/>
        <v>6</v>
      </c>
      <c r="E560" s="92" t="s">
        <v>118</v>
      </c>
      <c r="F560" s="49" t="s">
        <v>36</v>
      </c>
      <c r="G560" s="14" t="s">
        <v>871</v>
      </c>
      <c r="H560" s="14" t="s">
        <v>59</v>
      </c>
      <c r="I560" s="76" t="s">
        <v>692</v>
      </c>
      <c r="J560" s="73">
        <v>0</v>
      </c>
      <c r="K560" s="74">
        <v>2096</v>
      </c>
      <c r="L560" s="72">
        <v>0</v>
      </c>
      <c r="M560" s="72">
        <v>0</v>
      </c>
      <c r="N560" s="72">
        <f>IF(AND(C560="",J560=0,K560=0,L560=0,M560=0),"",CADASTROS!$B$4+SUM($J$2:J560)+SUM($M$2:M560)-SUM($K$2:K560)-SUM($L$2:L560))</f>
        <v>58065.040000002366</v>
      </c>
      <c r="O560" s="72">
        <f>IF(A560="","",SUMIF(RATEIOS!$A$2:$A$3142,$A560,RATEIOS!$F$2:$F$3142))</f>
        <v>2096</v>
      </c>
      <c r="P560" s="15">
        <f t="shared" si="17"/>
        <v>0</v>
      </c>
      <c r="Q560" s="49" t="str">
        <f>IF(AND(J560=0,K560=0,L560=0,M560=0),"",IF(O560=0,"PENDENTE DE RATEIO",IF(ABS(P560)&gt;0.005,"DIVERGÊNCIA",IF(COUNTIF(RATEIOS!$A$2:$A$3142,$A560)-COUNTIFS(RATEIOS!$A$2:$A$3142,$A560,RATEIOS!$D$2:$D$3142,"&lt;&gt;")&gt;0,"NÃO CLASSIFICADO","RATEIO OK"))))</f>
        <v>RATEIO OK</v>
      </c>
      <c r="R560" s="49" t="s">
        <v>2553</v>
      </c>
      <c r="S560" s="14" t="s">
        <v>693</v>
      </c>
    </row>
    <row r="561" spans="1:19" ht="24.95" customHeight="1" x14ac:dyDescent="0.25">
      <c r="A561" s="49" t="s">
        <v>2015</v>
      </c>
      <c r="B561" s="98">
        <v>560</v>
      </c>
      <c r="C561" s="50">
        <v>46176</v>
      </c>
      <c r="D561" s="49">
        <f t="shared" si="16"/>
        <v>6</v>
      </c>
      <c r="E561" s="92" t="s">
        <v>72</v>
      </c>
      <c r="F561" s="49" t="s">
        <v>36</v>
      </c>
      <c r="G561" s="14" t="s">
        <v>872</v>
      </c>
      <c r="H561" s="14" t="s">
        <v>618</v>
      </c>
      <c r="I561" s="76" t="s">
        <v>690</v>
      </c>
      <c r="J561" s="73">
        <v>0</v>
      </c>
      <c r="K561" s="74">
        <v>5893.66</v>
      </c>
      <c r="L561" s="72">
        <v>0</v>
      </c>
      <c r="M561" s="72">
        <v>0</v>
      </c>
      <c r="N561" s="72">
        <f>IF(AND(C561="",J561=0,K561=0,L561=0,M561=0),"",CADASTROS!$B$4+SUM($J$2:J561)+SUM($M$2:M561)-SUM($K$2:K561)-SUM($L$2:L561))</f>
        <v>52171.380000002217</v>
      </c>
      <c r="O561" s="72">
        <f>IF(A561="","",SUMIF(RATEIOS!$A$2:$A$3142,$A561,RATEIOS!$F$2:$F$3142))</f>
        <v>5893.66</v>
      </c>
      <c r="P561" s="15">
        <f t="shared" si="17"/>
        <v>0</v>
      </c>
      <c r="Q561" s="49" t="str">
        <f>IF(AND(J561=0,K561=0,L561=0,M561=0),"",IF(O561=0,"PENDENTE DE RATEIO",IF(ABS(P561)&gt;0.005,"DIVERGÊNCIA",IF(COUNTIF(RATEIOS!$A$2:$A$3142,$A561)-COUNTIFS(RATEIOS!$A$2:$A$3142,$A561,RATEIOS!$D$2:$D$3142,"&lt;&gt;")&gt;0,"NÃO CLASSIFICADO","RATEIO OK"))))</f>
        <v>RATEIO OK</v>
      </c>
      <c r="R561" s="49" t="s">
        <v>2553</v>
      </c>
      <c r="S561" s="14" t="s">
        <v>3010</v>
      </c>
    </row>
    <row r="562" spans="1:19" ht="24.95" customHeight="1" x14ac:dyDescent="0.25">
      <c r="A562" s="49" t="s">
        <v>2016</v>
      </c>
      <c r="B562" s="98">
        <v>561</v>
      </c>
      <c r="C562" s="50">
        <v>46178</v>
      </c>
      <c r="D562" s="49">
        <f t="shared" si="16"/>
        <v>6</v>
      </c>
      <c r="E562" s="92" t="s">
        <v>510</v>
      </c>
      <c r="F562" s="49" t="s">
        <v>35</v>
      </c>
      <c r="G562" s="14" t="s">
        <v>808</v>
      </c>
      <c r="H562" s="14" t="s">
        <v>512</v>
      </c>
      <c r="I562" s="76" t="s">
        <v>412</v>
      </c>
      <c r="J562" s="73">
        <v>90000</v>
      </c>
      <c r="K562" s="74">
        <v>0</v>
      </c>
      <c r="L562" s="72">
        <v>0</v>
      </c>
      <c r="M562" s="72">
        <v>0</v>
      </c>
      <c r="N562" s="72">
        <f>IF(AND(C562="",J562=0,K562=0,L562=0,M562=0),"",CADASTROS!$B$4+SUM($J$2:J562)+SUM($M$2:M562)-SUM($K$2:K562)-SUM($L$2:L562))</f>
        <v>142171.38000000222</v>
      </c>
      <c r="O562" s="72">
        <f>IF(A562="","",SUMIF(RATEIOS!$A$2:$A$3142,$A562,RATEIOS!$F$2:$F$3142))</f>
        <v>90000</v>
      </c>
      <c r="P562" s="15">
        <f t="shared" si="17"/>
        <v>0</v>
      </c>
      <c r="Q562" s="49" t="str">
        <f>IF(AND(J562=0,K562=0,L562=0,M562=0),"",IF(O562=0,"PENDENTE DE RATEIO",IF(ABS(P562)&gt;0.005,"DIVERGÊNCIA",IF(COUNTIF(RATEIOS!$A$2:$A$3142,$A562)-COUNTIFS(RATEIOS!$A$2:$A$3142,$A562,RATEIOS!$D$2:$D$3142,"&lt;&gt;")&gt;0,"NÃO CLASSIFICADO","RATEIO OK"))))</f>
        <v>RATEIO OK</v>
      </c>
      <c r="R562" s="49" t="s">
        <v>2553</v>
      </c>
      <c r="S562" s="14"/>
    </row>
    <row r="563" spans="1:19" ht="24.95" customHeight="1" x14ac:dyDescent="0.25">
      <c r="A563" s="49" t="s">
        <v>2017</v>
      </c>
      <c r="B563" s="98">
        <v>562</v>
      </c>
      <c r="C563" s="50">
        <v>46178</v>
      </c>
      <c r="D563" s="49">
        <f t="shared" si="16"/>
        <v>6</v>
      </c>
      <c r="E563" s="92" t="s">
        <v>287</v>
      </c>
      <c r="F563" s="49" t="s">
        <v>36</v>
      </c>
      <c r="G563" s="14" t="s">
        <v>873</v>
      </c>
      <c r="H563" s="14" t="s">
        <v>874</v>
      </c>
      <c r="I563" s="76" t="s">
        <v>875</v>
      </c>
      <c r="J563" s="73">
        <v>0</v>
      </c>
      <c r="K563" s="74">
        <v>700</v>
      </c>
      <c r="L563" s="72">
        <v>0</v>
      </c>
      <c r="M563" s="72">
        <v>0</v>
      </c>
      <c r="N563" s="72">
        <f>IF(AND(C563="",J563=0,K563=0,L563=0,M563=0),"",CADASTROS!$B$4+SUM($J$2:J563)+SUM($M$2:M563)-SUM($K$2:K563)-SUM($L$2:L563))</f>
        <v>141471.38000000222</v>
      </c>
      <c r="O563" s="72">
        <f>IF(A563="","",SUMIF(RATEIOS!$A$2:$A$3142,$A563,RATEIOS!$F$2:$F$3142))</f>
        <v>700</v>
      </c>
      <c r="P563" s="15">
        <f t="shared" si="17"/>
        <v>0</v>
      </c>
      <c r="Q563" s="49" t="str">
        <f>IF(AND(J563=0,K563=0,L563=0,M563=0),"",IF(O563=0,"PENDENTE DE RATEIO",IF(ABS(P563)&gt;0.005,"DIVERGÊNCIA",IF(COUNTIF(RATEIOS!$A$2:$A$3142,$A563)-COUNTIFS(RATEIOS!$A$2:$A$3142,$A563,RATEIOS!$D$2:$D$3142,"&lt;&gt;")&gt;0,"NÃO CLASSIFICADO","RATEIO OK"))))</f>
        <v>RATEIO OK</v>
      </c>
      <c r="R563" s="49" t="s">
        <v>2553</v>
      </c>
      <c r="S563" s="14"/>
    </row>
    <row r="564" spans="1:19" ht="24.95" customHeight="1" x14ac:dyDescent="0.25">
      <c r="A564" s="49" t="s">
        <v>2018</v>
      </c>
      <c r="B564" s="98">
        <v>563</v>
      </c>
      <c r="C564" s="50">
        <v>46178</v>
      </c>
      <c r="D564" s="49">
        <f t="shared" si="16"/>
        <v>6</v>
      </c>
      <c r="E564" s="92" t="s">
        <v>287</v>
      </c>
      <c r="F564" s="49" t="s">
        <v>36</v>
      </c>
      <c r="G564" s="14" t="s">
        <v>3024</v>
      </c>
      <c r="H564" s="14" t="s">
        <v>3023</v>
      </c>
      <c r="I564" s="76" t="s">
        <v>497</v>
      </c>
      <c r="J564" s="73">
        <v>0</v>
      </c>
      <c r="K564" s="74">
        <v>138</v>
      </c>
      <c r="L564" s="72">
        <v>0</v>
      </c>
      <c r="M564" s="72">
        <v>0</v>
      </c>
      <c r="N564" s="72">
        <f>IF(AND(C564="",J564=0,K564=0,L564=0,M564=0),"",CADASTROS!$B$4+SUM($J$2:J564)+SUM($M$2:M564)-SUM($K$2:K564)-SUM($L$2:L564))</f>
        <v>141333.38000000222</v>
      </c>
      <c r="O564" s="72">
        <f>IF(A564="","",SUMIF(RATEIOS!$A$2:$A$3142,$A564,RATEIOS!$F$2:$F$3142))</f>
        <v>138</v>
      </c>
      <c r="P564" s="15">
        <f t="shared" si="17"/>
        <v>0</v>
      </c>
      <c r="Q564" s="49" t="str">
        <f>IF(AND(J564=0,K564=0,L564=0,M564=0),"",IF(O564=0,"PENDENTE DE RATEIO",IF(ABS(P564)&gt;0.005,"DIVERGÊNCIA",IF(COUNTIF(RATEIOS!$A$2:$A$3142,$A564)-COUNTIFS(RATEIOS!$A$2:$A$3142,$A564,RATEIOS!$D$2:$D$3142,"&lt;&gt;")&gt;0,"NÃO CLASSIFICADO","RATEIO OK"))))</f>
        <v>RATEIO OK</v>
      </c>
      <c r="R564" s="49" t="s">
        <v>2553</v>
      </c>
      <c r="S564" s="14"/>
    </row>
    <row r="565" spans="1:19" ht="24.95" customHeight="1" x14ac:dyDescent="0.25">
      <c r="A565" s="49" t="s">
        <v>2019</v>
      </c>
      <c r="B565" s="98">
        <v>564</v>
      </c>
      <c r="C565" s="50">
        <v>46178</v>
      </c>
      <c r="D565" s="49">
        <f t="shared" si="16"/>
        <v>6</v>
      </c>
      <c r="E565" s="92" t="s">
        <v>123</v>
      </c>
      <c r="F565" s="49" t="s">
        <v>36</v>
      </c>
      <c r="G565" s="14" t="s">
        <v>878</v>
      </c>
      <c r="H565" s="14" t="s">
        <v>123</v>
      </c>
      <c r="I565" s="76" t="s">
        <v>412</v>
      </c>
      <c r="J565" s="73">
        <v>0</v>
      </c>
      <c r="K565" s="74">
        <v>75052.02</v>
      </c>
      <c r="L565" s="72">
        <v>0</v>
      </c>
      <c r="M565" s="72">
        <v>0</v>
      </c>
      <c r="N565" s="72">
        <f>IF(AND(C565="",J565=0,K565=0,L565=0,M565=0),"",CADASTROS!$B$4+SUM($J$2:J565)+SUM($M$2:M565)-SUM($K$2:K565)-SUM($L$2:L565))</f>
        <v>66281.360000002198</v>
      </c>
      <c r="O565" s="72">
        <f>IF(A565="","",SUMIF(RATEIOS!$A$2:$A$3142,$A565,RATEIOS!$F$2:$F$3142))</f>
        <v>75052.02</v>
      </c>
      <c r="P565" s="15">
        <f t="shared" si="17"/>
        <v>0</v>
      </c>
      <c r="Q565" s="49" t="str">
        <f>IF(AND(J565=0,K565=0,L565=0,M565=0),"",IF(O565=0,"PENDENTE DE RATEIO",IF(ABS(P565)&gt;0.005,"DIVERGÊNCIA",IF(COUNTIF(RATEIOS!$A$2:$A$3142,$A565)-COUNTIFS(RATEIOS!$A$2:$A$3142,$A565,RATEIOS!$D$2:$D$3142,"&lt;&gt;")&gt;0,"NÃO CLASSIFICADO","RATEIO OK"))))</f>
        <v>RATEIO OK</v>
      </c>
      <c r="R565" s="49" t="s">
        <v>2553</v>
      </c>
      <c r="S565" s="14"/>
    </row>
    <row r="566" spans="1:19" ht="24.95" customHeight="1" x14ac:dyDescent="0.25">
      <c r="A566" s="49" t="s">
        <v>2021</v>
      </c>
      <c r="B566" s="98">
        <v>565</v>
      </c>
      <c r="C566" s="50">
        <v>46178</v>
      </c>
      <c r="D566" s="49">
        <f t="shared" si="16"/>
        <v>6</v>
      </c>
      <c r="E566" s="92" t="s">
        <v>118</v>
      </c>
      <c r="F566" s="49" t="s">
        <v>36</v>
      </c>
      <c r="G566" s="14" t="s">
        <v>80</v>
      </c>
      <c r="H566" s="14" t="s">
        <v>81</v>
      </c>
      <c r="I566" s="76" t="s">
        <v>879</v>
      </c>
      <c r="J566" s="73">
        <v>0</v>
      </c>
      <c r="K566" s="74">
        <v>9335.2000000000007</v>
      </c>
      <c r="L566" s="72">
        <v>0</v>
      </c>
      <c r="M566" s="72">
        <v>0</v>
      </c>
      <c r="N566" s="72">
        <f>IF(AND(C566="",J566=0,K566=0,L566=0,M566=0),"",CADASTROS!$B$4+SUM($J$2:J566)+SUM($M$2:M566)-SUM($K$2:K566)-SUM($L$2:L566))</f>
        <v>56946.160000002012</v>
      </c>
      <c r="O566" s="72">
        <f>IF(A566="","",SUMIF(RATEIOS!$A$2:$A$3142,$A566,RATEIOS!$F$2:$F$3142))</f>
        <v>9335.2000000000007</v>
      </c>
      <c r="P566" s="15">
        <f t="shared" si="17"/>
        <v>0</v>
      </c>
      <c r="Q566" s="49" t="str">
        <f>IF(AND(J566=0,K566=0,L566=0,M566=0),"",IF(O566=0,"PENDENTE DE RATEIO",IF(ABS(P566)&gt;0.005,"DIVERGÊNCIA",IF(COUNTIF(RATEIOS!$A$2:$A$3142,$A566)-COUNTIFS(RATEIOS!$A$2:$A$3142,$A566,RATEIOS!$D$2:$D$3142,"&lt;&gt;")&gt;0,"NÃO CLASSIFICADO","RATEIO OK"))))</f>
        <v>RATEIO OK</v>
      </c>
      <c r="R566" s="49" t="s">
        <v>2553</v>
      </c>
      <c r="S566" s="14"/>
    </row>
    <row r="567" spans="1:19" ht="24.95" customHeight="1" x14ac:dyDescent="0.25">
      <c r="A567" s="49" t="s">
        <v>2024</v>
      </c>
      <c r="B567" s="98">
        <v>566</v>
      </c>
      <c r="C567" s="50">
        <v>46178</v>
      </c>
      <c r="D567" s="49">
        <f t="shared" si="16"/>
        <v>6</v>
      </c>
      <c r="E567" s="92" t="s">
        <v>118</v>
      </c>
      <c r="F567" s="49" t="s">
        <v>36</v>
      </c>
      <c r="G567" s="14" t="s">
        <v>880</v>
      </c>
      <c r="H567" s="14" t="s">
        <v>204</v>
      </c>
      <c r="I567" s="76" t="s">
        <v>881</v>
      </c>
      <c r="J567" s="73">
        <v>0</v>
      </c>
      <c r="K567" s="74">
        <v>2467.52</v>
      </c>
      <c r="L567" s="72">
        <v>0</v>
      </c>
      <c r="M567" s="72">
        <v>0</v>
      </c>
      <c r="N567" s="72">
        <f>IF(AND(C567="",J567=0,K567=0,L567=0,M567=0),"",CADASTROS!$B$4+SUM($J$2:J567)+SUM($M$2:M567)-SUM($K$2:K567)-SUM($L$2:L567))</f>
        <v>54478.640000001993</v>
      </c>
      <c r="O567" s="72">
        <f>IF(A567="","",SUMIF(RATEIOS!$A$2:$A$3142,$A567,RATEIOS!$F$2:$F$3142))</f>
        <v>2467.52</v>
      </c>
      <c r="P567" s="15">
        <f t="shared" si="17"/>
        <v>0</v>
      </c>
      <c r="Q567" s="49" t="str">
        <f>IF(AND(J567=0,K567=0,L567=0,M567=0),"",IF(O567=0,"PENDENTE DE RATEIO",IF(ABS(P567)&gt;0.005,"DIVERGÊNCIA",IF(COUNTIF(RATEIOS!$A$2:$A$3142,$A567)-COUNTIFS(RATEIOS!$A$2:$A$3142,$A567,RATEIOS!$D$2:$D$3142,"&lt;&gt;")&gt;0,"NÃO CLASSIFICADO","RATEIO OK"))))</f>
        <v>RATEIO OK</v>
      </c>
      <c r="R567" s="49" t="s">
        <v>2553</v>
      </c>
      <c r="S567" s="14"/>
    </row>
    <row r="568" spans="1:19" ht="24.95" customHeight="1" x14ac:dyDescent="0.25">
      <c r="A568" s="49" t="s">
        <v>2025</v>
      </c>
      <c r="B568" s="98">
        <v>567</v>
      </c>
      <c r="C568" s="50">
        <v>46178</v>
      </c>
      <c r="D568" s="49">
        <f t="shared" si="16"/>
        <v>6</v>
      </c>
      <c r="E568" s="92" t="s">
        <v>118</v>
      </c>
      <c r="F568" s="49" t="s">
        <v>36</v>
      </c>
      <c r="G568" s="14" t="s">
        <v>882</v>
      </c>
      <c r="H568" s="14" t="s">
        <v>265</v>
      </c>
      <c r="I568" s="76" t="s">
        <v>883</v>
      </c>
      <c r="J568" s="73">
        <v>0</v>
      </c>
      <c r="K568" s="74">
        <v>3440.77</v>
      </c>
      <c r="L568" s="72">
        <v>0</v>
      </c>
      <c r="M568" s="72">
        <v>0</v>
      </c>
      <c r="N568" s="72">
        <f>IF(AND(C568="",J568=0,K568=0,L568=0,M568=0),"",CADASTROS!$B$4+SUM($J$2:J568)+SUM($M$2:M568)-SUM($K$2:K568)-SUM($L$2:L568))</f>
        <v>51037.870000001974</v>
      </c>
      <c r="O568" s="72">
        <f>IF(A568="","",SUMIF(RATEIOS!$A$2:$A$3142,$A568,RATEIOS!$F$2:$F$3142))</f>
        <v>3440.77</v>
      </c>
      <c r="P568" s="15">
        <f t="shared" si="17"/>
        <v>0</v>
      </c>
      <c r="Q568" s="49" t="str">
        <f>IF(AND(J568=0,K568=0,L568=0,M568=0),"",IF(O568=0,"PENDENTE DE RATEIO",IF(ABS(P568)&gt;0.005,"DIVERGÊNCIA",IF(COUNTIF(RATEIOS!$A$2:$A$3142,$A568)-COUNTIFS(RATEIOS!$A$2:$A$3142,$A568,RATEIOS!$D$2:$D$3142,"&lt;&gt;")&gt;0,"NÃO CLASSIFICADO","RATEIO OK"))))</f>
        <v>RATEIO OK</v>
      </c>
      <c r="R568" s="49" t="s">
        <v>2553</v>
      </c>
      <c r="S568" s="14"/>
    </row>
    <row r="569" spans="1:19" ht="24.95" customHeight="1" x14ac:dyDescent="0.25">
      <c r="A569" s="49" t="s">
        <v>2026</v>
      </c>
      <c r="B569" s="98">
        <v>568</v>
      </c>
      <c r="C569" s="50">
        <v>46178</v>
      </c>
      <c r="D569" s="49">
        <f t="shared" si="16"/>
        <v>6</v>
      </c>
      <c r="E569" s="92" t="s">
        <v>118</v>
      </c>
      <c r="F569" s="49" t="s">
        <v>36</v>
      </c>
      <c r="G569" s="14" t="s">
        <v>884</v>
      </c>
      <c r="H569" s="14" t="s">
        <v>252</v>
      </c>
      <c r="I569" s="76" t="s">
        <v>839</v>
      </c>
      <c r="J569" s="73">
        <v>0</v>
      </c>
      <c r="K569" s="74">
        <v>4914</v>
      </c>
      <c r="L569" s="72">
        <v>0</v>
      </c>
      <c r="M569" s="72">
        <v>0</v>
      </c>
      <c r="N569" s="72">
        <f>IF(AND(C569="",J569=0,K569=0,L569=0,M569=0),"",CADASTROS!$B$4+SUM($J$2:J569)+SUM($M$2:M569)-SUM($K$2:K569)-SUM($L$2:L569))</f>
        <v>46123.870000001974</v>
      </c>
      <c r="O569" s="72">
        <f>IF(A569="","",SUMIF(RATEIOS!$A$2:$A$3142,$A569,RATEIOS!$F$2:$F$3142))</f>
        <v>4914</v>
      </c>
      <c r="P569" s="15">
        <f t="shared" si="17"/>
        <v>0</v>
      </c>
      <c r="Q569" s="49" t="str">
        <f>IF(AND(J569=0,K569=0,L569=0,M569=0),"",IF(O569=0,"PENDENTE DE RATEIO",IF(ABS(P569)&gt;0.005,"DIVERGÊNCIA",IF(COUNTIF(RATEIOS!$A$2:$A$3142,$A569)-COUNTIFS(RATEIOS!$A$2:$A$3142,$A569,RATEIOS!$D$2:$D$3142,"&lt;&gt;")&gt;0,"NÃO CLASSIFICADO","RATEIO OK"))))</f>
        <v>RATEIO OK</v>
      </c>
      <c r="R569" s="49" t="s">
        <v>2553</v>
      </c>
      <c r="S569" s="14"/>
    </row>
    <row r="570" spans="1:19" ht="24.95" customHeight="1" x14ac:dyDescent="0.25">
      <c r="A570" s="49" t="s">
        <v>2027</v>
      </c>
      <c r="B570" s="98">
        <v>569</v>
      </c>
      <c r="C570" s="50">
        <v>46178</v>
      </c>
      <c r="D570" s="49">
        <f t="shared" si="16"/>
        <v>6</v>
      </c>
      <c r="E570" s="92" t="s">
        <v>118</v>
      </c>
      <c r="F570" s="49" t="s">
        <v>36</v>
      </c>
      <c r="G570" s="14" t="s">
        <v>885</v>
      </c>
      <c r="H570" s="14" t="s">
        <v>252</v>
      </c>
      <c r="I570" s="76" t="s">
        <v>729</v>
      </c>
      <c r="J570" s="73">
        <v>0</v>
      </c>
      <c r="K570" s="74">
        <v>16171</v>
      </c>
      <c r="L570" s="72">
        <v>0</v>
      </c>
      <c r="M570" s="72">
        <v>0</v>
      </c>
      <c r="N570" s="72">
        <f>IF(AND(C570="",J570=0,K570=0,L570=0,M570=0),"",CADASTROS!$B$4+SUM($J$2:J570)+SUM($M$2:M570)-SUM($K$2:K570)-SUM($L$2:L570))</f>
        <v>29952.870000001974</v>
      </c>
      <c r="O570" s="72">
        <f>IF(A570="","",SUMIF(RATEIOS!$A$2:$A$3142,$A570,RATEIOS!$F$2:$F$3142))</f>
        <v>16171</v>
      </c>
      <c r="P570" s="15">
        <f t="shared" si="17"/>
        <v>0</v>
      </c>
      <c r="Q570" s="49" t="str">
        <f>IF(AND(J570=0,K570=0,L570=0,M570=0),"",IF(O570=0,"PENDENTE DE RATEIO",IF(ABS(P570)&gt;0.005,"DIVERGÊNCIA",IF(COUNTIF(RATEIOS!$A$2:$A$3142,$A570)-COUNTIFS(RATEIOS!$A$2:$A$3142,$A570,RATEIOS!$D$2:$D$3142,"&lt;&gt;")&gt;0,"NÃO CLASSIFICADO","RATEIO OK"))))</f>
        <v>RATEIO OK</v>
      </c>
      <c r="R570" s="49" t="s">
        <v>2553</v>
      </c>
      <c r="S570" s="14"/>
    </row>
    <row r="571" spans="1:19" ht="24.95" customHeight="1" x14ac:dyDescent="0.25">
      <c r="A571" s="49" t="s">
        <v>2028</v>
      </c>
      <c r="B571" s="98">
        <v>570</v>
      </c>
      <c r="C571" s="50">
        <v>46178</v>
      </c>
      <c r="D571" s="49">
        <f t="shared" si="16"/>
        <v>6</v>
      </c>
      <c r="E571" s="92" t="s">
        <v>118</v>
      </c>
      <c r="F571" s="49" t="s">
        <v>36</v>
      </c>
      <c r="G571" s="14" t="s">
        <v>886</v>
      </c>
      <c r="H571" s="14" t="s">
        <v>59</v>
      </c>
      <c r="I571" s="76" t="s">
        <v>774</v>
      </c>
      <c r="J571" s="73">
        <v>0</v>
      </c>
      <c r="K571" s="74">
        <v>1100</v>
      </c>
      <c r="L571" s="72">
        <v>0</v>
      </c>
      <c r="M571" s="72">
        <v>0</v>
      </c>
      <c r="N571" s="72">
        <f>IF(AND(C571="",J571=0,K571=0,L571=0,M571=0),"",CADASTROS!$B$4+SUM($J$2:J571)+SUM($M$2:M571)-SUM($K$2:K571)-SUM($L$2:L571))</f>
        <v>28852.870000001974</v>
      </c>
      <c r="O571" s="72">
        <f>IF(A571="","",SUMIF(RATEIOS!$A$2:$A$3142,$A571,RATEIOS!$F$2:$F$3142))</f>
        <v>1100</v>
      </c>
      <c r="P571" s="15">
        <f t="shared" si="17"/>
        <v>0</v>
      </c>
      <c r="Q571" s="49" t="str">
        <f>IF(AND(J571=0,K571=0,L571=0,M571=0),"",IF(O571=0,"PENDENTE DE RATEIO",IF(ABS(P571)&gt;0.005,"DIVERGÊNCIA",IF(COUNTIF(RATEIOS!$A$2:$A$3142,$A571)-COUNTIFS(RATEIOS!$A$2:$A$3142,$A571,RATEIOS!$D$2:$D$3142,"&lt;&gt;")&gt;0,"NÃO CLASSIFICADO","RATEIO OK"))))</f>
        <v>RATEIO OK</v>
      </c>
      <c r="R571" s="49" t="s">
        <v>2553</v>
      </c>
      <c r="S571" s="14"/>
    </row>
    <row r="572" spans="1:19" ht="24.95" customHeight="1" x14ac:dyDescent="0.25">
      <c r="A572" s="49" t="s">
        <v>2029</v>
      </c>
      <c r="B572" s="98">
        <v>571</v>
      </c>
      <c r="C572" s="50">
        <v>46178</v>
      </c>
      <c r="D572" s="49">
        <f t="shared" si="16"/>
        <v>6</v>
      </c>
      <c r="E572" s="92" t="s">
        <v>118</v>
      </c>
      <c r="F572" s="49" t="s">
        <v>36</v>
      </c>
      <c r="G572" s="14" t="s">
        <v>887</v>
      </c>
      <c r="H572" s="96" t="s">
        <v>2753</v>
      </c>
      <c r="I572" s="76" t="s">
        <v>716</v>
      </c>
      <c r="J572" s="73">
        <v>0</v>
      </c>
      <c r="K572" s="74">
        <v>1600</v>
      </c>
      <c r="L572" s="72">
        <v>0</v>
      </c>
      <c r="M572" s="72">
        <v>0</v>
      </c>
      <c r="N572" s="72">
        <f>IF(AND(C572="",J572=0,K572=0,L572=0,M572=0),"",CADASTROS!$B$4+SUM($J$2:J572)+SUM($M$2:M572)-SUM($K$2:K572)-SUM($L$2:L572))</f>
        <v>27252.870000001974</v>
      </c>
      <c r="O572" s="72">
        <f>IF(A572="","",SUMIF(RATEIOS!$A$2:$A$3142,$A572,RATEIOS!$F$2:$F$3142))</f>
        <v>1600</v>
      </c>
      <c r="P572" s="15">
        <f t="shared" si="17"/>
        <v>0</v>
      </c>
      <c r="Q572" s="49" t="str">
        <f>IF(AND(J572=0,K572=0,L572=0,M572=0),"",IF(O572=0,"PENDENTE DE RATEIO",IF(ABS(P572)&gt;0.005,"DIVERGÊNCIA",IF(COUNTIF(RATEIOS!$A$2:$A$3142,$A572)-COUNTIFS(RATEIOS!$A$2:$A$3142,$A572,RATEIOS!$D$2:$D$3142,"&lt;&gt;")&gt;0,"NÃO CLASSIFICADO","RATEIO OK"))))</f>
        <v>RATEIO OK</v>
      </c>
      <c r="R572" s="49" t="s">
        <v>2553</v>
      </c>
      <c r="S572" s="14"/>
    </row>
    <row r="573" spans="1:19" ht="24.95" customHeight="1" x14ac:dyDescent="0.25">
      <c r="A573" s="49" t="s">
        <v>2030</v>
      </c>
      <c r="B573" s="98">
        <v>572</v>
      </c>
      <c r="C573" s="50">
        <v>46178</v>
      </c>
      <c r="D573" s="49">
        <f t="shared" si="16"/>
        <v>6</v>
      </c>
      <c r="E573" s="92" t="s">
        <v>118</v>
      </c>
      <c r="F573" s="49" t="s">
        <v>36</v>
      </c>
      <c r="G573" s="14" t="s">
        <v>323</v>
      </c>
      <c r="H573" s="14" t="s">
        <v>185</v>
      </c>
      <c r="I573" s="76" t="s">
        <v>763</v>
      </c>
      <c r="J573" s="73">
        <v>0</v>
      </c>
      <c r="K573" s="74">
        <v>1789</v>
      </c>
      <c r="L573" s="72">
        <v>0</v>
      </c>
      <c r="M573" s="72">
        <v>0</v>
      </c>
      <c r="N573" s="72">
        <f>IF(AND(C573="",J573=0,K573=0,L573=0,M573=0),"",CADASTROS!$B$4+SUM($J$2:J573)+SUM($M$2:M573)-SUM($K$2:K573)-SUM($L$2:L573))</f>
        <v>25463.870000001974</v>
      </c>
      <c r="O573" s="72">
        <f>IF(A573="","",SUMIF(RATEIOS!$A$2:$A$3142,$A573,RATEIOS!$F$2:$F$3142))</f>
        <v>1789</v>
      </c>
      <c r="P573" s="15">
        <f t="shared" si="17"/>
        <v>0</v>
      </c>
      <c r="Q573" s="49" t="str">
        <f>IF(AND(J573=0,K573=0,L573=0,M573=0),"",IF(O573=0,"PENDENTE DE RATEIO",IF(ABS(P573)&gt;0.005,"DIVERGÊNCIA",IF(COUNTIF(RATEIOS!$A$2:$A$3142,$A573)-COUNTIFS(RATEIOS!$A$2:$A$3142,$A573,RATEIOS!$D$2:$D$3142,"&lt;&gt;")&gt;0,"NÃO CLASSIFICADO","RATEIO OK"))))</f>
        <v>RATEIO OK</v>
      </c>
      <c r="R573" s="49" t="s">
        <v>2553</v>
      </c>
      <c r="S573" s="14"/>
    </row>
    <row r="574" spans="1:19" ht="24.95" customHeight="1" x14ac:dyDescent="0.25">
      <c r="A574" s="49" t="s">
        <v>2031</v>
      </c>
      <c r="B574" s="98">
        <v>573</v>
      </c>
      <c r="C574" s="50">
        <v>46178</v>
      </c>
      <c r="D574" s="49">
        <f t="shared" si="16"/>
        <v>6</v>
      </c>
      <c r="E574" s="92" t="s">
        <v>118</v>
      </c>
      <c r="F574" s="49" t="s">
        <v>36</v>
      </c>
      <c r="G574" s="14" t="s">
        <v>67</v>
      </c>
      <c r="H574" s="14" t="s">
        <v>67</v>
      </c>
      <c r="I574" s="76" t="s">
        <v>716</v>
      </c>
      <c r="J574" s="73">
        <v>0</v>
      </c>
      <c r="K574" s="74">
        <v>2593</v>
      </c>
      <c r="L574" s="72">
        <v>0</v>
      </c>
      <c r="M574" s="72">
        <v>0</v>
      </c>
      <c r="N574" s="72">
        <f>IF(AND(C574="",J574=0,K574=0,L574=0,M574=0),"",CADASTROS!$B$4+SUM($J$2:J574)+SUM($M$2:M574)-SUM($K$2:K574)-SUM($L$2:L574))</f>
        <v>22870.870000001974</v>
      </c>
      <c r="O574" s="72">
        <f>IF(A574="","",SUMIF(RATEIOS!$A$2:$A$3142,$A574,RATEIOS!$F$2:$F$3142))</f>
        <v>2593</v>
      </c>
      <c r="P574" s="15">
        <f t="shared" si="17"/>
        <v>0</v>
      </c>
      <c r="Q574" s="49" t="str">
        <f>IF(AND(J574=0,K574=0,L574=0,M574=0),"",IF(O574=0,"PENDENTE DE RATEIO",IF(ABS(P574)&gt;0.005,"DIVERGÊNCIA",IF(COUNTIF(RATEIOS!$A$2:$A$3142,$A574)-COUNTIFS(RATEIOS!$A$2:$A$3142,$A574,RATEIOS!$D$2:$D$3142,"&lt;&gt;")&gt;0,"NÃO CLASSIFICADO","RATEIO OK"))))</f>
        <v>RATEIO OK</v>
      </c>
      <c r="R574" s="49" t="s">
        <v>2553</v>
      </c>
      <c r="S574" s="14"/>
    </row>
    <row r="575" spans="1:19" ht="24.95" customHeight="1" x14ac:dyDescent="0.25">
      <c r="A575" s="49" t="s">
        <v>2032</v>
      </c>
      <c r="B575" s="98">
        <v>574</v>
      </c>
      <c r="C575" s="50">
        <v>46178</v>
      </c>
      <c r="D575" s="49">
        <f t="shared" si="16"/>
        <v>6</v>
      </c>
      <c r="E575" s="92" t="s">
        <v>118</v>
      </c>
      <c r="F575" s="49" t="s">
        <v>36</v>
      </c>
      <c r="G575" s="14" t="s">
        <v>888</v>
      </c>
      <c r="H575" s="14" t="s">
        <v>260</v>
      </c>
      <c r="I575" s="76" t="s">
        <v>889</v>
      </c>
      <c r="J575" s="73">
        <v>0</v>
      </c>
      <c r="K575" s="74">
        <v>613.07000000000005</v>
      </c>
      <c r="L575" s="72">
        <v>0</v>
      </c>
      <c r="M575" s="72">
        <v>0</v>
      </c>
      <c r="N575" s="72">
        <f>IF(AND(C575="",J575=0,K575=0,L575=0,M575=0),"",CADASTROS!$B$4+SUM($J$2:J575)+SUM($M$2:M575)-SUM($K$2:K575)-SUM($L$2:L575))</f>
        <v>22257.800000002142</v>
      </c>
      <c r="O575" s="72">
        <f>IF(A575="","",SUMIF(RATEIOS!$A$2:$A$3142,$A575,RATEIOS!$F$2:$F$3142))</f>
        <v>613.07000000000005</v>
      </c>
      <c r="P575" s="15">
        <f t="shared" si="17"/>
        <v>0</v>
      </c>
      <c r="Q575" s="49" t="str">
        <f>IF(AND(J575=0,K575=0,L575=0,M575=0),"",IF(O575=0,"PENDENTE DE RATEIO",IF(ABS(P575)&gt;0.005,"DIVERGÊNCIA",IF(COUNTIF(RATEIOS!$A$2:$A$3142,$A575)-COUNTIFS(RATEIOS!$A$2:$A$3142,$A575,RATEIOS!$D$2:$D$3142,"&lt;&gt;")&gt;0,"NÃO CLASSIFICADO","RATEIO OK"))))</f>
        <v>RATEIO OK</v>
      </c>
      <c r="R575" s="49" t="s">
        <v>2553</v>
      </c>
      <c r="S575" s="14"/>
    </row>
    <row r="576" spans="1:19" ht="24.95" customHeight="1" x14ac:dyDescent="0.25">
      <c r="A576" s="49" t="s">
        <v>2035</v>
      </c>
      <c r="B576" s="98">
        <v>575</v>
      </c>
      <c r="C576" s="50">
        <v>46178</v>
      </c>
      <c r="D576" s="49">
        <f t="shared" si="16"/>
        <v>6</v>
      </c>
      <c r="E576" s="92" t="s">
        <v>118</v>
      </c>
      <c r="F576" s="49" t="s">
        <v>36</v>
      </c>
      <c r="G576" s="14" t="s">
        <v>890</v>
      </c>
      <c r="H576" s="14" t="s">
        <v>191</v>
      </c>
      <c r="I576" s="76" t="s">
        <v>891</v>
      </c>
      <c r="J576" s="73">
        <v>0</v>
      </c>
      <c r="K576" s="74">
        <v>740.17</v>
      </c>
      <c r="L576" s="72">
        <v>0</v>
      </c>
      <c r="M576" s="72">
        <v>0</v>
      </c>
      <c r="N576" s="72">
        <f>IF(AND(C576="",J576=0,K576=0,L576=0,M576=0),"",CADASTROS!$B$4+SUM($J$2:J576)+SUM($M$2:M576)-SUM($K$2:K576)-SUM($L$2:L576))</f>
        <v>21517.630000002217</v>
      </c>
      <c r="O576" s="72">
        <f>IF(A576="","",SUMIF(RATEIOS!$A$2:$A$3142,$A576,RATEIOS!$F$2:$F$3142))</f>
        <v>740.17</v>
      </c>
      <c r="P576" s="15">
        <f t="shared" si="17"/>
        <v>0</v>
      </c>
      <c r="Q576" s="49" t="str">
        <f>IF(AND(J576=0,K576=0,L576=0,M576=0),"",IF(O576=0,"PENDENTE DE RATEIO",IF(ABS(P576)&gt;0.005,"DIVERGÊNCIA",IF(COUNTIF(RATEIOS!$A$2:$A$3142,$A576)-COUNTIFS(RATEIOS!$A$2:$A$3142,$A576,RATEIOS!$D$2:$D$3142,"&lt;&gt;")&gt;0,"NÃO CLASSIFICADO","RATEIO OK"))))</f>
        <v>RATEIO OK</v>
      </c>
      <c r="R576" s="49" t="s">
        <v>2553</v>
      </c>
      <c r="S576" s="14" t="s">
        <v>892</v>
      </c>
    </row>
    <row r="577" spans="1:19" ht="24.95" customHeight="1" x14ac:dyDescent="0.25">
      <c r="A577" s="49" t="s">
        <v>2036</v>
      </c>
      <c r="B577" s="98">
        <v>576</v>
      </c>
      <c r="C577" s="50">
        <v>46178</v>
      </c>
      <c r="D577" s="49">
        <f t="shared" si="16"/>
        <v>6</v>
      </c>
      <c r="E577" s="92" t="s">
        <v>118</v>
      </c>
      <c r="F577" s="49" t="s">
        <v>36</v>
      </c>
      <c r="G577" s="14" t="s">
        <v>706</v>
      </c>
      <c r="H577" s="14" t="s">
        <v>191</v>
      </c>
      <c r="I577" s="76" t="s">
        <v>893</v>
      </c>
      <c r="J577" s="73">
        <v>0</v>
      </c>
      <c r="K577" s="74">
        <v>706.77</v>
      </c>
      <c r="L577" s="72">
        <v>0</v>
      </c>
      <c r="M577" s="72">
        <v>0</v>
      </c>
      <c r="N577" s="72">
        <f>IF(AND(C577="",J577=0,K577=0,L577=0,M577=0),"",CADASTROS!$B$4+SUM($J$2:J577)+SUM($M$2:M577)-SUM($K$2:K577)-SUM($L$2:L577))</f>
        <v>20810.860000002198</v>
      </c>
      <c r="O577" s="72">
        <f>IF(A577="","",SUMIF(RATEIOS!$A$2:$A$3142,$A577,RATEIOS!$F$2:$F$3142))</f>
        <v>706.77</v>
      </c>
      <c r="P577" s="15">
        <f t="shared" si="17"/>
        <v>0</v>
      </c>
      <c r="Q577" s="49" t="str">
        <f>IF(AND(J577=0,K577=0,L577=0,M577=0),"",IF(O577=0,"PENDENTE DE RATEIO",IF(ABS(P577)&gt;0.005,"DIVERGÊNCIA",IF(COUNTIF(RATEIOS!$A$2:$A$3142,$A577)-COUNTIFS(RATEIOS!$A$2:$A$3142,$A577,RATEIOS!$D$2:$D$3142,"&lt;&gt;")&gt;0,"NÃO CLASSIFICADO","RATEIO OK"))))</f>
        <v>RATEIO OK</v>
      </c>
      <c r="R577" s="49" t="s">
        <v>2553</v>
      </c>
      <c r="S577" s="14"/>
    </row>
    <row r="578" spans="1:19" ht="24.95" customHeight="1" x14ac:dyDescent="0.25">
      <c r="A578" s="49" t="s">
        <v>2037</v>
      </c>
      <c r="B578" s="98">
        <v>577</v>
      </c>
      <c r="C578" s="50">
        <v>46178</v>
      </c>
      <c r="D578" s="49">
        <f t="shared" ref="D578:D641" si="18">IF(C578="","",MONTH(C578))</f>
        <v>6</v>
      </c>
      <c r="E578" s="92" t="s">
        <v>2556</v>
      </c>
      <c r="F578" s="49" t="s">
        <v>36</v>
      </c>
      <c r="G578" s="14" t="s">
        <v>276</v>
      </c>
      <c r="H578" s="14" t="s">
        <v>277</v>
      </c>
      <c r="I578" s="76" t="s">
        <v>412</v>
      </c>
      <c r="J578" s="73">
        <v>0</v>
      </c>
      <c r="K578" s="74">
        <v>40.25</v>
      </c>
      <c r="L578" s="72">
        <v>0</v>
      </c>
      <c r="M578" s="72">
        <v>0</v>
      </c>
      <c r="N578" s="72">
        <f>IF(AND(C578="",J578=0,K578=0,L578=0,M578=0),"",CADASTROS!$B$4+SUM($J$2:J578)+SUM($M$2:M578)-SUM($K$2:K578)-SUM($L$2:L578))</f>
        <v>20770.610000002198</v>
      </c>
      <c r="O578" s="72">
        <f>IF(A578="","",SUMIF(RATEIOS!$A$2:$A$3142,$A578,RATEIOS!$F$2:$F$3142))</f>
        <v>40.25</v>
      </c>
      <c r="P578" s="15">
        <f t="shared" ref="P578:P641" si="19">IF(A578="","",(J578+K578+L578+M578)-O578)</f>
        <v>0</v>
      </c>
      <c r="Q578" s="49" t="str">
        <f>IF(AND(J578=0,K578=0,L578=0,M578=0),"",IF(O578=0,"PENDENTE DE RATEIO",IF(ABS(P578)&gt;0.005,"DIVERGÊNCIA",IF(COUNTIF(RATEIOS!$A$2:$A$3142,$A578)-COUNTIFS(RATEIOS!$A$2:$A$3142,$A578,RATEIOS!$D$2:$D$3142,"&lt;&gt;")&gt;0,"NÃO CLASSIFICADO","RATEIO OK"))))</f>
        <v>RATEIO OK</v>
      </c>
      <c r="R578" s="49" t="s">
        <v>2553</v>
      </c>
      <c r="S578" s="14"/>
    </row>
    <row r="579" spans="1:19" ht="24.95" customHeight="1" x14ac:dyDescent="0.25">
      <c r="A579" s="49" t="s">
        <v>2038</v>
      </c>
      <c r="B579" s="98">
        <v>578</v>
      </c>
      <c r="C579" s="50">
        <v>46181</v>
      </c>
      <c r="D579" s="49">
        <f t="shared" si="18"/>
        <v>6</v>
      </c>
      <c r="E579" s="92" t="s">
        <v>287</v>
      </c>
      <c r="F579" s="49" t="s">
        <v>35</v>
      </c>
      <c r="G579" s="14" t="s">
        <v>894</v>
      </c>
      <c r="H579" s="14" t="s">
        <v>2736</v>
      </c>
      <c r="I579" s="76" t="s">
        <v>412</v>
      </c>
      <c r="J579" s="73">
        <v>525686.4</v>
      </c>
      <c r="K579" s="74">
        <v>0</v>
      </c>
      <c r="L579" s="72">
        <v>0</v>
      </c>
      <c r="M579" s="72">
        <v>0</v>
      </c>
      <c r="N579" s="72">
        <f>IF(AND(C579="",J579=0,K579=0,L579=0,M579=0),"",CADASTROS!$B$4+SUM($J$2:J579)+SUM($M$2:M579)-SUM($K$2:K579)-SUM($L$2:L579))</f>
        <v>546457.01000000257</v>
      </c>
      <c r="O579" s="72">
        <f>IF(A579="","",SUMIF(RATEIOS!$A$2:$A$3142,$A579,RATEIOS!$F$2:$F$3142))</f>
        <v>525686.4</v>
      </c>
      <c r="P579" s="15">
        <f t="shared" si="19"/>
        <v>0</v>
      </c>
      <c r="Q579" s="49" t="str">
        <f>IF(AND(J579=0,K579=0,L579=0,M579=0),"",IF(O579=0,"PENDENTE DE RATEIO",IF(ABS(P579)&gt;0.005,"DIVERGÊNCIA",IF(COUNTIF(RATEIOS!$A$2:$A$3142,$A579)-COUNTIFS(RATEIOS!$A$2:$A$3142,$A579,RATEIOS!$D$2:$D$3142,"&lt;&gt;")&gt;0,"NÃO CLASSIFICADO","RATEIO OK"))))</f>
        <v>RATEIO OK</v>
      </c>
      <c r="R579" s="49" t="s">
        <v>2553</v>
      </c>
      <c r="S579" s="14"/>
    </row>
    <row r="580" spans="1:19" ht="24.95" customHeight="1" x14ac:dyDescent="0.25">
      <c r="A580" s="49" t="s">
        <v>2039</v>
      </c>
      <c r="B580" s="98">
        <v>579</v>
      </c>
      <c r="C580" s="50">
        <v>46181</v>
      </c>
      <c r="D580" s="49">
        <f t="shared" si="18"/>
        <v>6</v>
      </c>
      <c r="E580" s="92" t="s">
        <v>287</v>
      </c>
      <c r="F580" s="49" t="s">
        <v>36</v>
      </c>
      <c r="G580" s="14" t="s">
        <v>895</v>
      </c>
      <c r="H580" s="14" t="s">
        <v>712</v>
      </c>
      <c r="I580" s="76" t="s">
        <v>412</v>
      </c>
      <c r="J580" s="73">
        <v>0</v>
      </c>
      <c r="K580" s="74">
        <v>8000</v>
      </c>
      <c r="L580" s="72">
        <v>0</v>
      </c>
      <c r="M580" s="72">
        <v>0</v>
      </c>
      <c r="N580" s="72">
        <f>IF(AND(C580="",J580=0,K580=0,L580=0,M580=0),"",CADASTROS!$B$4+SUM($J$2:J580)+SUM($M$2:M580)-SUM($K$2:K580)-SUM($L$2:L580))</f>
        <v>538457.01000000257</v>
      </c>
      <c r="O580" s="72">
        <f>IF(A580="","",SUMIF(RATEIOS!$A$2:$A$3142,$A580,RATEIOS!$F$2:$F$3142))</f>
        <v>8000</v>
      </c>
      <c r="P580" s="15">
        <f t="shared" si="19"/>
        <v>0</v>
      </c>
      <c r="Q580" s="49" t="str">
        <f>IF(AND(J580=0,K580=0,L580=0,M580=0),"",IF(O580=0,"PENDENTE DE RATEIO",IF(ABS(P580)&gt;0.005,"DIVERGÊNCIA",IF(COUNTIF(RATEIOS!$A$2:$A$3142,$A580)-COUNTIFS(RATEIOS!$A$2:$A$3142,$A580,RATEIOS!$D$2:$D$3142,"&lt;&gt;")&gt;0,"NÃO CLASSIFICADO","RATEIO OK"))))</f>
        <v>RATEIO OK</v>
      </c>
      <c r="R580" s="49" t="s">
        <v>2553</v>
      </c>
      <c r="S580" s="14"/>
    </row>
    <row r="581" spans="1:19" ht="24.95" customHeight="1" x14ac:dyDescent="0.25">
      <c r="A581" s="49" t="s">
        <v>2040</v>
      </c>
      <c r="B581" s="98">
        <v>580</v>
      </c>
      <c r="C581" s="50">
        <v>46181</v>
      </c>
      <c r="D581" s="49">
        <f t="shared" si="18"/>
        <v>6</v>
      </c>
      <c r="E581" s="92" t="s">
        <v>287</v>
      </c>
      <c r="F581" s="49" t="s">
        <v>36</v>
      </c>
      <c r="G581" s="14" t="s">
        <v>896</v>
      </c>
      <c r="H581" s="14" t="s">
        <v>703</v>
      </c>
      <c r="I581" s="76" t="s">
        <v>412</v>
      </c>
      <c r="J581" s="73">
        <v>0</v>
      </c>
      <c r="K581" s="74">
        <v>9621</v>
      </c>
      <c r="L581" s="72">
        <v>0</v>
      </c>
      <c r="M581" s="72">
        <v>0</v>
      </c>
      <c r="N581" s="72">
        <f>IF(AND(C581="",J581=0,K581=0,L581=0,M581=0),"",CADASTROS!$B$4+SUM($J$2:J581)+SUM($M$2:M581)-SUM($K$2:K581)-SUM($L$2:L581))</f>
        <v>528836.01000000257</v>
      </c>
      <c r="O581" s="72">
        <f>IF(A581="","",SUMIF(RATEIOS!$A$2:$A$3142,$A581,RATEIOS!$F$2:$F$3142))</f>
        <v>9621</v>
      </c>
      <c r="P581" s="15">
        <f t="shared" si="19"/>
        <v>0</v>
      </c>
      <c r="Q581" s="49" t="str">
        <f>IF(AND(J581=0,K581=0,L581=0,M581=0),"",IF(O581=0,"PENDENTE DE RATEIO",IF(ABS(P581)&gt;0.005,"DIVERGÊNCIA",IF(COUNTIF(RATEIOS!$A$2:$A$3142,$A581)-COUNTIFS(RATEIOS!$A$2:$A$3142,$A581,RATEIOS!$D$2:$D$3142,"&lt;&gt;")&gt;0,"NÃO CLASSIFICADO","RATEIO OK"))))</f>
        <v>RATEIO OK</v>
      </c>
      <c r="R581" s="49" t="s">
        <v>2553</v>
      </c>
      <c r="S581" s="14"/>
    </row>
    <row r="582" spans="1:19" ht="24.95" customHeight="1" x14ac:dyDescent="0.25">
      <c r="A582" s="49" t="s">
        <v>2041</v>
      </c>
      <c r="B582" s="98">
        <v>581</v>
      </c>
      <c r="C582" s="50">
        <v>46181</v>
      </c>
      <c r="D582" s="49">
        <f t="shared" si="18"/>
        <v>6</v>
      </c>
      <c r="E582" s="92" t="s">
        <v>287</v>
      </c>
      <c r="F582" s="49" t="s">
        <v>36</v>
      </c>
      <c r="G582" s="14" t="s">
        <v>897</v>
      </c>
      <c r="H582" s="14" t="s">
        <v>417</v>
      </c>
      <c r="I582" s="76" t="s">
        <v>412</v>
      </c>
      <c r="J582" s="73">
        <v>0</v>
      </c>
      <c r="K582" s="74">
        <v>15500</v>
      </c>
      <c r="L582" s="72">
        <v>0</v>
      </c>
      <c r="M582" s="72">
        <v>0</v>
      </c>
      <c r="N582" s="72">
        <f>IF(AND(C582="",J582=0,K582=0,L582=0,M582=0),"",CADASTROS!$B$4+SUM($J$2:J582)+SUM($M$2:M582)-SUM($K$2:K582)-SUM($L$2:L582))</f>
        <v>513336.01000000257</v>
      </c>
      <c r="O582" s="72">
        <f>IF(A582="","",SUMIF(RATEIOS!$A$2:$A$3142,$A582,RATEIOS!$F$2:$F$3142))</f>
        <v>15500</v>
      </c>
      <c r="P582" s="15">
        <f t="shared" si="19"/>
        <v>0</v>
      </c>
      <c r="Q582" s="49" t="str">
        <f>IF(AND(J582=0,K582=0,L582=0,M582=0),"",IF(O582=0,"PENDENTE DE RATEIO",IF(ABS(P582)&gt;0.005,"DIVERGÊNCIA",IF(COUNTIF(RATEIOS!$A$2:$A$3142,$A582)-COUNTIFS(RATEIOS!$A$2:$A$3142,$A582,RATEIOS!$D$2:$D$3142,"&lt;&gt;")&gt;0,"NÃO CLASSIFICADO","RATEIO OK"))))</f>
        <v>RATEIO OK</v>
      </c>
      <c r="R582" s="49" t="s">
        <v>2553</v>
      </c>
      <c r="S582" s="14" t="s">
        <v>3004</v>
      </c>
    </row>
    <row r="583" spans="1:19" ht="24.95" customHeight="1" x14ac:dyDescent="0.25">
      <c r="A583" s="49" t="s">
        <v>2042</v>
      </c>
      <c r="B583" s="98">
        <v>582</v>
      </c>
      <c r="C583" s="50">
        <v>46181</v>
      </c>
      <c r="D583" s="49">
        <f t="shared" si="18"/>
        <v>6</v>
      </c>
      <c r="E583" s="92" t="s">
        <v>287</v>
      </c>
      <c r="F583" s="49" t="s">
        <v>36</v>
      </c>
      <c r="G583" s="14" t="s">
        <v>898</v>
      </c>
      <c r="H583" s="14" t="s">
        <v>411</v>
      </c>
      <c r="I583" s="76" t="s">
        <v>412</v>
      </c>
      <c r="J583" s="73">
        <v>0</v>
      </c>
      <c r="K583" s="74">
        <v>17000</v>
      </c>
      <c r="L583" s="72">
        <v>0</v>
      </c>
      <c r="M583" s="72">
        <v>0</v>
      </c>
      <c r="N583" s="72">
        <f>IF(AND(C583="",J583=0,K583=0,L583=0,M583=0),"",CADASTROS!$B$4+SUM($J$2:J583)+SUM($M$2:M583)-SUM($K$2:K583)-SUM($L$2:L583))</f>
        <v>496336.01000000257</v>
      </c>
      <c r="O583" s="72">
        <f>IF(A583="","",SUMIF(RATEIOS!$A$2:$A$3142,$A583,RATEIOS!$F$2:$F$3142))</f>
        <v>17000</v>
      </c>
      <c r="P583" s="15">
        <f t="shared" si="19"/>
        <v>0</v>
      </c>
      <c r="Q583" s="49" t="str">
        <f>IF(AND(J583=0,K583=0,L583=0,M583=0),"",IF(O583=0,"PENDENTE DE RATEIO",IF(ABS(P583)&gt;0.005,"DIVERGÊNCIA",IF(COUNTIF(RATEIOS!$A$2:$A$3142,$A583)-COUNTIFS(RATEIOS!$A$2:$A$3142,$A583,RATEIOS!$D$2:$D$3142,"&lt;&gt;")&gt;0,"NÃO CLASSIFICADO","RATEIO OK"))))</f>
        <v>RATEIO OK</v>
      </c>
      <c r="R583" s="49" t="s">
        <v>2553</v>
      </c>
      <c r="S583" s="14" t="s">
        <v>899</v>
      </c>
    </row>
    <row r="584" spans="1:19" ht="24.95" customHeight="1" x14ac:dyDescent="0.25">
      <c r="A584" s="49" t="s">
        <v>2043</v>
      </c>
      <c r="B584" s="98">
        <v>583</v>
      </c>
      <c r="C584" s="50">
        <v>46181</v>
      </c>
      <c r="D584" s="49">
        <f t="shared" si="18"/>
        <v>6</v>
      </c>
      <c r="E584" s="92" t="s">
        <v>287</v>
      </c>
      <c r="F584" s="49" t="s">
        <v>36</v>
      </c>
      <c r="G584" s="14" t="s">
        <v>900</v>
      </c>
      <c r="H584" s="14" t="s">
        <v>755</v>
      </c>
      <c r="I584" s="76" t="s">
        <v>412</v>
      </c>
      <c r="J584" s="73">
        <v>0</v>
      </c>
      <c r="K584" s="74">
        <v>4000</v>
      </c>
      <c r="L584" s="72">
        <v>0</v>
      </c>
      <c r="M584" s="72">
        <v>0</v>
      </c>
      <c r="N584" s="72">
        <f>IF(AND(C584="",J584=0,K584=0,L584=0,M584=0),"",CADASTROS!$B$4+SUM($J$2:J584)+SUM($M$2:M584)-SUM($K$2:K584)-SUM($L$2:L584))</f>
        <v>492336.01000000257</v>
      </c>
      <c r="O584" s="72">
        <f>IF(A584="","",SUMIF(RATEIOS!$A$2:$A$3142,$A584,RATEIOS!$F$2:$F$3142))</f>
        <v>4000</v>
      </c>
      <c r="P584" s="15">
        <f t="shared" si="19"/>
        <v>0</v>
      </c>
      <c r="Q584" s="49" t="str">
        <f>IF(AND(J584=0,K584=0,L584=0,M584=0),"",IF(O584=0,"PENDENTE DE RATEIO",IF(ABS(P584)&gt;0.005,"DIVERGÊNCIA",IF(COUNTIF(RATEIOS!$A$2:$A$3142,$A584)-COUNTIFS(RATEIOS!$A$2:$A$3142,$A584,RATEIOS!$D$2:$D$3142,"&lt;&gt;")&gt;0,"NÃO CLASSIFICADO","RATEIO OK"))))</f>
        <v>RATEIO OK</v>
      </c>
      <c r="R584" s="49" t="s">
        <v>2553</v>
      </c>
      <c r="S584" s="14"/>
    </row>
    <row r="585" spans="1:19" ht="24.95" customHeight="1" x14ac:dyDescent="0.25">
      <c r="A585" s="49" t="s">
        <v>2044</v>
      </c>
      <c r="B585" s="98">
        <v>584</v>
      </c>
      <c r="C585" s="50">
        <v>46181</v>
      </c>
      <c r="D585" s="49">
        <f t="shared" si="18"/>
        <v>6</v>
      </c>
      <c r="E585" s="92" t="s">
        <v>287</v>
      </c>
      <c r="F585" s="49" t="s">
        <v>36</v>
      </c>
      <c r="G585" s="14" t="s">
        <v>901</v>
      </c>
      <c r="H585" s="14" t="s">
        <v>743</v>
      </c>
      <c r="I585" s="76" t="s">
        <v>412</v>
      </c>
      <c r="J585" s="73">
        <v>0</v>
      </c>
      <c r="K585" s="74">
        <v>9000</v>
      </c>
      <c r="L585" s="72">
        <v>0</v>
      </c>
      <c r="M585" s="72">
        <v>0</v>
      </c>
      <c r="N585" s="72">
        <f>IF(AND(C585="",J585=0,K585=0,L585=0,M585=0),"",CADASTROS!$B$4+SUM($J$2:J585)+SUM($M$2:M585)-SUM($K$2:K585)-SUM($L$2:L585))</f>
        <v>483336.01000000257</v>
      </c>
      <c r="O585" s="72">
        <f>IF(A585="","",SUMIF(RATEIOS!$A$2:$A$3142,$A585,RATEIOS!$F$2:$F$3142))</f>
        <v>9000</v>
      </c>
      <c r="P585" s="15">
        <f t="shared" si="19"/>
        <v>0</v>
      </c>
      <c r="Q585" s="49" t="str">
        <f>IF(AND(J585=0,K585=0,L585=0,M585=0),"",IF(O585=0,"PENDENTE DE RATEIO",IF(ABS(P585)&gt;0.005,"DIVERGÊNCIA",IF(COUNTIF(RATEIOS!$A$2:$A$3142,$A585)-COUNTIFS(RATEIOS!$A$2:$A$3142,$A585,RATEIOS!$D$2:$D$3142,"&lt;&gt;")&gt;0,"NÃO CLASSIFICADO","RATEIO OK"))))</f>
        <v>RATEIO OK</v>
      </c>
      <c r="R585" s="49" t="s">
        <v>2553</v>
      </c>
      <c r="S585" s="14" t="s">
        <v>3011</v>
      </c>
    </row>
    <row r="586" spans="1:19" ht="24.95" customHeight="1" x14ac:dyDescent="0.25">
      <c r="A586" s="49" t="s">
        <v>2045</v>
      </c>
      <c r="B586" s="98">
        <v>585</v>
      </c>
      <c r="C586" s="50">
        <v>46181</v>
      </c>
      <c r="D586" s="49">
        <f t="shared" si="18"/>
        <v>6</v>
      </c>
      <c r="E586" s="92" t="s">
        <v>287</v>
      </c>
      <c r="F586" s="49" t="s">
        <v>36</v>
      </c>
      <c r="G586" s="14" t="s">
        <v>902</v>
      </c>
      <c r="H586" s="14" t="s">
        <v>337</v>
      </c>
      <c r="I586" s="76" t="s">
        <v>412</v>
      </c>
      <c r="J586" s="73">
        <v>0</v>
      </c>
      <c r="K586" s="74">
        <v>9000</v>
      </c>
      <c r="L586" s="72">
        <v>0</v>
      </c>
      <c r="M586" s="72">
        <v>0</v>
      </c>
      <c r="N586" s="72">
        <f>IF(AND(C586="",J586=0,K586=0,L586=0,M586=0),"",CADASTROS!$B$4+SUM($J$2:J586)+SUM($M$2:M586)-SUM($K$2:K586)-SUM($L$2:L586))</f>
        <v>474336.01000000257</v>
      </c>
      <c r="O586" s="72">
        <f>IF(A586="","",SUMIF(RATEIOS!$A$2:$A$3142,$A586,RATEIOS!$F$2:$F$3142))</f>
        <v>9000</v>
      </c>
      <c r="P586" s="15">
        <f t="shared" si="19"/>
        <v>0</v>
      </c>
      <c r="Q586" s="49" t="str">
        <f>IF(AND(J586=0,K586=0,L586=0,M586=0),"",IF(O586=0,"PENDENTE DE RATEIO",IF(ABS(P586)&gt;0.005,"DIVERGÊNCIA",IF(COUNTIF(RATEIOS!$A$2:$A$3142,$A586)-COUNTIFS(RATEIOS!$A$2:$A$3142,$A586,RATEIOS!$D$2:$D$3142,"&lt;&gt;")&gt;0,"NÃO CLASSIFICADO","RATEIO OK"))))</f>
        <v>RATEIO OK</v>
      </c>
      <c r="R586" s="49" t="s">
        <v>2553</v>
      </c>
      <c r="S586" s="14" t="s">
        <v>3011</v>
      </c>
    </row>
    <row r="587" spans="1:19" ht="24.95" customHeight="1" x14ac:dyDescent="0.25">
      <c r="A587" s="49" t="s">
        <v>2049</v>
      </c>
      <c r="B587" s="98">
        <v>586</v>
      </c>
      <c r="C587" s="50">
        <v>46181</v>
      </c>
      <c r="D587" s="49">
        <f t="shared" si="18"/>
        <v>6</v>
      </c>
      <c r="E587" s="92" t="s">
        <v>287</v>
      </c>
      <c r="F587" s="49" t="s">
        <v>36</v>
      </c>
      <c r="G587" s="14" t="s">
        <v>903</v>
      </c>
      <c r="H587" s="14" t="s">
        <v>349</v>
      </c>
      <c r="I587" s="76" t="s">
        <v>412</v>
      </c>
      <c r="J587" s="73">
        <v>0</v>
      </c>
      <c r="K587" s="74">
        <v>18742</v>
      </c>
      <c r="L587" s="72">
        <v>0</v>
      </c>
      <c r="M587" s="72">
        <v>0</v>
      </c>
      <c r="N587" s="72">
        <f>IF(AND(C587="",J587=0,K587=0,L587=0,M587=0),"",CADASTROS!$B$4+SUM($J$2:J587)+SUM($M$2:M587)-SUM($K$2:K587)-SUM($L$2:L587))</f>
        <v>455594.01000000257</v>
      </c>
      <c r="O587" s="72">
        <f>IF(A587="","",SUMIF(RATEIOS!$A$2:$A$3142,$A587,RATEIOS!$F$2:$F$3142))</f>
        <v>18742</v>
      </c>
      <c r="P587" s="15">
        <f t="shared" si="19"/>
        <v>0</v>
      </c>
      <c r="Q587" s="49" t="str">
        <f>IF(AND(J587=0,K587=0,L587=0,M587=0),"",IF(O587=0,"PENDENTE DE RATEIO",IF(ABS(P587)&gt;0.005,"DIVERGÊNCIA",IF(COUNTIF(RATEIOS!$A$2:$A$3142,$A587)-COUNTIFS(RATEIOS!$A$2:$A$3142,$A587,RATEIOS!$D$2:$D$3142,"&lt;&gt;")&gt;0,"NÃO CLASSIFICADO","RATEIO OK"))))</f>
        <v>RATEIO OK</v>
      </c>
      <c r="R587" s="49" t="s">
        <v>2553</v>
      </c>
      <c r="S587" s="14" t="s">
        <v>3004</v>
      </c>
    </row>
    <row r="588" spans="1:19" ht="24.95" customHeight="1" x14ac:dyDescent="0.25">
      <c r="A588" s="49" t="s">
        <v>2052</v>
      </c>
      <c r="B588" s="98">
        <v>587</v>
      </c>
      <c r="C588" s="50">
        <v>46181</v>
      </c>
      <c r="D588" s="49">
        <f t="shared" si="18"/>
        <v>6</v>
      </c>
      <c r="E588" s="92" t="s">
        <v>287</v>
      </c>
      <c r="F588" s="49" t="s">
        <v>36</v>
      </c>
      <c r="G588" s="14" t="s">
        <v>904</v>
      </c>
      <c r="H588" s="14" t="s">
        <v>758</v>
      </c>
      <c r="I588" s="76" t="s">
        <v>412</v>
      </c>
      <c r="J588" s="73">
        <v>0</v>
      </c>
      <c r="K588" s="74">
        <v>4000</v>
      </c>
      <c r="L588" s="72">
        <v>0</v>
      </c>
      <c r="M588" s="72">
        <v>0</v>
      </c>
      <c r="N588" s="72">
        <f>IF(AND(C588="",J588=0,K588=0,L588=0,M588=0),"",CADASTROS!$B$4+SUM($J$2:J588)+SUM($M$2:M588)-SUM($K$2:K588)-SUM($L$2:L588))</f>
        <v>451594.01000000257</v>
      </c>
      <c r="O588" s="72">
        <f>IF(A588="","",SUMIF(RATEIOS!$A$2:$A$3142,$A588,RATEIOS!$F$2:$F$3142))</f>
        <v>4000</v>
      </c>
      <c r="P588" s="15">
        <f t="shared" si="19"/>
        <v>0</v>
      </c>
      <c r="Q588" s="49" t="str">
        <f>IF(AND(J588=0,K588=0,L588=0,M588=0),"",IF(O588=0,"PENDENTE DE RATEIO",IF(ABS(P588)&gt;0.005,"DIVERGÊNCIA",IF(COUNTIF(RATEIOS!$A$2:$A$3142,$A588)-COUNTIFS(RATEIOS!$A$2:$A$3142,$A588,RATEIOS!$D$2:$D$3142,"&lt;&gt;")&gt;0,"NÃO CLASSIFICADO","RATEIO OK"))))</f>
        <v>RATEIO OK</v>
      </c>
      <c r="R588" s="49" t="s">
        <v>2553</v>
      </c>
      <c r="S588" s="14"/>
    </row>
    <row r="589" spans="1:19" ht="24.95" customHeight="1" x14ac:dyDescent="0.25">
      <c r="A589" s="49" t="s">
        <v>2055</v>
      </c>
      <c r="B589" s="98">
        <v>588</v>
      </c>
      <c r="C589" s="50">
        <v>46181</v>
      </c>
      <c r="D589" s="49">
        <f t="shared" si="18"/>
        <v>6</v>
      </c>
      <c r="E589" s="92" t="s">
        <v>287</v>
      </c>
      <c r="F589" s="49" t="s">
        <v>36</v>
      </c>
      <c r="G589" s="14" t="s">
        <v>905</v>
      </c>
      <c r="H589" s="14" t="s">
        <v>2942</v>
      </c>
      <c r="I589" s="76" t="s">
        <v>906</v>
      </c>
      <c r="J589" s="73">
        <v>0</v>
      </c>
      <c r="K589" s="74">
        <v>5859.6</v>
      </c>
      <c r="L589" s="72">
        <v>0</v>
      </c>
      <c r="M589" s="72">
        <v>0</v>
      </c>
      <c r="N589" s="72">
        <f>IF(AND(C589="",J589=0,K589=0,L589=0,M589=0),"",CADASTROS!$B$4+SUM($J$2:J589)+SUM($M$2:M589)-SUM($K$2:K589)-SUM($L$2:L589))</f>
        <v>445734.41000000248</v>
      </c>
      <c r="O589" s="72">
        <f>IF(A589="","",SUMIF(RATEIOS!$A$2:$A$3142,$A589,RATEIOS!$F$2:$F$3142))</f>
        <v>5859.6</v>
      </c>
      <c r="P589" s="15">
        <f t="shared" si="19"/>
        <v>0</v>
      </c>
      <c r="Q589" s="49" t="str">
        <f>IF(AND(J589=0,K589=0,L589=0,M589=0),"",IF(O589=0,"PENDENTE DE RATEIO",IF(ABS(P589)&gt;0.005,"DIVERGÊNCIA",IF(COUNTIF(RATEIOS!$A$2:$A$3142,$A589)-COUNTIFS(RATEIOS!$A$2:$A$3142,$A589,RATEIOS!$D$2:$D$3142,"&lt;&gt;")&gt;0,"NÃO CLASSIFICADO","RATEIO OK"))))</f>
        <v>RATEIO OK</v>
      </c>
      <c r="R589" s="49" t="s">
        <v>2553</v>
      </c>
      <c r="S589" s="14"/>
    </row>
    <row r="590" spans="1:19" ht="24.95" customHeight="1" x14ac:dyDescent="0.25">
      <c r="A590" s="49" t="s">
        <v>2056</v>
      </c>
      <c r="B590" s="98">
        <v>589</v>
      </c>
      <c r="C590" s="50">
        <v>46181</v>
      </c>
      <c r="D590" s="49">
        <f t="shared" si="18"/>
        <v>6</v>
      </c>
      <c r="E590" s="92" t="s">
        <v>118</v>
      </c>
      <c r="F590" s="49" t="s">
        <v>36</v>
      </c>
      <c r="G590" s="14" t="s">
        <v>390</v>
      </c>
      <c r="H590" s="14" t="s">
        <v>191</v>
      </c>
      <c r="I590" s="76" t="s">
        <v>704</v>
      </c>
      <c r="J590" s="73">
        <v>0</v>
      </c>
      <c r="K590" s="74">
        <v>2873.02</v>
      </c>
      <c r="L590" s="72">
        <v>0</v>
      </c>
      <c r="M590" s="72">
        <v>0</v>
      </c>
      <c r="N590" s="72">
        <f>IF(AND(C590="",J590=0,K590=0,L590=0,M590=0),"",CADASTROS!$B$4+SUM($J$2:J590)+SUM($M$2:M590)-SUM($K$2:K590)-SUM($L$2:L590))</f>
        <v>442861.39000000246</v>
      </c>
      <c r="O590" s="72">
        <f>IF(A590="","",SUMIF(RATEIOS!$A$2:$A$3142,$A590,RATEIOS!$F$2:$F$3142))</f>
        <v>2873.02</v>
      </c>
      <c r="P590" s="15">
        <f t="shared" si="19"/>
        <v>0</v>
      </c>
      <c r="Q590" s="49" t="str">
        <f>IF(AND(J590=0,K590=0,L590=0,M590=0),"",IF(O590=0,"PENDENTE DE RATEIO",IF(ABS(P590)&gt;0.005,"DIVERGÊNCIA",IF(COUNTIF(RATEIOS!$A$2:$A$3142,$A590)-COUNTIFS(RATEIOS!$A$2:$A$3142,$A590,RATEIOS!$D$2:$D$3142,"&lt;&gt;")&gt;0,"NÃO CLASSIFICADO","RATEIO OK"))))</f>
        <v>RATEIO OK</v>
      </c>
      <c r="R590" s="49" t="s">
        <v>2553</v>
      </c>
      <c r="S590" s="14"/>
    </row>
    <row r="591" spans="1:19" ht="24.95" customHeight="1" x14ac:dyDescent="0.25">
      <c r="A591" s="49" t="s">
        <v>2059</v>
      </c>
      <c r="B591" s="98">
        <v>590</v>
      </c>
      <c r="C591" s="50">
        <v>46181</v>
      </c>
      <c r="D591" s="49">
        <f t="shared" si="18"/>
        <v>6</v>
      </c>
      <c r="E591" s="92" t="s">
        <v>118</v>
      </c>
      <c r="F591" s="49" t="s">
        <v>36</v>
      </c>
      <c r="G591" s="14" t="s">
        <v>907</v>
      </c>
      <c r="H591" s="14" t="s">
        <v>92</v>
      </c>
      <c r="I591" s="76" t="s">
        <v>93</v>
      </c>
      <c r="J591" s="73">
        <v>0</v>
      </c>
      <c r="K591" s="74">
        <v>1935.4</v>
      </c>
      <c r="L591" s="72">
        <v>0</v>
      </c>
      <c r="M591" s="72">
        <v>0</v>
      </c>
      <c r="N591" s="72">
        <f>IF(AND(C591="",J591=0,K591=0,L591=0,M591=0),"",CADASTROS!$B$4+SUM($J$2:J591)+SUM($M$2:M591)-SUM($K$2:K591)-SUM($L$2:L591))</f>
        <v>440925.99000000255</v>
      </c>
      <c r="O591" s="72">
        <f>IF(A591="","",SUMIF(RATEIOS!$A$2:$A$3142,$A591,RATEIOS!$F$2:$F$3142))</f>
        <v>1935.4</v>
      </c>
      <c r="P591" s="15">
        <f t="shared" si="19"/>
        <v>0</v>
      </c>
      <c r="Q591" s="49" t="str">
        <f>IF(AND(J591=0,K591=0,L591=0,M591=0),"",IF(O591=0,"PENDENTE DE RATEIO",IF(ABS(P591)&gt;0.005,"DIVERGÊNCIA",IF(COUNTIF(RATEIOS!$A$2:$A$3142,$A591)-COUNTIFS(RATEIOS!$A$2:$A$3142,$A591,RATEIOS!$D$2:$D$3142,"&lt;&gt;")&gt;0,"NÃO CLASSIFICADO","RATEIO OK"))))</f>
        <v>RATEIO OK</v>
      </c>
      <c r="R591" s="49" t="s">
        <v>2553</v>
      </c>
      <c r="S591" s="14"/>
    </row>
    <row r="592" spans="1:19" ht="24.95" customHeight="1" x14ac:dyDescent="0.25">
      <c r="A592" s="49" t="s">
        <v>2062</v>
      </c>
      <c r="B592" s="98">
        <v>591</v>
      </c>
      <c r="C592" s="50">
        <v>46181</v>
      </c>
      <c r="D592" s="49">
        <f t="shared" si="18"/>
        <v>6</v>
      </c>
      <c r="E592" s="92" t="s">
        <v>118</v>
      </c>
      <c r="F592" s="49" t="s">
        <v>36</v>
      </c>
      <c r="G592" s="14" t="s">
        <v>908</v>
      </c>
      <c r="H592" s="14" t="s">
        <v>191</v>
      </c>
      <c r="I592" s="76" t="s">
        <v>707</v>
      </c>
      <c r="J592" s="73">
        <v>0</v>
      </c>
      <c r="K592" s="74">
        <v>2448.11</v>
      </c>
      <c r="L592" s="72">
        <v>0</v>
      </c>
      <c r="M592" s="72">
        <v>0</v>
      </c>
      <c r="N592" s="72">
        <f>IF(AND(C592="",J592=0,K592=0,L592=0,M592=0),"",CADASTROS!$B$4+SUM($J$2:J592)+SUM($M$2:M592)-SUM($K$2:K592)-SUM($L$2:L592))</f>
        <v>438477.88000000268</v>
      </c>
      <c r="O592" s="72">
        <f>IF(A592="","",SUMIF(RATEIOS!$A$2:$A$3142,$A592,RATEIOS!$F$2:$F$3142))</f>
        <v>2448.11</v>
      </c>
      <c r="P592" s="15">
        <f t="shared" si="19"/>
        <v>0</v>
      </c>
      <c r="Q592" s="49" t="str">
        <f>IF(AND(J592=0,K592=0,L592=0,M592=0),"",IF(O592=0,"PENDENTE DE RATEIO",IF(ABS(P592)&gt;0.005,"DIVERGÊNCIA",IF(COUNTIF(RATEIOS!$A$2:$A$3142,$A592)-COUNTIFS(RATEIOS!$A$2:$A$3142,$A592,RATEIOS!$D$2:$D$3142,"&lt;&gt;")&gt;0,"NÃO CLASSIFICADO","RATEIO OK"))))</f>
        <v>RATEIO OK</v>
      </c>
      <c r="R592" s="49" t="s">
        <v>2553</v>
      </c>
      <c r="S592" s="14"/>
    </row>
    <row r="593" spans="1:19" ht="24.95" customHeight="1" x14ac:dyDescent="0.25">
      <c r="A593" s="49" t="s">
        <v>2068</v>
      </c>
      <c r="B593" s="98">
        <v>592</v>
      </c>
      <c r="C593" s="50">
        <v>46182</v>
      </c>
      <c r="D593" s="49">
        <f t="shared" si="18"/>
        <v>6</v>
      </c>
      <c r="E593" s="92" t="s">
        <v>118</v>
      </c>
      <c r="F593" s="49" t="s">
        <v>36</v>
      </c>
      <c r="G593" s="14" t="s">
        <v>909</v>
      </c>
      <c r="H593" s="14" t="s">
        <v>143</v>
      </c>
      <c r="I593" s="76" t="s">
        <v>752</v>
      </c>
      <c r="J593" s="73">
        <v>0</v>
      </c>
      <c r="K593" s="74">
        <v>4771.5</v>
      </c>
      <c r="L593" s="72">
        <v>0</v>
      </c>
      <c r="M593" s="72">
        <v>0</v>
      </c>
      <c r="N593" s="72">
        <f>IF(AND(C593="",J593=0,K593=0,L593=0,M593=0),"",CADASTROS!$B$4+SUM($J$2:J593)+SUM($M$2:M593)-SUM($K$2:K593)-SUM($L$2:L593))</f>
        <v>433706.38000000268</v>
      </c>
      <c r="O593" s="72">
        <f>IF(A593="","",SUMIF(RATEIOS!$A$2:$A$3142,$A593,RATEIOS!$F$2:$F$3142))</f>
        <v>4771.5</v>
      </c>
      <c r="P593" s="15">
        <f t="shared" si="19"/>
        <v>0</v>
      </c>
      <c r="Q593" s="49" t="str">
        <f>IF(AND(J593=0,K593=0,L593=0,M593=0),"",IF(O593=0,"PENDENTE DE RATEIO",IF(ABS(P593)&gt;0.005,"DIVERGÊNCIA",IF(COUNTIF(RATEIOS!$A$2:$A$3142,$A593)-COUNTIFS(RATEIOS!$A$2:$A$3142,$A593,RATEIOS!$D$2:$D$3142,"&lt;&gt;")&gt;0,"NÃO CLASSIFICADO","RATEIO OK"))))</f>
        <v>RATEIO OK</v>
      </c>
      <c r="R593" s="49" t="s">
        <v>2553</v>
      </c>
      <c r="S593" s="14"/>
    </row>
    <row r="594" spans="1:19" ht="24.95" customHeight="1" x14ac:dyDescent="0.25">
      <c r="A594" s="49" t="s">
        <v>2069</v>
      </c>
      <c r="B594" s="98">
        <v>593</v>
      </c>
      <c r="C594" s="50">
        <v>46183</v>
      </c>
      <c r="D594" s="49">
        <f t="shared" si="18"/>
        <v>6</v>
      </c>
      <c r="E594" s="92" t="s">
        <v>287</v>
      </c>
      <c r="F594" s="49" t="s">
        <v>36</v>
      </c>
      <c r="G594" s="14" t="s">
        <v>910</v>
      </c>
      <c r="H594" s="14" t="s">
        <v>159</v>
      </c>
      <c r="I594" s="76" t="s">
        <v>911</v>
      </c>
      <c r="J594" s="73">
        <v>0</v>
      </c>
      <c r="K594" s="74">
        <v>4600</v>
      </c>
      <c r="L594" s="72">
        <v>0</v>
      </c>
      <c r="M594" s="72">
        <v>0</v>
      </c>
      <c r="N594" s="72">
        <f>IF(AND(C594="",J594=0,K594=0,L594=0,M594=0),"",CADASTROS!$B$4+SUM($J$2:J594)+SUM($M$2:M594)-SUM($K$2:K594)-SUM($L$2:L594))</f>
        <v>429106.38000000268</v>
      </c>
      <c r="O594" s="72">
        <f>IF(A594="","",SUMIF(RATEIOS!$A$2:$A$3142,$A594,RATEIOS!$F$2:$F$3142))</f>
        <v>4600</v>
      </c>
      <c r="P594" s="15">
        <f t="shared" si="19"/>
        <v>0</v>
      </c>
      <c r="Q594" s="49" t="str">
        <f>IF(AND(J594=0,K594=0,L594=0,M594=0),"",IF(O594=0,"PENDENTE DE RATEIO",IF(ABS(P594)&gt;0.005,"DIVERGÊNCIA",IF(COUNTIF(RATEIOS!$A$2:$A$3142,$A594)-COUNTIFS(RATEIOS!$A$2:$A$3142,$A594,RATEIOS!$D$2:$D$3142,"&lt;&gt;")&gt;0,"NÃO CLASSIFICADO","RATEIO OK"))))</f>
        <v>RATEIO OK</v>
      </c>
      <c r="R594" s="49" t="s">
        <v>2553</v>
      </c>
      <c r="S594" s="14"/>
    </row>
    <row r="595" spans="1:19" ht="24.95" customHeight="1" x14ac:dyDescent="0.25">
      <c r="A595" s="49" t="s">
        <v>2070</v>
      </c>
      <c r="B595" s="98">
        <v>594</v>
      </c>
      <c r="C595" s="50">
        <v>46183</v>
      </c>
      <c r="D595" s="49">
        <f t="shared" si="18"/>
        <v>6</v>
      </c>
      <c r="E595" s="92" t="s">
        <v>287</v>
      </c>
      <c r="F595" s="49" t="s">
        <v>36</v>
      </c>
      <c r="G595" s="14" t="s">
        <v>912</v>
      </c>
      <c r="H595" s="14" t="s">
        <v>2943</v>
      </c>
      <c r="I595" s="76" t="s">
        <v>2946</v>
      </c>
      <c r="J595" s="73">
        <v>0</v>
      </c>
      <c r="K595" s="74">
        <v>860</v>
      </c>
      <c r="L595" s="72">
        <v>0</v>
      </c>
      <c r="M595" s="72">
        <v>0</v>
      </c>
      <c r="N595" s="72">
        <f>IF(AND(C595="",J595=0,K595=0,L595=0,M595=0),"",CADASTROS!$B$4+SUM($J$2:J595)+SUM($M$2:M595)-SUM($K$2:K595)-SUM($L$2:L595))</f>
        <v>428246.38000000268</v>
      </c>
      <c r="O595" s="72">
        <f>IF(A595="","",SUMIF(RATEIOS!$A$2:$A$3142,$A595,RATEIOS!$F$2:$F$3142))</f>
        <v>860</v>
      </c>
      <c r="P595" s="15">
        <f t="shared" si="19"/>
        <v>0</v>
      </c>
      <c r="Q595" s="49" t="str">
        <f>IF(AND(J595=0,K595=0,L595=0,M595=0),"",IF(O595=0,"PENDENTE DE RATEIO",IF(ABS(P595)&gt;0.005,"DIVERGÊNCIA",IF(COUNTIF(RATEIOS!$A$2:$A$3142,$A595)-COUNTIFS(RATEIOS!$A$2:$A$3142,$A595,RATEIOS!$D$2:$D$3142,"&lt;&gt;")&gt;0,"NÃO CLASSIFICADO","RATEIO OK"))))</f>
        <v>RATEIO OK</v>
      </c>
      <c r="R595" s="49" t="s">
        <v>2553</v>
      </c>
      <c r="S595" s="14"/>
    </row>
    <row r="596" spans="1:19" ht="24.95" customHeight="1" x14ac:dyDescent="0.25">
      <c r="A596" s="49" t="s">
        <v>2071</v>
      </c>
      <c r="B596" s="98">
        <v>595</v>
      </c>
      <c r="C596" s="50">
        <v>46183</v>
      </c>
      <c r="D596" s="49">
        <f t="shared" si="18"/>
        <v>6</v>
      </c>
      <c r="E596" s="92" t="s">
        <v>287</v>
      </c>
      <c r="F596" s="49" t="s">
        <v>36</v>
      </c>
      <c r="G596" s="14" t="s">
        <v>913</v>
      </c>
      <c r="H596" s="14" t="s">
        <v>2943</v>
      </c>
      <c r="I596" s="76" t="s">
        <v>2947</v>
      </c>
      <c r="J596" s="73">
        <v>0</v>
      </c>
      <c r="K596" s="74">
        <v>860</v>
      </c>
      <c r="L596" s="72">
        <v>0</v>
      </c>
      <c r="M596" s="72">
        <v>0</v>
      </c>
      <c r="N596" s="72">
        <f>IF(AND(C596="",J596=0,K596=0,L596=0,M596=0),"",CADASTROS!$B$4+SUM($J$2:J596)+SUM($M$2:M596)-SUM($K$2:K596)-SUM($L$2:L596))</f>
        <v>427386.38000000268</v>
      </c>
      <c r="O596" s="72">
        <f>IF(A596="","",SUMIF(RATEIOS!$A$2:$A$3142,$A596,RATEIOS!$F$2:$F$3142))</f>
        <v>860</v>
      </c>
      <c r="P596" s="15">
        <f t="shared" si="19"/>
        <v>0</v>
      </c>
      <c r="Q596" s="49" t="str">
        <f>IF(AND(J596=0,K596=0,L596=0,M596=0),"",IF(O596=0,"PENDENTE DE RATEIO",IF(ABS(P596)&gt;0.005,"DIVERGÊNCIA",IF(COUNTIF(RATEIOS!$A$2:$A$3142,$A596)-COUNTIFS(RATEIOS!$A$2:$A$3142,$A596,RATEIOS!$D$2:$D$3142,"&lt;&gt;")&gt;0,"NÃO CLASSIFICADO","RATEIO OK"))))</f>
        <v>RATEIO OK</v>
      </c>
      <c r="R596" s="49" t="s">
        <v>2553</v>
      </c>
      <c r="S596" s="14"/>
    </row>
    <row r="597" spans="1:19" ht="24.95" customHeight="1" x14ac:dyDescent="0.25">
      <c r="A597" s="49" t="s">
        <v>2072</v>
      </c>
      <c r="B597" s="98">
        <v>596</v>
      </c>
      <c r="C597" s="50">
        <v>46183</v>
      </c>
      <c r="D597" s="49">
        <f t="shared" si="18"/>
        <v>6</v>
      </c>
      <c r="E597" s="92" t="s">
        <v>287</v>
      </c>
      <c r="F597" s="49" t="s">
        <v>36</v>
      </c>
      <c r="G597" s="14" t="s">
        <v>914</v>
      </c>
      <c r="H597" s="14" t="s">
        <v>414</v>
      </c>
      <c r="I597" s="76" t="s">
        <v>915</v>
      </c>
      <c r="J597" s="73">
        <v>0</v>
      </c>
      <c r="K597" s="74">
        <v>15369.43</v>
      </c>
      <c r="L597" s="72">
        <v>0</v>
      </c>
      <c r="M597" s="72">
        <v>0</v>
      </c>
      <c r="N597" s="72">
        <f>IF(AND(C597="",J597=0,K597=0,L597=0,M597=0),"",CADASTROS!$B$4+SUM($J$2:J597)+SUM($M$2:M597)-SUM($K$2:K597)-SUM($L$2:L597))</f>
        <v>412016.95000000251</v>
      </c>
      <c r="O597" s="72">
        <f>IF(A597="","",SUMIF(RATEIOS!$A$2:$A$3142,$A597,RATEIOS!$F$2:$F$3142))</f>
        <v>15369.43</v>
      </c>
      <c r="P597" s="15">
        <f t="shared" si="19"/>
        <v>0</v>
      </c>
      <c r="Q597" s="49" t="str">
        <f>IF(AND(J597=0,K597=0,L597=0,M597=0),"",IF(O597=0,"PENDENTE DE RATEIO",IF(ABS(P597)&gt;0.005,"DIVERGÊNCIA",IF(COUNTIF(RATEIOS!$A$2:$A$3142,$A597)-COUNTIFS(RATEIOS!$A$2:$A$3142,$A597,RATEIOS!$D$2:$D$3142,"&lt;&gt;")&gt;0,"NÃO CLASSIFICADO","RATEIO OK"))))</f>
        <v>RATEIO OK</v>
      </c>
      <c r="R597" s="49" t="s">
        <v>2553</v>
      </c>
      <c r="S597" s="14"/>
    </row>
    <row r="598" spans="1:19" ht="24.95" customHeight="1" x14ac:dyDescent="0.25">
      <c r="A598" s="49" t="s">
        <v>2073</v>
      </c>
      <c r="B598" s="98">
        <v>597</v>
      </c>
      <c r="C598" s="50">
        <v>46183</v>
      </c>
      <c r="D598" s="49">
        <f t="shared" si="18"/>
        <v>6</v>
      </c>
      <c r="E598" s="92" t="s">
        <v>287</v>
      </c>
      <c r="F598" s="49" t="s">
        <v>36</v>
      </c>
      <c r="G598" s="14" t="s">
        <v>916</v>
      </c>
      <c r="H598" s="14" t="s">
        <v>3033</v>
      </c>
      <c r="I598" s="76" t="s">
        <v>3032</v>
      </c>
      <c r="J598" s="73">
        <v>0</v>
      </c>
      <c r="K598" s="74">
        <v>1246</v>
      </c>
      <c r="L598" s="72">
        <v>0</v>
      </c>
      <c r="M598" s="72">
        <v>0</v>
      </c>
      <c r="N598" s="72">
        <f>IF(AND(C598="",J598=0,K598=0,L598=0,M598=0),"",CADASTROS!$B$4+SUM($J$2:J598)+SUM($M$2:M598)-SUM($K$2:K598)-SUM($L$2:L598))</f>
        <v>410770.95000000251</v>
      </c>
      <c r="O598" s="72">
        <f>IF(A598="","",SUMIF(RATEIOS!$A$2:$A$3142,$A598,RATEIOS!$F$2:$F$3142))</f>
        <v>1246</v>
      </c>
      <c r="P598" s="15">
        <f t="shared" si="19"/>
        <v>0</v>
      </c>
      <c r="Q598" s="49" t="str">
        <f>IF(AND(J598=0,K598=0,L598=0,M598=0),"",IF(O598=0,"PENDENTE DE RATEIO",IF(ABS(P598)&gt;0.005,"DIVERGÊNCIA",IF(COUNTIF(RATEIOS!$A$2:$A$3142,$A598)-COUNTIFS(RATEIOS!$A$2:$A$3142,$A598,RATEIOS!$D$2:$D$3142,"&lt;&gt;")&gt;0,"NÃO CLASSIFICADO","RATEIO OK"))))</f>
        <v>RATEIO OK</v>
      </c>
      <c r="R598" s="49" t="s">
        <v>2553</v>
      </c>
      <c r="S598" s="14"/>
    </row>
    <row r="599" spans="1:19" ht="24.95" customHeight="1" x14ac:dyDescent="0.25">
      <c r="A599" s="49" t="s">
        <v>2075</v>
      </c>
      <c r="B599" s="98">
        <v>598</v>
      </c>
      <c r="C599" s="50">
        <v>46183</v>
      </c>
      <c r="D599" s="49">
        <f t="shared" si="18"/>
        <v>6</v>
      </c>
      <c r="E599" s="92" t="s">
        <v>72</v>
      </c>
      <c r="F599" s="49" t="s">
        <v>36</v>
      </c>
      <c r="G599" s="14" t="s">
        <v>918</v>
      </c>
      <c r="H599" s="14" t="s">
        <v>150</v>
      </c>
      <c r="I599" s="76" t="s">
        <v>919</v>
      </c>
      <c r="J599" s="73">
        <v>0</v>
      </c>
      <c r="K599" s="74">
        <v>160</v>
      </c>
      <c r="L599" s="72">
        <v>0</v>
      </c>
      <c r="M599" s="72">
        <v>0</v>
      </c>
      <c r="N599" s="72">
        <f>IF(AND(C599="",J599=0,K599=0,L599=0,M599=0),"",CADASTROS!$B$4+SUM($J$2:J599)+SUM($M$2:M599)-SUM($K$2:K599)-SUM($L$2:L599))</f>
        <v>410610.95000000251</v>
      </c>
      <c r="O599" s="72">
        <f>IF(A599="","",SUMIF(RATEIOS!$A$2:$A$3142,$A599,RATEIOS!$F$2:$F$3142))</f>
        <v>160</v>
      </c>
      <c r="P599" s="15">
        <f t="shared" si="19"/>
        <v>0</v>
      </c>
      <c r="Q599" s="49" t="str">
        <f>IF(AND(J599=0,K599=0,L599=0,M599=0),"",IF(O599=0,"PENDENTE DE RATEIO",IF(ABS(P599)&gt;0.005,"DIVERGÊNCIA",IF(COUNTIF(RATEIOS!$A$2:$A$3142,$A599)-COUNTIFS(RATEIOS!$A$2:$A$3142,$A599,RATEIOS!$D$2:$D$3142,"&lt;&gt;")&gt;0,"NÃO CLASSIFICADO","RATEIO OK"))))</f>
        <v>RATEIO OK</v>
      </c>
      <c r="R599" s="49" t="s">
        <v>2553</v>
      </c>
      <c r="S599" s="14"/>
    </row>
    <row r="600" spans="1:19" ht="24.95" customHeight="1" x14ac:dyDescent="0.25">
      <c r="A600" s="49" t="s">
        <v>2076</v>
      </c>
      <c r="B600" s="98">
        <v>599</v>
      </c>
      <c r="C600" s="50">
        <v>46183</v>
      </c>
      <c r="D600" s="49">
        <f t="shared" si="18"/>
        <v>6</v>
      </c>
      <c r="E600" s="92" t="s">
        <v>72</v>
      </c>
      <c r="F600" s="49" t="s">
        <v>36</v>
      </c>
      <c r="G600" s="14" t="s">
        <v>920</v>
      </c>
      <c r="H600" s="14" t="s">
        <v>153</v>
      </c>
      <c r="I600" s="76" t="s">
        <v>921</v>
      </c>
      <c r="J600" s="73">
        <v>0</v>
      </c>
      <c r="K600" s="74">
        <v>843</v>
      </c>
      <c r="L600" s="72">
        <v>0</v>
      </c>
      <c r="M600" s="72">
        <v>0</v>
      </c>
      <c r="N600" s="72">
        <f>IF(AND(C600="",J600=0,K600=0,L600=0,M600=0),"",CADASTROS!$B$4+SUM($J$2:J600)+SUM($M$2:M600)-SUM($K$2:K600)-SUM($L$2:L600))</f>
        <v>409767.95000000251</v>
      </c>
      <c r="O600" s="72">
        <f>IF(A600="","",SUMIF(RATEIOS!$A$2:$A$3142,$A600,RATEIOS!$F$2:$F$3142))</f>
        <v>843</v>
      </c>
      <c r="P600" s="15">
        <f t="shared" si="19"/>
        <v>0</v>
      </c>
      <c r="Q600" s="49" t="str">
        <f>IF(AND(J600=0,K600=0,L600=0,M600=0),"",IF(O600=0,"PENDENTE DE RATEIO",IF(ABS(P600)&gt;0.005,"DIVERGÊNCIA",IF(COUNTIF(RATEIOS!$A$2:$A$3142,$A600)-COUNTIFS(RATEIOS!$A$2:$A$3142,$A600,RATEIOS!$D$2:$D$3142,"&lt;&gt;")&gt;0,"NÃO CLASSIFICADO","RATEIO OK"))))</f>
        <v>RATEIO OK</v>
      </c>
      <c r="R600" s="49" t="s">
        <v>2553</v>
      </c>
      <c r="S600" s="14"/>
    </row>
    <row r="601" spans="1:19" ht="24.95" customHeight="1" x14ac:dyDescent="0.25">
      <c r="A601" s="49" t="s">
        <v>2077</v>
      </c>
      <c r="B601" s="98">
        <v>600</v>
      </c>
      <c r="C601" s="50">
        <v>46183</v>
      </c>
      <c r="D601" s="49">
        <f t="shared" si="18"/>
        <v>6</v>
      </c>
      <c r="E601" s="92" t="s">
        <v>72</v>
      </c>
      <c r="F601" s="49" t="s">
        <v>36</v>
      </c>
      <c r="G601" s="14" t="s">
        <v>922</v>
      </c>
      <c r="H601" s="14" t="s">
        <v>545</v>
      </c>
      <c r="I601" s="76" t="s">
        <v>716</v>
      </c>
      <c r="J601" s="73">
        <v>0</v>
      </c>
      <c r="K601" s="74">
        <v>4500</v>
      </c>
      <c r="L601" s="72">
        <v>0</v>
      </c>
      <c r="M601" s="72">
        <v>0</v>
      </c>
      <c r="N601" s="72">
        <f>IF(AND(C601="",J601=0,K601=0,L601=0,M601=0),"",CADASTROS!$B$4+SUM($J$2:J601)+SUM($M$2:M601)-SUM($K$2:K601)-SUM($L$2:L601))</f>
        <v>405267.95000000251</v>
      </c>
      <c r="O601" s="72">
        <f>IF(A601="","",SUMIF(RATEIOS!$A$2:$A$3142,$A601,RATEIOS!$F$2:$F$3142))</f>
        <v>4500</v>
      </c>
      <c r="P601" s="15">
        <f t="shared" si="19"/>
        <v>0</v>
      </c>
      <c r="Q601" s="49" t="str">
        <f>IF(AND(J601=0,K601=0,L601=0,M601=0),"",IF(O601=0,"PENDENTE DE RATEIO",IF(ABS(P601)&gt;0.005,"DIVERGÊNCIA",IF(COUNTIF(RATEIOS!$A$2:$A$3142,$A601)-COUNTIFS(RATEIOS!$A$2:$A$3142,$A601,RATEIOS!$D$2:$D$3142,"&lt;&gt;")&gt;0,"NÃO CLASSIFICADO","RATEIO OK"))))</f>
        <v>RATEIO OK</v>
      </c>
      <c r="R601" s="49" t="s">
        <v>2553</v>
      </c>
      <c r="S601" s="14"/>
    </row>
    <row r="602" spans="1:19" ht="24.95" customHeight="1" x14ac:dyDescent="0.25">
      <c r="A602" s="49" t="s">
        <v>2078</v>
      </c>
      <c r="B602" s="98">
        <v>601</v>
      </c>
      <c r="C602" s="50">
        <v>46183</v>
      </c>
      <c r="D602" s="49">
        <f t="shared" si="18"/>
        <v>6</v>
      </c>
      <c r="E602" s="92" t="s">
        <v>72</v>
      </c>
      <c r="F602" s="49" t="s">
        <v>36</v>
      </c>
      <c r="G602" s="14" t="s">
        <v>923</v>
      </c>
      <c r="H602" s="14" t="s">
        <v>451</v>
      </c>
      <c r="I602" s="76" t="s">
        <v>924</v>
      </c>
      <c r="J602" s="73">
        <v>0</v>
      </c>
      <c r="K602" s="74">
        <v>1470</v>
      </c>
      <c r="L602" s="72">
        <v>0</v>
      </c>
      <c r="M602" s="72">
        <v>0</v>
      </c>
      <c r="N602" s="72">
        <f>IF(AND(C602="",J602=0,K602=0,L602=0,M602=0),"",CADASTROS!$B$4+SUM($J$2:J602)+SUM($M$2:M602)-SUM($K$2:K602)-SUM($L$2:L602))</f>
        <v>403797.95000000251</v>
      </c>
      <c r="O602" s="72">
        <f>IF(A602="","",SUMIF(RATEIOS!$A$2:$A$3142,$A602,RATEIOS!$F$2:$F$3142))</f>
        <v>1470</v>
      </c>
      <c r="P602" s="15">
        <f t="shared" si="19"/>
        <v>0</v>
      </c>
      <c r="Q602" s="49" t="str">
        <f>IF(AND(J602=0,K602=0,L602=0,M602=0),"",IF(O602=0,"PENDENTE DE RATEIO",IF(ABS(P602)&gt;0.005,"DIVERGÊNCIA",IF(COUNTIF(RATEIOS!$A$2:$A$3142,$A602)-COUNTIFS(RATEIOS!$A$2:$A$3142,$A602,RATEIOS!$D$2:$D$3142,"&lt;&gt;")&gt;0,"NÃO CLASSIFICADO","RATEIO OK"))))</f>
        <v>RATEIO OK</v>
      </c>
      <c r="R602" s="49" t="s">
        <v>2553</v>
      </c>
      <c r="S602" s="14"/>
    </row>
    <row r="603" spans="1:19" ht="24.95" customHeight="1" x14ac:dyDescent="0.25">
      <c r="A603" s="49" t="s">
        <v>2079</v>
      </c>
      <c r="B603" s="98">
        <v>602</v>
      </c>
      <c r="C603" s="50">
        <v>46183</v>
      </c>
      <c r="D603" s="49">
        <f t="shared" si="18"/>
        <v>6</v>
      </c>
      <c r="E603" s="92" t="s">
        <v>72</v>
      </c>
      <c r="F603" s="49" t="s">
        <v>36</v>
      </c>
      <c r="G603" s="14" t="s">
        <v>925</v>
      </c>
      <c r="H603" s="14" t="s">
        <v>3028</v>
      </c>
      <c r="I603" s="76" t="s">
        <v>249</v>
      </c>
      <c r="J603" s="73">
        <v>0</v>
      </c>
      <c r="K603" s="74">
        <v>3944</v>
      </c>
      <c r="L603" s="72">
        <v>0</v>
      </c>
      <c r="M603" s="72">
        <v>0</v>
      </c>
      <c r="N603" s="72">
        <f>IF(AND(C603="",J603=0,K603=0,L603=0,M603=0),"",CADASTROS!$B$4+SUM($J$2:J603)+SUM($M$2:M603)-SUM($K$2:K603)-SUM($L$2:L603))</f>
        <v>399853.95000000251</v>
      </c>
      <c r="O603" s="72">
        <f>IF(A603="","",SUMIF(RATEIOS!$A$2:$A$3142,$A603,RATEIOS!$F$2:$F$3142))</f>
        <v>3944</v>
      </c>
      <c r="P603" s="15">
        <f t="shared" si="19"/>
        <v>0</v>
      </c>
      <c r="Q603" s="49" t="str">
        <f>IF(AND(J603=0,K603=0,L603=0,M603=0),"",IF(O603=0,"PENDENTE DE RATEIO",IF(ABS(P603)&gt;0.005,"DIVERGÊNCIA",IF(COUNTIF(RATEIOS!$A$2:$A$3142,$A603)-COUNTIFS(RATEIOS!$A$2:$A$3142,$A603,RATEIOS!$D$2:$D$3142,"&lt;&gt;")&gt;0,"NÃO CLASSIFICADO","RATEIO OK"))))</f>
        <v>RATEIO OK</v>
      </c>
      <c r="R603" s="49" t="s">
        <v>2553</v>
      </c>
      <c r="S603" s="14"/>
    </row>
    <row r="604" spans="1:19" ht="24.95" customHeight="1" x14ac:dyDescent="0.25">
      <c r="A604" s="49" t="s">
        <v>2080</v>
      </c>
      <c r="B604" s="98">
        <v>603</v>
      </c>
      <c r="C604" s="50">
        <v>46183</v>
      </c>
      <c r="D604" s="49">
        <f t="shared" si="18"/>
        <v>6</v>
      </c>
      <c r="E604" s="92" t="s">
        <v>72</v>
      </c>
      <c r="F604" s="49" t="s">
        <v>36</v>
      </c>
      <c r="G604" s="14" t="s">
        <v>2933</v>
      </c>
      <c r="H604" s="14" t="s">
        <v>2934</v>
      </c>
      <c r="I604" s="76" t="s">
        <v>2936</v>
      </c>
      <c r="J604" s="73">
        <v>0</v>
      </c>
      <c r="K604" s="74">
        <v>1800</v>
      </c>
      <c r="L604" s="72">
        <v>0</v>
      </c>
      <c r="M604" s="72">
        <v>0</v>
      </c>
      <c r="N604" s="72">
        <f>IF(AND(C604="",J604=0,K604=0,L604=0,M604=0),"",CADASTROS!$B$4+SUM($J$2:J604)+SUM($M$2:M604)-SUM($K$2:K604)-SUM($L$2:L604))</f>
        <v>398053.95000000251</v>
      </c>
      <c r="O604" s="72">
        <f>IF(A604="","",SUMIF(RATEIOS!$A$2:$A$3142,$A604,RATEIOS!$F$2:$F$3142))</f>
        <v>1800</v>
      </c>
      <c r="P604" s="15">
        <f t="shared" si="19"/>
        <v>0</v>
      </c>
      <c r="Q604" s="49" t="str">
        <f>IF(AND(J604=0,K604=0,L604=0,M604=0),"",IF(O604=0,"PENDENTE DE RATEIO",IF(ABS(P604)&gt;0.005,"DIVERGÊNCIA",IF(COUNTIF(RATEIOS!$A$2:$A$3142,$A604)-COUNTIFS(RATEIOS!$A$2:$A$3142,$A604,RATEIOS!$D$2:$D$3142,"&lt;&gt;")&gt;0,"NÃO CLASSIFICADO","RATEIO OK"))))</f>
        <v>RATEIO OK</v>
      </c>
      <c r="R604" s="49" t="s">
        <v>2553</v>
      </c>
      <c r="S604" s="14"/>
    </row>
    <row r="605" spans="1:19" ht="24.95" customHeight="1" x14ac:dyDescent="0.25">
      <c r="A605" s="49" t="s">
        <v>2081</v>
      </c>
      <c r="B605" s="98">
        <v>604</v>
      </c>
      <c r="C605" s="50">
        <v>46183</v>
      </c>
      <c r="D605" s="49">
        <f t="shared" si="18"/>
        <v>6</v>
      </c>
      <c r="E605" s="92" t="s">
        <v>118</v>
      </c>
      <c r="F605" s="49" t="s">
        <v>36</v>
      </c>
      <c r="G605" s="14" t="s">
        <v>928</v>
      </c>
      <c r="H605" s="14" t="s">
        <v>59</v>
      </c>
      <c r="I605" s="76" t="s">
        <v>929</v>
      </c>
      <c r="J605" s="73">
        <v>0</v>
      </c>
      <c r="K605" s="74">
        <v>2940</v>
      </c>
      <c r="L605" s="72">
        <v>0</v>
      </c>
      <c r="M605" s="72">
        <v>0</v>
      </c>
      <c r="N605" s="72">
        <f>IF(AND(C605="",J605=0,K605=0,L605=0,M605=0),"",CADASTROS!$B$4+SUM($J$2:J605)+SUM($M$2:M605)-SUM($K$2:K605)-SUM($L$2:L605))</f>
        <v>395113.95000000251</v>
      </c>
      <c r="O605" s="72">
        <f>IF(A605="","",SUMIF(RATEIOS!$A$2:$A$3142,$A605,RATEIOS!$F$2:$F$3142))</f>
        <v>2940</v>
      </c>
      <c r="P605" s="15">
        <f t="shared" si="19"/>
        <v>0</v>
      </c>
      <c r="Q605" s="49" t="str">
        <f>IF(AND(J605=0,K605=0,L605=0,M605=0),"",IF(O605=0,"PENDENTE DE RATEIO",IF(ABS(P605)&gt;0.005,"DIVERGÊNCIA",IF(COUNTIF(RATEIOS!$A$2:$A$3142,$A605)-COUNTIFS(RATEIOS!$A$2:$A$3142,$A605,RATEIOS!$D$2:$D$3142,"&lt;&gt;")&gt;0,"NÃO CLASSIFICADO","RATEIO OK"))))</f>
        <v>RATEIO OK</v>
      </c>
      <c r="R605" s="49" t="s">
        <v>2553</v>
      </c>
      <c r="S605" s="14"/>
    </row>
    <row r="606" spans="1:19" ht="24.95" customHeight="1" x14ac:dyDescent="0.25">
      <c r="A606" s="49" t="s">
        <v>2082</v>
      </c>
      <c r="B606" s="98">
        <v>605</v>
      </c>
      <c r="C606" s="50">
        <v>46183</v>
      </c>
      <c r="D606" s="49">
        <f t="shared" si="18"/>
        <v>6</v>
      </c>
      <c r="E606" s="92" t="s">
        <v>118</v>
      </c>
      <c r="F606" s="49" t="s">
        <v>36</v>
      </c>
      <c r="G606" s="14" t="s">
        <v>119</v>
      </c>
      <c r="H606" s="14" t="s">
        <v>120</v>
      </c>
      <c r="I606" s="76" t="s">
        <v>2950</v>
      </c>
      <c r="J606" s="73">
        <v>0</v>
      </c>
      <c r="K606" s="74">
        <v>149.9</v>
      </c>
      <c r="L606" s="72">
        <v>0</v>
      </c>
      <c r="M606" s="72">
        <v>0</v>
      </c>
      <c r="N606" s="72">
        <f>IF(AND(C606="",J606=0,K606=0,L606=0,M606=0),"",CADASTROS!$B$4+SUM($J$2:J606)+SUM($M$2:M606)-SUM($K$2:K606)-SUM($L$2:L606))</f>
        <v>394964.05000000261</v>
      </c>
      <c r="O606" s="72">
        <f>IF(A606="","",SUMIF(RATEIOS!$A$2:$A$3142,$A606,RATEIOS!$F$2:$F$3142))</f>
        <v>149.9</v>
      </c>
      <c r="P606" s="15">
        <f t="shared" si="19"/>
        <v>0</v>
      </c>
      <c r="Q606" s="49" t="str">
        <f>IF(AND(J606=0,K606=0,L606=0,M606=0),"",IF(O606=0,"PENDENTE DE RATEIO",IF(ABS(P606)&gt;0.005,"DIVERGÊNCIA",IF(COUNTIF(RATEIOS!$A$2:$A$3142,$A606)-COUNTIFS(RATEIOS!$A$2:$A$3142,$A606,RATEIOS!$D$2:$D$3142,"&lt;&gt;")&gt;0,"NÃO CLASSIFICADO","RATEIO OK"))))</f>
        <v>RATEIO OK</v>
      </c>
      <c r="R606" s="49" t="s">
        <v>2553</v>
      </c>
      <c r="S606" s="14"/>
    </row>
    <row r="607" spans="1:19" ht="24.95" customHeight="1" x14ac:dyDescent="0.25">
      <c r="A607" s="49" t="s">
        <v>2083</v>
      </c>
      <c r="B607" s="98">
        <v>606</v>
      </c>
      <c r="C607" s="50">
        <v>46183</v>
      </c>
      <c r="D607" s="49">
        <f t="shared" si="18"/>
        <v>6</v>
      </c>
      <c r="E607" s="92" t="s">
        <v>118</v>
      </c>
      <c r="F607" s="49" t="s">
        <v>36</v>
      </c>
      <c r="G607" s="14" t="s">
        <v>239</v>
      </c>
      <c r="H607" s="14" t="s">
        <v>65</v>
      </c>
      <c r="I607" s="76" t="s">
        <v>787</v>
      </c>
      <c r="J607" s="73">
        <v>0</v>
      </c>
      <c r="K607" s="74">
        <v>448</v>
      </c>
      <c r="L607" s="72">
        <v>0</v>
      </c>
      <c r="M607" s="72">
        <v>0</v>
      </c>
      <c r="N607" s="72">
        <f>IF(AND(C607="",J607=0,K607=0,L607=0,M607=0),"",CADASTROS!$B$4+SUM($J$2:J607)+SUM($M$2:M607)-SUM($K$2:K607)-SUM($L$2:L607))</f>
        <v>394516.05000000261</v>
      </c>
      <c r="O607" s="72">
        <f>IF(A607="","",SUMIF(RATEIOS!$A$2:$A$3142,$A607,RATEIOS!$F$2:$F$3142))</f>
        <v>448</v>
      </c>
      <c r="P607" s="15">
        <f t="shared" si="19"/>
        <v>0</v>
      </c>
      <c r="Q607" s="49" t="str">
        <f>IF(AND(J607=0,K607=0,L607=0,M607=0),"",IF(O607=0,"PENDENTE DE RATEIO",IF(ABS(P607)&gt;0.005,"DIVERGÊNCIA",IF(COUNTIF(RATEIOS!$A$2:$A$3142,$A607)-COUNTIFS(RATEIOS!$A$2:$A$3142,$A607,RATEIOS!$D$2:$D$3142,"&lt;&gt;")&gt;0,"NÃO CLASSIFICADO","RATEIO OK"))))</f>
        <v>RATEIO OK</v>
      </c>
      <c r="R607" s="49" t="s">
        <v>2553</v>
      </c>
      <c r="S607" s="14"/>
    </row>
    <row r="608" spans="1:19" ht="24.95" customHeight="1" x14ac:dyDescent="0.25">
      <c r="A608" s="49" t="s">
        <v>2084</v>
      </c>
      <c r="B608" s="98">
        <v>607</v>
      </c>
      <c r="C608" s="50">
        <v>46183</v>
      </c>
      <c r="D608" s="49">
        <f t="shared" si="18"/>
        <v>6</v>
      </c>
      <c r="E608" s="92" t="s">
        <v>287</v>
      </c>
      <c r="F608" s="49" t="s">
        <v>36</v>
      </c>
      <c r="G608" s="14" t="s">
        <v>930</v>
      </c>
      <c r="H608" s="14" t="s">
        <v>446</v>
      </c>
      <c r="I608" s="76" t="s">
        <v>2955</v>
      </c>
      <c r="J608" s="73">
        <v>0</v>
      </c>
      <c r="K608" s="74">
        <v>1470</v>
      </c>
      <c r="L608" s="72">
        <v>0</v>
      </c>
      <c r="M608" s="72">
        <v>0</v>
      </c>
      <c r="N608" s="72">
        <f>IF(AND(C608="",J608=0,K608=0,L608=0,M608=0),"",CADASTROS!$B$4+SUM($J$2:J608)+SUM($M$2:M608)-SUM($K$2:K608)-SUM($L$2:L608))</f>
        <v>393046.05000000261</v>
      </c>
      <c r="O608" s="72">
        <f>IF(A608="","",SUMIF(RATEIOS!$A$2:$A$3142,$A608,RATEIOS!$F$2:$F$3142))</f>
        <v>1470</v>
      </c>
      <c r="P608" s="15">
        <f t="shared" si="19"/>
        <v>0</v>
      </c>
      <c r="Q608" s="49" t="str">
        <f>IF(AND(J608=0,K608=0,L608=0,M608=0),"",IF(O608=0,"PENDENTE DE RATEIO",IF(ABS(P608)&gt;0.005,"DIVERGÊNCIA",IF(COUNTIF(RATEIOS!$A$2:$A$3142,$A608)-COUNTIFS(RATEIOS!$A$2:$A$3142,$A608,RATEIOS!$D$2:$D$3142,"&lt;&gt;")&gt;0,"NÃO CLASSIFICADO","RATEIO OK"))))</f>
        <v>RATEIO OK</v>
      </c>
      <c r="R608" s="49" t="s">
        <v>2553</v>
      </c>
      <c r="S608" s="14"/>
    </row>
    <row r="609" spans="1:19" ht="24.95" customHeight="1" x14ac:dyDescent="0.25">
      <c r="A609" s="49" t="s">
        <v>2085</v>
      </c>
      <c r="B609" s="98">
        <v>608</v>
      </c>
      <c r="C609" s="50">
        <v>46183</v>
      </c>
      <c r="D609" s="49">
        <f t="shared" si="18"/>
        <v>6</v>
      </c>
      <c r="E609" s="92" t="s">
        <v>2556</v>
      </c>
      <c r="F609" s="49" t="s">
        <v>36</v>
      </c>
      <c r="G609" s="14" t="s">
        <v>297</v>
      </c>
      <c r="H609" s="14" t="s">
        <v>117</v>
      </c>
      <c r="I609" s="76" t="s">
        <v>412</v>
      </c>
      <c r="J609" s="73">
        <v>0</v>
      </c>
      <c r="K609" s="74">
        <v>275</v>
      </c>
      <c r="L609" s="72">
        <v>0</v>
      </c>
      <c r="M609" s="72">
        <v>0</v>
      </c>
      <c r="N609" s="72">
        <f>IF(AND(C609="",J609=0,K609=0,L609=0,M609=0),"",CADASTROS!$B$4+SUM($J$2:J609)+SUM($M$2:M609)-SUM($K$2:K609)-SUM($L$2:L609))</f>
        <v>392771.05000000261</v>
      </c>
      <c r="O609" s="72">
        <f>IF(A609="","",SUMIF(RATEIOS!$A$2:$A$3142,$A609,RATEIOS!$F$2:$F$3142))</f>
        <v>275</v>
      </c>
      <c r="P609" s="15">
        <f t="shared" si="19"/>
        <v>0</v>
      </c>
      <c r="Q609" s="49" t="str">
        <f>IF(AND(J609=0,K609=0,L609=0,M609=0),"",IF(O609=0,"PENDENTE DE RATEIO",IF(ABS(P609)&gt;0.005,"DIVERGÊNCIA",IF(COUNTIF(RATEIOS!$A$2:$A$3142,$A609)-COUNTIFS(RATEIOS!$A$2:$A$3142,$A609,RATEIOS!$D$2:$D$3142,"&lt;&gt;")&gt;0,"NÃO CLASSIFICADO","RATEIO OK"))))</f>
        <v>RATEIO OK</v>
      </c>
      <c r="R609" s="49" t="s">
        <v>2553</v>
      </c>
      <c r="S609" s="14"/>
    </row>
    <row r="610" spans="1:19" ht="24.95" customHeight="1" x14ac:dyDescent="0.25">
      <c r="A610" s="49" t="s">
        <v>2086</v>
      </c>
      <c r="B610" s="98">
        <v>609</v>
      </c>
      <c r="C610" s="50">
        <v>46184</v>
      </c>
      <c r="D610" s="49">
        <f t="shared" si="18"/>
        <v>6</v>
      </c>
      <c r="E610" s="92" t="s">
        <v>287</v>
      </c>
      <c r="F610" s="49" t="s">
        <v>35</v>
      </c>
      <c r="G610" s="14" t="s">
        <v>931</v>
      </c>
      <c r="H610" s="14" t="s">
        <v>2737</v>
      </c>
      <c r="I610" s="76" t="s">
        <v>412</v>
      </c>
      <c r="J610" s="73">
        <v>36168.61</v>
      </c>
      <c r="K610" s="74">
        <v>0</v>
      </c>
      <c r="L610" s="72">
        <v>0</v>
      </c>
      <c r="M610" s="72">
        <v>0</v>
      </c>
      <c r="N610" s="72">
        <f>IF(AND(C610="",J610=0,K610=0,L610=0,M610=0),"",CADASTROS!$B$4+SUM($J$2:J610)+SUM($M$2:M610)-SUM($K$2:K610)-SUM($L$2:L610))</f>
        <v>428939.66000000201</v>
      </c>
      <c r="O610" s="72">
        <f>IF(A610="","",SUMIF(RATEIOS!$A$2:$A$3142,$A610,RATEIOS!$F$2:$F$3142))</f>
        <v>36168.61</v>
      </c>
      <c r="P610" s="15">
        <f t="shared" si="19"/>
        <v>0</v>
      </c>
      <c r="Q610" s="49" t="str">
        <f>IF(AND(J610=0,K610=0,L610=0,M610=0),"",IF(O610=0,"PENDENTE DE RATEIO",IF(ABS(P610)&gt;0.005,"DIVERGÊNCIA",IF(COUNTIF(RATEIOS!$A$2:$A$3142,$A610)-COUNTIFS(RATEIOS!$A$2:$A$3142,$A610,RATEIOS!$D$2:$D$3142,"&lt;&gt;")&gt;0,"NÃO CLASSIFICADO","RATEIO OK"))))</f>
        <v>RATEIO OK</v>
      </c>
      <c r="R610" s="49" t="s">
        <v>2553</v>
      </c>
      <c r="S610" s="14"/>
    </row>
    <row r="611" spans="1:19" ht="24.95" customHeight="1" x14ac:dyDescent="0.25">
      <c r="A611" s="49" t="s">
        <v>2089</v>
      </c>
      <c r="B611" s="98">
        <v>610</v>
      </c>
      <c r="C611" s="50">
        <v>46184</v>
      </c>
      <c r="D611" s="49">
        <f t="shared" si="18"/>
        <v>6</v>
      </c>
      <c r="E611" s="92" t="s">
        <v>505</v>
      </c>
      <c r="F611" s="49" t="s">
        <v>36</v>
      </c>
      <c r="G611" s="14" t="s">
        <v>2794</v>
      </c>
      <c r="H611" s="14" t="s">
        <v>932</v>
      </c>
      <c r="I611" s="91" t="s">
        <v>87</v>
      </c>
      <c r="J611" s="73">
        <v>0</v>
      </c>
      <c r="K611" s="74">
        <v>2025</v>
      </c>
      <c r="L611" s="72">
        <v>0</v>
      </c>
      <c r="M611" s="72">
        <v>0</v>
      </c>
      <c r="N611" s="72">
        <f>IF(AND(C611="",J611=0,K611=0,L611=0,M611=0),"",CADASTROS!$B$4+SUM($J$2:J611)+SUM($M$2:M611)-SUM($K$2:K611)-SUM($L$2:L611))</f>
        <v>426914.66000000201</v>
      </c>
      <c r="O611" s="72">
        <f>IF(A611="","",SUMIF(RATEIOS!$A$2:$A$3142,$A611,RATEIOS!$F$2:$F$3142))</f>
        <v>2025</v>
      </c>
      <c r="P611" s="15">
        <f t="shared" si="19"/>
        <v>0</v>
      </c>
      <c r="Q611" s="49" t="str">
        <f>IF(AND(J611=0,K611=0,L611=0,M611=0),"",IF(O611=0,"PENDENTE DE RATEIO",IF(ABS(P611)&gt;0.005,"DIVERGÊNCIA",IF(COUNTIF(RATEIOS!$A$2:$A$3142,$A611)-COUNTIFS(RATEIOS!$A$2:$A$3142,$A611,RATEIOS!$D$2:$D$3142,"&lt;&gt;")&gt;0,"NÃO CLASSIFICADO","RATEIO OK"))))</f>
        <v>RATEIO OK</v>
      </c>
      <c r="R611" s="49" t="s">
        <v>2553</v>
      </c>
      <c r="S611" s="14" t="s">
        <v>933</v>
      </c>
    </row>
    <row r="612" spans="1:19" ht="24.95" customHeight="1" x14ac:dyDescent="0.25">
      <c r="A612" s="49" t="s">
        <v>2090</v>
      </c>
      <c r="B612" s="98">
        <v>611</v>
      </c>
      <c r="C612" s="50">
        <v>46185</v>
      </c>
      <c r="D612" s="49">
        <f t="shared" si="18"/>
        <v>6</v>
      </c>
      <c r="E612" s="92" t="s">
        <v>505</v>
      </c>
      <c r="F612" s="49" t="s">
        <v>36</v>
      </c>
      <c r="G612" s="14" t="s">
        <v>934</v>
      </c>
      <c r="H612" s="14" t="s">
        <v>3041</v>
      </c>
      <c r="I612" s="76" t="s">
        <v>935</v>
      </c>
      <c r="J612" s="73">
        <v>0</v>
      </c>
      <c r="K612" s="74">
        <v>5200</v>
      </c>
      <c r="L612" s="72">
        <v>0</v>
      </c>
      <c r="M612" s="72">
        <v>0</v>
      </c>
      <c r="N612" s="72">
        <f>IF(AND(C612="",J612=0,K612=0,L612=0,M612=0),"",CADASTROS!$B$4+SUM($J$2:J612)+SUM($M$2:M612)-SUM($K$2:K612)-SUM($L$2:L612))</f>
        <v>421714.66000000201</v>
      </c>
      <c r="O612" s="72">
        <f>IF(A612="","",SUMIF(RATEIOS!$A$2:$A$3142,$A612,RATEIOS!$F$2:$F$3142))</f>
        <v>5200</v>
      </c>
      <c r="P612" s="15">
        <f t="shared" si="19"/>
        <v>0</v>
      </c>
      <c r="Q612" s="49" t="str">
        <f>IF(AND(J612=0,K612=0,L612=0,M612=0),"",IF(O612=0,"PENDENTE DE RATEIO",IF(ABS(P612)&gt;0.005,"DIVERGÊNCIA",IF(COUNTIF(RATEIOS!$A$2:$A$3142,$A612)-COUNTIFS(RATEIOS!$A$2:$A$3142,$A612,RATEIOS!$D$2:$D$3142,"&lt;&gt;")&gt;0,"NÃO CLASSIFICADO","RATEIO OK"))))</f>
        <v>RATEIO OK</v>
      </c>
      <c r="R612" s="49" t="s">
        <v>2553</v>
      </c>
      <c r="S612" s="14"/>
    </row>
    <row r="613" spans="1:19" ht="24.95" customHeight="1" x14ac:dyDescent="0.25">
      <c r="A613" s="49" t="s">
        <v>2091</v>
      </c>
      <c r="B613" s="98">
        <v>612</v>
      </c>
      <c r="C613" s="50">
        <v>46185</v>
      </c>
      <c r="D613" s="49">
        <f t="shared" si="18"/>
        <v>6</v>
      </c>
      <c r="E613" s="92" t="s">
        <v>72</v>
      </c>
      <c r="F613" s="49" t="s">
        <v>36</v>
      </c>
      <c r="G613" s="14" t="s">
        <v>936</v>
      </c>
      <c r="H613" s="14" t="s">
        <v>109</v>
      </c>
      <c r="I613" s="76" t="s">
        <v>937</v>
      </c>
      <c r="J613" s="73">
        <v>0</v>
      </c>
      <c r="K613" s="74">
        <v>138</v>
      </c>
      <c r="L613" s="72">
        <v>0</v>
      </c>
      <c r="M613" s="72">
        <v>0</v>
      </c>
      <c r="N613" s="72">
        <f>IF(AND(C613="",J613=0,K613=0,L613=0,M613=0),"",CADASTROS!$B$4+SUM($J$2:J613)+SUM($M$2:M613)-SUM($K$2:K613)-SUM($L$2:L613))</f>
        <v>421576.66000000201</v>
      </c>
      <c r="O613" s="72">
        <f>IF(A613="","",SUMIF(RATEIOS!$A$2:$A$3142,$A613,RATEIOS!$F$2:$F$3142))</f>
        <v>138</v>
      </c>
      <c r="P613" s="15">
        <f t="shared" si="19"/>
        <v>0</v>
      </c>
      <c r="Q613" s="49" t="str">
        <f>IF(AND(J613=0,K613=0,L613=0,M613=0),"",IF(O613=0,"PENDENTE DE RATEIO",IF(ABS(P613)&gt;0.005,"DIVERGÊNCIA",IF(COUNTIF(RATEIOS!$A$2:$A$3142,$A613)-COUNTIFS(RATEIOS!$A$2:$A$3142,$A613,RATEIOS!$D$2:$D$3142,"&lt;&gt;")&gt;0,"NÃO CLASSIFICADO","RATEIO OK"))))</f>
        <v>RATEIO OK</v>
      </c>
      <c r="R613" s="49" t="s">
        <v>2553</v>
      </c>
      <c r="S613" s="14"/>
    </row>
    <row r="614" spans="1:19" ht="24.95" customHeight="1" x14ac:dyDescent="0.25">
      <c r="A614" s="49" t="s">
        <v>2092</v>
      </c>
      <c r="B614" s="98">
        <v>613</v>
      </c>
      <c r="C614" s="50">
        <v>46185</v>
      </c>
      <c r="D614" s="49">
        <f t="shared" si="18"/>
        <v>6</v>
      </c>
      <c r="E614" s="92" t="s">
        <v>72</v>
      </c>
      <c r="F614" s="49" t="s">
        <v>36</v>
      </c>
      <c r="G614" s="14" t="s">
        <v>2932</v>
      </c>
      <c r="H614" s="14" t="s">
        <v>2934</v>
      </c>
      <c r="I614" s="76" t="s">
        <v>2937</v>
      </c>
      <c r="J614" s="73">
        <v>0</v>
      </c>
      <c r="K614" s="74">
        <v>1800</v>
      </c>
      <c r="L614" s="72">
        <v>0</v>
      </c>
      <c r="M614" s="72">
        <v>0</v>
      </c>
      <c r="N614" s="72">
        <f>IF(AND(C614="",J614=0,K614=0,L614=0,M614=0),"",CADASTROS!$B$4+SUM($J$2:J614)+SUM($M$2:M614)-SUM($K$2:K614)-SUM($L$2:L614))</f>
        <v>419776.66000000201</v>
      </c>
      <c r="O614" s="72">
        <f>IF(A614="","",SUMIF(RATEIOS!$A$2:$A$3142,$A614,RATEIOS!$F$2:$F$3142))</f>
        <v>1800</v>
      </c>
      <c r="P614" s="15">
        <f t="shared" si="19"/>
        <v>0</v>
      </c>
      <c r="Q614" s="49" t="str">
        <f>IF(AND(J614=0,K614=0,L614=0,M614=0),"",IF(O614=0,"PENDENTE DE RATEIO",IF(ABS(P614)&gt;0.005,"DIVERGÊNCIA",IF(COUNTIF(RATEIOS!$A$2:$A$3142,$A614)-COUNTIFS(RATEIOS!$A$2:$A$3142,$A614,RATEIOS!$D$2:$D$3142,"&lt;&gt;")&gt;0,"NÃO CLASSIFICADO","RATEIO OK"))))</f>
        <v>RATEIO OK</v>
      </c>
      <c r="R614" s="49" t="s">
        <v>2553</v>
      </c>
      <c r="S614" s="14"/>
    </row>
    <row r="615" spans="1:19" ht="24.95" customHeight="1" x14ac:dyDescent="0.25">
      <c r="A615" s="49" t="s">
        <v>2093</v>
      </c>
      <c r="B615" s="98">
        <v>614</v>
      </c>
      <c r="C615" s="50">
        <v>46185</v>
      </c>
      <c r="D615" s="49">
        <f t="shared" si="18"/>
        <v>6</v>
      </c>
      <c r="E615" s="92" t="s">
        <v>118</v>
      </c>
      <c r="F615" s="49" t="s">
        <v>36</v>
      </c>
      <c r="G615" s="14" t="s">
        <v>939</v>
      </c>
      <c r="H615" s="14" t="s">
        <v>207</v>
      </c>
      <c r="I615" s="76" t="s">
        <v>940</v>
      </c>
      <c r="J615" s="73">
        <v>0</v>
      </c>
      <c r="K615" s="74">
        <v>3310.4</v>
      </c>
      <c r="L615" s="72">
        <v>0</v>
      </c>
      <c r="M615" s="72">
        <v>0</v>
      </c>
      <c r="N615" s="72">
        <f>IF(AND(C615="",J615=0,K615=0,L615=0,M615=0),"",CADASTROS!$B$4+SUM($J$2:J615)+SUM($M$2:M615)-SUM($K$2:K615)-SUM($L$2:L615))</f>
        <v>416466.2600000021</v>
      </c>
      <c r="O615" s="72">
        <f>IF(A615="","",SUMIF(RATEIOS!$A$2:$A$3142,$A615,RATEIOS!$F$2:$F$3142))</f>
        <v>3310.4</v>
      </c>
      <c r="P615" s="15">
        <f t="shared" si="19"/>
        <v>0</v>
      </c>
      <c r="Q615" s="49" t="str">
        <f>IF(AND(J615=0,K615=0,L615=0,M615=0),"",IF(O615=0,"PENDENTE DE RATEIO",IF(ABS(P615)&gt;0.005,"DIVERGÊNCIA",IF(COUNTIF(RATEIOS!$A$2:$A$3142,$A615)-COUNTIFS(RATEIOS!$A$2:$A$3142,$A615,RATEIOS!$D$2:$D$3142,"&lt;&gt;")&gt;0,"NÃO CLASSIFICADO","RATEIO OK"))))</f>
        <v>RATEIO OK</v>
      </c>
      <c r="R615" s="49" t="s">
        <v>2553</v>
      </c>
      <c r="S615" s="14"/>
    </row>
    <row r="616" spans="1:19" ht="24.95" customHeight="1" x14ac:dyDescent="0.25">
      <c r="A616" s="49" t="s">
        <v>2094</v>
      </c>
      <c r="B616" s="98">
        <v>615</v>
      </c>
      <c r="C616" s="50">
        <v>46185</v>
      </c>
      <c r="D616" s="49">
        <f t="shared" si="18"/>
        <v>6</v>
      </c>
      <c r="E616" s="92" t="s">
        <v>118</v>
      </c>
      <c r="F616" s="49" t="s">
        <v>36</v>
      </c>
      <c r="G616" s="14" t="s">
        <v>136</v>
      </c>
      <c r="H616" s="14" t="s">
        <v>137</v>
      </c>
      <c r="I616" s="76" t="s">
        <v>941</v>
      </c>
      <c r="J616" s="73">
        <v>0</v>
      </c>
      <c r="K616" s="74">
        <v>400</v>
      </c>
      <c r="L616" s="72">
        <v>0</v>
      </c>
      <c r="M616" s="72">
        <v>0</v>
      </c>
      <c r="N616" s="72">
        <f>IF(AND(C616="",J616=0,K616=0,L616=0,M616=0),"",CADASTROS!$B$4+SUM($J$2:J616)+SUM($M$2:M616)-SUM($K$2:K616)-SUM($L$2:L616))</f>
        <v>416066.2600000021</v>
      </c>
      <c r="O616" s="72">
        <f>IF(A616="","",SUMIF(RATEIOS!$A$2:$A$3142,$A616,RATEIOS!$F$2:$F$3142))</f>
        <v>400</v>
      </c>
      <c r="P616" s="15">
        <f t="shared" si="19"/>
        <v>0</v>
      </c>
      <c r="Q616" s="49" t="str">
        <f>IF(AND(J616=0,K616=0,L616=0,M616=0),"",IF(O616=0,"PENDENTE DE RATEIO",IF(ABS(P616)&gt;0.005,"DIVERGÊNCIA",IF(COUNTIF(RATEIOS!$A$2:$A$3142,$A616)-COUNTIFS(RATEIOS!$A$2:$A$3142,$A616,RATEIOS!$D$2:$D$3142,"&lt;&gt;")&gt;0,"NÃO CLASSIFICADO","RATEIO OK"))))</f>
        <v>RATEIO OK</v>
      </c>
      <c r="R616" s="49" t="s">
        <v>2553</v>
      </c>
      <c r="S616" s="14"/>
    </row>
    <row r="617" spans="1:19" ht="24.95" customHeight="1" x14ac:dyDescent="0.25">
      <c r="A617" s="49" t="s">
        <v>2096</v>
      </c>
      <c r="B617" s="98">
        <v>616</v>
      </c>
      <c r="C617" s="50">
        <v>46185</v>
      </c>
      <c r="D617" s="49">
        <f t="shared" si="18"/>
        <v>6</v>
      </c>
      <c r="E617" s="92" t="s">
        <v>2556</v>
      </c>
      <c r="F617" s="49" t="s">
        <v>36</v>
      </c>
      <c r="G617" s="14" t="s">
        <v>517</v>
      </c>
      <c r="H617" s="14" t="s">
        <v>517</v>
      </c>
      <c r="I617" s="76" t="s">
        <v>412</v>
      </c>
      <c r="J617" s="73">
        <v>0</v>
      </c>
      <c r="K617" s="74">
        <v>21.8</v>
      </c>
      <c r="L617" s="72">
        <v>0</v>
      </c>
      <c r="M617" s="72">
        <v>0</v>
      </c>
      <c r="N617" s="72">
        <f>IF(AND(C617="",J617=0,K617=0,L617=0,M617=0),"",CADASTROS!$B$4+SUM($J$2:J617)+SUM($M$2:M617)-SUM($K$2:K617)-SUM($L$2:L617))</f>
        <v>416044.46000000229</v>
      </c>
      <c r="O617" s="72">
        <f>IF(A617="","",SUMIF(RATEIOS!$A$2:$A$3142,$A617,RATEIOS!$F$2:$F$3142))</f>
        <v>21.8</v>
      </c>
      <c r="P617" s="15">
        <f t="shared" si="19"/>
        <v>0</v>
      </c>
      <c r="Q617" s="49" t="str">
        <f>IF(AND(J617=0,K617=0,L617=0,M617=0),"",IF(O617=0,"PENDENTE DE RATEIO",IF(ABS(P617)&gt;0.005,"DIVERGÊNCIA",IF(COUNTIF(RATEIOS!$A$2:$A$3142,$A617)-COUNTIFS(RATEIOS!$A$2:$A$3142,$A617,RATEIOS!$D$2:$D$3142,"&lt;&gt;")&gt;0,"NÃO CLASSIFICADO","RATEIO OK"))))</f>
        <v>RATEIO OK</v>
      </c>
      <c r="R617" s="49" t="s">
        <v>2553</v>
      </c>
      <c r="S617" s="14"/>
    </row>
    <row r="618" spans="1:19" ht="24.95" customHeight="1" x14ac:dyDescent="0.25">
      <c r="A618" s="49" t="s">
        <v>2097</v>
      </c>
      <c r="B618" s="98">
        <v>617</v>
      </c>
      <c r="C618" s="50">
        <v>46188</v>
      </c>
      <c r="D618" s="49">
        <f t="shared" si="18"/>
        <v>6</v>
      </c>
      <c r="E618" s="92" t="s">
        <v>123</v>
      </c>
      <c r="F618" s="49" t="s">
        <v>36</v>
      </c>
      <c r="G618" s="14" t="s">
        <v>942</v>
      </c>
      <c r="H618" s="14" t="s">
        <v>3183</v>
      </c>
      <c r="I618" s="76" t="s">
        <v>412</v>
      </c>
      <c r="J618" s="73">
        <v>0</v>
      </c>
      <c r="K618" s="74">
        <v>36168.61</v>
      </c>
      <c r="L618" s="72">
        <v>0</v>
      </c>
      <c r="M618" s="72">
        <v>0</v>
      </c>
      <c r="N618" s="72">
        <f>IF(AND(C618="",J618=0,K618=0,L618=0,M618=0),"",CADASTROS!$B$4+SUM($J$2:J618)+SUM($M$2:M618)-SUM($K$2:K618)-SUM($L$2:L618))</f>
        <v>379875.85000000242</v>
      </c>
      <c r="O618" s="72">
        <f>IF(A618="","",SUMIF(RATEIOS!$A$2:$A$3142,$A618,RATEIOS!$F$2:$F$3142))</f>
        <v>36168.61</v>
      </c>
      <c r="P618" s="15">
        <f t="shared" si="19"/>
        <v>0</v>
      </c>
      <c r="Q618" s="49" t="str">
        <f>IF(AND(J618=0,K618=0,L618=0,M618=0),"",IF(O618=0,"PENDENTE DE RATEIO",IF(ABS(P618)&gt;0.005,"DIVERGÊNCIA",IF(COUNTIF(RATEIOS!$A$2:$A$3142,$A618)-COUNTIFS(RATEIOS!$A$2:$A$3142,$A618,RATEIOS!$D$2:$D$3142,"&lt;&gt;")&gt;0,"NÃO CLASSIFICADO","RATEIO OK"))))</f>
        <v>RATEIO OK</v>
      </c>
      <c r="R618" s="49" t="s">
        <v>2553</v>
      </c>
      <c r="S618" s="14"/>
    </row>
    <row r="619" spans="1:19" ht="24.95" customHeight="1" x14ac:dyDescent="0.25">
      <c r="A619" s="49" t="s">
        <v>2098</v>
      </c>
      <c r="B619" s="98">
        <v>618</v>
      </c>
      <c r="C619" s="50">
        <v>46188</v>
      </c>
      <c r="D619" s="49">
        <f t="shared" si="18"/>
        <v>6</v>
      </c>
      <c r="E619" s="92" t="s">
        <v>118</v>
      </c>
      <c r="F619" s="49" t="s">
        <v>36</v>
      </c>
      <c r="G619" s="14" t="s">
        <v>943</v>
      </c>
      <c r="H619" s="14" t="s">
        <v>204</v>
      </c>
      <c r="I619" s="76" t="s">
        <v>647</v>
      </c>
      <c r="J619" s="73">
        <v>0</v>
      </c>
      <c r="K619" s="74">
        <v>8192.69</v>
      </c>
      <c r="L619" s="72">
        <v>0</v>
      </c>
      <c r="M619" s="72">
        <v>0</v>
      </c>
      <c r="N619" s="72">
        <f>IF(AND(C619="",J619=0,K619=0,L619=0,M619=0),"",CADASTROS!$B$4+SUM($J$2:J619)+SUM($M$2:M619)-SUM($K$2:K619)-SUM($L$2:L619))</f>
        <v>371683.16000000248</v>
      </c>
      <c r="O619" s="72">
        <f>IF(A619="","",SUMIF(RATEIOS!$A$2:$A$3142,$A619,RATEIOS!$F$2:$F$3142))</f>
        <v>8192.69</v>
      </c>
      <c r="P619" s="15">
        <f t="shared" si="19"/>
        <v>0</v>
      </c>
      <c r="Q619" s="49" t="str">
        <f>IF(AND(J619=0,K619=0,L619=0,M619=0),"",IF(O619=0,"PENDENTE DE RATEIO",IF(ABS(P619)&gt;0.005,"DIVERGÊNCIA",IF(COUNTIF(RATEIOS!$A$2:$A$3142,$A619)-COUNTIFS(RATEIOS!$A$2:$A$3142,$A619,RATEIOS!$D$2:$D$3142,"&lt;&gt;")&gt;0,"NÃO CLASSIFICADO","RATEIO OK"))))</f>
        <v>RATEIO OK</v>
      </c>
      <c r="R619" s="49" t="s">
        <v>2553</v>
      </c>
      <c r="S619" s="14"/>
    </row>
    <row r="620" spans="1:19" ht="24.95" customHeight="1" x14ac:dyDescent="0.25">
      <c r="A620" s="49" t="s">
        <v>2099</v>
      </c>
      <c r="B620" s="98">
        <v>619</v>
      </c>
      <c r="C620" s="50">
        <v>46188</v>
      </c>
      <c r="D620" s="49">
        <f t="shared" si="18"/>
        <v>6</v>
      </c>
      <c r="E620" s="92" t="s">
        <v>118</v>
      </c>
      <c r="F620" s="49" t="s">
        <v>36</v>
      </c>
      <c r="G620" s="14" t="s">
        <v>305</v>
      </c>
      <c r="H620" s="14" t="s">
        <v>3207</v>
      </c>
      <c r="I620" s="76" t="s">
        <v>944</v>
      </c>
      <c r="J620" s="73">
        <v>0</v>
      </c>
      <c r="K620" s="74">
        <v>207</v>
      </c>
      <c r="L620" s="72">
        <v>0</v>
      </c>
      <c r="M620" s="72">
        <v>0</v>
      </c>
      <c r="N620" s="72">
        <f>IF(AND(C620="",J620=0,K620=0,L620=0,M620=0),"",CADASTROS!$B$4+SUM($J$2:J620)+SUM($M$2:M620)-SUM($K$2:K620)-SUM($L$2:L620))</f>
        <v>371476.16000000248</v>
      </c>
      <c r="O620" s="72">
        <f>IF(A620="","",SUMIF(RATEIOS!$A$2:$A$3142,$A620,RATEIOS!$F$2:$F$3142))</f>
        <v>207</v>
      </c>
      <c r="P620" s="15">
        <f t="shared" si="19"/>
        <v>0</v>
      </c>
      <c r="Q620" s="49" t="str">
        <f>IF(AND(J620=0,K620=0,L620=0,M620=0),"",IF(O620=0,"PENDENTE DE RATEIO",IF(ABS(P620)&gt;0.005,"DIVERGÊNCIA",IF(COUNTIF(RATEIOS!$A$2:$A$3142,$A620)-COUNTIFS(RATEIOS!$A$2:$A$3142,$A620,RATEIOS!$D$2:$D$3142,"&lt;&gt;")&gt;0,"NÃO CLASSIFICADO","RATEIO OK"))))</f>
        <v>RATEIO OK</v>
      </c>
      <c r="R620" s="49" t="s">
        <v>2553</v>
      </c>
      <c r="S620" s="14"/>
    </row>
    <row r="621" spans="1:19" ht="24.95" customHeight="1" x14ac:dyDescent="0.25">
      <c r="A621" s="49" t="s">
        <v>2100</v>
      </c>
      <c r="B621" s="98">
        <v>620</v>
      </c>
      <c r="C621" s="50">
        <v>46188</v>
      </c>
      <c r="D621" s="49">
        <f t="shared" si="18"/>
        <v>6</v>
      </c>
      <c r="E621" s="92" t="s">
        <v>118</v>
      </c>
      <c r="F621" s="49" t="s">
        <v>36</v>
      </c>
      <c r="G621" s="14" t="s">
        <v>305</v>
      </c>
      <c r="H621" s="14" t="s">
        <v>3207</v>
      </c>
      <c r="I621" s="76" t="s">
        <v>945</v>
      </c>
      <c r="J621" s="73">
        <v>0</v>
      </c>
      <c r="K621" s="74">
        <v>95</v>
      </c>
      <c r="L621" s="72">
        <v>0</v>
      </c>
      <c r="M621" s="72">
        <v>0</v>
      </c>
      <c r="N621" s="72">
        <f>IF(AND(C621="",J621=0,K621=0,L621=0,M621=0),"",CADASTROS!$B$4+SUM($J$2:J621)+SUM($M$2:M621)-SUM($K$2:K621)-SUM($L$2:L621))</f>
        <v>371381.16000000248</v>
      </c>
      <c r="O621" s="72">
        <f>IF(A621="","",SUMIF(RATEIOS!$A$2:$A$3142,$A621,RATEIOS!$F$2:$F$3142))</f>
        <v>95</v>
      </c>
      <c r="P621" s="15">
        <f t="shared" si="19"/>
        <v>0</v>
      </c>
      <c r="Q621" s="49" t="str">
        <f>IF(AND(J621=0,K621=0,L621=0,M621=0),"",IF(O621=0,"PENDENTE DE RATEIO",IF(ABS(P621)&gt;0.005,"DIVERGÊNCIA",IF(COUNTIF(RATEIOS!$A$2:$A$3142,$A621)-COUNTIFS(RATEIOS!$A$2:$A$3142,$A621,RATEIOS!$D$2:$D$3142,"&lt;&gt;")&gt;0,"NÃO CLASSIFICADO","RATEIO OK"))))</f>
        <v>RATEIO OK</v>
      </c>
      <c r="R621" s="49" t="s">
        <v>2553</v>
      </c>
      <c r="S621" s="14"/>
    </row>
    <row r="622" spans="1:19" ht="24.95" customHeight="1" x14ac:dyDescent="0.25">
      <c r="A622" s="49" t="s">
        <v>2101</v>
      </c>
      <c r="B622" s="98">
        <v>621</v>
      </c>
      <c r="C622" s="50">
        <v>46188</v>
      </c>
      <c r="D622" s="49">
        <f t="shared" si="18"/>
        <v>6</v>
      </c>
      <c r="E622" s="92" t="s">
        <v>2556</v>
      </c>
      <c r="F622" s="49" t="s">
        <v>36</v>
      </c>
      <c r="G622" s="14" t="s">
        <v>276</v>
      </c>
      <c r="H622" s="14" t="s">
        <v>277</v>
      </c>
      <c r="I622" s="76" t="s">
        <v>412</v>
      </c>
      <c r="J622" s="73">
        <v>0</v>
      </c>
      <c r="K622" s="74">
        <v>38.5</v>
      </c>
      <c r="L622" s="72">
        <v>0</v>
      </c>
      <c r="M622" s="72">
        <v>0</v>
      </c>
      <c r="N622" s="72">
        <f>IF(AND(C622="",J622=0,K622=0,L622=0,M622=0),"",CADASTROS!$B$4+SUM($J$2:J622)+SUM($M$2:M622)-SUM($K$2:K622)-SUM($L$2:L622))</f>
        <v>371342.66000000248</v>
      </c>
      <c r="O622" s="72">
        <f>IF(A622="","",SUMIF(RATEIOS!$A$2:$A$3142,$A622,RATEIOS!$F$2:$F$3142))</f>
        <v>38.5</v>
      </c>
      <c r="P622" s="15">
        <f t="shared" si="19"/>
        <v>0</v>
      </c>
      <c r="Q622" s="49" t="str">
        <f>IF(AND(J622=0,K622=0,L622=0,M622=0),"",IF(O622=0,"PENDENTE DE RATEIO",IF(ABS(P622)&gt;0.005,"DIVERGÊNCIA",IF(COUNTIF(RATEIOS!$A$2:$A$3142,$A622)-COUNTIFS(RATEIOS!$A$2:$A$3142,$A622,RATEIOS!$D$2:$D$3142,"&lt;&gt;")&gt;0,"NÃO CLASSIFICADO","RATEIO OK"))))</f>
        <v>RATEIO OK</v>
      </c>
      <c r="R622" s="49" t="s">
        <v>2553</v>
      </c>
      <c r="S622" s="14"/>
    </row>
    <row r="623" spans="1:19" ht="24.95" customHeight="1" x14ac:dyDescent="0.25">
      <c r="A623" s="49" t="s">
        <v>2102</v>
      </c>
      <c r="B623" s="98">
        <v>622</v>
      </c>
      <c r="C623" s="50">
        <v>46190</v>
      </c>
      <c r="D623" s="49">
        <f t="shared" si="18"/>
        <v>6</v>
      </c>
      <c r="E623" s="92" t="s">
        <v>72</v>
      </c>
      <c r="F623" s="49" t="s">
        <v>36</v>
      </c>
      <c r="G623" s="14" t="s">
        <v>946</v>
      </c>
      <c r="H623" s="14" t="s">
        <v>425</v>
      </c>
      <c r="I623" s="76" t="s">
        <v>497</v>
      </c>
      <c r="J623" s="73">
        <v>0</v>
      </c>
      <c r="K623" s="74">
        <v>12000</v>
      </c>
      <c r="L623" s="72">
        <v>0</v>
      </c>
      <c r="M623" s="72">
        <v>0</v>
      </c>
      <c r="N623" s="72">
        <f>IF(AND(C623="",J623=0,K623=0,L623=0,M623=0),"",CADASTROS!$B$4+SUM($J$2:J623)+SUM($M$2:M623)-SUM($K$2:K623)-SUM($L$2:L623))</f>
        <v>359342.66000000248</v>
      </c>
      <c r="O623" s="72">
        <f>IF(A623="","",SUMIF(RATEIOS!$A$2:$A$3142,$A623,RATEIOS!$F$2:$F$3142))</f>
        <v>12000</v>
      </c>
      <c r="P623" s="15">
        <f t="shared" si="19"/>
        <v>0</v>
      </c>
      <c r="Q623" s="49" t="str">
        <f>IF(AND(J623=0,K623=0,L623=0,M623=0),"",IF(O623=0,"PENDENTE DE RATEIO",IF(ABS(P623)&gt;0.005,"DIVERGÊNCIA",IF(COUNTIF(RATEIOS!$A$2:$A$3142,$A623)-COUNTIFS(RATEIOS!$A$2:$A$3142,$A623,RATEIOS!$D$2:$D$3142,"&lt;&gt;")&gt;0,"NÃO CLASSIFICADO","RATEIO OK"))))</f>
        <v>RATEIO OK</v>
      </c>
      <c r="R623" s="49" t="s">
        <v>2553</v>
      </c>
      <c r="S623" s="14" t="s">
        <v>899</v>
      </c>
    </row>
    <row r="624" spans="1:19" ht="24.95" customHeight="1" x14ac:dyDescent="0.25">
      <c r="A624" s="49" t="s">
        <v>2103</v>
      </c>
      <c r="B624" s="98">
        <v>623</v>
      </c>
      <c r="C624" s="50">
        <v>46190</v>
      </c>
      <c r="D624" s="49">
        <f t="shared" si="18"/>
        <v>6</v>
      </c>
      <c r="E624" s="92" t="s">
        <v>72</v>
      </c>
      <c r="F624" s="49" t="s">
        <v>36</v>
      </c>
      <c r="G624" s="14" t="s">
        <v>947</v>
      </c>
      <c r="H624" s="14" t="s">
        <v>419</v>
      </c>
      <c r="I624" s="76" t="s">
        <v>948</v>
      </c>
      <c r="J624" s="73">
        <v>0</v>
      </c>
      <c r="K624" s="74">
        <v>8000</v>
      </c>
      <c r="L624" s="72">
        <v>0</v>
      </c>
      <c r="M624" s="72">
        <v>0</v>
      </c>
      <c r="N624" s="72">
        <f>IF(AND(C624="",J624=0,K624=0,L624=0,M624=0),"",CADASTROS!$B$4+SUM($J$2:J624)+SUM($M$2:M624)-SUM($K$2:K624)-SUM($L$2:L624))</f>
        <v>351342.66000000248</v>
      </c>
      <c r="O624" s="72">
        <f>IF(A624="","",SUMIF(RATEIOS!$A$2:$A$3142,$A624,RATEIOS!$F$2:$F$3142))</f>
        <v>8000</v>
      </c>
      <c r="P624" s="15">
        <f t="shared" si="19"/>
        <v>0</v>
      </c>
      <c r="Q624" s="49" t="str">
        <f>IF(AND(J624=0,K624=0,L624=0,M624=0),"",IF(O624=0,"PENDENTE DE RATEIO",IF(ABS(P624)&gt;0.005,"DIVERGÊNCIA",IF(COUNTIF(RATEIOS!$A$2:$A$3142,$A624)-COUNTIFS(RATEIOS!$A$2:$A$3142,$A624,RATEIOS!$D$2:$D$3142,"&lt;&gt;")&gt;0,"NÃO CLASSIFICADO","RATEIO OK"))))</f>
        <v>RATEIO OK</v>
      </c>
      <c r="R624" s="49" t="s">
        <v>2553</v>
      </c>
      <c r="S624" s="14" t="s">
        <v>949</v>
      </c>
    </row>
    <row r="625" spans="1:19" ht="24.95" customHeight="1" x14ac:dyDescent="0.25">
      <c r="A625" s="49" t="s">
        <v>2106</v>
      </c>
      <c r="B625" s="98">
        <v>624</v>
      </c>
      <c r="C625" s="50">
        <v>46190</v>
      </c>
      <c r="D625" s="49">
        <f t="shared" si="18"/>
        <v>6</v>
      </c>
      <c r="E625" s="92" t="s">
        <v>72</v>
      </c>
      <c r="F625" s="49" t="s">
        <v>36</v>
      </c>
      <c r="G625" s="14" t="s">
        <v>950</v>
      </c>
      <c r="H625" s="14" t="s">
        <v>951</v>
      </c>
      <c r="I625" s="76" t="s">
        <v>157</v>
      </c>
      <c r="J625" s="73">
        <v>0</v>
      </c>
      <c r="K625" s="74">
        <v>2200</v>
      </c>
      <c r="L625" s="72">
        <v>0</v>
      </c>
      <c r="M625" s="72">
        <v>0</v>
      </c>
      <c r="N625" s="72">
        <f>IF(AND(C625="",J625=0,K625=0,L625=0,M625=0),"",CADASTROS!$B$4+SUM($J$2:J625)+SUM($M$2:M625)-SUM($K$2:K625)-SUM($L$2:L625))</f>
        <v>349142.66000000248</v>
      </c>
      <c r="O625" s="72">
        <f>IF(A625="","",SUMIF(RATEIOS!$A$2:$A$3142,$A625,RATEIOS!$F$2:$F$3142))</f>
        <v>2200</v>
      </c>
      <c r="P625" s="15">
        <f t="shared" si="19"/>
        <v>0</v>
      </c>
      <c r="Q625" s="49" t="str">
        <f>IF(AND(J625=0,K625=0,L625=0,M625=0),"",IF(O625=0,"PENDENTE DE RATEIO",IF(ABS(P625)&gt;0.005,"DIVERGÊNCIA",IF(COUNTIF(RATEIOS!$A$2:$A$3142,$A625)-COUNTIFS(RATEIOS!$A$2:$A$3142,$A625,RATEIOS!$D$2:$D$3142,"&lt;&gt;")&gt;0,"NÃO CLASSIFICADO","RATEIO OK"))))</f>
        <v>RATEIO OK</v>
      </c>
      <c r="R625" s="49" t="s">
        <v>2553</v>
      </c>
      <c r="S625" s="14"/>
    </row>
    <row r="626" spans="1:19" ht="24.95" customHeight="1" x14ac:dyDescent="0.25">
      <c r="A626" s="49" t="s">
        <v>2107</v>
      </c>
      <c r="B626" s="98">
        <v>625</v>
      </c>
      <c r="C626" s="50">
        <v>46191</v>
      </c>
      <c r="D626" s="49">
        <f t="shared" si="18"/>
        <v>6</v>
      </c>
      <c r="E626" s="92" t="s">
        <v>72</v>
      </c>
      <c r="F626" s="49" t="s">
        <v>36</v>
      </c>
      <c r="G626" s="14" t="s">
        <v>952</v>
      </c>
      <c r="H626" s="14" t="s">
        <v>953</v>
      </c>
      <c r="I626" s="76" t="s">
        <v>954</v>
      </c>
      <c r="J626" s="73">
        <v>0</v>
      </c>
      <c r="K626" s="74">
        <v>1940</v>
      </c>
      <c r="L626" s="72">
        <v>0</v>
      </c>
      <c r="M626" s="72">
        <v>0</v>
      </c>
      <c r="N626" s="72">
        <f>IF(AND(C626="",J626=0,K626=0,L626=0,M626=0),"",CADASTROS!$B$4+SUM($J$2:J626)+SUM($M$2:M626)-SUM($K$2:K626)-SUM($L$2:L626))</f>
        <v>347202.66000000248</v>
      </c>
      <c r="O626" s="72">
        <f>IF(A626="","",SUMIF(RATEIOS!$A$2:$A$3142,$A626,RATEIOS!$F$2:$F$3142))</f>
        <v>1940</v>
      </c>
      <c r="P626" s="15">
        <f t="shared" si="19"/>
        <v>0</v>
      </c>
      <c r="Q626" s="49" t="str">
        <f>IF(AND(J626=0,K626=0,L626=0,M626=0),"",IF(O626=0,"PENDENTE DE RATEIO",IF(ABS(P626)&gt;0.005,"DIVERGÊNCIA",IF(COUNTIF(RATEIOS!$A$2:$A$3142,$A626)-COUNTIFS(RATEIOS!$A$2:$A$3142,$A626,RATEIOS!$D$2:$D$3142,"&lt;&gt;")&gt;0,"NÃO CLASSIFICADO","RATEIO OK"))))</f>
        <v>RATEIO OK</v>
      </c>
      <c r="R626" s="49" t="s">
        <v>2553</v>
      </c>
      <c r="S626" s="14"/>
    </row>
    <row r="627" spans="1:19" ht="24.95" customHeight="1" x14ac:dyDescent="0.25">
      <c r="A627" s="49" t="s">
        <v>2108</v>
      </c>
      <c r="B627" s="98">
        <v>626</v>
      </c>
      <c r="C627" s="50">
        <v>46191</v>
      </c>
      <c r="D627" s="49">
        <f t="shared" si="18"/>
        <v>6</v>
      </c>
      <c r="E627" s="92" t="s">
        <v>72</v>
      </c>
      <c r="F627" s="49" t="s">
        <v>36</v>
      </c>
      <c r="G627" s="14" t="s">
        <v>955</v>
      </c>
      <c r="H627" s="14" t="s">
        <v>671</v>
      </c>
      <c r="I627" s="76" t="s">
        <v>412</v>
      </c>
      <c r="J627" s="73">
        <v>0</v>
      </c>
      <c r="K627" s="74">
        <v>374.22</v>
      </c>
      <c r="L627" s="72">
        <v>0</v>
      </c>
      <c r="M627" s="72">
        <v>0</v>
      </c>
      <c r="N627" s="72">
        <f>IF(AND(C627="",J627=0,K627=0,L627=0,M627=0),"",CADASTROS!$B$4+SUM($J$2:J627)+SUM($M$2:M627)-SUM($K$2:K627)-SUM($L$2:L627))</f>
        <v>346828.44000000227</v>
      </c>
      <c r="O627" s="72">
        <f>IF(A627="","",SUMIF(RATEIOS!$A$2:$A$3142,$A627,RATEIOS!$F$2:$F$3142))</f>
        <v>374.22</v>
      </c>
      <c r="P627" s="15">
        <f t="shared" si="19"/>
        <v>0</v>
      </c>
      <c r="Q627" s="49" t="str">
        <f>IF(AND(J627=0,K627=0,L627=0,M627=0),"",IF(O627=0,"PENDENTE DE RATEIO",IF(ABS(P627)&gt;0.005,"DIVERGÊNCIA",IF(COUNTIF(RATEIOS!$A$2:$A$3142,$A627)-COUNTIFS(RATEIOS!$A$2:$A$3142,$A627,RATEIOS!$D$2:$D$3142,"&lt;&gt;")&gt;0,"NÃO CLASSIFICADO","RATEIO OK"))))</f>
        <v>RATEIO OK</v>
      </c>
      <c r="R627" s="49" t="s">
        <v>2553</v>
      </c>
      <c r="S627" s="14"/>
    </row>
    <row r="628" spans="1:19" ht="24.95" customHeight="1" x14ac:dyDescent="0.25">
      <c r="A628" s="49" t="s">
        <v>2109</v>
      </c>
      <c r="B628" s="98">
        <v>627</v>
      </c>
      <c r="C628" s="50">
        <v>46191</v>
      </c>
      <c r="D628" s="49">
        <f t="shared" si="18"/>
        <v>6</v>
      </c>
      <c r="E628" s="92" t="s">
        <v>118</v>
      </c>
      <c r="F628" s="49" t="s">
        <v>36</v>
      </c>
      <c r="G628" s="14" t="s">
        <v>956</v>
      </c>
      <c r="H628" s="14" t="s">
        <v>125</v>
      </c>
      <c r="I628" s="76" t="s">
        <v>412</v>
      </c>
      <c r="J628" s="73">
        <v>0</v>
      </c>
      <c r="K628" s="74">
        <v>26603.56</v>
      </c>
      <c r="L628" s="72">
        <v>0</v>
      </c>
      <c r="M628" s="72">
        <v>0</v>
      </c>
      <c r="N628" s="72">
        <f>IF(AND(C628="",J628=0,K628=0,L628=0,M628=0),"",CADASTROS!$B$4+SUM($J$2:J628)+SUM($M$2:M628)-SUM($K$2:K628)-SUM($L$2:L628))</f>
        <v>320224.88000000222</v>
      </c>
      <c r="O628" s="72">
        <f>IF(A628="","",SUMIF(RATEIOS!$A$2:$A$3142,$A628,RATEIOS!$F$2:$F$3142))</f>
        <v>26603.56</v>
      </c>
      <c r="P628" s="15">
        <f t="shared" si="19"/>
        <v>0</v>
      </c>
      <c r="Q628" s="49" t="str">
        <f>IF(AND(J628=0,K628=0,L628=0,M628=0),"",IF(O628=0,"PENDENTE DE RATEIO",IF(ABS(P628)&gt;0.005,"DIVERGÊNCIA",IF(COUNTIF(RATEIOS!$A$2:$A$3142,$A628)-COUNTIFS(RATEIOS!$A$2:$A$3142,$A628,RATEIOS!$D$2:$D$3142,"&lt;&gt;")&gt;0,"NÃO CLASSIFICADO","RATEIO OK"))))</f>
        <v>RATEIO OK</v>
      </c>
      <c r="R628" s="49" t="s">
        <v>2553</v>
      </c>
      <c r="S628" s="14"/>
    </row>
    <row r="629" spans="1:19" ht="24.95" customHeight="1" x14ac:dyDescent="0.25">
      <c r="A629" s="49" t="s">
        <v>2110</v>
      </c>
      <c r="B629" s="98">
        <v>628</v>
      </c>
      <c r="C629" s="50">
        <v>46191</v>
      </c>
      <c r="D629" s="49">
        <f t="shared" si="18"/>
        <v>6</v>
      </c>
      <c r="E629" s="92" t="s">
        <v>118</v>
      </c>
      <c r="F629" s="49" t="s">
        <v>36</v>
      </c>
      <c r="G629" s="14" t="s">
        <v>957</v>
      </c>
      <c r="H629" s="14" t="s">
        <v>252</v>
      </c>
      <c r="I629" s="76" t="s">
        <v>958</v>
      </c>
      <c r="J629" s="73">
        <v>0</v>
      </c>
      <c r="K629" s="74">
        <v>18968.2</v>
      </c>
      <c r="L629" s="72">
        <v>0</v>
      </c>
      <c r="M629" s="72">
        <v>0</v>
      </c>
      <c r="N629" s="72">
        <f>IF(AND(C629="",J629=0,K629=0,L629=0,M629=0),"",CADASTROS!$B$4+SUM($J$2:J629)+SUM($M$2:M629)-SUM($K$2:K629)-SUM($L$2:L629))</f>
        <v>301256.68000000203</v>
      </c>
      <c r="O629" s="72">
        <f>IF(A629="","",SUMIF(RATEIOS!$A$2:$A$3142,$A629,RATEIOS!$F$2:$F$3142))</f>
        <v>18968.2</v>
      </c>
      <c r="P629" s="15">
        <f t="shared" si="19"/>
        <v>0</v>
      </c>
      <c r="Q629" s="49" t="str">
        <f>IF(AND(J629=0,K629=0,L629=0,M629=0),"",IF(O629=0,"PENDENTE DE RATEIO",IF(ABS(P629)&gt;0.005,"DIVERGÊNCIA",IF(COUNTIF(RATEIOS!$A$2:$A$3142,$A629)-COUNTIFS(RATEIOS!$A$2:$A$3142,$A629,RATEIOS!$D$2:$D$3142,"&lt;&gt;")&gt;0,"NÃO CLASSIFICADO","RATEIO OK"))))</f>
        <v>RATEIO OK</v>
      </c>
      <c r="R629" s="49" t="s">
        <v>2553</v>
      </c>
      <c r="S629" s="14"/>
    </row>
    <row r="630" spans="1:19" ht="24.95" customHeight="1" x14ac:dyDescent="0.25">
      <c r="A630" s="49" t="s">
        <v>2111</v>
      </c>
      <c r="B630" s="98">
        <v>629</v>
      </c>
      <c r="C630" s="50">
        <v>46191</v>
      </c>
      <c r="D630" s="49">
        <f t="shared" si="18"/>
        <v>6</v>
      </c>
      <c r="E630" s="92" t="s">
        <v>118</v>
      </c>
      <c r="F630" s="49" t="s">
        <v>36</v>
      </c>
      <c r="G630" s="14" t="s">
        <v>218</v>
      </c>
      <c r="H630" s="14" t="s">
        <v>219</v>
      </c>
      <c r="I630" s="76" t="s">
        <v>959</v>
      </c>
      <c r="J630" s="73">
        <v>0</v>
      </c>
      <c r="K630" s="74">
        <v>1165.98</v>
      </c>
      <c r="L630" s="72">
        <v>0</v>
      </c>
      <c r="M630" s="72">
        <v>0</v>
      </c>
      <c r="N630" s="72">
        <f>IF(AND(C630="",J630=0,K630=0,L630=0,M630=0),"",CADASTROS!$B$4+SUM($J$2:J630)+SUM($M$2:M630)-SUM($K$2:K630)-SUM($L$2:L630))</f>
        <v>300090.70000000205</v>
      </c>
      <c r="O630" s="72">
        <f>IF(A630="","",SUMIF(RATEIOS!$A$2:$A$3142,$A630,RATEIOS!$F$2:$F$3142))</f>
        <v>1165.98</v>
      </c>
      <c r="P630" s="15">
        <f t="shared" si="19"/>
        <v>0</v>
      </c>
      <c r="Q630" s="49" t="str">
        <f>IF(AND(J630=0,K630=0,L630=0,M630=0),"",IF(O630=0,"PENDENTE DE RATEIO",IF(ABS(P630)&gt;0.005,"DIVERGÊNCIA",IF(COUNTIF(RATEIOS!$A$2:$A$3142,$A630)-COUNTIFS(RATEIOS!$A$2:$A$3142,$A630,RATEIOS!$D$2:$D$3142,"&lt;&gt;")&gt;0,"NÃO CLASSIFICADO","RATEIO OK"))))</f>
        <v>RATEIO OK</v>
      </c>
      <c r="R630" s="49" t="s">
        <v>2553</v>
      </c>
      <c r="S630" s="14"/>
    </row>
    <row r="631" spans="1:19" ht="24.95" customHeight="1" x14ac:dyDescent="0.25">
      <c r="A631" s="49" t="s">
        <v>2112</v>
      </c>
      <c r="B631" s="98">
        <v>630</v>
      </c>
      <c r="C631" s="50">
        <v>46191</v>
      </c>
      <c r="D631" s="49">
        <f t="shared" si="18"/>
        <v>6</v>
      </c>
      <c r="E631" s="92" t="s">
        <v>118</v>
      </c>
      <c r="F631" s="49" t="s">
        <v>36</v>
      </c>
      <c r="G631" s="14" t="s">
        <v>960</v>
      </c>
      <c r="H631" s="14" t="s">
        <v>143</v>
      </c>
      <c r="I631" s="76" t="s">
        <v>816</v>
      </c>
      <c r="J631" s="73">
        <v>0</v>
      </c>
      <c r="K631" s="74">
        <v>7583.75</v>
      </c>
      <c r="L631" s="72">
        <v>0</v>
      </c>
      <c r="M631" s="72">
        <v>0</v>
      </c>
      <c r="N631" s="72">
        <f>IF(AND(C631="",J631=0,K631=0,L631=0,M631=0),"",CADASTROS!$B$4+SUM($J$2:J631)+SUM($M$2:M631)-SUM($K$2:K631)-SUM($L$2:L631))</f>
        <v>292506.95000000205</v>
      </c>
      <c r="O631" s="72">
        <f>IF(A631="","",SUMIF(RATEIOS!$A$2:$A$3142,$A631,RATEIOS!$F$2:$F$3142))</f>
        <v>7583.75</v>
      </c>
      <c r="P631" s="15">
        <f t="shared" si="19"/>
        <v>0</v>
      </c>
      <c r="Q631" s="49" t="str">
        <f>IF(AND(J631=0,K631=0,L631=0,M631=0),"",IF(O631=0,"PENDENTE DE RATEIO",IF(ABS(P631)&gt;0.005,"DIVERGÊNCIA",IF(COUNTIF(RATEIOS!$A$2:$A$3142,$A631)-COUNTIFS(RATEIOS!$A$2:$A$3142,$A631,RATEIOS!$D$2:$D$3142,"&lt;&gt;")&gt;0,"NÃO CLASSIFICADO","RATEIO OK"))))</f>
        <v>RATEIO OK</v>
      </c>
      <c r="R631" s="49" t="s">
        <v>2553</v>
      </c>
      <c r="S631" s="14"/>
    </row>
    <row r="632" spans="1:19" ht="24.95" customHeight="1" x14ac:dyDescent="0.25">
      <c r="A632" s="49" t="s">
        <v>2113</v>
      </c>
      <c r="B632" s="98">
        <v>631</v>
      </c>
      <c r="C632" s="50">
        <v>46192</v>
      </c>
      <c r="D632" s="49">
        <f t="shared" si="18"/>
        <v>6</v>
      </c>
      <c r="E632" s="92" t="s">
        <v>118</v>
      </c>
      <c r="F632" s="49" t="s">
        <v>36</v>
      </c>
      <c r="G632" s="14" t="s">
        <v>961</v>
      </c>
      <c r="H632" s="14" t="s">
        <v>188</v>
      </c>
      <c r="I632" s="76" t="s">
        <v>962</v>
      </c>
      <c r="J632" s="73">
        <v>0</v>
      </c>
      <c r="K632" s="74">
        <v>1495</v>
      </c>
      <c r="L632" s="72">
        <v>0</v>
      </c>
      <c r="M632" s="72">
        <v>0</v>
      </c>
      <c r="N632" s="72">
        <f>IF(AND(C632="",J632=0,K632=0,L632=0,M632=0),"",CADASTROS!$B$4+SUM($J$2:J632)+SUM($M$2:M632)-SUM($K$2:K632)-SUM($L$2:L632))</f>
        <v>291011.95000000205</v>
      </c>
      <c r="O632" s="72">
        <f>IF(A632="","",SUMIF(RATEIOS!$A$2:$A$3142,$A632,RATEIOS!$F$2:$F$3142))</f>
        <v>1495</v>
      </c>
      <c r="P632" s="15">
        <f t="shared" si="19"/>
        <v>0</v>
      </c>
      <c r="Q632" s="49" t="str">
        <f>IF(AND(J632=0,K632=0,L632=0,M632=0),"",IF(O632=0,"PENDENTE DE RATEIO",IF(ABS(P632)&gt;0.005,"DIVERGÊNCIA",IF(COUNTIF(RATEIOS!$A$2:$A$3142,$A632)-COUNTIFS(RATEIOS!$A$2:$A$3142,$A632,RATEIOS!$D$2:$D$3142,"&lt;&gt;")&gt;0,"NÃO CLASSIFICADO","RATEIO OK"))))</f>
        <v>RATEIO OK</v>
      </c>
      <c r="R632" s="49" t="s">
        <v>2553</v>
      </c>
      <c r="S632" s="14"/>
    </row>
    <row r="633" spans="1:19" ht="24.95" customHeight="1" x14ac:dyDescent="0.25">
      <c r="A633" s="49" t="s">
        <v>2115</v>
      </c>
      <c r="B633" s="98">
        <v>632</v>
      </c>
      <c r="C633" s="50">
        <v>46192</v>
      </c>
      <c r="D633" s="49">
        <f t="shared" si="18"/>
        <v>6</v>
      </c>
      <c r="E633" s="92" t="s">
        <v>169</v>
      </c>
      <c r="F633" s="49" t="s">
        <v>36</v>
      </c>
      <c r="G633" s="14" t="s">
        <v>170</v>
      </c>
      <c r="H633" s="14" t="s">
        <v>2741</v>
      </c>
      <c r="I633" s="76" t="s">
        <v>412</v>
      </c>
      <c r="J633" s="73">
        <v>0</v>
      </c>
      <c r="K633" s="74">
        <v>18.64</v>
      </c>
      <c r="L633" s="72">
        <v>0</v>
      </c>
      <c r="M633" s="72">
        <v>0</v>
      </c>
      <c r="N633" s="72">
        <f>IF(AND(C633="",J633=0,K633=0,L633=0,M633=0),"",CADASTROS!$B$4+SUM($J$2:J633)+SUM($M$2:M633)-SUM($K$2:K633)-SUM($L$2:L633))</f>
        <v>290993.31000000192</v>
      </c>
      <c r="O633" s="72">
        <f>IF(A633="","",SUMIF(RATEIOS!$A$2:$A$3142,$A633,RATEIOS!$F$2:$F$3142))</f>
        <v>18.64</v>
      </c>
      <c r="P633" s="15">
        <f t="shared" si="19"/>
        <v>0</v>
      </c>
      <c r="Q633" s="49" t="str">
        <f>IF(AND(J633=0,K633=0,L633=0,M633=0),"",IF(O633=0,"PENDENTE DE RATEIO",IF(ABS(P633)&gt;0.005,"DIVERGÊNCIA",IF(COUNTIF(RATEIOS!$A$2:$A$3142,$A633)-COUNTIFS(RATEIOS!$A$2:$A$3142,$A633,RATEIOS!$D$2:$D$3142,"&lt;&gt;")&gt;0,"NÃO CLASSIFICADO","RATEIO OK"))))</f>
        <v>RATEIO OK</v>
      </c>
      <c r="R633" s="49" t="s">
        <v>2553</v>
      </c>
      <c r="S633" s="14"/>
    </row>
    <row r="634" spans="1:19" ht="24.95" customHeight="1" x14ac:dyDescent="0.25">
      <c r="A634" s="49" t="s">
        <v>2116</v>
      </c>
      <c r="B634" s="98">
        <v>633</v>
      </c>
      <c r="C634" s="50">
        <v>46192</v>
      </c>
      <c r="D634" s="49">
        <f t="shared" si="18"/>
        <v>6</v>
      </c>
      <c r="E634" s="92" t="s">
        <v>169</v>
      </c>
      <c r="F634" s="49" t="s">
        <v>36</v>
      </c>
      <c r="G634" s="14" t="s">
        <v>168</v>
      </c>
      <c r="H634" s="14" t="s">
        <v>2741</v>
      </c>
      <c r="I634" s="76" t="s">
        <v>412</v>
      </c>
      <c r="J634" s="73">
        <v>0</v>
      </c>
      <c r="K634" s="74">
        <v>57.77</v>
      </c>
      <c r="L634" s="72">
        <v>0</v>
      </c>
      <c r="M634" s="72">
        <v>0</v>
      </c>
      <c r="N634" s="72">
        <f>IF(AND(C634="",J634=0,K634=0,L634=0,M634=0),"",CADASTROS!$B$4+SUM($J$2:J634)+SUM($M$2:M634)-SUM($K$2:K634)-SUM($L$2:L634))</f>
        <v>290935.5400000019</v>
      </c>
      <c r="O634" s="72">
        <f>IF(A634="","",SUMIF(RATEIOS!$A$2:$A$3142,$A634,RATEIOS!$F$2:$F$3142))</f>
        <v>57.77</v>
      </c>
      <c r="P634" s="15">
        <f t="shared" si="19"/>
        <v>0</v>
      </c>
      <c r="Q634" s="49" t="str">
        <f>IF(AND(J634=0,K634=0,L634=0,M634=0),"",IF(O634=0,"PENDENTE DE RATEIO",IF(ABS(P634)&gt;0.005,"DIVERGÊNCIA",IF(COUNTIF(RATEIOS!$A$2:$A$3142,$A634)-COUNTIFS(RATEIOS!$A$2:$A$3142,$A634,RATEIOS!$D$2:$D$3142,"&lt;&gt;")&gt;0,"NÃO CLASSIFICADO","RATEIO OK"))))</f>
        <v>RATEIO OK</v>
      </c>
      <c r="R634" s="49" t="s">
        <v>2553</v>
      </c>
      <c r="S634" s="14"/>
    </row>
    <row r="635" spans="1:19" ht="24.95" customHeight="1" x14ac:dyDescent="0.25">
      <c r="A635" s="49" t="s">
        <v>2119</v>
      </c>
      <c r="B635" s="98">
        <v>634</v>
      </c>
      <c r="C635" s="50">
        <v>46192</v>
      </c>
      <c r="D635" s="49">
        <f t="shared" si="18"/>
        <v>6</v>
      </c>
      <c r="E635" s="92" t="s">
        <v>72</v>
      </c>
      <c r="F635" s="49" t="s">
        <v>36</v>
      </c>
      <c r="G635" s="14" t="s">
        <v>963</v>
      </c>
      <c r="H635" s="14" t="s">
        <v>164</v>
      </c>
      <c r="I635" s="76" t="s">
        <v>412</v>
      </c>
      <c r="J635" s="73">
        <v>0</v>
      </c>
      <c r="K635" s="74">
        <v>8582.7800000000007</v>
      </c>
      <c r="L635" s="72">
        <v>0</v>
      </c>
      <c r="M635" s="72">
        <v>0</v>
      </c>
      <c r="N635" s="72">
        <f>IF(AND(C635="",J635=0,K635=0,L635=0,M635=0),"",CADASTROS!$B$4+SUM($J$2:J635)+SUM($M$2:M635)-SUM($K$2:K635)-SUM($L$2:L635))</f>
        <v>282352.7600000021</v>
      </c>
      <c r="O635" s="72">
        <f>IF(A635="","",SUMIF(RATEIOS!$A$2:$A$3142,$A635,RATEIOS!$F$2:$F$3142))</f>
        <v>8582.7800000000007</v>
      </c>
      <c r="P635" s="15">
        <f t="shared" si="19"/>
        <v>0</v>
      </c>
      <c r="Q635" s="49" t="str">
        <f>IF(AND(J635=0,K635=0,L635=0,M635=0),"",IF(O635=0,"PENDENTE DE RATEIO",IF(ABS(P635)&gt;0.005,"DIVERGÊNCIA",IF(COUNTIF(RATEIOS!$A$2:$A$3142,$A635)-COUNTIFS(RATEIOS!$A$2:$A$3142,$A635,RATEIOS!$D$2:$D$3142,"&lt;&gt;")&gt;0,"NÃO CLASSIFICADO","RATEIO OK"))))</f>
        <v>RATEIO OK</v>
      </c>
      <c r="R635" s="49" t="s">
        <v>2553</v>
      </c>
      <c r="S635" s="14"/>
    </row>
    <row r="636" spans="1:19" ht="24.95" customHeight="1" x14ac:dyDescent="0.25">
      <c r="A636" s="49" t="s">
        <v>2120</v>
      </c>
      <c r="B636" s="98">
        <v>635</v>
      </c>
      <c r="C636" s="50">
        <v>46192</v>
      </c>
      <c r="D636" s="49">
        <f t="shared" si="18"/>
        <v>6</v>
      </c>
      <c r="E636" s="92" t="s">
        <v>169</v>
      </c>
      <c r="F636" s="49" t="s">
        <v>36</v>
      </c>
      <c r="G636" s="14" t="s">
        <v>964</v>
      </c>
      <c r="H636" s="14" t="s">
        <v>167</v>
      </c>
      <c r="I636" s="76" t="s">
        <v>412</v>
      </c>
      <c r="J636" s="73">
        <v>0</v>
      </c>
      <c r="K636" s="74">
        <v>29965.3</v>
      </c>
      <c r="L636" s="72">
        <v>0</v>
      </c>
      <c r="M636" s="72">
        <v>0</v>
      </c>
      <c r="N636" s="72">
        <f>IF(AND(C636="",J636=0,K636=0,L636=0,M636=0),"",CADASTROS!$B$4+SUM($J$2:J636)+SUM($M$2:M636)-SUM($K$2:K636)-SUM($L$2:L636))</f>
        <v>252387.46000000229</v>
      </c>
      <c r="O636" s="72">
        <f>IF(A636="","",SUMIF(RATEIOS!$A$2:$A$3142,$A636,RATEIOS!$F$2:$F$3142))</f>
        <v>29965.3</v>
      </c>
      <c r="P636" s="15">
        <f t="shared" si="19"/>
        <v>0</v>
      </c>
      <c r="Q636" s="49" t="str">
        <f>IF(AND(J636=0,K636=0,L636=0,M636=0),"",IF(O636=0,"PENDENTE DE RATEIO",IF(ABS(P636)&gt;0.005,"DIVERGÊNCIA",IF(COUNTIF(RATEIOS!$A$2:$A$3142,$A636)-COUNTIFS(RATEIOS!$A$2:$A$3142,$A636,RATEIOS!$D$2:$D$3142,"&lt;&gt;")&gt;0,"NÃO CLASSIFICADO","RATEIO OK"))))</f>
        <v>RATEIO OK</v>
      </c>
      <c r="R636" s="49" t="s">
        <v>2553</v>
      </c>
      <c r="S636" s="14"/>
    </row>
    <row r="637" spans="1:19" ht="24.95" customHeight="1" x14ac:dyDescent="0.25">
      <c r="A637" s="49" t="s">
        <v>2121</v>
      </c>
      <c r="B637" s="98">
        <v>636</v>
      </c>
      <c r="C637" s="50">
        <v>46192</v>
      </c>
      <c r="D637" s="49">
        <f t="shared" si="18"/>
        <v>6</v>
      </c>
      <c r="E637" s="92" t="s">
        <v>72</v>
      </c>
      <c r="F637" s="49" t="s">
        <v>36</v>
      </c>
      <c r="G637" s="14" t="s">
        <v>965</v>
      </c>
      <c r="H637" s="14" t="s">
        <v>156</v>
      </c>
      <c r="I637" s="76" t="s">
        <v>966</v>
      </c>
      <c r="J637" s="73">
        <v>0</v>
      </c>
      <c r="K637" s="74">
        <v>9423.33</v>
      </c>
      <c r="L637" s="72">
        <v>0</v>
      </c>
      <c r="M637" s="72">
        <v>0</v>
      </c>
      <c r="N637" s="72">
        <f>IF(AND(C637="",J637=0,K637=0,L637=0,M637=0),"",CADASTROS!$B$4+SUM($J$2:J637)+SUM($M$2:M637)-SUM($K$2:K637)-SUM($L$2:L637))</f>
        <v>242964.13000000222</v>
      </c>
      <c r="O637" s="72">
        <f>IF(A637="","",SUMIF(RATEIOS!$A$2:$A$3142,$A637,RATEIOS!$F$2:$F$3142))</f>
        <v>9423.33</v>
      </c>
      <c r="P637" s="15">
        <f t="shared" si="19"/>
        <v>0</v>
      </c>
      <c r="Q637" s="49" t="str">
        <f>IF(AND(J637=0,K637=0,L637=0,M637=0),"",IF(O637=0,"PENDENTE DE RATEIO",IF(ABS(P637)&gt;0.005,"DIVERGÊNCIA",IF(COUNTIF(RATEIOS!$A$2:$A$3142,$A637)-COUNTIFS(RATEIOS!$A$2:$A$3142,$A637,RATEIOS!$D$2:$D$3142,"&lt;&gt;")&gt;0,"NÃO CLASSIFICADO","RATEIO OK"))))</f>
        <v>RATEIO OK</v>
      </c>
      <c r="R637" s="49" t="s">
        <v>2553</v>
      </c>
      <c r="S637" s="14"/>
    </row>
    <row r="638" spans="1:19" ht="24.95" customHeight="1" x14ac:dyDescent="0.25">
      <c r="A638" s="49" t="s">
        <v>2124</v>
      </c>
      <c r="B638" s="98">
        <v>637</v>
      </c>
      <c r="C638" s="50">
        <v>46195</v>
      </c>
      <c r="D638" s="49">
        <f t="shared" si="18"/>
        <v>6</v>
      </c>
      <c r="E638" s="92" t="s">
        <v>118</v>
      </c>
      <c r="F638" s="49" t="s">
        <v>36</v>
      </c>
      <c r="G638" s="14" t="s">
        <v>513</v>
      </c>
      <c r="H638" s="14" t="s">
        <v>67</v>
      </c>
      <c r="I638" s="89" t="s">
        <v>458</v>
      </c>
      <c r="J638" s="73">
        <v>0</v>
      </c>
      <c r="K638" s="74">
        <v>300</v>
      </c>
      <c r="L638" s="72">
        <v>0</v>
      </c>
      <c r="M638" s="72">
        <v>0</v>
      </c>
      <c r="N638" s="72">
        <f>IF(AND(C638="",J638=0,K638=0,L638=0,M638=0),"",CADASTROS!$B$4+SUM($J$2:J638)+SUM($M$2:M638)-SUM($K$2:K638)-SUM($L$2:L638))</f>
        <v>242664.13000000222</v>
      </c>
      <c r="O638" s="72">
        <f>IF(A638="","",SUMIF(RATEIOS!$A$2:$A$3142,$A638,RATEIOS!$F$2:$F$3142))</f>
        <v>300</v>
      </c>
      <c r="P638" s="15">
        <f t="shared" si="19"/>
        <v>0</v>
      </c>
      <c r="Q638" s="49" t="str">
        <f>IF(AND(J638=0,K638=0,L638=0,M638=0),"",IF(O638=0,"PENDENTE DE RATEIO",IF(ABS(P638)&gt;0.005,"DIVERGÊNCIA",IF(COUNTIF(RATEIOS!$A$2:$A$3142,$A638)-COUNTIFS(RATEIOS!$A$2:$A$3142,$A638,RATEIOS!$D$2:$D$3142,"&lt;&gt;")&gt;0,"NÃO CLASSIFICADO","RATEIO OK"))))</f>
        <v>RATEIO OK</v>
      </c>
      <c r="R638" s="49" t="s">
        <v>2553</v>
      </c>
      <c r="S638" s="14"/>
    </row>
    <row r="639" spans="1:19" ht="24.95" customHeight="1" x14ac:dyDescent="0.25">
      <c r="A639" s="49" t="s">
        <v>2125</v>
      </c>
      <c r="B639" s="98">
        <v>638</v>
      </c>
      <c r="C639" s="50">
        <v>46195</v>
      </c>
      <c r="D639" s="49">
        <f t="shared" si="18"/>
        <v>6</v>
      </c>
      <c r="E639" s="92" t="s">
        <v>118</v>
      </c>
      <c r="F639" s="49" t="s">
        <v>36</v>
      </c>
      <c r="G639" s="14" t="s">
        <v>967</v>
      </c>
      <c r="H639" s="14" t="s">
        <v>252</v>
      </c>
      <c r="I639" s="76" t="s">
        <v>810</v>
      </c>
      <c r="J639" s="73">
        <v>0</v>
      </c>
      <c r="K639" s="74">
        <v>17339.599999999999</v>
      </c>
      <c r="L639" s="72">
        <v>0</v>
      </c>
      <c r="M639" s="72">
        <v>0</v>
      </c>
      <c r="N639" s="72">
        <f>IF(AND(C639="",J639=0,K639=0,L639=0,M639=0),"",CADASTROS!$B$4+SUM($J$2:J639)+SUM($M$2:M639)-SUM($K$2:K639)-SUM($L$2:L639))</f>
        <v>225324.53000000212</v>
      </c>
      <c r="O639" s="72">
        <f>IF(A639="","",SUMIF(RATEIOS!$A$2:$A$3142,$A639,RATEIOS!$F$2:$F$3142))</f>
        <v>17339.599999999999</v>
      </c>
      <c r="P639" s="15">
        <f t="shared" si="19"/>
        <v>0</v>
      </c>
      <c r="Q639" s="49" t="str">
        <f>IF(AND(J639=0,K639=0,L639=0,M639=0),"",IF(O639=0,"PENDENTE DE RATEIO",IF(ABS(P639)&gt;0.005,"DIVERGÊNCIA",IF(COUNTIF(RATEIOS!$A$2:$A$3142,$A639)-COUNTIFS(RATEIOS!$A$2:$A$3142,$A639,RATEIOS!$D$2:$D$3142,"&lt;&gt;")&gt;0,"NÃO CLASSIFICADO","RATEIO OK"))))</f>
        <v>RATEIO OK</v>
      </c>
      <c r="R639" s="49" t="s">
        <v>2553</v>
      </c>
      <c r="S639" s="14"/>
    </row>
    <row r="640" spans="1:19" ht="24.95" customHeight="1" x14ac:dyDescent="0.25">
      <c r="A640" s="49" t="s">
        <v>2126</v>
      </c>
      <c r="B640" s="98">
        <v>639</v>
      </c>
      <c r="C640" s="50">
        <v>46195</v>
      </c>
      <c r="D640" s="49">
        <f t="shared" si="18"/>
        <v>6</v>
      </c>
      <c r="E640" s="92" t="s">
        <v>118</v>
      </c>
      <c r="F640" s="49" t="s">
        <v>36</v>
      </c>
      <c r="G640" s="14" t="s">
        <v>968</v>
      </c>
      <c r="H640" s="14" t="s">
        <v>51</v>
      </c>
      <c r="I640" s="76" t="s">
        <v>969</v>
      </c>
      <c r="J640" s="73">
        <v>0</v>
      </c>
      <c r="K640" s="74">
        <v>2040.57</v>
      </c>
      <c r="L640" s="72">
        <v>0</v>
      </c>
      <c r="M640" s="72">
        <v>0</v>
      </c>
      <c r="N640" s="72">
        <f>IF(AND(C640="",J640=0,K640=0,L640=0,M640=0),"",CADASTROS!$B$4+SUM($J$2:J640)+SUM($M$2:M640)-SUM($K$2:K640)-SUM($L$2:L640))</f>
        <v>223283.96000000229</v>
      </c>
      <c r="O640" s="72">
        <f>IF(A640="","",SUMIF(RATEIOS!$A$2:$A$3142,$A640,RATEIOS!$F$2:$F$3142))</f>
        <v>2040.5700000000002</v>
      </c>
      <c r="P640" s="15">
        <f t="shared" si="19"/>
        <v>-2.2737367544323206E-13</v>
      </c>
      <c r="Q640" s="49" t="str">
        <f>IF(AND(J640=0,K640=0,L640=0,M640=0),"",IF(O640=0,"PENDENTE DE RATEIO",IF(ABS(P640)&gt;0.005,"DIVERGÊNCIA",IF(COUNTIF(RATEIOS!$A$2:$A$3142,$A640)-COUNTIFS(RATEIOS!$A$2:$A$3142,$A640,RATEIOS!$D$2:$D$3142,"&lt;&gt;")&gt;0,"NÃO CLASSIFICADO","RATEIO OK"))))</f>
        <v>RATEIO OK</v>
      </c>
      <c r="R640" s="49" t="s">
        <v>2553</v>
      </c>
      <c r="S640" s="14"/>
    </row>
    <row r="641" spans="1:19" ht="24.95" customHeight="1" x14ac:dyDescent="0.25">
      <c r="A641" s="49" t="s">
        <v>2127</v>
      </c>
      <c r="B641" s="98">
        <v>640</v>
      </c>
      <c r="C641" s="50">
        <v>46195</v>
      </c>
      <c r="D641" s="49">
        <f t="shared" si="18"/>
        <v>6</v>
      </c>
      <c r="E641" s="92" t="s">
        <v>118</v>
      </c>
      <c r="F641" s="49" t="s">
        <v>36</v>
      </c>
      <c r="G641" s="14" t="s">
        <v>970</v>
      </c>
      <c r="H641" s="14" t="s">
        <v>252</v>
      </c>
      <c r="I641" s="76" t="s">
        <v>820</v>
      </c>
      <c r="J641" s="73">
        <v>0</v>
      </c>
      <c r="K641" s="74">
        <v>3884.4</v>
      </c>
      <c r="L641" s="72">
        <v>0</v>
      </c>
      <c r="M641" s="72">
        <v>0</v>
      </c>
      <c r="N641" s="72">
        <f>IF(AND(C641="",J641=0,K641=0,L641=0,M641=0),"",CADASTROS!$B$4+SUM($J$2:J641)+SUM($M$2:M641)-SUM($K$2:K641)-SUM($L$2:L641))</f>
        <v>219399.56000000238</v>
      </c>
      <c r="O641" s="72">
        <f>IF(A641="","",SUMIF(RATEIOS!$A$2:$A$3142,$A641,RATEIOS!$F$2:$F$3142))</f>
        <v>3884.4</v>
      </c>
      <c r="P641" s="15">
        <f t="shared" si="19"/>
        <v>0</v>
      </c>
      <c r="Q641" s="49" t="str">
        <f>IF(AND(J641=0,K641=0,L641=0,M641=0),"",IF(O641=0,"PENDENTE DE RATEIO",IF(ABS(P641)&gt;0.005,"DIVERGÊNCIA",IF(COUNTIF(RATEIOS!$A$2:$A$3142,$A641)-COUNTIFS(RATEIOS!$A$2:$A$3142,$A641,RATEIOS!$D$2:$D$3142,"&lt;&gt;")&gt;0,"NÃO CLASSIFICADO","RATEIO OK"))))</f>
        <v>RATEIO OK</v>
      </c>
      <c r="R641" s="49" t="s">
        <v>2553</v>
      </c>
      <c r="S641" s="14"/>
    </row>
    <row r="642" spans="1:19" ht="24.95" customHeight="1" x14ac:dyDescent="0.25">
      <c r="A642" s="49" t="s">
        <v>2128</v>
      </c>
      <c r="B642" s="98">
        <v>641</v>
      </c>
      <c r="C642" s="50">
        <v>46196</v>
      </c>
      <c r="D642" s="49">
        <f t="shared" ref="D642:D705" si="20">IF(C642="","",MONTH(C642))</f>
        <v>6</v>
      </c>
      <c r="E642" s="92" t="s">
        <v>118</v>
      </c>
      <c r="F642" s="49" t="s">
        <v>36</v>
      </c>
      <c r="G642" s="14" t="s">
        <v>971</v>
      </c>
      <c r="H642" s="14" t="s">
        <v>340</v>
      </c>
      <c r="I642" s="76" t="s">
        <v>848</v>
      </c>
      <c r="J642" s="73">
        <v>0</v>
      </c>
      <c r="K642" s="74">
        <v>1320</v>
      </c>
      <c r="L642" s="72">
        <v>0</v>
      </c>
      <c r="M642" s="72">
        <v>0</v>
      </c>
      <c r="N642" s="72">
        <f>IF(AND(C642="",J642=0,K642=0,L642=0,M642=0),"",CADASTROS!$B$4+SUM($J$2:J642)+SUM($M$2:M642)-SUM($K$2:K642)-SUM($L$2:L642))</f>
        <v>218079.56000000238</v>
      </c>
      <c r="O642" s="72">
        <f>IF(A642="","",SUMIF(RATEIOS!$A$2:$A$3142,$A642,RATEIOS!$F$2:$F$3142))</f>
        <v>1320</v>
      </c>
      <c r="P642" s="15">
        <f t="shared" ref="P642:P705" si="21">IF(A642="","",(J642+K642+L642+M642)-O642)</f>
        <v>0</v>
      </c>
      <c r="Q642" s="49" t="str">
        <f>IF(AND(J642=0,K642=0,L642=0,M642=0),"",IF(O642=0,"PENDENTE DE RATEIO",IF(ABS(P642)&gt;0.005,"DIVERGÊNCIA",IF(COUNTIF(RATEIOS!$A$2:$A$3142,$A642)-COUNTIFS(RATEIOS!$A$2:$A$3142,$A642,RATEIOS!$D$2:$D$3142,"&lt;&gt;")&gt;0,"NÃO CLASSIFICADO","RATEIO OK"))))</f>
        <v>RATEIO OK</v>
      </c>
      <c r="R642" s="49" t="s">
        <v>2553</v>
      </c>
      <c r="S642" s="14"/>
    </row>
    <row r="643" spans="1:19" ht="24" x14ac:dyDescent="0.25">
      <c r="A643" s="49" t="s">
        <v>2129</v>
      </c>
      <c r="B643" s="98">
        <v>642</v>
      </c>
      <c r="C643" s="50">
        <v>46197</v>
      </c>
      <c r="D643" s="49">
        <f t="shared" si="20"/>
        <v>6</v>
      </c>
      <c r="E643" s="92" t="s">
        <v>72</v>
      </c>
      <c r="F643" s="49" t="s">
        <v>36</v>
      </c>
      <c r="G643" s="14" t="s">
        <v>3019</v>
      </c>
      <c r="H643" s="14" t="s">
        <v>74</v>
      </c>
      <c r="I643" s="76" t="s">
        <v>2842</v>
      </c>
      <c r="J643" s="73">
        <v>0</v>
      </c>
      <c r="K643" s="74">
        <v>407.48</v>
      </c>
      <c r="L643" s="72">
        <v>0</v>
      </c>
      <c r="M643" s="72">
        <v>0</v>
      </c>
      <c r="N643" s="72">
        <f>IF(AND(C643="",J643=0,K643=0,L643=0,M643=0),"",CADASTROS!$B$4+SUM($J$2:J643)+SUM($M$2:M643)-SUM($K$2:K643)-SUM($L$2:L643))</f>
        <v>217672.0800000024</v>
      </c>
      <c r="O643" s="72">
        <f>IF(A643="","",SUMIF(RATEIOS!$A$2:$A$3142,$A643,RATEIOS!$F$2:$F$3142))</f>
        <v>407.48</v>
      </c>
      <c r="P643" s="15">
        <f t="shared" si="21"/>
        <v>0</v>
      </c>
      <c r="Q643" s="49" t="str">
        <f>IF(AND(J643=0,K643=0,L643=0,M643=0),"",IF(O643=0,"PENDENTE DE RATEIO",IF(ABS(P643)&gt;0.005,"DIVERGÊNCIA",IF(COUNTIF(RATEIOS!$A$2:$A$3142,$A643)-COUNTIFS(RATEIOS!$A$2:$A$3142,$A643,RATEIOS!$D$2:$D$3142,"&lt;&gt;")&gt;0,"NÃO CLASSIFICADO","RATEIO OK"))))</f>
        <v>RATEIO OK</v>
      </c>
      <c r="R643" s="49" t="s">
        <v>2553</v>
      </c>
      <c r="S643" s="14"/>
    </row>
    <row r="644" spans="1:19" ht="24.95" customHeight="1" x14ac:dyDescent="0.25">
      <c r="A644" s="49" t="s">
        <v>2130</v>
      </c>
      <c r="B644" s="98">
        <v>643</v>
      </c>
      <c r="C644" s="50">
        <v>46198</v>
      </c>
      <c r="D644" s="49">
        <f t="shared" si="20"/>
        <v>6</v>
      </c>
      <c r="E644" s="92" t="s">
        <v>169</v>
      </c>
      <c r="F644" s="49" t="s">
        <v>36</v>
      </c>
      <c r="G644" s="14" t="s">
        <v>973</v>
      </c>
      <c r="H644" s="14" t="s">
        <v>179</v>
      </c>
      <c r="I644" s="76" t="s">
        <v>412</v>
      </c>
      <c r="J644" s="73">
        <v>0</v>
      </c>
      <c r="K644" s="74">
        <v>2932.01</v>
      </c>
      <c r="L644" s="72">
        <v>0</v>
      </c>
      <c r="M644" s="72">
        <v>0</v>
      </c>
      <c r="N644" s="72">
        <f>IF(AND(C644="",J644=0,K644=0,L644=0,M644=0),"",CADASTROS!$B$4+SUM($J$2:J644)+SUM($M$2:M644)-SUM($K$2:K644)-SUM($L$2:L644))</f>
        <v>214740.07000000263</v>
      </c>
      <c r="O644" s="72">
        <f>IF(A644="","",SUMIF(RATEIOS!$A$2:$A$3142,$A644,RATEIOS!$F$2:$F$3142))</f>
        <v>2932.01</v>
      </c>
      <c r="P644" s="15">
        <f t="shared" si="21"/>
        <v>0</v>
      </c>
      <c r="Q644" s="49" t="str">
        <f>IF(AND(J644=0,K644=0,L644=0,M644=0),"",IF(O644=0,"PENDENTE DE RATEIO",IF(ABS(P644)&gt;0.005,"DIVERGÊNCIA",IF(COUNTIF(RATEIOS!$A$2:$A$3142,$A644)-COUNTIFS(RATEIOS!$A$2:$A$3142,$A644,RATEIOS!$D$2:$D$3142,"&lt;&gt;")&gt;0,"NÃO CLASSIFICADO","RATEIO OK"))))</f>
        <v>RATEIO OK</v>
      </c>
      <c r="R644" s="49" t="s">
        <v>2553</v>
      </c>
      <c r="S644" s="14"/>
    </row>
    <row r="645" spans="1:19" ht="24.95" customHeight="1" x14ac:dyDescent="0.25">
      <c r="A645" s="49" t="s">
        <v>2133</v>
      </c>
      <c r="B645" s="98">
        <v>644</v>
      </c>
      <c r="C645" s="50">
        <v>46198</v>
      </c>
      <c r="D645" s="49">
        <f t="shared" si="20"/>
        <v>6</v>
      </c>
      <c r="E645" s="92" t="s">
        <v>169</v>
      </c>
      <c r="F645" s="49" t="s">
        <v>36</v>
      </c>
      <c r="G645" s="14" t="s">
        <v>974</v>
      </c>
      <c r="H645" s="14" t="s">
        <v>180</v>
      </c>
      <c r="I645" s="76" t="s">
        <v>412</v>
      </c>
      <c r="J645" s="73">
        <v>0</v>
      </c>
      <c r="K645" s="74">
        <v>13532.37</v>
      </c>
      <c r="L645" s="72">
        <v>0</v>
      </c>
      <c r="M645" s="72">
        <v>0</v>
      </c>
      <c r="N645" s="72">
        <f>IF(AND(C645="",J645=0,K645=0,L645=0,M645=0),"",CADASTROS!$B$4+SUM($J$2:J645)+SUM($M$2:M645)-SUM($K$2:K645)-SUM($L$2:L645))</f>
        <v>201207.70000000251</v>
      </c>
      <c r="O645" s="72">
        <f>IF(A645="","",SUMIF(RATEIOS!$A$2:$A$3142,$A645,RATEIOS!$F$2:$F$3142))</f>
        <v>13532.37</v>
      </c>
      <c r="P645" s="15">
        <f t="shared" si="21"/>
        <v>0</v>
      </c>
      <c r="Q645" s="49" t="str">
        <f>IF(AND(J645=0,K645=0,L645=0,M645=0),"",IF(O645=0,"PENDENTE DE RATEIO",IF(ABS(P645)&gt;0.005,"DIVERGÊNCIA",IF(COUNTIF(RATEIOS!$A$2:$A$3142,$A645)-COUNTIFS(RATEIOS!$A$2:$A$3142,$A645,RATEIOS!$D$2:$D$3142,"&lt;&gt;")&gt;0,"NÃO CLASSIFICADO","RATEIO OK"))))</f>
        <v>RATEIO OK</v>
      </c>
      <c r="R645" s="49" t="s">
        <v>2553</v>
      </c>
      <c r="S645" s="14"/>
    </row>
    <row r="646" spans="1:19" ht="24.95" customHeight="1" x14ac:dyDescent="0.25">
      <c r="A646" s="49" t="s">
        <v>2136</v>
      </c>
      <c r="B646" s="98">
        <v>645</v>
      </c>
      <c r="C646" s="50">
        <v>46198</v>
      </c>
      <c r="D646" s="49">
        <f t="shared" si="20"/>
        <v>6</v>
      </c>
      <c r="E646" s="92" t="s">
        <v>975</v>
      </c>
      <c r="F646" s="49" t="s">
        <v>36</v>
      </c>
      <c r="G646" s="14" t="s">
        <v>976</v>
      </c>
      <c r="H646" s="14" t="s">
        <v>977</v>
      </c>
      <c r="I646" s="76" t="s">
        <v>412</v>
      </c>
      <c r="J646" s="73">
        <v>0</v>
      </c>
      <c r="K646" s="74">
        <v>234.77</v>
      </c>
      <c r="L646" s="72">
        <v>0</v>
      </c>
      <c r="M646" s="72">
        <v>0</v>
      </c>
      <c r="N646" s="72">
        <f>IF(AND(C646="",J646=0,K646=0,L646=0,M646=0),"",CADASTROS!$B$4+SUM($J$2:J646)+SUM($M$2:M646)-SUM($K$2:K646)-SUM($L$2:L646))</f>
        <v>200972.9300000025</v>
      </c>
      <c r="O646" s="72">
        <f>IF(A646="","",SUMIF(RATEIOS!$A$2:$A$3142,$A646,RATEIOS!$F$2:$F$3142))</f>
        <v>234.77</v>
      </c>
      <c r="P646" s="15">
        <f t="shared" si="21"/>
        <v>0</v>
      </c>
      <c r="Q646" s="49" t="str">
        <f>IF(AND(J646=0,K646=0,L646=0,M646=0),"",IF(O646=0,"PENDENTE DE RATEIO",IF(ABS(P646)&gt;0.005,"DIVERGÊNCIA",IF(COUNTIF(RATEIOS!$A$2:$A$3142,$A646)-COUNTIFS(RATEIOS!$A$2:$A$3142,$A646,RATEIOS!$D$2:$D$3142,"&lt;&gt;")&gt;0,"NÃO CLASSIFICADO","RATEIO OK"))))</f>
        <v>RATEIO OK</v>
      </c>
      <c r="R646" s="49" t="s">
        <v>2553</v>
      </c>
      <c r="S646" s="14"/>
    </row>
    <row r="647" spans="1:19" ht="24.95" customHeight="1" x14ac:dyDescent="0.25">
      <c r="A647" s="49" t="s">
        <v>2137</v>
      </c>
      <c r="B647" s="98">
        <v>646</v>
      </c>
      <c r="C647" s="50">
        <v>46198</v>
      </c>
      <c r="D647" s="49">
        <f t="shared" si="20"/>
        <v>6</v>
      </c>
      <c r="E647" s="92" t="s">
        <v>975</v>
      </c>
      <c r="F647" s="49" t="s">
        <v>36</v>
      </c>
      <c r="G647" s="14" t="s">
        <v>978</v>
      </c>
      <c r="H647" s="14" t="s">
        <v>977</v>
      </c>
      <c r="I647" s="76" t="s">
        <v>412</v>
      </c>
      <c r="J647" s="73">
        <v>0</v>
      </c>
      <c r="K647" s="74">
        <v>234.77</v>
      </c>
      <c r="L647" s="72">
        <v>0</v>
      </c>
      <c r="M647" s="72">
        <v>0</v>
      </c>
      <c r="N647" s="72">
        <f>IF(AND(C647="",J647=0,K647=0,L647=0,M647=0),"",CADASTROS!$B$4+SUM($J$2:J647)+SUM($M$2:M647)-SUM($K$2:K647)-SUM($L$2:L647))</f>
        <v>200738.16000000248</v>
      </c>
      <c r="O647" s="72">
        <f>IF(A647="","",SUMIF(RATEIOS!$A$2:$A$3142,$A647,RATEIOS!$F$2:$F$3142))</f>
        <v>234.77</v>
      </c>
      <c r="P647" s="15">
        <f t="shared" si="21"/>
        <v>0</v>
      </c>
      <c r="Q647" s="49" t="str">
        <f>IF(AND(J647=0,K647=0,L647=0,M647=0),"",IF(O647=0,"PENDENTE DE RATEIO",IF(ABS(P647)&gt;0.005,"DIVERGÊNCIA",IF(COUNTIF(RATEIOS!$A$2:$A$3142,$A647)-COUNTIFS(RATEIOS!$A$2:$A$3142,$A647,RATEIOS!$D$2:$D$3142,"&lt;&gt;")&gt;0,"NÃO CLASSIFICADO","RATEIO OK"))))</f>
        <v>RATEIO OK</v>
      </c>
      <c r="R647" s="49" t="s">
        <v>2553</v>
      </c>
      <c r="S647" s="14"/>
    </row>
    <row r="648" spans="1:19" ht="24.95" customHeight="1" x14ac:dyDescent="0.25">
      <c r="A648" s="49" t="s">
        <v>2138</v>
      </c>
      <c r="B648" s="98">
        <v>647</v>
      </c>
      <c r="C648" s="50">
        <v>46198</v>
      </c>
      <c r="D648" s="49">
        <f t="shared" si="20"/>
        <v>6</v>
      </c>
      <c r="E648" s="92" t="s">
        <v>118</v>
      </c>
      <c r="F648" s="49" t="s">
        <v>36</v>
      </c>
      <c r="G648" s="14" t="s">
        <v>979</v>
      </c>
      <c r="H648" s="14" t="s">
        <v>260</v>
      </c>
      <c r="I648" s="76" t="s">
        <v>889</v>
      </c>
      <c r="J648" s="73">
        <v>0</v>
      </c>
      <c r="K648" s="74">
        <v>613.07000000000005</v>
      </c>
      <c r="L648" s="72">
        <v>0</v>
      </c>
      <c r="M648" s="72">
        <v>0</v>
      </c>
      <c r="N648" s="72">
        <f>IF(AND(C648="",J648=0,K648=0,L648=0,M648=0),"",CADASTROS!$B$4+SUM($J$2:J648)+SUM($M$2:M648)-SUM($K$2:K648)-SUM($L$2:L648))</f>
        <v>200125.09000000264</v>
      </c>
      <c r="O648" s="72">
        <f>IF(A648="","",SUMIF(RATEIOS!$A$2:$A$3142,$A648,RATEIOS!$F$2:$F$3142))</f>
        <v>613.07000000000005</v>
      </c>
      <c r="P648" s="15">
        <f t="shared" si="21"/>
        <v>0</v>
      </c>
      <c r="Q648" s="49" t="str">
        <f>IF(AND(J648=0,K648=0,L648=0,M648=0),"",IF(O648=0,"PENDENTE DE RATEIO",IF(ABS(P648)&gt;0.005,"DIVERGÊNCIA",IF(COUNTIF(RATEIOS!$A$2:$A$3142,$A648)-COUNTIFS(RATEIOS!$A$2:$A$3142,$A648,RATEIOS!$D$2:$D$3142,"&lt;&gt;")&gt;0,"NÃO CLASSIFICADO","RATEIO OK"))))</f>
        <v>RATEIO OK</v>
      </c>
      <c r="R648" s="49" t="s">
        <v>2553</v>
      </c>
      <c r="S648" s="14"/>
    </row>
    <row r="649" spans="1:19" ht="24.95" customHeight="1" x14ac:dyDescent="0.25">
      <c r="A649" s="49" t="s">
        <v>2139</v>
      </c>
      <c r="B649" s="98">
        <v>648</v>
      </c>
      <c r="C649" s="50">
        <v>46198</v>
      </c>
      <c r="D649" s="49">
        <f t="shared" si="20"/>
        <v>6</v>
      </c>
      <c r="E649" s="92" t="s">
        <v>118</v>
      </c>
      <c r="F649" s="49" t="s">
        <v>36</v>
      </c>
      <c r="G649" s="14" t="s">
        <v>678</v>
      </c>
      <c r="H649" s="14" t="s">
        <v>679</v>
      </c>
      <c r="I649" s="76" t="s">
        <v>412</v>
      </c>
      <c r="J649" s="73">
        <v>0</v>
      </c>
      <c r="K649" s="74">
        <v>400</v>
      </c>
      <c r="L649" s="72">
        <v>0</v>
      </c>
      <c r="M649" s="72">
        <v>0</v>
      </c>
      <c r="N649" s="72">
        <f>IF(AND(C649="",J649=0,K649=0,L649=0,M649=0),"",CADASTROS!$B$4+SUM($J$2:J649)+SUM($M$2:M649)-SUM($K$2:K649)-SUM($L$2:L649))</f>
        <v>199725.09000000264</v>
      </c>
      <c r="O649" s="72">
        <f>IF(A649="","",SUMIF(RATEIOS!$A$2:$A$3142,$A649,RATEIOS!$F$2:$F$3142))</f>
        <v>400</v>
      </c>
      <c r="P649" s="15">
        <f t="shared" si="21"/>
        <v>0</v>
      </c>
      <c r="Q649" s="49" t="str">
        <f>IF(AND(J649=0,K649=0,L649=0,M649=0),"",IF(O649=0,"PENDENTE DE RATEIO",IF(ABS(P649)&gt;0.005,"DIVERGÊNCIA",IF(COUNTIF(RATEIOS!$A$2:$A$3142,$A649)-COUNTIFS(RATEIOS!$A$2:$A$3142,$A649,RATEIOS!$D$2:$D$3142,"&lt;&gt;")&gt;0,"NÃO CLASSIFICADO","RATEIO OK"))))</f>
        <v>RATEIO OK</v>
      </c>
      <c r="R649" s="49" t="s">
        <v>2553</v>
      </c>
      <c r="S649" s="14"/>
    </row>
    <row r="650" spans="1:19" ht="24.95" customHeight="1" x14ac:dyDescent="0.25">
      <c r="A650" s="49" t="s">
        <v>2140</v>
      </c>
      <c r="B650" s="98">
        <v>649</v>
      </c>
      <c r="C650" s="50">
        <v>46202</v>
      </c>
      <c r="D650" s="49">
        <f t="shared" si="20"/>
        <v>6</v>
      </c>
      <c r="E650" s="92" t="s">
        <v>72</v>
      </c>
      <c r="F650" s="49" t="s">
        <v>36</v>
      </c>
      <c r="G650" s="14" t="s">
        <v>980</v>
      </c>
      <c r="H650" s="14" t="s">
        <v>981</v>
      </c>
      <c r="I650" s="76" t="s">
        <v>716</v>
      </c>
      <c r="J650" s="73">
        <v>0</v>
      </c>
      <c r="K650" s="74">
        <v>1600</v>
      </c>
      <c r="L650" s="72">
        <v>0</v>
      </c>
      <c r="M650" s="72">
        <v>0</v>
      </c>
      <c r="N650" s="72">
        <f>IF(AND(C650="",J650=0,K650=0,L650=0,M650=0),"",CADASTROS!$B$4+SUM($J$2:J650)+SUM($M$2:M650)-SUM($K$2:K650)-SUM($L$2:L650))</f>
        <v>198125.09000000264</v>
      </c>
      <c r="O650" s="72">
        <f>IF(A650="","",SUMIF(RATEIOS!$A$2:$A$3142,$A650,RATEIOS!$F$2:$F$3142))</f>
        <v>1600</v>
      </c>
      <c r="P650" s="15">
        <f t="shared" si="21"/>
        <v>0</v>
      </c>
      <c r="Q650" s="49" t="str">
        <f>IF(AND(J650=0,K650=0,L650=0,M650=0),"",IF(O650=0,"PENDENTE DE RATEIO",IF(ABS(P650)&gt;0.005,"DIVERGÊNCIA",IF(COUNTIF(RATEIOS!$A$2:$A$3142,$A650)-COUNTIFS(RATEIOS!$A$2:$A$3142,$A650,RATEIOS!$D$2:$D$3142,"&lt;&gt;")&gt;0,"NÃO CLASSIFICADO","RATEIO OK"))))</f>
        <v>RATEIO OK</v>
      </c>
      <c r="R650" s="49" t="s">
        <v>2553</v>
      </c>
      <c r="S650" s="14"/>
    </row>
    <row r="651" spans="1:19" ht="24.95" customHeight="1" x14ac:dyDescent="0.25">
      <c r="A651" s="49" t="s">
        <v>2141</v>
      </c>
      <c r="B651" s="98">
        <v>650</v>
      </c>
      <c r="C651" s="50">
        <v>46202</v>
      </c>
      <c r="D651" s="49">
        <f t="shared" si="20"/>
        <v>6</v>
      </c>
      <c r="E651" s="92" t="s">
        <v>118</v>
      </c>
      <c r="F651" s="49" t="s">
        <v>36</v>
      </c>
      <c r="G651" s="14" t="s">
        <v>982</v>
      </c>
      <c r="H651" s="14" t="s">
        <v>188</v>
      </c>
      <c r="I651" s="76" t="s">
        <v>983</v>
      </c>
      <c r="J651" s="73">
        <v>0</v>
      </c>
      <c r="K651" s="74">
        <v>1000</v>
      </c>
      <c r="L651" s="72">
        <v>0</v>
      </c>
      <c r="M651" s="72">
        <v>0</v>
      </c>
      <c r="N651" s="72">
        <f>IF(AND(C651="",J651=0,K651=0,L651=0,M651=0),"",CADASTROS!$B$4+SUM($J$2:J651)+SUM($M$2:M651)-SUM($K$2:K651)-SUM($L$2:L651))</f>
        <v>197125.09000000264</v>
      </c>
      <c r="O651" s="72">
        <f>IF(A651="","",SUMIF(RATEIOS!$A$2:$A$3142,$A651,RATEIOS!$F$2:$F$3142))</f>
        <v>1000</v>
      </c>
      <c r="P651" s="15">
        <f t="shared" si="21"/>
        <v>0</v>
      </c>
      <c r="Q651" s="49" t="str">
        <f>IF(AND(J651=0,K651=0,L651=0,M651=0),"",IF(O651=0,"PENDENTE DE RATEIO",IF(ABS(P651)&gt;0.005,"DIVERGÊNCIA",IF(COUNTIF(RATEIOS!$A$2:$A$3142,$A651)-COUNTIFS(RATEIOS!$A$2:$A$3142,$A651,RATEIOS!$D$2:$D$3142,"&lt;&gt;")&gt;0,"NÃO CLASSIFICADO","RATEIO OK"))))</f>
        <v>RATEIO OK</v>
      </c>
      <c r="R651" s="49" t="s">
        <v>2553</v>
      </c>
      <c r="S651" s="14"/>
    </row>
    <row r="652" spans="1:19" ht="24.95" customHeight="1" x14ac:dyDescent="0.25">
      <c r="A652" s="49" t="s">
        <v>2142</v>
      </c>
      <c r="B652" s="98">
        <v>651</v>
      </c>
      <c r="C652" s="50">
        <v>46202</v>
      </c>
      <c r="D652" s="49">
        <f t="shared" si="20"/>
        <v>6</v>
      </c>
      <c r="E652" s="92" t="s">
        <v>118</v>
      </c>
      <c r="F652" s="49" t="s">
        <v>36</v>
      </c>
      <c r="G652" s="14" t="s">
        <v>984</v>
      </c>
      <c r="H652" s="14" t="s">
        <v>188</v>
      </c>
      <c r="I652" s="76" t="s">
        <v>985</v>
      </c>
      <c r="J652" s="73">
        <v>0</v>
      </c>
      <c r="K652" s="74">
        <v>1020</v>
      </c>
      <c r="L652" s="72">
        <v>0</v>
      </c>
      <c r="M652" s="72">
        <v>0</v>
      </c>
      <c r="N652" s="72">
        <f>IF(AND(C652="",J652=0,K652=0,L652=0,M652=0),"",CADASTROS!$B$4+SUM($J$2:J652)+SUM($M$2:M652)-SUM($K$2:K652)-SUM($L$2:L652))</f>
        <v>196105.09000000264</v>
      </c>
      <c r="O652" s="72">
        <f>IF(A652="","",SUMIF(RATEIOS!$A$2:$A$3142,$A652,RATEIOS!$F$2:$F$3142))</f>
        <v>1020</v>
      </c>
      <c r="P652" s="15">
        <f t="shared" si="21"/>
        <v>0</v>
      </c>
      <c r="Q652" s="49" t="str">
        <f>IF(AND(J652=0,K652=0,L652=0,M652=0),"",IF(O652=0,"PENDENTE DE RATEIO",IF(ABS(P652)&gt;0.005,"DIVERGÊNCIA",IF(COUNTIF(RATEIOS!$A$2:$A$3142,$A652)-COUNTIFS(RATEIOS!$A$2:$A$3142,$A652,RATEIOS!$D$2:$D$3142,"&lt;&gt;")&gt;0,"NÃO CLASSIFICADO","RATEIO OK"))))</f>
        <v>RATEIO OK</v>
      </c>
      <c r="R652" s="49" t="s">
        <v>2553</v>
      </c>
      <c r="S652" s="14"/>
    </row>
    <row r="653" spans="1:19" ht="24.95" customHeight="1" x14ac:dyDescent="0.25">
      <c r="A653" s="49" t="s">
        <v>2143</v>
      </c>
      <c r="B653" s="98">
        <v>652</v>
      </c>
      <c r="C653" s="50">
        <v>46202</v>
      </c>
      <c r="D653" s="49">
        <f t="shared" si="20"/>
        <v>6</v>
      </c>
      <c r="E653" s="92" t="s">
        <v>975</v>
      </c>
      <c r="F653" s="49" t="s">
        <v>36</v>
      </c>
      <c r="G653" s="14" t="s">
        <v>986</v>
      </c>
      <c r="H653" s="14" t="s">
        <v>977</v>
      </c>
      <c r="I653" s="76" t="s">
        <v>412</v>
      </c>
      <c r="J653" s="73">
        <v>0</v>
      </c>
      <c r="K653" s="74">
        <v>157.33000000000001</v>
      </c>
      <c r="L653" s="72">
        <v>0</v>
      </c>
      <c r="M653" s="72">
        <v>0</v>
      </c>
      <c r="N653" s="72">
        <f>IF(AND(C653="",J653=0,K653=0,L653=0,M653=0),"",CADASTROS!$B$4+SUM($J$2:J653)+SUM($M$2:M653)-SUM($K$2:K653)-SUM($L$2:L653))</f>
        <v>195947.76000000257</v>
      </c>
      <c r="O653" s="72">
        <f>IF(A653="","",SUMIF(RATEIOS!$A$2:$A$3142,$A653,RATEIOS!$F$2:$F$3142))</f>
        <v>157.33000000000001</v>
      </c>
      <c r="P653" s="15">
        <f t="shared" si="21"/>
        <v>0</v>
      </c>
      <c r="Q653" s="49" t="str">
        <f>IF(AND(J653=0,K653=0,L653=0,M653=0),"",IF(O653=0,"PENDENTE DE RATEIO",IF(ABS(P653)&gt;0.005,"DIVERGÊNCIA",IF(COUNTIF(RATEIOS!$A$2:$A$3142,$A653)-COUNTIFS(RATEIOS!$A$2:$A$3142,$A653,RATEIOS!$D$2:$D$3142,"&lt;&gt;")&gt;0,"NÃO CLASSIFICADO","RATEIO OK"))))</f>
        <v>RATEIO OK</v>
      </c>
      <c r="R653" s="49" t="s">
        <v>2553</v>
      </c>
      <c r="S653" s="14"/>
    </row>
    <row r="654" spans="1:19" ht="24.95" customHeight="1" x14ac:dyDescent="0.25">
      <c r="A654" s="49" t="s">
        <v>2144</v>
      </c>
      <c r="B654" s="98">
        <v>653</v>
      </c>
      <c r="C654" s="50">
        <v>46202</v>
      </c>
      <c r="D654" s="49">
        <f t="shared" si="20"/>
        <v>6</v>
      </c>
      <c r="E654" s="92" t="s">
        <v>118</v>
      </c>
      <c r="F654" s="49" t="s">
        <v>36</v>
      </c>
      <c r="G654" s="14" t="s">
        <v>987</v>
      </c>
      <c r="H654" s="14" t="s">
        <v>252</v>
      </c>
      <c r="I654" s="76" t="s">
        <v>866</v>
      </c>
      <c r="J654" s="73">
        <v>0</v>
      </c>
      <c r="K654" s="74">
        <v>15970</v>
      </c>
      <c r="L654" s="72">
        <v>0</v>
      </c>
      <c r="M654" s="72">
        <v>0</v>
      </c>
      <c r="N654" s="72">
        <f>IF(AND(C654="",J654=0,K654=0,L654=0,M654=0),"",CADASTROS!$B$4+SUM($J$2:J654)+SUM($M$2:M654)-SUM($K$2:K654)-SUM($L$2:L654))</f>
        <v>179977.76000000257</v>
      </c>
      <c r="O654" s="72">
        <f>IF(A654="","",SUMIF(RATEIOS!$A$2:$A$3142,$A654,RATEIOS!$F$2:$F$3142))</f>
        <v>15970</v>
      </c>
      <c r="P654" s="15">
        <f t="shared" si="21"/>
        <v>0</v>
      </c>
      <c r="Q654" s="49" t="str">
        <f>IF(AND(J654=0,K654=0,L654=0,M654=0),"",IF(O654=0,"PENDENTE DE RATEIO",IF(ABS(P654)&gt;0.005,"DIVERGÊNCIA",IF(COUNTIF(RATEIOS!$A$2:$A$3142,$A654)-COUNTIFS(RATEIOS!$A$2:$A$3142,$A654,RATEIOS!$D$2:$D$3142,"&lt;&gt;")&gt;0,"NÃO CLASSIFICADO","RATEIO OK"))))</f>
        <v>RATEIO OK</v>
      </c>
      <c r="R654" s="49" t="s">
        <v>2553</v>
      </c>
      <c r="S654" s="14"/>
    </row>
    <row r="655" spans="1:19" ht="24.95" customHeight="1" x14ac:dyDescent="0.25">
      <c r="A655" s="49" t="s">
        <v>2145</v>
      </c>
      <c r="B655" s="98">
        <v>654</v>
      </c>
      <c r="C655" s="50">
        <v>46202</v>
      </c>
      <c r="D655" s="49">
        <f t="shared" si="20"/>
        <v>6</v>
      </c>
      <c r="E655" s="92" t="s">
        <v>118</v>
      </c>
      <c r="F655" s="49" t="s">
        <v>36</v>
      </c>
      <c r="G655" s="14" t="s">
        <v>254</v>
      </c>
      <c r="H655" s="14" t="s">
        <v>255</v>
      </c>
      <c r="I655" s="76" t="s">
        <v>988</v>
      </c>
      <c r="J655" s="73">
        <v>0</v>
      </c>
      <c r="K655" s="74">
        <v>2938.4</v>
      </c>
      <c r="L655" s="72">
        <v>0</v>
      </c>
      <c r="M655" s="72">
        <v>0</v>
      </c>
      <c r="N655" s="72">
        <f>IF(AND(C655="",J655=0,K655=0,L655=0,M655=0),"",CADASTROS!$B$4+SUM($J$2:J655)+SUM($M$2:M655)-SUM($K$2:K655)-SUM($L$2:L655))</f>
        <v>177039.36000000266</v>
      </c>
      <c r="O655" s="72">
        <f>IF(A655="","",SUMIF(RATEIOS!$A$2:$A$3142,$A655,RATEIOS!$F$2:$F$3142))</f>
        <v>2938.4</v>
      </c>
      <c r="P655" s="15">
        <f t="shared" si="21"/>
        <v>0</v>
      </c>
      <c r="Q655" s="49" t="str">
        <f>IF(AND(J655=0,K655=0,L655=0,M655=0),"",IF(O655=0,"PENDENTE DE RATEIO",IF(ABS(P655)&gt;0.005,"DIVERGÊNCIA",IF(COUNTIF(RATEIOS!$A$2:$A$3142,$A655)-COUNTIFS(RATEIOS!$A$2:$A$3142,$A655,RATEIOS!$D$2:$D$3142,"&lt;&gt;")&gt;0,"NÃO CLASSIFICADO","RATEIO OK"))))</f>
        <v>RATEIO OK</v>
      </c>
      <c r="R655" s="49" t="s">
        <v>2553</v>
      </c>
      <c r="S655" s="14"/>
    </row>
    <row r="656" spans="1:19" ht="24.95" customHeight="1" x14ac:dyDescent="0.25">
      <c r="A656" s="49" t="s">
        <v>2146</v>
      </c>
      <c r="B656" s="98">
        <v>655</v>
      </c>
      <c r="C656" s="50">
        <v>46203</v>
      </c>
      <c r="D656" s="49">
        <f t="shared" si="20"/>
        <v>6</v>
      </c>
      <c r="E656" s="92" t="s">
        <v>118</v>
      </c>
      <c r="F656" s="49" t="s">
        <v>36</v>
      </c>
      <c r="G656" s="14" t="s">
        <v>989</v>
      </c>
      <c r="H656" s="14" t="s">
        <v>143</v>
      </c>
      <c r="I656" s="76" t="s">
        <v>224</v>
      </c>
      <c r="J656" s="73">
        <v>0</v>
      </c>
      <c r="K656" s="74">
        <v>48992.160000000003</v>
      </c>
      <c r="L656" s="72">
        <v>0</v>
      </c>
      <c r="M656" s="72">
        <v>0</v>
      </c>
      <c r="N656" s="72">
        <f>IF(AND(C656="",J656=0,K656=0,L656=0,M656=0),"",CADASTROS!$B$4+SUM($J$2:J656)+SUM($M$2:M656)-SUM($K$2:K656)-SUM($L$2:L656))</f>
        <v>128047.20000000251</v>
      </c>
      <c r="O656" s="72">
        <f>IF(A656="","",SUMIF(RATEIOS!$A$2:$A$3142,$A656,RATEIOS!$F$2:$F$3142))</f>
        <v>48992.160000000003</v>
      </c>
      <c r="P656" s="15">
        <f t="shared" si="21"/>
        <v>0</v>
      </c>
      <c r="Q656" s="49" t="str">
        <f>IF(AND(J656=0,K656=0,L656=0,M656=0),"",IF(O656=0,"PENDENTE DE RATEIO",IF(ABS(P656)&gt;0.005,"DIVERGÊNCIA",IF(COUNTIF(RATEIOS!$A$2:$A$3142,$A656)-COUNTIFS(RATEIOS!$A$2:$A$3142,$A656,RATEIOS!$D$2:$D$3142,"&lt;&gt;")&gt;0,"NÃO CLASSIFICADO","RATEIO OK"))))</f>
        <v>RATEIO OK</v>
      </c>
      <c r="R656" s="49" t="s">
        <v>2553</v>
      </c>
      <c r="S656" s="14"/>
    </row>
    <row r="657" spans="1:19" ht="24.95" customHeight="1" x14ac:dyDescent="0.25">
      <c r="A657" s="49" t="s">
        <v>2149</v>
      </c>
      <c r="B657" s="98">
        <v>656</v>
      </c>
      <c r="C657" s="50">
        <v>46203</v>
      </c>
      <c r="D657" s="49">
        <f t="shared" si="20"/>
        <v>6</v>
      </c>
      <c r="E657" s="92" t="s">
        <v>118</v>
      </c>
      <c r="F657" s="49" t="s">
        <v>36</v>
      </c>
      <c r="G657" s="14" t="s">
        <v>990</v>
      </c>
      <c r="H657" s="14" t="s">
        <v>143</v>
      </c>
      <c r="I657" s="76" t="s">
        <v>226</v>
      </c>
      <c r="J657" s="73">
        <v>0</v>
      </c>
      <c r="K657" s="74">
        <v>9331.84</v>
      </c>
      <c r="L657" s="72">
        <v>0</v>
      </c>
      <c r="M657" s="72">
        <v>0</v>
      </c>
      <c r="N657" s="72">
        <f>IF(AND(C657="",J657=0,K657=0,L657=0,M657=0),"",CADASTROS!$B$4+SUM($J$2:J657)+SUM($M$2:M657)-SUM($K$2:K657)-SUM($L$2:L657))</f>
        <v>118715.36000000266</v>
      </c>
      <c r="O657" s="72">
        <f>IF(A657="","",SUMIF(RATEIOS!$A$2:$A$3142,$A657,RATEIOS!$F$2:$F$3142))</f>
        <v>9331.84</v>
      </c>
      <c r="P657" s="15">
        <f t="shared" si="21"/>
        <v>0</v>
      </c>
      <c r="Q657" s="49" t="str">
        <f>IF(AND(J657=0,K657=0,L657=0,M657=0),"",IF(O657=0,"PENDENTE DE RATEIO",IF(ABS(P657)&gt;0.005,"DIVERGÊNCIA",IF(COUNTIF(RATEIOS!$A$2:$A$3142,$A657)-COUNTIFS(RATEIOS!$A$2:$A$3142,$A657,RATEIOS!$D$2:$D$3142,"&lt;&gt;")&gt;0,"NÃO CLASSIFICADO","RATEIO OK"))))</f>
        <v>RATEIO OK</v>
      </c>
      <c r="R657" s="49" t="s">
        <v>2553</v>
      </c>
      <c r="S657" s="14"/>
    </row>
    <row r="658" spans="1:19" ht="24.95" customHeight="1" x14ac:dyDescent="0.25">
      <c r="A658" s="49" t="s">
        <v>2150</v>
      </c>
      <c r="B658" s="98">
        <v>657</v>
      </c>
      <c r="C658" s="50">
        <v>46203</v>
      </c>
      <c r="D658" s="49">
        <f t="shared" si="20"/>
        <v>6</v>
      </c>
      <c r="E658" s="92" t="s">
        <v>118</v>
      </c>
      <c r="F658" s="49" t="s">
        <v>36</v>
      </c>
      <c r="G658" s="14" t="s">
        <v>991</v>
      </c>
      <c r="H658" s="14" t="s">
        <v>143</v>
      </c>
      <c r="I658" s="76" t="s">
        <v>860</v>
      </c>
      <c r="J658" s="73">
        <v>0</v>
      </c>
      <c r="K658" s="74">
        <v>10173.75</v>
      </c>
      <c r="L658" s="72">
        <v>0</v>
      </c>
      <c r="M658" s="72">
        <v>0</v>
      </c>
      <c r="N658" s="72">
        <f>IF(AND(C658="",J658=0,K658=0,L658=0,M658=0),"",CADASTROS!$B$4+SUM($J$2:J658)+SUM($M$2:M658)-SUM($K$2:K658)-SUM($L$2:L658))</f>
        <v>108541.61000000266</v>
      </c>
      <c r="O658" s="72">
        <f>IF(A658="","",SUMIF(RATEIOS!$A$2:$A$3142,$A658,RATEIOS!$F$2:$F$3142))</f>
        <v>10173.75</v>
      </c>
      <c r="P658" s="15">
        <f t="shared" si="21"/>
        <v>0</v>
      </c>
      <c r="Q658" s="49" t="str">
        <f>IF(AND(J658=0,K658=0,L658=0,M658=0),"",IF(O658=0,"PENDENTE DE RATEIO",IF(ABS(P658)&gt;0.005,"DIVERGÊNCIA",IF(COUNTIF(RATEIOS!$A$2:$A$3142,$A658)-COUNTIFS(RATEIOS!$A$2:$A$3142,$A658,RATEIOS!$D$2:$D$3142,"&lt;&gt;")&gt;0,"NÃO CLASSIFICADO","RATEIO OK"))))</f>
        <v>RATEIO OK</v>
      </c>
      <c r="R658" s="49" t="s">
        <v>2553</v>
      </c>
      <c r="S658" s="14"/>
    </row>
    <row r="659" spans="1:19" ht="24.95" customHeight="1" x14ac:dyDescent="0.25">
      <c r="A659" s="49" t="s">
        <v>2151</v>
      </c>
      <c r="B659" s="98">
        <v>658</v>
      </c>
      <c r="C659" s="50">
        <v>46203</v>
      </c>
      <c r="D659" s="49">
        <f t="shared" si="20"/>
        <v>6</v>
      </c>
      <c r="E659" s="92" t="s">
        <v>118</v>
      </c>
      <c r="F659" s="49" t="s">
        <v>36</v>
      </c>
      <c r="G659" s="14" t="s">
        <v>992</v>
      </c>
      <c r="H659" s="14" t="s">
        <v>618</v>
      </c>
      <c r="I659" s="76" t="s">
        <v>690</v>
      </c>
      <c r="J659" s="73">
        <v>0</v>
      </c>
      <c r="K659" s="74">
        <v>7271.68</v>
      </c>
      <c r="L659" s="72">
        <v>0</v>
      </c>
      <c r="M659" s="72">
        <v>0</v>
      </c>
      <c r="N659" s="72">
        <f>IF(AND(C659="",J659=0,K659=0,L659=0,M659=0),"",CADASTROS!$B$4+SUM($J$2:J659)+SUM($M$2:M659)-SUM($K$2:K659)-SUM($L$2:L659))</f>
        <v>101269.9300000025</v>
      </c>
      <c r="O659" s="72">
        <f>IF(A659="","",SUMIF(RATEIOS!$A$2:$A$3142,$A659,RATEIOS!$F$2:$F$3142))</f>
        <v>7271.68</v>
      </c>
      <c r="P659" s="15">
        <f t="shared" si="21"/>
        <v>0</v>
      </c>
      <c r="Q659" s="49" t="str">
        <f>IF(AND(J659=0,K659=0,L659=0,M659=0),"",IF(O659=0,"PENDENTE DE RATEIO",IF(ABS(P659)&gt;0.005,"DIVERGÊNCIA",IF(COUNTIF(RATEIOS!$A$2:$A$3142,$A659)-COUNTIFS(RATEIOS!$A$2:$A$3142,$A659,RATEIOS!$D$2:$D$3142,"&lt;&gt;")&gt;0,"NÃO CLASSIFICADO","RATEIO OK"))))</f>
        <v>RATEIO OK</v>
      </c>
      <c r="R659" s="49" t="s">
        <v>2553</v>
      </c>
      <c r="S659" s="14"/>
    </row>
    <row r="660" spans="1:19" ht="24.95" customHeight="1" x14ac:dyDescent="0.25">
      <c r="A660" s="49" t="s">
        <v>2152</v>
      </c>
      <c r="B660" s="98">
        <v>659</v>
      </c>
      <c r="C660" s="50">
        <v>46204</v>
      </c>
      <c r="D660" s="49">
        <f t="shared" si="20"/>
        <v>7</v>
      </c>
      <c r="E660" s="92" t="s">
        <v>72</v>
      </c>
      <c r="F660" s="49" t="s">
        <v>36</v>
      </c>
      <c r="G660" s="14" t="s">
        <v>993</v>
      </c>
      <c r="H660" s="14" t="s">
        <v>994</v>
      </c>
      <c r="I660" s="76" t="s">
        <v>995</v>
      </c>
      <c r="J660" s="73">
        <v>0</v>
      </c>
      <c r="K660" s="74">
        <v>255</v>
      </c>
      <c r="L660" s="72">
        <v>0</v>
      </c>
      <c r="M660" s="72">
        <v>0</v>
      </c>
      <c r="N660" s="72">
        <f>IF(AND(C660="",J660=0,K660=0,L660=0,M660=0),"",CADASTROS!$B$4+SUM($J$2:J660)+SUM($M$2:M660)-SUM($K$2:K660)-SUM($L$2:L660))</f>
        <v>101014.9300000025</v>
      </c>
      <c r="O660" s="72">
        <f>IF(A660="","",SUMIF(RATEIOS!$A$2:$A$3142,$A660,RATEIOS!$F$2:$F$3142))</f>
        <v>255</v>
      </c>
      <c r="P660" s="15">
        <f t="shared" si="21"/>
        <v>0</v>
      </c>
      <c r="Q660" s="49" t="str">
        <f>IF(AND(J660=0,K660=0,L660=0,M660=0),"",IF(O660=0,"PENDENTE DE RATEIO",IF(ABS(P660)&gt;0.005,"DIVERGÊNCIA",IF(COUNTIF(RATEIOS!$A$2:$A$3142,$A660)-COUNTIFS(RATEIOS!$A$2:$A$3142,$A660,RATEIOS!$D$2:$D$3142,"&lt;&gt;")&gt;0,"NÃO CLASSIFICADO","RATEIO OK"))))</f>
        <v>RATEIO OK</v>
      </c>
      <c r="R660" s="49" t="s">
        <v>2553</v>
      </c>
      <c r="S660" s="14"/>
    </row>
    <row r="661" spans="1:19" ht="24.95" customHeight="1" x14ac:dyDescent="0.25">
      <c r="A661" s="49" t="s">
        <v>2153</v>
      </c>
      <c r="B661" s="98">
        <v>660</v>
      </c>
      <c r="C661" s="50">
        <v>46204</v>
      </c>
      <c r="D661" s="49">
        <f t="shared" si="20"/>
        <v>7</v>
      </c>
      <c r="E661" s="92" t="s">
        <v>118</v>
      </c>
      <c r="F661" s="49" t="s">
        <v>36</v>
      </c>
      <c r="G661" s="14" t="s">
        <v>996</v>
      </c>
      <c r="H661" s="14" t="s">
        <v>59</v>
      </c>
      <c r="I661" s="76" t="s">
        <v>997</v>
      </c>
      <c r="J661" s="73">
        <v>0</v>
      </c>
      <c r="K661" s="74">
        <v>3122</v>
      </c>
      <c r="L661" s="72">
        <v>0</v>
      </c>
      <c r="M661" s="72">
        <v>0</v>
      </c>
      <c r="N661" s="72">
        <f>IF(AND(C661="",J661=0,K661=0,L661=0,M661=0),"",CADASTROS!$B$4+SUM($J$2:J661)+SUM($M$2:M661)-SUM($K$2:K661)-SUM($L$2:L661))</f>
        <v>97892.930000002496</v>
      </c>
      <c r="O661" s="72">
        <f>IF(A661="","",SUMIF(RATEIOS!$A$2:$A$3142,$A661,RATEIOS!$F$2:$F$3142))</f>
        <v>3122</v>
      </c>
      <c r="P661" s="15">
        <f t="shared" si="21"/>
        <v>0</v>
      </c>
      <c r="Q661" s="49" t="str">
        <f>IF(AND(J661=0,K661=0,L661=0,M661=0),"",IF(O661=0,"PENDENTE DE RATEIO",IF(ABS(P661)&gt;0.005,"DIVERGÊNCIA",IF(COUNTIF(RATEIOS!$A$2:$A$3142,$A661)-COUNTIFS(RATEIOS!$A$2:$A$3142,$A661,RATEIOS!$D$2:$D$3142,"&lt;&gt;")&gt;0,"NÃO CLASSIFICADO","RATEIO OK"))))</f>
        <v>RATEIO OK</v>
      </c>
      <c r="R661" s="49" t="s">
        <v>2553</v>
      </c>
      <c r="S661" s="14"/>
    </row>
    <row r="662" spans="1:19" ht="24.95" customHeight="1" x14ac:dyDescent="0.25">
      <c r="A662" s="49" t="s">
        <v>2154</v>
      </c>
      <c r="B662" s="98">
        <v>661</v>
      </c>
      <c r="C662" s="50">
        <v>46204</v>
      </c>
      <c r="D662" s="49">
        <f t="shared" si="20"/>
        <v>7</v>
      </c>
      <c r="E662" s="92" t="s">
        <v>118</v>
      </c>
      <c r="F662" s="49" t="s">
        <v>36</v>
      </c>
      <c r="G662" s="14" t="s">
        <v>998</v>
      </c>
      <c r="H662" s="14" t="s">
        <v>51</v>
      </c>
      <c r="I662" s="76" t="s">
        <v>999</v>
      </c>
      <c r="J662" s="73">
        <v>0</v>
      </c>
      <c r="K662" s="74">
        <v>2372.15</v>
      </c>
      <c r="L662" s="72">
        <v>0</v>
      </c>
      <c r="M662" s="72">
        <v>0</v>
      </c>
      <c r="N662" s="72">
        <f>IF(AND(C662="",J662=0,K662=0,L662=0,M662=0),"",CADASTROS!$B$4+SUM($J$2:J662)+SUM($M$2:M662)-SUM($K$2:K662)-SUM($L$2:L662))</f>
        <v>95520.780000002589</v>
      </c>
      <c r="O662" s="72">
        <f>IF(A662="","",SUMIF(RATEIOS!$A$2:$A$3142,$A662,RATEIOS!$F$2:$F$3142))</f>
        <v>2372.15</v>
      </c>
      <c r="P662" s="15">
        <f t="shared" si="21"/>
        <v>0</v>
      </c>
      <c r="Q662" s="49" t="str">
        <f>IF(AND(J662=0,K662=0,L662=0,M662=0),"",IF(O662=0,"PENDENTE DE RATEIO",IF(ABS(P662)&gt;0.005,"DIVERGÊNCIA",IF(COUNTIF(RATEIOS!$A$2:$A$3142,$A662)-COUNTIFS(RATEIOS!$A$2:$A$3142,$A662,RATEIOS!$D$2:$D$3142,"&lt;&gt;")&gt;0,"NÃO CLASSIFICADO","RATEIO OK"))))</f>
        <v>RATEIO OK</v>
      </c>
      <c r="R662" s="49" t="s">
        <v>2553</v>
      </c>
      <c r="S662" s="14"/>
    </row>
    <row r="663" spans="1:19" ht="24.95" customHeight="1" x14ac:dyDescent="0.25">
      <c r="A663" s="49" t="s">
        <v>2155</v>
      </c>
      <c r="B663" s="98">
        <v>662</v>
      </c>
      <c r="C663" s="50">
        <v>46204</v>
      </c>
      <c r="D663" s="49">
        <f t="shared" si="20"/>
        <v>7</v>
      </c>
      <c r="E663" s="92" t="s">
        <v>72</v>
      </c>
      <c r="F663" s="49" t="s">
        <v>36</v>
      </c>
      <c r="G663" s="14" t="s">
        <v>1000</v>
      </c>
      <c r="H663" s="14" t="s">
        <v>1001</v>
      </c>
      <c r="I663" s="76" t="s">
        <v>1002</v>
      </c>
      <c r="J663" s="73">
        <v>0</v>
      </c>
      <c r="K663" s="74">
        <v>230</v>
      </c>
      <c r="L663" s="72">
        <v>0</v>
      </c>
      <c r="M663" s="72">
        <v>0</v>
      </c>
      <c r="N663" s="72">
        <f>IF(AND(C663="",J663=0,K663=0,L663=0,M663=0),"",CADASTROS!$B$4+SUM($J$2:J663)+SUM($M$2:M663)-SUM($K$2:K663)-SUM($L$2:L663))</f>
        <v>95290.780000002589</v>
      </c>
      <c r="O663" s="72">
        <f>IF(A663="","",SUMIF(RATEIOS!$A$2:$A$3142,$A663,RATEIOS!$F$2:$F$3142))</f>
        <v>230</v>
      </c>
      <c r="P663" s="15">
        <f t="shared" si="21"/>
        <v>0</v>
      </c>
      <c r="Q663" s="49" t="str">
        <f>IF(AND(J663=0,K663=0,L663=0,M663=0),"",IF(O663=0,"PENDENTE DE RATEIO",IF(ABS(P663)&gt;0.005,"DIVERGÊNCIA",IF(COUNTIF(RATEIOS!$A$2:$A$3142,$A663)-COUNTIFS(RATEIOS!$A$2:$A$3142,$A663,RATEIOS!$D$2:$D$3142,"&lt;&gt;")&gt;0,"NÃO CLASSIFICADO","RATEIO OK"))))</f>
        <v>RATEIO OK</v>
      </c>
      <c r="R663" s="49" t="s">
        <v>2553</v>
      </c>
      <c r="S663" s="14"/>
    </row>
    <row r="664" spans="1:19" ht="24.95" customHeight="1" x14ac:dyDescent="0.25">
      <c r="A664" s="49" t="s">
        <v>2156</v>
      </c>
      <c r="B664" s="98">
        <v>663</v>
      </c>
      <c r="C664" s="50">
        <v>46205</v>
      </c>
      <c r="D664" s="49">
        <f t="shared" si="20"/>
        <v>7</v>
      </c>
      <c r="E664" s="92" t="s">
        <v>118</v>
      </c>
      <c r="F664" s="49" t="s">
        <v>36</v>
      </c>
      <c r="G664" s="14" t="s">
        <v>1003</v>
      </c>
      <c r="H664" s="14" t="s">
        <v>59</v>
      </c>
      <c r="I664" s="76" t="s">
        <v>863</v>
      </c>
      <c r="J664" s="73">
        <v>0</v>
      </c>
      <c r="K664" s="74">
        <v>2782</v>
      </c>
      <c r="L664" s="72">
        <v>0</v>
      </c>
      <c r="M664" s="72">
        <v>0</v>
      </c>
      <c r="N664" s="72">
        <f>IF(AND(C664="",J664=0,K664=0,L664=0,M664=0),"",CADASTROS!$B$4+SUM($J$2:J664)+SUM($M$2:M664)-SUM($K$2:K664)-SUM($L$2:L664))</f>
        <v>92508.780000002589</v>
      </c>
      <c r="O664" s="72">
        <f>IF(A664="","",SUMIF(RATEIOS!$A$2:$A$3142,$A664,RATEIOS!$F$2:$F$3142))</f>
        <v>2782</v>
      </c>
      <c r="P664" s="15">
        <f t="shared" si="21"/>
        <v>0</v>
      </c>
      <c r="Q664" s="49" t="str">
        <f>IF(AND(J664=0,K664=0,L664=0,M664=0),"",IF(O664=0,"PENDENTE DE RATEIO",IF(ABS(P664)&gt;0.005,"DIVERGÊNCIA",IF(COUNTIF(RATEIOS!$A$2:$A$3142,$A664)-COUNTIFS(RATEIOS!$A$2:$A$3142,$A664,RATEIOS!$D$2:$D$3142,"&lt;&gt;")&gt;0,"NÃO CLASSIFICADO","RATEIO OK"))))</f>
        <v>RATEIO OK</v>
      </c>
      <c r="R664" s="49" t="s">
        <v>2553</v>
      </c>
      <c r="S664" s="14"/>
    </row>
    <row r="665" spans="1:19" ht="24.95" customHeight="1" x14ac:dyDescent="0.25">
      <c r="A665" s="49" t="s">
        <v>2158</v>
      </c>
      <c r="B665" s="98">
        <v>664</v>
      </c>
      <c r="C665" s="50">
        <v>46206</v>
      </c>
      <c r="D665" s="49">
        <f t="shared" si="20"/>
        <v>7</v>
      </c>
      <c r="E665" s="92" t="s">
        <v>72</v>
      </c>
      <c r="F665" s="49" t="s">
        <v>36</v>
      </c>
      <c r="G665" s="14" t="s">
        <v>1004</v>
      </c>
      <c r="H665" s="14" t="s">
        <v>953</v>
      </c>
      <c r="I665" s="76" t="s">
        <v>1005</v>
      </c>
      <c r="J665" s="73">
        <v>0</v>
      </c>
      <c r="K665" s="74">
        <v>1900</v>
      </c>
      <c r="L665" s="72">
        <v>0</v>
      </c>
      <c r="M665" s="72">
        <v>0</v>
      </c>
      <c r="N665" s="72">
        <f>IF(AND(C665="",J665=0,K665=0,L665=0,M665=0),"",CADASTROS!$B$4+SUM($J$2:J665)+SUM($M$2:M665)-SUM($K$2:K665)-SUM($L$2:L665))</f>
        <v>90608.780000002589</v>
      </c>
      <c r="O665" s="72">
        <f>IF(A665="","",SUMIF(RATEIOS!$A$2:$A$3142,$A665,RATEIOS!$F$2:$F$3142))</f>
        <v>1900</v>
      </c>
      <c r="P665" s="15">
        <f t="shared" si="21"/>
        <v>0</v>
      </c>
      <c r="Q665" s="49" t="str">
        <f>IF(AND(J665=0,K665=0,L665=0,M665=0),"",IF(O665=0,"PENDENTE DE RATEIO",IF(ABS(P665)&gt;0.005,"DIVERGÊNCIA",IF(COUNTIF(RATEIOS!$A$2:$A$3142,$A665)-COUNTIFS(RATEIOS!$A$2:$A$3142,$A665,RATEIOS!$D$2:$D$3142,"&lt;&gt;")&gt;0,"NÃO CLASSIFICADO","RATEIO OK"))))</f>
        <v>RATEIO OK</v>
      </c>
      <c r="R665" s="49" t="s">
        <v>2553</v>
      </c>
      <c r="S665" s="14"/>
    </row>
    <row r="666" spans="1:19" ht="24.95" customHeight="1" x14ac:dyDescent="0.25">
      <c r="A666" s="49" t="s">
        <v>2159</v>
      </c>
      <c r="B666" s="98">
        <v>665</v>
      </c>
      <c r="C666" s="50">
        <v>46206</v>
      </c>
      <c r="D666" s="49">
        <f t="shared" si="20"/>
        <v>7</v>
      </c>
      <c r="E666" s="92" t="s">
        <v>72</v>
      </c>
      <c r="F666" s="49" t="s">
        <v>36</v>
      </c>
      <c r="G666" s="14" t="s">
        <v>1006</v>
      </c>
      <c r="H666" s="14" t="s">
        <v>1007</v>
      </c>
      <c r="I666" s="76" t="s">
        <v>1008</v>
      </c>
      <c r="J666" s="73">
        <v>0</v>
      </c>
      <c r="K666" s="74">
        <v>80.900000000000006</v>
      </c>
      <c r="L666" s="72">
        <v>0</v>
      </c>
      <c r="M666" s="72">
        <v>0</v>
      </c>
      <c r="N666" s="72">
        <f>IF(AND(C666="",J666=0,K666=0,L666=0,M666=0),"",CADASTROS!$B$4+SUM($J$2:J666)+SUM($M$2:M666)-SUM($K$2:K666)-SUM($L$2:L666))</f>
        <v>90527.880000002682</v>
      </c>
      <c r="O666" s="72">
        <f>IF(A666="","",SUMIF(RATEIOS!$A$2:$A$3142,$A666,RATEIOS!$F$2:$F$3142))</f>
        <v>80.900000000000006</v>
      </c>
      <c r="P666" s="15">
        <f t="shared" si="21"/>
        <v>0</v>
      </c>
      <c r="Q666" s="49" t="str">
        <f>IF(AND(J666=0,K666=0,L666=0,M666=0),"",IF(O666=0,"PENDENTE DE RATEIO",IF(ABS(P666)&gt;0.005,"DIVERGÊNCIA",IF(COUNTIF(RATEIOS!$A$2:$A$3142,$A666)-COUNTIFS(RATEIOS!$A$2:$A$3142,$A666,RATEIOS!$D$2:$D$3142,"&lt;&gt;")&gt;0,"NÃO CLASSIFICADO","RATEIO OK"))))</f>
        <v>RATEIO OK</v>
      </c>
      <c r="R666" s="49" t="s">
        <v>2553</v>
      </c>
      <c r="S666" s="14"/>
    </row>
    <row r="667" spans="1:19" ht="24.95" customHeight="1" x14ac:dyDescent="0.25">
      <c r="A667" s="49" t="s">
        <v>2160</v>
      </c>
      <c r="B667" s="98">
        <v>666</v>
      </c>
      <c r="C667" s="50">
        <v>46206</v>
      </c>
      <c r="D667" s="49">
        <f t="shared" si="20"/>
        <v>7</v>
      </c>
      <c r="E667" s="92" t="s">
        <v>118</v>
      </c>
      <c r="F667" s="49" t="s">
        <v>36</v>
      </c>
      <c r="G667" s="14" t="s">
        <v>1009</v>
      </c>
      <c r="H667" s="14" t="s">
        <v>252</v>
      </c>
      <c r="I667" s="76" t="s">
        <v>1010</v>
      </c>
      <c r="J667" s="73">
        <v>0</v>
      </c>
      <c r="K667" s="74">
        <v>21542.2</v>
      </c>
      <c r="L667" s="72">
        <v>0</v>
      </c>
      <c r="M667" s="72">
        <v>0</v>
      </c>
      <c r="N667" s="72">
        <f>IF(AND(C667="",J667=0,K667=0,L667=0,M667=0),"",CADASTROS!$B$4+SUM($J$2:J667)+SUM($M$2:M667)-SUM($K$2:K667)-SUM($L$2:L667))</f>
        <v>68985.680000002496</v>
      </c>
      <c r="O667" s="72">
        <f>IF(A667="","",SUMIF(RATEIOS!$A$2:$A$3142,$A667,RATEIOS!$F$2:$F$3142))</f>
        <v>21542.2</v>
      </c>
      <c r="P667" s="15">
        <f t="shared" si="21"/>
        <v>0</v>
      </c>
      <c r="Q667" s="49" t="str">
        <f>IF(AND(J667=0,K667=0,L667=0,M667=0),"",IF(O667=0,"PENDENTE DE RATEIO",IF(ABS(P667)&gt;0.005,"DIVERGÊNCIA",IF(COUNTIF(RATEIOS!$A$2:$A$3142,$A667)-COUNTIFS(RATEIOS!$A$2:$A$3142,$A667,RATEIOS!$D$2:$D$3142,"&lt;&gt;")&gt;0,"NÃO CLASSIFICADO","RATEIO OK"))))</f>
        <v>RATEIO OK</v>
      </c>
      <c r="R667" s="49" t="s">
        <v>2553</v>
      </c>
      <c r="S667" s="14"/>
    </row>
    <row r="668" spans="1:19" ht="24.95" customHeight="1" x14ac:dyDescent="0.25">
      <c r="A668" s="49" t="s">
        <v>2161</v>
      </c>
      <c r="B668" s="98">
        <v>667</v>
      </c>
      <c r="C668" s="50">
        <v>46209</v>
      </c>
      <c r="D668" s="49">
        <f t="shared" si="20"/>
        <v>7</v>
      </c>
      <c r="E668" s="92" t="s">
        <v>510</v>
      </c>
      <c r="F668" s="49" t="s">
        <v>35</v>
      </c>
      <c r="G668" s="14" t="s">
        <v>808</v>
      </c>
      <c r="H668" s="14" t="s">
        <v>512</v>
      </c>
      <c r="I668" s="76" t="s">
        <v>412</v>
      </c>
      <c r="J668" s="73">
        <v>100000</v>
      </c>
      <c r="K668" s="74">
        <v>0</v>
      </c>
      <c r="L668" s="72">
        <v>0</v>
      </c>
      <c r="M668" s="72">
        <v>0</v>
      </c>
      <c r="N668" s="72">
        <f>IF(AND(C668="",J668=0,K668=0,L668=0,M668=0),"",CADASTROS!$B$4+SUM($J$2:J668)+SUM($M$2:M668)-SUM($K$2:K668)-SUM($L$2:L668))</f>
        <v>168985.6800000025</v>
      </c>
      <c r="O668" s="72">
        <f>IF(A668="","",SUMIF(RATEIOS!$A$2:$A$3142,$A668,RATEIOS!$F$2:$F$3142))</f>
        <v>100000</v>
      </c>
      <c r="P668" s="15">
        <f t="shared" si="21"/>
        <v>0</v>
      </c>
      <c r="Q668" s="49" t="str">
        <f>IF(AND(J668=0,K668=0,L668=0,M668=0),"",IF(O668=0,"PENDENTE DE RATEIO",IF(ABS(P668)&gt;0.005,"DIVERGÊNCIA",IF(COUNTIF(RATEIOS!$A$2:$A$3142,$A668)-COUNTIFS(RATEIOS!$A$2:$A$3142,$A668,RATEIOS!$D$2:$D$3142,"&lt;&gt;")&gt;0,"NÃO CLASSIFICADO","RATEIO OK"))))</f>
        <v>RATEIO OK</v>
      </c>
      <c r="R668" s="49" t="s">
        <v>2553</v>
      </c>
      <c r="S668" s="14"/>
    </row>
    <row r="669" spans="1:19" ht="24.95" customHeight="1" x14ac:dyDescent="0.25">
      <c r="A669" s="49" t="s">
        <v>2162</v>
      </c>
      <c r="B669" s="98">
        <v>668</v>
      </c>
      <c r="C669" s="50">
        <v>46209</v>
      </c>
      <c r="D669" s="49">
        <f t="shared" si="20"/>
        <v>7</v>
      </c>
      <c r="E669" s="92" t="s">
        <v>72</v>
      </c>
      <c r="F669" s="49" t="s">
        <v>36</v>
      </c>
      <c r="G669" s="14" t="s">
        <v>1011</v>
      </c>
      <c r="H669" s="14" t="s">
        <v>1012</v>
      </c>
      <c r="I669" s="76" t="s">
        <v>627</v>
      </c>
      <c r="J669" s="73">
        <v>0</v>
      </c>
      <c r="K669" s="74">
        <v>1500</v>
      </c>
      <c r="L669" s="72">
        <v>0</v>
      </c>
      <c r="M669" s="72">
        <v>0</v>
      </c>
      <c r="N669" s="72">
        <f>IF(AND(C669="",J669=0,K669=0,L669=0,M669=0),"",CADASTROS!$B$4+SUM($J$2:J669)+SUM($M$2:M669)-SUM($K$2:K669)-SUM($L$2:L669))</f>
        <v>167485.6800000025</v>
      </c>
      <c r="O669" s="72">
        <f>IF(A669="","",SUMIF(RATEIOS!$A$2:$A$3142,$A669,RATEIOS!$F$2:$F$3142))</f>
        <v>1500</v>
      </c>
      <c r="P669" s="15">
        <f t="shared" si="21"/>
        <v>0</v>
      </c>
      <c r="Q669" s="49" t="str">
        <f>IF(AND(J669=0,K669=0,L669=0,M669=0),"",IF(O669=0,"PENDENTE DE RATEIO",IF(ABS(P669)&gt;0.005,"DIVERGÊNCIA",IF(COUNTIF(RATEIOS!$A$2:$A$3142,$A669)-COUNTIFS(RATEIOS!$A$2:$A$3142,$A669,RATEIOS!$D$2:$D$3142,"&lt;&gt;")&gt;0,"NÃO CLASSIFICADO","RATEIO OK"))))</f>
        <v>RATEIO OK</v>
      </c>
      <c r="R669" s="49" t="s">
        <v>2553</v>
      </c>
      <c r="S669" s="14"/>
    </row>
    <row r="670" spans="1:19" ht="24.95" customHeight="1" x14ac:dyDescent="0.25">
      <c r="A670" s="49" t="s">
        <v>2163</v>
      </c>
      <c r="B670" s="98">
        <v>669</v>
      </c>
      <c r="C670" s="50">
        <v>46209</v>
      </c>
      <c r="D670" s="49">
        <f t="shared" si="20"/>
        <v>7</v>
      </c>
      <c r="E670" s="92" t="s">
        <v>118</v>
      </c>
      <c r="F670" s="49" t="s">
        <v>36</v>
      </c>
      <c r="G670" s="14" t="s">
        <v>273</v>
      </c>
      <c r="H670" s="14" t="s">
        <v>81</v>
      </c>
      <c r="I670" s="76" t="s">
        <v>879</v>
      </c>
      <c r="J670" s="73">
        <v>0</v>
      </c>
      <c r="K670" s="74">
        <v>9332.4</v>
      </c>
      <c r="L670" s="72">
        <v>0</v>
      </c>
      <c r="M670" s="72">
        <v>0</v>
      </c>
      <c r="N670" s="72">
        <f>IF(AND(C670="",J670=0,K670=0,L670=0,M670=0),"",CADASTROS!$B$4+SUM($J$2:J670)+SUM($M$2:M670)-SUM($K$2:K670)-SUM($L$2:L670))</f>
        <v>158153.28000000259</v>
      </c>
      <c r="O670" s="72">
        <f>IF(A670="","",SUMIF(RATEIOS!$A$2:$A$3142,$A670,RATEIOS!$F$2:$F$3142))</f>
        <v>9332.4</v>
      </c>
      <c r="P670" s="15">
        <f t="shared" si="21"/>
        <v>0</v>
      </c>
      <c r="Q670" s="49" t="str">
        <f>IF(AND(J670=0,K670=0,L670=0,M670=0),"",IF(O670=0,"PENDENTE DE RATEIO",IF(ABS(P670)&gt;0.005,"DIVERGÊNCIA",IF(COUNTIF(RATEIOS!$A$2:$A$3142,$A670)-COUNTIFS(RATEIOS!$A$2:$A$3142,$A670,RATEIOS!$D$2:$D$3142,"&lt;&gt;")&gt;0,"NÃO CLASSIFICADO","RATEIO OK"))))</f>
        <v>RATEIO OK</v>
      </c>
      <c r="R670" s="49" t="s">
        <v>2553</v>
      </c>
      <c r="S670" s="14"/>
    </row>
    <row r="671" spans="1:19" ht="24.95" customHeight="1" x14ac:dyDescent="0.25">
      <c r="A671" s="49" t="s">
        <v>2164</v>
      </c>
      <c r="B671" s="98">
        <v>670</v>
      </c>
      <c r="C671" s="50">
        <v>46209</v>
      </c>
      <c r="D671" s="49">
        <f t="shared" si="20"/>
        <v>7</v>
      </c>
      <c r="E671" s="92" t="s">
        <v>118</v>
      </c>
      <c r="F671" s="49" t="s">
        <v>36</v>
      </c>
      <c r="G671" s="14" t="s">
        <v>1013</v>
      </c>
      <c r="H671" s="14" t="s">
        <v>265</v>
      </c>
      <c r="I671" s="76" t="s">
        <v>883</v>
      </c>
      <c r="J671" s="73">
        <v>0</v>
      </c>
      <c r="K671" s="74">
        <v>3440.76</v>
      </c>
      <c r="L671" s="72">
        <v>0</v>
      </c>
      <c r="M671" s="72">
        <v>0</v>
      </c>
      <c r="N671" s="72">
        <f>IF(AND(C671="",J671=0,K671=0,L671=0,M671=0),"",CADASTROS!$B$4+SUM($J$2:J671)+SUM($M$2:M671)-SUM($K$2:K671)-SUM($L$2:L671))</f>
        <v>154712.52000000281</v>
      </c>
      <c r="O671" s="72">
        <f>IF(A671="","",SUMIF(RATEIOS!$A$2:$A$3142,$A671,RATEIOS!$F$2:$F$3142))</f>
        <v>3440.76</v>
      </c>
      <c r="P671" s="15">
        <f t="shared" si="21"/>
        <v>0</v>
      </c>
      <c r="Q671" s="49" t="str">
        <f>IF(AND(J671=0,K671=0,L671=0,M671=0),"",IF(O671=0,"PENDENTE DE RATEIO",IF(ABS(P671)&gt;0.005,"DIVERGÊNCIA",IF(COUNTIF(RATEIOS!$A$2:$A$3142,$A671)-COUNTIFS(RATEIOS!$A$2:$A$3142,$A671,RATEIOS!$D$2:$D$3142,"&lt;&gt;")&gt;0,"NÃO CLASSIFICADO","RATEIO OK"))))</f>
        <v>RATEIO OK</v>
      </c>
      <c r="R671" s="49" t="s">
        <v>2553</v>
      </c>
      <c r="S671" s="14"/>
    </row>
    <row r="672" spans="1:19" ht="24.95" customHeight="1" x14ac:dyDescent="0.25">
      <c r="A672" s="49" t="s">
        <v>2165</v>
      </c>
      <c r="B672" s="98">
        <v>671</v>
      </c>
      <c r="C672" s="50">
        <v>46209</v>
      </c>
      <c r="D672" s="49">
        <f t="shared" si="20"/>
        <v>7</v>
      </c>
      <c r="E672" s="92" t="s">
        <v>118</v>
      </c>
      <c r="F672" s="49" t="s">
        <v>36</v>
      </c>
      <c r="G672" s="14" t="s">
        <v>67</v>
      </c>
      <c r="H672" s="14" t="s">
        <v>67</v>
      </c>
      <c r="I672" s="76" t="s">
        <v>441</v>
      </c>
      <c r="J672" s="73">
        <v>0</v>
      </c>
      <c r="K672" s="74">
        <v>2593</v>
      </c>
      <c r="L672" s="72">
        <v>0</v>
      </c>
      <c r="M672" s="72">
        <v>0</v>
      </c>
      <c r="N672" s="72">
        <f>IF(AND(C672="",J672=0,K672=0,L672=0,M672=0),"",CADASTROS!$B$4+SUM($J$2:J672)+SUM($M$2:M672)-SUM($K$2:K672)-SUM($L$2:L672))</f>
        <v>152119.52000000281</v>
      </c>
      <c r="O672" s="72">
        <f>IF(A672="","",SUMIF(RATEIOS!$A$2:$A$3142,$A672,RATEIOS!$F$2:$F$3142))</f>
        <v>2593</v>
      </c>
      <c r="P672" s="15">
        <f t="shared" si="21"/>
        <v>0</v>
      </c>
      <c r="Q672" s="49" t="str">
        <f>IF(AND(J672=0,K672=0,L672=0,M672=0),"",IF(O672=0,"PENDENTE DE RATEIO",IF(ABS(P672)&gt;0.005,"DIVERGÊNCIA",IF(COUNTIF(RATEIOS!$A$2:$A$3142,$A672)-COUNTIFS(RATEIOS!$A$2:$A$3142,$A672,RATEIOS!$D$2:$D$3142,"&lt;&gt;")&gt;0,"NÃO CLASSIFICADO","RATEIO OK"))))</f>
        <v>RATEIO OK</v>
      </c>
      <c r="R672" s="49" t="s">
        <v>2553</v>
      </c>
      <c r="S672" s="14"/>
    </row>
    <row r="673" spans="1:19" ht="24.95" customHeight="1" x14ac:dyDescent="0.25">
      <c r="A673" s="49" t="s">
        <v>2166</v>
      </c>
      <c r="B673" s="98">
        <v>672</v>
      </c>
      <c r="C673" s="50">
        <v>46209</v>
      </c>
      <c r="D673" s="49">
        <f t="shared" si="20"/>
        <v>7</v>
      </c>
      <c r="E673" s="92" t="s">
        <v>118</v>
      </c>
      <c r="F673" s="49" t="s">
        <v>36</v>
      </c>
      <c r="G673" s="14" t="s">
        <v>1014</v>
      </c>
      <c r="H673" s="14" t="s">
        <v>84</v>
      </c>
      <c r="I673" s="76" t="s">
        <v>412</v>
      </c>
      <c r="J673" s="73">
        <v>0</v>
      </c>
      <c r="K673" s="74">
        <v>22470.959999999999</v>
      </c>
      <c r="L673" s="72">
        <v>0</v>
      </c>
      <c r="M673" s="72">
        <v>0</v>
      </c>
      <c r="N673" s="72">
        <f>IF(AND(C673="",J673=0,K673=0,L673=0,M673=0),"",CADASTROS!$B$4+SUM($J$2:J673)+SUM($M$2:M673)-SUM($K$2:K673)-SUM($L$2:L673))</f>
        <v>129648.56000000285</v>
      </c>
      <c r="O673" s="72">
        <f>IF(A673="","",SUMIF(RATEIOS!$A$2:$A$3142,$A673,RATEIOS!$F$2:$F$3142))</f>
        <v>22470.959999999999</v>
      </c>
      <c r="P673" s="15">
        <f t="shared" si="21"/>
        <v>0</v>
      </c>
      <c r="Q673" s="49" t="str">
        <f>IF(AND(J673=0,K673=0,L673=0,M673=0),"",IF(O673=0,"PENDENTE DE RATEIO",IF(ABS(P673)&gt;0.005,"DIVERGÊNCIA",IF(COUNTIF(RATEIOS!$A$2:$A$3142,$A673)-COUNTIFS(RATEIOS!$A$2:$A$3142,$A673,RATEIOS!$D$2:$D$3142,"&lt;&gt;")&gt;0,"NÃO CLASSIFICADO","RATEIO OK"))))</f>
        <v>RATEIO OK</v>
      </c>
      <c r="R673" s="49" t="s">
        <v>2553</v>
      </c>
      <c r="S673" s="14"/>
    </row>
    <row r="674" spans="1:19" ht="24.95" customHeight="1" x14ac:dyDescent="0.25">
      <c r="A674" s="49" t="s">
        <v>2167</v>
      </c>
      <c r="B674" s="98">
        <v>673</v>
      </c>
      <c r="C674" s="50">
        <v>46209</v>
      </c>
      <c r="D674" s="49">
        <f t="shared" si="20"/>
        <v>7</v>
      </c>
      <c r="E674" s="92" t="s">
        <v>118</v>
      </c>
      <c r="F674" s="49" t="s">
        <v>36</v>
      </c>
      <c r="G674" s="14" t="s">
        <v>908</v>
      </c>
      <c r="H674" s="14" t="s">
        <v>191</v>
      </c>
      <c r="I674" s="76" t="s">
        <v>893</v>
      </c>
      <c r="J674" s="73">
        <v>0</v>
      </c>
      <c r="K674" s="74">
        <v>706.76</v>
      </c>
      <c r="L674" s="72">
        <v>0</v>
      </c>
      <c r="M674" s="72">
        <v>0</v>
      </c>
      <c r="N674" s="72">
        <f>IF(AND(C674="",J674=0,K674=0,L674=0,M674=0),"",CADASTROS!$B$4+SUM($J$2:J674)+SUM($M$2:M674)-SUM($K$2:K674)-SUM($L$2:L674))</f>
        <v>128941.80000000307</v>
      </c>
      <c r="O674" s="72">
        <f>IF(A674="","",SUMIF(RATEIOS!$A$2:$A$3142,$A674,RATEIOS!$F$2:$F$3142))</f>
        <v>706.76</v>
      </c>
      <c r="P674" s="15">
        <f t="shared" si="21"/>
        <v>0</v>
      </c>
      <c r="Q674" s="49" t="str">
        <f>IF(AND(J674=0,K674=0,L674=0,M674=0),"",IF(O674=0,"PENDENTE DE RATEIO",IF(ABS(P674)&gt;0.005,"DIVERGÊNCIA",IF(COUNTIF(RATEIOS!$A$2:$A$3142,$A674)-COUNTIFS(RATEIOS!$A$2:$A$3142,$A674,RATEIOS!$D$2:$D$3142,"&lt;&gt;")&gt;0,"NÃO CLASSIFICADO","RATEIO OK"))))</f>
        <v>RATEIO OK</v>
      </c>
      <c r="R674" s="49" t="s">
        <v>2553</v>
      </c>
      <c r="S674" s="14"/>
    </row>
    <row r="675" spans="1:19" ht="24.95" customHeight="1" x14ac:dyDescent="0.25">
      <c r="A675" s="49" t="s">
        <v>2168</v>
      </c>
      <c r="B675" s="98">
        <v>674</v>
      </c>
      <c r="C675" s="50">
        <v>46209</v>
      </c>
      <c r="D675" s="49">
        <f t="shared" si="20"/>
        <v>7</v>
      </c>
      <c r="E675" s="92" t="s">
        <v>118</v>
      </c>
      <c r="F675" s="49" t="s">
        <v>36</v>
      </c>
      <c r="G675" s="14" t="s">
        <v>1015</v>
      </c>
      <c r="H675" s="14" t="s">
        <v>191</v>
      </c>
      <c r="I675" s="76" t="s">
        <v>891</v>
      </c>
      <c r="J675" s="73">
        <v>0</v>
      </c>
      <c r="K675" s="74">
        <v>742.96</v>
      </c>
      <c r="L675" s="72">
        <v>0</v>
      </c>
      <c r="M675" s="72">
        <v>0</v>
      </c>
      <c r="N675" s="72">
        <f>IF(AND(C675="",J675=0,K675=0,L675=0,M675=0),"",CADASTROS!$B$4+SUM($J$2:J675)+SUM($M$2:M675)-SUM($K$2:K675)-SUM($L$2:L675))</f>
        <v>128198.84000000311</v>
      </c>
      <c r="O675" s="72">
        <f>IF(A675="","",SUMIF(RATEIOS!$A$2:$A$3142,$A675,RATEIOS!$F$2:$F$3142))</f>
        <v>742.96</v>
      </c>
      <c r="P675" s="15">
        <f t="shared" si="21"/>
        <v>0</v>
      </c>
      <c r="Q675" s="49" t="str">
        <f>IF(AND(J675=0,K675=0,L675=0,M675=0),"",IF(O675=0,"PENDENTE DE RATEIO",IF(ABS(P675)&gt;0.005,"DIVERGÊNCIA",IF(COUNTIF(RATEIOS!$A$2:$A$3142,$A675)-COUNTIFS(RATEIOS!$A$2:$A$3142,$A675,RATEIOS!$D$2:$D$3142,"&lt;&gt;")&gt;0,"NÃO CLASSIFICADO","RATEIO OK"))))</f>
        <v>RATEIO OK</v>
      </c>
      <c r="R675" s="49" t="s">
        <v>2553</v>
      </c>
      <c r="S675" s="14"/>
    </row>
    <row r="676" spans="1:19" ht="24.95" customHeight="1" x14ac:dyDescent="0.25">
      <c r="A676" s="49" t="s">
        <v>2169</v>
      </c>
      <c r="B676" s="98">
        <v>675</v>
      </c>
      <c r="C676" s="50">
        <v>46209</v>
      </c>
      <c r="D676" s="49">
        <f t="shared" si="20"/>
        <v>7</v>
      </c>
      <c r="E676" s="92" t="s">
        <v>118</v>
      </c>
      <c r="F676" s="49" t="s">
        <v>36</v>
      </c>
      <c r="G676" s="14" t="s">
        <v>526</v>
      </c>
      <c r="H676" s="14" t="s">
        <v>185</v>
      </c>
      <c r="I676" s="76" t="s">
        <v>763</v>
      </c>
      <c r="J676" s="73">
        <v>0</v>
      </c>
      <c r="K676" s="74">
        <v>1790</v>
      </c>
      <c r="L676" s="72">
        <v>0</v>
      </c>
      <c r="M676" s="72">
        <v>0</v>
      </c>
      <c r="N676" s="72">
        <f>IF(AND(C676="",J676=0,K676=0,L676=0,M676=0),"",CADASTROS!$B$4+SUM($J$2:J676)+SUM($M$2:M676)-SUM($K$2:K676)-SUM($L$2:L676))</f>
        <v>126408.84000000311</v>
      </c>
      <c r="O676" s="72">
        <f>IF(A676="","",SUMIF(RATEIOS!$A$2:$A$3142,$A676,RATEIOS!$F$2:$F$3142))</f>
        <v>1790</v>
      </c>
      <c r="P676" s="15">
        <f t="shared" si="21"/>
        <v>0</v>
      </c>
      <c r="Q676" s="49" t="str">
        <f>IF(AND(J676=0,K676=0,L676=0,M676=0),"",IF(O676=0,"PENDENTE DE RATEIO",IF(ABS(P676)&gt;0.005,"DIVERGÊNCIA",IF(COUNTIF(RATEIOS!$A$2:$A$3142,$A676)-COUNTIFS(RATEIOS!$A$2:$A$3142,$A676,RATEIOS!$D$2:$D$3142,"&lt;&gt;")&gt;0,"NÃO CLASSIFICADO","RATEIO OK"))))</f>
        <v>RATEIO OK</v>
      </c>
      <c r="R676" s="49" t="s">
        <v>2553</v>
      </c>
      <c r="S676" s="14"/>
    </row>
    <row r="677" spans="1:19" ht="24.95" customHeight="1" x14ac:dyDescent="0.25">
      <c r="A677" s="49" t="s">
        <v>2170</v>
      </c>
      <c r="B677" s="98">
        <v>676</v>
      </c>
      <c r="C677" s="50">
        <v>46210</v>
      </c>
      <c r="D677" s="49">
        <f t="shared" si="20"/>
        <v>7</v>
      </c>
      <c r="E677" s="92" t="s">
        <v>123</v>
      </c>
      <c r="F677" s="49" t="s">
        <v>36</v>
      </c>
      <c r="G677" s="14" t="s">
        <v>1016</v>
      </c>
      <c r="H677" s="14" t="s">
        <v>123</v>
      </c>
      <c r="I677" s="76" t="s">
        <v>412</v>
      </c>
      <c r="J677" s="73">
        <v>0</v>
      </c>
      <c r="K677" s="74">
        <v>73787.45</v>
      </c>
      <c r="L677" s="72">
        <v>0</v>
      </c>
      <c r="M677" s="72">
        <v>0</v>
      </c>
      <c r="N677" s="72">
        <f>IF(AND(C677="",J677=0,K677=0,L677=0,M677=0),"",CADASTROS!$B$4+SUM($J$2:J677)+SUM($M$2:M677)-SUM($K$2:K677)-SUM($L$2:L677))</f>
        <v>52621.390000002924</v>
      </c>
      <c r="O677" s="72">
        <f>IF(A677="","",SUMIF(RATEIOS!$A$2:$A$3142,$A677,RATEIOS!$F$2:$F$3142))</f>
        <v>73787.45</v>
      </c>
      <c r="P677" s="15">
        <f t="shared" si="21"/>
        <v>0</v>
      </c>
      <c r="Q677" s="49" t="str">
        <f>IF(AND(J677=0,K677=0,L677=0,M677=0),"",IF(O677=0,"PENDENTE DE RATEIO",IF(ABS(P677)&gt;0.005,"DIVERGÊNCIA",IF(COUNTIF(RATEIOS!$A$2:$A$3142,$A677)-COUNTIFS(RATEIOS!$A$2:$A$3142,$A677,RATEIOS!$D$2:$D$3142,"&lt;&gt;")&gt;0,"NÃO CLASSIFICADO","RATEIO OK"))))</f>
        <v>RATEIO OK</v>
      </c>
      <c r="R677" s="49" t="s">
        <v>2553</v>
      </c>
      <c r="S677" s="14"/>
    </row>
    <row r="678" spans="1:19" ht="24.95" customHeight="1" x14ac:dyDescent="0.25">
      <c r="A678" s="49" t="s">
        <v>2171</v>
      </c>
      <c r="B678" s="98">
        <v>677</v>
      </c>
      <c r="C678" s="50">
        <v>46210</v>
      </c>
      <c r="D678" s="49">
        <f t="shared" si="20"/>
        <v>7</v>
      </c>
      <c r="E678" s="92" t="s">
        <v>2556</v>
      </c>
      <c r="F678" s="49" t="s">
        <v>36</v>
      </c>
      <c r="G678" s="14" t="s">
        <v>276</v>
      </c>
      <c r="H678" s="14" t="s">
        <v>277</v>
      </c>
      <c r="I678" s="76" t="s">
        <v>412</v>
      </c>
      <c r="J678" s="73">
        <v>0</v>
      </c>
      <c r="K678" s="74">
        <v>41.63</v>
      </c>
      <c r="L678" s="72">
        <v>0</v>
      </c>
      <c r="M678" s="72">
        <v>0</v>
      </c>
      <c r="N678" s="72">
        <f>IF(AND(C678="",J678=0,K678=0,L678=0,M678=0),"",CADASTROS!$B$4+SUM($J$2:J678)+SUM($M$2:M678)-SUM($K$2:K678)-SUM($L$2:L678))</f>
        <v>52579.760000003036</v>
      </c>
      <c r="O678" s="72">
        <f>IF(A678="","",SUMIF(RATEIOS!$A$2:$A$3142,$A678,RATEIOS!$F$2:$F$3142))</f>
        <v>41.63</v>
      </c>
      <c r="P678" s="15">
        <f t="shared" si="21"/>
        <v>0</v>
      </c>
      <c r="Q678" s="49" t="str">
        <f>IF(AND(J678=0,K678=0,L678=0,M678=0),"",IF(O678=0,"PENDENTE DE RATEIO",IF(ABS(P678)&gt;0.005,"DIVERGÊNCIA",IF(COUNTIF(RATEIOS!$A$2:$A$3142,$A678)-COUNTIFS(RATEIOS!$A$2:$A$3142,$A678,RATEIOS!$D$2:$D$3142,"&lt;&gt;")&gt;0,"NÃO CLASSIFICADO","RATEIO OK"))))</f>
        <v>RATEIO OK</v>
      </c>
      <c r="R678" s="49" t="s">
        <v>2553</v>
      </c>
      <c r="S678" s="14"/>
    </row>
    <row r="679" spans="1:19" ht="24.95" customHeight="1" x14ac:dyDescent="0.25">
      <c r="A679" s="49" t="s">
        <v>2172</v>
      </c>
      <c r="B679" s="98">
        <v>678</v>
      </c>
      <c r="C679" s="50">
        <v>46211</v>
      </c>
      <c r="D679" s="49">
        <f t="shared" si="20"/>
        <v>7</v>
      </c>
      <c r="E679" s="92" t="s">
        <v>287</v>
      </c>
      <c r="F679" s="49" t="s">
        <v>36</v>
      </c>
      <c r="G679" s="14" t="s">
        <v>1017</v>
      </c>
      <c r="H679" s="14" t="s">
        <v>3033</v>
      </c>
      <c r="I679" s="76" t="s">
        <v>1018</v>
      </c>
      <c r="J679" s="73">
        <v>0</v>
      </c>
      <c r="K679" s="74">
        <v>1246</v>
      </c>
      <c r="L679" s="72">
        <v>0</v>
      </c>
      <c r="M679" s="72">
        <v>0</v>
      </c>
      <c r="N679" s="72">
        <f>IF(AND(C679="",J679=0,K679=0,L679=0,M679=0),"",CADASTROS!$B$4+SUM($J$2:J679)+SUM($M$2:M679)-SUM($K$2:K679)-SUM($L$2:L679))</f>
        <v>51333.760000003036</v>
      </c>
      <c r="O679" s="72">
        <f>IF(A679="","",SUMIF(RATEIOS!$A$2:$A$3142,$A679,RATEIOS!$F$2:$F$3142))</f>
        <v>1246</v>
      </c>
      <c r="P679" s="15">
        <f t="shared" si="21"/>
        <v>0</v>
      </c>
      <c r="Q679" s="49" t="str">
        <f>IF(AND(J679=0,K679=0,L679=0,M679=0),"",IF(O679=0,"PENDENTE DE RATEIO",IF(ABS(P679)&gt;0.005,"DIVERGÊNCIA",IF(COUNTIF(RATEIOS!$A$2:$A$3142,$A679)-COUNTIFS(RATEIOS!$A$2:$A$3142,$A679,RATEIOS!$D$2:$D$3142,"&lt;&gt;")&gt;0,"NÃO CLASSIFICADO","RATEIO OK"))))</f>
        <v>RATEIO OK</v>
      </c>
      <c r="R679" s="49" t="s">
        <v>2553</v>
      </c>
      <c r="S679" s="14"/>
    </row>
    <row r="680" spans="1:19" ht="24.95" customHeight="1" x14ac:dyDescent="0.25">
      <c r="A680" s="49" t="s">
        <v>2173</v>
      </c>
      <c r="B680" s="98">
        <v>679</v>
      </c>
      <c r="C680" s="50">
        <v>46211</v>
      </c>
      <c r="D680" s="49">
        <f t="shared" si="20"/>
        <v>7</v>
      </c>
      <c r="E680" s="92" t="s">
        <v>118</v>
      </c>
      <c r="F680" s="49" t="s">
        <v>36</v>
      </c>
      <c r="G680" s="14" t="s">
        <v>1019</v>
      </c>
      <c r="H680" s="14" t="s">
        <v>143</v>
      </c>
      <c r="I680" s="76" t="s">
        <v>1020</v>
      </c>
      <c r="J680" s="73">
        <v>0</v>
      </c>
      <c r="K680" s="74">
        <v>8891.25</v>
      </c>
      <c r="L680" s="72">
        <v>0</v>
      </c>
      <c r="M680" s="72">
        <v>0</v>
      </c>
      <c r="N680" s="72">
        <f>IF(AND(C680="",J680=0,K680=0,L680=0,M680=0),"",CADASTROS!$B$4+SUM($J$2:J680)+SUM($M$2:M680)-SUM($K$2:K680)-SUM($L$2:L680))</f>
        <v>42442.510000003036</v>
      </c>
      <c r="O680" s="72">
        <f>IF(A680="","",SUMIF(RATEIOS!$A$2:$A$3142,$A680,RATEIOS!$F$2:$F$3142))</f>
        <v>8891.25</v>
      </c>
      <c r="P680" s="15">
        <f t="shared" si="21"/>
        <v>0</v>
      </c>
      <c r="Q680" s="49" t="str">
        <f>IF(AND(J680=0,K680=0,L680=0,M680=0),"",IF(O680=0,"PENDENTE DE RATEIO",IF(ABS(P680)&gt;0.005,"DIVERGÊNCIA",IF(COUNTIF(RATEIOS!$A$2:$A$3142,$A680)-COUNTIFS(RATEIOS!$A$2:$A$3142,$A680,RATEIOS!$D$2:$D$3142,"&lt;&gt;")&gt;0,"NÃO CLASSIFICADO","RATEIO OK"))))</f>
        <v>RATEIO OK</v>
      </c>
      <c r="R680" s="49" t="s">
        <v>2553</v>
      </c>
      <c r="S680" s="14"/>
    </row>
    <row r="681" spans="1:19" ht="24.95" customHeight="1" x14ac:dyDescent="0.25">
      <c r="A681" s="49" t="s">
        <v>2174</v>
      </c>
      <c r="B681" s="98">
        <v>680</v>
      </c>
      <c r="C681" s="50">
        <v>46211</v>
      </c>
      <c r="D681" s="49">
        <f t="shared" si="20"/>
        <v>7</v>
      </c>
      <c r="E681" s="92" t="s">
        <v>118</v>
      </c>
      <c r="F681" s="49" t="s">
        <v>36</v>
      </c>
      <c r="G681" s="14" t="s">
        <v>1021</v>
      </c>
      <c r="H681" s="14" t="s">
        <v>92</v>
      </c>
      <c r="I681" s="76" t="s">
        <v>93</v>
      </c>
      <c r="J681" s="73">
        <v>0</v>
      </c>
      <c r="K681" s="74">
        <v>1935.4</v>
      </c>
      <c r="L681" s="72">
        <v>0</v>
      </c>
      <c r="M681" s="72">
        <v>0</v>
      </c>
      <c r="N681" s="72">
        <f>IF(AND(C681="",J681=0,K681=0,L681=0,M681=0),"",CADASTROS!$B$4+SUM($J$2:J681)+SUM($M$2:M681)-SUM($K$2:K681)-SUM($L$2:L681))</f>
        <v>40507.110000003129</v>
      </c>
      <c r="O681" s="72">
        <f>IF(A681="","",SUMIF(RATEIOS!$A$2:$A$3142,$A681,RATEIOS!$F$2:$F$3142))</f>
        <v>1935.4</v>
      </c>
      <c r="P681" s="15">
        <f t="shared" si="21"/>
        <v>0</v>
      </c>
      <c r="Q681" s="49" t="str">
        <f>IF(AND(J681=0,K681=0,L681=0,M681=0),"",IF(O681=0,"PENDENTE DE RATEIO",IF(ABS(P681)&gt;0.005,"DIVERGÊNCIA",IF(COUNTIF(RATEIOS!$A$2:$A$3142,$A681)-COUNTIFS(RATEIOS!$A$2:$A$3142,$A681,RATEIOS!$D$2:$D$3142,"&lt;&gt;")&gt;0,"NÃO CLASSIFICADO","RATEIO OK"))))</f>
        <v>RATEIO OK</v>
      </c>
      <c r="R681" s="49" t="s">
        <v>2553</v>
      </c>
      <c r="S681" s="14"/>
    </row>
    <row r="682" spans="1:19" ht="24.95" customHeight="1" x14ac:dyDescent="0.25">
      <c r="A682" s="49" t="s">
        <v>2175</v>
      </c>
      <c r="B682" s="98">
        <v>681</v>
      </c>
      <c r="C682" s="50">
        <v>46211</v>
      </c>
      <c r="D682" s="49">
        <f t="shared" si="20"/>
        <v>7</v>
      </c>
      <c r="E682" s="92" t="s">
        <v>118</v>
      </c>
      <c r="F682" s="49" t="s">
        <v>36</v>
      </c>
      <c r="G682" s="14" t="s">
        <v>1022</v>
      </c>
      <c r="H682" s="14" t="s">
        <v>143</v>
      </c>
      <c r="I682" s="76" t="s">
        <v>1023</v>
      </c>
      <c r="J682" s="73">
        <v>0</v>
      </c>
      <c r="K682" s="74">
        <v>3266.25</v>
      </c>
      <c r="L682" s="72">
        <v>0</v>
      </c>
      <c r="M682" s="72">
        <v>0</v>
      </c>
      <c r="N682" s="72">
        <f>IF(AND(C682="",J682=0,K682=0,L682=0,M682=0),"",CADASTROS!$B$4+SUM($J$2:J682)+SUM($M$2:M682)-SUM($K$2:K682)-SUM($L$2:L682))</f>
        <v>37240.860000003129</v>
      </c>
      <c r="O682" s="72">
        <f>IF(A682="","",SUMIF(RATEIOS!$A$2:$A$3142,$A682,RATEIOS!$F$2:$F$3142))</f>
        <v>3266.25</v>
      </c>
      <c r="P682" s="15">
        <f t="shared" si="21"/>
        <v>0</v>
      </c>
      <c r="Q682" s="49" t="str">
        <f>IF(AND(J682=0,K682=0,L682=0,M682=0),"",IF(O682=0,"PENDENTE DE RATEIO",IF(ABS(P682)&gt;0.005,"DIVERGÊNCIA",IF(COUNTIF(RATEIOS!$A$2:$A$3142,$A682)-COUNTIFS(RATEIOS!$A$2:$A$3142,$A682,RATEIOS!$D$2:$D$3142,"&lt;&gt;")&gt;0,"NÃO CLASSIFICADO","RATEIO OK"))))</f>
        <v>RATEIO OK</v>
      </c>
      <c r="R682" s="49" t="s">
        <v>2553</v>
      </c>
      <c r="S682" s="14"/>
    </row>
    <row r="683" spans="1:19" ht="24.95" customHeight="1" x14ac:dyDescent="0.25">
      <c r="A683" s="49" t="s">
        <v>2176</v>
      </c>
      <c r="B683" s="98">
        <v>682</v>
      </c>
      <c r="C683" s="50">
        <v>46213</v>
      </c>
      <c r="D683" s="49">
        <f t="shared" si="20"/>
        <v>7</v>
      </c>
      <c r="E683" s="92" t="s">
        <v>118</v>
      </c>
      <c r="F683" s="49" t="s">
        <v>36</v>
      </c>
      <c r="G683" s="14" t="s">
        <v>1024</v>
      </c>
      <c r="H683" s="14" t="s">
        <v>59</v>
      </c>
      <c r="I683" s="76" t="s">
        <v>929</v>
      </c>
      <c r="J683" s="73">
        <v>0</v>
      </c>
      <c r="K683" s="74">
        <v>2940</v>
      </c>
      <c r="L683" s="72">
        <v>0</v>
      </c>
      <c r="M683" s="72">
        <v>0</v>
      </c>
      <c r="N683" s="72">
        <f>IF(AND(C683="",J683=0,K683=0,L683=0,M683=0),"",CADASTROS!$B$4+SUM($J$2:J683)+SUM($M$2:M683)-SUM($K$2:K683)-SUM($L$2:L683))</f>
        <v>34300.860000003129</v>
      </c>
      <c r="O683" s="72">
        <f>IF(A683="","",SUMIF(RATEIOS!$A$2:$A$3142,$A683,RATEIOS!$F$2:$F$3142))</f>
        <v>2940</v>
      </c>
      <c r="P683" s="15">
        <f t="shared" si="21"/>
        <v>0</v>
      </c>
      <c r="Q683" s="49" t="str">
        <f>IF(AND(J683=0,K683=0,L683=0,M683=0),"",IF(O683=0,"PENDENTE DE RATEIO",IF(ABS(P683)&gt;0.005,"DIVERGÊNCIA",IF(COUNTIF(RATEIOS!$A$2:$A$3142,$A683)-COUNTIFS(RATEIOS!$A$2:$A$3142,$A683,RATEIOS!$D$2:$D$3142,"&lt;&gt;")&gt;0,"NÃO CLASSIFICADO","RATEIO OK"))))</f>
        <v>RATEIO OK</v>
      </c>
      <c r="R683" s="49" t="s">
        <v>2553</v>
      </c>
      <c r="S683" s="14"/>
    </row>
    <row r="684" spans="1:19" ht="24.95" customHeight="1" x14ac:dyDescent="0.25">
      <c r="A684" s="49" t="s">
        <v>2177</v>
      </c>
      <c r="B684" s="98">
        <v>683</v>
      </c>
      <c r="C684" s="50">
        <v>46213</v>
      </c>
      <c r="D684" s="49">
        <f t="shared" si="20"/>
        <v>7</v>
      </c>
      <c r="E684" s="92" t="s">
        <v>118</v>
      </c>
      <c r="F684" s="49" t="s">
        <v>36</v>
      </c>
      <c r="G684" s="14" t="s">
        <v>119</v>
      </c>
      <c r="H684" s="14" t="s">
        <v>120</v>
      </c>
      <c r="I684" s="76" t="s">
        <v>2951</v>
      </c>
      <c r="J684" s="73">
        <v>0</v>
      </c>
      <c r="K684" s="74">
        <v>149.9</v>
      </c>
      <c r="L684" s="72">
        <v>0</v>
      </c>
      <c r="M684" s="72">
        <v>0</v>
      </c>
      <c r="N684" s="72">
        <f>IF(AND(C684="",J684=0,K684=0,L684=0,M684=0),"",CADASTROS!$B$4+SUM($J$2:J684)+SUM($M$2:M684)-SUM($K$2:K684)-SUM($L$2:L684))</f>
        <v>34150.960000003222</v>
      </c>
      <c r="O684" s="72">
        <f>IF(A684="","",SUMIF(RATEIOS!$A$2:$A$3142,$A684,RATEIOS!$F$2:$F$3142))</f>
        <v>149.9</v>
      </c>
      <c r="P684" s="15">
        <f t="shared" si="21"/>
        <v>0</v>
      </c>
      <c r="Q684" s="49" t="str">
        <f>IF(AND(J684=0,K684=0,L684=0,M684=0),"",IF(O684=0,"PENDENTE DE RATEIO",IF(ABS(P684)&gt;0.005,"DIVERGÊNCIA",IF(COUNTIF(RATEIOS!$A$2:$A$3142,$A684)-COUNTIFS(RATEIOS!$A$2:$A$3142,$A684,RATEIOS!$D$2:$D$3142,"&lt;&gt;")&gt;0,"NÃO CLASSIFICADO","RATEIO OK"))))</f>
        <v>RATEIO OK</v>
      </c>
      <c r="R684" s="49" t="s">
        <v>2553</v>
      </c>
      <c r="S684" s="14"/>
    </row>
    <row r="685" spans="1:19" ht="24.95" customHeight="1" x14ac:dyDescent="0.25">
      <c r="A685" s="49" t="s">
        <v>2178</v>
      </c>
      <c r="B685" s="98">
        <v>684</v>
      </c>
      <c r="C685" s="50">
        <v>46213</v>
      </c>
      <c r="D685" s="49">
        <f t="shared" si="20"/>
        <v>7</v>
      </c>
      <c r="E685" s="92" t="s">
        <v>118</v>
      </c>
      <c r="F685" s="49" t="s">
        <v>36</v>
      </c>
      <c r="G685" s="14" t="s">
        <v>1025</v>
      </c>
      <c r="H685" s="96" t="s">
        <v>2753</v>
      </c>
      <c r="I685" s="76" t="s">
        <v>1026</v>
      </c>
      <c r="J685" s="73">
        <v>0</v>
      </c>
      <c r="K685" s="74">
        <v>1600</v>
      </c>
      <c r="L685" s="72">
        <v>0</v>
      </c>
      <c r="M685" s="72">
        <v>0</v>
      </c>
      <c r="N685" s="72">
        <f>IF(AND(C685="",J685=0,K685=0,L685=0,M685=0),"",CADASTROS!$B$4+SUM($J$2:J685)+SUM($M$2:M685)-SUM($K$2:K685)-SUM($L$2:L685))</f>
        <v>32550.960000003222</v>
      </c>
      <c r="O685" s="72">
        <f>IF(A685="","",SUMIF(RATEIOS!$A$2:$A$3142,$A685,RATEIOS!$F$2:$F$3142))</f>
        <v>1600</v>
      </c>
      <c r="P685" s="15">
        <f t="shared" si="21"/>
        <v>0</v>
      </c>
      <c r="Q685" s="49" t="str">
        <f>IF(AND(J685=0,K685=0,L685=0,M685=0),"",IF(O685=0,"PENDENTE DE RATEIO",IF(ABS(P685)&gt;0.005,"DIVERGÊNCIA",IF(COUNTIF(RATEIOS!$A$2:$A$3142,$A685)-COUNTIFS(RATEIOS!$A$2:$A$3142,$A685,RATEIOS!$D$2:$D$3142,"&lt;&gt;")&gt;0,"NÃO CLASSIFICADO","RATEIO OK"))))</f>
        <v>RATEIO OK</v>
      </c>
      <c r="R685" s="49" t="s">
        <v>2553</v>
      </c>
      <c r="S685" s="14"/>
    </row>
    <row r="686" spans="1:19" ht="24.95" customHeight="1" x14ac:dyDescent="0.25">
      <c r="A686" s="49" t="s">
        <v>2179</v>
      </c>
      <c r="B686" s="98">
        <v>685</v>
      </c>
      <c r="C686" s="50">
        <v>46213</v>
      </c>
      <c r="D686" s="49">
        <f t="shared" si="20"/>
        <v>7</v>
      </c>
      <c r="E686" s="92" t="s">
        <v>118</v>
      </c>
      <c r="F686" s="49" t="s">
        <v>36</v>
      </c>
      <c r="G686" s="14" t="s">
        <v>1027</v>
      </c>
      <c r="H686" s="14" t="s">
        <v>125</v>
      </c>
      <c r="I686" s="76" t="s">
        <v>412</v>
      </c>
      <c r="J686" s="73">
        <v>0</v>
      </c>
      <c r="K686" s="74">
        <v>30275.67</v>
      </c>
      <c r="L686" s="72">
        <v>0</v>
      </c>
      <c r="M686" s="72">
        <v>0</v>
      </c>
      <c r="N686" s="72">
        <f>IF(AND(C686="",J686=0,K686=0,L686=0,M686=0),"",CADASTROS!$B$4+SUM($J$2:J686)+SUM($M$2:M686)-SUM($K$2:K686)-SUM($L$2:L686))</f>
        <v>2275.2900000032969</v>
      </c>
      <c r="O686" s="72">
        <f>IF(A686="","",SUMIF(RATEIOS!$A$2:$A$3142,$A686,RATEIOS!$F$2:$F$3142))</f>
        <v>30275.67</v>
      </c>
      <c r="P686" s="15">
        <f t="shared" si="21"/>
        <v>0</v>
      </c>
      <c r="Q686" s="49" t="str">
        <f>IF(AND(J686=0,K686=0,L686=0,M686=0),"",IF(O686=0,"PENDENTE DE RATEIO",IF(ABS(P686)&gt;0.005,"DIVERGÊNCIA",IF(COUNTIF(RATEIOS!$A$2:$A$3142,$A686)-COUNTIFS(RATEIOS!$A$2:$A$3142,$A686,RATEIOS!$D$2:$D$3142,"&lt;&gt;")&gt;0,"NÃO CLASSIFICADO","RATEIO OK"))))</f>
        <v>RATEIO OK</v>
      </c>
      <c r="R686" s="49" t="s">
        <v>2553</v>
      </c>
      <c r="S686" s="14"/>
    </row>
    <row r="687" spans="1:19" ht="24.95" customHeight="1" x14ac:dyDescent="0.25">
      <c r="A687" s="49" t="s">
        <v>2180</v>
      </c>
      <c r="B687" s="98">
        <v>686</v>
      </c>
      <c r="C687" s="50">
        <v>46213</v>
      </c>
      <c r="D687" s="49">
        <f t="shared" si="20"/>
        <v>7</v>
      </c>
      <c r="E687" s="92" t="s">
        <v>118</v>
      </c>
      <c r="F687" s="49" t="s">
        <v>36</v>
      </c>
      <c r="G687" s="14" t="s">
        <v>136</v>
      </c>
      <c r="H687" s="14" t="s">
        <v>137</v>
      </c>
      <c r="I687" s="76" t="s">
        <v>1028</v>
      </c>
      <c r="J687" s="73">
        <v>0</v>
      </c>
      <c r="K687" s="74">
        <v>400</v>
      </c>
      <c r="L687" s="72">
        <v>0</v>
      </c>
      <c r="M687" s="72">
        <v>0</v>
      </c>
      <c r="N687" s="72">
        <f>IF(AND(C687="",J687=0,K687=0,L687=0,M687=0),"",CADASTROS!$B$4+SUM($J$2:J687)+SUM($M$2:M687)-SUM($K$2:K687)-SUM($L$2:L687))</f>
        <v>1875.2900000032969</v>
      </c>
      <c r="O687" s="72">
        <f>IF(A687="","",SUMIF(RATEIOS!$A$2:$A$3142,$A687,RATEIOS!$F$2:$F$3142))</f>
        <v>400</v>
      </c>
      <c r="P687" s="15">
        <f t="shared" si="21"/>
        <v>0</v>
      </c>
      <c r="Q687" s="49" t="str">
        <f>IF(AND(J687=0,K687=0,L687=0,M687=0),"",IF(O687=0,"PENDENTE DE RATEIO",IF(ABS(P687)&gt;0.005,"DIVERGÊNCIA",IF(COUNTIF(RATEIOS!$A$2:$A$3142,$A687)-COUNTIFS(RATEIOS!$A$2:$A$3142,$A687,RATEIOS!$D$2:$D$3142,"&lt;&gt;")&gt;0,"NÃO CLASSIFICADO","RATEIO OK"))))</f>
        <v>RATEIO OK</v>
      </c>
      <c r="R687" s="49" t="s">
        <v>2553</v>
      </c>
      <c r="S687" s="14"/>
    </row>
    <row r="688" spans="1:19" ht="24.95" customHeight="1" x14ac:dyDescent="0.25">
      <c r="A688" s="49" t="s">
        <v>2181</v>
      </c>
      <c r="B688" s="98">
        <v>687</v>
      </c>
      <c r="C688" s="50">
        <v>46213</v>
      </c>
      <c r="D688" s="49">
        <f t="shared" si="20"/>
        <v>7</v>
      </c>
      <c r="E688" s="92" t="s">
        <v>2556</v>
      </c>
      <c r="F688" s="49" t="s">
        <v>36</v>
      </c>
      <c r="G688" s="14" t="s">
        <v>297</v>
      </c>
      <c r="H688" s="14" t="s">
        <v>117</v>
      </c>
      <c r="I688" s="76" t="s">
        <v>412</v>
      </c>
      <c r="J688" s="73">
        <v>0</v>
      </c>
      <c r="K688" s="74">
        <v>275</v>
      </c>
      <c r="L688" s="72">
        <v>0</v>
      </c>
      <c r="M688" s="72">
        <v>0</v>
      </c>
      <c r="N688" s="72">
        <f>IF(AND(C688="",J688=0,K688=0,L688=0,M688=0),"",CADASTROS!$B$4+SUM($J$2:J688)+SUM($M$2:M688)-SUM($K$2:K688)-SUM($L$2:L688))</f>
        <v>1600.2900000032969</v>
      </c>
      <c r="O688" s="72">
        <f>IF(A688="","",SUMIF(RATEIOS!$A$2:$A$3142,$A688,RATEIOS!$F$2:$F$3142))</f>
        <v>275</v>
      </c>
      <c r="P688" s="15">
        <f t="shared" si="21"/>
        <v>0</v>
      </c>
      <c r="Q688" s="49" t="str">
        <f>IF(AND(J688=0,K688=0,L688=0,M688=0),"",IF(O688=0,"PENDENTE DE RATEIO",IF(ABS(P688)&gt;0.005,"DIVERGÊNCIA",IF(COUNTIF(RATEIOS!$A$2:$A$3142,$A688)-COUNTIFS(RATEIOS!$A$2:$A$3142,$A688,RATEIOS!$D$2:$D$3142,"&lt;&gt;")&gt;0,"NÃO CLASSIFICADO","RATEIO OK"))))</f>
        <v>RATEIO OK</v>
      </c>
      <c r="R688" s="49" t="s">
        <v>2553</v>
      </c>
      <c r="S688" s="14"/>
    </row>
    <row r="689" spans="1:19" ht="24.95" customHeight="1" x14ac:dyDescent="0.25">
      <c r="A689" s="49" t="s">
        <v>2182</v>
      </c>
      <c r="B689" s="98">
        <v>688</v>
      </c>
      <c r="C689" s="50">
        <v>46216</v>
      </c>
      <c r="D689" s="49">
        <f t="shared" si="20"/>
        <v>7</v>
      </c>
      <c r="E689" s="92" t="s">
        <v>510</v>
      </c>
      <c r="F689" s="49" t="s">
        <v>35</v>
      </c>
      <c r="G689" s="14" t="s">
        <v>808</v>
      </c>
      <c r="H689" s="14" t="s">
        <v>512</v>
      </c>
      <c r="I689" s="76" t="s">
        <v>412</v>
      </c>
      <c r="J689" s="73">
        <v>50000</v>
      </c>
      <c r="K689" s="74">
        <v>0</v>
      </c>
      <c r="L689" s="72">
        <v>0</v>
      </c>
      <c r="M689" s="72">
        <v>0</v>
      </c>
      <c r="N689" s="72">
        <f>IF(AND(C689="",J689=0,K689=0,L689=0,M689=0),"",CADASTROS!$B$4+SUM($J$2:J689)+SUM($M$2:M689)-SUM($K$2:K689)-SUM($L$2:L689))</f>
        <v>51600.290000003297</v>
      </c>
      <c r="O689" s="72">
        <f>IF(A689="","",SUMIF(RATEIOS!$A$2:$A$3142,$A689,RATEIOS!$F$2:$F$3142))</f>
        <v>50000</v>
      </c>
      <c r="P689" s="15">
        <f t="shared" si="21"/>
        <v>0</v>
      </c>
      <c r="Q689" s="49" t="str">
        <f>IF(AND(J689=0,K689=0,L689=0,M689=0),"",IF(O689=0,"PENDENTE DE RATEIO",IF(ABS(P689)&gt;0.005,"DIVERGÊNCIA",IF(COUNTIF(RATEIOS!$A$2:$A$3142,$A689)-COUNTIFS(RATEIOS!$A$2:$A$3142,$A689,RATEIOS!$D$2:$D$3142,"&lt;&gt;")&gt;0,"NÃO CLASSIFICADO","RATEIO OK"))))</f>
        <v>RATEIO OK</v>
      </c>
      <c r="R689" s="49" t="s">
        <v>2553</v>
      </c>
      <c r="S689" s="14"/>
    </row>
    <row r="690" spans="1:19" ht="24.95" customHeight="1" x14ac:dyDescent="0.25">
      <c r="A690" s="49" t="s">
        <v>2183</v>
      </c>
      <c r="B690" s="98">
        <v>689</v>
      </c>
      <c r="C690" s="50">
        <v>46216</v>
      </c>
      <c r="D690" s="49">
        <f t="shared" si="20"/>
        <v>7</v>
      </c>
      <c r="E690" s="92" t="s">
        <v>510</v>
      </c>
      <c r="F690" s="49" t="s">
        <v>35</v>
      </c>
      <c r="G690" s="14" t="s">
        <v>808</v>
      </c>
      <c r="H690" s="14" t="s">
        <v>512</v>
      </c>
      <c r="I690" s="76" t="s">
        <v>412</v>
      </c>
      <c r="J690" s="73">
        <v>50000</v>
      </c>
      <c r="K690" s="74">
        <v>0</v>
      </c>
      <c r="L690" s="72">
        <v>0</v>
      </c>
      <c r="M690" s="72">
        <v>0</v>
      </c>
      <c r="N690" s="72">
        <f>IF(AND(C690="",J690=0,K690=0,L690=0,M690=0),"",CADASTROS!$B$4+SUM($J$2:J690)+SUM($M$2:M690)-SUM($K$2:K690)-SUM($L$2:L690))</f>
        <v>101600.2900000033</v>
      </c>
      <c r="O690" s="72">
        <f>IF(A690="","",SUMIF(RATEIOS!$A$2:$A$3142,$A690,RATEIOS!$F$2:$F$3142))</f>
        <v>50000</v>
      </c>
      <c r="P690" s="15">
        <f t="shared" si="21"/>
        <v>0</v>
      </c>
      <c r="Q690" s="49" t="str">
        <f>IF(AND(J690=0,K690=0,L690=0,M690=0),"",IF(O690=0,"PENDENTE DE RATEIO",IF(ABS(P690)&gt;0.005,"DIVERGÊNCIA",IF(COUNTIF(RATEIOS!$A$2:$A$3142,$A690)-COUNTIFS(RATEIOS!$A$2:$A$3142,$A690,RATEIOS!$D$2:$D$3142,"&lt;&gt;")&gt;0,"NÃO CLASSIFICADO","RATEIO OK"))))</f>
        <v>RATEIO OK</v>
      </c>
      <c r="R690" s="49" t="s">
        <v>2553</v>
      </c>
      <c r="S690" s="14"/>
    </row>
    <row r="691" spans="1:19" ht="24.95" customHeight="1" x14ac:dyDescent="0.25">
      <c r="A691" s="49" t="s">
        <v>2184</v>
      </c>
      <c r="B691" s="98">
        <v>690</v>
      </c>
      <c r="C691" s="50">
        <v>46216</v>
      </c>
      <c r="D691" s="49">
        <f t="shared" si="20"/>
        <v>7</v>
      </c>
      <c r="E691" s="92" t="s">
        <v>287</v>
      </c>
      <c r="F691" s="49" t="s">
        <v>36</v>
      </c>
      <c r="G691" s="14" t="s">
        <v>1029</v>
      </c>
      <c r="H691" s="14" t="s">
        <v>2942</v>
      </c>
      <c r="I691" s="76" t="s">
        <v>1030</v>
      </c>
      <c r="J691" s="73">
        <v>0</v>
      </c>
      <c r="K691" s="74">
        <v>4320.74</v>
      </c>
      <c r="L691" s="72">
        <v>0</v>
      </c>
      <c r="M691" s="72">
        <v>0</v>
      </c>
      <c r="N691" s="72">
        <f>IF(AND(C691="",J691=0,K691=0,L691=0,M691=0),"",CADASTROS!$B$4+SUM($J$2:J691)+SUM($M$2:M691)-SUM($K$2:K691)-SUM($L$2:L691))</f>
        <v>97279.550000003073</v>
      </c>
      <c r="O691" s="72">
        <f>IF(A691="","",SUMIF(RATEIOS!$A$2:$A$3142,$A691,RATEIOS!$F$2:$F$3142))</f>
        <v>4320.74</v>
      </c>
      <c r="P691" s="15">
        <f t="shared" si="21"/>
        <v>0</v>
      </c>
      <c r="Q691" s="49" t="str">
        <f>IF(AND(J691=0,K691=0,L691=0,M691=0),"",IF(O691=0,"PENDENTE DE RATEIO",IF(ABS(P691)&gt;0.005,"DIVERGÊNCIA",IF(COUNTIF(RATEIOS!$A$2:$A$3142,$A691)-COUNTIFS(RATEIOS!$A$2:$A$3142,$A691,RATEIOS!$D$2:$D$3142,"&lt;&gt;")&gt;0,"NÃO CLASSIFICADO","RATEIO OK"))))</f>
        <v>RATEIO OK</v>
      </c>
      <c r="R691" s="49" t="s">
        <v>2553</v>
      </c>
      <c r="S691" s="14"/>
    </row>
    <row r="692" spans="1:19" ht="24.95" customHeight="1" x14ac:dyDescent="0.25">
      <c r="A692" s="49" t="s">
        <v>2185</v>
      </c>
      <c r="B692" s="98">
        <v>691</v>
      </c>
      <c r="C692" s="50">
        <v>46216</v>
      </c>
      <c r="D692" s="49">
        <f t="shared" si="20"/>
        <v>7</v>
      </c>
      <c r="E692" s="92" t="s">
        <v>118</v>
      </c>
      <c r="F692" s="49" t="s">
        <v>36</v>
      </c>
      <c r="G692" s="14" t="s">
        <v>80</v>
      </c>
      <c r="H692" s="14" t="s">
        <v>81</v>
      </c>
      <c r="I692" s="76" t="s">
        <v>1031</v>
      </c>
      <c r="J692" s="73">
        <v>0</v>
      </c>
      <c r="K692" s="74">
        <v>7251.45</v>
      </c>
      <c r="L692" s="72">
        <v>0</v>
      </c>
      <c r="M692" s="72">
        <v>0</v>
      </c>
      <c r="N692" s="72">
        <f>IF(AND(C692="",J692=0,K692=0,L692=0,M692=0),"",CADASTROS!$B$4+SUM($J$2:J692)+SUM($M$2:M692)-SUM($K$2:K692)-SUM($L$2:L692))</f>
        <v>90028.100000002887</v>
      </c>
      <c r="O692" s="72">
        <f>IF(A692="","",SUMIF(RATEIOS!$A$2:$A$3142,$A692,RATEIOS!$F$2:$F$3142))</f>
        <v>7251.45</v>
      </c>
      <c r="P692" s="15">
        <f t="shared" si="21"/>
        <v>0</v>
      </c>
      <c r="Q692" s="49" t="str">
        <f>IF(AND(J692=0,K692=0,L692=0,M692=0),"",IF(O692=0,"PENDENTE DE RATEIO",IF(ABS(P692)&gt;0.005,"DIVERGÊNCIA",IF(COUNTIF(RATEIOS!$A$2:$A$3142,$A692)-COUNTIFS(RATEIOS!$A$2:$A$3142,$A692,RATEIOS!$D$2:$D$3142,"&lt;&gt;")&gt;0,"NÃO CLASSIFICADO","RATEIO OK"))))</f>
        <v>RATEIO OK</v>
      </c>
      <c r="R692" s="49" t="s">
        <v>2553</v>
      </c>
      <c r="S692" s="14"/>
    </row>
    <row r="693" spans="1:19" ht="24.95" customHeight="1" x14ac:dyDescent="0.25">
      <c r="A693" s="49" t="s">
        <v>2186</v>
      </c>
      <c r="B693" s="98">
        <v>692</v>
      </c>
      <c r="C693" s="50">
        <v>46216</v>
      </c>
      <c r="D693" s="49">
        <f t="shared" si="20"/>
        <v>7</v>
      </c>
      <c r="E693" s="92" t="s">
        <v>118</v>
      </c>
      <c r="F693" s="49" t="s">
        <v>36</v>
      </c>
      <c r="G693" s="14" t="s">
        <v>239</v>
      </c>
      <c r="H693" s="14" t="s">
        <v>65</v>
      </c>
      <c r="I693" s="76" t="s">
        <v>1033</v>
      </c>
      <c r="J693" s="73">
        <v>0</v>
      </c>
      <c r="K693" s="74">
        <v>617.5</v>
      </c>
      <c r="L693" s="72">
        <v>0</v>
      </c>
      <c r="M693" s="72">
        <v>0</v>
      </c>
      <c r="N693" s="72">
        <f>IF(AND(C693="",J693=0,K693=0,L693=0,M693=0),"",CADASTROS!$B$4+SUM($J$2:J693)+SUM($M$2:M693)-SUM($K$2:K693)-SUM($L$2:L693))</f>
        <v>89410.600000002887</v>
      </c>
      <c r="O693" s="72">
        <f>IF(A693="","",SUMIF(RATEIOS!$A$2:$A$3142,$A693,RATEIOS!$F$2:$F$3142))</f>
        <v>617.5</v>
      </c>
      <c r="P693" s="15">
        <f t="shared" si="21"/>
        <v>0</v>
      </c>
      <c r="Q693" s="49" t="str">
        <f>IF(AND(J693=0,K693=0,L693=0,M693=0),"",IF(O693=0,"PENDENTE DE RATEIO",IF(ABS(P693)&gt;0.005,"DIVERGÊNCIA",IF(COUNTIF(RATEIOS!$A$2:$A$3142,$A693)-COUNTIFS(RATEIOS!$A$2:$A$3142,$A693,RATEIOS!$D$2:$D$3142,"&lt;&gt;")&gt;0,"NÃO CLASSIFICADO","RATEIO OK"))))</f>
        <v>RATEIO OK</v>
      </c>
      <c r="R693" s="49" t="s">
        <v>2553</v>
      </c>
      <c r="S693" s="14"/>
    </row>
    <row r="694" spans="1:19" ht="24.95" customHeight="1" x14ac:dyDescent="0.25">
      <c r="A694" s="49" t="s">
        <v>2187</v>
      </c>
      <c r="B694" s="98">
        <v>693</v>
      </c>
      <c r="C694" s="50">
        <v>46216</v>
      </c>
      <c r="D694" s="49">
        <f t="shared" si="20"/>
        <v>7</v>
      </c>
      <c r="E694" s="92" t="s">
        <v>118</v>
      </c>
      <c r="F694" s="49" t="s">
        <v>36</v>
      </c>
      <c r="G694" s="14" t="s">
        <v>1034</v>
      </c>
      <c r="H694" s="14" t="s">
        <v>204</v>
      </c>
      <c r="I694" s="76" t="s">
        <v>1035</v>
      </c>
      <c r="J694" s="73">
        <v>0</v>
      </c>
      <c r="K694" s="74">
        <v>2135.1</v>
      </c>
      <c r="L694" s="72">
        <v>0</v>
      </c>
      <c r="M694" s="72">
        <v>0</v>
      </c>
      <c r="N694" s="72">
        <f>IF(AND(C694="",J694=0,K694=0,L694=0,M694=0),"",CADASTROS!$B$4+SUM($J$2:J694)+SUM($M$2:M694)-SUM($K$2:K694)-SUM($L$2:L694))</f>
        <v>87275.500000002794</v>
      </c>
      <c r="O694" s="72">
        <f>IF(A694="","",SUMIF(RATEIOS!$A$2:$A$3142,$A694,RATEIOS!$F$2:$F$3142))</f>
        <v>2135.1</v>
      </c>
      <c r="P694" s="15">
        <f t="shared" si="21"/>
        <v>0</v>
      </c>
      <c r="Q694" s="49" t="str">
        <f>IF(AND(J694=0,K694=0,L694=0,M694=0),"",IF(O694=0,"PENDENTE DE RATEIO",IF(ABS(P694)&gt;0.005,"DIVERGÊNCIA",IF(COUNTIF(RATEIOS!$A$2:$A$3142,$A694)-COUNTIFS(RATEIOS!$A$2:$A$3142,$A694,RATEIOS!$D$2:$D$3142,"&lt;&gt;")&gt;0,"NÃO CLASSIFICADO","RATEIO OK"))))</f>
        <v>RATEIO OK</v>
      </c>
      <c r="R694" s="49" t="s">
        <v>2553</v>
      </c>
      <c r="S694" s="14"/>
    </row>
    <row r="695" spans="1:19" ht="24.95" customHeight="1" x14ac:dyDescent="0.25">
      <c r="A695" s="49" t="s">
        <v>2188</v>
      </c>
      <c r="B695" s="98">
        <v>694</v>
      </c>
      <c r="C695" s="50">
        <v>46216</v>
      </c>
      <c r="D695" s="49">
        <f t="shared" si="20"/>
        <v>7</v>
      </c>
      <c r="E695" s="92" t="s">
        <v>118</v>
      </c>
      <c r="F695" s="49" t="s">
        <v>36</v>
      </c>
      <c r="G695" s="14" t="s">
        <v>882</v>
      </c>
      <c r="H695" s="14" t="s">
        <v>265</v>
      </c>
      <c r="I695" s="76" t="s">
        <v>1036</v>
      </c>
      <c r="J695" s="73">
        <v>0</v>
      </c>
      <c r="K695" s="74">
        <v>3012</v>
      </c>
      <c r="L695" s="72">
        <v>0</v>
      </c>
      <c r="M695" s="72">
        <v>0</v>
      </c>
      <c r="N695" s="72">
        <f>IF(AND(C695="",J695=0,K695=0,L695=0,M695=0),"",CADASTROS!$B$4+SUM($J$2:J695)+SUM($M$2:M695)-SUM($K$2:K695)-SUM($L$2:L695))</f>
        <v>84263.500000002794</v>
      </c>
      <c r="O695" s="72">
        <f>IF(A695="","",SUMIF(RATEIOS!$A$2:$A$3142,$A695,RATEIOS!$F$2:$F$3142))</f>
        <v>3012</v>
      </c>
      <c r="P695" s="15">
        <f t="shared" si="21"/>
        <v>0</v>
      </c>
      <c r="Q695" s="49" t="str">
        <f>IF(AND(J695=0,K695=0,L695=0,M695=0),"",IF(O695=0,"PENDENTE DE RATEIO",IF(ABS(P695)&gt;0.005,"DIVERGÊNCIA",IF(COUNTIF(RATEIOS!$A$2:$A$3142,$A695)-COUNTIFS(RATEIOS!$A$2:$A$3142,$A695,RATEIOS!$D$2:$D$3142,"&lt;&gt;")&gt;0,"NÃO CLASSIFICADO","RATEIO OK"))))</f>
        <v>RATEIO OK</v>
      </c>
      <c r="R695" s="49" t="s">
        <v>2553</v>
      </c>
      <c r="S695" s="14"/>
    </row>
    <row r="696" spans="1:19" ht="24.95" customHeight="1" x14ac:dyDescent="0.25">
      <c r="A696" s="49" t="s">
        <v>2189</v>
      </c>
      <c r="B696" s="98">
        <v>695</v>
      </c>
      <c r="C696" s="50">
        <v>46216</v>
      </c>
      <c r="D696" s="49">
        <f t="shared" si="20"/>
        <v>7</v>
      </c>
      <c r="E696" s="92" t="s">
        <v>118</v>
      </c>
      <c r="F696" s="49" t="s">
        <v>36</v>
      </c>
      <c r="G696" s="14" t="s">
        <v>1037</v>
      </c>
      <c r="H696" s="14" t="s">
        <v>191</v>
      </c>
      <c r="I696" s="76" t="s">
        <v>1039</v>
      </c>
      <c r="J696" s="73">
        <v>0</v>
      </c>
      <c r="K696" s="74">
        <v>1126.52</v>
      </c>
      <c r="L696" s="72">
        <v>0</v>
      </c>
      <c r="M696" s="72">
        <v>0</v>
      </c>
      <c r="N696" s="72">
        <f>IF(AND(C696="",J696=0,K696=0,L696=0,M696=0),"",CADASTROS!$B$4+SUM($J$2:J696)+SUM($M$2:M696)-SUM($K$2:K696)-SUM($L$2:L696))</f>
        <v>83136.980000002775</v>
      </c>
      <c r="O696" s="72">
        <f>IF(A696="","",SUMIF(RATEIOS!$A$2:$A$3142,$A696,RATEIOS!$F$2:$F$3142))</f>
        <v>1126.52</v>
      </c>
      <c r="P696" s="15">
        <f t="shared" si="21"/>
        <v>0</v>
      </c>
      <c r="Q696" s="49" t="str">
        <f>IF(AND(J696=0,K696=0,L696=0,M696=0),"",IF(O696=0,"PENDENTE DE RATEIO",IF(ABS(P696)&gt;0.005,"DIVERGÊNCIA",IF(COUNTIF(RATEIOS!$A$2:$A$3142,$A696)-COUNTIFS(RATEIOS!$A$2:$A$3142,$A696,RATEIOS!$D$2:$D$3142,"&lt;&gt;")&gt;0,"NÃO CLASSIFICADO","RATEIO OK"))))</f>
        <v>RATEIO OK</v>
      </c>
      <c r="R696" s="49" t="s">
        <v>2553</v>
      </c>
      <c r="S696" s="14"/>
    </row>
    <row r="697" spans="1:19" ht="24.95" customHeight="1" x14ac:dyDescent="0.25">
      <c r="A697" s="49" t="s">
        <v>2190</v>
      </c>
      <c r="B697" s="98">
        <v>696</v>
      </c>
      <c r="C697" s="50">
        <v>46216</v>
      </c>
      <c r="D697" s="49">
        <f t="shared" si="20"/>
        <v>7</v>
      </c>
      <c r="E697" s="92" t="s">
        <v>118</v>
      </c>
      <c r="F697" s="49" t="s">
        <v>36</v>
      </c>
      <c r="G697" s="14" t="s">
        <v>1040</v>
      </c>
      <c r="H697" s="14" t="s">
        <v>191</v>
      </c>
      <c r="I697" s="76" t="s">
        <v>1041</v>
      </c>
      <c r="J697" s="73">
        <v>0</v>
      </c>
      <c r="K697" s="74">
        <v>390.85</v>
      </c>
      <c r="L697" s="72">
        <v>0</v>
      </c>
      <c r="M697" s="72">
        <v>0</v>
      </c>
      <c r="N697" s="72">
        <f>IF(AND(C697="",J697=0,K697=0,L697=0,M697=0),"",CADASTROS!$B$4+SUM($J$2:J697)+SUM($M$2:M697)-SUM($K$2:K697)-SUM($L$2:L697))</f>
        <v>82746.130000002682</v>
      </c>
      <c r="O697" s="72">
        <f>IF(A697="","",SUMIF(RATEIOS!$A$2:$A$3142,$A697,RATEIOS!$F$2:$F$3142))</f>
        <v>390.85</v>
      </c>
      <c r="P697" s="15">
        <f t="shared" si="21"/>
        <v>0</v>
      </c>
      <c r="Q697" s="49" t="str">
        <f>IF(AND(J697=0,K697=0,L697=0,M697=0),"",IF(O697=0,"PENDENTE DE RATEIO",IF(ABS(P697)&gt;0.005,"DIVERGÊNCIA",IF(COUNTIF(RATEIOS!$A$2:$A$3142,$A697)-COUNTIFS(RATEIOS!$A$2:$A$3142,$A697,RATEIOS!$D$2:$D$3142,"&lt;&gt;")&gt;0,"NÃO CLASSIFICADO","RATEIO OK"))))</f>
        <v>RATEIO OK</v>
      </c>
      <c r="R697" s="49" t="s">
        <v>2553</v>
      </c>
      <c r="S697" s="14"/>
    </row>
    <row r="698" spans="1:19" ht="24.95" customHeight="1" x14ac:dyDescent="0.25">
      <c r="A698" s="49" t="s">
        <v>2191</v>
      </c>
      <c r="B698" s="98">
        <v>697</v>
      </c>
      <c r="C698" s="50">
        <v>46216</v>
      </c>
      <c r="D698" s="49">
        <f t="shared" si="20"/>
        <v>7</v>
      </c>
      <c r="E698" s="92" t="s">
        <v>72</v>
      </c>
      <c r="F698" s="49" t="s">
        <v>36</v>
      </c>
      <c r="G698" s="14" t="s">
        <v>1042</v>
      </c>
      <c r="H698" s="14" t="s">
        <v>156</v>
      </c>
      <c r="I698" s="76" t="s">
        <v>1043</v>
      </c>
      <c r="J698" s="73">
        <v>0</v>
      </c>
      <c r="K698" s="74">
        <v>11206.3</v>
      </c>
      <c r="L698" s="72">
        <v>0</v>
      </c>
      <c r="M698" s="72">
        <v>0</v>
      </c>
      <c r="N698" s="72">
        <f>IF(AND(C698="",J698=0,K698=0,L698=0,M698=0),"",CADASTROS!$B$4+SUM($J$2:J698)+SUM($M$2:M698)-SUM($K$2:K698)-SUM($L$2:L698))</f>
        <v>71539.830000002868</v>
      </c>
      <c r="O698" s="72">
        <f>IF(A698="","",SUMIF(RATEIOS!$A$2:$A$3142,$A698,RATEIOS!$F$2:$F$3142))</f>
        <v>11206.33</v>
      </c>
      <c r="P698" s="15">
        <f t="shared" si="21"/>
        <v>-3.0000000000654836E-2</v>
      </c>
      <c r="Q698" s="49" t="str">
        <f>IF(AND(J698=0,K698=0,L698=0,M698=0),"",IF(O698=0,"PENDENTE DE RATEIO",IF(ABS(P698)&gt;0.005,"DIVERGÊNCIA",IF(COUNTIF(RATEIOS!$A$2:$A$3142,$A698)-COUNTIFS(RATEIOS!$A$2:$A$3142,$A698,RATEIOS!$D$2:$D$3142,"&lt;&gt;")&gt;0,"NÃO CLASSIFICADO","RATEIO OK"))))</f>
        <v>DIVERGÊNCIA</v>
      </c>
      <c r="R698" s="49" t="s">
        <v>2553</v>
      </c>
      <c r="S698" s="14"/>
    </row>
    <row r="699" spans="1:19" ht="24.95" customHeight="1" x14ac:dyDescent="0.25">
      <c r="A699" s="49" t="s">
        <v>2192</v>
      </c>
      <c r="B699" s="98">
        <v>698</v>
      </c>
      <c r="C699" s="50">
        <v>46217</v>
      </c>
      <c r="D699" s="49">
        <f t="shared" si="20"/>
        <v>7</v>
      </c>
      <c r="E699" s="92" t="s">
        <v>287</v>
      </c>
      <c r="F699" s="49" t="s">
        <v>35</v>
      </c>
      <c r="G699" s="14" t="s">
        <v>1044</v>
      </c>
      <c r="H699" s="14" t="s">
        <v>2737</v>
      </c>
      <c r="I699" s="76" t="s">
        <v>412</v>
      </c>
      <c r="J699" s="73">
        <v>36168.61</v>
      </c>
      <c r="K699" s="74">
        <v>0</v>
      </c>
      <c r="L699" s="72">
        <v>0</v>
      </c>
      <c r="M699" s="72">
        <v>0</v>
      </c>
      <c r="N699" s="72">
        <f>IF(AND(C699="",J699=0,K699=0,L699=0,M699=0),"",CADASTROS!$B$4+SUM($J$2:J699)+SUM($M$2:M699)-SUM($K$2:K699)-SUM($L$2:L699))</f>
        <v>107708.4400000032</v>
      </c>
      <c r="O699" s="72">
        <f>IF(A699="","",SUMIF(RATEIOS!$A$2:$A$3142,$A699,RATEIOS!$F$2:$F$3142))</f>
        <v>36168.61</v>
      </c>
      <c r="P699" s="15">
        <f t="shared" si="21"/>
        <v>0</v>
      </c>
      <c r="Q699" s="49" t="str">
        <f>IF(AND(J699=0,K699=0,L699=0,M699=0),"",IF(O699=0,"PENDENTE DE RATEIO",IF(ABS(P699)&gt;0.005,"DIVERGÊNCIA",IF(COUNTIF(RATEIOS!$A$2:$A$3142,$A699)-COUNTIFS(RATEIOS!$A$2:$A$3142,$A699,RATEIOS!$D$2:$D$3142,"&lt;&gt;")&gt;0,"NÃO CLASSIFICADO","RATEIO OK"))))</f>
        <v>RATEIO OK</v>
      </c>
      <c r="R699" s="49" t="s">
        <v>2553</v>
      </c>
      <c r="S699" s="14"/>
    </row>
    <row r="700" spans="1:19" ht="24.95" customHeight="1" x14ac:dyDescent="0.25">
      <c r="A700" s="49" t="s">
        <v>2193</v>
      </c>
      <c r="B700" s="98">
        <v>699</v>
      </c>
      <c r="C700" s="50">
        <v>46218</v>
      </c>
      <c r="D700" s="49">
        <f t="shared" si="20"/>
        <v>7</v>
      </c>
      <c r="E700" s="92" t="s">
        <v>287</v>
      </c>
      <c r="F700" s="49" t="s">
        <v>36</v>
      </c>
      <c r="G700" s="14" t="s">
        <v>1045</v>
      </c>
      <c r="H700" s="14" t="s">
        <v>3023</v>
      </c>
      <c r="I700" s="76" t="s">
        <v>721</v>
      </c>
      <c r="J700" s="73">
        <v>0</v>
      </c>
      <c r="K700" s="74">
        <v>90</v>
      </c>
      <c r="L700" s="72">
        <v>0</v>
      </c>
      <c r="M700" s="72">
        <v>0</v>
      </c>
      <c r="N700" s="72">
        <f>IF(AND(C700="",J700=0,K700=0,L700=0,M700=0),"",CADASTROS!$B$4+SUM($J$2:J700)+SUM($M$2:M700)-SUM($K$2:K700)-SUM($L$2:L700))</f>
        <v>107618.4400000032</v>
      </c>
      <c r="O700" s="72">
        <f>IF(A700="","",SUMIF(RATEIOS!$A$2:$A$3142,$A700,RATEIOS!$F$2:$F$3142))</f>
        <v>90</v>
      </c>
      <c r="P700" s="15">
        <f t="shared" si="21"/>
        <v>0</v>
      </c>
      <c r="Q700" s="49" t="str">
        <f>IF(AND(J700=0,K700=0,L700=0,M700=0),"",IF(O700=0,"PENDENTE DE RATEIO",IF(ABS(P700)&gt;0.005,"DIVERGÊNCIA",IF(COUNTIF(RATEIOS!$A$2:$A$3142,$A700)-COUNTIFS(RATEIOS!$A$2:$A$3142,$A700,RATEIOS!$D$2:$D$3142,"&lt;&gt;")&gt;0,"NÃO CLASSIFICADO","RATEIO OK"))))</f>
        <v>RATEIO OK</v>
      </c>
      <c r="R700" s="49" t="s">
        <v>2553</v>
      </c>
      <c r="S700" s="14"/>
    </row>
    <row r="701" spans="1:19" ht="24.95" customHeight="1" x14ac:dyDescent="0.25">
      <c r="A701" s="49" t="s">
        <v>2194</v>
      </c>
      <c r="B701" s="98">
        <v>700</v>
      </c>
      <c r="C701" s="50">
        <v>46218</v>
      </c>
      <c r="D701" s="49">
        <f t="shared" si="20"/>
        <v>7</v>
      </c>
      <c r="E701" s="92" t="s">
        <v>287</v>
      </c>
      <c r="F701" s="49" t="s">
        <v>36</v>
      </c>
      <c r="G701" s="14" t="s">
        <v>1047</v>
      </c>
      <c r="H701" s="14" t="s">
        <v>1048</v>
      </c>
      <c r="I701" s="76" t="s">
        <v>1049</v>
      </c>
      <c r="J701" s="73">
        <v>0</v>
      </c>
      <c r="K701" s="74">
        <v>850</v>
      </c>
      <c r="L701" s="72">
        <v>0</v>
      </c>
      <c r="M701" s="72">
        <v>0</v>
      </c>
      <c r="N701" s="72">
        <f>IF(AND(C701="",J701=0,K701=0,L701=0,M701=0),"",CADASTROS!$B$4+SUM($J$2:J701)+SUM($M$2:M701)-SUM($K$2:K701)-SUM($L$2:L701))</f>
        <v>106768.4400000032</v>
      </c>
      <c r="O701" s="72">
        <f>IF(A701="","",SUMIF(RATEIOS!$A$2:$A$3142,$A701,RATEIOS!$F$2:$F$3142))</f>
        <v>850</v>
      </c>
      <c r="P701" s="15">
        <f t="shared" si="21"/>
        <v>0</v>
      </c>
      <c r="Q701" s="49" t="str">
        <f>IF(AND(J701=0,K701=0,L701=0,M701=0),"",IF(O701=0,"PENDENTE DE RATEIO",IF(ABS(P701)&gt;0.005,"DIVERGÊNCIA",IF(COUNTIF(RATEIOS!$A$2:$A$3142,$A701)-COUNTIFS(RATEIOS!$A$2:$A$3142,$A701,RATEIOS!$D$2:$D$3142,"&lt;&gt;")&gt;0,"NÃO CLASSIFICADO","RATEIO OK"))))</f>
        <v>RATEIO OK</v>
      </c>
      <c r="R701" s="49" t="s">
        <v>2553</v>
      </c>
      <c r="S701" s="14"/>
    </row>
    <row r="702" spans="1:19" ht="24.95" customHeight="1" x14ac:dyDescent="0.25">
      <c r="A702" s="49" t="s">
        <v>2195</v>
      </c>
      <c r="B702" s="98">
        <v>701</v>
      </c>
      <c r="C702" s="50">
        <v>46218</v>
      </c>
      <c r="D702" s="49">
        <f t="shared" si="20"/>
        <v>7</v>
      </c>
      <c r="E702" s="92" t="s">
        <v>123</v>
      </c>
      <c r="F702" s="49" t="s">
        <v>36</v>
      </c>
      <c r="G702" s="14" t="s">
        <v>1050</v>
      </c>
      <c r="H702" s="14" t="s">
        <v>3183</v>
      </c>
      <c r="I702" s="76" t="s">
        <v>412</v>
      </c>
      <c r="J702" s="73">
        <v>0</v>
      </c>
      <c r="K702" s="74">
        <v>36168.61</v>
      </c>
      <c r="L702" s="72">
        <v>0</v>
      </c>
      <c r="M702" s="72">
        <v>0</v>
      </c>
      <c r="N702" s="72">
        <f>IF(AND(C702="",J702=0,K702=0,L702=0,M702=0),"",CADASTROS!$B$4+SUM($J$2:J702)+SUM($M$2:M702)-SUM($K$2:K702)-SUM($L$2:L702))</f>
        <v>70599.830000003334</v>
      </c>
      <c r="O702" s="72">
        <f>IF(A702="","",SUMIF(RATEIOS!$A$2:$A$3142,$A702,RATEIOS!$F$2:$F$3142))</f>
        <v>36168.61</v>
      </c>
      <c r="P702" s="15">
        <f t="shared" si="21"/>
        <v>0</v>
      </c>
      <c r="Q702" s="49" t="str">
        <f>IF(AND(J702=0,K702=0,L702=0,M702=0),"",IF(O702=0,"PENDENTE DE RATEIO",IF(ABS(P702)&gt;0.005,"DIVERGÊNCIA",IF(COUNTIF(RATEIOS!$A$2:$A$3142,$A702)-COUNTIFS(RATEIOS!$A$2:$A$3142,$A702,RATEIOS!$D$2:$D$3142,"&lt;&gt;")&gt;0,"NÃO CLASSIFICADO","RATEIO OK"))))</f>
        <v>RATEIO OK</v>
      </c>
      <c r="R702" s="49" t="s">
        <v>2553</v>
      </c>
      <c r="S702" s="14"/>
    </row>
    <row r="703" spans="1:19" ht="24.95" customHeight="1" x14ac:dyDescent="0.25">
      <c r="A703" s="49" t="s">
        <v>2196</v>
      </c>
      <c r="B703" s="98">
        <v>702</v>
      </c>
      <c r="C703" s="50">
        <v>46218</v>
      </c>
      <c r="D703" s="49">
        <f t="shared" si="20"/>
        <v>7</v>
      </c>
      <c r="E703" s="92" t="s">
        <v>72</v>
      </c>
      <c r="F703" s="49" t="s">
        <v>36</v>
      </c>
      <c r="G703" s="14" t="s">
        <v>1051</v>
      </c>
      <c r="H703" s="14" t="s">
        <v>245</v>
      </c>
      <c r="I703" s="76" t="s">
        <v>2745</v>
      </c>
      <c r="J703" s="73">
        <v>0</v>
      </c>
      <c r="K703" s="74">
        <v>400</v>
      </c>
      <c r="L703" s="72">
        <v>0</v>
      </c>
      <c r="M703" s="72">
        <v>0</v>
      </c>
      <c r="N703" s="72">
        <f>IF(AND(C703="",J703=0,K703=0,L703=0,M703=0),"",CADASTROS!$B$4+SUM($J$2:J703)+SUM($M$2:M703)-SUM($K$2:K703)-SUM($L$2:L703))</f>
        <v>70199.830000003334</v>
      </c>
      <c r="O703" s="72">
        <f>IF(A703="","",SUMIF(RATEIOS!$A$2:$A$3142,$A703,RATEIOS!$F$2:$F$3142))</f>
        <v>400</v>
      </c>
      <c r="P703" s="15">
        <f t="shared" si="21"/>
        <v>0</v>
      </c>
      <c r="Q703" s="49" t="str">
        <f>IF(AND(J703=0,K703=0,L703=0,M703=0),"",IF(O703=0,"PENDENTE DE RATEIO",IF(ABS(P703)&gt;0.005,"DIVERGÊNCIA",IF(COUNTIF(RATEIOS!$A$2:$A$3142,$A703)-COUNTIFS(RATEIOS!$A$2:$A$3142,$A703,RATEIOS!$D$2:$D$3142,"&lt;&gt;")&gt;0,"NÃO CLASSIFICADO","RATEIO OK"))))</f>
        <v>RATEIO OK</v>
      </c>
      <c r="R703" s="49" t="s">
        <v>2553</v>
      </c>
      <c r="S703" s="14"/>
    </row>
    <row r="704" spans="1:19" ht="24.95" customHeight="1" x14ac:dyDescent="0.25">
      <c r="A704" s="49" t="s">
        <v>2197</v>
      </c>
      <c r="B704" s="98">
        <v>703</v>
      </c>
      <c r="C704" s="50">
        <v>46218</v>
      </c>
      <c r="D704" s="49">
        <f t="shared" si="20"/>
        <v>7</v>
      </c>
      <c r="E704" s="92" t="s">
        <v>72</v>
      </c>
      <c r="F704" s="49" t="s">
        <v>36</v>
      </c>
      <c r="G704" s="14" t="s">
        <v>1053</v>
      </c>
      <c r="H704" s="14" t="s">
        <v>1054</v>
      </c>
      <c r="I704" s="76" t="s">
        <v>2948</v>
      </c>
      <c r="J704" s="73">
        <v>0</v>
      </c>
      <c r="K704" s="74">
        <v>700</v>
      </c>
      <c r="L704" s="72">
        <v>0</v>
      </c>
      <c r="M704" s="72">
        <v>0</v>
      </c>
      <c r="N704" s="72">
        <f>IF(AND(C704="",J704=0,K704=0,L704=0,M704=0),"",CADASTROS!$B$4+SUM($J$2:J704)+SUM($M$2:M704)-SUM($K$2:K704)-SUM($L$2:L704))</f>
        <v>69499.830000003334</v>
      </c>
      <c r="O704" s="72">
        <f>IF(A704="","",SUMIF(RATEIOS!$A$2:$A$3142,$A704,RATEIOS!$F$2:$F$3142))</f>
        <v>700</v>
      </c>
      <c r="P704" s="15">
        <f t="shared" si="21"/>
        <v>0</v>
      </c>
      <c r="Q704" s="49" t="str">
        <f>IF(AND(J704=0,K704=0,L704=0,M704=0),"",IF(O704=0,"PENDENTE DE RATEIO",IF(ABS(P704)&gt;0.005,"DIVERGÊNCIA",IF(COUNTIF(RATEIOS!$A$2:$A$3142,$A704)-COUNTIFS(RATEIOS!$A$2:$A$3142,$A704,RATEIOS!$D$2:$D$3142,"&lt;&gt;")&gt;0,"NÃO CLASSIFICADO","RATEIO OK"))))</f>
        <v>RATEIO OK</v>
      </c>
      <c r="R704" s="49" t="s">
        <v>2553</v>
      </c>
      <c r="S704" s="14"/>
    </row>
    <row r="705" spans="1:19" ht="24.95" customHeight="1" x14ac:dyDescent="0.25">
      <c r="A705" s="49" t="s">
        <v>2198</v>
      </c>
      <c r="B705" s="98">
        <v>704</v>
      </c>
      <c r="C705" s="50">
        <v>46218</v>
      </c>
      <c r="D705" s="49">
        <f t="shared" si="20"/>
        <v>7</v>
      </c>
      <c r="E705" s="92" t="s">
        <v>72</v>
      </c>
      <c r="F705" s="49" t="s">
        <v>36</v>
      </c>
      <c r="G705" s="14" t="s">
        <v>1055</v>
      </c>
      <c r="H705" s="14" t="s">
        <v>150</v>
      </c>
      <c r="I705" s="76" t="s">
        <v>1046</v>
      </c>
      <c r="J705" s="73">
        <v>0</v>
      </c>
      <c r="K705" s="74">
        <v>450</v>
      </c>
      <c r="L705" s="72">
        <v>0</v>
      </c>
      <c r="M705" s="72">
        <v>0</v>
      </c>
      <c r="N705" s="72">
        <f>IF(AND(C705="",J705=0,K705=0,L705=0,M705=0),"",CADASTROS!$B$4+SUM($J$2:J705)+SUM($M$2:M705)-SUM($K$2:K705)-SUM($L$2:L705))</f>
        <v>69049.830000003334</v>
      </c>
      <c r="O705" s="72">
        <f>IF(A705="","",SUMIF(RATEIOS!$A$2:$A$3142,$A705,RATEIOS!$F$2:$F$3142))</f>
        <v>450</v>
      </c>
      <c r="P705" s="15">
        <f t="shared" si="21"/>
        <v>0</v>
      </c>
      <c r="Q705" s="49" t="str">
        <f>IF(AND(J705=0,K705=0,L705=0,M705=0),"",IF(O705=0,"PENDENTE DE RATEIO",IF(ABS(P705)&gt;0.005,"DIVERGÊNCIA",IF(COUNTIF(RATEIOS!$A$2:$A$3142,$A705)-COUNTIFS(RATEIOS!$A$2:$A$3142,$A705,RATEIOS!$D$2:$D$3142,"&lt;&gt;")&gt;0,"NÃO CLASSIFICADO","RATEIO OK"))))</f>
        <v>RATEIO OK</v>
      </c>
      <c r="R705" s="49" t="s">
        <v>2553</v>
      </c>
      <c r="S705" s="14"/>
    </row>
    <row r="706" spans="1:19" ht="24.95" customHeight="1" x14ac:dyDescent="0.25">
      <c r="A706" s="49" t="s">
        <v>2199</v>
      </c>
      <c r="B706" s="98">
        <v>705</v>
      </c>
      <c r="C706" s="50">
        <v>46218</v>
      </c>
      <c r="D706" s="49">
        <f t="shared" ref="D706:D769" si="22">IF(C706="","",MONTH(C706))</f>
        <v>7</v>
      </c>
      <c r="E706" s="92" t="s">
        <v>72</v>
      </c>
      <c r="F706" s="49" t="s">
        <v>36</v>
      </c>
      <c r="G706" s="14" t="s">
        <v>2941</v>
      </c>
      <c r="H706" s="14" t="s">
        <v>153</v>
      </c>
      <c r="I706" s="76" t="s">
        <v>1058</v>
      </c>
      <c r="J706" s="73">
        <v>0</v>
      </c>
      <c r="K706" s="74">
        <v>1468</v>
      </c>
      <c r="L706" s="72">
        <v>0</v>
      </c>
      <c r="M706" s="72">
        <v>0</v>
      </c>
      <c r="N706" s="72">
        <f>IF(AND(C706="",J706=0,K706=0,L706=0,M706=0),"",CADASTROS!$B$4+SUM($J$2:J706)+SUM($M$2:M706)-SUM($K$2:K706)-SUM($L$2:L706))</f>
        <v>67581.830000003334</v>
      </c>
      <c r="O706" s="72">
        <f>IF(A706="","",SUMIF(RATEIOS!$A$2:$A$3142,$A706,RATEIOS!$F$2:$F$3142))</f>
        <v>1468</v>
      </c>
      <c r="P706" s="15">
        <f t="shared" ref="P706:P769" si="23">IF(A706="","",(J706+K706+L706+M706)-O706)</f>
        <v>0</v>
      </c>
      <c r="Q706" s="49" t="str">
        <f>IF(AND(J706=0,K706=0,L706=0,M706=0),"",IF(O706=0,"PENDENTE DE RATEIO",IF(ABS(P706)&gt;0.005,"DIVERGÊNCIA",IF(COUNTIF(RATEIOS!$A$2:$A$3142,$A706)-COUNTIFS(RATEIOS!$A$2:$A$3142,$A706,RATEIOS!$D$2:$D$3142,"&lt;&gt;")&gt;0,"NÃO CLASSIFICADO","RATEIO OK"))))</f>
        <v>RATEIO OK</v>
      </c>
      <c r="R706" s="49" t="s">
        <v>2553</v>
      </c>
      <c r="S706" s="14"/>
    </row>
    <row r="707" spans="1:19" ht="24.95" customHeight="1" x14ac:dyDescent="0.25">
      <c r="A707" s="49" t="s">
        <v>2200</v>
      </c>
      <c r="B707" s="98">
        <v>706</v>
      </c>
      <c r="C707" s="50">
        <v>46218</v>
      </c>
      <c r="D707" s="49">
        <f t="shared" si="22"/>
        <v>7</v>
      </c>
      <c r="E707" s="92" t="s">
        <v>72</v>
      </c>
      <c r="F707" s="49" t="s">
        <v>36</v>
      </c>
      <c r="G707" s="14" t="s">
        <v>2931</v>
      </c>
      <c r="H707" s="14" t="s">
        <v>2934</v>
      </c>
      <c r="I707" s="76" t="s">
        <v>2938</v>
      </c>
      <c r="J707" s="73">
        <v>0</v>
      </c>
      <c r="K707" s="74">
        <v>2000</v>
      </c>
      <c r="L707" s="72">
        <v>0</v>
      </c>
      <c r="M707" s="72">
        <v>0</v>
      </c>
      <c r="N707" s="72">
        <f>IF(AND(C707="",J707=0,K707=0,L707=0,M707=0),"",CADASTROS!$B$4+SUM($J$2:J707)+SUM($M$2:M707)-SUM($K$2:K707)-SUM($L$2:L707))</f>
        <v>65581.830000003334</v>
      </c>
      <c r="O707" s="72">
        <f>IF(A707="","",SUMIF(RATEIOS!$A$2:$A$3142,$A707,RATEIOS!$F$2:$F$3142))</f>
        <v>2000</v>
      </c>
      <c r="P707" s="15">
        <f t="shared" si="23"/>
        <v>0</v>
      </c>
      <c r="Q707" s="49" t="str">
        <f>IF(AND(J707=0,K707=0,L707=0,M707=0),"",IF(O707=0,"PENDENTE DE RATEIO",IF(ABS(P707)&gt;0.005,"DIVERGÊNCIA",IF(COUNTIF(RATEIOS!$A$2:$A$3142,$A707)-COUNTIFS(RATEIOS!$A$2:$A$3142,$A707,RATEIOS!$D$2:$D$3142,"&lt;&gt;")&gt;0,"NÃO CLASSIFICADO","RATEIO OK"))))</f>
        <v>RATEIO OK</v>
      </c>
      <c r="R707" s="49" t="s">
        <v>2553</v>
      </c>
      <c r="S707" s="14"/>
    </row>
    <row r="708" spans="1:19" ht="24.95" customHeight="1" x14ac:dyDescent="0.25">
      <c r="A708" s="49" t="s">
        <v>2201</v>
      </c>
      <c r="B708" s="98">
        <v>707</v>
      </c>
      <c r="C708" s="50">
        <v>46218</v>
      </c>
      <c r="D708" s="49">
        <f t="shared" si="22"/>
        <v>7</v>
      </c>
      <c r="E708" s="92" t="s">
        <v>118</v>
      </c>
      <c r="F708" s="49" t="s">
        <v>36</v>
      </c>
      <c r="G708" s="14" t="s">
        <v>1060</v>
      </c>
      <c r="H708" s="14" t="s">
        <v>252</v>
      </c>
      <c r="I708" s="76" t="s">
        <v>1061</v>
      </c>
      <c r="J708" s="73">
        <v>0</v>
      </c>
      <c r="K708" s="74">
        <v>21501.200000000001</v>
      </c>
      <c r="L708" s="72">
        <v>0</v>
      </c>
      <c r="M708" s="72">
        <v>0</v>
      </c>
      <c r="N708" s="72">
        <f>IF(AND(C708="",J708=0,K708=0,L708=0,M708=0),"",CADASTROS!$B$4+SUM($J$2:J708)+SUM($M$2:M708)-SUM($K$2:K708)-SUM($L$2:L708))</f>
        <v>44080.630000003148</v>
      </c>
      <c r="O708" s="72">
        <f>IF(A708="","",SUMIF(RATEIOS!$A$2:$A$3142,$A708,RATEIOS!$F$2:$F$3142))</f>
        <v>21501.200000000001</v>
      </c>
      <c r="P708" s="15">
        <f t="shared" si="23"/>
        <v>0</v>
      </c>
      <c r="Q708" s="49" t="str">
        <f>IF(AND(J708=0,K708=0,L708=0,M708=0),"",IF(O708=0,"PENDENTE DE RATEIO",IF(ABS(P708)&gt;0.005,"DIVERGÊNCIA",IF(COUNTIF(RATEIOS!$A$2:$A$3142,$A708)-COUNTIFS(RATEIOS!$A$2:$A$3142,$A708,RATEIOS!$D$2:$D$3142,"&lt;&gt;")&gt;0,"NÃO CLASSIFICADO","RATEIO OK"))))</f>
        <v>RATEIO OK</v>
      </c>
      <c r="R708" s="49" t="s">
        <v>2553</v>
      </c>
      <c r="S708" s="14"/>
    </row>
    <row r="709" spans="1:19" ht="24.95" customHeight="1" x14ac:dyDescent="0.25">
      <c r="A709" s="49" t="s">
        <v>2202</v>
      </c>
      <c r="B709" s="98">
        <v>708</v>
      </c>
      <c r="C709" s="50">
        <v>46218</v>
      </c>
      <c r="D709" s="49">
        <f t="shared" si="22"/>
        <v>7</v>
      </c>
      <c r="E709" s="92" t="s">
        <v>118</v>
      </c>
      <c r="F709" s="49" t="s">
        <v>36</v>
      </c>
      <c r="G709" s="14" t="s">
        <v>305</v>
      </c>
      <c r="H709" s="14" t="s">
        <v>3207</v>
      </c>
      <c r="I709" s="76" t="s">
        <v>1062</v>
      </c>
      <c r="J709" s="73">
        <v>0</v>
      </c>
      <c r="K709" s="74">
        <v>95</v>
      </c>
      <c r="L709" s="72">
        <v>0</v>
      </c>
      <c r="M709" s="72">
        <v>0</v>
      </c>
      <c r="N709" s="72">
        <f>IF(AND(C709="",J709=0,K709=0,L709=0,M709=0),"",CADASTROS!$B$4+SUM($J$2:J709)+SUM($M$2:M709)-SUM($K$2:K709)-SUM($L$2:L709))</f>
        <v>43985.630000003148</v>
      </c>
      <c r="O709" s="72">
        <f>IF(A709="","",SUMIF(RATEIOS!$A$2:$A$3142,$A709,RATEIOS!$F$2:$F$3142))</f>
        <v>95</v>
      </c>
      <c r="P709" s="15">
        <f t="shared" si="23"/>
        <v>0</v>
      </c>
      <c r="Q709" s="49" t="str">
        <f>IF(AND(J709=0,K709=0,L709=0,M709=0),"",IF(O709=0,"PENDENTE DE RATEIO",IF(ABS(P709)&gt;0.005,"DIVERGÊNCIA",IF(COUNTIF(RATEIOS!$A$2:$A$3142,$A709)-COUNTIFS(RATEIOS!$A$2:$A$3142,$A709,RATEIOS!$D$2:$D$3142,"&lt;&gt;")&gt;0,"NÃO CLASSIFICADO","RATEIO OK"))))</f>
        <v>RATEIO OK</v>
      </c>
      <c r="R709" s="49" t="s">
        <v>2553</v>
      </c>
      <c r="S709" s="14"/>
    </row>
    <row r="710" spans="1:19" ht="24.95" customHeight="1" x14ac:dyDescent="0.25">
      <c r="A710" s="49" t="s">
        <v>2203</v>
      </c>
      <c r="B710" s="98">
        <v>709</v>
      </c>
      <c r="C710" s="50">
        <v>46218</v>
      </c>
      <c r="D710" s="49">
        <f t="shared" si="22"/>
        <v>7</v>
      </c>
      <c r="E710" s="92" t="s">
        <v>118</v>
      </c>
      <c r="F710" s="49" t="s">
        <v>36</v>
      </c>
      <c r="G710" s="14" t="s">
        <v>305</v>
      </c>
      <c r="H710" s="14" t="s">
        <v>3207</v>
      </c>
      <c r="I710" s="76" t="s">
        <v>1063</v>
      </c>
      <c r="J710" s="73">
        <v>0</v>
      </c>
      <c r="K710" s="74">
        <v>207</v>
      </c>
      <c r="L710" s="72">
        <v>0</v>
      </c>
      <c r="M710" s="72">
        <v>0</v>
      </c>
      <c r="N710" s="72">
        <f>IF(AND(C710="",J710=0,K710=0,L710=0,M710=0),"",CADASTROS!$B$4+SUM($J$2:J710)+SUM($M$2:M710)-SUM($K$2:K710)-SUM($L$2:L710))</f>
        <v>43778.630000003148</v>
      </c>
      <c r="O710" s="72">
        <f>IF(A710="","",SUMIF(RATEIOS!$A$2:$A$3142,$A710,RATEIOS!$F$2:$F$3142))</f>
        <v>207</v>
      </c>
      <c r="P710" s="15">
        <f t="shared" si="23"/>
        <v>0</v>
      </c>
      <c r="Q710" s="49" t="str">
        <f>IF(AND(J710=0,K710=0,L710=0,M710=0),"",IF(O710=0,"PENDENTE DE RATEIO",IF(ABS(P710)&gt;0.005,"DIVERGÊNCIA",IF(COUNTIF(RATEIOS!$A$2:$A$3142,$A710)-COUNTIFS(RATEIOS!$A$2:$A$3142,$A710,RATEIOS!$D$2:$D$3142,"&lt;&gt;")&gt;0,"NÃO CLASSIFICADO","RATEIO OK"))))</f>
        <v>RATEIO OK</v>
      </c>
      <c r="R710" s="49" t="s">
        <v>2553</v>
      </c>
      <c r="S710" s="14"/>
    </row>
    <row r="711" spans="1:19" ht="24.95" customHeight="1" x14ac:dyDescent="0.25">
      <c r="A711" s="49" t="s">
        <v>2204</v>
      </c>
      <c r="B711" s="98">
        <v>710</v>
      </c>
      <c r="C711" s="50">
        <v>46218</v>
      </c>
      <c r="D711" s="49">
        <f t="shared" si="22"/>
        <v>7</v>
      </c>
      <c r="E711" s="92" t="s">
        <v>118</v>
      </c>
      <c r="F711" s="49" t="s">
        <v>36</v>
      </c>
      <c r="G711" s="14" t="s">
        <v>3021</v>
      </c>
      <c r="H711" s="14" t="s">
        <v>283</v>
      </c>
      <c r="I711" s="76" t="s">
        <v>1066</v>
      </c>
      <c r="J711" s="73">
        <v>0</v>
      </c>
      <c r="K711" s="74">
        <v>642.20000000000005</v>
      </c>
      <c r="L711" s="72">
        <v>0</v>
      </c>
      <c r="M711" s="72">
        <v>0</v>
      </c>
      <c r="N711" s="72">
        <f>IF(AND(C711="",J711=0,K711=0,L711=0,M711=0),"",CADASTROS!$B$4+SUM($J$2:J711)+SUM($M$2:M711)-SUM($K$2:K711)-SUM($L$2:L711))</f>
        <v>43136.430000002962</v>
      </c>
      <c r="O711" s="72">
        <f>IF(A711="","",SUMIF(RATEIOS!$A$2:$A$3142,$A711,RATEIOS!$F$2:$F$3142))</f>
        <v>642.20000000000005</v>
      </c>
      <c r="P711" s="15">
        <f t="shared" si="23"/>
        <v>0</v>
      </c>
      <c r="Q711" s="49" t="str">
        <f>IF(AND(J711=0,K711=0,L711=0,M711=0),"",IF(O711=0,"PENDENTE DE RATEIO",IF(ABS(P711)&gt;0.005,"DIVERGÊNCIA",IF(COUNTIF(RATEIOS!$A$2:$A$3142,$A711)-COUNTIFS(RATEIOS!$A$2:$A$3142,$A711,RATEIOS!$D$2:$D$3142,"&lt;&gt;")&gt;0,"NÃO CLASSIFICADO","RATEIO OK"))))</f>
        <v>RATEIO OK</v>
      </c>
      <c r="R711" s="49" t="s">
        <v>2553</v>
      </c>
      <c r="S711" s="14"/>
    </row>
    <row r="712" spans="1:19" ht="24.95" customHeight="1" x14ac:dyDescent="0.25">
      <c r="A712" s="49" t="s">
        <v>2205</v>
      </c>
      <c r="B712" s="98">
        <v>711</v>
      </c>
      <c r="C712" s="50">
        <v>46218</v>
      </c>
      <c r="D712" s="49">
        <f t="shared" si="22"/>
        <v>7</v>
      </c>
      <c r="E712" s="92" t="s">
        <v>118</v>
      </c>
      <c r="F712" s="49" t="s">
        <v>36</v>
      </c>
      <c r="G712" s="14" t="s">
        <v>1067</v>
      </c>
      <c r="H712" s="14" t="s">
        <v>1068</v>
      </c>
      <c r="I712" s="76" t="s">
        <v>1069</v>
      </c>
      <c r="J712" s="73">
        <v>0</v>
      </c>
      <c r="K712" s="74">
        <v>2640.75</v>
      </c>
      <c r="L712" s="72">
        <v>0</v>
      </c>
      <c r="M712" s="72">
        <v>0</v>
      </c>
      <c r="N712" s="72">
        <f>IF(AND(C712="",J712=0,K712=0,L712=0,M712=0),"",CADASTROS!$B$4+SUM($J$2:J712)+SUM($M$2:M712)-SUM($K$2:K712)-SUM($L$2:L712))</f>
        <v>40495.680000002962</v>
      </c>
      <c r="O712" s="72">
        <f>IF(A712="","",SUMIF(RATEIOS!$A$2:$A$3142,$A712,RATEIOS!$F$2:$F$3142))</f>
        <v>2640.75</v>
      </c>
      <c r="P712" s="15">
        <f t="shared" si="23"/>
        <v>0</v>
      </c>
      <c r="Q712" s="49" t="str">
        <f>IF(AND(J712=0,K712=0,L712=0,M712=0),"",IF(O712=0,"PENDENTE DE RATEIO",IF(ABS(P712)&gt;0.005,"DIVERGÊNCIA",IF(COUNTIF(RATEIOS!$A$2:$A$3142,$A712)-COUNTIFS(RATEIOS!$A$2:$A$3142,$A712,RATEIOS!$D$2:$D$3142,"&lt;&gt;")&gt;0,"NÃO CLASSIFICADO","RATEIO OK"))))</f>
        <v>RATEIO OK</v>
      </c>
      <c r="R712" s="49" t="s">
        <v>2553</v>
      </c>
      <c r="S712" s="14"/>
    </row>
    <row r="713" spans="1:19" ht="24.95" customHeight="1" x14ac:dyDescent="0.25">
      <c r="A713" s="49" t="s">
        <v>2206</v>
      </c>
      <c r="B713" s="98">
        <v>712</v>
      </c>
      <c r="C713" s="50">
        <v>46218</v>
      </c>
      <c r="D713" s="49">
        <f t="shared" si="22"/>
        <v>7</v>
      </c>
      <c r="E713" s="92" t="s">
        <v>2556</v>
      </c>
      <c r="F713" s="49" t="s">
        <v>36</v>
      </c>
      <c r="G713" s="14" t="s">
        <v>276</v>
      </c>
      <c r="H713" s="14" t="s">
        <v>277</v>
      </c>
      <c r="I713" s="76" t="s">
        <v>412</v>
      </c>
      <c r="J713" s="73">
        <v>0</v>
      </c>
      <c r="K713" s="74">
        <v>39.82</v>
      </c>
      <c r="L713" s="72">
        <v>0</v>
      </c>
      <c r="M713" s="72">
        <v>0</v>
      </c>
      <c r="N713" s="72">
        <f>IF(AND(C713="",J713=0,K713=0,L713=0,M713=0),"",CADASTROS!$B$4+SUM($J$2:J713)+SUM($M$2:M713)-SUM($K$2:K713)-SUM($L$2:L713))</f>
        <v>40455.860000003129</v>
      </c>
      <c r="O713" s="72">
        <f>IF(A713="","",SUMIF(RATEIOS!$A$2:$A$3142,$A713,RATEIOS!$F$2:$F$3142))</f>
        <v>39.82</v>
      </c>
      <c r="P713" s="15">
        <f t="shared" si="23"/>
        <v>0</v>
      </c>
      <c r="Q713" s="49" t="str">
        <f>IF(AND(J713=0,K713=0,L713=0,M713=0),"",IF(O713=0,"PENDENTE DE RATEIO",IF(ABS(P713)&gt;0.005,"DIVERGÊNCIA",IF(COUNTIF(RATEIOS!$A$2:$A$3142,$A713)-COUNTIFS(RATEIOS!$A$2:$A$3142,$A713,RATEIOS!$D$2:$D$3142,"&lt;&gt;")&gt;0,"NÃO CLASSIFICADO","RATEIO OK"))))</f>
        <v>RATEIO OK</v>
      </c>
      <c r="R713" s="49" t="s">
        <v>2553</v>
      </c>
      <c r="S713" s="14"/>
    </row>
    <row r="714" spans="1:19" ht="24.95" customHeight="1" x14ac:dyDescent="0.25">
      <c r="A714" s="49" t="s">
        <v>2207</v>
      </c>
      <c r="B714" s="98">
        <v>713</v>
      </c>
      <c r="C714" s="50">
        <v>46220</v>
      </c>
      <c r="D714" s="49">
        <f t="shared" si="22"/>
        <v>7</v>
      </c>
      <c r="E714" s="92" t="s">
        <v>72</v>
      </c>
      <c r="F714" s="49" t="s">
        <v>36</v>
      </c>
      <c r="G714" s="14" t="s">
        <v>1070</v>
      </c>
      <c r="H714" s="14" t="s">
        <v>953</v>
      </c>
      <c r="I714" s="76" t="s">
        <v>1071</v>
      </c>
      <c r="J714" s="73">
        <v>0</v>
      </c>
      <c r="K714" s="74">
        <v>2120</v>
      </c>
      <c r="L714" s="72">
        <v>0</v>
      </c>
      <c r="M714" s="72">
        <v>0</v>
      </c>
      <c r="N714" s="72">
        <f>IF(AND(C714="",J714=0,K714=0,L714=0,M714=0),"",CADASTROS!$B$4+SUM($J$2:J714)+SUM($M$2:M714)-SUM($K$2:K714)-SUM($L$2:L714))</f>
        <v>38335.860000003129</v>
      </c>
      <c r="O714" s="72">
        <f>IF(A714="","",SUMIF(RATEIOS!$A$2:$A$3142,$A714,RATEIOS!$F$2:$F$3142))</f>
        <v>2120</v>
      </c>
      <c r="P714" s="15">
        <f t="shared" si="23"/>
        <v>0</v>
      </c>
      <c r="Q714" s="49" t="str">
        <f>IF(AND(J714=0,K714=0,L714=0,M714=0),"",IF(O714=0,"PENDENTE DE RATEIO",IF(ABS(P714)&gt;0.005,"DIVERGÊNCIA",IF(COUNTIF(RATEIOS!$A$2:$A$3142,$A714)-COUNTIFS(RATEIOS!$A$2:$A$3142,$A714,RATEIOS!$D$2:$D$3142,"&lt;&gt;")&gt;0,"NÃO CLASSIFICADO","RATEIO OK"))))</f>
        <v>RATEIO OK</v>
      </c>
      <c r="R714" s="49" t="s">
        <v>2553</v>
      </c>
      <c r="S714" s="14"/>
    </row>
    <row r="715" spans="1:19" ht="24.95" customHeight="1" x14ac:dyDescent="0.25">
      <c r="A715" s="49" t="s">
        <v>2208</v>
      </c>
      <c r="B715" s="98">
        <v>714</v>
      </c>
      <c r="C715" s="50">
        <v>46223</v>
      </c>
      <c r="D715" s="49">
        <f t="shared" si="22"/>
        <v>7</v>
      </c>
      <c r="E715" s="92" t="s">
        <v>510</v>
      </c>
      <c r="F715" s="49" t="s">
        <v>35</v>
      </c>
      <c r="G715" s="14" t="s">
        <v>808</v>
      </c>
      <c r="H715" s="14" t="s">
        <v>512</v>
      </c>
      <c r="I715" s="76" t="s">
        <v>412</v>
      </c>
      <c r="J715" s="73">
        <v>100000</v>
      </c>
      <c r="K715" s="74">
        <v>0</v>
      </c>
      <c r="L715" s="72">
        <v>0</v>
      </c>
      <c r="M715" s="72">
        <v>0</v>
      </c>
      <c r="N715" s="72">
        <f>IF(AND(C715="",J715=0,K715=0,L715=0,M715=0),"",CADASTROS!$B$4+SUM($J$2:J715)+SUM($M$2:M715)-SUM($K$2:K715)-SUM($L$2:L715))</f>
        <v>138335.86000000313</v>
      </c>
      <c r="O715" s="72">
        <f>IF(A715="","",SUMIF(RATEIOS!$A$2:$A$3142,$A715,RATEIOS!$F$2:$F$3142))</f>
        <v>100000</v>
      </c>
      <c r="P715" s="15">
        <f t="shared" si="23"/>
        <v>0</v>
      </c>
      <c r="Q715" s="49" t="str">
        <f>IF(AND(J715=0,K715=0,L715=0,M715=0),"",IF(O715=0,"PENDENTE DE RATEIO",IF(ABS(P715)&gt;0.005,"DIVERGÊNCIA",IF(COUNTIF(RATEIOS!$A$2:$A$3142,$A715)-COUNTIFS(RATEIOS!$A$2:$A$3142,$A715,RATEIOS!$D$2:$D$3142,"&lt;&gt;")&gt;0,"NÃO CLASSIFICADO","RATEIO OK"))))</f>
        <v>RATEIO OK</v>
      </c>
      <c r="R715" s="49" t="s">
        <v>2553</v>
      </c>
      <c r="S715" s="14"/>
    </row>
    <row r="716" spans="1:19" ht="24.95" customHeight="1" x14ac:dyDescent="0.25">
      <c r="A716" s="49" t="s">
        <v>2209</v>
      </c>
      <c r="B716" s="98">
        <v>715</v>
      </c>
      <c r="C716" s="50">
        <v>46223</v>
      </c>
      <c r="D716" s="49">
        <f t="shared" si="22"/>
        <v>7</v>
      </c>
      <c r="E716" s="92" t="s">
        <v>72</v>
      </c>
      <c r="F716" s="49" t="s">
        <v>36</v>
      </c>
      <c r="G716" s="14" t="s">
        <v>1072</v>
      </c>
      <c r="H716" s="14" t="s">
        <v>164</v>
      </c>
      <c r="I716" s="76" t="s">
        <v>412</v>
      </c>
      <c r="J716" s="73">
        <v>0</v>
      </c>
      <c r="K716" s="74">
        <v>8768.02</v>
      </c>
      <c r="L716" s="72">
        <v>0</v>
      </c>
      <c r="M716" s="72">
        <v>0</v>
      </c>
      <c r="N716" s="72">
        <f>IF(AND(C716="",J716=0,K716=0,L716=0,M716=0),"",CADASTROS!$B$4+SUM($J$2:J716)+SUM($M$2:M716)-SUM($K$2:K716)-SUM($L$2:L716))</f>
        <v>129567.84000000311</v>
      </c>
      <c r="O716" s="72">
        <f>IF(A716="","",SUMIF(RATEIOS!$A$2:$A$3142,$A716,RATEIOS!$F$2:$F$3142))</f>
        <v>8768.02</v>
      </c>
      <c r="P716" s="15">
        <f t="shared" si="23"/>
        <v>0</v>
      </c>
      <c r="Q716" s="49" t="str">
        <f>IF(AND(J716=0,K716=0,L716=0,M716=0),"",IF(O716=0,"PENDENTE DE RATEIO",IF(ABS(P716)&gt;0.005,"DIVERGÊNCIA",IF(COUNTIF(RATEIOS!$A$2:$A$3142,$A716)-COUNTIFS(RATEIOS!$A$2:$A$3142,$A716,RATEIOS!$D$2:$D$3142,"&lt;&gt;")&gt;0,"NÃO CLASSIFICADO","RATEIO OK"))))</f>
        <v>RATEIO OK</v>
      </c>
      <c r="R716" s="49" t="s">
        <v>2553</v>
      </c>
      <c r="S716" s="14"/>
    </row>
    <row r="717" spans="1:19" ht="24.95" customHeight="1" x14ac:dyDescent="0.25">
      <c r="A717" s="49" t="s">
        <v>2210</v>
      </c>
      <c r="B717" s="98">
        <v>716</v>
      </c>
      <c r="C717" s="50">
        <v>46223</v>
      </c>
      <c r="D717" s="49">
        <f t="shared" si="22"/>
        <v>7</v>
      </c>
      <c r="E717" s="92" t="s">
        <v>118</v>
      </c>
      <c r="F717" s="49" t="s">
        <v>36</v>
      </c>
      <c r="G717" s="14" t="s">
        <v>1073</v>
      </c>
      <c r="H717" s="14" t="s">
        <v>207</v>
      </c>
      <c r="I717" s="76" t="s">
        <v>1074</v>
      </c>
      <c r="J717" s="73">
        <v>0</v>
      </c>
      <c r="K717" s="74">
        <v>3176</v>
      </c>
      <c r="L717" s="72">
        <v>0</v>
      </c>
      <c r="M717" s="72">
        <v>0</v>
      </c>
      <c r="N717" s="72">
        <f>IF(AND(C717="",J717=0,K717=0,L717=0,M717=0),"",CADASTROS!$B$4+SUM($J$2:J717)+SUM($M$2:M717)-SUM($K$2:K717)-SUM($L$2:L717))</f>
        <v>126391.84000000311</v>
      </c>
      <c r="O717" s="72">
        <f>IF(A717="","",SUMIF(RATEIOS!$A$2:$A$3142,$A717,RATEIOS!$F$2:$F$3142))</f>
        <v>3176</v>
      </c>
      <c r="P717" s="15">
        <f t="shared" si="23"/>
        <v>0</v>
      </c>
      <c r="Q717" s="49" t="str">
        <f>IF(AND(J717=0,K717=0,L717=0,M717=0),"",IF(O717=0,"PENDENTE DE RATEIO",IF(ABS(P717)&gt;0.005,"DIVERGÊNCIA",IF(COUNTIF(RATEIOS!$A$2:$A$3142,$A717)-COUNTIFS(RATEIOS!$A$2:$A$3142,$A717,RATEIOS!$D$2:$D$3142,"&lt;&gt;")&gt;0,"NÃO CLASSIFICADO","RATEIO OK"))))</f>
        <v>RATEIO OK</v>
      </c>
      <c r="R717" s="49" t="s">
        <v>2553</v>
      </c>
      <c r="S717" s="14"/>
    </row>
    <row r="718" spans="1:19" ht="24.95" customHeight="1" x14ac:dyDescent="0.25">
      <c r="A718" s="49" t="s">
        <v>2211</v>
      </c>
      <c r="B718" s="98">
        <v>717</v>
      </c>
      <c r="C718" s="50">
        <v>46223</v>
      </c>
      <c r="D718" s="49">
        <f t="shared" si="22"/>
        <v>7</v>
      </c>
      <c r="E718" s="92" t="s">
        <v>118</v>
      </c>
      <c r="F718" s="49" t="s">
        <v>36</v>
      </c>
      <c r="G718" s="14" t="s">
        <v>1075</v>
      </c>
      <c r="H718" s="14" t="s">
        <v>252</v>
      </c>
      <c r="I718" s="76" t="s">
        <v>958</v>
      </c>
      <c r="J718" s="73">
        <v>0</v>
      </c>
      <c r="K718" s="74">
        <v>18968.2</v>
      </c>
      <c r="L718" s="72">
        <v>0</v>
      </c>
      <c r="M718" s="72">
        <v>0</v>
      </c>
      <c r="N718" s="72">
        <f>IF(AND(C718="",J718=0,K718=0,L718=0,M718=0),"",CADASTROS!$B$4+SUM($J$2:J718)+SUM($M$2:M718)-SUM($K$2:K718)-SUM($L$2:L718))</f>
        <v>107423.64000000292</v>
      </c>
      <c r="O718" s="72">
        <f>IF(A718="","",SUMIF(RATEIOS!$A$2:$A$3142,$A718,RATEIOS!$F$2:$F$3142))</f>
        <v>18968.2</v>
      </c>
      <c r="P718" s="15">
        <f t="shared" si="23"/>
        <v>0</v>
      </c>
      <c r="Q718" s="49" t="str">
        <f>IF(AND(J718=0,K718=0,L718=0,M718=0),"",IF(O718=0,"PENDENTE DE RATEIO",IF(ABS(P718)&gt;0.005,"DIVERGÊNCIA",IF(COUNTIF(RATEIOS!$A$2:$A$3142,$A718)-COUNTIFS(RATEIOS!$A$2:$A$3142,$A718,RATEIOS!$D$2:$D$3142,"&lt;&gt;")&gt;0,"NÃO CLASSIFICADO","RATEIO OK"))))</f>
        <v>RATEIO OK</v>
      </c>
      <c r="R718" s="49" t="s">
        <v>2553</v>
      </c>
      <c r="S718" s="14"/>
    </row>
    <row r="719" spans="1:19" ht="24.95" customHeight="1" x14ac:dyDescent="0.25">
      <c r="A719" s="49" t="s">
        <v>2212</v>
      </c>
      <c r="B719" s="98">
        <v>718</v>
      </c>
      <c r="C719" s="50">
        <v>46223</v>
      </c>
      <c r="D719" s="49">
        <f t="shared" si="22"/>
        <v>7</v>
      </c>
      <c r="E719" s="92" t="s">
        <v>118</v>
      </c>
      <c r="F719" s="49" t="s">
        <v>36</v>
      </c>
      <c r="G719" s="14" t="s">
        <v>513</v>
      </c>
      <c r="H719" s="14" t="s">
        <v>67</v>
      </c>
      <c r="I719" s="76" t="s">
        <v>1076</v>
      </c>
      <c r="J719" s="73">
        <v>0</v>
      </c>
      <c r="K719" s="74">
        <v>300</v>
      </c>
      <c r="L719" s="72">
        <v>0</v>
      </c>
      <c r="M719" s="72">
        <v>0</v>
      </c>
      <c r="N719" s="72">
        <f>IF(AND(C719="",J719=0,K719=0,L719=0,M719=0),"",CADASTROS!$B$4+SUM($J$2:J719)+SUM($M$2:M719)-SUM($K$2:K719)-SUM($L$2:L719))</f>
        <v>107123.64000000292</v>
      </c>
      <c r="O719" s="72">
        <f>IF(A719="","",SUMIF(RATEIOS!$A$2:$A$3142,$A719,RATEIOS!$F$2:$F$3142))</f>
        <v>300</v>
      </c>
      <c r="P719" s="15">
        <f t="shared" si="23"/>
        <v>0</v>
      </c>
      <c r="Q719" s="49" t="str">
        <f>IF(AND(J719=0,K719=0,L719=0,M719=0),"",IF(O719=0,"PENDENTE DE RATEIO",IF(ABS(P719)&gt;0.005,"DIVERGÊNCIA",IF(COUNTIF(RATEIOS!$A$2:$A$3142,$A719)-COUNTIFS(RATEIOS!$A$2:$A$3142,$A719,RATEIOS!$D$2:$D$3142,"&lt;&gt;")&gt;0,"NÃO CLASSIFICADO","RATEIO OK"))))</f>
        <v>RATEIO OK</v>
      </c>
      <c r="R719" s="49" t="s">
        <v>2553</v>
      </c>
      <c r="S719" s="14"/>
    </row>
    <row r="720" spans="1:19" ht="24.95" customHeight="1" x14ac:dyDescent="0.25">
      <c r="A720" s="49" t="s">
        <v>2213</v>
      </c>
      <c r="B720" s="98">
        <v>719</v>
      </c>
      <c r="C720" s="50">
        <v>46223</v>
      </c>
      <c r="D720" s="49">
        <f t="shared" si="22"/>
        <v>7</v>
      </c>
      <c r="E720" s="92" t="s">
        <v>169</v>
      </c>
      <c r="F720" s="49" t="s">
        <v>36</v>
      </c>
      <c r="G720" s="14" t="s">
        <v>1077</v>
      </c>
      <c r="H720" s="14" t="s">
        <v>167</v>
      </c>
      <c r="I720" s="76" t="s">
        <v>412</v>
      </c>
      <c r="J720" s="73">
        <v>0</v>
      </c>
      <c r="K720" s="74">
        <v>29473.35</v>
      </c>
      <c r="L720" s="72">
        <v>0</v>
      </c>
      <c r="M720" s="72">
        <v>0</v>
      </c>
      <c r="N720" s="72">
        <f>IF(AND(C720="",J720=0,K720=0,L720=0,M720=0),"",CADASTROS!$B$4+SUM($J$2:J720)+SUM($M$2:M720)-SUM($K$2:K720)-SUM($L$2:L720))</f>
        <v>77650.290000002831</v>
      </c>
      <c r="O720" s="72">
        <f>IF(A720="","",SUMIF(RATEIOS!$A$2:$A$3142,$A720,RATEIOS!$F$2:$F$3142))</f>
        <v>29473.35</v>
      </c>
      <c r="P720" s="15">
        <f t="shared" si="23"/>
        <v>0</v>
      </c>
      <c r="Q720" s="49" t="str">
        <f>IF(AND(J720=0,K720=0,L720=0,M720=0),"",IF(O720=0,"PENDENTE DE RATEIO",IF(ABS(P720)&gt;0.005,"DIVERGÊNCIA",IF(COUNTIF(RATEIOS!$A$2:$A$3142,$A720)-COUNTIFS(RATEIOS!$A$2:$A$3142,$A720,RATEIOS!$D$2:$D$3142,"&lt;&gt;")&gt;0,"NÃO CLASSIFICADO","RATEIO OK"))))</f>
        <v>RATEIO OK</v>
      </c>
      <c r="R720" s="49" t="s">
        <v>2553</v>
      </c>
      <c r="S720" s="14"/>
    </row>
    <row r="721" spans="1:19" ht="24.95" customHeight="1" x14ac:dyDescent="0.25">
      <c r="A721" s="49" t="s">
        <v>2214</v>
      </c>
      <c r="B721" s="98">
        <v>720</v>
      </c>
      <c r="C721" s="50">
        <v>46223</v>
      </c>
      <c r="D721" s="49">
        <f t="shared" si="22"/>
        <v>7</v>
      </c>
      <c r="E721" s="92" t="s">
        <v>169</v>
      </c>
      <c r="F721" s="49" t="s">
        <v>36</v>
      </c>
      <c r="G721" s="14" t="s">
        <v>168</v>
      </c>
      <c r="H721" s="14" t="s">
        <v>2741</v>
      </c>
      <c r="I721" s="76" t="s">
        <v>412</v>
      </c>
      <c r="J721" s="73">
        <v>0</v>
      </c>
      <c r="K721" s="74">
        <v>57.77</v>
      </c>
      <c r="L721" s="72">
        <v>0</v>
      </c>
      <c r="M721" s="72">
        <v>0</v>
      </c>
      <c r="N721" s="72">
        <f>IF(AND(C721="",J721=0,K721=0,L721=0,M721=0),"",CADASTROS!$B$4+SUM($J$2:J721)+SUM($M$2:M721)-SUM($K$2:K721)-SUM($L$2:L721))</f>
        <v>77592.520000002813</v>
      </c>
      <c r="O721" s="72">
        <f>IF(A721="","",SUMIF(RATEIOS!$A$2:$A$3142,$A721,RATEIOS!$F$2:$F$3142))</f>
        <v>57.77</v>
      </c>
      <c r="P721" s="15">
        <f t="shared" si="23"/>
        <v>0</v>
      </c>
      <c r="Q721" s="49" t="str">
        <f>IF(AND(J721=0,K721=0,L721=0,M721=0),"",IF(O721=0,"PENDENTE DE RATEIO",IF(ABS(P721)&gt;0.005,"DIVERGÊNCIA",IF(COUNTIF(RATEIOS!$A$2:$A$3142,$A721)-COUNTIFS(RATEIOS!$A$2:$A$3142,$A721,RATEIOS!$D$2:$D$3142,"&lt;&gt;")&gt;0,"NÃO CLASSIFICADO","RATEIO OK"))))</f>
        <v>RATEIO OK</v>
      </c>
      <c r="R721" s="49" t="s">
        <v>2553</v>
      </c>
      <c r="S721" s="14"/>
    </row>
    <row r="722" spans="1:19" ht="24.95" customHeight="1" x14ac:dyDescent="0.25">
      <c r="A722" s="49" t="s">
        <v>2215</v>
      </c>
      <c r="B722" s="98">
        <v>721</v>
      </c>
      <c r="C722" s="50">
        <v>46223</v>
      </c>
      <c r="D722" s="49">
        <f t="shared" si="22"/>
        <v>7</v>
      </c>
      <c r="E722" s="92" t="s">
        <v>169</v>
      </c>
      <c r="F722" s="49" t="s">
        <v>36</v>
      </c>
      <c r="G722" s="14" t="s">
        <v>170</v>
      </c>
      <c r="H722" s="14" t="s">
        <v>2741</v>
      </c>
      <c r="I722" s="76" t="s">
        <v>412</v>
      </c>
      <c r="J722" s="73">
        <v>0</v>
      </c>
      <c r="K722" s="74">
        <v>18.64</v>
      </c>
      <c r="L722" s="72">
        <v>0</v>
      </c>
      <c r="M722" s="72">
        <v>0</v>
      </c>
      <c r="N722" s="72">
        <f>IF(AND(C722="",J722=0,K722=0,L722=0,M722=0),"",CADASTROS!$B$4+SUM($J$2:J722)+SUM($M$2:M722)-SUM($K$2:K722)-SUM($L$2:L722))</f>
        <v>77573.880000002682</v>
      </c>
      <c r="O722" s="72">
        <f>IF(A722="","",SUMIF(RATEIOS!$A$2:$A$3142,$A722,RATEIOS!$F$2:$F$3142))</f>
        <v>18.64</v>
      </c>
      <c r="P722" s="15">
        <f t="shared" si="23"/>
        <v>0</v>
      </c>
      <c r="Q722" s="49" t="str">
        <f>IF(AND(J722=0,K722=0,L722=0,M722=0),"",IF(O722=0,"PENDENTE DE RATEIO",IF(ABS(P722)&gt;0.005,"DIVERGÊNCIA",IF(COUNTIF(RATEIOS!$A$2:$A$3142,$A722)-COUNTIFS(RATEIOS!$A$2:$A$3142,$A722,RATEIOS!$D$2:$D$3142,"&lt;&gt;")&gt;0,"NÃO CLASSIFICADO","RATEIO OK"))))</f>
        <v>RATEIO OK</v>
      </c>
      <c r="R722" s="49" t="s">
        <v>2553</v>
      </c>
      <c r="S722" s="14"/>
    </row>
    <row r="723" spans="1:19" ht="36" x14ac:dyDescent="0.25">
      <c r="A723" s="49" t="s">
        <v>2216</v>
      </c>
      <c r="B723" s="98">
        <v>722</v>
      </c>
      <c r="C723" s="50">
        <v>46224</v>
      </c>
      <c r="D723" s="49">
        <f t="shared" si="22"/>
        <v>7</v>
      </c>
      <c r="E723" s="92" t="s">
        <v>72</v>
      </c>
      <c r="F723" s="49" t="s">
        <v>36</v>
      </c>
      <c r="G723" s="14" t="s">
        <v>1078</v>
      </c>
      <c r="H723" s="14" t="s">
        <v>74</v>
      </c>
      <c r="I723" s="76" t="s">
        <v>1079</v>
      </c>
      <c r="J723" s="73">
        <v>0</v>
      </c>
      <c r="K723" s="74">
        <v>377.04</v>
      </c>
      <c r="L723" s="72">
        <v>0</v>
      </c>
      <c r="M723" s="72">
        <v>0</v>
      </c>
      <c r="N723" s="72">
        <f>IF(AND(C723="",J723=0,K723=0,L723=0,M723=0),"",CADASTROS!$B$4+SUM($J$2:J723)+SUM($M$2:M723)-SUM($K$2:K723)-SUM($L$2:L723))</f>
        <v>77196.840000002645</v>
      </c>
      <c r="O723" s="72">
        <f>IF(A723="","",SUMIF(RATEIOS!$A$2:$A$3142,$A723,RATEIOS!$F$2:$F$3142))</f>
        <v>377.04</v>
      </c>
      <c r="P723" s="15">
        <f t="shared" si="23"/>
        <v>0</v>
      </c>
      <c r="Q723" s="49" t="str">
        <f>IF(AND(J723=0,K723=0,L723=0,M723=0),"",IF(O723=0,"PENDENTE DE RATEIO",IF(ABS(P723)&gt;0.005,"DIVERGÊNCIA",IF(COUNTIF(RATEIOS!$A$2:$A$3142,$A723)-COUNTIFS(RATEIOS!$A$2:$A$3142,$A723,RATEIOS!$D$2:$D$3142,"&lt;&gt;")&gt;0,"NÃO CLASSIFICADO","RATEIO OK"))))</f>
        <v>RATEIO OK</v>
      </c>
      <c r="R723" s="49" t="s">
        <v>2553</v>
      </c>
      <c r="S723" s="14" t="s">
        <v>1080</v>
      </c>
    </row>
    <row r="724" spans="1:19" ht="24.95" customHeight="1" x14ac:dyDescent="0.25">
      <c r="A724" s="49" t="s">
        <v>2217</v>
      </c>
      <c r="B724" s="98">
        <v>723</v>
      </c>
      <c r="C724" s="50">
        <v>46225</v>
      </c>
      <c r="D724" s="49">
        <f t="shared" si="22"/>
        <v>7</v>
      </c>
      <c r="E724" s="92" t="s">
        <v>118</v>
      </c>
      <c r="F724" s="49" t="s">
        <v>36</v>
      </c>
      <c r="G724" s="14" t="s">
        <v>1081</v>
      </c>
      <c r="H724" s="14" t="s">
        <v>51</v>
      </c>
      <c r="I724" s="76" t="s">
        <v>969</v>
      </c>
      <c r="J724" s="73">
        <v>0</v>
      </c>
      <c r="K724" s="74">
        <v>2040.57</v>
      </c>
      <c r="L724" s="72">
        <v>0</v>
      </c>
      <c r="M724" s="72">
        <v>0</v>
      </c>
      <c r="N724" s="72">
        <f>IF(AND(C724="",J724=0,K724=0,L724=0,M724=0),"",CADASTROS!$B$4+SUM($J$2:J724)+SUM($M$2:M724)-SUM($K$2:K724)-SUM($L$2:L724))</f>
        <v>75156.270000002813</v>
      </c>
      <c r="O724" s="72">
        <f>IF(A724="","",SUMIF(RATEIOS!$A$2:$A$3142,$A724,RATEIOS!$F$2:$F$3142))</f>
        <v>2040.57</v>
      </c>
      <c r="P724" s="15">
        <f t="shared" si="23"/>
        <v>0</v>
      </c>
      <c r="Q724" s="49" t="str">
        <f>IF(AND(J724=0,K724=0,L724=0,M724=0),"",IF(O724=0,"PENDENTE DE RATEIO",IF(ABS(P724)&gt;0.005,"DIVERGÊNCIA",IF(COUNTIF(RATEIOS!$A$2:$A$3142,$A724)-COUNTIFS(RATEIOS!$A$2:$A$3142,$A724,RATEIOS!$D$2:$D$3142,"&lt;&gt;")&gt;0,"NÃO CLASSIFICADO","RATEIO OK"))))</f>
        <v>RATEIO OK</v>
      </c>
      <c r="R724" s="49" t="s">
        <v>2553</v>
      </c>
      <c r="S724" s="14"/>
    </row>
    <row r="725" spans="1:19" ht="24.95" customHeight="1" x14ac:dyDescent="0.25">
      <c r="A725" s="49" t="s">
        <v>2218</v>
      </c>
      <c r="B725" s="98">
        <v>724</v>
      </c>
      <c r="C725" s="50">
        <v>46227</v>
      </c>
      <c r="D725" s="49">
        <f t="shared" si="22"/>
        <v>7</v>
      </c>
      <c r="E725" s="92" t="s">
        <v>118</v>
      </c>
      <c r="F725" s="49" t="s">
        <v>36</v>
      </c>
      <c r="G725" s="14" t="s">
        <v>1082</v>
      </c>
      <c r="H725" s="14" t="s">
        <v>219</v>
      </c>
      <c r="I725" s="76" t="s">
        <v>1083</v>
      </c>
      <c r="J725" s="73">
        <v>0</v>
      </c>
      <c r="K725" s="74">
        <v>1257.5899999999999</v>
      </c>
      <c r="L725" s="72">
        <v>0</v>
      </c>
      <c r="M725" s="72">
        <v>0</v>
      </c>
      <c r="N725" s="72">
        <f>IF(AND(C725="",J725=0,K725=0,L725=0,M725=0),"",CADASTROS!$B$4+SUM($J$2:J725)+SUM($M$2:M725)-SUM($K$2:K725)-SUM($L$2:L725))</f>
        <v>73898.680000002962</v>
      </c>
      <c r="O725" s="72">
        <f>IF(A725="","",SUMIF(RATEIOS!$A$2:$A$3142,$A725,RATEIOS!$F$2:$F$3142))</f>
        <v>1257.5899999999999</v>
      </c>
      <c r="P725" s="15">
        <f t="shared" si="23"/>
        <v>0</v>
      </c>
      <c r="Q725" s="49" t="str">
        <f>IF(AND(J725=0,K725=0,L725=0,M725=0),"",IF(O725=0,"PENDENTE DE RATEIO",IF(ABS(P725)&gt;0.005,"DIVERGÊNCIA",IF(COUNTIF(RATEIOS!$A$2:$A$3142,$A725)-COUNTIFS(RATEIOS!$A$2:$A$3142,$A725,RATEIOS!$D$2:$D$3142,"&lt;&gt;")&gt;0,"NÃO CLASSIFICADO","RATEIO OK"))))</f>
        <v>RATEIO OK</v>
      </c>
      <c r="R725" s="49" t="s">
        <v>2553</v>
      </c>
      <c r="S725" s="14"/>
    </row>
    <row r="726" spans="1:19" ht="24.95" customHeight="1" x14ac:dyDescent="0.25">
      <c r="A726" s="49" t="s">
        <v>2219</v>
      </c>
      <c r="B726" s="98">
        <v>725</v>
      </c>
      <c r="C726" s="50">
        <v>46227</v>
      </c>
      <c r="D726" s="49">
        <f t="shared" si="22"/>
        <v>7</v>
      </c>
      <c r="E726" s="92" t="s">
        <v>118</v>
      </c>
      <c r="F726" s="49" t="s">
        <v>36</v>
      </c>
      <c r="G726" s="14" t="s">
        <v>218</v>
      </c>
      <c r="H726" s="14" t="s">
        <v>219</v>
      </c>
      <c r="I726" s="76" t="s">
        <v>1084</v>
      </c>
      <c r="J726" s="73">
        <v>0</v>
      </c>
      <c r="K726" s="74">
        <v>1165.98</v>
      </c>
      <c r="L726" s="72">
        <v>0</v>
      </c>
      <c r="M726" s="72">
        <v>0</v>
      </c>
      <c r="N726" s="72">
        <f>IF(AND(C726="",J726=0,K726=0,L726=0,M726=0),"",CADASTROS!$B$4+SUM($J$2:J726)+SUM($M$2:M726)-SUM($K$2:K726)-SUM($L$2:L726))</f>
        <v>72732.70000000298</v>
      </c>
      <c r="O726" s="72">
        <f>IF(A726="","",SUMIF(RATEIOS!$A$2:$A$3142,$A726,RATEIOS!$F$2:$F$3142))</f>
        <v>1165.98</v>
      </c>
      <c r="P726" s="15">
        <f t="shared" si="23"/>
        <v>0</v>
      </c>
      <c r="Q726" s="49" t="str">
        <f>IF(AND(J726=0,K726=0,L726=0,M726=0),"",IF(O726=0,"PENDENTE DE RATEIO",IF(ABS(P726)&gt;0.005,"DIVERGÊNCIA",IF(COUNTIF(RATEIOS!$A$2:$A$3142,$A726)-COUNTIFS(RATEIOS!$A$2:$A$3142,$A726,RATEIOS!$D$2:$D$3142,"&lt;&gt;")&gt;0,"NÃO CLASSIFICADO","RATEIO OK"))))</f>
        <v>RATEIO OK</v>
      </c>
      <c r="R726" s="49" t="s">
        <v>2553</v>
      </c>
      <c r="S726" s="14"/>
    </row>
    <row r="727" spans="1:19" ht="24.95" customHeight="1" x14ac:dyDescent="0.25">
      <c r="A727" s="49" t="s">
        <v>2220</v>
      </c>
      <c r="B727" s="98">
        <v>726</v>
      </c>
      <c r="C727" s="50">
        <v>46227</v>
      </c>
      <c r="D727" s="49">
        <f t="shared" si="22"/>
        <v>7</v>
      </c>
      <c r="E727" s="92" t="s">
        <v>169</v>
      </c>
      <c r="F727" s="49" t="s">
        <v>36</v>
      </c>
      <c r="G727" s="14" t="s">
        <v>2923</v>
      </c>
      <c r="H727" s="14" t="s">
        <v>179</v>
      </c>
      <c r="I727" s="76" t="s">
        <v>412</v>
      </c>
      <c r="J727" s="73">
        <v>0</v>
      </c>
      <c r="K727" s="74">
        <v>3458.46</v>
      </c>
      <c r="L727" s="72">
        <v>0</v>
      </c>
      <c r="M727" s="72">
        <v>0</v>
      </c>
      <c r="N727" s="72">
        <f>IF(AND(C727="",J727=0,K727=0,L727=0,M727=0),"",CADASTROS!$B$4+SUM($J$2:J727)+SUM($M$2:M727)-SUM($K$2:K727)-SUM($L$2:L727))</f>
        <v>69274.240000003017</v>
      </c>
      <c r="O727" s="72">
        <f>IF(A727="","",SUMIF(RATEIOS!$A$2:$A$3142,$A727,RATEIOS!$F$2:$F$3142))</f>
        <v>3458.46</v>
      </c>
      <c r="P727" s="15">
        <f t="shared" si="23"/>
        <v>0</v>
      </c>
      <c r="Q727" s="49" t="str">
        <f>IF(AND(J727=0,K727=0,L727=0,M727=0),"",IF(O727=0,"PENDENTE DE RATEIO",IF(ABS(P727)&gt;0.005,"DIVERGÊNCIA",IF(COUNTIF(RATEIOS!$A$2:$A$3142,$A727)-COUNTIFS(RATEIOS!$A$2:$A$3142,$A727,RATEIOS!$D$2:$D$3142,"&lt;&gt;")&gt;0,"NÃO CLASSIFICADO","RATEIO OK"))))</f>
        <v>RATEIO OK</v>
      </c>
      <c r="R727" s="49" t="s">
        <v>2553</v>
      </c>
      <c r="S727" s="14"/>
    </row>
    <row r="728" spans="1:19" ht="24.95" customHeight="1" x14ac:dyDescent="0.25">
      <c r="A728" s="49" t="s">
        <v>2221</v>
      </c>
      <c r="B728" s="98">
        <v>727</v>
      </c>
      <c r="C728" s="50">
        <v>46227</v>
      </c>
      <c r="D728" s="49">
        <f t="shared" si="22"/>
        <v>7</v>
      </c>
      <c r="E728" s="92" t="s">
        <v>169</v>
      </c>
      <c r="F728" s="49" t="s">
        <v>36</v>
      </c>
      <c r="G728" s="14" t="s">
        <v>2924</v>
      </c>
      <c r="H728" s="14" t="s">
        <v>180</v>
      </c>
      <c r="I728" s="76" t="s">
        <v>412</v>
      </c>
      <c r="J728" s="73">
        <v>0</v>
      </c>
      <c r="K728" s="74">
        <v>15962.14</v>
      </c>
      <c r="L728" s="72">
        <v>0</v>
      </c>
      <c r="M728" s="72">
        <v>0</v>
      </c>
      <c r="N728" s="72">
        <f>IF(AND(C728="",J728=0,K728=0,L728=0,M728=0),"",CADASTROS!$B$4+SUM($J$2:J728)+SUM($M$2:M728)-SUM($K$2:K728)-SUM($L$2:L728))</f>
        <v>53312.100000002887</v>
      </c>
      <c r="O728" s="72">
        <f>IF(A728="","",SUMIF(RATEIOS!$A$2:$A$3142,$A728,RATEIOS!$F$2:$F$3142))</f>
        <v>15962.14</v>
      </c>
      <c r="P728" s="15">
        <f t="shared" si="23"/>
        <v>0</v>
      </c>
      <c r="Q728" s="49" t="str">
        <f>IF(AND(J728=0,K728=0,L728=0,M728=0),"",IF(O728=0,"PENDENTE DE RATEIO",IF(ABS(P728)&gt;0.005,"DIVERGÊNCIA",IF(COUNTIF(RATEIOS!$A$2:$A$3142,$A728)-COUNTIFS(RATEIOS!$A$2:$A$3142,$A728,RATEIOS!$D$2:$D$3142,"&lt;&gt;")&gt;0,"NÃO CLASSIFICADO","RATEIO OK"))))</f>
        <v>RATEIO OK</v>
      </c>
      <c r="R728" s="49" t="s">
        <v>2553</v>
      </c>
      <c r="S728" s="14"/>
    </row>
    <row r="729" spans="1:19" ht="24.95" customHeight="1" x14ac:dyDescent="0.25">
      <c r="A729" s="49" t="s">
        <v>2222</v>
      </c>
      <c r="B729" s="98">
        <v>728</v>
      </c>
      <c r="C729" s="50">
        <v>46230</v>
      </c>
      <c r="D729" s="49">
        <f t="shared" si="22"/>
        <v>7</v>
      </c>
      <c r="E729" s="92" t="s">
        <v>118</v>
      </c>
      <c r="F729" s="49" t="s">
        <v>36</v>
      </c>
      <c r="G729" s="14" t="s">
        <v>1087</v>
      </c>
      <c r="H729" s="14" t="s">
        <v>188</v>
      </c>
      <c r="I729" s="76" t="s">
        <v>983</v>
      </c>
      <c r="J729" s="73">
        <v>0</v>
      </c>
      <c r="K729" s="74">
        <v>1000</v>
      </c>
      <c r="L729" s="72">
        <v>0</v>
      </c>
      <c r="M729" s="72">
        <v>0</v>
      </c>
      <c r="N729" s="72">
        <f>IF(AND(C729="",J729=0,K729=0,L729=0,M729=0),"",CADASTROS!$B$4+SUM($J$2:J729)+SUM($M$2:M729)-SUM($K$2:K729)-SUM($L$2:L729))</f>
        <v>52312.100000002887</v>
      </c>
      <c r="O729" s="72">
        <f>IF(A729="","",SUMIF(RATEIOS!$A$2:$A$3142,$A729,RATEIOS!$F$2:$F$3142))</f>
        <v>1000</v>
      </c>
      <c r="P729" s="15">
        <f t="shared" si="23"/>
        <v>0</v>
      </c>
      <c r="Q729" s="49" t="str">
        <f>IF(AND(J729=0,K729=0,L729=0,M729=0),"",IF(O729=0,"PENDENTE DE RATEIO",IF(ABS(P729)&gt;0.005,"DIVERGÊNCIA",IF(COUNTIF(RATEIOS!$A$2:$A$3142,$A729)-COUNTIFS(RATEIOS!$A$2:$A$3142,$A729,RATEIOS!$D$2:$D$3142,"&lt;&gt;")&gt;0,"NÃO CLASSIFICADO","RATEIO OK"))))</f>
        <v>RATEIO OK</v>
      </c>
      <c r="R729" s="49" t="s">
        <v>2553</v>
      </c>
      <c r="S729" s="14"/>
    </row>
    <row r="730" spans="1:19" ht="24.95" customHeight="1" x14ac:dyDescent="0.25">
      <c r="A730" s="49" t="s">
        <v>2223</v>
      </c>
      <c r="B730" s="98">
        <v>729</v>
      </c>
      <c r="C730" s="50">
        <v>46230</v>
      </c>
      <c r="D730" s="49">
        <f t="shared" si="22"/>
        <v>7</v>
      </c>
      <c r="E730" s="92" t="s">
        <v>118</v>
      </c>
      <c r="F730" s="49" t="s">
        <v>36</v>
      </c>
      <c r="G730" s="14" t="s">
        <v>678</v>
      </c>
      <c r="H730" s="14" t="s">
        <v>679</v>
      </c>
      <c r="I730" s="76" t="s">
        <v>412</v>
      </c>
      <c r="J730" s="73">
        <v>0</v>
      </c>
      <c r="K730" s="74">
        <v>400</v>
      </c>
      <c r="L730" s="72">
        <v>0</v>
      </c>
      <c r="M730" s="72">
        <v>0</v>
      </c>
      <c r="N730" s="72">
        <f>IF(AND(C730="",J730=0,K730=0,L730=0,M730=0),"",CADASTROS!$B$4+SUM($J$2:J730)+SUM($M$2:M730)-SUM($K$2:K730)-SUM($L$2:L730))</f>
        <v>51912.100000002887</v>
      </c>
      <c r="O730" s="72">
        <f>IF(A730="","",SUMIF(RATEIOS!$A$2:$A$3142,$A730,RATEIOS!$F$2:$F$3142))</f>
        <v>400</v>
      </c>
      <c r="P730" s="15">
        <f t="shared" si="23"/>
        <v>0</v>
      </c>
      <c r="Q730" s="49" t="str">
        <f>IF(AND(J730=0,K730=0,L730=0,M730=0),"",IF(O730=0,"PENDENTE DE RATEIO",IF(ABS(P730)&gt;0.005,"DIVERGÊNCIA",IF(COUNTIF(RATEIOS!$A$2:$A$3142,$A730)-COUNTIFS(RATEIOS!$A$2:$A$3142,$A730,RATEIOS!$D$2:$D$3142,"&lt;&gt;")&gt;0,"NÃO CLASSIFICADO","RATEIO OK"))))</f>
        <v>RATEIO OK</v>
      </c>
      <c r="R730" s="49" t="s">
        <v>2553</v>
      </c>
      <c r="S730" s="14"/>
    </row>
    <row r="731" spans="1:19" ht="24.95" customHeight="1" x14ac:dyDescent="0.25">
      <c r="A731" s="49" t="s">
        <v>2224</v>
      </c>
      <c r="B731" s="98">
        <v>730</v>
      </c>
      <c r="C731" s="50">
        <v>46231</v>
      </c>
      <c r="D731" s="49">
        <f t="shared" si="22"/>
        <v>7</v>
      </c>
      <c r="E731" s="92" t="s">
        <v>118</v>
      </c>
      <c r="F731" s="49" t="s">
        <v>36</v>
      </c>
      <c r="G731" s="14" t="s">
        <v>1088</v>
      </c>
      <c r="H731" s="14" t="s">
        <v>188</v>
      </c>
      <c r="I731" s="76" t="s">
        <v>985</v>
      </c>
      <c r="J731" s="73">
        <v>0</v>
      </c>
      <c r="K731" s="74">
        <v>1020</v>
      </c>
      <c r="L731" s="72">
        <v>0</v>
      </c>
      <c r="M731" s="72">
        <v>0</v>
      </c>
      <c r="N731" s="72">
        <f>IF(AND(C731="",J731=0,K731=0,L731=0,M731=0),"",CADASTROS!$B$4+SUM($J$2:J731)+SUM($M$2:M731)-SUM($K$2:K731)-SUM($L$2:L731))</f>
        <v>50892.100000002887</v>
      </c>
      <c r="O731" s="72">
        <f>IF(A731="","",SUMIF(RATEIOS!$A$2:$A$3142,$A731,RATEIOS!$F$2:$F$3142))</f>
        <v>1020</v>
      </c>
      <c r="P731" s="15">
        <f t="shared" si="23"/>
        <v>0</v>
      </c>
      <c r="Q731" s="49" t="str">
        <f>IF(AND(J731=0,K731=0,L731=0,M731=0),"",IF(O731=0,"PENDENTE DE RATEIO",IF(ABS(P731)&gt;0.005,"DIVERGÊNCIA",IF(COUNTIF(RATEIOS!$A$2:$A$3142,$A731)-COUNTIFS(RATEIOS!$A$2:$A$3142,$A731,RATEIOS!$D$2:$D$3142,"&lt;&gt;")&gt;0,"NÃO CLASSIFICADO","RATEIO OK"))))</f>
        <v>RATEIO OK</v>
      </c>
      <c r="R731" s="49" t="s">
        <v>2553</v>
      </c>
      <c r="S731" s="14"/>
    </row>
    <row r="732" spans="1:19" ht="24.95" customHeight="1" x14ac:dyDescent="0.25">
      <c r="A732" s="49" t="s">
        <v>2225</v>
      </c>
      <c r="B732" s="98">
        <v>731</v>
      </c>
      <c r="C732" s="50">
        <v>46232</v>
      </c>
      <c r="D732" s="49">
        <f t="shared" si="22"/>
        <v>7</v>
      </c>
      <c r="E732" s="92" t="s">
        <v>118</v>
      </c>
      <c r="F732" s="49" t="s">
        <v>36</v>
      </c>
      <c r="G732" s="14" t="s">
        <v>254</v>
      </c>
      <c r="H732" s="14" t="s">
        <v>255</v>
      </c>
      <c r="I732" s="76" t="s">
        <v>1089</v>
      </c>
      <c r="J732" s="73">
        <v>0</v>
      </c>
      <c r="K732" s="74">
        <v>2938.4</v>
      </c>
      <c r="L732" s="72">
        <v>0</v>
      </c>
      <c r="M732" s="72">
        <v>0</v>
      </c>
      <c r="N732" s="72">
        <f>IF(AND(C732="",J732=0,K732=0,L732=0,M732=0),"",CADASTROS!$B$4+SUM($J$2:J732)+SUM($M$2:M732)-SUM($K$2:K732)-SUM($L$2:L732))</f>
        <v>47953.70000000298</v>
      </c>
      <c r="O732" s="72">
        <f>IF(A732="","",SUMIF(RATEIOS!$A$2:$A$3142,$A732,RATEIOS!$F$2:$F$3142))</f>
        <v>2938.4</v>
      </c>
      <c r="P732" s="15">
        <f t="shared" si="23"/>
        <v>0</v>
      </c>
      <c r="Q732" s="49" t="str">
        <f>IF(AND(J732=0,K732=0,L732=0,M732=0),"",IF(O732=0,"PENDENTE DE RATEIO",IF(ABS(P732)&gt;0.005,"DIVERGÊNCIA",IF(COUNTIF(RATEIOS!$A$2:$A$3142,$A732)-COUNTIFS(RATEIOS!$A$2:$A$3142,$A732,RATEIOS!$D$2:$D$3142,"&lt;&gt;")&gt;0,"NÃO CLASSIFICADO","RATEIO OK"))))</f>
        <v>RATEIO OK</v>
      </c>
      <c r="R732" s="49" t="s">
        <v>2553</v>
      </c>
      <c r="S732" s="14"/>
    </row>
    <row r="733" spans="1:19" ht="24.95" customHeight="1" x14ac:dyDescent="0.25">
      <c r="A733" s="49" t="s">
        <v>2226</v>
      </c>
      <c r="B733" s="98">
        <v>732</v>
      </c>
      <c r="C733" s="50">
        <v>46233</v>
      </c>
      <c r="D733" s="49">
        <f t="shared" si="22"/>
        <v>7</v>
      </c>
      <c r="E733" s="92" t="s">
        <v>118</v>
      </c>
      <c r="F733" s="49" t="s">
        <v>36</v>
      </c>
      <c r="G733" s="14" t="s">
        <v>2925</v>
      </c>
      <c r="H733" s="14" t="s">
        <v>143</v>
      </c>
      <c r="I733" s="76" t="s">
        <v>224</v>
      </c>
      <c r="J733" s="73">
        <v>0</v>
      </c>
      <c r="K733" s="74">
        <v>48992.160000000003</v>
      </c>
      <c r="L733" s="72">
        <v>0</v>
      </c>
      <c r="M733" s="72">
        <v>0</v>
      </c>
      <c r="N733" s="72">
        <f>IF(AND(C733="",J733=0,K733=0,L733=0,M733=0),"",CADASTROS!$B$4+SUM($J$2:J733)+SUM($M$2:M733)-SUM($K$2:K733)-SUM($L$2:L733))</f>
        <v>-1038.4599999971688</v>
      </c>
      <c r="O733" s="72">
        <f>IF(A733="","",SUMIF(RATEIOS!$A$2:$A$3142,$A733,RATEIOS!$F$2:$F$3142))</f>
        <v>48992.160000000003</v>
      </c>
      <c r="P733" s="15">
        <f t="shared" si="23"/>
        <v>0</v>
      </c>
      <c r="Q733" s="49" t="str">
        <f>IF(AND(J733=0,K733=0,L733=0,M733=0),"",IF(O733=0,"PENDENTE DE RATEIO",IF(ABS(P733)&gt;0.005,"DIVERGÊNCIA",IF(COUNTIF(RATEIOS!$A$2:$A$3142,$A733)-COUNTIFS(RATEIOS!$A$2:$A$3142,$A733,RATEIOS!$D$2:$D$3142,"&lt;&gt;")&gt;0,"NÃO CLASSIFICADO","RATEIO OK"))))</f>
        <v>RATEIO OK</v>
      </c>
      <c r="R733" s="49" t="s">
        <v>2553</v>
      </c>
      <c r="S733" s="14"/>
    </row>
    <row r="734" spans="1:19" ht="24.95" customHeight="1" x14ac:dyDescent="0.25">
      <c r="A734" s="49" t="s">
        <v>2227</v>
      </c>
      <c r="B734" s="98">
        <v>733</v>
      </c>
      <c r="C734" s="50">
        <v>46233</v>
      </c>
      <c r="D734" s="49">
        <f t="shared" si="22"/>
        <v>7</v>
      </c>
      <c r="E734" s="92" t="s">
        <v>2558</v>
      </c>
      <c r="F734" s="49" t="s">
        <v>38</v>
      </c>
      <c r="G734" s="14" t="s">
        <v>45</v>
      </c>
      <c r="H734" s="14" t="s">
        <v>46</v>
      </c>
      <c r="I734" s="76" t="s">
        <v>412</v>
      </c>
      <c r="J734" s="73">
        <v>0</v>
      </c>
      <c r="K734" s="74">
        <v>0</v>
      </c>
      <c r="L734" s="72">
        <v>0</v>
      </c>
      <c r="M734" s="72">
        <v>1500</v>
      </c>
      <c r="N734" s="72">
        <f>IF(AND(C734="",J734=0,K734=0,L734=0,M734=0),"",CADASTROS!$B$4+SUM($J$2:J734)+SUM($M$2:M734)-SUM($K$2:K734)-SUM($L$2:L734))</f>
        <v>461.54000000283122</v>
      </c>
      <c r="O734" s="72">
        <f>IF(A734="","",SUMIF(RATEIOS!$A$2:$A$3142,$A734,RATEIOS!$F$2:$F$3142))</f>
        <v>1500</v>
      </c>
      <c r="P734" s="15">
        <f t="shared" si="23"/>
        <v>0</v>
      </c>
      <c r="Q734" s="49" t="str">
        <f>IF(AND(J734=0,K734=0,L734=0,M734=0),"",IF(O734=0,"PENDENTE DE RATEIO",IF(ABS(P734)&gt;0.005,"DIVERGÊNCIA",IF(COUNTIF(RATEIOS!$A$2:$A$3142,$A734)-COUNTIFS(RATEIOS!$A$2:$A$3142,$A734,RATEIOS!$D$2:$D$3142,"&lt;&gt;")&gt;0,"NÃO CLASSIFICADO","RATEIO OK"))))</f>
        <v>RATEIO OK</v>
      </c>
      <c r="R734" s="49" t="s">
        <v>2553</v>
      </c>
      <c r="S734" s="14"/>
    </row>
    <row r="735" spans="1:19" ht="24.95" customHeight="1" x14ac:dyDescent="0.25">
      <c r="A735" s="49" t="s">
        <v>2228</v>
      </c>
      <c r="B735" s="98">
        <v>734</v>
      </c>
      <c r="C735" s="50">
        <v>46234</v>
      </c>
      <c r="D735" s="49">
        <f t="shared" si="22"/>
        <v>7</v>
      </c>
      <c r="E735" s="92" t="s">
        <v>2558</v>
      </c>
      <c r="F735" s="49" t="s">
        <v>38</v>
      </c>
      <c r="G735" s="14" t="s">
        <v>104</v>
      </c>
      <c r="H735" s="14" t="s">
        <v>46</v>
      </c>
      <c r="I735" s="76" t="s">
        <v>412</v>
      </c>
      <c r="J735" s="73">
        <v>0</v>
      </c>
      <c r="K735" s="74">
        <v>0</v>
      </c>
      <c r="L735" s="72">
        <v>0</v>
      </c>
      <c r="M735" s="72">
        <v>94.74</v>
      </c>
      <c r="N735" s="72">
        <f>IF(AND(C735="",J735=0,K735=0,L735=0,M735=0),"",CADASTROS!$B$4+SUM($J$2:J735)+SUM($M$2:M735)-SUM($K$2:K735)-SUM($L$2:L735))</f>
        <v>556.28000000258908</v>
      </c>
      <c r="O735" s="72">
        <f>IF(A735="","",SUMIF(RATEIOS!$A$2:$A$3142,$A735,RATEIOS!$F$2:$F$3142))</f>
        <v>94.74</v>
      </c>
      <c r="P735" s="15">
        <f t="shared" si="23"/>
        <v>0</v>
      </c>
      <c r="Q735" s="49" t="str">
        <f>IF(AND(J735=0,K735=0,L735=0,M735=0),"",IF(O735=0,"PENDENTE DE RATEIO",IF(ABS(P735)&gt;0.005,"DIVERGÊNCIA",IF(COUNTIF(RATEIOS!$A$2:$A$3142,$A735)-COUNTIFS(RATEIOS!$A$2:$A$3142,$A735,RATEIOS!$D$2:$D$3142,"&lt;&gt;")&gt;0,"NÃO CLASSIFICADO","RATEIO OK"))))</f>
        <v>RATEIO OK</v>
      </c>
      <c r="R735" s="49" t="s">
        <v>2553</v>
      </c>
      <c r="S735" s="14"/>
    </row>
    <row r="736" spans="1:19" ht="24.95" customHeight="1" x14ac:dyDescent="0.25">
      <c r="A736" s="49" t="s">
        <v>2229</v>
      </c>
      <c r="B736" s="98">
        <v>735</v>
      </c>
      <c r="C736" s="50">
        <v>46234</v>
      </c>
      <c r="D736" s="49">
        <f t="shared" si="22"/>
        <v>7</v>
      </c>
      <c r="E736" s="92" t="s">
        <v>287</v>
      </c>
      <c r="F736" s="49" t="s">
        <v>35</v>
      </c>
      <c r="G736" s="14" t="s">
        <v>1090</v>
      </c>
      <c r="H736" s="14" t="s">
        <v>2736</v>
      </c>
      <c r="I736" s="76" t="s">
        <v>412</v>
      </c>
      <c r="J736" s="73">
        <v>598247.21</v>
      </c>
      <c r="K736" s="74">
        <v>0</v>
      </c>
      <c r="L736" s="72">
        <v>0</v>
      </c>
      <c r="M736" s="72">
        <v>0</v>
      </c>
      <c r="N736" s="72">
        <f>IF(AND(C736="",J736=0,K736=0,L736=0,M736=0),"",CADASTROS!$B$4+SUM($J$2:J736)+SUM($M$2:M736)-SUM($K$2:K736)-SUM($L$2:L736))</f>
        <v>598803.49000000302</v>
      </c>
      <c r="O736" s="72">
        <f>IF(A736="","",SUMIF(RATEIOS!$A$2:$A$3142,$A736,RATEIOS!$F$2:$F$3142))</f>
        <v>598247.21</v>
      </c>
      <c r="P736" s="15">
        <f t="shared" si="23"/>
        <v>0</v>
      </c>
      <c r="Q736" s="49" t="str">
        <f>IF(AND(J736=0,K736=0,L736=0,M736=0),"",IF(O736=0,"PENDENTE DE RATEIO",IF(ABS(P736)&gt;0.005,"DIVERGÊNCIA",IF(COUNTIF(RATEIOS!$A$2:$A$3142,$A736)-COUNTIFS(RATEIOS!$A$2:$A$3142,$A736,RATEIOS!$D$2:$D$3142,"&lt;&gt;")&gt;0,"NÃO CLASSIFICADO","RATEIO OK"))))</f>
        <v>RATEIO OK</v>
      </c>
      <c r="R736" s="49" t="s">
        <v>2553</v>
      </c>
      <c r="S736" s="14"/>
    </row>
    <row r="737" spans="1:19" ht="24.95" customHeight="1" x14ac:dyDescent="0.25">
      <c r="A737" s="49" t="s">
        <v>2230</v>
      </c>
      <c r="B737" s="98">
        <v>736</v>
      </c>
      <c r="C737" s="50">
        <v>46234</v>
      </c>
      <c r="D737" s="49">
        <f t="shared" si="22"/>
        <v>7</v>
      </c>
      <c r="E737" s="92" t="s">
        <v>118</v>
      </c>
      <c r="F737" s="49" t="s">
        <v>36</v>
      </c>
      <c r="G737" s="14" t="s">
        <v>2926</v>
      </c>
      <c r="H737" s="14" t="s">
        <v>143</v>
      </c>
      <c r="I737" s="76" t="s">
        <v>226</v>
      </c>
      <c r="J737" s="73">
        <v>0</v>
      </c>
      <c r="K737" s="74">
        <v>9331.84</v>
      </c>
      <c r="L737" s="72">
        <v>0</v>
      </c>
      <c r="M737" s="72">
        <v>0</v>
      </c>
      <c r="N737" s="72">
        <f>IF(AND(C737="",J737=0,K737=0,L737=0,M737=0),"",CADASTROS!$B$4+SUM($J$2:J737)+SUM($M$2:M737)-SUM($K$2:K737)-SUM($L$2:L737))</f>
        <v>589471.65000000317</v>
      </c>
      <c r="O737" s="72">
        <f>IF(A737="","",SUMIF(RATEIOS!$A$2:$A$3142,$A737,RATEIOS!$F$2:$F$3142))</f>
        <v>9331.84</v>
      </c>
      <c r="P737" s="15">
        <f t="shared" si="23"/>
        <v>0</v>
      </c>
      <c r="Q737" s="49" t="str">
        <f>IF(AND(J737=0,K737=0,L737=0,M737=0),"",IF(O737=0,"PENDENTE DE RATEIO",IF(ABS(P737)&gt;0.005,"DIVERGÊNCIA",IF(COUNTIF(RATEIOS!$A$2:$A$3142,$A737)-COUNTIFS(RATEIOS!$A$2:$A$3142,$A737,RATEIOS!$D$2:$D$3142,"&lt;&gt;")&gt;0,"NÃO CLASSIFICADO","RATEIO OK"))))</f>
        <v>RATEIO OK</v>
      </c>
      <c r="R737" s="49" t="s">
        <v>2553</v>
      </c>
      <c r="S737" s="14"/>
    </row>
    <row r="738" spans="1:19" ht="24.95" customHeight="1" x14ac:dyDescent="0.25">
      <c r="A738" s="49" t="s">
        <v>2231</v>
      </c>
      <c r="B738" s="98">
        <v>737</v>
      </c>
      <c r="C738" s="50">
        <v>46234</v>
      </c>
      <c r="D738" s="49">
        <f t="shared" si="22"/>
        <v>7</v>
      </c>
      <c r="E738" s="92" t="s">
        <v>169</v>
      </c>
      <c r="F738" s="49" t="s">
        <v>36</v>
      </c>
      <c r="G738" s="14" t="s">
        <v>1091</v>
      </c>
      <c r="H738" s="14" t="s">
        <v>215</v>
      </c>
      <c r="I738" s="76" t="s">
        <v>412</v>
      </c>
      <c r="J738" s="73">
        <v>0</v>
      </c>
      <c r="K738" s="74">
        <v>2800.22</v>
      </c>
      <c r="L738" s="72">
        <v>0</v>
      </c>
      <c r="M738" s="72">
        <v>0</v>
      </c>
      <c r="N738" s="72">
        <f>IF(AND(C738="",J738=0,K738=0,L738=0,M738=0),"",CADASTROS!$B$4+SUM($J$2:J738)+SUM($M$2:M738)-SUM($K$2:K738)-SUM($L$2:L738))</f>
        <v>586671.43000000296</v>
      </c>
      <c r="O738" s="72">
        <f>IF(A738="","",SUMIF(RATEIOS!$A$2:$A$3142,$A738,RATEIOS!$F$2:$F$3142))</f>
        <v>2800.22</v>
      </c>
      <c r="P738" s="15">
        <f t="shared" si="23"/>
        <v>0</v>
      </c>
      <c r="Q738" s="49" t="str">
        <f>IF(AND(J738=0,K738=0,L738=0,M738=0),"",IF(O738=0,"PENDENTE DE RATEIO",IF(ABS(P738)&gt;0.005,"DIVERGÊNCIA",IF(COUNTIF(RATEIOS!$A$2:$A$3142,$A738)-COUNTIFS(RATEIOS!$A$2:$A$3142,$A738,RATEIOS!$D$2:$D$3142,"&lt;&gt;")&gt;0,"NÃO CLASSIFICADO","RATEIO OK"))))</f>
        <v>RATEIO OK</v>
      </c>
      <c r="R738" s="49" t="s">
        <v>2553</v>
      </c>
      <c r="S738" s="14"/>
    </row>
    <row r="739" spans="1:19" ht="24.95" customHeight="1" x14ac:dyDescent="0.25">
      <c r="A739" s="49" t="s">
        <v>2232</v>
      </c>
      <c r="B739" s="98">
        <v>738</v>
      </c>
      <c r="C739" s="50">
        <v>46234</v>
      </c>
      <c r="D739" s="49">
        <f t="shared" si="22"/>
        <v>7</v>
      </c>
      <c r="E739" s="92" t="s">
        <v>169</v>
      </c>
      <c r="F739" s="49" t="s">
        <v>36</v>
      </c>
      <c r="G739" s="14" t="s">
        <v>1092</v>
      </c>
      <c r="H739" s="14" t="s">
        <v>217</v>
      </c>
      <c r="I739" s="76" t="s">
        <v>412</v>
      </c>
      <c r="J739" s="73">
        <v>0</v>
      </c>
      <c r="K739" s="74">
        <v>11119.94</v>
      </c>
      <c r="L739" s="72">
        <v>0</v>
      </c>
      <c r="M739" s="72">
        <v>0</v>
      </c>
      <c r="N739" s="72">
        <f>IF(AND(C739="",J739=0,K739=0,L739=0,M739=0),"",CADASTROS!$B$4+SUM($J$2:J739)+SUM($M$2:M739)-SUM($K$2:K739)-SUM($L$2:L739))</f>
        <v>575551.49000000302</v>
      </c>
      <c r="O739" s="72">
        <f>IF(A739="","",SUMIF(RATEIOS!$A$2:$A$3142,$A739,RATEIOS!$F$2:$F$3142))</f>
        <v>11119.94</v>
      </c>
      <c r="P739" s="15">
        <f t="shared" si="23"/>
        <v>0</v>
      </c>
      <c r="Q739" s="49" t="str">
        <f>IF(AND(J739=0,K739=0,L739=0,M739=0),"",IF(O739=0,"PENDENTE DE RATEIO",IF(ABS(P739)&gt;0.005,"DIVERGÊNCIA",IF(COUNTIF(RATEIOS!$A$2:$A$3142,$A739)-COUNTIFS(RATEIOS!$A$2:$A$3142,$A739,RATEIOS!$D$2:$D$3142,"&lt;&gt;")&gt;0,"NÃO CLASSIFICADO","RATEIO OK"))))</f>
        <v>RATEIO OK</v>
      </c>
      <c r="R739" s="49" t="s">
        <v>2553</v>
      </c>
      <c r="S739" s="14"/>
    </row>
    <row r="740" spans="1:19" ht="24.95" customHeight="1" x14ac:dyDescent="0.25">
      <c r="A740" s="49" t="s">
        <v>2233</v>
      </c>
      <c r="B740" s="98">
        <v>739</v>
      </c>
      <c r="C740" s="50">
        <v>46234</v>
      </c>
      <c r="D740" s="49">
        <f t="shared" si="22"/>
        <v>7</v>
      </c>
      <c r="E740" s="92" t="s">
        <v>118</v>
      </c>
      <c r="F740" s="49" t="s">
        <v>36</v>
      </c>
      <c r="G740" s="14" t="s">
        <v>1093</v>
      </c>
      <c r="H740" s="14" t="s">
        <v>252</v>
      </c>
      <c r="I740" s="76" t="s">
        <v>1094</v>
      </c>
      <c r="J740" s="73">
        <v>0</v>
      </c>
      <c r="K740" s="74">
        <v>19953.5</v>
      </c>
      <c r="L740" s="72">
        <v>0</v>
      </c>
      <c r="M740" s="72">
        <v>0</v>
      </c>
      <c r="N740" s="72">
        <f>IF(AND(C740="",J740=0,K740=0,L740=0,M740=0),"",CADASTROS!$B$4+SUM($J$2:J740)+SUM($M$2:M740)-SUM($K$2:K740)-SUM($L$2:L740))</f>
        <v>555597.99000000302</v>
      </c>
      <c r="O740" s="72">
        <f>IF(A740="","",SUMIF(RATEIOS!$A$2:$A$3142,$A740,RATEIOS!$F$2:$F$3142))</f>
        <v>19953.5</v>
      </c>
      <c r="P740" s="15">
        <f t="shared" si="23"/>
        <v>0</v>
      </c>
      <c r="Q740" s="49" t="str">
        <f>IF(AND(J740=0,K740=0,L740=0,M740=0),"",IF(O740=0,"PENDENTE DE RATEIO",IF(ABS(P740)&gt;0.005,"DIVERGÊNCIA",IF(COUNTIF(RATEIOS!$A$2:$A$3142,$A740)-COUNTIFS(RATEIOS!$A$2:$A$3142,$A740,RATEIOS!$D$2:$D$3142,"&lt;&gt;")&gt;0,"NÃO CLASSIFICADO","RATEIO OK"))))</f>
        <v>RATEIO OK</v>
      </c>
      <c r="R740" s="49" t="s">
        <v>2553</v>
      </c>
      <c r="S740" s="14"/>
    </row>
    <row r="741" spans="1:19" ht="24.95" customHeight="1" x14ac:dyDescent="0.25">
      <c r="A741" s="49" t="s">
        <v>2234</v>
      </c>
      <c r="B741" s="98">
        <v>740</v>
      </c>
      <c r="C741" s="50">
        <v>46234</v>
      </c>
      <c r="D741" s="49">
        <f t="shared" si="22"/>
        <v>7</v>
      </c>
      <c r="E741" s="92" t="s">
        <v>118</v>
      </c>
      <c r="F741" s="49" t="s">
        <v>36</v>
      </c>
      <c r="G741" s="14" t="s">
        <v>1095</v>
      </c>
      <c r="H741" s="14" t="s">
        <v>84</v>
      </c>
      <c r="I741" s="76" t="s">
        <v>412</v>
      </c>
      <c r="J741" s="73">
        <v>0</v>
      </c>
      <c r="K741" s="74">
        <v>18945.71</v>
      </c>
      <c r="L741" s="72">
        <v>0</v>
      </c>
      <c r="M741" s="72">
        <v>0</v>
      </c>
      <c r="N741" s="72">
        <f>IF(AND(C741="",J741=0,K741=0,L741=0,M741=0),"",CADASTROS!$B$4+SUM($J$2:J741)+SUM($M$2:M741)-SUM($K$2:K741)-SUM($L$2:L741))</f>
        <v>536652.28000000305</v>
      </c>
      <c r="O741" s="72">
        <f>IF(A741="","",SUMIF(RATEIOS!$A$2:$A$3142,$A741,RATEIOS!$F$2:$F$3142))</f>
        <v>18945.71</v>
      </c>
      <c r="P741" s="15">
        <f t="shared" si="23"/>
        <v>0</v>
      </c>
      <c r="Q741" s="49" t="str">
        <f>IF(AND(J741=0,K741=0,L741=0,M741=0),"",IF(O741=0,"PENDENTE DE RATEIO",IF(ABS(P741)&gt;0.005,"DIVERGÊNCIA",IF(COUNTIF(RATEIOS!$A$2:$A$3142,$A741)-COUNTIFS(RATEIOS!$A$2:$A$3142,$A741,RATEIOS!$D$2:$D$3142,"&lt;&gt;")&gt;0,"NÃO CLASSIFICADO","RATEIO OK"))))</f>
        <v>RATEIO OK</v>
      </c>
      <c r="R741" s="49" t="s">
        <v>2553</v>
      </c>
      <c r="S741" s="14"/>
    </row>
    <row r="742" spans="1:19" ht="24.95" customHeight="1" x14ac:dyDescent="0.25">
      <c r="A742" s="49" t="s">
        <v>2235</v>
      </c>
      <c r="B742" s="98">
        <v>741</v>
      </c>
      <c r="C742" s="50">
        <v>46237</v>
      </c>
      <c r="D742" s="49">
        <f t="shared" si="22"/>
        <v>8</v>
      </c>
      <c r="E742" s="92" t="s">
        <v>505</v>
      </c>
      <c r="F742" s="49" t="s">
        <v>36</v>
      </c>
      <c r="G742" s="14" t="s">
        <v>1096</v>
      </c>
      <c r="H742" s="14" t="s">
        <v>3041</v>
      </c>
      <c r="I742" s="76" t="s">
        <v>1097</v>
      </c>
      <c r="J742" s="73">
        <v>0</v>
      </c>
      <c r="K742" s="74">
        <v>5200</v>
      </c>
      <c r="L742" s="72">
        <v>0</v>
      </c>
      <c r="M742" s="72">
        <v>0</v>
      </c>
      <c r="N742" s="72">
        <f>IF(AND(C742="",J742=0,K742=0,L742=0,M742=0),"",CADASTROS!$B$4+SUM($J$2:J742)+SUM($M$2:M742)-SUM($K$2:K742)-SUM($L$2:L742))</f>
        <v>531452.28000000305</v>
      </c>
      <c r="O742" s="72">
        <f>IF(A742="","",SUMIF(RATEIOS!$A$2:$A$3142,$A742,RATEIOS!$F$2:$F$3142))</f>
        <v>5200</v>
      </c>
      <c r="P742" s="15">
        <f t="shared" si="23"/>
        <v>0</v>
      </c>
      <c r="Q742" s="49" t="str">
        <f>IF(AND(J742=0,K742=0,L742=0,M742=0),"",IF(O742=0,"PENDENTE DE RATEIO",IF(ABS(P742)&gt;0.005,"DIVERGÊNCIA",IF(COUNTIF(RATEIOS!$A$2:$A$3142,$A742)-COUNTIFS(RATEIOS!$A$2:$A$3142,$A742,RATEIOS!$D$2:$D$3142,"&lt;&gt;")&gt;0,"NÃO CLASSIFICADO","RATEIO OK"))))</f>
        <v>RATEIO OK</v>
      </c>
      <c r="R742" s="49" t="s">
        <v>2553</v>
      </c>
      <c r="S742" s="14"/>
    </row>
    <row r="743" spans="1:19" ht="24.95" customHeight="1" x14ac:dyDescent="0.25">
      <c r="A743" s="49" t="s">
        <v>2236</v>
      </c>
      <c r="B743" s="98">
        <v>742</v>
      </c>
      <c r="C743" s="50">
        <v>46237</v>
      </c>
      <c r="D743" s="49">
        <f t="shared" si="22"/>
        <v>8</v>
      </c>
      <c r="E743" s="92" t="s">
        <v>287</v>
      </c>
      <c r="F743" s="49" t="s">
        <v>36</v>
      </c>
      <c r="G743" s="14" t="s">
        <v>895</v>
      </c>
      <c r="H743" s="14" t="s">
        <v>712</v>
      </c>
      <c r="I743" s="76" t="s">
        <v>412</v>
      </c>
      <c r="J743" s="73">
        <v>0</v>
      </c>
      <c r="K743" s="74">
        <v>8000</v>
      </c>
      <c r="L743" s="72">
        <v>0</v>
      </c>
      <c r="M743" s="72">
        <v>0</v>
      </c>
      <c r="N743" s="72">
        <f>IF(AND(C743="",J743=0,K743=0,L743=0,M743=0),"",CADASTROS!$B$4+SUM($J$2:J743)+SUM($M$2:M743)-SUM($K$2:K743)-SUM($L$2:L743))</f>
        <v>523452.28000000305</v>
      </c>
      <c r="O743" s="72">
        <f>IF(A743="","",SUMIF(RATEIOS!$A$2:$A$3142,$A743,RATEIOS!$F$2:$F$3142))</f>
        <v>8000</v>
      </c>
      <c r="P743" s="15">
        <f t="shared" si="23"/>
        <v>0</v>
      </c>
      <c r="Q743" s="49" t="str">
        <f>IF(AND(J743=0,K743=0,L743=0,M743=0),"",IF(O743=0,"PENDENTE DE RATEIO",IF(ABS(P743)&gt;0.005,"DIVERGÊNCIA",IF(COUNTIF(RATEIOS!$A$2:$A$3142,$A743)-COUNTIFS(RATEIOS!$A$2:$A$3142,$A743,RATEIOS!$D$2:$D$3142,"&lt;&gt;")&gt;0,"NÃO CLASSIFICADO","RATEIO OK"))))</f>
        <v>RATEIO OK</v>
      </c>
      <c r="R743" s="49" t="s">
        <v>2553</v>
      </c>
      <c r="S743" s="14" t="s">
        <v>1098</v>
      </c>
    </row>
    <row r="744" spans="1:19" ht="24.95" customHeight="1" x14ac:dyDescent="0.25">
      <c r="A744" s="49" t="s">
        <v>2237</v>
      </c>
      <c r="B744" s="98">
        <v>743</v>
      </c>
      <c r="C744" s="50">
        <v>46237</v>
      </c>
      <c r="D744" s="49">
        <f t="shared" si="22"/>
        <v>8</v>
      </c>
      <c r="E744" s="92" t="s">
        <v>287</v>
      </c>
      <c r="F744" s="49" t="s">
        <v>36</v>
      </c>
      <c r="G744" s="14" t="s">
        <v>896</v>
      </c>
      <c r="H744" s="14" t="s">
        <v>703</v>
      </c>
      <c r="I744" s="76" t="s">
        <v>412</v>
      </c>
      <c r="J744" s="73">
        <v>0</v>
      </c>
      <c r="K744" s="74">
        <v>9621</v>
      </c>
      <c r="L744" s="72">
        <v>0</v>
      </c>
      <c r="M744" s="72">
        <v>0</v>
      </c>
      <c r="N744" s="72">
        <f>IF(AND(C744="",J744=0,K744=0,L744=0,M744=0),"",CADASTROS!$B$4+SUM($J$2:J744)+SUM($M$2:M744)-SUM($K$2:K744)-SUM($L$2:L744))</f>
        <v>513831.28000000305</v>
      </c>
      <c r="O744" s="72">
        <f>IF(A744="","",SUMIF(RATEIOS!$A$2:$A$3142,$A744,RATEIOS!$F$2:$F$3142))</f>
        <v>9621</v>
      </c>
      <c r="P744" s="15">
        <f t="shared" si="23"/>
        <v>0</v>
      </c>
      <c r="Q744" s="49" t="str">
        <f>IF(AND(J744=0,K744=0,L744=0,M744=0),"",IF(O744=0,"PENDENTE DE RATEIO",IF(ABS(P744)&gt;0.005,"DIVERGÊNCIA",IF(COUNTIF(RATEIOS!$A$2:$A$3142,$A744)-COUNTIFS(RATEIOS!$A$2:$A$3142,$A744,RATEIOS!$D$2:$D$3142,"&lt;&gt;")&gt;0,"NÃO CLASSIFICADO","RATEIO OK"))))</f>
        <v>RATEIO OK</v>
      </c>
      <c r="R744" s="49" t="s">
        <v>2553</v>
      </c>
      <c r="S744" s="14" t="s">
        <v>1099</v>
      </c>
    </row>
    <row r="745" spans="1:19" ht="24.95" customHeight="1" x14ac:dyDescent="0.25">
      <c r="A745" s="49" t="s">
        <v>2238</v>
      </c>
      <c r="B745" s="98">
        <v>744</v>
      </c>
      <c r="C745" s="50">
        <v>46237</v>
      </c>
      <c r="D745" s="49">
        <f t="shared" si="22"/>
        <v>8</v>
      </c>
      <c r="E745" s="92" t="s">
        <v>287</v>
      </c>
      <c r="F745" s="49" t="s">
        <v>36</v>
      </c>
      <c r="G745" s="14" t="s">
        <v>1100</v>
      </c>
      <c r="H745" s="14" t="s">
        <v>417</v>
      </c>
      <c r="I745" s="76" t="s">
        <v>412</v>
      </c>
      <c r="J745" s="73">
        <v>0</v>
      </c>
      <c r="K745" s="74">
        <v>18000</v>
      </c>
      <c r="L745" s="72">
        <v>0</v>
      </c>
      <c r="M745" s="72">
        <v>0</v>
      </c>
      <c r="N745" s="72">
        <f>IF(AND(C745="",J745=0,K745=0,L745=0,M745=0),"",CADASTROS!$B$4+SUM($J$2:J745)+SUM($M$2:M745)-SUM($K$2:K745)-SUM($L$2:L745))</f>
        <v>495831.28000000305</v>
      </c>
      <c r="O745" s="72">
        <f>IF(A745="","",SUMIF(RATEIOS!$A$2:$A$3142,$A745,RATEIOS!$F$2:$F$3142))</f>
        <v>18000</v>
      </c>
      <c r="P745" s="15">
        <f t="shared" si="23"/>
        <v>0</v>
      </c>
      <c r="Q745" s="49" t="str">
        <f>IF(AND(J745=0,K745=0,L745=0,M745=0),"",IF(O745=0,"PENDENTE DE RATEIO",IF(ABS(P745)&gt;0.005,"DIVERGÊNCIA",IF(COUNTIF(RATEIOS!$A$2:$A$3142,$A745)-COUNTIFS(RATEIOS!$A$2:$A$3142,$A745,RATEIOS!$D$2:$D$3142,"&lt;&gt;")&gt;0,"NÃO CLASSIFICADO","RATEIO OK"))))</f>
        <v>RATEIO OK</v>
      </c>
      <c r="R745" s="49" t="s">
        <v>2553</v>
      </c>
      <c r="S745" s="14" t="s">
        <v>1101</v>
      </c>
    </row>
    <row r="746" spans="1:19" ht="24.95" customHeight="1" x14ac:dyDescent="0.25">
      <c r="A746" s="49" t="s">
        <v>2239</v>
      </c>
      <c r="B746" s="98">
        <v>745</v>
      </c>
      <c r="C746" s="50">
        <v>46237</v>
      </c>
      <c r="D746" s="49">
        <f t="shared" si="22"/>
        <v>8</v>
      </c>
      <c r="E746" s="92" t="s">
        <v>287</v>
      </c>
      <c r="F746" s="49" t="s">
        <v>36</v>
      </c>
      <c r="G746" s="14" t="s">
        <v>1102</v>
      </c>
      <c r="H746" s="14" t="s">
        <v>411</v>
      </c>
      <c r="I746" s="76" t="s">
        <v>412</v>
      </c>
      <c r="J746" s="73">
        <v>0</v>
      </c>
      <c r="K746" s="74">
        <v>12000</v>
      </c>
      <c r="L746" s="72">
        <v>0</v>
      </c>
      <c r="M746" s="72">
        <v>0</v>
      </c>
      <c r="N746" s="72">
        <f>IF(AND(C746="",J746=0,K746=0,L746=0,M746=0),"",CADASTROS!$B$4+SUM($J$2:J746)+SUM($M$2:M746)-SUM($K$2:K746)-SUM($L$2:L746))</f>
        <v>483831.28000000305</v>
      </c>
      <c r="O746" s="72">
        <f>IF(A746="","",SUMIF(RATEIOS!$A$2:$A$3142,$A746,RATEIOS!$F$2:$F$3142))</f>
        <v>12000</v>
      </c>
      <c r="P746" s="15">
        <f t="shared" si="23"/>
        <v>0</v>
      </c>
      <c r="Q746" s="49" t="str">
        <f>IF(AND(J746=0,K746=0,L746=0,M746=0),"",IF(O746=0,"PENDENTE DE RATEIO",IF(ABS(P746)&gt;0.005,"DIVERGÊNCIA",IF(COUNTIF(RATEIOS!$A$2:$A$3142,$A746)-COUNTIFS(RATEIOS!$A$2:$A$3142,$A746,RATEIOS!$D$2:$D$3142,"&lt;&gt;")&gt;0,"NÃO CLASSIFICADO","RATEIO OK"))))</f>
        <v>RATEIO OK</v>
      </c>
      <c r="R746" s="49" t="s">
        <v>2553</v>
      </c>
      <c r="S746" s="14" t="s">
        <v>1103</v>
      </c>
    </row>
    <row r="747" spans="1:19" ht="24.95" customHeight="1" x14ac:dyDescent="0.25">
      <c r="A747" s="49" t="s">
        <v>2240</v>
      </c>
      <c r="B747" s="98">
        <v>746</v>
      </c>
      <c r="C747" s="50">
        <v>46237</v>
      </c>
      <c r="D747" s="49">
        <f t="shared" si="22"/>
        <v>8</v>
      </c>
      <c r="E747" s="92" t="s">
        <v>287</v>
      </c>
      <c r="F747" s="49" t="s">
        <v>36</v>
      </c>
      <c r="G747" s="14" t="s">
        <v>900</v>
      </c>
      <c r="H747" s="14" t="s">
        <v>755</v>
      </c>
      <c r="I747" s="76" t="s">
        <v>412</v>
      </c>
      <c r="J747" s="73">
        <v>0</v>
      </c>
      <c r="K747" s="74">
        <v>4000</v>
      </c>
      <c r="L747" s="72">
        <v>0</v>
      </c>
      <c r="M747" s="72">
        <v>0</v>
      </c>
      <c r="N747" s="72">
        <f>IF(AND(C747="",J747=0,K747=0,L747=0,M747=0),"",CADASTROS!$B$4+SUM($J$2:J747)+SUM($M$2:M747)-SUM($K$2:K747)-SUM($L$2:L747))</f>
        <v>479831.28000000305</v>
      </c>
      <c r="O747" s="72">
        <f>IF(A747="","",SUMIF(RATEIOS!$A$2:$A$3142,$A747,RATEIOS!$F$2:$F$3142))</f>
        <v>4000</v>
      </c>
      <c r="P747" s="15">
        <f t="shared" si="23"/>
        <v>0</v>
      </c>
      <c r="Q747" s="49" t="str">
        <f>IF(AND(J747=0,K747=0,L747=0,M747=0),"",IF(O747=0,"PENDENTE DE RATEIO",IF(ABS(P747)&gt;0.005,"DIVERGÊNCIA",IF(COUNTIF(RATEIOS!$A$2:$A$3142,$A747)-COUNTIFS(RATEIOS!$A$2:$A$3142,$A747,RATEIOS!$D$2:$D$3142,"&lt;&gt;")&gt;0,"NÃO CLASSIFICADO","RATEIO OK"))))</f>
        <v>RATEIO OK</v>
      </c>
      <c r="R747" s="49" t="s">
        <v>2553</v>
      </c>
      <c r="S747" s="14" t="s">
        <v>1104</v>
      </c>
    </row>
    <row r="748" spans="1:19" ht="24.95" customHeight="1" x14ac:dyDescent="0.25">
      <c r="A748" s="49" t="s">
        <v>2241</v>
      </c>
      <c r="B748" s="98">
        <v>747</v>
      </c>
      <c r="C748" s="50">
        <v>46237</v>
      </c>
      <c r="D748" s="49">
        <f t="shared" si="22"/>
        <v>8</v>
      </c>
      <c r="E748" s="92" t="s">
        <v>287</v>
      </c>
      <c r="F748" s="49" t="s">
        <v>36</v>
      </c>
      <c r="G748" s="14" t="s">
        <v>1105</v>
      </c>
      <c r="H748" s="14" t="s">
        <v>743</v>
      </c>
      <c r="I748" s="76" t="s">
        <v>412</v>
      </c>
      <c r="J748" s="73">
        <v>0</v>
      </c>
      <c r="K748" s="74">
        <v>6500</v>
      </c>
      <c r="L748" s="72">
        <v>0</v>
      </c>
      <c r="M748" s="72">
        <v>0</v>
      </c>
      <c r="N748" s="72">
        <f>IF(AND(C748="",J748=0,K748=0,L748=0,M748=0),"",CADASTROS!$B$4+SUM($J$2:J748)+SUM($M$2:M748)-SUM($K$2:K748)-SUM($L$2:L748))</f>
        <v>473331.28000000305</v>
      </c>
      <c r="O748" s="72">
        <f>IF(A748="","",SUMIF(RATEIOS!$A$2:$A$3142,$A748,RATEIOS!$F$2:$F$3142))</f>
        <v>6500</v>
      </c>
      <c r="P748" s="15">
        <f t="shared" si="23"/>
        <v>0</v>
      </c>
      <c r="Q748" s="49" t="str">
        <f>IF(AND(J748=0,K748=0,L748=0,M748=0),"",IF(O748=0,"PENDENTE DE RATEIO",IF(ABS(P748)&gt;0.005,"DIVERGÊNCIA",IF(COUNTIF(RATEIOS!$A$2:$A$3142,$A748)-COUNTIFS(RATEIOS!$A$2:$A$3142,$A748,RATEIOS!$D$2:$D$3142,"&lt;&gt;")&gt;0,"NÃO CLASSIFICADO","RATEIO OK"))))</f>
        <v>RATEIO OK</v>
      </c>
      <c r="R748" s="49" t="s">
        <v>2553</v>
      </c>
      <c r="S748" s="14" t="s">
        <v>1106</v>
      </c>
    </row>
    <row r="749" spans="1:19" ht="24.95" customHeight="1" x14ac:dyDescent="0.25">
      <c r="A749" s="49" t="s">
        <v>2242</v>
      </c>
      <c r="B749" s="98">
        <v>748</v>
      </c>
      <c r="C749" s="50">
        <v>46237</v>
      </c>
      <c r="D749" s="49">
        <f t="shared" si="22"/>
        <v>8</v>
      </c>
      <c r="E749" s="92" t="s">
        <v>287</v>
      </c>
      <c r="F749" s="49" t="s">
        <v>36</v>
      </c>
      <c r="G749" s="14" t="s">
        <v>1107</v>
      </c>
      <c r="H749" s="14" t="s">
        <v>337</v>
      </c>
      <c r="I749" s="76" t="s">
        <v>412</v>
      </c>
      <c r="J749" s="73">
        <v>0</v>
      </c>
      <c r="K749" s="74">
        <v>9000</v>
      </c>
      <c r="L749" s="72">
        <v>0</v>
      </c>
      <c r="M749" s="72">
        <v>0</v>
      </c>
      <c r="N749" s="72">
        <f>IF(AND(C749="",J749=0,K749=0,L749=0,M749=0),"",CADASTROS!$B$4+SUM($J$2:J749)+SUM($M$2:M749)-SUM($K$2:K749)-SUM($L$2:L749))</f>
        <v>464331.28000000305</v>
      </c>
      <c r="O749" s="72">
        <f>IF(A749="","",SUMIF(RATEIOS!$A$2:$A$3142,$A749,RATEIOS!$F$2:$F$3142))</f>
        <v>9000</v>
      </c>
      <c r="P749" s="15">
        <f t="shared" si="23"/>
        <v>0</v>
      </c>
      <c r="Q749" s="49" t="str">
        <f>IF(AND(J749=0,K749=0,L749=0,M749=0),"",IF(O749=0,"PENDENTE DE RATEIO",IF(ABS(P749)&gt;0.005,"DIVERGÊNCIA",IF(COUNTIF(RATEIOS!$A$2:$A$3142,$A749)-COUNTIFS(RATEIOS!$A$2:$A$3142,$A749,RATEIOS!$D$2:$D$3142,"&lt;&gt;")&gt;0,"NÃO CLASSIFICADO","RATEIO OK"))))</f>
        <v>RATEIO OK</v>
      </c>
      <c r="R749" s="49" t="s">
        <v>2553</v>
      </c>
      <c r="S749" s="14" t="s">
        <v>1108</v>
      </c>
    </row>
    <row r="750" spans="1:19" ht="24.95" customHeight="1" x14ac:dyDescent="0.25">
      <c r="A750" s="49" t="s">
        <v>2243</v>
      </c>
      <c r="B750" s="98">
        <v>749</v>
      </c>
      <c r="C750" s="50">
        <v>46237</v>
      </c>
      <c r="D750" s="49">
        <f t="shared" si="22"/>
        <v>8</v>
      </c>
      <c r="E750" s="92" t="s">
        <v>287</v>
      </c>
      <c r="F750" s="49" t="s">
        <v>36</v>
      </c>
      <c r="G750" s="14" t="s">
        <v>1109</v>
      </c>
      <c r="H750" s="14" t="s">
        <v>349</v>
      </c>
      <c r="I750" s="76" t="s">
        <v>412</v>
      </c>
      <c r="J750" s="73">
        <v>0</v>
      </c>
      <c r="K750" s="74">
        <v>21242</v>
      </c>
      <c r="L750" s="72">
        <v>0</v>
      </c>
      <c r="M750" s="72">
        <v>0</v>
      </c>
      <c r="N750" s="72">
        <f>IF(AND(C750="",J750=0,K750=0,L750=0,M750=0),"",CADASTROS!$B$4+SUM($J$2:J750)+SUM($M$2:M750)-SUM($K$2:K750)-SUM($L$2:L750))</f>
        <v>443089.28000000305</v>
      </c>
      <c r="O750" s="72">
        <f>IF(A750="","",SUMIF(RATEIOS!$A$2:$A$3142,$A750,RATEIOS!$F$2:$F$3142))</f>
        <v>21242</v>
      </c>
      <c r="P750" s="15">
        <f t="shared" si="23"/>
        <v>0</v>
      </c>
      <c r="Q750" s="49" t="str">
        <f>IF(AND(J750=0,K750=0,L750=0,M750=0),"",IF(O750=0,"PENDENTE DE RATEIO",IF(ABS(P750)&gt;0.005,"DIVERGÊNCIA",IF(COUNTIF(RATEIOS!$A$2:$A$3142,$A750)-COUNTIFS(RATEIOS!$A$2:$A$3142,$A750,RATEIOS!$D$2:$D$3142,"&lt;&gt;")&gt;0,"NÃO CLASSIFICADO","RATEIO OK"))))</f>
        <v>RATEIO OK</v>
      </c>
      <c r="R750" s="49" t="s">
        <v>2553</v>
      </c>
      <c r="S750" s="14" t="s">
        <v>1110</v>
      </c>
    </row>
    <row r="751" spans="1:19" ht="24.95" customHeight="1" x14ac:dyDescent="0.25">
      <c r="A751" s="49" t="s">
        <v>2244</v>
      </c>
      <c r="B751" s="98">
        <v>750</v>
      </c>
      <c r="C751" s="50">
        <v>46237</v>
      </c>
      <c r="D751" s="49">
        <f t="shared" si="22"/>
        <v>8</v>
      </c>
      <c r="E751" s="92" t="s">
        <v>287</v>
      </c>
      <c r="F751" s="49" t="s">
        <v>36</v>
      </c>
      <c r="G751" s="14" t="s">
        <v>904</v>
      </c>
      <c r="H751" s="14" t="s">
        <v>758</v>
      </c>
      <c r="I751" s="76" t="s">
        <v>412</v>
      </c>
      <c r="J751" s="73">
        <v>0</v>
      </c>
      <c r="K751" s="74">
        <v>4000</v>
      </c>
      <c r="L751" s="72">
        <v>0</v>
      </c>
      <c r="M751" s="72">
        <v>0</v>
      </c>
      <c r="N751" s="72">
        <f>IF(AND(C751="",J751=0,K751=0,L751=0,M751=0),"",CADASTROS!$B$4+SUM($J$2:J751)+SUM($M$2:M751)-SUM($K$2:K751)-SUM($L$2:L751))</f>
        <v>439089.28000000305</v>
      </c>
      <c r="O751" s="72">
        <f>IF(A751="","",SUMIF(RATEIOS!$A$2:$A$3142,$A751,RATEIOS!$F$2:$F$3142))</f>
        <v>4000</v>
      </c>
      <c r="P751" s="15">
        <f t="shared" si="23"/>
        <v>0</v>
      </c>
      <c r="Q751" s="49" t="str">
        <f>IF(AND(J751=0,K751=0,L751=0,M751=0),"",IF(O751=0,"PENDENTE DE RATEIO",IF(ABS(P751)&gt;0.005,"DIVERGÊNCIA",IF(COUNTIF(RATEIOS!$A$2:$A$3142,$A751)-COUNTIFS(RATEIOS!$A$2:$A$3142,$A751,RATEIOS!$D$2:$D$3142,"&lt;&gt;")&gt;0,"NÃO CLASSIFICADO","RATEIO OK"))))</f>
        <v>RATEIO OK</v>
      </c>
      <c r="R751" s="49" t="s">
        <v>2553</v>
      </c>
      <c r="S751" s="14" t="s">
        <v>1104</v>
      </c>
    </row>
    <row r="752" spans="1:19" ht="24.95" customHeight="1" x14ac:dyDescent="0.25">
      <c r="A752" s="49" t="s">
        <v>2245</v>
      </c>
      <c r="B752" s="98">
        <v>751</v>
      </c>
      <c r="C752" s="50">
        <v>46237</v>
      </c>
      <c r="D752" s="49">
        <f t="shared" si="22"/>
        <v>8</v>
      </c>
      <c r="E752" s="92" t="s">
        <v>287</v>
      </c>
      <c r="F752" s="49" t="s">
        <v>36</v>
      </c>
      <c r="G752" s="14" t="s">
        <v>3016</v>
      </c>
      <c r="H752" s="14" t="s">
        <v>159</v>
      </c>
      <c r="I752" s="76" t="s">
        <v>1112</v>
      </c>
      <c r="J752" s="73">
        <v>0</v>
      </c>
      <c r="K752" s="74">
        <v>5600</v>
      </c>
      <c r="L752" s="72">
        <v>0</v>
      </c>
      <c r="M752" s="72">
        <v>0</v>
      </c>
      <c r="N752" s="72">
        <f>IF(AND(C752="",J752=0,K752=0,L752=0,M752=0),"",CADASTROS!$B$4+SUM($J$2:J752)+SUM($M$2:M752)-SUM($K$2:K752)-SUM($L$2:L752))</f>
        <v>433489.28000000305</v>
      </c>
      <c r="O752" s="72">
        <f>IF(A752="","",SUMIF(RATEIOS!$A$2:$A$3142,$A752,RATEIOS!$F$2:$F$3142))</f>
        <v>5600</v>
      </c>
      <c r="P752" s="15">
        <f t="shared" si="23"/>
        <v>0</v>
      </c>
      <c r="Q752" s="49" t="str">
        <f>IF(AND(J752=0,K752=0,L752=0,M752=0),"",IF(O752=0,"PENDENTE DE RATEIO",IF(ABS(P752)&gt;0.005,"DIVERGÊNCIA",IF(COUNTIF(RATEIOS!$A$2:$A$3142,$A752)-COUNTIFS(RATEIOS!$A$2:$A$3142,$A752,RATEIOS!$D$2:$D$3142,"&lt;&gt;")&gt;0,"NÃO CLASSIFICADO","RATEIO OK"))))</f>
        <v>RATEIO OK</v>
      </c>
      <c r="R752" s="49" t="s">
        <v>2553</v>
      </c>
      <c r="S752" s="14" t="s">
        <v>3018</v>
      </c>
    </row>
    <row r="753" spans="1:19" ht="24.95" customHeight="1" x14ac:dyDescent="0.25">
      <c r="A753" s="49" t="s">
        <v>2246</v>
      </c>
      <c r="B753" s="98">
        <v>752</v>
      </c>
      <c r="C753" s="50">
        <v>46237</v>
      </c>
      <c r="D753" s="49">
        <f t="shared" si="22"/>
        <v>8</v>
      </c>
      <c r="E753" s="92" t="s">
        <v>287</v>
      </c>
      <c r="F753" s="49" t="s">
        <v>36</v>
      </c>
      <c r="G753" s="14" t="s">
        <v>1113</v>
      </c>
      <c r="H753" s="14" t="s">
        <v>2943</v>
      </c>
      <c r="I753" s="76" t="s">
        <v>2938</v>
      </c>
      <c r="J753" s="73">
        <v>0</v>
      </c>
      <c r="K753" s="74">
        <v>860</v>
      </c>
      <c r="L753" s="72">
        <v>0</v>
      </c>
      <c r="M753" s="72">
        <v>0</v>
      </c>
      <c r="N753" s="72">
        <f>IF(AND(C753="",J753=0,K753=0,L753=0,M753=0),"",CADASTROS!$B$4+SUM($J$2:J753)+SUM($M$2:M753)-SUM($K$2:K753)-SUM($L$2:L753))</f>
        <v>432629.28000000305</v>
      </c>
      <c r="O753" s="72">
        <f>IF(A753="","",SUMIF(RATEIOS!$A$2:$A$3142,$A753,RATEIOS!$F$2:$F$3142))</f>
        <v>860</v>
      </c>
      <c r="P753" s="15">
        <f t="shared" si="23"/>
        <v>0</v>
      </c>
      <c r="Q753" s="49" t="str">
        <f>IF(AND(J753=0,K753=0,L753=0,M753=0),"",IF(O753=0,"PENDENTE DE RATEIO",IF(ABS(P753)&gt;0.005,"DIVERGÊNCIA",IF(COUNTIF(RATEIOS!$A$2:$A$3142,$A753)-COUNTIFS(RATEIOS!$A$2:$A$3142,$A753,RATEIOS!$D$2:$D$3142,"&lt;&gt;")&gt;0,"NÃO CLASSIFICADO","RATEIO OK"))))</f>
        <v>RATEIO OK</v>
      </c>
      <c r="R753" s="49" t="s">
        <v>2553</v>
      </c>
      <c r="S753" s="14"/>
    </row>
    <row r="754" spans="1:19" ht="24.95" customHeight="1" x14ac:dyDescent="0.25">
      <c r="A754" s="49" t="s">
        <v>2247</v>
      </c>
      <c r="B754" s="98">
        <v>753</v>
      </c>
      <c r="C754" s="50">
        <v>46237</v>
      </c>
      <c r="D754" s="49">
        <f t="shared" si="22"/>
        <v>8</v>
      </c>
      <c r="E754" s="92" t="s">
        <v>287</v>
      </c>
      <c r="F754" s="49" t="s">
        <v>36</v>
      </c>
      <c r="G754" s="14" t="s">
        <v>1114</v>
      </c>
      <c r="H754" s="14" t="s">
        <v>414</v>
      </c>
      <c r="I754" s="76" t="s">
        <v>1115</v>
      </c>
      <c r="J754" s="73">
        <v>0</v>
      </c>
      <c r="K754" s="74">
        <v>56</v>
      </c>
      <c r="L754" s="72">
        <v>0</v>
      </c>
      <c r="M754" s="72">
        <v>0</v>
      </c>
      <c r="N754" s="72">
        <f>IF(AND(C754="",J754=0,K754=0,L754=0,M754=0),"",CADASTROS!$B$4+SUM($J$2:J754)+SUM($M$2:M754)-SUM($K$2:K754)-SUM($L$2:L754))</f>
        <v>432573.28000000305</v>
      </c>
      <c r="O754" s="72">
        <f>IF(A754="","",SUMIF(RATEIOS!$A$2:$A$3142,$A754,RATEIOS!$F$2:$F$3142))</f>
        <v>56</v>
      </c>
      <c r="P754" s="15">
        <f t="shared" si="23"/>
        <v>0</v>
      </c>
      <c r="Q754" s="49" t="str">
        <f>IF(AND(J754=0,K754=0,L754=0,M754=0),"",IF(O754=0,"PENDENTE DE RATEIO",IF(ABS(P754)&gt;0.005,"DIVERGÊNCIA",IF(COUNTIF(RATEIOS!$A$2:$A$3142,$A754)-COUNTIFS(RATEIOS!$A$2:$A$3142,$A754,RATEIOS!$D$2:$D$3142,"&lt;&gt;")&gt;0,"NÃO CLASSIFICADO","RATEIO OK"))))</f>
        <v>RATEIO OK</v>
      </c>
      <c r="R754" s="49" t="s">
        <v>2553</v>
      </c>
      <c r="S754" s="14"/>
    </row>
    <row r="755" spans="1:19" ht="24.95" customHeight="1" x14ac:dyDescent="0.25">
      <c r="A755" s="49" t="s">
        <v>2248</v>
      </c>
      <c r="B755" s="98">
        <v>754</v>
      </c>
      <c r="C755" s="50">
        <v>46237</v>
      </c>
      <c r="D755" s="49">
        <f t="shared" si="22"/>
        <v>8</v>
      </c>
      <c r="E755" s="92" t="s">
        <v>287</v>
      </c>
      <c r="F755" s="49" t="s">
        <v>36</v>
      </c>
      <c r="G755" s="14" t="s">
        <v>1116</v>
      </c>
      <c r="H755" s="14" t="s">
        <v>414</v>
      </c>
      <c r="I755" s="76" t="s">
        <v>1117</v>
      </c>
      <c r="J755" s="73">
        <v>0</v>
      </c>
      <c r="K755" s="74">
        <v>14196.55</v>
      </c>
      <c r="L755" s="72">
        <v>0</v>
      </c>
      <c r="M755" s="72">
        <v>0</v>
      </c>
      <c r="N755" s="72">
        <f>IF(AND(C755="",J755=0,K755=0,L755=0,M755=0),"",CADASTROS!$B$4+SUM($J$2:J755)+SUM($M$2:M755)-SUM($K$2:K755)-SUM($L$2:L755))</f>
        <v>418376.73000000324</v>
      </c>
      <c r="O755" s="72">
        <f>IF(A755="","",SUMIF(RATEIOS!$A$2:$A$3142,$A755,RATEIOS!$F$2:$F$3142))</f>
        <v>14196.55</v>
      </c>
      <c r="P755" s="15">
        <f t="shared" si="23"/>
        <v>0</v>
      </c>
      <c r="Q755" s="49" t="str">
        <f>IF(AND(J755=0,K755=0,L755=0,M755=0),"",IF(O755=0,"PENDENTE DE RATEIO",IF(ABS(P755)&gt;0.005,"DIVERGÊNCIA",IF(COUNTIF(RATEIOS!$A$2:$A$3142,$A755)-COUNTIFS(RATEIOS!$A$2:$A$3142,$A755,RATEIOS!$D$2:$D$3142,"&lt;&gt;")&gt;0,"NÃO CLASSIFICADO","RATEIO OK"))))</f>
        <v>RATEIO OK</v>
      </c>
      <c r="R755" s="49" t="s">
        <v>2553</v>
      </c>
      <c r="S755" s="14"/>
    </row>
    <row r="756" spans="1:19" ht="24.95" customHeight="1" x14ac:dyDescent="0.25">
      <c r="A756" s="49" t="s">
        <v>2249</v>
      </c>
      <c r="B756" s="98">
        <v>755</v>
      </c>
      <c r="C756" s="50">
        <v>46237</v>
      </c>
      <c r="D756" s="49">
        <f t="shared" si="22"/>
        <v>8</v>
      </c>
      <c r="E756" s="92" t="s">
        <v>287</v>
      </c>
      <c r="F756" s="49" t="s">
        <v>36</v>
      </c>
      <c r="G756" s="14" t="s">
        <v>1118</v>
      </c>
      <c r="H756" s="14" t="s">
        <v>1119</v>
      </c>
      <c r="I756" s="76" t="s">
        <v>1120</v>
      </c>
      <c r="J756" s="73">
        <v>0</v>
      </c>
      <c r="K756" s="74">
        <v>150</v>
      </c>
      <c r="L756" s="72">
        <v>0</v>
      </c>
      <c r="M756" s="72">
        <v>0</v>
      </c>
      <c r="N756" s="72">
        <f>IF(AND(C756="",J756=0,K756=0,L756=0,M756=0),"",CADASTROS!$B$4+SUM($J$2:J756)+SUM($M$2:M756)-SUM($K$2:K756)-SUM($L$2:L756))</f>
        <v>418226.73000000324</v>
      </c>
      <c r="O756" s="72">
        <f>IF(A756="","",SUMIF(RATEIOS!$A$2:$A$3142,$A756,RATEIOS!$F$2:$F$3142))</f>
        <v>150</v>
      </c>
      <c r="P756" s="15">
        <f t="shared" si="23"/>
        <v>0</v>
      </c>
      <c r="Q756" s="49" t="str">
        <f>IF(AND(J756=0,K756=0,L756=0,M756=0),"",IF(O756=0,"PENDENTE DE RATEIO",IF(ABS(P756)&gt;0.005,"DIVERGÊNCIA",IF(COUNTIF(RATEIOS!$A$2:$A$3142,$A756)-COUNTIFS(RATEIOS!$A$2:$A$3142,$A756,RATEIOS!$D$2:$D$3142,"&lt;&gt;")&gt;0,"NÃO CLASSIFICADO","RATEIO OK"))))</f>
        <v>RATEIO OK</v>
      </c>
      <c r="R756" s="49" t="s">
        <v>2553</v>
      </c>
      <c r="S756" s="14"/>
    </row>
    <row r="757" spans="1:19" ht="24.95" customHeight="1" x14ac:dyDescent="0.25">
      <c r="A757" s="49" t="s">
        <v>2250</v>
      </c>
      <c r="B757" s="98">
        <v>756</v>
      </c>
      <c r="C757" s="50">
        <v>46237</v>
      </c>
      <c r="D757" s="49">
        <f t="shared" si="22"/>
        <v>8</v>
      </c>
      <c r="E757" s="92" t="s">
        <v>287</v>
      </c>
      <c r="F757" s="49" t="s">
        <v>36</v>
      </c>
      <c r="G757" s="14" t="s">
        <v>1121</v>
      </c>
      <c r="H757" s="14" t="s">
        <v>3033</v>
      </c>
      <c r="I757" s="76" t="s">
        <v>1123</v>
      </c>
      <c r="J757" s="73">
        <v>0</v>
      </c>
      <c r="K757" s="74">
        <v>1246</v>
      </c>
      <c r="L757" s="72">
        <v>0</v>
      </c>
      <c r="M757" s="72">
        <v>0</v>
      </c>
      <c r="N757" s="72">
        <f>IF(AND(C757="",J757=0,K757=0,L757=0,M757=0),"",CADASTROS!$B$4+SUM($J$2:J757)+SUM($M$2:M757)-SUM($K$2:K757)-SUM($L$2:L757))</f>
        <v>416980.73000000324</v>
      </c>
      <c r="O757" s="72">
        <f>IF(A757="","",SUMIF(RATEIOS!$A$2:$A$3142,$A757,RATEIOS!$F$2:$F$3142))</f>
        <v>1246</v>
      </c>
      <c r="P757" s="15">
        <f t="shared" si="23"/>
        <v>0</v>
      </c>
      <c r="Q757" s="49" t="str">
        <f>IF(AND(J757=0,K757=0,L757=0,M757=0),"",IF(O757=0,"PENDENTE DE RATEIO",IF(ABS(P757)&gt;0.005,"DIVERGÊNCIA",IF(COUNTIF(RATEIOS!$A$2:$A$3142,$A757)-COUNTIFS(RATEIOS!$A$2:$A$3142,$A757,RATEIOS!$D$2:$D$3142,"&lt;&gt;")&gt;0,"NÃO CLASSIFICADO","RATEIO OK"))))</f>
        <v>RATEIO OK</v>
      </c>
      <c r="R757" s="49" t="s">
        <v>2553</v>
      </c>
      <c r="S757" s="14"/>
    </row>
    <row r="758" spans="1:19" ht="24.95" customHeight="1" x14ac:dyDescent="0.25">
      <c r="A758" s="49" t="s">
        <v>2251</v>
      </c>
      <c r="B758" s="98">
        <v>757</v>
      </c>
      <c r="C758" s="50">
        <v>46237</v>
      </c>
      <c r="D758" s="49">
        <f t="shared" si="22"/>
        <v>8</v>
      </c>
      <c r="E758" s="92" t="s">
        <v>287</v>
      </c>
      <c r="F758" s="49" t="s">
        <v>36</v>
      </c>
      <c r="G758" s="14" t="s">
        <v>1124</v>
      </c>
      <c r="H758" s="14" t="s">
        <v>446</v>
      </c>
      <c r="I758" s="76" t="s">
        <v>2953</v>
      </c>
      <c r="J758" s="73">
        <v>0</v>
      </c>
      <c r="K758" s="74">
        <v>980</v>
      </c>
      <c r="L758" s="72">
        <v>0</v>
      </c>
      <c r="M758" s="72">
        <v>0</v>
      </c>
      <c r="N758" s="72">
        <f>IF(AND(C758="",J758=0,K758=0,L758=0,M758=0),"",CADASTROS!$B$4+SUM($J$2:J758)+SUM($M$2:M758)-SUM($K$2:K758)-SUM($L$2:L758))</f>
        <v>416000.73000000324</v>
      </c>
      <c r="O758" s="72">
        <f>IF(A758="","",SUMIF(RATEIOS!$A$2:$A$3142,$A758,RATEIOS!$F$2:$F$3142))</f>
        <v>980</v>
      </c>
      <c r="P758" s="15">
        <f t="shared" si="23"/>
        <v>0</v>
      </c>
      <c r="Q758" s="49" t="str">
        <f>IF(AND(J758=0,K758=0,L758=0,M758=0),"",IF(O758=0,"PENDENTE DE RATEIO",IF(ABS(P758)&gt;0.005,"DIVERGÊNCIA",IF(COUNTIF(RATEIOS!$A$2:$A$3142,$A758)-COUNTIFS(RATEIOS!$A$2:$A$3142,$A758,RATEIOS!$D$2:$D$3142,"&lt;&gt;")&gt;0,"NÃO CLASSIFICADO","RATEIO OK"))))</f>
        <v>RATEIO OK</v>
      </c>
      <c r="R758" s="49" t="s">
        <v>2553</v>
      </c>
      <c r="S758" s="14" t="s">
        <v>2954</v>
      </c>
    </row>
    <row r="759" spans="1:19" ht="24.95" customHeight="1" x14ac:dyDescent="0.25">
      <c r="A759" s="49" t="s">
        <v>2252</v>
      </c>
      <c r="B759" s="98">
        <v>758</v>
      </c>
      <c r="C759" s="50">
        <v>46237</v>
      </c>
      <c r="D759" s="49">
        <f t="shared" si="22"/>
        <v>8</v>
      </c>
      <c r="E759" s="92" t="s">
        <v>72</v>
      </c>
      <c r="F759" s="49" t="s">
        <v>36</v>
      </c>
      <c r="G759" s="14" t="s">
        <v>1125</v>
      </c>
      <c r="H759" s="14" t="s">
        <v>1126</v>
      </c>
      <c r="I759" s="76" t="s">
        <v>1127</v>
      </c>
      <c r="J759" s="73">
        <v>0</v>
      </c>
      <c r="K759" s="74">
        <v>10000</v>
      </c>
      <c r="L759" s="72">
        <v>0</v>
      </c>
      <c r="M759" s="72">
        <v>0</v>
      </c>
      <c r="N759" s="72">
        <f>IF(AND(C759="",J759=0,K759=0,L759=0,M759=0),"",CADASTROS!$B$4+SUM($J$2:J759)+SUM($M$2:M759)-SUM($K$2:K759)-SUM($L$2:L759))</f>
        <v>406000.73000000324</v>
      </c>
      <c r="O759" s="72">
        <f>IF(A759="","",SUMIF(RATEIOS!$A$2:$A$3142,$A759,RATEIOS!$F$2:$F$3142))</f>
        <v>10000</v>
      </c>
      <c r="P759" s="15">
        <f t="shared" si="23"/>
        <v>0</v>
      </c>
      <c r="Q759" s="49" t="str">
        <f>IF(AND(J759=0,K759=0,L759=0,M759=0),"",IF(O759=0,"PENDENTE DE RATEIO",IF(ABS(P759)&gt;0.005,"DIVERGÊNCIA",IF(COUNTIF(RATEIOS!$A$2:$A$3142,$A759)-COUNTIFS(RATEIOS!$A$2:$A$3142,$A759,RATEIOS!$D$2:$D$3142,"&lt;&gt;")&gt;0,"NÃO CLASSIFICADO","RATEIO OK"))))</f>
        <v>RATEIO OK</v>
      </c>
      <c r="R759" s="49" t="s">
        <v>2553</v>
      </c>
      <c r="S759" s="14" t="s">
        <v>1128</v>
      </c>
    </row>
    <row r="760" spans="1:19" ht="24.95" customHeight="1" x14ac:dyDescent="0.25">
      <c r="A760" s="49" t="s">
        <v>2253</v>
      </c>
      <c r="B760" s="98">
        <v>759</v>
      </c>
      <c r="C760" s="50">
        <v>46237</v>
      </c>
      <c r="D760" s="49">
        <f t="shared" si="22"/>
        <v>8</v>
      </c>
      <c r="E760" s="92" t="s">
        <v>72</v>
      </c>
      <c r="F760" s="49" t="s">
        <v>36</v>
      </c>
      <c r="G760" s="14" t="s">
        <v>1129</v>
      </c>
      <c r="H760" s="14" t="s">
        <v>425</v>
      </c>
      <c r="I760" s="76" t="s">
        <v>661</v>
      </c>
      <c r="J760" s="73">
        <v>0</v>
      </c>
      <c r="K760" s="74">
        <v>12000</v>
      </c>
      <c r="L760" s="72">
        <v>0</v>
      </c>
      <c r="M760" s="72">
        <v>0</v>
      </c>
      <c r="N760" s="72">
        <f>IF(AND(C760="",J760=0,K760=0,L760=0,M760=0),"",CADASTROS!$B$4+SUM($J$2:J760)+SUM($M$2:M760)-SUM($K$2:K760)-SUM($L$2:L760))</f>
        <v>394000.73000000324</v>
      </c>
      <c r="O760" s="72">
        <f>IF(A760="","",SUMIF(RATEIOS!$A$2:$A$3142,$A760,RATEIOS!$F$2:$F$3142))</f>
        <v>12000</v>
      </c>
      <c r="P760" s="15">
        <f t="shared" si="23"/>
        <v>0</v>
      </c>
      <c r="Q760" s="49" t="str">
        <f>IF(AND(J760=0,K760=0,L760=0,M760=0),"",IF(O760=0,"PENDENTE DE RATEIO",IF(ABS(P760)&gt;0.005,"DIVERGÊNCIA",IF(COUNTIF(RATEIOS!$A$2:$A$3142,$A760)-COUNTIFS(RATEIOS!$A$2:$A$3142,$A760,RATEIOS!$D$2:$D$3142,"&lt;&gt;")&gt;0,"NÃO CLASSIFICADO","RATEIO OK"))))</f>
        <v>RATEIO OK</v>
      </c>
      <c r="R760" s="49" t="s">
        <v>2553</v>
      </c>
      <c r="S760" s="14" t="s">
        <v>1130</v>
      </c>
    </row>
    <row r="761" spans="1:19" ht="24.95" customHeight="1" x14ac:dyDescent="0.25">
      <c r="A761" s="49" t="s">
        <v>2254</v>
      </c>
      <c r="B761" s="98">
        <v>760</v>
      </c>
      <c r="C761" s="50">
        <v>46237</v>
      </c>
      <c r="D761" s="49">
        <f t="shared" si="22"/>
        <v>8</v>
      </c>
      <c r="E761" s="92" t="s">
        <v>72</v>
      </c>
      <c r="F761" s="49" t="s">
        <v>36</v>
      </c>
      <c r="G761" s="14" t="s">
        <v>1131</v>
      </c>
      <c r="H761" s="14" t="s">
        <v>951</v>
      </c>
      <c r="I761" s="76" t="s">
        <v>377</v>
      </c>
      <c r="J761" s="73">
        <v>0</v>
      </c>
      <c r="K761" s="74">
        <v>2200</v>
      </c>
      <c r="L761" s="72">
        <v>0</v>
      </c>
      <c r="M761" s="72">
        <v>0</v>
      </c>
      <c r="N761" s="72">
        <f>IF(AND(C761="",J761=0,K761=0,L761=0,M761=0),"",CADASTROS!$B$4+SUM($J$2:J761)+SUM($M$2:M761)-SUM($K$2:K761)-SUM($L$2:L761))</f>
        <v>391800.73000000324</v>
      </c>
      <c r="O761" s="72">
        <f>IF(A761="","",SUMIF(RATEIOS!$A$2:$A$3142,$A761,RATEIOS!$F$2:$F$3142))</f>
        <v>2200</v>
      </c>
      <c r="P761" s="15">
        <f t="shared" si="23"/>
        <v>0</v>
      </c>
      <c r="Q761" s="49" t="str">
        <f>IF(AND(J761=0,K761=0,L761=0,M761=0),"",IF(O761=0,"PENDENTE DE RATEIO",IF(ABS(P761)&gt;0.005,"DIVERGÊNCIA",IF(COUNTIF(RATEIOS!$A$2:$A$3142,$A761)-COUNTIFS(RATEIOS!$A$2:$A$3142,$A761,RATEIOS!$D$2:$D$3142,"&lt;&gt;")&gt;0,"NÃO CLASSIFICADO","RATEIO OK"))))</f>
        <v>RATEIO OK</v>
      </c>
      <c r="R761" s="49" t="s">
        <v>2553</v>
      </c>
      <c r="S761" s="14"/>
    </row>
    <row r="762" spans="1:19" ht="24.95" customHeight="1" x14ac:dyDescent="0.25">
      <c r="A762" s="49" t="s">
        <v>2255</v>
      </c>
      <c r="B762" s="98">
        <v>761</v>
      </c>
      <c r="C762" s="50">
        <v>46237</v>
      </c>
      <c r="D762" s="49">
        <f t="shared" si="22"/>
        <v>8</v>
      </c>
      <c r="E762" s="92" t="s">
        <v>72</v>
      </c>
      <c r="F762" s="49" t="s">
        <v>36</v>
      </c>
      <c r="G762" s="14" t="s">
        <v>1132</v>
      </c>
      <c r="H762" s="14" t="s">
        <v>451</v>
      </c>
      <c r="I762" s="76" t="s">
        <v>1133</v>
      </c>
      <c r="J762" s="73">
        <v>0</v>
      </c>
      <c r="K762" s="74">
        <v>2450</v>
      </c>
      <c r="L762" s="72">
        <v>0</v>
      </c>
      <c r="M762" s="72">
        <v>0</v>
      </c>
      <c r="N762" s="72">
        <f>IF(AND(C762="",J762=0,K762=0,L762=0,M762=0),"",CADASTROS!$B$4+SUM($J$2:J762)+SUM($M$2:M762)-SUM($K$2:K762)-SUM($L$2:L762))</f>
        <v>389350.73000000324</v>
      </c>
      <c r="O762" s="72">
        <f>IF(A762="","",SUMIF(RATEIOS!$A$2:$A$3142,$A762,RATEIOS!$F$2:$F$3142))</f>
        <v>2450</v>
      </c>
      <c r="P762" s="15">
        <f t="shared" si="23"/>
        <v>0</v>
      </c>
      <c r="Q762" s="49" t="str">
        <f>IF(AND(J762=0,K762=0,L762=0,M762=0),"",IF(O762=0,"PENDENTE DE RATEIO",IF(ABS(P762)&gt;0.005,"DIVERGÊNCIA",IF(COUNTIF(RATEIOS!$A$2:$A$3142,$A762)-COUNTIFS(RATEIOS!$A$2:$A$3142,$A762,RATEIOS!$D$2:$D$3142,"&lt;&gt;")&gt;0,"NÃO CLASSIFICADO","RATEIO OK"))))</f>
        <v>RATEIO OK</v>
      </c>
      <c r="R762" s="49" t="s">
        <v>2553</v>
      </c>
      <c r="S762" s="14" t="s">
        <v>3025</v>
      </c>
    </row>
    <row r="763" spans="1:19" ht="24.95" customHeight="1" x14ac:dyDescent="0.25">
      <c r="A763" s="49" t="s">
        <v>2256</v>
      </c>
      <c r="B763" s="98">
        <v>762</v>
      </c>
      <c r="C763" s="50">
        <v>46237</v>
      </c>
      <c r="D763" s="49">
        <f t="shared" si="22"/>
        <v>8</v>
      </c>
      <c r="E763" s="92" t="s">
        <v>72</v>
      </c>
      <c r="F763" s="49" t="s">
        <v>36</v>
      </c>
      <c r="G763" s="14" t="s">
        <v>3081</v>
      </c>
      <c r="H763" s="14" t="s">
        <v>855</v>
      </c>
      <c r="I763" s="76" t="s">
        <v>1136</v>
      </c>
      <c r="J763" s="73">
        <v>0</v>
      </c>
      <c r="K763" s="74">
        <v>160</v>
      </c>
      <c r="L763" s="72">
        <v>0</v>
      </c>
      <c r="M763" s="72">
        <v>0</v>
      </c>
      <c r="N763" s="72">
        <f>IF(AND(C763="",J763=0,K763=0,L763=0,M763=0),"",CADASTROS!$B$4+SUM($J$2:J763)+SUM($M$2:M763)-SUM($K$2:K763)-SUM($L$2:L763))</f>
        <v>389190.73000000324</v>
      </c>
      <c r="O763" s="72">
        <f>IF(A763="","",SUMIF(RATEIOS!$A$2:$A$3142,$A763,RATEIOS!$F$2:$F$3142))</f>
        <v>160</v>
      </c>
      <c r="P763" s="15">
        <f t="shared" si="23"/>
        <v>0</v>
      </c>
      <c r="Q763" s="49" t="str">
        <f>IF(AND(J763=0,K763=0,L763=0,M763=0),"",IF(O763=0,"PENDENTE DE RATEIO",IF(ABS(P763)&gt;0.005,"DIVERGÊNCIA",IF(COUNTIF(RATEIOS!$A$2:$A$3142,$A763)-COUNTIFS(RATEIOS!$A$2:$A$3142,$A763,RATEIOS!$D$2:$D$3142,"&lt;&gt;")&gt;0,"NÃO CLASSIFICADO","RATEIO OK"))))</f>
        <v>RATEIO OK</v>
      </c>
      <c r="R763" s="49" t="s">
        <v>2553</v>
      </c>
      <c r="S763" s="14"/>
    </row>
    <row r="764" spans="1:19" ht="24.95" customHeight="1" x14ac:dyDescent="0.25">
      <c r="A764" s="49" t="s">
        <v>2257</v>
      </c>
      <c r="B764" s="98">
        <v>763</v>
      </c>
      <c r="C764" s="50">
        <v>46237</v>
      </c>
      <c r="D764" s="49">
        <f t="shared" si="22"/>
        <v>8</v>
      </c>
      <c r="E764" s="92" t="s">
        <v>72</v>
      </c>
      <c r="F764" s="49" t="s">
        <v>36</v>
      </c>
      <c r="G764" s="14" t="s">
        <v>1137</v>
      </c>
      <c r="H764" s="14" t="s">
        <v>545</v>
      </c>
      <c r="I764" s="76" t="s">
        <v>818</v>
      </c>
      <c r="J764" s="73">
        <v>0</v>
      </c>
      <c r="K764" s="74">
        <v>4500</v>
      </c>
      <c r="L764" s="72">
        <v>0</v>
      </c>
      <c r="M764" s="72">
        <v>0</v>
      </c>
      <c r="N764" s="72">
        <f>IF(AND(C764="",J764=0,K764=0,L764=0,M764=0),"",CADASTROS!$B$4+SUM($J$2:J764)+SUM($M$2:M764)-SUM($K$2:K764)-SUM($L$2:L764))</f>
        <v>384690.73000000324</v>
      </c>
      <c r="O764" s="72">
        <f>IF(A764="","",SUMIF(RATEIOS!$A$2:$A$3142,$A764,RATEIOS!$F$2:$F$3142))</f>
        <v>4500</v>
      </c>
      <c r="P764" s="15">
        <f t="shared" si="23"/>
        <v>0</v>
      </c>
      <c r="Q764" s="49" t="str">
        <f>IF(AND(J764=0,K764=0,L764=0,M764=0),"",IF(O764=0,"PENDENTE DE RATEIO",IF(ABS(P764)&gt;0.005,"DIVERGÊNCIA",IF(COUNTIF(RATEIOS!$A$2:$A$3142,$A764)-COUNTIFS(RATEIOS!$A$2:$A$3142,$A764,RATEIOS!$D$2:$D$3142,"&lt;&gt;")&gt;0,"NÃO CLASSIFICADO","RATEIO OK"))))</f>
        <v>RATEIO OK</v>
      </c>
      <c r="R764" s="49" t="s">
        <v>2553</v>
      </c>
      <c r="S764" s="14"/>
    </row>
    <row r="765" spans="1:19" ht="24.95" customHeight="1" x14ac:dyDescent="0.25">
      <c r="A765" s="49" t="s">
        <v>2258</v>
      </c>
      <c r="B765" s="98">
        <v>764</v>
      </c>
      <c r="C765" s="50">
        <v>46237</v>
      </c>
      <c r="D765" s="49">
        <f t="shared" si="22"/>
        <v>8</v>
      </c>
      <c r="E765" s="92" t="s">
        <v>72</v>
      </c>
      <c r="F765" s="49" t="s">
        <v>36</v>
      </c>
      <c r="G765" s="14" t="s">
        <v>1138</v>
      </c>
      <c r="H765" s="14" t="s">
        <v>953</v>
      </c>
      <c r="I765" s="76" t="s">
        <v>1139</v>
      </c>
      <c r="J765" s="73">
        <v>0</v>
      </c>
      <c r="K765" s="74">
        <v>2400</v>
      </c>
      <c r="L765" s="72">
        <v>0</v>
      </c>
      <c r="M765" s="72">
        <v>0</v>
      </c>
      <c r="N765" s="72">
        <f>IF(AND(C765="",J765=0,K765=0,L765=0,M765=0),"",CADASTROS!$B$4+SUM($J$2:J765)+SUM($M$2:M765)-SUM($K$2:K765)-SUM($L$2:L765))</f>
        <v>382290.73000000324</v>
      </c>
      <c r="O765" s="72">
        <f>IF(A765="","",SUMIF(RATEIOS!$A$2:$A$3142,$A765,RATEIOS!$F$2:$F$3142))</f>
        <v>2400</v>
      </c>
      <c r="P765" s="15">
        <f t="shared" si="23"/>
        <v>0</v>
      </c>
      <c r="Q765" s="49" t="str">
        <f>IF(AND(J765=0,K765=0,L765=0,M765=0),"",IF(O765=0,"PENDENTE DE RATEIO",IF(ABS(P765)&gt;0.005,"DIVERGÊNCIA",IF(COUNTIF(RATEIOS!$A$2:$A$3142,$A765)-COUNTIFS(RATEIOS!$A$2:$A$3142,$A765,RATEIOS!$D$2:$D$3142,"&lt;&gt;")&gt;0,"NÃO CLASSIFICADO","RATEIO OK"))))</f>
        <v>RATEIO OK</v>
      </c>
      <c r="R765" s="49" t="s">
        <v>2553</v>
      </c>
      <c r="S765" s="14"/>
    </row>
    <row r="766" spans="1:19" ht="24.95" customHeight="1" x14ac:dyDescent="0.25">
      <c r="A766" s="49" t="s">
        <v>2259</v>
      </c>
      <c r="B766" s="98">
        <v>765</v>
      </c>
      <c r="C766" s="50">
        <v>46237</v>
      </c>
      <c r="D766" s="49">
        <f t="shared" si="22"/>
        <v>8</v>
      </c>
      <c r="E766" s="92" t="s">
        <v>118</v>
      </c>
      <c r="F766" s="49" t="s">
        <v>36</v>
      </c>
      <c r="G766" s="14" t="s">
        <v>1140</v>
      </c>
      <c r="H766" s="14" t="s">
        <v>59</v>
      </c>
      <c r="I766" s="76" t="s">
        <v>997</v>
      </c>
      <c r="J766" s="73">
        <v>0</v>
      </c>
      <c r="K766" s="74">
        <v>3122</v>
      </c>
      <c r="L766" s="72">
        <v>0</v>
      </c>
      <c r="M766" s="72">
        <v>0</v>
      </c>
      <c r="N766" s="72">
        <f>IF(AND(C766="",J766=0,K766=0,L766=0,M766=0),"",CADASTROS!$B$4+SUM($J$2:J766)+SUM($M$2:M766)-SUM($K$2:K766)-SUM($L$2:L766))</f>
        <v>379168.73000000324</v>
      </c>
      <c r="O766" s="72">
        <f>IF(A766="","",SUMIF(RATEIOS!$A$2:$A$3142,$A766,RATEIOS!$F$2:$F$3142))</f>
        <v>3122</v>
      </c>
      <c r="P766" s="15">
        <f t="shared" si="23"/>
        <v>0</v>
      </c>
      <c r="Q766" s="49" t="str">
        <f>IF(AND(J766=0,K766=0,L766=0,M766=0),"",IF(O766=0,"PENDENTE DE RATEIO",IF(ABS(P766)&gt;0.005,"DIVERGÊNCIA",IF(COUNTIF(RATEIOS!$A$2:$A$3142,$A766)-COUNTIFS(RATEIOS!$A$2:$A$3142,$A766,RATEIOS!$D$2:$D$3142,"&lt;&gt;")&gt;0,"NÃO CLASSIFICADO","RATEIO OK"))))</f>
        <v>RATEIO OK</v>
      </c>
      <c r="R766" s="49" t="s">
        <v>2553</v>
      </c>
      <c r="S766" s="14"/>
    </row>
    <row r="767" spans="1:19" ht="24.95" customHeight="1" x14ac:dyDescent="0.25">
      <c r="A767" s="49" t="s">
        <v>2260</v>
      </c>
      <c r="B767" s="98">
        <v>766</v>
      </c>
      <c r="C767" s="50">
        <v>46237</v>
      </c>
      <c r="D767" s="49">
        <f t="shared" si="22"/>
        <v>8</v>
      </c>
      <c r="E767" s="92" t="s">
        <v>118</v>
      </c>
      <c r="F767" s="49" t="s">
        <v>36</v>
      </c>
      <c r="G767" s="14" t="s">
        <v>1141</v>
      </c>
      <c r="H767" s="14" t="s">
        <v>59</v>
      </c>
      <c r="I767" s="76" t="s">
        <v>1142</v>
      </c>
      <c r="J767" s="73">
        <v>0</v>
      </c>
      <c r="K767" s="74">
        <v>792</v>
      </c>
      <c r="L767" s="72">
        <v>0</v>
      </c>
      <c r="M767" s="72">
        <v>0</v>
      </c>
      <c r="N767" s="72">
        <f>IF(AND(C767="",J767=0,K767=0,L767=0,M767=0),"",CADASTROS!$B$4+SUM($J$2:J767)+SUM($M$2:M767)-SUM($K$2:K767)-SUM($L$2:L767))</f>
        <v>378376.73000000324</v>
      </c>
      <c r="O767" s="72">
        <f>IF(A767="","",SUMIF(RATEIOS!$A$2:$A$3142,$A767,RATEIOS!$F$2:$F$3142))</f>
        <v>792</v>
      </c>
      <c r="P767" s="15">
        <f t="shared" si="23"/>
        <v>0</v>
      </c>
      <c r="Q767" s="49" t="str">
        <f>IF(AND(J767=0,K767=0,L767=0,M767=0),"",IF(O767=0,"PENDENTE DE RATEIO",IF(ABS(P767)&gt;0.005,"DIVERGÊNCIA",IF(COUNTIF(RATEIOS!$A$2:$A$3142,$A767)-COUNTIFS(RATEIOS!$A$2:$A$3142,$A767,RATEIOS!$D$2:$D$3142,"&lt;&gt;")&gt;0,"NÃO CLASSIFICADO","RATEIO OK"))))</f>
        <v>RATEIO OK</v>
      </c>
      <c r="R767" s="49" t="s">
        <v>2553</v>
      </c>
      <c r="S767" s="14"/>
    </row>
    <row r="768" spans="1:19" ht="24.95" customHeight="1" x14ac:dyDescent="0.25">
      <c r="A768" s="49" t="s">
        <v>2261</v>
      </c>
      <c r="B768" s="98">
        <v>767</v>
      </c>
      <c r="C768" s="50">
        <v>46237</v>
      </c>
      <c r="D768" s="49">
        <f t="shared" si="22"/>
        <v>8</v>
      </c>
      <c r="E768" s="92" t="s">
        <v>118</v>
      </c>
      <c r="F768" s="49" t="s">
        <v>36</v>
      </c>
      <c r="G768" s="14" t="s">
        <v>1143</v>
      </c>
      <c r="H768" s="14" t="s">
        <v>59</v>
      </c>
      <c r="I768" s="76" t="s">
        <v>1144</v>
      </c>
      <c r="J768" s="73">
        <v>0</v>
      </c>
      <c r="K768" s="74">
        <v>2145</v>
      </c>
      <c r="L768" s="72">
        <v>0</v>
      </c>
      <c r="M768" s="72">
        <v>0</v>
      </c>
      <c r="N768" s="72">
        <f>IF(AND(C768="",J768=0,K768=0,L768=0,M768=0),"",CADASTROS!$B$4+SUM($J$2:J768)+SUM($M$2:M768)-SUM($K$2:K768)-SUM($L$2:L768))</f>
        <v>376231.73000000324</v>
      </c>
      <c r="O768" s="72">
        <f>IF(A768="","",SUMIF(RATEIOS!$A$2:$A$3142,$A768,RATEIOS!$F$2:$F$3142))</f>
        <v>2145</v>
      </c>
      <c r="P768" s="15">
        <f t="shared" si="23"/>
        <v>0</v>
      </c>
      <c r="Q768" s="49" t="str">
        <f>IF(AND(J768=0,K768=0,L768=0,M768=0),"",IF(O768=0,"PENDENTE DE RATEIO",IF(ABS(P768)&gt;0.005,"DIVERGÊNCIA",IF(COUNTIF(RATEIOS!$A$2:$A$3142,$A768)-COUNTIFS(RATEIOS!$A$2:$A$3142,$A768,RATEIOS!$D$2:$D$3142,"&lt;&gt;")&gt;0,"NÃO CLASSIFICADO","RATEIO OK"))))</f>
        <v>RATEIO OK</v>
      </c>
      <c r="R768" s="49" t="s">
        <v>2553</v>
      </c>
      <c r="S768" s="14"/>
    </row>
    <row r="769" spans="1:19" ht="24.95" customHeight="1" x14ac:dyDescent="0.25">
      <c r="A769" s="49" t="s">
        <v>2262</v>
      </c>
      <c r="B769" s="98">
        <v>768</v>
      </c>
      <c r="C769" s="50">
        <v>46237</v>
      </c>
      <c r="D769" s="49">
        <f t="shared" si="22"/>
        <v>8</v>
      </c>
      <c r="E769" s="92" t="s">
        <v>118</v>
      </c>
      <c r="F769" s="49" t="s">
        <v>36</v>
      </c>
      <c r="G769" s="14" t="s">
        <v>1145</v>
      </c>
      <c r="H769" s="14" t="s">
        <v>252</v>
      </c>
      <c r="I769" s="76" t="s">
        <v>1010</v>
      </c>
      <c r="J769" s="73">
        <v>0</v>
      </c>
      <c r="K769" s="74">
        <v>21542.2</v>
      </c>
      <c r="L769" s="72">
        <v>0</v>
      </c>
      <c r="M769" s="72">
        <v>0</v>
      </c>
      <c r="N769" s="72">
        <f>IF(AND(C769="",J769=0,K769=0,L769=0,M769=0),"",CADASTROS!$B$4+SUM($J$2:J769)+SUM($M$2:M769)-SUM($K$2:K769)-SUM($L$2:L769))</f>
        <v>354689.53000000305</v>
      </c>
      <c r="O769" s="72">
        <f>IF(A769="","",SUMIF(RATEIOS!$A$2:$A$3142,$A769,RATEIOS!$F$2:$F$3142))</f>
        <v>21542.2</v>
      </c>
      <c r="P769" s="15">
        <f t="shared" si="23"/>
        <v>0</v>
      </c>
      <c r="Q769" s="49" t="str">
        <f>IF(AND(J769=0,K769=0,L769=0,M769=0),"",IF(O769=0,"PENDENTE DE RATEIO",IF(ABS(P769)&gt;0.005,"DIVERGÊNCIA",IF(COUNTIF(RATEIOS!$A$2:$A$3142,$A769)-COUNTIFS(RATEIOS!$A$2:$A$3142,$A769,RATEIOS!$D$2:$D$3142,"&lt;&gt;")&gt;0,"NÃO CLASSIFICADO","RATEIO OK"))))</f>
        <v>RATEIO OK</v>
      </c>
      <c r="R769" s="49" t="s">
        <v>2553</v>
      </c>
      <c r="S769" s="14" t="s">
        <v>1146</v>
      </c>
    </row>
    <row r="770" spans="1:19" ht="24.95" customHeight="1" x14ac:dyDescent="0.25">
      <c r="A770" s="49" t="s">
        <v>2263</v>
      </c>
      <c r="B770" s="98">
        <v>769</v>
      </c>
      <c r="C770" s="50">
        <v>46237</v>
      </c>
      <c r="D770" s="49">
        <f t="shared" ref="D770:D833" si="24">IF(C770="","",MONTH(C770))</f>
        <v>8</v>
      </c>
      <c r="E770" s="92" t="s">
        <v>118</v>
      </c>
      <c r="F770" s="49" t="s">
        <v>36</v>
      </c>
      <c r="G770" s="14" t="s">
        <v>1147</v>
      </c>
      <c r="H770" s="14" t="s">
        <v>51</v>
      </c>
      <c r="I770" s="76" t="s">
        <v>3039</v>
      </c>
      <c r="J770" s="73">
        <v>0</v>
      </c>
      <c r="K770" s="74">
        <v>1301.81</v>
      </c>
      <c r="L770" s="72">
        <v>0</v>
      </c>
      <c r="M770" s="72">
        <v>0</v>
      </c>
      <c r="N770" s="72">
        <f>IF(AND(C770="",J770=0,K770=0,L770=0,M770=0),"",CADASTROS!$B$4+SUM($J$2:J770)+SUM($M$2:M770)-SUM($K$2:K770)-SUM($L$2:L770))</f>
        <v>353387.720000003</v>
      </c>
      <c r="O770" s="72">
        <f>IF(A770="","",SUMIF(RATEIOS!$A$2:$A$3142,$A770,RATEIOS!$F$2:$F$3142))</f>
        <v>1301.81</v>
      </c>
      <c r="P770" s="15">
        <f t="shared" ref="P770:P833" si="25">IF(A770="","",(J770+K770+L770+M770)-O770)</f>
        <v>0</v>
      </c>
      <c r="Q770" s="49" t="str">
        <f>IF(AND(J770=0,K770=0,L770=0,M770=0),"",IF(O770=0,"PENDENTE DE RATEIO",IF(ABS(P770)&gt;0.005,"DIVERGÊNCIA",IF(COUNTIF(RATEIOS!$A$2:$A$3142,$A770)-COUNTIFS(RATEIOS!$A$2:$A$3142,$A770,RATEIOS!$D$2:$D$3142,"&lt;&gt;")&gt;0,"NÃO CLASSIFICADO","RATEIO OK"))))</f>
        <v>RATEIO OK</v>
      </c>
      <c r="R770" s="49" t="s">
        <v>2553</v>
      </c>
      <c r="S770" s="14"/>
    </row>
    <row r="771" spans="1:19" ht="24.95" customHeight="1" x14ac:dyDescent="0.25">
      <c r="A771" s="49" t="s">
        <v>2264</v>
      </c>
      <c r="B771" s="98">
        <v>770</v>
      </c>
      <c r="C771" s="50">
        <v>46237</v>
      </c>
      <c r="D771" s="49">
        <f t="shared" si="24"/>
        <v>8</v>
      </c>
      <c r="E771" s="92" t="s">
        <v>118</v>
      </c>
      <c r="F771" s="49" t="s">
        <v>36</v>
      </c>
      <c r="G771" s="14" t="s">
        <v>1148</v>
      </c>
      <c r="H771" s="14" t="s">
        <v>51</v>
      </c>
      <c r="I771" s="76" t="s">
        <v>999</v>
      </c>
      <c r="J771" s="73">
        <v>0</v>
      </c>
      <c r="K771" s="74">
        <v>2372.15</v>
      </c>
      <c r="L771" s="72">
        <v>0</v>
      </c>
      <c r="M771" s="72">
        <v>0</v>
      </c>
      <c r="N771" s="72">
        <f>IF(AND(C771="",J771=0,K771=0,L771=0,M771=0),"",CADASTROS!$B$4+SUM($J$2:J771)+SUM($M$2:M771)-SUM($K$2:K771)-SUM($L$2:L771))</f>
        <v>351015.57000000309</v>
      </c>
      <c r="O771" s="72">
        <f>IF(A771="","",SUMIF(RATEIOS!$A$2:$A$3142,$A771,RATEIOS!$F$2:$F$3142))</f>
        <v>2372.15</v>
      </c>
      <c r="P771" s="15">
        <f t="shared" si="25"/>
        <v>0</v>
      </c>
      <c r="Q771" s="49" t="str">
        <f>IF(AND(J771=0,K771=0,L771=0,M771=0),"",IF(O771=0,"PENDENTE DE RATEIO",IF(ABS(P771)&gt;0.005,"DIVERGÊNCIA",IF(COUNTIF(RATEIOS!$A$2:$A$3142,$A771)-COUNTIFS(RATEIOS!$A$2:$A$3142,$A771,RATEIOS!$D$2:$D$3142,"&lt;&gt;")&gt;0,"NÃO CLASSIFICADO","RATEIO OK"))))</f>
        <v>RATEIO OK</v>
      </c>
      <c r="R771" s="49" t="s">
        <v>2553</v>
      </c>
      <c r="S771" s="14"/>
    </row>
    <row r="772" spans="1:19" ht="24.95" customHeight="1" x14ac:dyDescent="0.25">
      <c r="A772" s="49" t="s">
        <v>2265</v>
      </c>
      <c r="B772" s="98">
        <v>771</v>
      </c>
      <c r="C772" s="50">
        <v>46237</v>
      </c>
      <c r="D772" s="49">
        <f t="shared" si="24"/>
        <v>8</v>
      </c>
      <c r="E772" s="92" t="s">
        <v>118</v>
      </c>
      <c r="F772" s="49" t="s">
        <v>36</v>
      </c>
      <c r="G772" s="14" t="s">
        <v>1149</v>
      </c>
      <c r="H772" s="14" t="s">
        <v>265</v>
      </c>
      <c r="I772" s="76" t="s">
        <v>883</v>
      </c>
      <c r="J772" s="73">
        <v>0</v>
      </c>
      <c r="K772" s="74">
        <v>3440.76</v>
      </c>
      <c r="L772" s="72">
        <v>0</v>
      </c>
      <c r="M772" s="72">
        <v>0</v>
      </c>
      <c r="N772" s="72">
        <f>IF(AND(C772="",J772=0,K772=0,L772=0,M772=0),"",CADASTROS!$B$4+SUM($J$2:J772)+SUM($M$2:M772)-SUM($K$2:K772)-SUM($L$2:L772))</f>
        <v>347574.81000000332</v>
      </c>
      <c r="O772" s="72">
        <f>IF(A772="","",SUMIF(RATEIOS!$A$2:$A$3142,$A772,RATEIOS!$F$2:$F$3142))</f>
        <v>3440.76</v>
      </c>
      <c r="P772" s="15">
        <f t="shared" si="25"/>
        <v>0</v>
      </c>
      <c r="Q772" s="49" t="str">
        <f>IF(AND(J772=0,K772=0,L772=0,M772=0),"",IF(O772=0,"PENDENTE DE RATEIO",IF(ABS(P772)&gt;0.005,"DIVERGÊNCIA",IF(COUNTIF(RATEIOS!$A$2:$A$3142,$A772)-COUNTIFS(RATEIOS!$A$2:$A$3142,$A772,RATEIOS!$D$2:$D$3142,"&lt;&gt;")&gt;0,"NÃO CLASSIFICADO","RATEIO OK"))))</f>
        <v>RATEIO OK</v>
      </c>
      <c r="R772" s="49" t="s">
        <v>2553</v>
      </c>
      <c r="S772" s="14"/>
    </row>
    <row r="773" spans="1:19" ht="24.95" customHeight="1" x14ac:dyDescent="0.25">
      <c r="A773" s="49" t="s">
        <v>2266</v>
      </c>
      <c r="B773" s="98">
        <v>772</v>
      </c>
      <c r="C773" s="50">
        <v>46237</v>
      </c>
      <c r="D773" s="49">
        <f t="shared" si="24"/>
        <v>8</v>
      </c>
      <c r="E773" s="92" t="s">
        <v>118</v>
      </c>
      <c r="F773" s="49" t="s">
        <v>36</v>
      </c>
      <c r="G773" s="14" t="s">
        <v>161</v>
      </c>
      <c r="H773" s="14" t="s">
        <v>81</v>
      </c>
      <c r="I773" s="76" t="s">
        <v>879</v>
      </c>
      <c r="J773" s="73">
        <v>0</v>
      </c>
      <c r="K773" s="74">
        <v>9332.4</v>
      </c>
      <c r="L773" s="72">
        <v>0</v>
      </c>
      <c r="M773" s="72">
        <v>0</v>
      </c>
      <c r="N773" s="72">
        <f>IF(AND(C773="",J773=0,K773=0,L773=0,M773=0),"",CADASTROS!$B$4+SUM($J$2:J773)+SUM($M$2:M773)-SUM($K$2:K773)-SUM($L$2:L773))</f>
        <v>338242.41000000341</v>
      </c>
      <c r="O773" s="72">
        <f>IF(A773="","",SUMIF(RATEIOS!$A$2:$A$3142,$A773,RATEIOS!$F$2:$F$3142))</f>
        <v>9332.4</v>
      </c>
      <c r="P773" s="15">
        <f t="shared" si="25"/>
        <v>0</v>
      </c>
      <c r="Q773" s="49" t="str">
        <f>IF(AND(J773=0,K773=0,L773=0,M773=0),"",IF(O773=0,"PENDENTE DE RATEIO",IF(ABS(P773)&gt;0.005,"DIVERGÊNCIA",IF(COUNTIF(RATEIOS!$A$2:$A$3142,$A773)-COUNTIFS(RATEIOS!$A$2:$A$3142,$A773,RATEIOS!$D$2:$D$3142,"&lt;&gt;")&gt;0,"NÃO CLASSIFICADO","RATEIO OK"))))</f>
        <v>RATEIO OK</v>
      </c>
      <c r="R773" s="49" t="s">
        <v>2553</v>
      </c>
      <c r="S773" s="14"/>
    </row>
    <row r="774" spans="1:19" ht="24.95" customHeight="1" x14ac:dyDescent="0.25">
      <c r="A774" s="49" t="s">
        <v>2267</v>
      </c>
      <c r="B774" s="98">
        <v>773</v>
      </c>
      <c r="C774" s="50">
        <v>46237</v>
      </c>
      <c r="D774" s="49">
        <f t="shared" si="24"/>
        <v>8</v>
      </c>
      <c r="E774" s="92" t="s">
        <v>2556</v>
      </c>
      <c r="F774" s="49" t="s">
        <v>36</v>
      </c>
      <c r="G774" s="14" t="s">
        <v>517</v>
      </c>
      <c r="H774" s="14" t="s">
        <v>517</v>
      </c>
      <c r="I774" s="76" t="s">
        <v>412</v>
      </c>
      <c r="J774" s="73">
        <v>0</v>
      </c>
      <c r="K774" s="74">
        <v>21.8</v>
      </c>
      <c r="L774" s="72">
        <v>0</v>
      </c>
      <c r="M774" s="72">
        <v>0</v>
      </c>
      <c r="N774" s="72">
        <f>IF(AND(C774="",J774=0,K774=0,L774=0,M774=0),"",CADASTROS!$B$4+SUM($J$2:J774)+SUM($M$2:M774)-SUM($K$2:K774)-SUM($L$2:L774))</f>
        <v>338220.61000000359</v>
      </c>
      <c r="O774" s="72">
        <f>IF(A774="","",SUMIF(RATEIOS!$A$2:$A$3142,$A774,RATEIOS!$F$2:$F$3142))</f>
        <v>21.8</v>
      </c>
      <c r="P774" s="15">
        <f t="shared" si="25"/>
        <v>0</v>
      </c>
      <c r="Q774" s="49" t="str">
        <f>IF(AND(J774=0,K774=0,L774=0,M774=0),"",IF(O774=0,"PENDENTE DE RATEIO",IF(ABS(P774)&gt;0.005,"DIVERGÊNCIA",IF(COUNTIF(RATEIOS!$A$2:$A$3142,$A774)-COUNTIFS(RATEIOS!$A$2:$A$3142,$A774,RATEIOS!$D$2:$D$3142,"&lt;&gt;")&gt;0,"NÃO CLASSIFICADO","RATEIO OK"))))</f>
        <v>RATEIO OK</v>
      </c>
      <c r="R774" s="49" t="s">
        <v>2553</v>
      </c>
      <c r="S774" s="14"/>
    </row>
    <row r="775" spans="1:19" ht="24.95" customHeight="1" x14ac:dyDescent="0.25">
      <c r="A775" s="49" t="s">
        <v>2268</v>
      </c>
      <c r="B775" s="98">
        <v>774</v>
      </c>
      <c r="C775" s="50">
        <v>46238</v>
      </c>
      <c r="D775" s="49">
        <f t="shared" si="24"/>
        <v>8</v>
      </c>
      <c r="E775" s="92" t="s">
        <v>118</v>
      </c>
      <c r="F775" s="49" t="s">
        <v>36</v>
      </c>
      <c r="G775" s="14" t="s">
        <v>1150</v>
      </c>
      <c r="H775" s="14" t="s">
        <v>143</v>
      </c>
      <c r="I775" s="76" t="s">
        <v>1151</v>
      </c>
      <c r="J775" s="73">
        <v>0</v>
      </c>
      <c r="K775" s="74">
        <v>2530.88</v>
      </c>
      <c r="L775" s="72">
        <v>0</v>
      </c>
      <c r="M775" s="72">
        <v>0</v>
      </c>
      <c r="N775" s="72">
        <f>IF(AND(C775="",J775=0,K775=0,L775=0,M775=0),"",CADASTROS!$B$4+SUM($J$2:J775)+SUM($M$2:M775)-SUM($K$2:K775)-SUM($L$2:L775))</f>
        <v>335689.73000000371</v>
      </c>
      <c r="O775" s="72">
        <f>IF(A775="","",SUMIF(RATEIOS!$A$2:$A$3142,$A775,RATEIOS!$F$2:$F$3142))</f>
        <v>2530.88</v>
      </c>
      <c r="P775" s="15">
        <f t="shared" si="25"/>
        <v>0</v>
      </c>
      <c r="Q775" s="49" t="str">
        <f>IF(AND(J775=0,K775=0,L775=0,M775=0),"",IF(O775=0,"PENDENTE DE RATEIO",IF(ABS(P775)&gt;0.005,"DIVERGÊNCIA",IF(COUNTIF(RATEIOS!$A$2:$A$3142,$A775)-COUNTIFS(RATEIOS!$A$2:$A$3142,$A775,RATEIOS!$D$2:$D$3142,"&lt;&gt;")&gt;0,"NÃO CLASSIFICADO","RATEIO OK"))))</f>
        <v>RATEIO OK</v>
      </c>
      <c r="R775" s="49" t="s">
        <v>2553</v>
      </c>
      <c r="S775" s="14"/>
    </row>
    <row r="776" spans="1:19" ht="24.95" customHeight="1" x14ac:dyDescent="0.25">
      <c r="A776" s="49" t="s">
        <v>2269</v>
      </c>
      <c r="B776" s="98">
        <v>775</v>
      </c>
      <c r="C776" s="50">
        <v>46238</v>
      </c>
      <c r="D776" s="49">
        <f t="shared" si="24"/>
        <v>8</v>
      </c>
      <c r="E776" s="92" t="s">
        <v>118</v>
      </c>
      <c r="F776" s="49" t="s">
        <v>36</v>
      </c>
      <c r="G776" s="14" t="s">
        <v>3022</v>
      </c>
      <c r="H776" s="14" t="s">
        <v>283</v>
      </c>
      <c r="I776" s="76" t="s">
        <v>1066</v>
      </c>
      <c r="J776" s="73">
        <v>0</v>
      </c>
      <c r="K776" s="74">
        <v>642.20000000000005</v>
      </c>
      <c r="L776" s="72">
        <v>0</v>
      </c>
      <c r="M776" s="72">
        <v>0</v>
      </c>
      <c r="N776" s="72">
        <f>IF(AND(C776="",J776=0,K776=0,L776=0,M776=0),"",CADASTROS!$B$4+SUM($J$2:J776)+SUM($M$2:M776)-SUM($K$2:K776)-SUM($L$2:L776))</f>
        <v>335047.53000000352</v>
      </c>
      <c r="O776" s="72">
        <f>IF(A776="","",SUMIF(RATEIOS!$A$2:$A$3142,$A776,RATEIOS!$F$2:$F$3142))</f>
        <v>642.20000000000005</v>
      </c>
      <c r="P776" s="15">
        <f t="shared" si="25"/>
        <v>0</v>
      </c>
      <c r="Q776" s="49" t="str">
        <f>IF(AND(J776=0,K776=0,L776=0,M776=0),"",IF(O776=0,"PENDENTE DE RATEIO",IF(ABS(P776)&gt;0.005,"DIVERGÊNCIA",IF(COUNTIF(RATEIOS!$A$2:$A$3142,$A776)-COUNTIFS(RATEIOS!$A$2:$A$3142,$A776,RATEIOS!$D$2:$D$3142,"&lt;&gt;")&gt;0,"NÃO CLASSIFICADO","RATEIO OK"))))</f>
        <v>RATEIO OK</v>
      </c>
      <c r="R776" s="49" t="s">
        <v>2553</v>
      </c>
      <c r="S776" s="14"/>
    </row>
    <row r="777" spans="1:19" ht="24.95" customHeight="1" x14ac:dyDescent="0.25">
      <c r="A777" s="49" t="s">
        <v>2270</v>
      </c>
      <c r="B777" s="98">
        <v>776</v>
      </c>
      <c r="C777" s="50">
        <v>46239</v>
      </c>
      <c r="D777" s="49">
        <f t="shared" si="24"/>
        <v>8</v>
      </c>
      <c r="E777" s="92" t="s">
        <v>287</v>
      </c>
      <c r="F777" s="49" t="s">
        <v>36</v>
      </c>
      <c r="G777" s="14" t="s">
        <v>1153</v>
      </c>
      <c r="H777" s="14" t="s">
        <v>1154</v>
      </c>
      <c r="I777" s="76" t="s">
        <v>412</v>
      </c>
      <c r="J777" s="73">
        <v>0</v>
      </c>
      <c r="K777" s="74">
        <v>2526.2199999999998</v>
      </c>
      <c r="L777" s="72">
        <v>0</v>
      </c>
      <c r="M777" s="72">
        <v>0</v>
      </c>
      <c r="N777" s="72">
        <f>IF(AND(C777="",J777=0,K777=0,L777=0,M777=0),"",CADASTROS!$B$4+SUM($J$2:J777)+SUM($M$2:M777)-SUM($K$2:K777)-SUM($L$2:L777))</f>
        <v>332521.31000000332</v>
      </c>
      <c r="O777" s="72">
        <f>IF(A777="","",SUMIF(RATEIOS!$A$2:$A$3142,$A777,RATEIOS!$F$2:$F$3142))</f>
        <v>2526.2199999999998</v>
      </c>
      <c r="P777" s="15">
        <f t="shared" si="25"/>
        <v>0</v>
      </c>
      <c r="Q777" s="49" t="str">
        <f>IF(AND(J777=0,K777=0,L777=0,M777=0),"",IF(O777=0,"PENDENTE DE RATEIO",IF(ABS(P777)&gt;0.005,"DIVERGÊNCIA",IF(COUNTIF(RATEIOS!$A$2:$A$3142,$A777)-COUNTIFS(RATEIOS!$A$2:$A$3142,$A777,RATEIOS!$D$2:$D$3142,"&lt;&gt;")&gt;0,"NÃO CLASSIFICADO","RATEIO OK"))))</f>
        <v>RATEIO OK</v>
      </c>
      <c r="R777" s="49" t="s">
        <v>2553</v>
      </c>
      <c r="S777" s="14"/>
    </row>
    <row r="778" spans="1:19" ht="24.95" customHeight="1" x14ac:dyDescent="0.25">
      <c r="A778" s="49" t="s">
        <v>2271</v>
      </c>
      <c r="B778" s="98">
        <v>777</v>
      </c>
      <c r="C778" s="50">
        <v>46239</v>
      </c>
      <c r="D778" s="49">
        <f t="shared" si="24"/>
        <v>8</v>
      </c>
      <c r="E778" s="92" t="s">
        <v>287</v>
      </c>
      <c r="F778" s="49" t="s">
        <v>36</v>
      </c>
      <c r="G778" s="14" t="s">
        <v>1155</v>
      </c>
      <c r="H778" s="14" t="s">
        <v>1154</v>
      </c>
      <c r="I778" s="76" t="s">
        <v>412</v>
      </c>
      <c r="J778" s="73">
        <v>0</v>
      </c>
      <c r="K778" s="74">
        <v>2778.73</v>
      </c>
      <c r="L778" s="72">
        <v>0</v>
      </c>
      <c r="M778" s="72">
        <v>0</v>
      </c>
      <c r="N778" s="72">
        <f>IF(AND(C778="",J778=0,K778=0,L778=0,M778=0),"",CADASTROS!$B$4+SUM($J$2:J778)+SUM($M$2:M778)-SUM($K$2:K778)-SUM($L$2:L778))</f>
        <v>329742.58000000333</v>
      </c>
      <c r="O778" s="72">
        <f>IF(A778="","",SUMIF(RATEIOS!$A$2:$A$3142,$A778,RATEIOS!$F$2:$F$3142))</f>
        <v>2778.73</v>
      </c>
      <c r="P778" s="15">
        <f t="shared" si="25"/>
        <v>0</v>
      </c>
      <c r="Q778" s="49" t="str">
        <f>IF(AND(J778=0,K778=0,L778=0,M778=0),"",IF(O778=0,"PENDENTE DE RATEIO",IF(ABS(P778)&gt;0.005,"DIVERGÊNCIA",IF(COUNTIF(RATEIOS!$A$2:$A$3142,$A778)-COUNTIFS(RATEIOS!$A$2:$A$3142,$A778,RATEIOS!$D$2:$D$3142,"&lt;&gt;")&gt;0,"NÃO CLASSIFICADO","RATEIO OK"))))</f>
        <v>RATEIO OK</v>
      </c>
      <c r="R778" s="49" t="s">
        <v>2553</v>
      </c>
      <c r="S778" s="14"/>
    </row>
    <row r="779" spans="1:19" ht="36" x14ac:dyDescent="0.25">
      <c r="A779" s="49" t="s">
        <v>2272</v>
      </c>
      <c r="B779" s="98">
        <v>778</v>
      </c>
      <c r="C779" s="50">
        <v>46239</v>
      </c>
      <c r="D779" s="49">
        <f t="shared" si="24"/>
        <v>8</v>
      </c>
      <c r="E779" s="92" t="s">
        <v>72</v>
      </c>
      <c r="F779" s="49" t="s">
        <v>36</v>
      </c>
      <c r="G779" s="14" t="s">
        <v>2844</v>
      </c>
      <c r="H779" s="14" t="s">
        <v>74</v>
      </c>
      <c r="I779" s="76" t="s">
        <v>2843</v>
      </c>
      <c r="J779" s="73">
        <v>0</v>
      </c>
      <c r="K779" s="74">
        <v>387.64</v>
      </c>
      <c r="L779" s="72">
        <v>0</v>
      </c>
      <c r="M779" s="72">
        <v>0</v>
      </c>
      <c r="N779" s="72">
        <f>IF(AND(C779="",J779=0,K779=0,L779=0,M779=0),"",CADASTROS!$B$4+SUM($J$2:J779)+SUM($M$2:M779)-SUM($K$2:K779)-SUM($L$2:L779))</f>
        <v>329354.9400000032</v>
      </c>
      <c r="O779" s="72">
        <f>IF(A779="","",SUMIF(RATEIOS!$A$2:$A$3142,$A779,RATEIOS!$F$2:$F$3142))</f>
        <v>387.64</v>
      </c>
      <c r="P779" s="15">
        <f t="shared" si="25"/>
        <v>0</v>
      </c>
      <c r="Q779" s="49" t="str">
        <f>IF(AND(J779=0,K779=0,L779=0,M779=0),"",IF(O779=0,"PENDENTE DE RATEIO",IF(ABS(P779)&gt;0.005,"DIVERGÊNCIA",IF(COUNTIF(RATEIOS!$A$2:$A$3142,$A779)-COUNTIFS(RATEIOS!$A$2:$A$3142,$A779,RATEIOS!$D$2:$D$3142,"&lt;&gt;")&gt;0,"NÃO CLASSIFICADO","RATEIO OK"))))</f>
        <v>RATEIO OK</v>
      </c>
      <c r="R779" s="49" t="s">
        <v>2553</v>
      </c>
      <c r="S779" s="14"/>
    </row>
    <row r="780" spans="1:19" ht="24.95" customHeight="1" x14ac:dyDescent="0.25">
      <c r="A780" s="49" t="s">
        <v>2273</v>
      </c>
      <c r="B780" s="98">
        <v>779</v>
      </c>
      <c r="C780" s="50">
        <v>46239</v>
      </c>
      <c r="D780" s="49">
        <f t="shared" si="24"/>
        <v>8</v>
      </c>
      <c r="E780" s="92" t="s">
        <v>118</v>
      </c>
      <c r="F780" s="49" t="s">
        <v>36</v>
      </c>
      <c r="G780" s="14" t="s">
        <v>1157</v>
      </c>
      <c r="H780" s="14" t="s">
        <v>143</v>
      </c>
      <c r="I780" s="76" t="s">
        <v>1020</v>
      </c>
      <c r="J780" s="73">
        <v>0</v>
      </c>
      <c r="K780" s="74">
        <v>8891.25</v>
      </c>
      <c r="L780" s="72">
        <v>0</v>
      </c>
      <c r="M780" s="72">
        <v>0</v>
      </c>
      <c r="N780" s="72">
        <f>IF(AND(C780="",J780=0,K780=0,L780=0,M780=0),"",CADASTROS!$B$4+SUM($J$2:J780)+SUM($M$2:M780)-SUM($K$2:K780)-SUM($L$2:L780))</f>
        <v>320463.6900000032</v>
      </c>
      <c r="O780" s="72">
        <f>IF(A780="","",SUMIF(RATEIOS!$A$2:$A$3142,$A780,RATEIOS!$F$2:$F$3142))</f>
        <v>8891.25</v>
      </c>
      <c r="P780" s="15">
        <f t="shared" si="25"/>
        <v>0</v>
      </c>
      <c r="Q780" s="49" t="str">
        <f>IF(AND(J780=0,K780=0,L780=0,M780=0),"",IF(O780=0,"PENDENTE DE RATEIO",IF(ABS(P780)&gt;0.005,"DIVERGÊNCIA",IF(COUNTIF(RATEIOS!$A$2:$A$3142,$A780)-COUNTIFS(RATEIOS!$A$2:$A$3142,$A780,RATEIOS!$D$2:$D$3142,"&lt;&gt;")&gt;0,"NÃO CLASSIFICADO","RATEIO OK"))))</f>
        <v>RATEIO OK</v>
      </c>
      <c r="R780" s="49" t="s">
        <v>2553</v>
      </c>
      <c r="S780" s="14"/>
    </row>
    <row r="781" spans="1:19" ht="24.95" customHeight="1" x14ac:dyDescent="0.25">
      <c r="A781" s="49" t="s">
        <v>2274</v>
      </c>
      <c r="B781" s="98">
        <v>780</v>
      </c>
      <c r="C781" s="50">
        <v>46239</v>
      </c>
      <c r="D781" s="49">
        <f t="shared" si="24"/>
        <v>8</v>
      </c>
      <c r="E781" s="92" t="s">
        <v>118</v>
      </c>
      <c r="F781" s="49" t="s">
        <v>36</v>
      </c>
      <c r="G781" s="14" t="s">
        <v>67</v>
      </c>
      <c r="H781" s="14" t="s">
        <v>67</v>
      </c>
      <c r="I781" s="76" t="s">
        <v>1158</v>
      </c>
      <c r="J781" s="73">
        <v>0</v>
      </c>
      <c r="K781" s="74">
        <v>2593</v>
      </c>
      <c r="L781" s="72">
        <v>0</v>
      </c>
      <c r="M781" s="72">
        <v>0</v>
      </c>
      <c r="N781" s="72">
        <f>IF(AND(C781="",J781=0,K781=0,L781=0,M781=0),"",CADASTROS!$B$4+SUM($J$2:J781)+SUM($M$2:M781)-SUM($K$2:K781)-SUM($L$2:L781))</f>
        <v>317870.6900000032</v>
      </c>
      <c r="O781" s="72">
        <f>IF(A781="","",SUMIF(RATEIOS!$A$2:$A$3142,$A781,RATEIOS!$F$2:$F$3142))</f>
        <v>2593</v>
      </c>
      <c r="P781" s="15">
        <f t="shared" si="25"/>
        <v>0</v>
      </c>
      <c r="Q781" s="49" t="str">
        <f>IF(AND(J781=0,K781=0,L781=0,M781=0),"",IF(O781=0,"PENDENTE DE RATEIO",IF(ABS(P781)&gt;0.005,"DIVERGÊNCIA",IF(COUNTIF(RATEIOS!$A$2:$A$3142,$A781)-COUNTIFS(RATEIOS!$A$2:$A$3142,$A781,RATEIOS!$D$2:$D$3142,"&lt;&gt;")&gt;0,"NÃO CLASSIFICADO","RATEIO OK"))))</f>
        <v>RATEIO OK</v>
      </c>
      <c r="R781" s="49" t="s">
        <v>2553</v>
      </c>
      <c r="S781" s="14"/>
    </row>
    <row r="782" spans="1:19" ht="24.95" customHeight="1" x14ac:dyDescent="0.25">
      <c r="A782" s="49" t="s">
        <v>2275</v>
      </c>
      <c r="B782" s="98">
        <v>781</v>
      </c>
      <c r="C782" s="50">
        <v>46240</v>
      </c>
      <c r="D782" s="49">
        <f t="shared" si="24"/>
        <v>8</v>
      </c>
      <c r="E782" s="92" t="s">
        <v>72</v>
      </c>
      <c r="F782" s="49" t="s">
        <v>35</v>
      </c>
      <c r="G782" s="14" t="s">
        <v>1159</v>
      </c>
      <c r="H782" s="14" t="s">
        <v>72</v>
      </c>
      <c r="I782" s="76" t="s">
        <v>412</v>
      </c>
      <c r="J782" s="73">
        <v>61.99</v>
      </c>
      <c r="K782" s="74">
        <v>0</v>
      </c>
      <c r="L782" s="72">
        <v>0</v>
      </c>
      <c r="M782" s="72">
        <v>0</v>
      </c>
      <c r="N782" s="72">
        <f>IF(AND(C782="",J782=0,K782=0,L782=0,M782=0),"",CADASTROS!$B$4+SUM($J$2:J782)+SUM($M$2:M782)-SUM($K$2:K782)-SUM($L$2:L782))</f>
        <v>317932.68000000343</v>
      </c>
      <c r="O782" s="72">
        <f>IF(A782="","",SUMIF(RATEIOS!$A$2:$A$3142,$A782,RATEIOS!$F$2:$F$3142))</f>
        <v>61.99</v>
      </c>
      <c r="P782" s="15">
        <f t="shared" si="25"/>
        <v>0</v>
      </c>
      <c r="Q782" s="49" t="str">
        <f>IF(AND(J782=0,K782=0,L782=0,M782=0),"",IF(O782=0,"PENDENTE DE RATEIO",IF(ABS(P782)&gt;0.005,"DIVERGÊNCIA",IF(COUNTIF(RATEIOS!$A$2:$A$3142,$A782)-COUNTIFS(RATEIOS!$A$2:$A$3142,$A782,RATEIOS!$D$2:$D$3142,"&lt;&gt;")&gt;0,"NÃO CLASSIFICADO","RATEIO OK"))))</f>
        <v>NÃO CLASSIFICADO</v>
      </c>
      <c r="R782" s="49" t="s">
        <v>2553</v>
      </c>
      <c r="S782" s="14" t="s">
        <v>3012</v>
      </c>
    </row>
    <row r="783" spans="1:19" ht="24.95" customHeight="1" x14ac:dyDescent="0.25">
      <c r="A783" s="49" t="s">
        <v>2276</v>
      </c>
      <c r="B783" s="98">
        <v>782</v>
      </c>
      <c r="C783" s="50">
        <v>46240</v>
      </c>
      <c r="D783" s="49">
        <f t="shared" si="24"/>
        <v>8</v>
      </c>
      <c r="E783" s="92" t="s">
        <v>72</v>
      </c>
      <c r="F783" s="49" t="s">
        <v>36</v>
      </c>
      <c r="G783" s="14" t="s">
        <v>1156</v>
      </c>
      <c r="H783" s="14" t="s">
        <v>74</v>
      </c>
      <c r="I783" s="76" t="s">
        <v>412</v>
      </c>
      <c r="J783" s="73">
        <v>0</v>
      </c>
      <c r="K783" s="74">
        <v>61.99</v>
      </c>
      <c r="L783" s="72">
        <v>0</v>
      </c>
      <c r="M783" s="72">
        <v>0</v>
      </c>
      <c r="N783" s="72">
        <f>IF(AND(C783="",J783=0,K783=0,L783=0,M783=0),"",CADASTROS!$B$4+SUM($J$2:J783)+SUM($M$2:M783)-SUM($K$2:K783)-SUM($L$2:L783))</f>
        <v>317870.6900000032</v>
      </c>
      <c r="O783" s="72">
        <f>IF(A783="","",SUMIF(RATEIOS!$A$2:$A$3142,$A783,RATEIOS!$F$2:$F$3142))</f>
        <v>61.99</v>
      </c>
      <c r="P783" s="15">
        <f t="shared" si="25"/>
        <v>0</v>
      </c>
      <c r="Q783" s="49" t="str">
        <f>IF(AND(J783=0,K783=0,L783=0,M783=0),"",IF(O783=0,"PENDENTE DE RATEIO",IF(ABS(P783)&gt;0.005,"DIVERGÊNCIA",IF(COUNTIF(RATEIOS!$A$2:$A$3142,$A783)-COUNTIFS(RATEIOS!$A$2:$A$3142,$A783,RATEIOS!$D$2:$D$3142,"&lt;&gt;")&gt;0,"NÃO CLASSIFICADO","RATEIO OK"))))</f>
        <v>NÃO CLASSIFICADO</v>
      </c>
      <c r="R783" s="49" t="s">
        <v>2553</v>
      </c>
      <c r="S783" s="14" t="s">
        <v>1160</v>
      </c>
    </row>
    <row r="784" spans="1:19" ht="24.95" customHeight="1" x14ac:dyDescent="0.25">
      <c r="A784" s="49" t="s">
        <v>2277</v>
      </c>
      <c r="B784" s="98">
        <v>783</v>
      </c>
      <c r="C784" s="50">
        <v>46240</v>
      </c>
      <c r="D784" s="49">
        <f t="shared" si="24"/>
        <v>8</v>
      </c>
      <c r="E784" s="92" t="s">
        <v>118</v>
      </c>
      <c r="F784" s="49" t="s">
        <v>36</v>
      </c>
      <c r="G784" s="14" t="s">
        <v>1161</v>
      </c>
      <c r="H784" s="14" t="s">
        <v>143</v>
      </c>
      <c r="I784" s="76" t="s">
        <v>1023</v>
      </c>
      <c r="J784" s="73">
        <v>0</v>
      </c>
      <c r="K784" s="74">
        <v>3266.25</v>
      </c>
      <c r="L784" s="72">
        <v>0</v>
      </c>
      <c r="M784" s="72">
        <v>0</v>
      </c>
      <c r="N784" s="72">
        <f>IF(AND(C784="",J784=0,K784=0,L784=0,M784=0),"",CADASTROS!$B$4+SUM($J$2:J784)+SUM($M$2:M784)-SUM($K$2:K784)-SUM($L$2:L784))</f>
        <v>314604.4400000032</v>
      </c>
      <c r="O784" s="72">
        <f>IF(A784="","",SUMIF(RATEIOS!$A$2:$A$3142,$A784,RATEIOS!$F$2:$F$3142))</f>
        <v>3266.25</v>
      </c>
      <c r="P784" s="15">
        <f t="shared" si="25"/>
        <v>0</v>
      </c>
      <c r="Q784" s="49" t="str">
        <f>IF(AND(J784=0,K784=0,L784=0,M784=0),"",IF(O784=0,"PENDENTE DE RATEIO",IF(ABS(P784)&gt;0.005,"DIVERGÊNCIA",IF(COUNTIF(RATEIOS!$A$2:$A$3142,$A784)-COUNTIFS(RATEIOS!$A$2:$A$3142,$A784,RATEIOS!$D$2:$D$3142,"&lt;&gt;")&gt;0,"NÃO CLASSIFICADO","RATEIO OK"))))</f>
        <v>RATEIO OK</v>
      </c>
      <c r="R784" s="49" t="s">
        <v>2553</v>
      </c>
      <c r="S784" s="14"/>
    </row>
    <row r="785" spans="1:19" ht="24.95" customHeight="1" x14ac:dyDescent="0.25">
      <c r="A785" s="49" t="s">
        <v>2278</v>
      </c>
      <c r="B785" s="98">
        <v>784</v>
      </c>
      <c r="C785" s="50">
        <v>46240</v>
      </c>
      <c r="D785" s="49">
        <f t="shared" si="24"/>
        <v>8</v>
      </c>
      <c r="E785" s="92" t="s">
        <v>118</v>
      </c>
      <c r="F785" s="49" t="s">
        <v>36</v>
      </c>
      <c r="G785" s="14" t="s">
        <v>2837</v>
      </c>
      <c r="H785" s="14" t="s">
        <v>188</v>
      </c>
      <c r="I785" s="76" t="s">
        <v>1163</v>
      </c>
      <c r="J785" s="73">
        <v>0</v>
      </c>
      <c r="K785" s="74">
        <v>2560</v>
      </c>
      <c r="L785" s="72">
        <v>0</v>
      </c>
      <c r="M785" s="72">
        <v>0</v>
      </c>
      <c r="N785" s="72">
        <f>IF(AND(C785="",J785=0,K785=0,L785=0,M785=0),"",CADASTROS!$B$4+SUM($J$2:J785)+SUM($M$2:M785)-SUM($K$2:K785)-SUM($L$2:L785))</f>
        <v>312044.4400000032</v>
      </c>
      <c r="O785" s="72">
        <f>IF(A785="","",SUMIF(RATEIOS!$A$2:$A$3142,$A785,RATEIOS!$F$2:$F$3142))</f>
        <v>2560</v>
      </c>
      <c r="P785" s="15">
        <f t="shared" si="25"/>
        <v>0</v>
      </c>
      <c r="Q785" s="49" t="str">
        <f>IF(AND(J785=0,K785=0,L785=0,M785=0),"",IF(O785=0,"PENDENTE DE RATEIO",IF(ABS(P785)&gt;0.005,"DIVERGÊNCIA",IF(COUNTIF(RATEIOS!$A$2:$A$3142,$A785)-COUNTIFS(RATEIOS!$A$2:$A$3142,$A785,RATEIOS!$D$2:$D$3142,"&lt;&gt;")&gt;0,"NÃO CLASSIFICADO","RATEIO OK"))))</f>
        <v>RATEIO OK</v>
      </c>
      <c r="R785" s="49" t="s">
        <v>2553</v>
      </c>
      <c r="S785" s="14"/>
    </row>
    <row r="786" spans="1:19" ht="24.95" customHeight="1" x14ac:dyDescent="0.25">
      <c r="A786" s="49" t="s">
        <v>2279</v>
      </c>
      <c r="B786" s="98">
        <v>785</v>
      </c>
      <c r="C786" s="50">
        <v>46241</v>
      </c>
      <c r="D786" s="49">
        <f t="shared" si="24"/>
        <v>8</v>
      </c>
      <c r="E786" s="92" t="s">
        <v>123</v>
      </c>
      <c r="F786" s="49" t="s">
        <v>36</v>
      </c>
      <c r="G786" s="14" t="s">
        <v>1164</v>
      </c>
      <c r="H786" s="14" t="s">
        <v>123</v>
      </c>
      <c r="I786" s="76" t="s">
        <v>412</v>
      </c>
      <c r="J786" s="73">
        <v>0</v>
      </c>
      <c r="K786" s="74">
        <v>72727.03</v>
      </c>
      <c r="L786" s="72">
        <v>0</v>
      </c>
      <c r="M786" s="72">
        <v>0</v>
      </c>
      <c r="N786" s="72">
        <f>IF(AND(C786="",J786=0,K786=0,L786=0,M786=0),"",CADASTROS!$B$4+SUM($J$2:J786)+SUM($M$2:M786)-SUM($K$2:K786)-SUM($L$2:L786))</f>
        <v>239317.41000000294</v>
      </c>
      <c r="O786" s="72">
        <f>IF(A786="","",SUMIF(RATEIOS!$A$2:$A$3142,$A786,RATEIOS!$F$2:$F$3142))</f>
        <v>72727.03</v>
      </c>
      <c r="P786" s="15">
        <f t="shared" si="25"/>
        <v>0</v>
      </c>
      <c r="Q786" s="49" t="str">
        <f>IF(AND(J786=0,K786=0,L786=0,M786=0),"",IF(O786=0,"PENDENTE DE RATEIO",IF(ABS(P786)&gt;0.005,"DIVERGÊNCIA",IF(COUNTIF(RATEIOS!$A$2:$A$3142,$A786)-COUNTIFS(RATEIOS!$A$2:$A$3142,$A786,RATEIOS!$D$2:$D$3142,"&lt;&gt;")&gt;0,"NÃO CLASSIFICADO","RATEIO OK"))))</f>
        <v>RATEIO OK</v>
      </c>
      <c r="R786" s="49" t="s">
        <v>2553</v>
      </c>
      <c r="S786" s="14"/>
    </row>
    <row r="787" spans="1:19" ht="24.95" customHeight="1" x14ac:dyDescent="0.25">
      <c r="A787" s="49" t="s">
        <v>2280</v>
      </c>
      <c r="B787" s="98">
        <v>786</v>
      </c>
      <c r="C787" s="50">
        <v>46241</v>
      </c>
      <c r="D787" s="49">
        <f t="shared" si="24"/>
        <v>8</v>
      </c>
      <c r="E787" s="92" t="s">
        <v>72</v>
      </c>
      <c r="F787" s="49" t="s">
        <v>36</v>
      </c>
      <c r="G787" s="14" t="s">
        <v>1165</v>
      </c>
      <c r="H787" s="14" t="s">
        <v>1166</v>
      </c>
      <c r="I787" s="76" t="s">
        <v>1167</v>
      </c>
      <c r="J787" s="73">
        <v>0</v>
      </c>
      <c r="K787" s="74">
        <v>219.9</v>
      </c>
      <c r="L787" s="72">
        <v>0</v>
      </c>
      <c r="M787" s="72">
        <v>0</v>
      </c>
      <c r="N787" s="72">
        <f>IF(AND(C787="",J787=0,K787=0,L787=0,M787=0),"",CADASTROS!$B$4+SUM($J$2:J787)+SUM($M$2:M787)-SUM($K$2:K787)-SUM($L$2:L787))</f>
        <v>239097.51000000257</v>
      </c>
      <c r="O787" s="72">
        <f>IF(A787="","",SUMIF(RATEIOS!$A$2:$A$3142,$A787,RATEIOS!$F$2:$F$3142))</f>
        <v>219.9</v>
      </c>
      <c r="P787" s="15">
        <f t="shared" si="25"/>
        <v>0</v>
      </c>
      <c r="Q787" s="49" t="str">
        <f>IF(AND(J787=0,K787=0,L787=0,M787=0),"",IF(O787=0,"PENDENTE DE RATEIO",IF(ABS(P787)&gt;0.005,"DIVERGÊNCIA",IF(COUNTIF(RATEIOS!$A$2:$A$3142,$A787)-COUNTIFS(RATEIOS!$A$2:$A$3142,$A787,RATEIOS!$D$2:$D$3142,"&lt;&gt;")&gt;0,"NÃO CLASSIFICADO","RATEIO OK"))))</f>
        <v>RATEIO OK</v>
      </c>
      <c r="R787" s="49" t="s">
        <v>2553</v>
      </c>
      <c r="S787" s="14"/>
    </row>
    <row r="788" spans="1:19" ht="24.95" customHeight="1" x14ac:dyDescent="0.25">
      <c r="A788" s="49" t="s">
        <v>2281</v>
      </c>
      <c r="B788" s="98">
        <v>787</v>
      </c>
      <c r="C788" s="50">
        <v>46241</v>
      </c>
      <c r="D788" s="49">
        <f t="shared" si="24"/>
        <v>8</v>
      </c>
      <c r="E788" s="92" t="s">
        <v>2556</v>
      </c>
      <c r="F788" s="49" t="s">
        <v>36</v>
      </c>
      <c r="G788" s="14" t="s">
        <v>276</v>
      </c>
      <c r="H788" s="14" t="s">
        <v>277</v>
      </c>
      <c r="I788" s="76" t="s">
        <v>412</v>
      </c>
      <c r="J788" s="73">
        <v>0</v>
      </c>
      <c r="K788" s="74">
        <v>41.63</v>
      </c>
      <c r="L788" s="72">
        <v>0</v>
      </c>
      <c r="M788" s="72">
        <v>0</v>
      </c>
      <c r="N788" s="72">
        <f>IF(AND(C788="",J788=0,K788=0,L788=0,M788=0),"",CADASTROS!$B$4+SUM($J$2:J788)+SUM($M$2:M788)-SUM($K$2:K788)-SUM($L$2:L788))</f>
        <v>239055.88000000268</v>
      </c>
      <c r="O788" s="72">
        <f>IF(A788="","",SUMIF(RATEIOS!$A$2:$A$3142,$A788,RATEIOS!$F$2:$F$3142))</f>
        <v>41.63</v>
      </c>
      <c r="P788" s="15">
        <f t="shared" si="25"/>
        <v>0</v>
      </c>
      <c r="Q788" s="49" t="str">
        <f>IF(AND(J788=0,K788=0,L788=0,M788=0),"",IF(O788=0,"PENDENTE DE RATEIO",IF(ABS(P788)&gt;0.005,"DIVERGÊNCIA",IF(COUNTIF(RATEIOS!$A$2:$A$3142,$A788)-COUNTIFS(RATEIOS!$A$2:$A$3142,$A788,RATEIOS!$D$2:$D$3142,"&lt;&gt;")&gt;0,"NÃO CLASSIFICADO","RATEIO OK"))))</f>
        <v>RATEIO OK</v>
      </c>
      <c r="R788" s="49" t="s">
        <v>2553</v>
      </c>
      <c r="S788" s="14"/>
    </row>
    <row r="789" spans="1:19" ht="24.95" customHeight="1" x14ac:dyDescent="0.25">
      <c r="A789" s="49" t="s">
        <v>2282</v>
      </c>
      <c r="B789" s="98">
        <v>788</v>
      </c>
      <c r="C789" s="50">
        <v>46241</v>
      </c>
      <c r="D789" s="49">
        <f t="shared" si="24"/>
        <v>8</v>
      </c>
      <c r="E789" s="92" t="s">
        <v>118</v>
      </c>
      <c r="F789" s="49" t="s">
        <v>36</v>
      </c>
      <c r="G789" s="14" t="s">
        <v>3034</v>
      </c>
      <c r="H789" s="14" t="s">
        <v>1169</v>
      </c>
      <c r="I789" s="76" t="s">
        <v>1170</v>
      </c>
      <c r="J789" s="73">
        <v>0</v>
      </c>
      <c r="K789" s="74">
        <v>1030.94</v>
      </c>
      <c r="L789" s="72">
        <v>0</v>
      </c>
      <c r="M789" s="72">
        <v>0</v>
      </c>
      <c r="N789" s="72">
        <f>IF(AND(C789="",J789=0,K789=0,L789=0,M789=0),"",CADASTROS!$B$4+SUM($J$2:J789)+SUM($M$2:M789)-SUM($K$2:K789)-SUM($L$2:L789))</f>
        <v>238024.94000000227</v>
      </c>
      <c r="O789" s="72">
        <f>IF(A789="","",SUMIF(RATEIOS!$A$2:$A$3142,$A789,RATEIOS!$F$2:$F$3142))</f>
        <v>1030.94</v>
      </c>
      <c r="P789" s="15">
        <f t="shared" si="25"/>
        <v>0</v>
      </c>
      <c r="Q789" s="49" t="str">
        <f>IF(AND(J789=0,K789=0,L789=0,M789=0),"",IF(O789=0,"PENDENTE DE RATEIO",IF(ABS(P789)&gt;0.005,"DIVERGÊNCIA",IF(COUNTIF(RATEIOS!$A$2:$A$3142,$A789)-COUNTIFS(RATEIOS!$A$2:$A$3142,$A789,RATEIOS!$D$2:$D$3142,"&lt;&gt;")&gt;0,"NÃO CLASSIFICADO","RATEIO OK"))))</f>
        <v>RATEIO OK</v>
      </c>
      <c r="R789" s="49" t="s">
        <v>2553</v>
      </c>
      <c r="S789" s="14"/>
    </row>
    <row r="790" spans="1:19" ht="24.95" customHeight="1" x14ac:dyDescent="0.25">
      <c r="A790" s="49" t="s">
        <v>2283</v>
      </c>
      <c r="B790" s="98">
        <v>789</v>
      </c>
      <c r="C790" s="50">
        <v>46244</v>
      </c>
      <c r="D790" s="49">
        <f t="shared" si="24"/>
        <v>8</v>
      </c>
      <c r="E790" s="92" t="s">
        <v>118</v>
      </c>
      <c r="F790" s="49" t="s">
        <v>36</v>
      </c>
      <c r="G790" s="14" t="s">
        <v>1171</v>
      </c>
      <c r="H790" s="14" t="s">
        <v>92</v>
      </c>
      <c r="I790" s="76" t="s">
        <v>93</v>
      </c>
      <c r="J790" s="73">
        <v>0</v>
      </c>
      <c r="K790" s="74">
        <v>1935.4</v>
      </c>
      <c r="L790" s="72">
        <v>0</v>
      </c>
      <c r="M790" s="72">
        <v>0</v>
      </c>
      <c r="N790" s="72">
        <f>IF(AND(C790="",J790=0,K790=0,L790=0,M790=0),"",CADASTROS!$B$4+SUM($J$2:J790)+SUM($M$2:M790)-SUM($K$2:K790)-SUM($L$2:L790))</f>
        <v>236089.5400000019</v>
      </c>
      <c r="O790" s="72">
        <f>IF(A790="","",SUMIF(RATEIOS!$A$2:$A$3142,$A790,RATEIOS!$F$2:$F$3142))</f>
        <v>1935.4</v>
      </c>
      <c r="P790" s="15">
        <f t="shared" si="25"/>
        <v>0</v>
      </c>
      <c r="Q790" s="49" t="str">
        <f>IF(AND(J790=0,K790=0,L790=0,M790=0),"",IF(O790=0,"PENDENTE DE RATEIO",IF(ABS(P790)&gt;0.005,"DIVERGÊNCIA",IF(COUNTIF(RATEIOS!$A$2:$A$3142,$A790)-COUNTIFS(RATEIOS!$A$2:$A$3142,$A790,RATEIOS!$D$2:$D$3142,"&lt;&gt;")&gt;0,"NÃO CLASSIFICADO","RATEIO OK"))))</f>
        <v>RATEIO OK</v>
      </c>
      <c r="R790" s="49" t="s">
        <v>2553</v>
      </c>
      <c r="S790" s="14"/>
    </row>
    <row r="791" spans="1:19" ht="24.95" customHeight="1" x14ac:dyDescent="0.25">
      <c r="A791" s="49" t="s">
        <v>2284</v>
      </c>
      <c r="B791" s="98">
        <v>790</v>
      </c>
      <c r="C791" s="50">
        <v>46244</v>
      </c>
      <c r="D791" s="49">
        <f t="shared" si="24"/>
        <v>8</v>
      </c>
      <c r="E791" s="92" t="s">
        <v>118</v>
      </c>
      <c r="F791" s="49" t="s">
        <v>36</v>
      </c>
      <c r="G791" s="14" t="s">
        <v>80</v>
      </c>
      <c r="H791" s="14" t="s">
        <v>81</v>
      </c>
      <c r="I791" s="76" t="s">
        <v>1172</v>
      </c>
      <c r="J791" s="73">
        <v>0</v>
      </c>
      <c r="K791" s="74">
        <v>7251.45</v>
      </c>
      <c r="L791" s="72">
        <v>0</v>
      </c>
      <c r="M791" s="72">
        <v>0</v>
      </c>
      <c r="N791" s="72">
        <f>IF(AND(C791="",J791=0,K791=0,L791=0,M791=0),"",CADASTROS!$B$4+SUM($J$2:J791)+SUM($M$2:M791)-SUM($K$2:K791)-SUM($L$2:L791))</f>
        <v>228838.09000000171</v>
      </c>
      <c r="O791" s="72">
        <f>IF(A791="","",SUMIF(RATEIOS!$A$2:$A$3142,$A791,RATEIOS!$F$2:$F$3142))</f>
        <v>7251.45</v>
      </c>
      <c r="P791" s="15">
        <f t="shared" si="25"/>
        <v>0</v>
      </c>
      <c r="Q791" s="49" t="str">
        <f>IF(AND(J791=0,K791=0,L791=0,M791=0),"",IF(O791=0,"PENDENTE DE RATEIO",IF(ABS(P791)&gt;0.005,"DIVERGÊNCIA",IF(COUNTIF(RATEIOS!$A$2:$A$3142,$A791)-COUNTIFS(RATEIOS!$A$2:$A$3142,$A791,RATEIOS!$D$2:$D$3142,"&lt;&gt;")&gt;0,"NÃO CLASSIFICADO","RATEIO OK"))))</f>
        <v>RATEIO OK</v>
      </c>
      <c r="R791" s="49" t="s">
        <v>2553</v>
      </c>
      <c r="S791" s="14"/>
    </row>
    <row r="792" spans="1:19" ht="24.95" customHeight="1" x14ac:dyDescent="0.25">
      <c r="A792" s="49" t="s">
        <v>2285</v>
      </c>
      <c r="B792" s="98">
        <v>791</v>
      </c>
      <c r="C792" s="50">
        <v>46244</v>
      </c>
      <c r="D792" s="49">
        <f t="shared" si="24"/>
        <v>8</v>
      </c>
      <c r="E792" s="92" t="s">
        <v>118</v>
      </c>
      <c r="F792" s="49" t="s">
        <v>36</v>
      </c>
      <c r="G792" s="14" t="s">
        <v>398</v>
      </c>
      <c r="H792" s="14" t="s">
        <v>265</v>
      </c>
      <c r="I792" s="76" t="s">
        <v>1173</v>
      </c>
      <c r="J792" s="73">
        <v>0</v>
      </c>
      <c r="K792" s="74">
        <v>1909.4</v>
      </c>
      <c r="L792" s="72">
        <v>0</v>
      </c>
      <c r="M792" s="72">
        <v>0</v>
      </c>
      <c r="N792" s="72">
        <f>IF(AND(C792="",J792=0,K792=0,L792=0,M792=0),"",CADASTROS!$B$4+SUM($J$2:J792)+SUM($M$2:M792)-SUM($K$2:K792)-SUM($L$2:L792))</f>
        <v>226928.69000000134</v>
      </c>
      <c r="O792" s="72">
        <f>IF(A792="","",SUMIF(RATEIOS!$A$2:$A$3142,$A792,RATEIOS!$F$2:$F$3142))</f>
        <v>1909.4</v>
      </c>
      <c r="P792" s="15">
        <f t="shared" si="25"/>
        <v>0</v>
      </c>
      <c r="Q792" s="49" t="str">
        <f>IF(AND(J792=0,K792=0,L792=0,M792=0),"",IF(O792=0,"PENDENTE DE RATEIO",IF(ABS(P792)&gt;0.005,"DIVERGÊNCIA",IF(COUNTIF(RATEIOS!$A$2:$A$3142,$A792)-COUNTIFS(RATEIOS!$A$2:$A$3142,$A792,RATEIOS!$D$2:$D$3142,"&lt;&gt;")&gt;0,"NÃO CLASSIFICADO","RATEIO OK"))))</f>
        <v>RATEIO OK</v>
      </c>
      <c r="R792" s="49" t="s">
        <v>2553</v>
      </c>
      <c r="S792" s="14"/>
    </row>
    <row r="793" spans="1:19" ht="24.95" customHeight="1" x14ac:dyDescent="0.25">
      <c r="A793" s="49" t="s">
        <v>2286</v>
      </c>
      <c r="B793" s="98">
        <v>792</v>
      </c>
      <c r="C793" s="50">
        <v>46244</v>
      </c>
      <c r="D793" s="49">
        <f t="shared" si="24"/>
        <v>8</v>
      </c>
      <c r="E793" s="92" t="s">
        <v>118</v>
      </c>
      <c r="F793" s="49" t="s">
        <v>36</v>
      </c>
      <c r="G793" s="14" t="s">
        <v>1174</v>
      </c>
      <c r="H793" s="14" t="s">
        <v>143</v>
      </c>
      <c r="I793" s="76" t="s">
        <v>1175</v>
      </c>
      <c r="J793" s="73">
        <v>0</v>
      </c>
      <c r="K793" s="74">
        <v>8208.5</v>
      </c>
      <c r="L793" s="72">
        <v>0</v>
      </c>
      <c r="M793" s="72">
        <v>0</v>
      </c>
      <c r="N793" s="72">
        <f>IF(AND(C793="",J793=0,K793=0,L793=0,M793=0),"",CADASTROS!$B$4+SUM($J$2:J793)+SUM($M$2:M793)-SUM($K$2:K793)-SUM($L$2:L793))</f>
        <v>218720.19000000134</v>
      </c>
      <c r="O793" s="72">
        <f>IF(A793="","",SUMIF(RATEIOS!$A$2:$A$3142,$A793,RATEIOS!$F$2:$F$3142))</f>
        <v>8208.5</v>
      </c>
      <c r="P793" s="15">
        <f t="shared" si="25"/>
        <v>0</v>
      </c>
      <c r="Q793" s="49" t="str">
        <f>IF(AND(J793=0,K793=0,L793=0,M793=0),"",IF(O793=0,"PENDENTE DE RATEIO",IF(ABS(P793)&gt;0.005,"DIVERGÊNCIA",IF(COUNTIF(RATEIOS!$A$2:$A$3142,$A793)-COUNTIFS(RATEIOS!$A$2:$A$3142,$A793,RATEIOS!$D$2:$D$3142,"&lt;&gt;")&gt;0,"NÃO CLASSIFICADO","RATEIO OK"))))</f>
        <v>RATEIO OK</v>
      </c>
      <c r="R793" s="49" t="s">
        <v>2553</v>
      </c>
      <c r="S793" s="14"/>
    </row>
    <row r="794" spans="1:19" ht="24.95" customHeight="1" x14ac:dyDescent="0.25">
      <c r="A794" s="49" t="s">
        <v>2287</v>
      </c>
      <c r="B794" s="98">
        <v>793</v>
      </c>
      <c r="C794" s="50">
        <v>46244</v>
      </c>
      <c r="D794" s="49">
        <f t="shared" si="24"/>
        <v>8</v>
      </c>
      <c r="E794" s="92" t="s">
        <v>118</v>
      </c>
      <c r="F794" s="49" t="s">
        <v>36</v>
      </c>
      <c r="G794" s="14" t="s">
        <v>119</v>
      </c>
      <c r="H794" s="14" t="s">
        <v>120</v>
      </c>
      <c r="I794" s="76" t="s">
        <v>412</v>
      </c>
      <c r="J794" s="73">
        <v>0</v>
      </c>
      <c r="K794" s="74">
        <v>149.9</v>
      </c>
      <c r="L794" s="72">
        <v>0</v>
      </c>
      <c r="M794" s="72">
        <v>0</v>
      </c>
      <c r="N794" s="72">
        <f>IF(AND(C794="",J794=0,K794=0,L794=0,M794=0),"",CADASTROS!$B$4+SUM($J$2:J794)+SUM($M$2:M794)-SUM($K$2:K794)-SUM($L$2:L794))</f>
        <v>218570.29000000097</v>
      </c>
      <c r="O794" s="72">
        <f>IF(A794="","",SUMIF(RATEIOS!$A$2:$A$3142,$A794,RATEIOS!$F$2:$F$3142))</f>
        <v>149.9</v>
      </c>
      <c r="P794" s="15">
        <f t="shared" si="25"/>
        <v>0</v>
      </c>
      <c r="Q794" s="49" t="str">
        <f>IF(AND(J794=0,K794=0,L794=0,M794=0),"",IF(O794=0,"PENDENTE DE RATEIO",IF(ABS(P794)&gt;0.005,"DIVERGÊNCIA",IF(COUNTIF(RATEIOS!$A$2:$A$3142,$A794)-COUNTIFS(RATEIOS!$A$2:$A$3142,$A794,RATEIOS!$D$2:$D$3142,"&lt;&gt;")&gt;0,"NÃO CLASSIFICADO","RATEIO OK"))))</f>
        <v>RATEIO OK</v>
      </c>
      <c r="R794" s="49" t="s">
        <v>2553</v>
      </c>
      <c r="S794" s="14"/>
    </row>
    <row r="795" spans="1:19" ht="24.95" customHeight="1" x14ac:dyDescent="0.25">
      <c r="A795" s="49" t="s">
        <v>2288</v>
      </c>
      <c r="B795" s="98">
        <v>794</v>
      </c>
      <c r="C795" s="50">
        <v>46244</v>
      </c>
      <c r="D795" s="49">
        <f t="shared" si="24"/>
        <v>8</v>
      </c>
      <c r="E795" s="92" t="s">
        <v>118</v>
      </c>
      <c r="F795" s="49" t="s">
        <v>36</v>
      </c>
      <c r="G795" s="14" t="s">
        <v>1176</v>
      </c>
      <c r="H795" s="14" t="s">
        <v>191</v>
      </c>
      <c r="I795" s="76" t="s">
        <v>1041</v>
      </c>
      <c r="J795" s="73">
        <v>0</v>
      </c>
      <c r="K795" s="74">
        <v>390.84</v>
      </c>
      <c r="L795" s="72">
        <v>0</v>
      </c>
      <c r="M795" s="72">
        <v>0</v>
      </c>
      <c r="N795" s="72">
        <f>IF(AND(C795="",J795=0,K795=0,L795=0,M795=0),"",CADASTROS!$B$4+SUM($J$2:J795)+SUM($M$2:M795)-SUM($K$2:K795)-SUM($L$2:L795))</f>
        <v>218179.45000000112</v>
      </c>
      <c r="O795" s="72">
        <f>IF(A795="","",SUMIF(RATEIOS!$A$2:$A$3142,$A795,RATEIOS!$F$2:$F$3142))</f>
        <v>390.84</v>
      </c>
      <c r="P795" s="15">
        <f t="shared" si="25"/>
        <v>0</v>
      </c>
      <c r="Q795" s="49" t="str">
        <f>IF(AND(J795=0,K795=0,L795=0,M795=0),"",IF(O795=0,"PENDENTE DE RATEIO",IF(ABS(P795)&gt;0.005,"DIVERGÊNCIA",IF(COUNTIF(RATEIOS!$A$2:$A$3142,$A795)-COUNTIFS(RATEIOS!$A$2:$A$3142,$A795,RATEIOS!$D$2:$D$3142,"&lt;&gt;")&gt;0,"NÃO CLASSIFICADO","RATEIO OK"))))</f>
        <v>RATEIO OK</v>
      </c>
      <c r="R795" s="49" t="s">
        <v>2553</v>
      </c>
      <c r="S795" s="14"/>
    </row>
    <row r="796" spans="1:19" ht="24.95" customHeight="1" x14ac:dyDescent="0.25">
      <c r="A796" s="49" t="s">
        <v>2289</v>
      </c>
      <c r="B796" s="98">
        <v>795</v>
      </c>
      <c r="C796" s="50">
        <v>46244</v>
      </c>
      <c r="D796" s="49">
        <f t="shared" si="24"/>
        <v>8</v>
      </c>
      <c r="E796" s="92" t="s">
        <v>118</v>
      </c>
      <c r="F796" s="49" t="s">
        <v>36</v>
      </c>
      <c r="G796" s="14" t="s">
        <v>1177</v>
      </c>
      <c r="H796" s="14" t="s">
        <v>191</v>
      </c>
      <c r="I796" s="76" t="s">
        <v>1039</v>
      </c>
      <c r="J796" s="73">
        <v>0</v>
      </c>
      <c r="K796" s="74">
        <v>1126.52</v>
      </c>
      <c r="L796" s="72">
        <v>0</v>
      </c>
      <c r="M796" s="72">
        <v>0</v>
      </c>
      <c r="N796" s="72">
        <f>IF(AND(C796="",J796=0,K796=0,L796=0,M796=0),"",CADASTROS!$B$4+SUM($J$2:J796)+SUM($M$2:M796)-SUM($K$2:K796)-SUM($L$2:L796))</f>
        <v>217052.93000000156</v>
      </c>
      <c r="O796" s="72">
        <f>IF(A796="","",SUMIF(RATEIOS!$A$2:$A$3142,$A796,RATEIOS!$F$2:$F$3142))</f>
        <v>1126.52</v>
      </c>
      <c r="P796" s="15">
        <f t="shared" si="25"/>
        <v>0</v>
      </c>
      <c r="Q796" s="49" t="str">
        <f>IF(AND(J796=0,K796=0,L796=0,M796=0),"",IF(O796=0,"PENDENTE DE RATEIO",IF(ABS(P796)&gt;0.005,"DIVERGÊNCIA",IF(COUNTIF(RATEIOS!$A$2:$A$3142,$A796)-COUNTIFS(RATEIOS!$A$2:$A$3142,$A796,RATEIOS!$D$2:$D$3142,"&lt;&gt;")&gt;0,"NÃO CLASSIFICADO","RATEIO OK"))))</f>
        <v>RATEIO OK</v>
      </c>
      <c r="R796" s="49" t="s">
        <v>2553</v>
      </c>
      <c r="S796" s="14"/>
    </row>
    <row r="797" spans="1:19" ht="24.95" customHeight="1" x14ac:dyDescent="0.25">
      <c r="A797" s="49" t="s">
        <v>2290</v>
      </c>
      <c r="B797" s="98">
        <v>796</v>
      </c>
      <c r="C797" s="50">
        <v>46244</v>
      </c>
      <c r="D797" s="49">
        <f t="shared" si="24"/>
        <v>8</v>
      </c>
      <c r="E797" s="92" t="s">
        <v>118</v>
      </c>
      <c r="F797" s="49" t="s">
        <v>36</v>
      </c>
      <c r="G797" s="14" t="s">
        <v>1178</v>
      </c>
      <c r="H797" s="96" t="s">
        <v>2753</v>
      </c>
      <c r="I797" s="76" t="s">
        <v>1179</v>
      </c>
      <c r="J797" s="73">
        <v>0</v>
      </c>
      <c r="K797" s="74">
        <v>1600</v>
      </c>
      <c r="L797" s="72">
        <v>0</v>
      </c>
      <c r="M797" s="72">
        <v>0</v>
      </c>
      <c r="N797" s="72">
        <f>IF(AND(C797="",J797=0,K797=0,L797=0,M797=0),"",CADASTROS!$B$4+SUM($J$2:J797)+SUM($M$2:M797)-SUM($K$2:K797)-SUM($L$2:L797))</f>
        <v>215452.93000000156</v>
      </c>
      <c r="O797" s="72">
        <f>IF(A797="","",SUMIF(RATEIOS!$A$2:$A$3142,$A797,RATEIOS!$F$2:$F$3142))</f>
        <v>1600</v>
      </c>
      <c r="P797" s="15">
        <f t="shared" si="25"/>
        <v>0</v>
      </c>
      <c r="Q797" s="49" t="str">
        <f>IF(AND(J797=0,K797=0,L797=0,M797=0),"",IF(O797=0,"PENDENTE DE RATEIO",IF(ABS(P797)&gt;0.005,"DIVERGÊNCIA",IF(COUNTIF(RATEIOS!$A$2:$A$3142,$A797)-COUNTIFS(RATEIOS!$A$2:$A$3142,$A797,RATEIOS!$D$2:$D$3142,"&lt;&gt;")&gt;0,"NÃO CLASSIFICADO","RATEIO OK"))))</f>
        <v>RATEIO OK</v>
      </c>
      <c r="R797" s="49" t="s">
        <v>2553</v>
      </c>
      <c r="S797" s="14"/>
    </row>
    <row r="798" spans="1:19" ht="24.95" customHeight="1" x14ac:dyDescent="0.25">
      <c r="A798" s="49" t="s">
        <v>2291</v>
      </c>
      <c r="B798" s="98">
        <v>797</v>
      </c>
      <c r="C798" s="50">
        <v>46244</v>
      </c>
      <c r="D798" s="49">
        <f t="shared" si="24"/>
        <v>8</v>
      </c>
      <c r="E798" s="92" t="s">
        <v>2556</v>
      </c>
      <c r="F798" s="49" t="s">
        <v>36</v>
      </c>
      <c r="G798" s="14" t="s">
        <v>297</v>
      </c>
      <c r="H798" s="14" t="s">
        <v>117</v>
      </c>
      <c r="I798" s="76" t="s">
        <v>412</v>
      </c>
      <c r="J798" s="73">
        <v>0</v>
      </c>
      <c r="K798" s="74">
        <v>275</v>
      </c>
      <c r="L798" s="72">
        <v>0</v>
      </c>
      <c r="M798" s="72">
        <v>0</v>
      </c>
      <c r="N798" s="72">
        <f>IF(AND(C798="",J798=0,K798=0,L798=0,M798=0),"",CADASTROS!$B$4+SUM($J$2:J798)+SUM($M$2:M798)-SUM($K$2:K798)-SUM($L$2:L798))</f>
        <v>215177.93000000156</v>
      </c>
      <c r="O798" s="72">
        <f>IF(A798="","",SUMIF(RATEIOS!$A$2:$A$3142,$A798,RATEIOS!$F$2:$F$3142))</f>
        <v>275</v>
      </c>
      <c r="P798" s="15">
        <f t="shared" si="25"/>
        <v>0</v>
      </c>
      <c r="Q798" s="49" t="str">
        <f>IF(AND(J798=0,K798=0,L798=0,M798=0),"",IF(O798=0,"PENDENTE DE RATEIO",IF(ABS(P798)&gt;0.005,"DIVERGÊNCIA",IF(COUNTIF(RATEIOS!$A$2:$A$3142,$A798)-COUNTIFS(RATEIOS!$A$2:$A$3142,$A798,RATEIOS!$D$2:$D$3142,"&lt;&gt;")&gt;0,"NÃO CLASSIFICADO","RATEIO OK"))))</f>
        <v>RATEIO OK</v>
      </c>
      <c r="R798" s="49" t="s">
        <v>2553</v>
      </c>
      <c r="S798" s="14"/>
    </row>
    <row r="799" spans="1:19" ht="24.95" customHeight="1" x14ac:dyDescent="0.25">
      <c r="A799" s="49" t="s">
        <v>2292</v>
      </c>
      <c r="B799" s="98">
        <v>798</v>
      </c>
      <c r="C799" s="50">
        <v>46245</v>
      </c>
      <c r="D799" s="49">
        <f t="shared" si="24"/>
        <v>8</v>
      </c>
      <c r="E799" s="92" t="s">
        <v>287</v>
      </c>
      <c r="F799" s="49" t="s">
        <v>35</v>
      </c>
      <c r="G799" s="14" t="s">
        <v>1180</v>
      </c>
      <c r="H799" s="14" t="s">
        <v>2737</v>
      </c>
      <c r="I799" s="76" t="s">
        <v>412</v>
      </c>
      <c r="J799" s="73">
        <v>36168.61</v>
      </c>
      <c r="K799" s="74">
        <v>0</v>
      </c>
      <c r="L799" s="72">
        <v>0</v>
      </c>
      <c r="M799" s="72">
        <v>0</v>
      </c>
      <c r="N799" s="72">
        <f>IF(AND(C799="",J799=0,K799=0,L799=0,M799=0),"",CADASTROS!$B$4+SUM($J$2:J799)+SUM($M$2:M799)-SUM($K$2:K799)-SUM($L$2:L799))</f>
        <v>251346.54000000097</v>
      </c>
      <c r="O799" s="72">
        <f>IF(A799="","",SUMIF(RATEIOS!$A$2:$A$3142,$A799,RATEIOS!$F$2:$F$3142))</f>
        <v>36168.61</v>
      </c>
      <c r="P799" s="15">
        <f t="shared" si="25"/>
        <v>0</v>
      </c>
      <c r="Q799" s="49" t="str">
        <f>IF(AND(J799=0,K799=0,L799=0,M799=0),"",IF(O799=0,"PENDENTE DE RATEIO",IF(ABS(P799)&gt;0.005,"DIVERGÊNCIA",IF(COUNTIF(RATEIOS!$A$2:$A$3142,$A799)-COUNTIFS(RATEIOS!$A$2:$A$3142,$A799,RATEIOS!$D$2:$D$3142,"&lt;&gt;")&gt;0,"NÃO CLASSIFICADO","RATEIO OK"))))</f>
        <v>RATEIO OK</v>
      </c>
      <c r="R799" s="49" t="s">
        <v>2553</v>
      </c>
      <c r="S799" s="14"/>
    </row>
    <row r="800" spans="1:19" ht="24.95" customHeight="1" x14ac:dyDescent="0.25">
      <c r="A800" s="49" t="s">
        <v>2293</v>
      </c>
      <c r="B800" s="98">
        <v>799</v>
      </c>
      <c r="C800" s="50">
        <v>46245</v>
      </c>
      <c r="D800" s="49">
        <f t="shared" si="24"/>
        <v>8</v>
      </c>
      <c r="E800" s="92" t="s">
        <v>118</v>
      </c>
      <c r="F800" s="49" t="s">
        <v>36</v>
      </c>
      <c r="G800" s="14" t="s">
        <v>1181</v>
      </c>
      <c r="H800" s="14" t="s">
        <v>125</v>
      </c>
      <c r="I800" s="76" t="s">
        <v>412</v>
      </c>
      <c r="J800" s="73">
        <v>0</v>
      </c>
      <c r="K800" s="74">
        <v>31352.61</v>
      </c>
      <c r="L800" s="72">
        <v>0</v>
      </c>
      <c r="M800" s="72">
        <v>0</v>
      </c>
      <c r="N800" s="72">
        <f>IF(AND(C800="",J800=0,K800=0,L800=0,M800=0),"",CADASTROS!$B$4+SUM($J$2:J800)+SUM($M$2:M800)-SUM($K$2:K800)-SUM($L$2:L800))</f>
        <v>219993.93000000063</v>
      </c>
      <c r="O800" s="72">
        <f>IF(A800="","",SUMIF(RATEIOS!$A$2:$A$3142,$A800,RATEIOS!$F$2:$F$3142))</f>
        <v>31352.61</v>
      </c>
      <c r="P800" s="15">
        <f t="shared" si="25"/>
        <v>0</v>
      </c>
      <c r="Q800" s="49" t="str">
        <f>IF(AND(J800=0,K800=0,L800=0,M800=0),"",IF(O800=0,"PENDENTE DE RATEIO",IF(ABS(P800)&gt;0.005,"DIVERGÊNCIA",IF(COUNTIF(RATEIOS!$A$2:$A$3142,$A800)-COUNTIFS(RATEIOS!$A$2:$A$3142,$A800,RATEIOS!$D$2:$D$3142,"&lt;&gt;")&gt;0,"NÃO CLASSIFICADO","RATEIO OK"))))</f>
        <v>RATEIO OK</v>
      </c>
      <c r="R800" s="49" t="s">
        <v>2553</v>
      </c>
      <c r="S800" s="14"/>
    </row>
    <row r="801" spans="1:19" ht="24.95" customHeight="1" x14ac:dyDescent="0.25">
      <c r="A801" s="49" t="s">
        <v>2294</v>
      </c>
      <c r="B801" s="98">
        <v>800</v>
      </c>
      <c r="C801" s="50">
        <v>46245</v>
      </c>
      <c r="D801" s="49">
        <f t="shared" si="24"/>
        <v>8</v>
      </c>
      <c r="E801" s="92" t="s">
        <v>72</v>
      </c>
      <c r="F801" s="49" t="s">
        <v>36</v>
      </c>
      <c r="G801" s="14" t="s">
        <v>1182</v>
      </c>
      <c r="H801" s="14" t="s">
        <v>1001</v>
      </c>
      <c r="I801" s="76" t="s">
        <v>1183</v>
      </c>
      <c r="J801" s="73">
        <v>0</v>
      </c>
      <c r="K801" s="74">
        <v>230</v>
      </c>
      <c r="L801" s="72">
        <v>0</v>
      </c>
      <c r="M801" s="72">
        <v>0</v>
      </c>
      <c r="N801" s="72">
        <f>IF(AND(C801="",J801=0,K801=0,L801=0,M801=0),"",CADASTROS!$B$4+SUM($J$2:J801)+SUM($M$2:M801)-SUM($K$2:K801)-SUM($L$2:L801))</f>
        <v>219763.93000000063</v>
      </c>
      <c r="O801" s="72">
        <f>IF(A801="","",SUMIF(RATEIOS!$A$2:$A$3142,$A801,RATEIOS!$F$2:$F$3142))</f>
        <v>230</v>
      </c>
      <c r="P801" s="15">
        <f t="shared" si="25"/>
        <v>0</v>
      </c>
      <c r="Q801" s="49" t="str">
        <f>IF(AND(J801=0,K801=0,L801=0,M801=0),"",IF(O801=0,"PENDENTE DE RATEIO",IF(ABS(P801)&gt;0.005,"DIVERGÊNCIA",IF(COUNTIF(RATEIOS!$A$2:$A$3142,$A801)-COUNTIFS(RATEIOS!$A$2:$A$3142,$A801,RATEIOS!$D$2:$D$3142,"&lt;&gt;")&gt;0,"NÃO CLASSIFICADO","RATEIO OK"))))</f>
        <v>RATEIO OK</v>
      </c>
      <c r="R801" s="49" t="s">
        <v>2553</v>
      </c>
      <c r="S801" s="14"/>
    </row>
    <row r="802" spans="1:19" ht="24.95" customHeight="1" x14ac:dyDescent="0.25">
      <c r="A802" s="49" t="s">
        <v>2295</v>
      </c>
      <c r="B802" s="98">
        <v>801</v>
      </c>
      <c r="C802" s="50">
        <v>46245</v>
      </c>
      <c r="D802" s="49">
        <f t="shared" si="24"/>
        <v>8</v>
      </c>
      <c r="E802" s="92" t="s">
        <v>118</v>
      </c>
      <c r="F802" s="49" t="s">
        <v>36</v>
      </c>
      <c r="G802" s="14" t="s">
        <v>273</v>
      </c>
      <c r="H802" s="14" t="s">
        <v>81</v>
      </c>
      <c r="I802" s="76" t="s">
        <v>1031</v>
      </c>
      <c r="J802" s="73">
        <v>0</v>
      </c>
      <c r="K802" s="74">
        <v>7249.28</v>
      </c>
      <c r="L802" s="72">
        <v>0</v>
      </c>
      <c r="M802" s="72">
        <v>0</v>
      </c>
      <c r="N802" s="72">
        <f>IF(AND(C802="",J802=0,K802=0,L802=0,M802=0),"",CADASTROS!$B$4+SUM($J$2:J802)+SUM($M$2:M802)-SUM($K$2:K802)-SUM($L$2:L802))</f>
        <v>212514.65000000037</v>
      </c>
      <c r="O802" s="72">
        <f>IF(A802="","",SUMIF(RATEIOS!$A$2:$A$3142,$A802,RATEIOS!$F$2:$F$3142))</f>
        <v>7249.28</v>
      </c>
      <c r="P802" s="15">
        <f t="shared" si="25"/>
        <v>0</v>
      </c>
      <c r="Q802" s="49" t="str">
        <f>IF(AND(J802=0,K802=0,L802=0,M802=0),"",IF(O802=0,"PENDENTE DE RATEIO",IF(ABS(P802)&gt;0.005,"DIVERGÊNCIA",IF(COUNTIF(RATEIOS!$A$2:$A$3142,$A802)-COUNTIFS(RATEIOS!$A$2:$A$3142,$A802,RATEIOS!$D$2:$D$3142,"&lt;&gt;")&gt;0,"NÃO CLASSIFICADO","RATEIO OK"))))</f>
        <v>RATEIO OK</v>
      </c>
      <c r="R802" s="49" t="s">
        <v>2553</v>
      </c>
      <c r="S802" s="14"/>
    </row>
    <row r="803" spans="1:19" ht="24.95" customHeight="1" x14ac:dyDescent="0.25">
      <c r="A803" s="49" t="s">
        <v>2296</v>
      </c>
      <c r="B803" s="98">
        <v>802</v>
      </c>
      <c r="C803" s="50">
        <v>46245</v>
      </c>
      <c r="D803" s="49">
        <f t="shared" si="24"/>
        <v>8</v>
      </c>
      <c r="E803" s="92" t="s">
        <v>118</v>
      </c>
      <c r="F803" s="49" t="s">
        <v>36</v>
      </c>
      <c r="G803" s="14" t="s">
        <v>1034</v>
      </c>
      <c r="H803" s="14" t="s">
        <v>204</v>
      </c>
      <c r="I803" s="76" t="s">
        <v>1035</v>
      </c>
      <c r="J803" s="73">
        <v>0</v>
      </c>
      <c r="K803" s="74">
        <v>2135.11</v>
      </c>
      <c r="L803" s="72">
        <v>0</v>
      </c>
      <c r="M803" s="72">
        <v>0</v>
      </c>
      <c r="N803" s="72">
        <f>IF(AND(C803="",J803=0,K803=0,L803=0,M803=0),"",CADASTROS!$B$4+SUM($J$2:J803)+SUM($M$2:M803)-SUM($K$2:K803)-SUM($L$2:L803))</f>
        <v>210379.54000000004</v>
      </c>
      <c r="O803" s="72">
        <f>IF(A803="","",SUMIF(RATEIOS!$A$2:$A$3142,$A803,RATEIOS!$F$2:$F$3142))</f>
        <v>2135.11</v>
      </c>
      <c r="P803" s="15">
        <f t="shared" si="25"/>
        <v>0</v>
      </c>
      <c r="Q803" s="49" t="str">
        <f>IF(AND(J803=0,K803=0,L803=0,M803=0),"",IF(O803=0,"PENDENTE DE RATEIO",IF(ABS(P803)&gt;0.005,"DIVERGÊNCIA",IF(COUNTIF(RATEIOS!$A$2:$A$3142,$A803)-COUNTIFS(RATEIOS!$A$2:$A$3142,$A803,RATEIOS!$D$2:$D$3142,"&lt;&gt;")&gt;0,"NÃO CLASSIFICADO","RATEIO OK"))))</f>
        <v>RATEIO OK</v>
      </c>
      <c r="R803" s="49" t="s">
        <v>2553</v>
      </c>
      <c r="S803" s="14"/>
    </row>
    <row r="804" spans="1:19" ht="24.95" customHeight="1" x14ac:dyDescent="0.25">
      <c r="A804" s="49" t="s">
        <v>2297</v>
      </c>
      <c r="B804" s="98">
        <v>803</v>
      </c>
      <c r="C804" s="50">
        <v>46245</v>
      </c>
      <c r="D804" s="49">
        <f t="shared" si="24"/>
        <v>8</v>
      </c>
      <c r="E804" s="92" t="s">
        <v>118</v>
      </c>
      <c r="F804" s="49" t="s">
        <v>36</v>
      </c>
      <c r="G804" s="14" t="s">
        <v>1013</v>
      </c>
      <c r="H804" s="14" t="s">
        <v>265</v>
      </c>
      <c r="I804" s="76" t="s">
        <v>1036</v>
      </c>
      <c r="J804" s="73">
        <v>0</v>
      </c>
      <c r="K804" s="74">
        <v>3012</v>
      </c>
      <c r="L804" s="72">
        <v>0</v>
      </c>
      <c r="M804" s="72">
        <v>0</v>
      </c>
      <c r="N804" s="72">
        <f>IF(AND(C804="",J804=0,K804=0,L804=0,M804=0),"",CADASTROS!$B$4+SUM($J$2:J804)+SUM($M$2:M804)-SUM($K$2:K804)-SUM($L$2:L804))</f>
        <v>207367.54000000004</v>
      </c>
      <c r="O804" s="72">
        <f>IF(A804="","",SUMIF(RATEIOS!$A$2:$A$3142,$A804,RATEIOS!$F$2:$F$3142))</f>
        <v>3012</v>
      </c>
      <c r="P804" s="15">
        <f t="shared" si="25"/>
        <v>0</v>
      </c>
      <c r="Q804" s="49" t="str">
        <f>IF(AND(J804=0,K804=0,L804=0,M804=0),"",IF(O804=0,"PENDENTE DE RATEIO",IF(ABS(P804)&gt;0.005,"DIVERGÊNCIA",IF(COUNTIF(RATEIOS!$A$2:$A$3142,$A804)-COUNTIFS(RATEIOS!$A$2:$A$3142,$A804,RATEIOS!$D$2:$D$3142,"&lt;&gt;")&gt;0,"NÃO CLASSIFICADO","RATEIO OK"))))</f>
        <v>RATEIO OK</v>
      </c>
      <c r="R804" s="49" t="s">
        <v>2553</v>
      </c>
      <c r="S804" s="14"/>
    </row>
    <row r="805" spans="1:19" ht="24.95" customHeight="1" x14ac:dyDescent="0.25">
      <c r="A805" s="49" t="s">
        <v>2298</v>
      </c>
      <c r="B805" s="98">
        <v>804</v>
      </c>
      <c r="C805" s="50">
        <v>46246</v>
      </c>
      <c r="D805" s="49">
        <f t="shared" si="24"/>
        <v>8</v>
      </c>
      <c r="E805" s="92" t="s">
        <v>118</v>
      </c>
      <c r="F805" s="49" t="s">
        <v>36</v>
      </c>
      <c r="G805" s="14" t="s">
        <v>1184</v>
      </c>
      <c r="H805" s="14" t="s">
        <v>204</v>
      </c>
      <c r="I805" s="76" t="s">
        <v>1185</v>
      </c>
      <c r="J805" s="73">
        <v>0</v>
      </c>
      <c r="K805" s="74">
        <v>6082.67</v>
      </c>
      <c r="L805" s="72">
        <v>0</v>
      </c>
      <c r="M805" s="72">
        <v>0</v>
      </c>
      <c r="N805" s="72">
        <f>IF(AND(C805="",J805=0,K805=0,L805=0,M805=0),"",CADASTROS!$B$4+SUM($J$2:J805)+SUM($M$2:M805)-SUM($K$2:K805)-SUM($L$2:L805))</f>
        <v>201284.87000000011</v>
      </c>
      <c r="O805" s="72">
        <f>IF(A805="","",SUMIF(RATEIOS!$A$2:$A$3142,$A805,RATEIOS!$F$2:$F$3142))</f>
        <v>6082.67</v>
      </c>
      <c r="P805" s="15">
        <f t="shared" si="25"/>
        <v>0</v>
      </c>
      <c r="Q805" s="49" t="str">
        <f>IF(AND(J805=0,K805=0,L805=0,M805=0),"",IF(O805=0,"PENDENTE DE RATEIO",IF(ABS(P805)&gt;0.005,"DIVERGÊNCIA",IF(COUNTIF(RATEIOS!$A$2:$A$3142,$A805)-COUNTIFS(RATEIOS!$A$2:$A$3142,$A805,RATEIOS!$D$2:$D$3142,"&lt;&gt;")&gt;0,"NÃO CLASSIFICADO","RATEIO OK"))))</f>
        <v>RATEIO OK</v>
      </c>
      <c r="R805" s="49" t="s">
        <v>2553</v>
      </c>
      <c r="S805" s="14"/>
    </row>
    <row r="806" spans="1:19" ht="24.95" customHeight="1" x14ac:dyDescent="0.25">
      <c r="A806" s="49" t="s">
        <v>2299</v>
      </c>
      <c r="B806" s="98">
        <v>805</v>
      </c>
      <c r="C806" s="50">
        <v>46246</v>
      </c>
      <c r="D806" s="49">
        <f t="shared" si="24"/>
        <v>8</v>
      </c>
      <c r="E806" s="92" t="s">
        <v>118</v>
      </c>
      <c r="F806" s="49" t="s">
        <v>36</v>
      </c>
      <c r="G806" s="14" t="s">
        <v>1186</v>
      </c>
      <c r="H806" s="14" t="s">
        <v>191</v>
      </c>
      <c r="I806" s="76" t="s">
        <v>1187</v>
      </c>
      <c r="J806" s="73">
        <v>0</v>
      </c>
      <c r="K806" s="74">
        <v>76.23</v>
      </c>
      <c r="L806" s="72">
        <v>0</v>
      </c>
      <c r="M806" s="72">
        <v>0</v>
      </c>
      <c r="N806" s="72">
        <f>IF(AND(C806="",J806=0,K806=0,L806=0,M806=0),"",CADASTROS!$B$4+SUM($J$2:J806)+SUM($M$2:M806)-SUM($K$2:K806)-SUM($L$2:L806))</f>
        <v>201208.63999999966</v>
      </c>
      <c r="O806" s="72">
        <f>IF(A806="","",SUMIF(RATEIOS!$A$2:$A$3142,$A806,RATEIOS!$F$2:$F$3142))</f>
        <v>76.23</v>
      </c>
      <c r="P806" s="15">
        <f t="shared" si="25"/>
        <v>0</v>
      </c>
      <c r="Q806" s="49" t="str">
        <f>IF(AND(J806=0,K806=0,L806=0,M806=0),"",IF(O806=0,"PENDENTE DE RATEIO",IF(ABS(P806)&gt;0.005,"DIVERGÊNCIA",IF(COUNTIF(RATEIOS!$A$2:$A$3142,$A806)-COUNTIFS(RATEIOS!$A$2:$A$3142,$A806,RATEIOS!$D$2:$D$3142,"&lt;&gt;")&gt;0,"NÃO CLASSIFICADO","RATEIO OK"))))</f>
        <v>RATEIO OK</v>
      </c>
      <c r="R806" s="49" t="s">
        <v>2553</v>
      </c>
      <c r="S806" s="14"/>
    </row>
    <row r="807" spans="1:19" ht="24.95" customHeight="1" x14ac:dyDescent="0.25">
      <c r="A807" s="49" t="s">
        <v>2300</v>
      </c>
      <c r="B807" s="98">
        <v>806</v>
      </c>
      <c r="C807" s="50">
        <v>46246</v>
      </c>
      <c r="D807" s="49">
        <f t="shared" si="24"/>
        <v>8</v>
      </c>
      <c r="E807" s="92" t="s">
        <v>118</v>
      </c>
      <c r="F807" s="49" t="s">
        <v>36</v>
      </c>
      <c r="G807" s="14" t="s">
        <v>400</v>
      </c>
      <c r="H807" s="14" t="s">
        <v>65</v>
      </c>
      <c r="I807" s="76" t="s">
        <v>1033</v>
      </c>
      <c r="J807" s="73">
        <v>0</v>
      </c>
      <c r="K807" s="74">
        <v>617.5</v>
      </c>
      <c r="L807" s="72">
        <v>0</v>
      </c>
      <c r="M807" s="72">
        <v>0</v>
      </c>
      <c r="N807" s="72">
        <f>IF(AND(C807="",J807=0,K807=0,L807=0,M807=0),"",CADASTROS!$B$4+SUM($J$2:J807)+SUM($M$2:M807)-SUM($K$2:K807)-SUM($L$2:L807))</f>
        <v>200591.13999999966</v>
      </c>
      <c r="O807" s="72">
        <f>IF(A807="","",SUMIF(RATEIOS!$A$2:$A$3142,$A807,RATEIOS!$F$2:$F$3142))</f>
        <v>617.5</v>
      </c>
      <c r="P807" s="15">
        <f t="shared" si="25"/>
        <v>0</v>
      </c>
      <c r="Q807" s="49" t="str">
        <f>IF(AND(J807=0,K807=0,L807=0,M807=0),"",IF(O807=0,"PENDENTE DE RATEIO",IF(ABS(P807)&gt;0.005,"DIVERGÊNCIA",IF(COUNTIF(RATEIOS!$A$2:$A$3142,$A807)-COUNTIFS(RATEIOS!$A$2:$A$3142,$A807,RATEIOS!$D$2:$D$3142,"&lt;&gt;")&gt;0,"NÃO CLASSIFICADO","RATEIO OK"))))</f>
        <v>RATEIO OK</v>
      </c>
      <c r="R807" s="49" t="s">
        <v>2553</v>
      </c>
      <c r="S807" s="14"/>
    </row>
    <row r="808" spans="1:19" ht="24.95" customHeight="1" x14ac:dyDescent="0.25">
      <c r="A808" s="49" t="s">
        <v>2301</v>
      </c>
      <c r="B808" s="98">
        <v>807</v>
      </c>
      <c r="C808" s="50">
        <v>46246</v>
      </c>
      <c r="D808" s="49">
        <f t="shared" si="24"/>
        <v>8</v>
      </c>
      <c r="E808" s="92" t="s">
        <v>118</v>
      </c>
      <c r="F808" s="49" t="s">
        <v>36</v>
      </c>
      <c r="G808" s="14" t="s">
        <v>1188</v>
      </c>
      <c r="H808" s="14" t="s">
        <v>191</v>
      </c>
      <c r="I808" s="76" t="s">
        <v>1189</v>
      </c>
      <c r="J808" s="73">
        <v>0</v>
      </c>
      <c r="K808" s="74">
        <v>1548.51</v>
      </c>
      <c r="L808" s="72">
        <v>0</v>
      </c>
      <c r="M808" s="72">
        <v>0</v>
      </c>
      <c r="N808" s="72">
        <f>IF(AND(C808="",J808=0,K808=0,L808=0,M808=0),"",CADASTROS!$B$4+SUM($J$2:J808)+SUM($M$2:M808)-SUM($K$2:K808)-SUM($L$2:L808))</f>
        <v>199042.62999999989</v>
      </c>
      <c r="O808" s="72">
        <f>IF(A808="","",SUMIF(RATEIOS!$A$2:$A$3142,$A808,RATEIOS!$F$2:$F$3142))</f>
        <v>1548.51</v>
      </c>
      <c r="P808" s="15">
        <f t="shared" si="25"/>
        <v>0</v>
      </c>
      <c r="Q808" s="49" t="str">
        <f>IF(AND(J808=0,K808=0,L808=0,M808=0),"",IF(O808=0,"PENDENTE DE RATEIO",IF(ABS(P808)&gt;0.005,"DIVERGÊNCIA",IF(COUNTIF(RATEIOS!$A$2:$A$3142,$A808)-COUNTIFS(RATEIOS!$A$2:$A$3142,$A808,RATEIOS!$D$2:$D$3142,"&lt;&gt;")&gt;0,"NÃO CLASSIFICADO","RATEIO OK"))))</f>
        <v>RATEIO OK</v>
      </c>
      <c r="R808" s="49" t="s">
        <v>2553</v>
      </c>
      <c r="S808" s="14"/>
    </row>
    <row r="809" spans="1:19" ht="24.95" customHeight="1" x14ac:dyDescent="0.25">
      <c r="A809" s="49" t="s">
        <v>2302</v>
      </c>
      <c r="B809" s="98">
        <v>808</v>
      </c>
      <c r="C809" s="50">
        <v>46247</v>
      </c>
      <c r="D809" s="49">
        <f t="shared" si="24"/>
        <v>8</v>
      </c>
      <c r="E809" s="92" t="s">
        <v>123</v>
      </c>
      <c r="F809" s="49" t="s">
        <v>36</v>
      </c>
      <c r="G809" s="14" t="s">
        <v>1190</v>
      </c>
      <c r="H809" s="14" t="s">
        <v>3183</v>
      </c>
      <c r="I809" s="76" t="s">
        <v>412</v>
      </c>
      <c r="J809" s="73">
        <v>0</v>
      </c>
      <c r="K809" s="74">
        <v>36168.61</v>
      </c>
      <c r="L809" s="72">
        <v>0</v>
      </c>
      <c r="M809" s="72">
        <v>0</v>
      </c>
      <c r="N809" s="72">
        <f>IF(AND(C809="",J809=0,K809=0,L809=0,M809=0),"",CADASTROS!$B$4+SUM($J$2:J809)+SUM($M$2:M809)-SUM($K$2:K809)-SUM($L$2:L809))</f>
        <v>162874.01999999955</v>
      </c>
      <c r="O809" s="72">
        <f>IF(A809="","",SUMIF(RATEIOS!$A$2:$A$3142,$A809,RATEIOS!$F$2:$F$3142))</f>
        <v>36168.61</v>
      </c>
      <c r="P809" s="15">
        <f t="shared" si="25"/>
        <v>0</v>
      </c>
      <c r="Q809" s="49" t="str">
        <f>IF(AND(J809=0,K809=0,L809=0,M809=0),"",IF(O809=0,"PENDENTE DE RATEIO",IF(ABS(P809)&gt;0.005,"DIVERGÊNCIA",IF(COUNTIF(RATEIOS!$A$2:$A$3142,$A809)-COUNTIFS(RATEIOS!$A$2:$A$3142,$A809,RATEIOS!$D$2:$D$3142,"&lt;&gt;")&gt;0,"NÃO CLASSIFICADO","RATEIO OK"))))</f>
        <v>RATEIO OK</v>
      </c>
      <c r="R809" s="49" t="s">
        <v>2553</v>
      </c>
      <c r="S809" s="14"/>
    </row>
    <row r="810" spans="1:19" ht="24.95" customHeight="1" x14ac:dyDescent="0.25">
      <c r="A810" s="49" t="s">
        <v>2303</v>
      </c>
      <c r="B810" s="98">
        <v>809</v>
      </c>
      <c r="C810" s="50">
        <v>46247</v>
      </c>
      <c r="D810" s="49">
        <f t="shared" si="24"/>
        <v>8</v>
      </c>
      <c r="E810" s="92" t="s">
        <v>2556</v>
      </c>
      <c r="F810" s="49" t="s">
        <v>36</v>
      </c>
      <c r="G810" s="14" t="s">
        <v>276</v>
      </c>
      <c r="H810" s="14" t="s">
        <v>277</v>
      </c>
      <c r="I810" s="76" t="s">
        <v>412</v>
      </c>
      <c r="J810" s="73">
        <v>0</v>
      </c>
      <c r="K810" s="74">
        <v>39.82</v>
      </c>
      <c r="L810" s="72">
        <v>0</v>
      </c>
      <c r="M810" s="72">
        <v>0</v>
      </c>
      <c r="N810" s="72">
        <f>IF(AND(C810="",J810=0,K810=0,L810=0,M810=0),"",CADASTROS!$B$4+SUM($J$2:J810)+SUM($M$2:M810)-SUM($K$2:K810)-SUM($L$2:L810))</f>
        <v>162834.19999999925</v>
      </c>
      <c r="O810" s="72">
        <f>IF(A810="","",SUMIF(RATEIOS!$A$2:$A$3142,$A810,RATEIOS!$F$2:$F$3142))</f>
        <v>39.82</v>
      </c>
      <c r="P810" s="15">
        <f t="shared" si="25"/>
        <v>0</v>
      </c>
      <c r="Q810" s="49" t="str">
        <f>IF(AND(J810=0,K810=0,L810=0,M810=0),"",IF(O810=0,"PENDENTE DE RATEIO",IF(ABS(P810)&gt;0.005,"DIVERGÊNCIA",IF(COUNTIF(RATEIOS!$A$2:$A$3142,$A810)-COUNTIFS(RATEIOS!$A$2:$A$3142,$A810,RATEIOS!$D$2:$D$3142,"&lt;&gt;")&gt;0,"NÃO CLASSIFICADO","RATEIO OK"))))</f>
        <v>RATEIO OK</v>
      </c>
      <c r="R810" s="49" t="s">
        <v>2553</v>
      </c>
      <c r="S810" s="14"/>
    </row>
    <row r="811" spans="1:19" ht="24.95" customHeight="1" x14ac:dyDescent="0.25">
      <c r="A811" s="49" t="s">
        <v>2304</v>
      </c>
      <c r="B811" s="98">
        <v>810</v>
      </c>
      <c r="C811" s="50">
        <v>46248</v>
      </c>
      <c r="D811" s="49">
        <f t="shared" si="24"/>
        <v>8</v>
      </c>
      <c r="E811" s="92" t="s">
        <v>287</v>
      </c>
      <c r="F811" s="49" t="s">
        <v>36</v>
      </c>
      <c r="G811" s="14" t="s">
        <v>1191</v>
      </c>
      <c r="H811" s="14" t="s">
        <v>2942</v>
      </c>
      <c r="I811" s="76" t="s">
        <v>1192</v>
      </c>
      <c r="J811" s="73">
        <v>0</v>
      </c>
      <c r="K811" s="74">
        <v>5030.84</v>
      </c>
      <c r="L811" s="72">
        <v>0</v>
      </c>
      <c r="M811" s="72">
        <v>0</v>
      </c>
      <c r="N811" s="72">
        <f>IF(AND(C811="",J811=0,K811=0,L811=0,M811=0),"",CADASTROS!$B$4+SUM($J$2:J811)+SUM($M$2:M811)-SUM($K$2:K811)-SUM($L$2:L811))</f>
        <v>157803.3599999994</v>
      </c>
      <c r="O811" s="72">
        <f>IF(A811="","",SUMIF(RATEIOS!$A$2:$A$3142,$A811,RATEIOS!$F$2:$F$3142))</f>
        <v>5030.84</v>
      </c>
      <c r="P811" s="15">
        <f t="shared" si="25"/>
        <v>0</v>
      </c>
      <c r="Q811" s="49" t="str">
        <f>IF(AND(J811=0,K811=0,L811=0,M811=0),"",IF(O811=0,"PENDENTE DE RATEIO",IF(ABS(P811)&gt;0.005,"DIVERGÊNCIA",IF(COUNTIF(RATEIOS!$A$2:$A$3142,$A811)-COUNTIFS(RATEIOS!$A$2:$A$3142,$A811,RATEIOS!$D$2:$D$3142,"&lt;&gt;")&gt;0,"NÃO CLASSIFICADO","RATEIO OK"))))</f>
        <v>RATEIO OK</v>
      </c>
      <c r="R811" s="49" t="s">
        <v>2553</v>
      </c>
      <c r="S811" s="14"/>
    </row>
    <row r="812" spans="1:19" ht="24.95" customHeight="1" x14ac:dyDescent="0.25">
      <c r="A812" s="49" t="s">
        <v>2305</v>
      </c>
      <c r="B812" s="98">
        <v>811</v>
      </c>
      <c r="C812" s="50">
        <v>46248</v>
      </c>
      <c r="D812" s="49">
        <f t="shared" si="24"/>
        <v>8</v>
      </c>
      <c r="E812" s="92" t="s">
        <v>72</v>
      </c>
      <c r="F812" s="49" t="s">
        <v>36</v>
      </c>
      <c r="G812" s="14" t="s">
        <v>1193</v>
      </c>
      <c r="H812" s="14" t="s">
        <v>153</v>
      </c>
      <c r="I812" s="76" t="s">
        <v>1194</v>
      </c>
      <c r="J812" s="73">
        <v>0</v>
      </c>
      <c r="K812" s="74">
        <v>1568</v>
      </c>
      <c r="L812" s="72">
        <v>0</v>
      </c>
      <c r="M812" s="72">
        <v>0</v>
      </c>
      <c r="N812" s="72">
        <f>IF(AND(C812="",J812=0,K812=0,L812=0,M812=0),"",CADASTROS!$B$4+SUM($J$2:J812)+SUM($M$2:M812)-SUM($K$2:K812)-SUM($L$2:L812))</f>
        <v>156235.3599999994</v>
      </c>
      <c r="O812" s="72">
        <f>IF(A812="","",SUMIF(RATEIOS!$A$2:$A$3142,$A812,RATEIOS!$F$2:$F$3142))</f>
        <v>1568</v>
      </c>
      <c r="P812" s="15">
        <f t="shared" si="25"/>
        <v>0</v>
      </c>
      <c r="Q812" s="49" t="str">
        <f>IF(AND(J812=0,K812=0,L812=0,M812=0),"",IF(O812=0,"PENDENTE DE RATEIO",IF(ABS(P812)&gt;0.005,"DIVERGÊNCIA",IF(COUNTIF(RATEIOS!$A$2:$A$3142,$A812)-COUNTIFS(RATEIOS!$A$2:$A$3142,$A812,RATEIOS!$D$2:$D$3142,"&lt;&gt;")&gt;0,"NÃO CLASSIFICADO","RATEIO OK"))))</f>
        <v>RATEIO OK</v>
      </c>
      <c r="R812" s="49" t="s">
        <v>2553</v>
      </c>
      <c r="S812" s="14"/>
    </row>
    <row r="813" spans="1:19" ht="24.95" customHeight="1" x14ac:dyDescent="0.25">
      <c r="A813" s="49" t="s">
        <v>2306</v>
      </c>
      <c r="B813" s="98">
        <v>812</v>
      </c>
      <c r="C813" s="50">
        <v>46248</v>
      </c>
      <c r="D813" s="49">
        <f t="shared" si="24"/>
        <v>8</v>
      </c>
      <c r="E813" s="92" t="s">
        <v>72</v>
      </c>
      <c r="F813" s="49" t="s">
        <v>36</v>
      </c>
      <c r="G813" s="14" t="s">
        <v>2930</v>
      </c>
      <c r="H813" s="14" t="s">
        <v>2934</v>
      </c>
      <c r="I813" s="76" t="s">
        <v>2939</v>
      </c>
      <c r="J813" s="73">
        <v>0</v>
      </c>
      <c r="K813" s="74">
        <v>2000</v>
      </c>
      <c r="L813" s="72">
        <v>0</v>
      </c>
      <c r="M813" s="72">
        <v>0</v>
      </c>
      <c r="N813" s="72">
        <f>IF(AND(C813="",J813=0,K813=0,L813=0,M813=0),"",CADASTROS!$B$4+SUM($J$2:J813)+SUM($M$2:M813)-SUM($K$2:K813)-SUM($L$2:L813))</f>
        <v>154235.3599999994</v>
      </c>
      <c r="O813" s="72">
        <f>IF(A813="","",SUMIF(RATEIOS!$A$2:$A$3142,$A813,RATEIOS!$F$2:$F$3142))</f>
        <v>2000</v>
      </c>
      <c r="P813" s="15">
        <f t="shared" si="25"/>
        <v>0</v>
      </c>
      <c r="Q813" s="49" t="str">
        <f>IF(AND(J813=0,K813=0,L813=0,M813=0),"",IF(O813=0,"PENDENTE DE RATEIO",IF(ABS(P813)&gt;0.005,"DIVERGÊNCIA",IF(COUNTIF(RATEIOS!$A$2:$A$3142,$A813)-COUNTIFS(RATEIOS!$A$2:$A$3142,$A813,RATEIOS!$D$2:$D$3142,"&lt;&gt;")&gt;0,"NÃO CLASSIFICADO","RATEIO OK"))))</f>
        <v>RATEIO OK</v>
      </c>
      <c r="R813" s="49" t="s">
        <v>2553</v>
      </c>
      <c r="S813" s="14"/>
    </row>
    <row r="814" spans="1:19" ht="24.95" customHeight="1" x14ac:dyDescent="0.25">
      <c r="A814" s="49" t="s">
        <v>2307</v>
      </c>
      <c r="B814" s="98">
        <v>813</v>
      </c>
      <c r="C814" s="50">
        <v>46248</v>
      </c>
      <c r="D814" s="49">
        <f t="shared" si="24"/>
        <v>8</v>
      </c>
      <c r="E814" s="92" t="s">
        <v>72</v>
      </c>
      <c r="F814" s="49" t="s">
        <v>36</v>
      </c>
      <c r="G814" s="14" t="s">
        <v>1196</v>
      </c>
      <c r="H814" s="14" t="s">
        <v>156</v>
      </c>
      <c r="I814" s="76" t="s">
        <v>1046</v>
      </c>
      <c r="J814" s="73">
        <v>0</v>
      </c>
      <c r="K814" s="74">
        <v>10606.33</v>
      </c>
      <c r="L814" s="72">
        <v>0</v>
      </c>
      <c r="M814" s="72">
        <v>0</v>
      </c>
      <c r="N814" s="72">
        <f>IF(AND(C814="",J814=0,K814=0,L814=0,M814=0),"",CADASTROS!$B$4+SUM($J$2:J814)+SUM($M$2:M814)-SUM($K$2:K814)-SUM($L$2:L814))</f>
        <v>143629.02999999933</v>
      </c>
      <c r="O814" s="72">
        <f>IF(A814="","",SUMIF(RATEIOS!$A$2:$A$3142,$A814,RATEIOS!$F$2:$F$3142))</f>
        <v>10606.33</v>
      </c>
      <c r="P814" s="15">
        <f t="shared" si="25"/>
        <v>0</v>
      </c>
      <c r="Q814" s="49" t="str">
        <f>IF(AND(J814=0,K814=0,L814=0,M814=0),"",IF(O814=0,"PENDENTE DE RATEIO",IF(ABS(P814)&gt;0.005,"DIVERGÊNCIA",IF(COUNTIF(RATEIOS!$A$2:$A$3142,$A814)-COUNTIFS(RATEIOS!$A$2:$A$3142,$A814,RATEIOS!$D$2:$D$3142,"&lt;&gt;")&gt;0,"NÃO CLASSIFICADO","RATEIO OK"))))</f>
        <v>RATEIO OK</v>
      </c>
      <c r="R814" s="49" t="s">
        <v>2553</v>
      </c>
      <c r="S814" s="14"/>
    </row>
    <row r="815" spans="1:19" ht="24.95" customHeight="1" x14ac:dyDescent="0.25">
      <c r="A815" s="49" t="s">
        <v>2308</v>
      </c>
      <c r="B815" s="98">
        <v>814</v>
      </c>
      <c r="C815" s="50">
        <v>46248</v>
      </c>
      <c r="D815" s="49">
        <f t="shared" si="24"/>
        <v>8</v>
      </c>
      <c r="E815" s="92" t="s">
        <v>118</v>
      </c>
      <c r="F815" s="49" t="s">
        <v>36</v>
      </c>
      <c r="G815" s="14" t="s">
        <v>1197</v>
      </c>
      <c r="H815" s="14" t="s">
        <v>252</v>
      </c>
      <c r="I815" s="76" t="s">
        <v>1061</v>
      </c>
      <c r="J815" s="73">
        <v>0</v>
      </c>
      <c r="K815" s="74">
        <v>21501.200000000001</v>
      </c>
      <c r="L815" s="72">
        <v>0</v>
      </c>
      <c r="M815" s="72">
        <v>0</v>
      </c>
      <c r="N815" s="72">
        <f>IF(AND(C815="",J815=0,K815=0,L815=0,M815=0),"",CADASTROS!$B$4+SUM($J$2:J815)+SUM($M$2:M815)-SUM($K$2:K815)-SUM($L$2:L815))</f>
        <v>122127.82999999914</v>
      </c>
      <c r="O815" s="72">
        <f>IF(A815="","",SUMIF(RATEIOS!$A$2:$A$3142,$A815,RATEIOS!$F$2:$F$3142))</f>
        <v>21501.200000000001</v>
      </c>
      <c r="P815" s="15">
        <f t="shared" si="25"/>
        <v>0</v>
      </c>
      <c r="Q815" s="49" t="str">
        <f>IF(AND(J815=0,K815=0,L815=0,M815=0),"",IF(O815=0,"PENDENTE DE RATEIO",IF(ABS(P815)&gt;0.005,"DIVERGÊNCIA",IF(COUNTIF(RATEIOS!$A$2:$A$3142,$A815)-COUNTIFS(RATEIOS!$A$2:$A$3142,$A815,RATEIOS!$D$2:$D$3142,"&lt;&gt;")&gt;0,"NÃO CLASSIFICADO","RATEIO OK"))))</f>
        <v>RATEIO OK</v>
      </c>
      <c r="R815" s="49" t="s">
        <v>2553</v>
      </c>
      <c r="S815" s="14"/>
    </row>
    <row r="816" spans="1:19" ht="24.95" customHeight="1" x14ac:dyDescent="0.25">
      <c r="A816" s="49" t="s">
        <v>2309</v>
      </c>
      <c r="B816" s="98">
        <v>815</v>
      </c>
      <c r="C816" s="50">
        <v>46248</v>
      </c>
      <c r="D816" s="49">
        <f t="shared" si="24"/>
        <v>8</v>
      </c>
      <c r="E816" s="92" t="s">
        <v>118</v>
      </c>
      <c r="F816" s="49" t="s">
        <v>36</v>
      </c>
      <c r="G816" s="14" t="s">
        <v>136</v>
      </c>
      <c r="H816" s="14" t="s">
        <v>137</v>
      </c>
      <c r="I816" s="76" t="s">
        <v>1198</v>
      </c>
      <c r="J816" s="73">
        <v>0</v>
      </c>
      <c r="K816" s="74">
        <v>456.16</v>
      </c>
      <c r="L816" s="72">
        <v>0</v>
      </c>
      <c r="M816" s="72">
        <v>0</v>
      </c>
      <c r="N816" s="72">
        <f>IF(AND(C816="",J816=0,K816=0,L816=0,M816=0),"",CADASTROS!$B$4+SUM($J$2:J816)+SUM($M$2:M816)-SUM($K$2:K816)-SUM($L$2:L816))</f>
        <v>121671.66999999899</v>
      </c>
      <c r="O816" s="72">
        <f>IF(A816="","",SUMIF(RATEIOS!$A$2:$A$3142,$A816,RATEIOS!$F$2:$F$3142))</f>
        <v>456.16</v>
      </c>
      <c r="P816" s="15">
        <f t="shared" si="25"/>
        <v>0</v>
      </c>
      <c r="Q816" s="49" t="str">
        <f>IF(AND(J816=0,K816=0,L816=0,M816=0),"",IF(O816=0,"PENDENTE DE RATEIO",IF(ABS(P816)&gt;0.005,"DIVERGÊNCIA",IF(COUNTIF(RATEIOS!$A$2:$A$3142,$A816)-COUNTIFS(RATEIOS!$A$2:$A$3142,$A816,RATEIOS!$D$2:$D$3142,"&lt;&gt;")&gt;0,"NÃO CLASSIFICADO","RATEIO OK"))))</f>
        <v>RATEIO OK</v>
      </c>
      <c r="R816" s="49" t="s">
        <v>2553</v>
      </c>
      <c r="S816" s="14"/>
    </row>
    <row r="817" spans="1:19" ht="24.95" customHeight="1" x14ac:dyDescent="0.25">
      <c r="A817" s="49" t="s">
        <v>2310</v>
      </c>
      <c r="B817" s="98">
        <v>816</v>
      </c>
      <c r="C817" s="50">
        <v>46248</v>
      </c>
      <c r="D817" s="49">
        <f t="shared" si="24"/>
        <v>8</v>
      </c>
      <c r="E817" s="92" t="s">
        <v>118</v>
      </c>
      <c r="F817" s="49" t="s">
        <v>36</v>
      </c>
      <c r="G817" s="14" t="s">
        <v>1199</v>
      </c>
      <c r="H817" s="14" t="s">
        <v>252</v>
      </c>
      <c r="I817" s="76" t="s">
        <v>1200</v>
      </c>
      <c r="J817" s="73">
        <v>0</v>
      </c>
      <c r="K817" s="74">
        <v>18974</v>
      </c>
      <c r="L817" s="72">
        <v>0</v>
      </c>
      <c r="M817" s="72">
        <v>0</v>
      </c>
      <c r="N817" s="72">
        <f>IF(AND(C817="",J817=0,K817=0,L817=0,M817=0),"",CADASTROS!$B$4+SUM($J$2:J817)+SUM($M$2:M817)-SUM($K$2:K817)-SUM($L$2:L817))</f>
        <v>102697.66999999899</v>
      </c>
      <c r="O817" s="72">
        <f>IF(A817="","",SUMIF(RATEIOS!$A$2:$A$3142,$A817,RATEIOS!$F$2:$F$3142))</f>
        <v>18974</v>
      </c>
      <c r="P817" s="15">
        <f t="shared" si="25"/>
        <v>0</v>
      </c>
      <c r="Q817" s="49" t="str">
        <f>IF(AND(J817=0,K817=0,L817=0,M817=0),"",IF(O817=0,"PENDENTE DE RATEIO",IF(ABS(P817)&gt;0.005,"DIVERGÊNCIA",IF(COUNTIF(RATEIOS!$A$2:$A$3142,$A817)-COUNTIFS(RATEIOS!$A$2:$A$3142,$A817,RATEIOS!$D$2:$D$3142,"&lt;&gt;")&gt;0,"NÃO CLASSIFICADO","RATEIO OK"))))</f>
        <v>RATEIO OK</v>
      </c>
      <c r="R817" s="49" t="s">
        <v>2553</v>
      </c>
      <c r="S817" s="14"/>
    </row>
    <row r="818" spans="1:19" ht="24.95" customHeight="1" x14ac:dyDescent="0.25">
      <c r="A818" s="49" t="s">
        <v>2311</v>
      </c>
      <c r="B818" s="98">
        <v>817</v>
      </c>
      <c r="C818" s="50">
        <v>46251</v>
      </c>
      <c r="D818" s="49">
        <f t="shared" si="24"/>
        <v>8</v>
      </c>
      <c r="E818" s="92" t="s">
        <v>118</v>
      </c>
      <c r="F818" s="49" t="s">
        <v>36</v>
      </c>
      <c r="G818" s="14" t="s">
        <v>305</v>
      </c>
      <c r="H818" s="14" t="s">
        <v>3207</v>
      </c>
      <c r="I818" s="76" t="s">
        <v>1201</v>
      </c>
      <c r="J818" s="73">
        <v>0</v>
      </c>
      <c r="K818" s="74">
        <v>207</v>
      </c>
      <c r="L818" s="72">
        <v>0</v>
      </c>
      <c r="M818" s="72">
        <v>0</v>
      </c>
      <c r="N818" s="72">
        <f>IF(AND(C818="",J818=0,K818=0,L818=0,M818=0),"",CADASTROS!$B$4+SUM($J$2:J818)+SUM($M$2:M818)-SUM($K$2:K818)-SUM($L$2:L818))</f>
        <v>102490.66999999899</v>
      </c>
      <c r="O818" s="72">
        <f>IF(A818="","",SUMIF(RATEIOS!$A$2:$A$3142,$A818,RATEIOS!$F$2:$F$3142))</f>
        <v>207</v>
      </c>
      <c r="P818" s="15">
        <f t="shared" si="25"/>
        <v>0</v>
      </c>
      <c r="Q818" s="49" t="str">
        <f>IF(AND(J818=0,K818=0,L818=0,M818=0),"",IF(O818=0,"PENDENTE DE RATEIO",IF(ABS(P818)&gt;0.005,"DIVERGÊNCIA",IF(COUNTIF(RATEIOS!$A$2:$A$3142,$A818)-COUNTIFS(RATEIOS!$A$2:$A$3142,$A818,RATEIOS!$D$2:$D$3142,"&lt;&gt;")&gt;0,"NÃO CLASSIFICADO","RATEIO OK"))))</f>
        <v>RATEIO OK</v>
      </c>
      <c r="R818" s="49" t="s">
        <v>2553</v>
      </c>
      <c r="S818" s="14"/>
    </row>
    <row r="819" spans="1:19" ht="24.95" customHeight="1" x14ac:dyDescent="0.25">
      <c r="A819" s="49" t="s">
        <v>2312</v>
      </c>
      <c r="B819" s="98">
        <v>818</v>
      </c>
      <c r="C819" s="50">
        <v>46251</v>
      </c>
      <c r="D819" s="49">
        <f t="shared" si="24"/>
        <v>8</v>
      </c>
      <c r="E819" s="92" t="s">
        <v>118</v>
      </c>
      <c r="F819" s="49" t="s">
        <v>36</v>
      </c>
      <c r="G819" s="14" t="s">
        <v>1202</v>
      </c>
      <c r="H819" s="14" t="s">
        <v>994</v>
      </c>
      <c r="I819" s="76" t="s">
        <v>1203</v>
      </c>
      <c r="J819" s="73">
        <v>0</v>
      </c>
      <c r="K819" s="74">
        <v>838</v>
      </c>
      <c r="L819" s="72">
        <v>0</v>
      </c>
      <c r="M819" s="72">
        <v>0</v>
      </c>
      <c r="N819" s="72">
        <f>IF(AND(C819="",J819=0,K819=0,L819=0,M819=0),"",CADASTROS!$B$4+SUM($J$2:J819)+SUM($M$2:M819)-SUM($K$2:K819)-SUM($L$2:L819))</f>
        <v>101652.66999999899</v>
      </c>
      <c r="O819" s="72">
        <f>IF(A819="","",SUMIF(RATEIOS!$A$2:$A$3142,$A819,RATEIOS!$F$2:$F$3142))</f>
        <v>838</v>
      </c>
      <c r="P819" s="15">
        <f t="shared" si="25"/>
        <v>0</v>
      </c>
      <c r="Q819" s="49" t="str">
        <f>IF(AND(J819=0,K819=0,L819=0,M819=0),"",IF(O819=0,"PENDENTE DE RATEIO",IF(ABS(P819)&gt;0.005,"DIVERGÊNCIA",IF(COUNTIF(RATEIOS!$A$2:$A$3142,$A819)-COUNTIFS(RATEIOS!$A$2:$A$3142,$A819,RATEIOS!$D$2:$D$3142,"&lt;&gt;")&gt;0,"NÃO CLASSIFICADO","RATEIO OK"))))</f>
        <v>RATEIO OK</v>
      </c>
      <c r="R819" s="49" t="s">
        <v>2553</v>
      </c>
      <c r="S819" s="14"/>
    </row>
    <row r="820" spans="1:19" ht="24.95" customHeight="1" x14ac:dyDescent="0.25">
      <c r="A820" s="49" t="s">
        <v>2313</v>
      </c>
      <c r="B820" s="98">
        <v>819</v>
      </c>
      <c r="C820" s="50">
        <v>46251</v>
      </c>
      <c r="D820" s="49">
        <f t="shared" si="24"/>
        <v>8</v>
      </c>
      <c r="E820" s="92" t="s">
        <v>118</v>
      </c>
      <c r="F820" s="49" t="s">
        <v>36</v>
      </c>
      <c r="G820" s="14" t="s">
        <v>305</v>
      </c>
      <c r="H820" s="14" t="s">
        <v>3207</v>
      </c>
      <c r="I820" s="76" t="s">
        <v>1204</v>
      </c>
      <c r="J820" s="73">
        <v>0</v>
      </c>
      <c r="K820" s="74">
        <v>95</v>
      </c>
      <c r="L820" s="72">
        <v>0</v>
      </c>
      <c r="M820" s="72">
        <v>0</v>
      </c>
      <c r="N820" s="72">
        <f>IF(AND(C820="",J820=0,K820=0,L820=0,M820=0),"",CADASTROS!$B$4+SUM($J$2:J820)+SUM($M$2:M820)-SUM($K$2:K820)-SUM($L$2:L820))</f>
        <v>101557.66999999899</v>
      </c>
      <c r="O820" s="72">
        <f>IF(A820="","",SUMIF(RATEIOS!$A$2:$A$3142,$A820,RATEIOS!$F$2:$F$3142))</f>
        <v>95</v>
      </c>
      <c r="P820" s="15">
        <f t="shared" si="25"/>
        <v>0</v>
      </c>
      <c r="Q820" s="49" t="str">
        <f>IF(AND(J820=0,K820=0,L820=0,M820=0),"",IF(O820=0,"PENDENTE DE RATEIO",IF(ABS(P820)&gt;0.005,"DIVERGÊNCIA",IF(COUNTIF(RATEIOS!$A$2:$A$3142,$A820)-COUNTIFS(RATEIOS!$A$2:$A$3142,$A820,RATEIOS!$D$2:$D$3142,"&lt;&gt;")&gt;0,"NÃO CLASSIFICADO","RATEIO OK"))))</f>
        <v>RATEIO OK</v>
      </c>
      <c r="R820" s="49" t="s">
        <v>2553</v>
      </c>
      <c r="S820" s="14"/>
    </row>
    <row r="821" spans="1:19" ht="24.95" customHeight="1" x14ac:dyDescent="0.25">
      <c r="A821" s="49" t="s">
        <v>2314</v>
      </c>
      <c r="B821" s="98">
        <v>820</v>
      </c>
      <c r="C821" s="50">
        <v>46252</v>
      </c>
      <c r="D821" s="49">
        <f t="shared" si="24"/>
        <v>8</v>
      </c>
      <c r="E821" s="92" t="s">
        <v>118</v>
      </c>
      <c r="F821" s="49" t="s">
        <v>36</v>
      </c>
      <c r="G821" s="14" t="s">
        <v>1205</v>
      </c>
      <c r="H821" s="14" t="s">
        <v>143</v>
      </c>
      <c r="I821" s="76" t="s">
        <v>1206</v>
      </c>
      <c r="J821" s="73">
        <v>0</v>
      </c>
      <c r="K821" s="74">
        <v>2411.25</v>
      </c>
      <c r="L821" s="72">
        <v>0</v>
      </c>
      <c r="M821" s="72">
        <v>0</v>
      </c>
      <c r="N821" s="72">
        <f>IF(AND(C821="",J821=0,K821=0,L821=0,M821=0),"",CADASTROS!$B$4+SUM($J$2:J821)+SUM($M$2:M821)-SUM($K$2:K821)-SUM($L$2:L821))</f>
        <v>99146.419999998994</v>
      </c>
      <c r="O821" s="72">
        <f>IF(A821="","",SUMIF(RATEIOS!$A$2:$A$3142,$A821,RATEIOS!$F$2:$F$3142))</f>
        <v>2411.25</v>
      </c>
      <c r="P821" s="15">
        <f t="shared" si="25"/>
        <v>0</v>
      </c>
      <c r="Q821" s="49" t="str">
        <f>IF(AND(J821=0,K821=0,L821=0,M821=0),"",IF(O821=0,"PENDENTE DE RATEIO",IF(ABS(P821)&gt;0.005,"DIVERGÊNCIA",IF(COUNTIF(RATEIOS!$A$2:$A$3142,$A821)-COUNTIFS(RATEIOS!$A$2:$A$3142,$A821,RATEIOS!$D$2:$D$3142,"&lt;&gt;")&gt;0,"NÃO CLASSIFICADO","RATEIO OK"))))</f>
        <v>RATEIO OK</v>
      </c>
      <c r="R821" s="49" t="s">
        <v>2553</v>
      </c>
      <c r="S821" s="14"/>
    </row>
    <row r="822" spans="1:19" ht="24.95" customHeight="1" x14ac:dyDescent="0.25">
      <c r="A822" s="49" t="s">
        <v>2315</v>
      </c>
      <c r="B822" s="98">
        <v>821</v>
      </c>
      <c r="C822" s="50">
        <v>46253</v>
      </c>
      <c r="D822" s="49">
        <f t="shared" si="24"/>
        <v>8</v>
      </c>
      <c r="E822" s="92" t="s">
        <v>72</v>
      </c>
      <c r="F822" s="49" t="s">
        <v>36</v>
      </c>
      <c r="G822" s="14" t="s">
        <v>1207</v>
      </c>
      <c r="H822" s="14" t="s">
        <v>953</v>
      </c>
      <c r="I822" s="76" t="s">
        <v>1208</v>
      </c>
      <c r="J822" s="73">
        <v>0</v>
      </c>
      <c r="K822" s="74">
        <v>2600</v>
      </c>
      <c r="L822" s="72">
        <v>0</v>
      </c>
      <c r="M822" s="72">
        <v>0</v>
      </c>
      <c r="N822" s="72">
        <f>IF(AND(C822="",J822=0,K822=0,L822=0,M822=0),"",CADASTROS!$B$4+SUM($J$2:J822)+SUM($M$2:M822)-SUM($K$2:K822)-SUM($L$2:L822))</f>
        <v>96546.419999998994</v>
      </c>
      <c r="O822" s="72">
        <f>IF(A822="","",SUMIF(RATEIOS!$A$2:$A$3142,$A822,RATEIOS!$F$2:$F$3142))</f>
        <v>2600</v>
      </c>
      <c r="P822" s="15">
        <f t="shared" si="25"/>
        <v>0</v>
      </c>
      <c r="Q822" s="49" t="str">
        <f>IF(AND(J822=0,K822=0,L822=0,M822=0),"",IF(O822=0,"PENDENTE DE RATEIO",IF(ABS(P822)&gt;0.005,"DIVERGÊNCIA",IF(COUNTIF(RATEIOS!$A$2:$A$3142,$A822)-COUNTIFS(RATEIOS!$A$2:$A$3142,$A822,RATEIOS!$D$2:$D$3142,"&lt;&gt;")&gt;0,"NÃO CLASSIFICADO","RATEIO OK"))))</f>
        <v>RATEIO OK</v>
      </c>
      <c r="R822" s="49" t="s">
        <v>2553</v>
      </c>
      <c r="S822" s="14"/>
    </row>
    <row r="823" spans="1:19" ht="24.95" customHeight="1" x14ac:dyDescent="0.25">
      <c r="A823" s="49" t="s">
        <v>2316</v>
      </c>
      <c r="B823" s="98">
        <v>822</v>
      </c>
      <c r="C823" s="50">
        <v>46254</v>
      </c>
      <c r="D823" s="49">
        <f t="shared" si="24"/>
        <v>8</v>
      </c>
      <c r="E823" s="92" t="s">
        <v>72</v>
      </c>
      <c r="F823" s="49" t="s">
        <v>36</v>
      </c>
      <c r="G823" s="14" t="s">
        <v>1209</v>
      </c>
      <c r="H823" s="14" t="s">
        <v>164</v>
      </c>
      <c r="I823" s="76" t="s">
        <v>412</v>
      </c>
      <c r="J823" s="73">
        <v>0</v>
      </c>
      <c r="K823" s="74">
        <v>9501.08</v>
      </c>
      <c r="L823" s="72">
        <v>0</v>
      </c>
      <c r="M823" s="72">
        <v>0</v>
      </c>
      <c r="N823" s="72">
        <f>IF(AND(C823="",J823=0,K823=0,L823=0,M823=0),"",CADASTROS!$B$4+SUM($J$2:J823)+SUM($M$2:M823)-SUM($K$2:K823)-SUM($L$2:L823))</f>
        <v>87045.33999999892</v>
      </c>
      <c r="O823" s="72">
        <f>IF(A823="","",SUMIF(RATEIOS!$A$2:$A$3142,$A823,RATEIOS!$F$2:$F$3142))</f>
        <v>9501.08</v>
      </c>
      <c r="P823" s="15">
        <f t="shared" si="25"/>
        <v>0</v>
      </c>
      <c r="Q823" s="49" t="str">
        <f>IF(AND(J823=0,K823=0,L823=0,M823=0),"",IF(O823=0,"PENDENTE DE RATEIO",IF(ABS(P823)&gt;0.005,"DIVERGÊNCIA",IF(COUNTIF(RATEIOS!$A$2:$A$3142,$A823)-COUNTIFS(RATEIOS!$A$2:$A$3142,$A823,RATEIOS!$D$2:$D$3142,"&lt;&gt;")&gt;0,"NÃO CLASSIFICADO","RATEIO OK"))))</f>
        <v>RATEIO OK</v>
      </c>
      <c r="R823" s="49" t="s">
        <v>2553</v>
      </c>
      <c r="S823" s="14"/>
    </row>
    <row r="824" spans="1:19" ht="24.95" customHeight="1" x14ac:dyDescent="0.25">
      <c r="A824" s="49" t="s">
        <v>2317</v>
      </c>
      <c r="B824" s="98">
        <v>823</v>
      </c>
      <c r="C824" s="50">
        <v>46254</v>
      </c>
      <c r="D824" s="49">
        <f t="shared" si="24"/>
        <v>8</v>
      </c>
      <c r="E824" s="92" t="s">
        <v>169</v>
      </c>
      <c r="F824" s="49" t="s">
        <v>36</v>
      </c>
      <c r="G824" s="14" t="s">
        <v>1210</v>
      </c>
      <c r="H824" s="14" t="s">
        <v>167</v>
      </c>
      <c r="I824" s="76" t="s">
        <v>412</v>
      </c>
      <c r="J824" s="73">
        <v>0</v>
      </c>
      <c r="K824" s="74">
        <v>28117.68</v>
      </c>
      <c r="L824" s="72">
        <v>0</v>
      </c>
      <c r="M824" s="72">
        <v>0</v>
      </c>
      <c r="N824" s="72">
        <f>IF(AND(C824="",J824=0,K824=0,L824=0,M824=0),"",CADASTROS!$B$4+SUM($J$2:J824)+SUM($M$2:M824)-SUM($K$2:K824)-SUM($L$2:L824))</f>
        <v>58927.659999999218</v>
      </c>
      <c r="O824" s="72">
        <f>IF(A824="","",SUMIF(RATEIOS!$A$2:$A$3142,$A824,RATEIOS!$F$2:$F$3142))</f>
        <v>28117.68</v>
      </c>
      <c r="P824" s="15">
        <f t="shared" si="25"/>
        <v>0</v>
      </c>
      <c r="Q824" s="49" t="str">
        <f>IF(AND(J824=0,K824=0,L824=0,M824=0),"",IF(O824=0,"PENDENTE DE RATEIO",IF(ABS(P824)&gt;0.005,"DIVERGÊNCIA",IF(COUNTIF(RATEIOS!$A$2:$A$3142,$A824)-COUNTIFS(RATEIOS!$A$2:$A$3142,$A824,RATEIOS!$D$2:$D$3142,"&lt;&gt;")&gt;0,"NÃO CLASSIFICADO","RATEIO OK"))))</f>
        <v>RATEIO OK</v>
      </c>
      <c r="R824" s="49" t="s">
        <v>2553</v>
      </c>
      <c r="S824" s="14"/>
    </row>
    <row r="825" spans="1:19" ht="24.95" customHeight="1" x14ac:dyDescent="0.25">
      <c r="A825" s="49" t="s">
        <v>2318</v>
      </c>
      <c r="B825" s="98">
        <v>824</v>
      </c>
      <c r="C825" s="50">
        <v>46254</v>
      </c>
      <c r="D825" s="49">
        <f t="shared" si="24"/>
        <v>8</v>
      </c>
      <c r="E825" s="92" t="s">
        <v>169</v>
      </c>
      <c r="F825" s="49" t="s">
        <v>36</v>
      </c>
      <c r="G825" s="14" t="s">
        <v>168</v>
      </c>
      <c r="H825" s="14" t="s">
        <v>2741</v>
      </c>
      <c r="I825" s="76" t="s">
        <v>412</v>
      </c>
      <c r="J825" s="73">
        <v>0</v>
      </c>
      <c r="K825" s="74">
        <v>120.08</v>
      </c>
      <c r="L825" s="72">
        <v>0</v>
      </c>
      <c r="M825" s="72">
        <v>0</v>
      </c>
      <c r="N825" s="72">
        <f>IF(AND(C825="",J825=0,K825=0,L825=0,M825=0),"",CADASTROS!$B$4+SUM($J$2:J825)+SUM($M$2:M825)-SUM($K$2:K825)-SUM($L$2:L825))</f>
        <v>58807.579999999143</v>
      </c>
      <c r="O825" s="72">
        <f>IF(A825="","",SUMIF(RATEIOS!$A$2:$A$3142,$A825,RATEIOS!$F$2:$F$3142))</f>
        <v>120.08</v>
      </c>
      <c r="P825" s="15">
        <f t="shared" si="25"/>
        <v>0</v>
      </c>
      <c r="Q825" s="49" t="str">
        <f>IF(AND(J825=0,K825=0,L825=0,M825=0),"",IF(O825=0,"PENDENTE DE RATEIO",IF(ABS(P825)&gt;0.005,"DIVERGÊNCIA",IF(COUNTIF(RATEIOS!$A$2:$A$3142,$A825)-COUNTIFS(RATEIOS!$A$2:$A$3142,$A825,RATEIOS!$D$2:$D$3142,"&lt;&gt;")&gt;0,"NÃO CLASSIFICADO","RATEIO OK"))))</f>
        <v>RATEIO OK</v>
      </c>
      <c r="R825" s="49" t="s">
        <v>2553</v>
      </c>
      <c r="S825" s="14"/>
    </row>
    <row r="826" spans="1:19" ht="24.95" customHeight="1" x14ac:dyDescent="0.25">
      <c r="A826" s="49" t="s">
        <v>2319</v>
      </c>
      <c r="B826" s="98">
        <v>825</v>
      </c>
      <c r="C826" s="50">
        <v>46254</v>
      </c>
      <c r="D826" s="49">
        <f t="shared" si="24"/>
        <v>8</v>
      </c>
      <c r="E826" s="92" t="s">
        <v>169</v>
      </c>
      <c r="F826" s="49" t="s">
        <v>36</v>
      </c>
      <c r="G826" s="14" t="s">
        <v>170</v>
      </c>
      <c r="H826" s="14" t="s">
        <v>2741</v>
      </c>
      <c r="I826" s="76" t="s">
        <v>412</v>
      </c>
      <c r="J826" s="73">
        <v>0</v>
      </c>
      <c r="K826" s="74">
        <v>38.74</v>
      </c>
      <c r="L826" s="72">
        <v>0</v>
      </c>
      <c r="M826" s="72">
        <v>0</v>
      </c>
      <c r="N826" s="72">
        <f>IF(AND(C826="",J826=0,K826=0,L826=0,M826=0),"",CADASTROS!$B$4+SUM($J$2:J826)+SUM($M$2:M826)-SUM($K$2:K826)-SUM($L$2:L826))</f>
        <v>58768.83999999892</v>
      </c>
      <c r="O826" s="72">
        <f>IF(A826="","",SUMIF(RATEIOS!$A$2:$A$3142,$A826,RATEIOS!$F$2:$F$3142))</f>
        <v>38.74</v>
      </c>
      <c r="P826" s="15">
        <f t="shared" si="25"/>
        <v>0</v>
      </c>
      <c r="Q826" s="49" t="str">
        <f>IF(AND(J826=0,K826=0,L826=0,M826=0),"",IF(O826=0,"PENDENTE DE RATEIO",IF(ABS(P826)&gt;0.005,"DIVERGÊNCIA",IF(COUNTIF(RATEIOS!$A$2:$A$3142,$A826)-COUNTIFS(RATEIOS!$A$2:$A$3142,$A826,RATEIOS!$D$2:$D$3142,"&lt;&gt;")&gt;0,"NÃO CLASSIFICADO","RATEIO OK"))))</f>
        <v>RATEIO OK</v>
      </c>
      <c r="R826" s="49" t="s">
        <v>2553</v>
      </c>
      <c r="S826" s="14"/>
    </row>
    <row r="827" spans="1:19" ht="24.95" customHeight="1" x14ac:dyDescent="0.25">
      <c r="A827" s="49" t="s">
        <v>2320</v>
      </c>
      <c r="B827" s="98">
        <v>826</v>
      </c>
      <c r="C827" s="50">
        <v>46254</v>
      </c>
      <c r="D827" s="49">
        <f t="shared" si="24"/>
        <v>8</v>
      </c>
      <c r="E827" s="92" t="s">
        <v>118</v>
      </c>
      <c r="F827" s="49" t="s">
        <v>36</v>
      </c>
      <c r="G827" s="14" t="s">
        <v>513</v>
      </c>
      <c r="H827" s="14" t="s">
        <v>67</v>
      </c>
      <c r="I827" s="76" t="s">
        <v>1211</v>
      </c>
      <c r="J827" s="73">
        <v>0</v>
      </c>
      <c r="K827" s="74">
        <v>300</v>
      </c>
      <c r="L827" s="72">
        <v>0</v>
      </c>
      <c r="M827" s="72">
        <v>0</v>
      </c>
      <c r="N827" s="72">
        <f>IF(AND(C827="",J827=0,K827=0,L827=0,M827=0),"",CADASTROS!$B$4+SUM($J$2:J827)+SUM($M$2:M827)-SUM($K$2:K827)-SUM($L$2:L827))</f>
        <v>58468.83999999892</v>
      </c>
      <c r="O827" s="72">
        <f>IF(A827="","",SUMIF(RATEIOS!$A$2:$A$3142,$A827,RATEIOS!$F$2:$F$3142))</f>
        <v>300</v>
      </c>
      <c r="P827" s="15">
        <f t="shared" si="25"/>
        <v>0</v>
      </c>
      <c r="Q827" s="49" t="str">
        <f>IF(AND(J827=0,K827=0,L827=0,M827=0),"",IF(O827=0,"PENDENTE DE RATEIO",IF(ABS(P827)&gt;0.005,"DIVERGÊNCIA",IF(COUNTIF(RATEIOS!$A$2:$A$3142,$A827)-COUNTIFS(RATEIOS!$A$2:$A$3142,$A827,RATEIOS!$D$2:$D$3142,"&lt;&gt;")&gt;0,"NÃO CLASSIFICADO","RATEIO OK"))))</f>
        <v>RATEIO OK</v>
      </c>
      <c r="R827" s="49" t="s">
        <v>2553</v>
      </c>
      <c r="S827" s="14"/>
    </row>
    <row r="828" spans="1:19" ht="24.95" customHeight="1" x14ac:dyDescent="0.25">
      <c r="A828" s="49" t="s">
        <v>2321</v>
      </c>
      <c r="B828" s="98">
        <v>827</v>
      </c>
      <c r="C828" s="50">
        <v>46254</v>
      </c>
      <c r="D828" s="49">
        <f t="shared" si="24"/>
        <v>8</v>
      </c>
      <c r="E828" s="92" t="s">
        <v>2556</v>
      </c>
      <c r="F828" s="49" t="s">
        <v>36</v>
      </c>
      <c r="G828" s="14" t="s">
        <v>1212</v>
      </c>
      <c r="H828" s="14" t="s">
        <v>1213</v>
      </c>
      <c r="I828" s="76" t="s">
        <v>412</v>
      </c>
      <c r="J828" s="73">
        <v>0</v>
      </c>
      <c r="K828" s="74">
        <v>532.65</v>
      </c>
      <c r="L828" s="72">
        <v>0</v>
      </c>
      <c r="M828" s="72">
        <v>0</v>
      </c>
      <c r="N828" s="72">
        <f>IF(AND(C828="",J828=0,K828=0,L828=0,M828=0),"",CADASTROS!$B$4+SUM($J$2:J828)+SUM($M$2:M828)-SUM($K$2:K828)-SUM($L$2:L828))</f>
        <v>57936.189999998547</v>
      </c>
      <c r="O828" s="72">
        <f>IF(A828="","",SUMIF(RATEIOS!$A$2:$A$3142,$A828,RATEIOS!$F$2:$F$3142))</f>
        <v>532.65</v>
      </c>
      <c r="P828" s="15">
        <f t="shared" si="25"/>
        <v>0</v>
      </c>
      <c r="Q828" s="49" t="str">
        <f>IF(AND(J828=0,K828=0,L828=0,M828=0),"",IF(O828=0,"PENDENTE DE RATEIO",IF(ABS(P828)&gt;0.005,"DIVERGÊNCIA",IF(COUNTIF(RATEIOS!$A$2:$A$3142,$A828)-COUNTIFS(RATEIOS!$A$2:$A$3142,$A828,RATEIOS!$D$2:$D$3142,"&lt;&gt;")&gt;0,"NÃO CLASSIFICADO","RATEIO OK"))))</f>
        <v>RATEIO OK</v>
      </c>
      <c r="R828" s="49" t="s">
        <v>2553</v>
      </c>
      <c r="S828" s="14"/>
    </row>
    <row r="829" spans="1:19" ht="24.95" customHeight="1" x14ac:dyDescent="0.25">
      <c r="A829" s="49" t="s">
        <v>2322</v>
      </c>
      <c r="B829" s="98">
        <v>828</v>
      </c>
      <c r="C829" s="50">
        <v>46254</v>
      </c>
      <c r="D829" s="49">
        <f t="shared" si="24"/>
        <v>8</v>
      </c>
      <c r="E829" s="92" t="s">
        <v>118</v>
      </c>
      <c r="F829" s="49" t="s">
        <v>36</v>
      </c>
      <c r="G829" s="14" t="s">
        <v>218</v>
      </c>
      <c r="H829" s="14" t="s">
        <v>219</v>
      </c>
      <c r="I829" s="76" t="s">
        <v>1214</v>
      </c>
      <c r="J829" s="73">
        <v>0</v>
      </c>
      <c r="K829" s="74">
        <v>1165.98</v>
      </c>
      <c r="L829" s="72">
        <v>0</v>
      </c>
      <c r="M829" s="72">
        <v>0</v>
      </c>
      <c r="N829" s="72">
        <f>IF(AND(C829="",J829=0,K829=0,L829=0,M829=0),"",CADASTROS!$B$4+SUM($J$2:J829)+SUM($M$2:M829)-SUM($K$2:K829)-SUM($L$2:L829))</f>
        <v>56770.2099999981</v>
      </c>
      <c r="O829" s="72">
        <f>IF(A829="","",SUMIF(RATEIOS!$A$2:$A$3142,$A829,RATEIOS!$F$2:$F$3142))</f>
        <v>1165.98</v>
      </c>
      <c r="P829" s="15">
        <f t="shared" si="25"/>
        <v>0</v>
      </c>
      <c r="Q829" s="49" t="str">
        <f>IF(AND(J829=0,K829=0,L829=0,M829=0),"",IF(O829=0,"PENDENTE DE RATEIO",IF(ABS(P829)&gt;0.005,"DIVERGÊNCIA",IF(COUNTIF(RATEIOS!$A$2:$A$3142,$A829)-COUNTIFS(RATEIOS!$A$2:$A$3142,$A829,RATEIOS!$D$2:$D$3142,"&lt;&gt;")&gt;0,"NÃO CLASSIFICADO","RATEIO OK"))))</f>
        <v>RATEIO OK</v>
      </c>
      <c r="R829" s="49" t="s">
        <v>2553</v>
      </c>
      <c r="S829" s="14"/>
    </row>
    <row r="830" spans="1:19" ht="24.95" customHeight="1" x14ac:dyDescent="0.25">
      <c r="A830" s="49" t="s">
        <v>2323</v>
      </c>
      <c r="B830" s="98">
        <v>829</v>
      </c>
      <c r="C830" s="50">
        <v>46258</v>
      </c>
      <c r="D830" s="49">
        <f t="shared" si="24"/>
        <v>8</v>
      </c>
      <c r="E830" s="92" t="s">
        <v>72</v>
      </c>
      <c r="F830" s="49" t="s">
        <v>36</v>
      </c>
      <c r="G830" s="14" t="s">
        <v>1215</v>
      </c>
      <c r="H830" s="14" t="s">
        <v>1216</v>
      </c>
      <c r="I830" s="76" t="s">
        <v>412</v>
      </c>
      <c r="J830" s="73">
        <v>0</v>
      </c>
      <c r="K830" s="74">
        <v>830.68</v>
      </c>
      <c r="L830" s="72">
        <v>0</v>
      </c>
      <c r="M830" s="72">
        <v>0</v>
      </c>
      <c r="N830" s="72">
        <f>IF(AND(C830="",J830=0,K830=0,L830=0,M830=0),"",CADASTROS!$B$4+SUM($J$2:J830)+SUM($M$2:M830)-SUM($K$2:K830)-SUM($L$2:L830))</f>
        <v>55939.529999998398</v>
      </c>
      <c r="O830" s="72">
        <f>IF(A830="","",SUMIF(RATEIOS!$A$2:$A$3142,$A830,RATEIOS!$F$2:$F$3142))</f>
        <v>830.68</v>
      </c>
      <c r="P830" s="15">
        <f t="shared" si="25"/>
        <v>0</v>
      </c>
      <c r="Q830" s="49" t="str">
        <f>IF(AND(J830=0,K830=0,L830=0,M830=0),"",IF(O830=0,"PENDENTE DE RATEIO",IF(ABS(P830)&gt;0.005,"DIVERGÊNCIA",IF(COUNTIF(RATEIOS!$A$2:$A$3142,$A830)-COUNTIFS(RATEIOS!$A$2:$A$3142,$A830,RATEIOS!$D$2:$D$3142,"&lt;&gt;")&gt;0,"NÃO CLASSIFICADO","RATEIO OK"))))</f>
        <v>RATEIO OK</v>
      </c>
      <c r="R830" s="49" t="s">
        <v>2553</v>
      </c>
      <c r="S830" s="14"/>
    </row>
    <row r="831" spans="1:19" ht="24.95" customHeight="1" x14ac:dyDescent="0.25">
      <c r="A831" s="49" t="s">
        <v>2324</v>
      </c>
      <c r="B831" s="98">
        <v>830</v>
      </c>
      <c r="C831" s="50">
        <v>46258</v>
      </c>
      <c r="D831" s="49">
        <f t="shared" si="24"/>
        <v>8</v>
      </c>
      <c r="E831" s="92" t="s">
        <v>118</v>
      </c>
      <c r="F831" s="49" t="s">
        <v>36</v>
      </c>
      <c r="G831" s="14" t="s">
        <v>1217</v>
      </c>
      <c r="H831" s="14" t="s">
        <v>51</v>
      </c>
      <c r="I831" s="76" t="s">
        <v>969</v>
      </c>
      <c r="J831" s="73">
        <v>0</v>
      </c>
      <c r="K831" s="74">
        <v>2040.58</v>
      </c>
      <c r="L831" s="72">
        <v>0</v>
      </c>
      <c r="M831" s="72">
        <v>0</v>
      </c>
      <c r="N831" s="72">
        <f>IF(AND(C831="",J831=0,K831=0,L831=0,M831=0),"",CADASTROS!$B$4+SUM($J$2:J831)+SUM($M$2:M831)-SUM($K$2:K831)-SUM($L$2:L831))</f>
        <v>53898.949999998324</v>
      </c>
      <c r="O831" s="72">
        <f>IF(A831="","",SUMIF(RATEIOS!$A$2:$A$3142,$A831,RATEIOS!$F$2:$F$3142))</f>
        <v>2040.58</v>
      </c>
      <c r="P831" s="15">
        <f t="shared" si="25"/>
        <v>0</v>
      </c>
      <c r="Q831" s="49" t="str">
        <f>IF(AND(J831=0,K831=0,L831=0,M831=0),"",IF(O831=0,"PENDENTE DE RATEIO",IF(ABS(P831)&gt;0.005,"DIVERGÊNCIA",IF(COUNTIF(RATEIOS!$A$2:$A$3142,$A831)-COUNTIFS(RATEIOS!$A$2:$A$3142,$A831,RATEIOS!$D$2:$D$3142,"&lt;&gt;")&gt;0,"NÃO CLASSIFICADO","RATEIO OK"))))</f>
        <v>RATEIO OK</v>
      </c>
      <c r="R831" s="49" t="s">
        <v>2553</v>
      </c>
      <c r="S831" s="14"/>
    </row>
    <row r="832" spans="1:19" ht="24.95" customHeight="1" x14ac:dyDescent="0.25">
      <c r="A832" s="49" t="s">
        <v>2325</v>
      </c>
      <c r="B832" s="98">
        <v>831</v>
      </c>
      <c r="C832" s="50">
        <v>46259</v>
      </c>
      <c r="D832" s="49">
        <f t="shared" si="24"/>
        <v>8</v>
      </c>
      <c r="E832" s="92" t="s">
        <v>287</v>
      </c>
      <c r="F832" s="49" t="s">
        <v>36</v>
      </c>
      <c r="G832" s="14" t="s">
        <v>1218</v>
      </c>
      <c r="H832" s="14" t="s">
        <v>612</v>
      </c>
      <c r="I832" s="76" t="s">
        <v>412</v>
      </c>
      <c r="J832" s="73">
        <v>0</v>
      </c>
      <c r="K832" s="74">
        <v>3104.29</v>
      </c>
      <c r="L832" s="72">
        <v>0</v>
      </c>
      <c r="M832" s="72">
        <v>0</v>
      </c>
      <c r="N832" s="72">
        <f>IF(AND(C832="",J832=0,K832=0,L832=0,M832=0),"",CADASTROS!$B$4+SUM($J$2:J832)+SUM($M$2:M832)-SUM($K$2:K832)-SUM($L$2:L832))</f>
        <v>50794.659999998286</v>
      </c>
      <c r="O832" s="72">
        <f>IF(A832="","",SUMIF(RATEIOS!$A$2:$A$3142,$A832,RATEIOS!$F$2:$F$3142))</f>
        <v>3104.29</v>
      </c>
      <c r="P832" s="15">
        <f t="shared" si="25"/>
        <v>0</v>
      </c>
      <c r="Q832" s="49" t="str">
        <f>IF(AND(J832=0,K832=0,L832=0,M832=0),"",IF(O832=0,"PENDENTE DE RATEIO",IF(ABS(P832)&gt;0.005,"DIVERGÊNCIA",IF(COUNTIF(RATEIOS!$A$2:$A$3142,$A832)-COUNTIFS(RATEIOS!$A$2:$A$3142,$A832,RATEIOS!$D$2:$D$3142,"&lt;&gt;")&gt;0,"NÃO CLASSIFICADO","RATEIO OK"))))</f>
        <v>RATEIO OK</v>
      </c>
      <c r="R832" s="49" t="s">
        <v>2553</v>
      </c>
      <c r="S832" s="14"/>
    </row>
    <row r="833" spans="1:19" ht="24.95" customHeight="1" x14ac:dyDescent="0.25">
      <c r="A833" s="49" t="s">
        <v>2326</v>
      </c>
      <c r="B833" s="98">
        <v>832</v>
      </c>
      <c r="C833" s="50">
        <v>46259</v>
      </c>
      <c r="D833" s="49">
        <f t="shared" si="24"/>
        <v>8</v>
      </c>
      <c r="E833" s="92" t="s">
        <v>169</v>
      </c>
      <c r="F833" s="49" t="s">
        <v>36</v>
      </c>
      <c r="G833" s="14" t="s">
        <v>1219</v>
      </c>
      <c r="H833" s="14" t="s">
        <v>179</v>
      </c>
      <c r="I833" s="76" t="s">
        <v>412</v>
      </c>
      <c r="J833" s="73">
        <v>0</v>
      </c>
      <c r="K833" s="74">
        <v>3935.84</v>
      </c>
      <c r="L833" s="72">
        <v>0</v>
      </c>
      <c r="M833" s="72">
        <v>0</v>
      </c>
      <c r="N833" s="72">
        <f>IF(AND(C833="",J833=0,K833=0,L833=0,M833=0),"",CADASTROS!$B$4+SUM($J$2:J833)+SUM($M$2:M833)-SUM($K$2:K833)-SUM($L$2:L833))</f>
        <v>46858.819999998435</v>
      </c>
      <c r="O833" s="72">
        <f>IF(A833="","",SUMIF(RATEIOS!$A$2:$A$3142,$A833,RATEIOS!$F$2:$F$3142))</f>
        <v>3935.84</v>
      </c>
      <c r="P833" s="15">
        <f t="shared" si="25"/>
        <v>0</v>
      </c>
      <c r="Q833" s="49" t="str">
        <f>IF(AND(J833=0,K833=0,L833=0,M833=0),"",IF(O833=0,"PENDENTE DE RATEIO",IF(ABS(P833)&gt;0.005,"DIVERGÊNCIA",IF(COUNTIF(RATEIOS!$A$2:$A$3142,$A833)-COUNTIFS(RATEIOS!$A$2:$A$3142,$A833,RATEIOS!$D$2:$D$3142,"&lt;&gt;")&gt;0,"NÃO CLASSIFICADO","RATEIO OK"))))</f>
        <v>RATEIO OK</v>
      </c>
      <c r="R833" s="49" t="s">
        <v>2553</v>
      </c>
      <c r="S833" s="14"/>
    </row>
    <row r="834" spans="1:19" ht="24.95" customHeight="1" x14ac:dyDescent="0.25">
      <c r="A834" s="49" t="s">
        <v>2327</v>
      </c>
      <c r="B834" s="98">
        <v>833</v>
      </c>
      <c r="C834" s="50">
        <v>46259</v>
      </c>
      <c r="D834" s="49">
        <f t="shared" ref="D834:D897" si="26">IF(C834="","",MONTH(C834))</f>
        <v>8</v>
      </c>
      <c r="E834" s="92" t="s">
        <v>169</v>
      </c>
      <c r="F834" s="49" t="s">
        <v>36</v>
      </c>
      <c r="G834" s="14" t="s">
        <v>1220</v>
      </c>
      <c r="H834" s="14" t="s">
        <v>180</v>
      </c>
      <c r="I834" s="76" t="s">
        <v>412</v>
      </c>
      <c r="J834" s="73">
        <v>0</v>
      </c>
      <c r="K834" s="74">
        <v>18165.400000000001</v>
      </c>
      <c r="L834" s="72">
        <v>0</v>
      </c>
      <c r="M834" s="72">
        <v>0</v>
      </c>
      <c r="N834" s="72">
        <f>IF(AND(C834="",J834=0,K834=0,L834=0,M834=0),"",CADASTROS!$B$4+SUM($J$2:J834)+SUM($M$2:M834)-SUM($K$2:K834)-SUM($L$2:L834))</f>
        <v>28693.419999998063</v>
      </c>
      <c r="O834" s="72">
        <f>IF(A834="","",SUMIF(RATEIOS!$A$2:$A$3142,$A834,RATEIOS!$F$2:$F$3142))</f>
        <v>18165.400000000001</v>
      </c>
      <c r="P834" s="15">
        <f t="shared" ref="P834:P897" si="27">IF(A834="","",(J834+K834+L834+M834)-O834)</f>
        <v>0</v>
      </c>
      <c r="Q834" s="49" t="str">
        <f>IF(AND(J834=0,K834=0,L834=0,M834=0),"",IF(O834=0,"PENDENTE DE RATEIO",IF(ABS(P834)&gt;0.005,"DIVERGÊNCIA",IF(COUNTIF(RATEIOS!$A$2:$A$3142,$A834)-COUNTIFS(RATEIOS!$A$2:$A$3142,$A834,RATEIOS!$D$2:$D$3142,"&lt;&gt;")&gt;0,"NÃO CLASSIFICADO","RATEIO OK"))))</f>
        <v>RATEIO OK</v>
      </c>
      <c r="R834" s="49" t="s">
        <v>2553</v>
      </c>
      <c r="S834" s="14"/>
    </row>
    <row r="835" spans="1:19" ht="24.95" customHeight="1" x14ac:dyDescent="0.25">
      <c r="A835" s="49" t="s">
        <v>2328</v>
      </c>
      <c r="B835" s="98">
        <v>834</v>
      </c>
      <c r="C835" s="50">
        <v>46259</v>
      </c>
      <c r="D835" s="49">
        <f t="shared" si="26"/>
        <v>8</v>
      </c>
      <c r="E835" s="92" t="s">
        <v>118</v>
      </c>
      <c r="F835" s="49" t="s">
        <v>36</v>
      </c>
      <c r="G835" s="14" t="s">
        <v>678</v>
      </c>
      <c r="H835" s="14" t="s">
        <v>679</v>
      </c>
      <c r="I835" s="76" t="s">
        <v>412</v>
      </c>
      <c r="J835" s="73">
        <v>0</v>
      </c>
      <c r="K835" s="74">
        <v>400</v>
      </c>
      <c r="L835" s="72">
        <v>0</v>
      </c>
      <c r="M835" s="72">
        <v>0</v>
      </c>
      <c r="N835" s="72">
        <f>IF(AND(C835="",J835=0,K835=0,L835=0,M835=0),"",CADASTROS!$B$4+SUM($J$2:J835)+SUM($M$2:M835)-SUM($K$2:K835)-SUM($L$2:L835))</f>
        <v>28293.419999998063</v>
      </c>
      <c r="O835" s="72">
        <f>IF(A835="","",SUMIF(RATEIOS!$A$2:$A$3142,$A835,RATEIOS!$F$2:$F$3142))</f>
        <v>400</v>
      </c>
      <c r="P835" s="15">
        <f t="shared" si="27"/>
        <v>0</v>
      </c>
      <c r="Q835" s="49" t="str">
        <f>IF(AND(J835=0,K835=0,L835=0,M835=0),"",IF(O835=0,"PENDENTE DE RATEIO",IF(ABS(P835)&gt;0.005,"DIVERGÊNCIA",IF(COUNTIF(RATEIOS!$A$2:$A$3142,$A835)-COUNTIFS(RATEIOS!$A$2:$A$3142,$A835,RATEIOS!$D$2:$D$3142,"&lt;&gt;")&gt;0,"NÃO CLASSIFICADO","RATEIO OK"))))</f>
        <v>RATEIO OK</v>
      </c>
      <c r="R835" s="49" t="s">
        <v>2553</v>
      </c>
      <c r="S835" s="14"/>
    </row>
    <row r="836" spans="1:19" ht="24.95" customHeight="1" x14ac:dyDescent="0.25">
      <c r="A836" s="49" t="s">
        <v>2329</v>
      </c>
      <c r="B836" s="98">
        <v>835</v>
      </c>
      <c r="C836" s="50">
        <v>46260</v>
      </c>
      <c r="D836" s="49">
        <f t="shared" si="26"/>
        <v>8</v>
      </c>
      <c r="E836" s="92" t="s">
        <v>287</v>
      </c>
      <c r="F836" s="49" t="s">
        <v>35</v>
      </c>
      <c r="G836" s="14" t="s">
        <v>1221</v>
      </c>
      <c r="H836" s="14" t="s">
        <v>2736</v>
      </c>
      <c r="I836" s="76" t="s">
        <v>412</v>
      </c>
      <c r="J836" s="73">
        <v>15213.04</v>
      </c>
      <c r="K836" s="74">
        <v>0</v>
      </c>
      <c r="L836" s="72">
        <v>0</v>
      </c>
      <c r="M836" s="72">
        <v>0</v>
      </c>
      <c r="N836" s="72">
        <f>IF(AND(C836="",J836=0,K836=0,L836=0,M836=0),"",CADASTROS!$B$4+SUM($J$2:J836)+SUM($M$2:M836)-SUM($K$2:K836)-SUM($L$2:L836))</f>
        <v>43506.4599999981</v>
      </c>
      <c r="O836" s="72">
        <f>IF(A836="","",SUMIF(RATEIOS!$A$2:$A$3142,$A836,RATEIOS!$F$2:$F$3142))</f>
        <v>15213.04</v>
      </c>
      <c r="P836" s="15">
        <f t="shared" si="27"/>
        <v>0</v>
      </c>
      <c r="Q836" s="49" t="str">
        <f>IF(AND(J836=0,K836=0,L836=0,M836=0),"",IF(O836=0,"PENDENTE DE RATEIO",IF(ABS(P836)&gt;0.005,"DIVERGÊNCIA",IF(COUNTIF(RATEIOS!$A$2:$A$3142,$A836)-COUNTIFS(RATEIOS!$A$2:$A$3142,$A836,RATEIOS!$D$2:$D$3142,"&lt;&gt;")&gt;0,"NÃO CLASSIFICADO","RATEIO OK"))))</f>
        <v>RATEIO OK</v>
      </c>
      <c r="R836" s="49" t="s">
        <v>2553</v>
      </c>
      <c r="S836" s="14"/>
    </row>
    <row r="837" spans="1:19" ht="24.95" customHeight="1" x14ac:dyDescent="0.25">
      <c r="A837" s="49" t="s">
        <v>2330</v>
      </c>
      <c r="B837" s="98">
        <v>836</v>
      </c>
      <c r="C837" s="50">
        <v>46260</v>
      </c>
      <c r="D837" s="49">
        <f t="shared" si="26"/>
        <v>8</v>
      </c>
      <c r="E837" s="92" t="s">
        <v>287</v>
      </c>
      <c r="F837" s="49" t="s">
        <v>35</v>
      </c>
      <c r="G837" s="14" t="s">
        <v>1222</v>
      </c>
      <c r="H837" s="14" t="s">
        <v>2736</v>
      </c>
      <c r="I837" s="76" t="s">
        <v>412</v>
      </c>
      <c r="J837" s="73">
        <v>598887.53</v>
      </c>
      <c r="K837" s="74">
        <v>0</v>
      </c>
      <c r="L837" s="72">
        <v>0</v>
      </c>
      <c r="M837" s="72">
        <v>0</v>
      </c>
      <c r="N837" s="72">
        <f>IF(AND(C837="",J837=0,K837=0,L837=0,M837=0),"",CADASTROS!$B$4+SUM($J$2:J837)+SUM($M$2:M837)-SUM($K$2:K837)-SUM($L$2:L837))</f>
        <v>642393.98999999836</v>
      </c>
      <c r="O837" s="72">
        <f>IF(A837="","",SUMIF(RATEIOS!$A$2:$A$3142,$A837,RATEIOS!$F$2:$F$3142))</f>
        <v>598887.53</v>
      </c>
      <c r="P837" s="15">
        <f t="shared" si="27"/>
        <v>0</v>
      </c>
      <c r="Q837" s="49" t="str">
        <f>IF(AND(J837=0,K837=0,L837=0,M837=0),"",IF(O837=0,"PENDENTE DE RATEIO",IF(ABS(P837)&gt;0.005,"DIVERGÊNCIA",IF(COUNTIF(RATEIOS!$A$2:$A$3142,$A837)-COUNTIFS(RATEIOS!$A$2:$A$3142,$A837,RATEIOS!$D$2:$D$3142,"&lt;&gt;")&gt;0,"NÃO CLASSIFICADO","RATEIO OK"))))</f>
        <v>RATEIO OK</v>
      </c>
      <c r="R837" s="49" t="s">
        <v>2553</v>
      </c>
      <c r="S837" s="14"/>
    </row>
    <row r="838" spans="1:19" ht="24.95" customHeight="1" x14ac:dyDescent="0.25">
      <c r="A838" s="49" t="s">
        <v>2331</v>
      </c>
      <c r="B838" s="98">
        <v>837</v>
      </c>
      <c r="C838" s="50">
        <v>46260</v>
      </c>
      <c r="D838" s="49">
        <f t="shared" si="26"/>
        <v>8</v>
      </c>
      <c r="E838" s="92" t="s">
        <v>287</v>
      </c>
      <c r="F838" s="49" t="s">
        <v>36</v>
      </c>
      <c r="G838" s="14" t="s">
        <v>895</v>
      </c>
      <c r="H838" s="14" t="s">
        <v>712</v>
      </c>
      <c r="I838" s="76" t="s">
        <v>412</v>
      </c>
      <c r="J838" s="73">
        <v>0</v>
      </c>
      <c r="K838" s="74">
        <v>8000</v>
      </c>
      <c r="L838" s="72">
        <v>0</v>
      </c>
      <c r="M838" s="72">
        <v>0</v>
      </c>
      <c r="N838" s="72">
        <f>IF(AND(C838="",J838=0,K838=0,L838=0,M838=0),"",CADASTROS!$B$4+SUM($J$2:J838)+SUM($M$2:M838)-SUM($K$2:K838)-SUM($L$2:L838))</f>
        <v>634393.98999999836</v>
      </c>
      <c r="O838" s="72">
        <f>IF(A838="","",SUMIF(RATEIOS!$A$2:$A$3142,$A838,RATEIOS!$F$2:$F$3142))</f>
        <v>8000</v>
      </c>
      <c r="P838" s="15">
        <f t="shared" si="27"/>
        <v>0</v>
      </c>
      <c r="Q838" s="49" t="str">
        <f>IF(AND(J838=0,K838=0,L838=0,M838=0),"",IF(O838=0,"PENDENTE DE RATEIO",IF(ABS(P838)&gt;0.005,"DIVERGÊNCIA",IF(COUNTIF(RATEIOS!$A$2:$A$3142,$A838)-COUNTIFS(RATEIOS!$A$2:$A$3142,$A838,RATEIOS!$D$2:$D$3142,"&lt;&gt;")&gt;0,"NÃO CLASSIFICADO","RATEIO OK"))))</f>
        <v>RATEIO OK</v>
      </c>
      <c r="R838" s="49" t="s">
        <v>2553</v>
      </c>
      <c r="S838" s="14"/>
    </row>
    <row r="839" spans="1:19" ht="24.95" customHeight="1" x14ac:dyDescent="0.25">
      <c r="A839" s="49" t="s">
        <v>2332</v>
      </c>
      <c r="B839" s="98">
        <v>838</v>
      </c>
      <c r="C839" s="50">
        <v>46260</v>
      </c>
      <c r="D839" s="49">
        <f t="shared" si="26"/>
        <v>8</v>
      </c>
      <c r="E839" s="92" t="s">
        <v>287</v>
      </c>
      <c r="F839" s="49" t="s">
        <v>36</v>
      </c>
      <c r="G839" s="14" t="s">
        <v>896</v>
      </c>
      <c r="H839" s="14" t="s">
        <v>703</v>
      </c>
      <c r="I839" s="76" t="s">
        <v>412</v>
      </c>
      <c r="J839" s="73">
        <v>0</v>
      </c>
      <c r="K839" s="74">
        <v>9621</v>
      </c>
      <c r="L839" s="72">
        <v>0</v>
      </c>
      <c r="M839" s="72">
        <v>0</v>
      </c>
      <c r="N839" s="72">
        <f>IF(AND(C839="",J839=0,K839=0,L839=0,M839=0),"",CADASTROS!$B$4+SUM($J$2:J839)+SUM($M$2:M839)-SUM($K$2:K839)-SUM($L$2:L839))</f>
        <v>624772.98999999836</v>
      </c>
      <c r="O839" s="72">
        <f>IF(A839="","",SUMIF(RATEIOS!$A$2:$A$3142,$A839,RATEIOS!$F$2:$F$3142))</f>
        <v>9621</v>
      </c>
      <c r="P839" s="15">
        <f t="shared" si="27"/>
        <v>0</v>
      </c>
      <c r="Q839" s="49" t="str">
        <f>IF(AND(J839=0,K839=0,L839=0,M839=0),"",IF(O839=0,"PENDENTE DE RATEIO",IF(ABS(P839)&gt;0.005,"DIVERGÊNCIA",IF(COUNTIF(RATEIOS!$A$2:$A$3142,$A839)-COUNTIFS(RATEIOS!$A$2:$A$3142,$A839,RATEIOS!$D$2:$D$3142,"&lt;&gt;")&gt;0,"NÃO CLASSIFICADO","RATEIO OK"))))</f>
        <v>RATEIO OK</v>
      </c>
      <c r="R839" s="49" t="s">
        <v>2553</v>
      </c>
      <c r="S839" s="14"/>
    </row>
    <row r="840" spans="1:19" ht="24.95" customHeight="1" x14ac:dyDescent="0.25">
      <c r="A840" s="49" t="s">
        <v>2333</v>
      </c>
      <c r="B840" s="98">
        <v>839</v>
      </c>
      <c r="C840" s="50">
        <v>46260</v>
      </c>
      <c r="D840" s="49">
        <f t="shared" si="26"/>
        <v>8</v>
      </c>
      <c r="E840" s="92" t="s">
        <v>287</v>
      </c>
      <c r="F840" s="49" t="s">
        <v>36</v>
      </c>
      <c r="G840" s="14" t="s">
        <v>1223</v>
      </c>
      <c r="H840" s="14" t="s">
        <v>417</v>
      </c>
      <c r="I840" s="76" t="s">
        <v>412</v>
      </c>
      <c r="J840" s="73">
        <v>0</v>
      </c>
      <c r="K840" s="74">
        <v>18000</v>
      </c>
      <c r="L840" s="72">
        <v>0</v>
      </c>
      <c r="M840" s="72">
        <v>0</v>
      </c>
      <c r="N840" s="72">
        <f>IF(AND(C840="",J840=0,K840=0,L840=0,M840=0),"",CADASTROS!$B$4+SUM($J$2:J840)+SUM($M$2:M840)-SUM($K$2:K840)-SUM($L$2:L840))</f>
        <v>606772.98999999836</v>
      </c>
      <c r="O840" s="72">
        <f>IF(A840="","",SUMIF(RATEIOS!$A$2:$A$3142,$A840,RATEIOS!$F$2:$F$3142))</f>
        <v>18000</v>
      </c>
      <c r="P840" s="15">
        <f t="shared" si="27"/>
        <v>0</v>
      </c>
      <c r="Q840" s="49" t="str">
        <f>IF(AND(J840=0,K840=0,L840=0,M840=0),"",IF(O840=0,"PENDENTE DE RATEIO",IF(ABS(P840)&gt;0.005,"DIVERGÊNCIA",IF(COUNTIF(RATEIOS!$A$2:$A$3142,$A840)-COUNTIFS(RATEIOS!$A$2:$A$3142,$A840,RATEIOS!$D$2:$D$3142,"&lt;&gt;")&gt;0,"NÃO CLASSIFICADO","RATEIO OK"))))</f>
        <v>RATEIO OK</v>
      </c>
      <c r="R840" s="49" t="s">
        <v>2553</v>
      </c>
      <c r="S840" s="14"/>
    </row>
    <row r="841" spans="1:19" ht="24.95" customHeight="1" x14ac:dyDescent="0.25">
      <c r="A841" s="49" t="s">
        <v>2334</v>
      </c>
      <c r="B841" s="98">
        <v>840</v>
      </c>
      <c r="C841" s="50">
        <v>46260</v>
      </c>
      <c r="D841" s="49">
        <f t="shared" si="26"/>
        <v>8</v>
      </c>
      <c r="E841" s="92" t="s">
        <v>287</v>
      </c>
      <c r="F841" s="49" t="s">
        <v>36</v>
      </c>
      <c r="G841" s="14" t="s">
        <v>1224</v>
      </c>
      <c r="H841" s="14" t="s">
        <v>411</v>
      </c>
      <c r="I841" s="76" t="s">
        <v>412</v>
      </c>
      <c r="J841" s="73">
        <v>0</v>
      </c>
      <c r="K841" s="74">
        <v>14500</v>
      </c>
      <c r="L841" s="72">
        <v>0</v>
      </c>
      <c r="M841" s="72">
        <v>0</v>
      </c>
      <c r="N841" s="72">
        <f>IF(AND(C841="",J841=0,K841=0,L841=0,M841=0),"",CADASTROS!$B$4+SUM($J$2:J841)+SUM($M$2:M841)-SUM($K$2:K841)-SUM($L$2:L841))</f>
        <v>592272.98999999836</v>
      </c>
      <c r="O841" s="72">
        <f>IF(A841="","",SUMIF(RATEIOS!$A$2:$A$3142,$A841,RATEIOS!$F$2:$F$3142))</f>
        <v>14500</v>
      </c>
      <c r="P841" s="15">
        <f t="shared" si="27"/>
        <v>0</v>
      </c>
      <c r="Q841" s="49" t="str">
        <f>IF(AND(J841=0,K841=0,L841=0,M841=0),"",IF(O841=0,"PENDENTE DE RATEIO",IF(ABS(P841)&gt;0.005,"DIVERGÊNCIA",IF(COUNTIF(RATEIOS!$A$2:$A$3142,$A841)-COUNTIFS(RATEIOS!$A$2:$A$3142,$A841,RATEIOS!$D$2:$D$3142,"&lt;&gt;")&gt;0,"NÃO CLASSIFICADO","RATEIO OK"))))</f>
        <v>RATEIO OK</v>
      </c>
      <c r="R841" s="49" t="s">
        <v>2553</v>
      </c>
      <c r="S841" s="14"/>
    </row>
    <row r="842" spans="1:19" ht="24.95" customHeight="1" x14ac:dyDescent="0.25">
      <c r="A842" s="49" t="s">
        <v>2335</v>
      </c>
      <c r="B842" s="98">
        <v>841</v>
      </c>
      <c r="C842" s="50">
        <v>46260</v>
      </c>
      <c r="D842" s="49">
        <f t="shared" si="26"/>
        <v>8</v>
      </c>
      <c r="E842" s="92" t="s">
        <v>287</v>
      </c>
      <c r="F842" s="49" t="s">
        <v>36</v>
      </c>
      <c r="G842" s="14" t="s">
        <v>900</v>
      </c>
      <c r="H842" s="14" t="s">
        <v>755</v>
      </c>
      <c r="I842" s="76" t="s">
        <v>412</v>
      </c>
      <c r="J842" s="73">
        <v>0</v>
      </c>
      <c r="K842" s="74">
        <v>4000</v>
      </c>
      <c r="L842" s="72">
        <v>0</v>
      </c>
      <c r="M842" s="72">
        <v>0</v>
      </c>
      <c r="N842" s="72">
        <f>IF(AND(C842="",J842=0,K842=0,L842=0,M842=0),"",CADASTROS!$B$4+SUM($J$2:J842)+SUM($M$2:M842)-SUM($K$2:K842)-SUM($L$2:L842))</f>
        <v>588272.98999999836</v>
      </c>
      <c r="O842" s="72">
        <f>IF(A842="","",SUMIF(RATEIOS!$A$2:$A$3142,$A842,RATEIOS!$F$2:$F$3142))</f>
        <v>4000</v>
      </c>
      <c r="P842" s="15">
        <f t="shared" si="27"/>
        <v>0</v>
      </c>
      <c r="Q842" s="49" t="str">
        <f>IF(AND(J842=0,K842=0,L842=0,M842=0),"",IF(O842=0,"PENDENTE DE RATEIO",IF(ABS(P842)&gt;0.005,"DIVERGÊNCIA",IF(COUNTIF(RATEIOS!$A$2:$A$3142,$A842)-COUNTIFS(RATEIOS!$A$2:$A$3142,$A842,RATEIOS!$D$2:$D$3142,"&lt;&gt;")&gt;0,"NÃO CLASSIFICADO","RATEIO OK"))))</f>
        <v>RATEIO OK</v>
      </c>
      <c r="R842" s="49" t="s">
        <v>2553</v>
      </c>
      <c r="S842" s="14"/>
    </row>
    <row r="843" spans="1:19" ht="24.95" customHeight="1" x14ac:dyDescent="0.25">
      <c r="A843" s="49" t="s">
        <v>2336</v>
      </c>
      <c r="B843" s="98">
        <v>842</v>
      </c>
      <c r="C843" s="50">
        <v>46260</v>
      </c>
      <c r="D843" s="49">
        <f t="shared" si="26"/>
        <v>8</v>
      </c>
      <c r="E843" s="92" t="s">
        <v>287</v>
      </c>
      <c r="F843" s="49" t="s">
        <v>36</v>
      </c>
      <c r="G843" s="14" t="s">
        <v>1225</v>
      </c>
      <c r="H843" s="14" t="s">
        <v>743</v>
      </c>
      <c r="I843" s="76" t="s">
        <v>412</v>
      </c>
      <c r="J843" s="73">
        <v>0</v>
      </c>
      <c r="K843" s="74">
        <v>6500</v>
      </c>
      <c r="L843" s="72">
        <v>0</v>
      </c>
      <c r="M843" s="72">
        <v>0</v>
      </c>
      <c r="N843" s="72">
        <f>IF(AND(C843="",J843=0,K843=0,L843=0,M843=0),"",CADASTROS!$B$4+SUM($J$2:J843)+SUM($M$2:M843)-SUM($K$2:K843)-SUM($L$2:L843))</f>
        <v>581772.98999999836</v>
      </c>
      <c r="O843" s="72">
        <f>IF(A843="","",SUMIF(RATEIOS!$A$2:$A$3142,$A843,RATEIOS!$F$2:$F$3142))</f>
        <v>6500</v>
      </c>
      <c r="P843" s="15">
        <f t="shared" si="27"/>
        <v>0</v>
      </c>
      <c r="Q843" s="49" t="str">
        <f>IF(AND(J843=0,K843=0,L843=0,M843=0),"",IF(O843=0,"PENDENTE DE RATEIO",IF(ABS(P843)&gt;0.005,"DIVERGÊNCIA",IF(COUNTIF(RATEIOS!$A$2:$A$3142,$A843)-COUNTIFS(RATEIOS!$A$2:$A$3142,$A843,RATEIOS!$D$2:$D$3142,"&lt;&gt;")&gt;0,"NÃO CLASSIFICADO","RATEIO OK"))))</f>
        <v>RATEIO OK</v>
      </c>
      <c r="R843" s="49" t="s">
        <v>2553</v>
      </c>
      <c r="S843" s="14"/>
    </row>
    <row r="844" spans="1:19" ht="24.95" customHeight="1" x14ac:dyDescent="0.25">
      <c r="A844" s="49" t="s">
        <v>2337</v>
      </c>
      <c r="B844" s="98">
        <v>843</v>
      </c>
      <c r="C844" s="50">
        <v>46260</v>
      </c>
      <c r="D844" s="49">
        <f t="shared" si="26"/>
        <v>8</v>
      </c>
      <c r="E844" s="92" t="s">
        <v>287</v>
      </c>
      <c r="F844" s="49" t="s">
        <v>36</v>
      </c>
      <c r="G844" s="14" t="s">
        <v>1226</v>
      </c>
      <c r="H844" s="14" t="s">
        <v>337</v>
      </c>
      <c r="I844" s="76" t="s">
        <v>412</v>
      </c>
      <c r="J844" s="73">
        <v>0</v>
      </c>
      <c r="K844" s="74">
        <v>9000</v>
      </c>
      <c r="L844" s="72">
        <v>0</v>
      </c>
      <c r="M844" s="72">
        <v>0</v>
      </c>
      <c r="N844" s="72">
        <f>IF(AND(C844="",J844=0,K844=0,L844=0,M844=0),"",CADASTROS!$B$4+SUM($J$2:J844)+SUM($M$2:M844)-SUM($K$2:K844)-SUM($L$2:L844))</f>
        <v>572772.98999999836</v>
      </c>
      <c r="O844" s="72">
        <f>IF(A844="","",SUMIF(RATEIOS!$A$2:$A$3142,$A844,RATEIOS!$F$2:$F$3142))</f>
        <v>9000</v>
      </c>
      <c r="P844" s="15">
        <f t="shared" si="27"/>
        <v>0</v>
      </c>
      <c r="Q844" s="49" t="str">
        <f>IF(AND(J844=0,K844=0,L844=0,M844=0),"",IF(O844=0,"PENDENTE DE RATEIO",IF(ABS(P844)&gt;0.005,"DIVERGÊNCIA",IF(COUNTIF(RATEIOS!$A$2:$A$3142,$A844)-COUNTIFS(RATEIOS!$A$2:$A$3142,$A844,RATEIOS!$D$2:$D$3142,"&lt;&gt;")&gt;0,"NÃO CLASSIFICADO","RATEIO OK"))))</f>
        <v>RATEIO OK</v>
      </c>
      <c r="R844" s="49" t="s">
        <v>2553</v>
      </c>
      <c r="S844" s="14"/>
    </row>
    <row r="845" spans="1:19" ht="24.95" customHeight="1" x14ac:dyDescent="0.25">
      <c r="A845" s="49" t="s">
        <v>2338</v>
      </c>
      <c r="B845" s="98">
        <v>844</v>
      </c>
      <c r="C845" s="50">
        <v>46260</v>
      </c>
      <c r="D845" s="49">
        <f t="shared" si="26"/>
        <v>8</v>
      </c>
      <c r="E845" s="92" t="s">
        <v>287</v>
      </c>
      <c r="F845" s="49" t="s">
        <v>36</v>
      </c>
      <c r="G845" s="14" t="s">
        <v>1227</v>
      </c>
      <c r="H845" s="14" t="s">
        <v>349</v>
      </c>
      <c r="I845" s="76" t="s">
        <v>412</v>
      </c>
      <c r="J845" s="73">
        <v>0</v>
      </c>
      <c r="K845" s="74">
        <v>21242</v>
      </c>
      <c r="L845" s="72">
        <v>0</v>
      </c>
      <c r="M845" s="72">
        <v>0</v>
      </c>
      <c r="N845" s="72">
        <f>IF(AND(C845="",J845=0,K845=0,L845=0,M845=0),"",CADASTROS!$B$4+SUM($J$2:J845)+SUM($M$2:M845)-SUM($K$2:K845)-SUM($L$2:L845))</f>
        <v>551530.98999999836</v>
      </c>
      <c r="O845" s="72">
        <f>IF(A845="","",SUMIF(RATEIOS!$A$2:$A$3142,$A845,RATEIOS!$F$2:$F$3142))</f>
        <v>21242</v>
      </c>
      <c r="P845" s="15">
        <f t="shared" si="27"/>
        <v>0</v>
      </c>
      <c r="Q845" s="49" t="str">
        <f>IF(AND(J845=0,K845=0,L845=0,M845=0),"",IF(O845=0,"PENDENTE DE RATEIO",IF(ABS(P845)&gt;0.005,"DIVERGÊNCIA",IF(COUNTIF(RATEIOS!$A$2:$A$3142,$A845)-COUNTIFS(RATEIOS!$A$2:$A$3142,$A845,RATEIOS!$D$2:$D$3142,"&lt;&gt;")&gt;0,"NÃO CLASSIFICADO","RATEIO OK"))))</f>
        <v>RATEIO OK</v>
      </c>
      <c r="R845" s="49" t="s">
        <v>2553</v>
      </c>
      <c r="S845" s="14"/>
    </row>
    <row r="846" spans="1:19" ht="24.95" customHeight="1" x14ac:dyDescent="0.25">
      <c r="A846" s="49" t="s">
        <v>2339</v>
      </c>
      <c r="B846" s="98">
        <v>845</v>
      </c>
      <c r="C846" s="50">
        <v>46260</v>
      </c>
      <c r="D846" s="49">
        <f t="shared" si="26"/>
        <v>8</v>
      </c>
      <c r="E846" s="92" t="s">
        <v>287</v>
      </c>
      <c r="F846" s="49" t="s">
        <v>36</v>
      </c>
      <c r="G846" s="14" t="s">
        <v>904</v>
      </c>
      <c r="H846" s="14" t="s">
        <v>758</v>
      </c>
      <c r="I846" s="76" t="s">
        <v>412</v>
      </c>
      <c r="J846" s="73">
        <v>0</v>
      </c>
      <c r="K846" s="74">
        <v>4000</v>
      </c>
      <c r="L846" s="72">
        <v>0</v>
      </c>
      <c r="M846" s="72">
        <v>0</v>
      </c>
      <c r="N846" s="72">
        <f>IF(AND(C846="",J846=0,K846=0,L846=0,M846=0),"",CADASTROS!$B$4+SUM($J$2:J846)+SUM($M$2:M846)-SUM($K$2:K846)-SUM($L$2:L846))</f>
        <v>547530.98999999836</v>
      </c>
      <c r="O846" s="72">
        <f>IF(A846="","",SUMIF(RATEIOS!$A$2:$A$3142,$A846,RATEIOS!$F$2:$F$3142))</f>
        <v>4000</v>
      </c>
      <c r="P846" s="15">
        <f t="shared" si="27"/>
        <v>0</v>
      </c>
      <c r="Q846" s="49" t="str">
        <f>IF(AND(J846=0,K846=0,L846=0,M846=0),"",IF(O846=0,"PENDENTE DE RATEIO",IF(ABS(P846)&gt;0.005,"DIVERGÊNCIA",IF(COUNTIF(RATEIOS!$A$2:$A$3142,$A846)-COUNTIFS(RATEIOS!$A$2:$A$3142,$A846,RATEIOS!$D$2:$D$3142,"&lt;&gt;")&gt;0,"NÃO CLASSIFICADO","RATEIO OK"))))</f>
        <v>RATEIO OK</v>
      </c>
      <c r="R846" s="49" t="s">
        <v>2553</v>
      </c>
      <c r="S846" s="14"/>
    </row>
    <row r="847" spans="1:19" ht="24.95" customHeight="1" x14ac:dyDescent="0.25">
      <c r="A847" s="49" t="s">
        <v>2340</v>
      </c>
      <c r="B847" s="98">
        <v>846</v>
      </c>
      <c r="C847" s="50">
        <v>46261</v>
      </c>
      <c r="D847" s="49">
        <f t="shared" si="26"/>
        <v>8</v>
      </c>
      <c r="E847" s="92" t="s">
        <v>287</v>
      </c>
      <c r="F847" s="49" t="s">
        <v>35</v>
      </c>
      <c r="G847" s="14" t="s">
        <v>1228</v>
      </c>
      <c r="H847" s="14" t="s">
        <v>2736</v>
      </c>
      <c r="I847" s="76" t="s">
        <v>412</v>
      </c>
      <c r="J847" s="73">
        <v>14601.01</v>
      </c>
      <c r="K847" s="74">
        <v>0</v>
      </c>
      <c r="L847" s="72">
        <v>0</v>
      </c>
      <c r="M847" s="72">
        <v>0</v>
      </c>
      <c r="N847" s="72">
        <f>IF(AND(C847="",J847=0,K847=0,L847=0,M847=0),"",CADASTROS!$B$4+SUM($J$2:J847)+SUM($M$2:M847)-SUM($K$2:K847)-SUM($L$2:L847))</f>
        <v>562131.99999999814</v>
      </c>
      <c r="O847" s="72">
        <f>IF(A847="","",SUMIF(RATEIOS!$A$2:$A$3142,$A847,RATEIOS!$F$2:$F$3142))</f>
        <v>14601.01</v>
      </c>
      <c r="P847" s="15">
        <f t="shared" si="27"/>
        <v>0</v>
      </c>
      <c r="Q847" s="49" t="str">
        <f>IF(AND(J847=0,K847=0,L847=0,M847=0),"",IF(O847=0,"PENDENTE DE RATEIO",IF(ABS(P847)&gt;0.005,"DIVERGÊNCIA",IF(COUNTIF(RATEIOS!$A$2:$A$3142,$A847)-COUNTIFS(RATEIOS!$A$2:$A$3142,$A847,RATEIOS!$D$2:$D$3142,"&lt;&gt;")&gt;0,"NÃO CLASSIFICADO","RATEIO OK"))))</f>
        <v>RATEIO OK</v>
      </c>
      <c r="R847" s="49" t="s">
        <v>2553</v>
      </c>
      <c r="S847" s="14"/>
    </row>
    <row r="848" spans="1:19" ht="24.95" customHeight="1" x14ac:dyDescent="0.25">
      <c r="A848" s="49" t="s">
        <v>2341</v>
      </c>
      <c r="B848" s="98">
        <v>847</v>
      </c>
      <c r="C848" s="50">
        <v>46261</v>
      </c>
      <c r="D848" s="49">
        <f t="shared" si="26"/>
        <v>8</v>
      </c>
      <c r="E848" s="92" t="s">
        <v>287</v>
      </c>
      <c r="F848" s="49" t="s">
        <v>35</v>
      </c>
      <c r="G848" s="14" t="s">
        <v>1229</v>
      </c>
      <c r="H848" s="14" t="s">
        <v>2736</v>
      </c>
      <c r="I848" s="76" t="s">
        <v>412</v>
      </c>
      <c r="J848" s="73">
        <v>604926.56999999995</v>
      </c>
      <c r="K848" s="74">
        <v>0</v>
      </c>
      <c r="L848" s="72">
        <v>0</v>
      </c>
      <c r="M848" s="72">
        <v>0</v>
      </c>
      <c r="N848" s="72">
        <f>IF(AND(C848="",J848=0,K848=0,L848=0,M848=0),"",CADASTROS!$B$4+SUM($J$2:J848)+SUM($M$2:M848)-SUM($K$2:K848)-SUM($L$2:L848))</f>
        <v>1167058.5699999984</v>
      </c>
      <c r="O848" s="72">
        <f>IF(A848="","",SUMIF(RATEIOS!$A$2:$A$3142,$A848,RATEIOS!$F$2:$F$3142))</f>
        <v>604926.56999999995</v>
      </c>
      <c r="P848" s="15">
        <f t="shared" si="27"/>
        <v>0</v>
      </c>
      <c r="Q848" s="49" t="str">
        <f>IF(AND(J848=0,K848=0,L848=0,M848=0),"",IF(O848=0,"PENDENTE DE RATEIO",IF(ABS(P848)&gt;0.005,"DIVERGÊNCIA",IF(COUNTIF(RATEIOS!$A$2:$A$3142,$A848)-COUNTIFS(RATEIOS!$A$2:$A$3142,$A848,RATEIOS!$D$2:$D$3142,"&lt;&gt;")&gt;0,"NÃO CLASSIFICADO","RATEIO OK"))))</f>
        <v>RATEIO OK</v>
      </c>
      <c r="R848" s="49" t="s">
        <v>2553</v>
      </c>
      <c r="S848" s="14"/>
    </row>
    <row r="849" spans="1:19" ht="24.95" customHeight="1" x14ac:dyDescent="0.25">
      <c r="A849" s="49" t="s">
        <v>2342</v>
      </c>
      <c r="B849" s="98">
        <v>848</v>
      </c>
      <c r="C849" s="50">
        <v>46261</v>
      </c>
      <c r="D849" s="49">
        <f t="shared" si="26"/>
        <v>8</v>
      </c>
      <c r="E849" s="92" t="s">
        <v>118</v>
      </c>
      <c r="F849" s="49" t="s">
        <v>36</v>
      </c>
      <c r="G849" s="14" t="s">
        <v>3035</v>
      </c>
      <c r="H849" s="14" t="s">
        <v>1169</v>
      </c>
      <c r="I849" s="76" t="s">
        <v>1170</v>
      </c>
      <c r="J849" s="73">
        <v>0</v>
      </c>
      <c r="K849" s="74">
        <v>1030.93</v>
      </c>
      <c r="L849" s="72">
        <v>0</v>
      </c>
      <c r="M849" s="72">
        <v>0</v>
      </c>
      <c r="N849" s="72">
        <f>IF(AND(C849="",J849=0,K849=0,L849=0,M849=0),"",CADASTROS!$B$4+SUM($J$2:J849)+SUM($M$2:M849)-SUM($K$2:K849)-SUM($L$2:L849))</f>
        <v>1166027.6399999987</v>
      </c>
      <c r="O849" s="72">
        <f>IF(A849="","",SUMIF(RATEIOS!$A$2:$A$3142,$A849,RATEIOS!$F$2:$F$3142))</f>
        <v>1030.93</v>
      </c>
      <c r="P849" s="15">
        <f t="shared" si="27"/>
        <v>0</v>
      </c>
      <c r="Q849" s="49" t="str">
        <f>IF(AND(J849=0,K849=0,L849=0,M849=0),"",IF(O849=0,"PENDENTE DE RATEIO",IF(ABS(P849)&gt;0.005,"DIVERGÊNCIA",IF(COUNTIF(RATEIOS!$A$2:$A$3142,$A849)-COUNTIFS(RATEIOS!$A$2:$A$3142,$A849,RATEIOS!$D$2:$D$3142,"&lt;&gt;")&gt;0,"NÃO CLASSIFICADO","RATEIO OK"))))</f>
        <v>RATEIO OK</v>
      </c>
      <c r="R849" s="49" t="s">
        <v>2553</v>
      </c>
      <c r="S849" s="14"/>
    </row>
    <row r="850" spans="1:19" ht="24.95" customHeight="1" x14ac:dyDescent="0.25">
      <c r="A850" s="49" t="s">
        <v>2343</v>
      </c>
      <c r="B850" s="98">
        <v>849</v>
      </c>
      <c r="C850" s="50">
        <v>46265</v>
      </c>
      <c r="D850" s="49">
        <f t="shared" si="26"/>
        <v>8</v>
      </c>
      <c r="E850" s="92" t="s">
        <v>2558</v>
      </c>
      <c r="F850" s="49" t="s">
        <v>37</v>
      </c>
      <c r="G850" s="14" t="s">
        <v>1231</v>
      </c>
      <c r="H850" s="14" t="s">
        <v>37</v>
      </c>
      <c r="I850" s="76" t="s">
        <v>412</v>
      </c>
      <c r="J850" s="73">
        <v>0</v>
      </c>
      <c r="K850" s="74">
        <v>0</v>
      </c>
      <c r="L850" s="72">
        <v>500000</v>
      </c>
      <c r="M850" s="72">
        <v>0</v>
      </c>
      <c r="N850" s="72">
        <f>IF(AND(C850="",J850=0,K850=0,L850=0,M850=0),"",CADASTROS!$B$4+SUM($J$2:J850)+SUM($M$2:M850)-SUM($K$2:K850)-SUM($L$2:L850))</f>
        <v>666027.63999999873</v>
      </c>
      <c r="O850" s="72">
        <f>IF(A850="","",SUMIF(RATEIOS!$A$2:$A$3142,$A850,RATEIOS!$F$2:$F$3142))</f>
        <v>500000</v>
      </c>
      <c r="P850" s="15">
        <f t="shared" si="27"/>
        <v>0</v>
      </c>
      <c r="Q850" s="49" t="str">
        <f>IF(AND(J850=0,K850=0,L850=0,M850=0),"",IF(O850=0,"PENDENTE DE RATEIO",IF(ABS(P850)&gt;0.005,"DIVERGÊNCIA",IF(COUNTIF(RATEIOS!$A$2:$A$3142,$A850)-COUNTIFS(RATEIOS!$A$2:$A$3142,$A850,RATEIOS!$D$2:$D$3142,"&lt;&gt;")&gt;0,"NÃO CLASSIFICADO","RATEIO OK"))))</f>
        <v>RATEIO OK</v>
      </c>
      <c r="R850" s="49" t="s">
        <v>2553</v>
      </c>
      <c r="S850" s="14"/>
    </row>
    <row r="851" spans="1:19" ht="24.95" customHeight="1" x14ac:dyDescent="0.25">
      <c r="A851" s="49" t="s">
        <v>2344</v>
      </c>
      <c r="B851" s="98">
        <v>850</v>
      </c>
      <c r="C851" s="50">
        <v>46265</v>
      </c>
      <c r="D851" s="49">
        <f t="shared" si="26"/>
        <v>8</v>
      </c>
      <c r="E851" s="92" t="s">
        <v>118</v>
      </c>
      <c r="F851" s="49" t="s">
        <v>36</v>
      </c>
      <c r="G851" s="14" t="s">
        <v>1232</v>
      </c>
      <c r="H851" s="14" t="s">
        <v>143</v>
      </c>
      <c r="I851" s="76" t="s">
        <v>226</v>
      </c>
      <c r="J851" s="73">
        <v>0</v>
      </c>
      <c r="K851" s="74">
        <v>9331.84</v>
      </c>
      <c r="L851" s="72">
        <v>0</v>
      </c>
      <c r="M851" s="72">
        <v>0</v>
      </c>
      <c r="N851" s="72">
        <f>IF(AND(C851="",J851=0,K851=0,L851=0,M851=0),"",CADASTROS!$B$4+SUM($J$2:J851)+SUM($M$2:M851)-SUM($K$2:K851)-SUM($L$2:L851))</f>
        <v>656695.79999999888</v>
      </c>
      <c r="O851" s="72">
        <f>IF(A851="","",SUMIF(RATEIOS!$A$2:$A$3142,$A851,RATEIOS!$F$2:$F$3142))</f>
        <v>9331.84</v>
      </c>
      <c r="P851" s="15">
        <f t="shared" si="27"/>
        <v>0</v>
      </c>
      <c r="Q851" s="49" t="str">
        <f>IF(AND(J851=0,K851=0,L851=0,M851=0),"",IF(O851=0,"PENDENTE DE RATEIO",IF(ABS(P851)&gt;0.005,"DIVERGÊNCIA",IF(COUNTIF(RATEIOS!$A$2:$A$3142,$A851)-COUNTIFS(RATEIOS!$A$2:$A$3142,$A851,RATEIOS!$D$2:$D$3142,"&lt;&gt;")&gt;0,"NÃO CLASSIFICADO","RATEIO OK"))))</f>
        <v>RATEIO OK</v>
      </c>
      <c r="R851" s="49" t="s">
        <v>2553</v>
      </c>
      <c r="S851" s="14"/>
    </row>
    <row r="852" spans="1:19" ht="24.95" customHeight="1" x14ac:dyDescent="0.25">
      <c r="A852" s="49" t="s">
        <v>2345</v>
      </c>
      <c r="B852" s="98">
        <v>851</v>
      </c>
      <c r="C852" s="50">
        <v>46265</v>
      </c>
      <c r="D852" s="49">
        <f t="shared" si="26"/>
        <v>8</v>
      </c>
      <c r="E852" s="92" t="s">
        <v>118</v>
      </c>
      <c r="F852" s="49" t="s">
        <v>36</v>
      </c>
      <c r="G852" s="14" t="s">
        <v>1233</v>
      </c>
      <c r="H852" s="14" t="s">
        <v>143</v>
      </c>
      <c r="I852" s="76" t="s">
        <v>224</v>
      </c>
      <c r="J852" s="73">
        <v>0</v>
      </c>
      <c r="K852" s="74">
        <v>48992.160000000003</v>
      </c>
      <c r="L852" s="72">
        <v>0</v>
      </c>
      <c r="M852" s="72">
        <v>0</v>
      </c>
      <c r="N852" s="72">
        <f>IF(AND(C852="",J852=0,K852=0,L852=0,M852=0),"",CADASTROS!$B$4+SUM($J$2:J852)+SUM($M$2:M852)-SUM($K$2:K852)-SUM($L$2:L852))</f>
        <v>607703.63999999873</v>
      </c>
      <c r="O852" s="72">
        <f>IF(A852="","",SUMIF(RATEIOS!$A$2:$A$3142,$A852,RATEIOS!$F$2:$F$3142))</f>
        <v>48992.160000000003</v>
      </c>
      <c r="P852" s="15">
        <f t="shared" si="27"/>
        <v>0</v>
      </c>
      <c r="Q852" s="49" t="str">
        <f>IF(AND(J852=0,K852=0,L852=0,M852=0),"",IF(O852=0,"PENDENTE DE RATEIO",IF(ABS(P852)&gt;0.005,"DIVERGÊNCIA",IF(COUNTIF(RATEIOS!$A$2:$A$3142,$A852)-COUNTIFS(RATEIOS!$A$2:$A$3142,$A852,RATEIOS!$D$2:$D$3142,"&lt;&gt;")&gt;0,"NÃO CLASSIFICADO","RATEIO OK"))))</f>
        <v>RATEIO OK</v>
      </c>
      <c r="R852" s="49" t="s">
        <v>2553</v>
      </c>
      <c r="S852" s="14"/>
    </row>
    <row r="853" spans="1:19" ht="24.95" customHeight="1" x14ac:dyDescent="0.25">
      <c r="A853" s="49" t="s">
        <v>2346</v>
      </c>
      <c r="B853" s="98">
        <v>852</v>
      </c>
      <c r="C853" s="50">
        <v>46265</v>
      </c>
      <c r="D853" s="49">
        <f t="shared" si="26"/>
        <v>8</v>
      </c>
      <c r="E853" s="92" t="s">
        <v>118</v>
      </c>
      <c r="F853" s="49" t="s">
        <v>36</v>
      </c>
      <c r="G853" s="14" t="s">
        <v>1234</v>
      </c>
      <c r="H853" s="14" t="s">
        <v>252</v>
      </c>
      <c r="I853" s="76" t="s">
        <v>1094</v>
      </c>
      <c r="J853" s="73">
        <v>0</v>
      </c>
      <c r="K853" s="74">
        <v>19953.5</v>
      </c>
      <c r="L853" s="72">
        <v>0</v>
      </c>
      <c r="M853" s="72">
        <v>0</v>
      </c>
      <c r="N853" s="72">
        <f>IF(AND(C853="",J853=0,K853=0,L853=0,M853=0),"",CADASTROS!$B$4+SUM($J$2:J853)+SUM($M$2:M853)-SUM($K$2:K853)-SUM($L$2:L853))</f>
        <v>587750.13999999873</v>
      </c>
      <c r="O853" s="72">
        <f>IF(A853="","",SUMIF(RATEIOS!$A$2:$A$3142,$A853,RATEIOS!$F$2:$F$3142))</f>
        <v>19953.5</v>
      </c>
      <c r="P853" s="15">
        <f t="shared" si="27"/>
        <v>0</v>
      </c>
      <c r="Q853" s="49" t="str">
        <f>IF(AND(J853=0,K853=0,L853=0,M853=0),"",IF(O853=0,"PENDENTE DE RATEIO",IF(ABS(P853)&gt;0.005,"DIVERGÊNCIA",IF(COUNTIF(RATEIOS!$A$2:$A$3142,$A853)-COUNTIFS(RATEIOS!$A$2:$A$3142,$A853,RATEIOS!$D$2:$D$3142,"&lt;&gt;")&gt;0,"NÃO CLASSIFICADO","RATEIO OK"))))</f>
        <v>RATEIO OK</v>
      </c>
      <c r="R853" s="49" t="s">
        <v>2553</v>
      </c>
      <c r="S853" s="14"/>
    </row>
    <row r="854" spans="1:19" ht="24.95" customHeight="1" x14ac:dyDescent="0.25">
      <c r="A854" s="49" t="s">
        <v>2347</v>
      </c>
      <c r="B854" s="98">
        <v>853</v>
      </c>
      <c r="C854" s="50">
        <v>46266</v>
      </c>
      <c r="D854" s="49">
        <f t="shared" si="26"/>
        <v>9</v>
      </c>
      <c r="E854" s="92" t="s">
        <v>118</v>
      </c>
      <c r="F854" s="49" t="s">
        <v>36</v>
      </c>
      <c r="G854" s="14" t="s">
        <v>1235</v>
      </c>
      <c r="H854" s="14" t="s">
        <v>59</v>
      </c>
      <c r="I854" s="76" t="s">
        <v>1144</v>
      </c>
      <c r="J854" s="73">
        <v>0</v>
      </c>
      <c r="K854" s="74">
        <v>2145</v>
      </c>
      <c r="L854" s="72">
        <v>0</v>
      </c>
      <c r="M854" s="72">
        <v>0</v>
      </c>
      <c r="N854" s="72">
        <f>IF(AND(C854="",J854=0,K854=0,L854=0,M854=0),"",CADASTROS!$B$4+SUM($J$2:J854)+SUM($M$2:M854)-SUM($K$2:K854)-SUM($L$2:L854))</f>
        <v>585605.13999999873</v>
      </c>
      <c r="O854" s="72">
        <f>IF(A854="","",SUMIF(RATEIOS!$A$2:$A$3142,$A854,RATEIOS!$F$2:$F$3142))</f>
        <v>2145</v>
      </c>
      <c r="P854" s="15">
        <f t="shared" si="27"/>
        <v>0</v>
      </c>
      <c r="Q854" s="49" t="str">
        <f>IF(AND(J854=0,K854=0,L854=0,M854=0),"",IF(O854=0,"PENDENTE DE RATEIO",IF(ABS(P854)&gt;0.005,"DIVERGÊNCIA",IF(COUNTIF(RATEIOS!$A$2:$A$3142,$A854)-COUNTIFS(RATEIOS!$A$2:$A$3142,$A854,RATEIOS!$D$2:$D$3142,"&lt;&gt;")&gt;0,"NÃO CLASSIFICADO","RATEIO OK"))))</f>
        <v>NÃO CLASSIFICADO</v>
      </c>
      <c r="R854" s="49" t="s">
        <v>2553</v>
      </c>
      <c r="S854" s="14"/>
    </row>
    <row r="855" spans="1:19" ht="24.95" customHeight="1" x14ac:dyDescent="0.25">
      <c r="A855" s="49" t="s">
        <v>2348</v>
      </c>
      <c r="B855" s="98">
        <v>854</v>
      </c>
      <c r="C855" s="50">
        <v>46266</v>
      </c>
      <c r="D855" s="49">
        <f t="shared" si="26"/>
        <v>9</v>
      </c>
      <c r="E855" s="92" t="s">
        <v>118</v>
      </c>
      <c r="F855" s="49" t="s">
        <v>36</v>
      </c>
      <c r="G855" s="14" t="s">
        <v>1236</v>
      </c>
      <c r="H855" s="14" t="s">
        <v>59</v>
      </c>
      <c r="I855" s="76" t="s">
        <v>1142</v>
      </c>
      <c r="J855" s="73">
        <v>0</v>
      </c>
      <c r="K855" s="74">
        <v>792</v>
      </c>
      <c r="L855" s="72">
        <v>0</v>
      </c>
      <c r="M855" s="72">
        <v>0</v>
      </c>
      <c r="N855" s="72">
        <f>IF(AND(C855="",J855=0,K855=0,L855=0,M855=0),"",CADASTROS!$B$4+SUM($J$2:J855)+SUM($M$2:M855)-SUM($K$2:K855)-SUM($L$2:L855))</f>
        <v>584813.13999999873</v>
      </c>
      <c r="O855" s="72">
        <f>IF(A855="","",SUMIF(RATEIOS!$A$2:$A$3142,$A855,RATEIOS!$F$2:$F$3142))</f>
        <v>792</v>
      </c>
      <c r="P855" s="15">
        <f t="shared" si="27"/>
        <v>0</v>
      </c>
      <c r="Q855" s="49" t="str">
        <f>IF(AND(J855=0,K855=0,L855=0,M855=0),"",IF(O855=0,"PENDENTE DE RATEIO",IF(ABS(P855)&gt;0.005,"DIVERGÊNCIA",IF(COUNTIF(RATEIOS!$A$2:$A$3142,$A855)-COUNTIFS(RATEIOS!$A$2:$A$3142,$A855,RATEIOS!$D$2:$D$3142,"&lt;&gt;")&gt;0,"NÃO CLASSIFICADO","RATEIO OK"))))</f>
        <v>NÃO CLASSIFICADO</v>
      </c>
      <c r="R855" s="49" t="s">
        <v>2553</v>
      </c>
      <c r="S855" s="14"/>
    </row>
    <row r="856" spans="1:19" ht="24.95" customHeight="1" x14ac:dyDescent="0.25">
      <c r="A856" s="49" t="s">
        <v>2350</v>
      </c>
      <c r="B856" s="98">
        <v>855</v>
      </c>
      <c r="C856" s="50">
        <v>46266</v>
      </c>
      <c r="D856" s="49">
        <f t="shared" si="26"/>
        <v>9</v>
      </c>
      <c r="E856" s="92" t="s">
        <v>118</v>
      </c>
      <c r="F856" s="49" t="s">
        <v>36</v>
      </c>
      <c r="G856" s="14" t="s">
        <v>1147</v>
      </c>
      <c r="H856" s="14" t="s">
        <v>51</v>
      </c>
      <c r="I856" s="76" t="s">
        <v>1237</v>
      </c>
      <c r="J856" s="73">
        <v>0</v>
      </c>
      <c r="K856" s="74">
        <v>1041.6500000000001</v>
      </c>
      <c r="L856" s="72">
        <v>0</v>
      </c>
      <c r="M856" s="72">
        <v>0</v>
      </c>
      <c r="N856" s="72">
        <f>IF(AND(C856="",J856=0,K856=0,L856=0,M856=0),"",CADASTROS!$B$4+SUM($J$2:J856)+SUM($M$2:M856)-SUM($K$2:K856)-SUM($L$2:L856))</f>
        <v>583771.48999999836</v>
      </c>
      <c r="O856" s="72">
        <f>IF(A856="","",SUMIF(RATEIOS!$A$2:$A$3142,$A856,RATEIOS!$F$2:$F$3142))</f>
        <v>1041.6500000000001</v>
      </c>
      <c r="P856" s="15">
        <f t="shared" si="27"/>
        <v>0</v>
      </c>
      <c r="Q856" s="49" t="str">
        <f>IF(AND(J856=0,K856=0,L856=0,M856=0),"",IF(O856=0,"PENDENTE DE RATEIO",IF(ABS(P856)&gt;0.005,"DIVERGÊNCIA",IF(COUNTIF(RATEIOS!$A$2:$A$3142,$A856)-COUNTIFS(RATEIOS!$A$2:$A$3142,$A856,RATEIOS!$D$2:$D$3142,"&lt;&gt;")&gt;0,"NÃO CLASSIFICADO","RATEIO OK"))))</f>
        <v>RATEIO OK</v>
      </c>
      <c r="R856" s="49" t="s">
        <v>2553</v>
      </c>
      <c r="S856" s="14"/>
    </row>
    <row r="857" spans="1:19" ht="24.95" customHeight="1" x14ac:dyDescent="0.25">
      <c r="A857" s="49" t="s">
        <v>2351</v>
      </c>
      <c r="B857" s="98">
        <v>856</v>
      </c>
      <c r="C857" s="50">
        <v>46266</v>
      </c>
      <c r="D857" s="49">
        <f t="shared" si="26"/>
        <v>9</v>
      </c>
      <c r="E857" s="92" t="s">
        <v>118</v>
      </c>
      <c r="F857" s="49" t="s">
        <v>36</v>
      </c>
      <c r="G857" s="14" t="s">
        <v>1238</v>
      </c>
      <c r="H857" s="14" t="s">
        <v>51</v>
      </c>
      <c r="I857" s="76" t="s">
        <v>3039</v>
      </c>
      <c r="J857" s="73">
        <v>0</v>
      </c>
      <c r="K857" s="74">
        <v>1301.81</v>
      </c>
      <c r="L857" s="72">
        <v>0</v>
      </c>
      <c r="M857" s="72">
        <v>0</v>
      </c>
      <c r="N857" s="72">
        <f>IF(AND(C857="",J857=0,K857=0,L857=0,M857=0),"",CADASTROS!$B$4+SUM($J$2:J857)+SUM($M$2:M857)-SUM($K$2:K857)-SUM($L$2:L857))</f>
        <v>582469.67999999877</v>
      </c>
      <c r="O857" s="72">
        <f>IF(A857="","",SUMIF(RATEIOS!$A$2:$A$3142,$A857,RATEIOS!$F$2:$F$3142))</f>
        <v>1301.81</v>
      </c>
      <c r="P857" s="15">
        <f t="shared" si="27"/>
        <v>0</v>
      </c>
      <c r="Q857" s="49" t="str">
        <f>IF(AND(J857=0,K857=0,L857=0,M857=0),"",IF(O857=0,"PENDENTE DE RATEIO",IF(ABS(P857)&gt;0.005,"DIVERGÊNCIA",IF(COUNTIF(RATEIOS!$A$2:$A$3142,$A857)-COUNTIFS(RATEIOS!$A$2:$A$3142,$A857,RATEIOS!$D$2:$D$3142,"&lt;&gt;")&gt;0,"NÃO CLASSIFICADO","RATEIO OK"))))</f>
        <v>RATEIO OK</v>
      </c>
      <c r="R857" s="49" t="s">
        <v>2553</v>
      </c>
      <c r="S857" s="14"/>
    </row>
    <row r="858" spans="1:19" ht="24.95" customHeight="1" x14ac:dyDescent="0.25">
      <c r="A858" s="49" t="s">
        <v>2352</v>
      </c>
      <c r="B858" s="98">
        <v>857</v>
      </c>
      <c r="C858" s="50">
        <v>46266</v>
      </c>
      <c r="D858" s="49">
        <f t="shared" si="26"/>
        <v>9</v>
      </c>
      <c r="E858" s="92" t="s">
        <v>118</v>
      </c>
      <c r="F858" s="49" t="s">
        <v>36</v>
      </c>
      <c r="G858" s="14" t="s">
        <v>1239</v>
      </c>
      <c r="H858" s="14" t="s">
        <v>59</v>
      </c>
      <c r="I858" s="76" t="s">
        <v>1240</v>
      </c>
      <c r="J858" s="73">
        <v>0</v>
      </c>
      <c r="K858" s="74">
        <v>1584</v>
      </c>
      <c r="L858" s="72">
        <v>0</v>
      </c>
      <c r="M858" s="72">
        <v>0</v>
      </c>
      <c r="N858" s="72">
        <f>IF(AND(C858="",J858=0,K858=0,L858=0,M858=0),"",CADASTROS!$B$4+SUM($J$2:J858)+SUM($M$2:M858)-SUM($K$2:K858)-SUM($L$2:L858))</f>
        <v>580885.67999999877</v>
      </c>
      <c r="O858" s="72">
        <f>IF(A858="","",SUMIF(RATEIOS!$A$2:$A$3142,$A858,RATEIOS!$F$2:$F$3142))</f>
        <v>1584</v>
      </c>
      <c r="P858" s="15">
        <f t="shared" si="27"/>
        <v>0</v>
      </c>
      <c r="Q858" s="49" t="str">
        <f>IF(AND(J858=0,K858=0,L858=0,M858=0),"",IF(O858=0,"PENDENTE DE RATEIO",IF(ABS(P858)&gt;0.005,"DIVERGÊNCIA",IF(COUNTIF(RATEIOS!$A$2:$A$3142,$A858)-COUNTIFS(RATEIOS!$A$2:$A$3142,$A858,RATEIOS!$D$2:$D$3142,"&lt;&gt;")&gt;0,"NÃO CLASSIFICADO","RATEIO OK"))))</f>
        <v>NÃO CLASSIFICADO</v>
      </c>
      <c r="R858" s="49" t="s">
        <v>2553</v>
      </c>
      <c r="S858" s="14"/>
    </row>
    <row r="859" spans="1:19" ht="24.95" customHeight="1" x14ac:dyDescent="0.25">
      <c r="A859" s="49" t="s">
        <v>2353</v>
      </c>
      <c r="B859" s="98">
        <v>858</v>
      </c>
      <c r="C859" s="50">
        <v>46266</v>
      </c>
      <c r="D859" s="49">
        <f t="shared" si="26"/>
        <v>9</v>
      </c>
      <c r="E859" s="92" t="s">
        <v>118</v>
      </c>
      <c r="F859" s="49" t="s">
        <v>36</v>
      </c>
      <c r="G859" s="14" t="s">
        <v>1241</v>
      </c>
      <c r="H859" s="14" t="s">
        <v>84</v>
      </c>
      <c r="I859" s="76" t="s">
        <v>412</v>
      </c>
      <c r="J859" s="73">
        <v>0</v>
      </c>
      <c r="K859" s="74">
        <v>24010.69</v>
      </c>
      <c r="L859" s="72">
        <v>0</v>
      </c>
      <c r="M859" s="72">
        <v>0</v>
      </c>
      <c r="N859" s="72">
        <f>IF(AND(C859="",J859=0,K859=0,L859=0,M859=0),"",CADASTROS!$B$4+SUM($J$2:J859)+SUM($M$2:M859)-SUM($K$2:K859)-SUM($L$2:L859))</f>
        <v>556874.98999999836</v>
      </c>
      <c r="O859" s="72">
        <f>IF(A859="","",SUMIF(RATEIOS!$A$2:$A$3142,$A859,RATEIOS!$F$2:$F$3142))</f>
        <v>24010.69</v>
      </c>
      <c r="P859" s="15">
        <f t="shared" si="27"/>
        <v>0</v>
      </c>
      <c r="Q859" s="49" t="str">
        <f>IF(AND(J859=0,K859=0,L859=0,M859=0),"",IF(O859=0,"PENDENTE DE RATEIO",IF(ABS(P859)&gt;0.005,"DIVERGÊNCIA",IF(COUNTIF(RATEIOS!$A$2:$A$3142,$A859)-COUNTIFS(RATEIOS!$A$2:$A$3142,$A859,RATEIOS!$D$2:$D$3142,"&lt;&gt;")&gt;0,"NÃO CLASSIFICADO","RATEIO OK"))))</f>
        <v>RATEIO OK</v>
      </c>
      <c r="R859" s="49" t="s">
        <v>2553</v>
      </c>
      <c r="S859" s="14"/>
    </row>
    <row r="860" spans="1:19" ht="24.95" customHeight="1" x14ac:dyDescent="0.25">
      <c r="A860" s="49" t="s">
        <v>2354</v>
      </c>
      <c r="B860" s="98">
        <v>859</v>
      </c>
      <c r="C860" s="50">
        <v>46266</v>
      </c>
      <c r="D860" s="49">
        <f t="shared" si="26"/>
        <v>9</v>
      </c>
      <c r="E860" s="92" t="s">
        <v>118</v>
      </c>
      <c r="F860" s="49" t="s">
        <v>36</v>
      </c>
      <c r="G860" s="14" t="s">
        <v>1242</v>
      </c>
      <c r="H860" s="14" t="s">
        <v>51</v>
      </c>
      <c r="I860" s="76" t="s">
        <v>999</v>
      </c>
      <c r="J860" s="73">
        <v>0</v>
      </c>
      <c r="K860" s="74">
        <v>2372.14</v>
      </c>
      <c r="L860" s="72">
        <v>0</v>
      </c>
      <c r="M860" s="72">
        <v>0</v>
      </c>
      <c r="N860" s="72">
        <f>IF(AND(C860="",J860=0,K860=0,L860=0,M860=0),"",CADASTROS!$B$4+SUM($J$2:J860)+SUM($M$2:M860)-SUM($K$2:K860)-SUM($L$2:L860))</f>
        <v>554502.8499999987</v>
      </c>
      <c r="O860" s="72">
        <f>IF(A860="","",SUMIF(RATEIOS!$A$2:$A$3142,$A860,RATEIOS!$F$2:$F$3142))</f>
        <v>2372.14</v>
      </c>
      <c r="P860" s="15">
        <f t="shared" si="27"/>
        <v>0</v>
      </c>
      <c r="Q860" s="49" t="str">
        <f>IF(AND(J860=0,K860=0,L860=0,M860=0),"",IF(O860=0,"PENDENTE DE RATEIO",IF(ABS(P860)&gt;0.005,"DIVERGÊNCIA",IF(COUNTIF(RATEIOS!$A$2:$A$3142,$A860)-COUNTIFS(RATEIOS!$A$2:$A$3142,$A860,RATEIOS!$D$2:$D$3142,"&lt;&gt;")&gt;0,"NÃO CLASSIFICADO","RATEIO OK"))))</f>
        <v>RATEIO OK</v>
      </c>
      <c r="R860" s="49" t="s">
        <v>2553</v>
      </c>
      <c r="S860" s="14"/>
    </row>
    <row r="861" spans="1:19" ht="24.95" customHeight="1" x14ac:dyDescent="0.25">
      <c r="A861" s="49" t="s">
        <v>2355</v>
      </c>
      <c r="B861" s="98">
        <v>860</v>
      </c>
      <c r="C861" s="50">
        <v>46266</v>
      </c>
      <c r="D861" s="49">
        <f t="shared" si="26"/>
        <v>9</v>
      </c>
      <c r="E861" s="92" t="s">
        <v>118</v>
      </c>
      <c r="F861" s="49" t="s">
        <v>36</v>
      </c>
      <c r="G861" s="14" t="s">
        <v>1243</v>
      </c>
      <c r="H861" s="14" t="s">
        <v>143</v>
      </c>
      <c r="I861" s="76" t="s">
        <v>1151</v>
      </c>
      <c r="J861" s="73">
        <v>0</v>
      </c>
      <c r="K861" s="74">
        <v>2530.88</v>
      </c>
      <c r="L861" s="72">
        <v>0</v>
      </c>
      <c r="M861" s="72">
        <v>0</v>
      </c>
      <c r="N861" s="72">
        <f>IF(AND(C861="",J861=0,K861=0,L861=0,M861=0),"",CADASTROS!$B$4+SUM($J$2:J861)+SUM($M$2:M861)-SUM($K$2:K861)-SUM($L$2:L861))</f>
        <v>551971.96999999881</v>
      </c>
      <c r="O861" s="72">
        <f>IF(A861="","",SUMIF(RATEIOS!$A$2:$A$3142,$A861,RATEIOS!$F$2:$F$3142))</f>
        <v>2530.88</v>
      </c>
      <c r="P861" s="15">
        <f t="shared" si="27"/>
        <v>0</v>
      </c>
      <c r="Q861" s="49" t="str">
        <f>IF(AND(J861=0,K861=0,L861=0,M861=0),"",IF(O861=0,"PENDENTE DE RATEIO",IF(ABS(P861)&gt;0.005,"DIVERGÊNCIA",IF(COUNTIF(RATEIOS!$A$2:$A$3142,$A861)-COUNTIFS(RATEIOS!$A$2:$A$3142,$A861,RATEIOS!$D$2:$D$3142,"&lt;&gt;")&gt;0,"NÃO CLASSIFICADO","RATEIO OK"))))</f>
        <v>RATEIO OK</v>
      </c>
      <c r="R861" s="49" t="s">
        <v>2553</v>
      </c>
      <c r="S861" s="14"/>
    </row>
    <row r="862" spans="1:19" ht="24.95" customHeight="1" x14ac:dyDescent="0.25">
      <c r="A862" s="49" t="s">
        <v>2356</v>
      </c>
      <c r="B862" s="98">
        <v>861</v>
      </c>
      <c r="C862" s="50">
        <v>46266</v>
      </c>
      <c r="D862" s="49">
        <f t="shared" si="26"/>
        <v>9</v>
      </c>
      <c r="E862" s="92" t="s">
        <v>118</v>
      </c>
      <c r="F862" s="49" t="s">
        <v>36</v>
      </c>
      <c r="G862" s="14" t="s">
        <v>1244</v>
      </c>
      <c r="H862" s="14" t="s">
        <v>59</v>
      </c>
      <c r="I862" s="76" t="s">
        <v>1245</v>
      </c>
      <c r="J862" s="73">
        <v>0</v>
      </c>
      <c r="K862" s="74">
        <v>3670</v>
      </c>
      <c r="L862" s="72">
        <v>0</v>
      </c>
      <c r="M862" s="72">
        <v>0</v>
      </c>
      <c r="N862" s="72">
        <f>IF(AND(C862="",J862=0,K862=0,L862=0,M862=0),"",CADASTROS!$B$4+SUM($J$2:J862)+SUM($M$2:M862)-SUM($K$2:K862)-SUM($L$2:L862))</f>
        <v>548301.96999999881</v>
      </c>
      <c r="O862" s="72">
        <f>IF(A862="","",SUMIF(RATEIOS!$A$2:$A$3142,$A862,RATEIOS!$F$2:$F$3142))</f>
        <v>3670</v>
      </c>
      <c r="P862" s="15">
        <f t="shared" si="27"/>
        <v>0</v>
      </c>
      <c r="Q862" s="49" t="str">
        <f>IF(AND(J862=0,K862=0,L862=0,M862=0),"",IF(O862=0,"PENDENTE DE RATEIO",IF(ABS(P862)&gt;0.005,"DIVERGÊNCIA",IF(COUNTIF(RATEIOS!$A$2:$A$3142,$A862)-COUNTIFS(RATEIOS!$A$2:$A$3142,$A862,RATEIOS!$D$2:$D$3142,"&lt;&gt;")&gt;0,"NÃO CLASSIFICADO","RATEIO OK"))))</f>
        <v>NÃO CLASSIFICADO</v>
      </c>
      <c r="R862" s="49" t="s">
        <v>2553</v>
      </c>
      <c r="S862" s="14"/>
    </row>
    <row r="863" spans="1:19" ht="24.95" customHeight="1" x14ac:dyDescent="0.25">
      <c r="A863" s="49" t="s">
        <v>2357</v>
      </c>
      <c r="B863" s="98">
        <v>862</v>
      </c>
      <c r="C863" s="50">
        <v>46266</v>
      </c>
      <c r="D863" s="49">
        <f t="shared" si="26"/>
        <v>9</v>
      </c>
      <c r="E863" s="92" t="s">
        <v>118</v>
      </c>
      <c r="F863" s="49" t="s">
        <v>36</v>
      </c>
      <c r="G863" s="14" t="s">
        <v>1246</v>
      </c>
      <c r="H863" s="14" t="s">
        <v>252</v>
      </c>
      <c r="I863" s="76" t="s">
        <v>1247</v>
      </c>
      <c r="J863" s="73">
        <v>0</v>
      </c>
      <c r="K863" s="74">
        <v>17570</v>
      </c>
      <c r="L863" s="72">
        <v>0</v>
      </c>
      <c r="M863" s="72">
        <v>0</v>
      </c>
      <c r="N863" s="72">
        <f>IF(AND(C863="",J863=0,K863=0,L863=0,M863=0),"",CADASTROS!$B$4+SUM($J$2:J863)+SUM($M$2:M863)-SUM($K$2:K863)-SUM($L$2:L863))</f>
        <v>530731.96999999881</v>
      </c>
      <c r="O863" s="72">
        <f>IF(A863="","",SUMIF(RATEIOS!$A$2:$A$3142,$A863,RATEIOS!$F$2:$F$3142))</f>
        <v>17570</v>
      </c>
      <c r="P863" s="15">
        <f t="shared" si="27"/>
        <v>0</v>
      </c>
      <c r="Q863" s="49" t="str">
        <f>IF(AND(J863=0,K863=0,L863=0,M863=0),"",IF(O863=0,"PENDENTE DE RATEIO",IF(ABS(P863)&gt;0.005,"DIVERGÊNCIA",IF(COUNTIF(RATEIOS!$A$2:$A$3142,$A863)-COUNTIFS(RATEIOS!$A$2:$A$3142,$A863,RATEIOS!$D$2:$D$3142,"&lt;&gt;")&gt;0,"NÃO CLASSIFICADO","RATEIO OK"))))</f>
        <v>NÃO CLASSIFICADO</v>
      </c>
      <c r="R863" s="49" t="s">
        <v>2553</v>
      </c>
      <c r="S863" s="14"/>
    </row>
    <row r="864" spans="1:19" ht="24.95" customHeight="1" x14ac:dyDescent="0.25">
      <c r="A864" s="49" t="s">
        <v>2358</v>
      </c>
      <c r="B864" s="98">
        <v>863</v>
      </c>
      <c r="C864" s="50">
        <v>46267</v>
      </c>
      <c r="D864" s="49">
        <f t="shared" si="26"/>
        <v>9</v>
      </c>
      <c r="E864" s="92" t="s">
        <v>287</v>
      </c>
      <c r="F864" s="49" t="s">
        <v>36</v>
      </c>
      <c r="G864" s="14" t="s">
        <v>3017</v>
      </c>
      <c r="H864" s="14" t="s">
        <v>159</v>
      </c>
      <c r="I864" s="76" t="s">
        <v>1248</v>
      </c>
      <c r="J864" s="73">
        <v>0</v>
      </c>
      <c r="K864" s="74">
        <v>5400</v>
      </c>
      <c r="L864" s="72">
        <v>0</v>
      </c>
      <c r="M864" s="72">
        <v>0</v>
      </c>
      <c r="N864" s="72">
        <f>IF(AND(C864="",J864=0,K864=0,L864=0,M864=0),"",CADASTROS!$B$4+SUM($J$2:J864)+SUM($M$2:M864)-SUM($K$2:K864)-SUM($L$2:L864))</f>
        <v>525331.96999999881</v>
      </c>
      <c r="O864" s="72">
        <f>IF(A864="","",SUMIF(RATEIOS!$A$2:$A$3142,$A864,RATEIOS!$F$2:$F$3142))</f>
        <v>5400</v>
      </c>
      <c r="P864" s="15">
        <f t="shared" si="27"/>
        <v>0</v>
      </c>
      <c r="Q864" s="49" t="str">
        <f>IF(AND(J864=0,K864=0,L864=0,M864=0),"",IF(O864=0,"PENDENTE DE RATEIO",IF(ABS(P864)&gt;0.005,"DIVERGÊNCIA",IF(COUNTIF(RATEIOS!$A$2:$A$3142,$A864)-COUNTIFS(RATEIOS!$A$2:$A$3142,$A864,RATEIOS!$D$2:$D$3142,"&lt;&gt;")&gt;0,"NÃO CLASSIFICADO","RATEIO OK"))))</f>
        <v>RATEIO OK</v>
      </c>
      <c r="R864" s="49" t="s">
        <v>2553</v>
      </c>
      <c r="S864" s="14"/>
    </row>
    <row r="865" spans="1:19" ht="24.95" customHeight="1" x14ac:dyDescent="0.25">
      <c r="A865" s="49" t="s">
        <v>2359</v>
      </c>
      <c r="B865" s="98">
        <v>864</v>
      </c>
      <c r="C865" s="50">
        <v>46267</v>
      </c>
      <c r="D865" s="49">
        <f t="shared" si="26"/>
        <v>9</v>
      </c>
      <c r="E865" s="92" t="s">
        <v>287</v>
      </c>
      <c r="F865" s="49" t="s">
        <v>36</v>
      </c>
      <c r="G865" s="14" t="s">
        <v>1249</v>
      </c>
      <c r="H865" s="14" t="s">
        <v>414</v>
      </c>
      <c r="I865" s="76" t="s">
        <v>1250</v>
      </c>
      <c r="J865" s="73">
        <v>0</v>
      </c>
      <c r="K865" s="74">
        <v>13877.69</v>
      </c>
      <c r="L865" s="72">
        <v>0</v>
      </c>
      <c r="M865" s="72">
        <v>0</v>
      </c>
      <c r="N865" s="72">
        <f>IF(AND(C865="",J865=0,K865=0,L865=0,M865=0),"",CADASTROS!$B$4+SUM($J$2:J865)+SUM($M$2:M865)-SUM($K$2:K865)-SUM($L$2:L865))</f>
        <v>511454.2799999984</v>
      </c>
      <c r="O865" s="72">
        <f>IF(A865="","",SUMIF(RATEIOS!$A$2:$A$3142,$A865,RATEIOS!$F$2:$F$3142))</f>
        <v>13877.69</v>
      </c>
      <c r="P865" s="15">
        <f t="shared" si="27"/>
        <v>0</v>
      </c>
      <c r="Q865" s="49" t="str">
        <f>IF(AND(J865=0,K865=0,L865=0,M865=0),"",IF(O865=0,"PENDENTE DE RATEIO",IF(ABS(P865)&gt;0.005,"DIVERGÊNCIA",IF(COUNTIF(RATEIOS!$A$2:$A$3142,$A865)-COUNTIFS(RATEIOS!$A$2:$A$3142,$A865,RATEIOS!$D$2:$D$3142,"&lt;&gt;")&gt;0,"NÃO CLASSIFICADO","RATEIO OK"))))</f>
        <v>NÃO CLASSIFICADO</v>
      </c>
      <c r="R865" s="49" t="s">
        <v>2553</v>
      </c>
      <c r="S865" s="14"/>
    </row>
    <row r="866" spans="1:19" ht="24.95" customHeight="1" x14ac:dyDescent="0.25">
      <c r="A866" s="49" t="s">
        <v>2360</v>
      </c>
      <c r="B866" s="98">
        <v>865</v>
      </c>
      <c r="C866" s="50">
        <v>46267</v>
      </c>
      <c r="D866" s="49">
        <f t="shared" si="26"/>
        <v>9</v>
      </c>
      <c r="E866" s="92" t="s">
        <v>287</v>
      </c>
      <c r="F866" s="49" t="s">
        <v>36</v>
      </c>
      <c r="G866" s="14" t="s">
        <v>3027</v>
      </c>
      <c r="H866" s="14" t="s">
        <v>446</v>
      </c>
      <c r="I866" s="76" t="s">
        <v>2792</v>
      </c>
      <c r="J866" s="73">
        <v>0</v>
      </c>
      <c r="K866" s="74">
        <v>1470</v>
      </c>
      <c r="L866" s="72">
        <v>0</v>
      </c>
      <c r="M866" s="72">
        <v>0</v>
      </c>
      <c r="N866" s="72">
        <f>IF(AND(C866="",J866=0,K866=0,L866=0,M866=0),"",CADASTROS!$B$4+SUM($J$2:J866)+SUM($M$2:M866)-SUM($K$2:K866)-SUM($L$2:L866))</f>
        <v>509984.2799999984</v>
      </c>
      <c r="O866" s="72">
        <f>IF(A866="","",SUMIF(RATEIOS!$A$2:$A$3142,$A866,RATEIOS!$F$2:$F$3142))</f>
        <v>1470</v>
      </c>
      <c r="P866" s="15">
        <f t="shared" si="27"/>
        <v>0</v>
      </c>
      <c r="Q866" s="49" t="str">
        <f>IF(AND(J866=0,K866=0,L866=0,M866=0),"",IF(O866=0,"PENDENTE DE RATEIO",IF(ABS(P866)&gt;0.005,"DIVERGÊNCIA",IF(COUNTIF(RATEIOS!$A$2:$A$3142,$A866)-COUNTIFS(RATEIOS!$A$2:$A$3142,$A866,RATEIOS!$D$2:$D$3142,"&lt;&gt;")&gt;0,"NÃO CLASSIFICADO","RATEIO OK"))))</f>
        <v>RATEIO OK</v>
      </c>
      <c r="R866" s="49" t="s">
        <v>2553</v>
      </c>
      <c r="S866" s="14"/>
    </row>
    <row r="867" spans="1:19" ht="24.95" customHeight="1" x14ac:dyDescent="0.25">
      <c r="A867" s="49" t="s">
        <v>2361</v>
      </c>
      <c r="B867" s="98">
        <v>866</v>
      </c>
      <c r="C867" s="50">
        <v>46267</v>
      </c>
      <c r="D867" s="49">
        <f t="shared" si="26"/>
        <v>9</v>
      </c>
      <c r="E867" s="92" t="s">
        <v>123</v>
      </c>
      <c r="F867" s="49" t="s">
        <v>36</v>
      </c>
      <c r="G867" s="14" t="s">
        <v>1251</v>
      </c>
      <c r="H867" s="14" t="s">
        <v>3189</v>
      </c>
      <c r="I867" s="76" t="s">
        <v>412</v>
      </c>
      <c r="J867" s="73">
        <v>0</v>
      </c>
      <c r="K867" s="74">
        <v>4912.07</v>
      </c>
      <c r="L867" s="72">
        <v>0</v>
      </c>
      <c r="M867" s="72">
        <v>0</v>
      </c>
      <c r="N867" s="72">
        <f>IF(AND(C867="",J867=0,K867=0,L867=0,M867=0),"",CADASTROS!$B$4+SUM($J$2:J867)+SUM($M$2:M867)-SUM($K$2:K867)-SUM($L$2:L867))</f>
        <v>505072.2099999981</v>
      </c>
      <c r="O867" s="72">
        <f>IF(A867="","",SUMIF(RATEIOS!$A$2:$A$3142,$A867,RATEIOS!$F$2:$F$3142))</f>
        <v>4912.07</v>
      </c>
      <c r="P867" s="15">
        <f t="shared" si="27"/>
        <v>0</v>
      </c>
      <c r="Q867" s="49" t="str">
        <f>IF(AND(J867=0,K867=0,L867=0,M867=0),"",IF(O867=0,"PENDENTE DE RATEIO",IF(ABS(P867)&gt;0.005,"DIVERGÊNCIA",IF(COUNTIF(RATEIOS!$A$2:$A$3142,$A867)-COUNTIFS(RATEIOS!$A$2:$A$3142,$A867,RATEIOS!$D$2:$D$3142,"&lt;&gt;")&gt;0,"NÃO CLASSIFICADO","RATEIO OK"))))</f>
        <v>NÃO CLASSIFICADO</v>
      </c>
      <c r="R867" s="49" t="s">
        <v>2553</v>
      </c>
      <c r="S867" s="14" t="s">
        <v>3013</v>
      </c>
    </row>
    <row r="868" spans="1:19" ht="24.95" customHeight="1" x14ac:dyDescent="0.25">
      <c r="A868" s="49" t="s">
        <v>2362</v>
      </c>
      <c r="B868" s="98">
        <v>867</v>
      </c>
      <c r="C868" s="50">
        <v>46267</v>
      </c>
      <c r="D868" s="49">
        <f t="shared" si="26"/>
        <v>9</v>
      </c>
      <c r="E868" s="92" t="s">
        <v>72</v>
      </c>
      <c r="F868" s="49" t="s">
        <v>36</v>
      </c>
      <c r="G868" s="14" t="s">
        <v>1252</v>
      </c>
      <c r="H868" s="14" t="s">
        <v>451</v>
      </c>
      <c r="I868" s="76" t="s">
        <v>1253</v>
      </c>
      <c r="J868" s="73">
        <v>0</v>
      </c>
      <c r="K868" s="74">
        <v>1470</v>
      </c>
      <c r="L868" s="72">
        <v>0</v>
      </c>
      <c r="M868" s="72">
        <v>0</v>
      </c>
      <c r="N868" s="72">
        <f>IF(AND(C868="",J868=0,K868=0,L868=0,M868=0),"",CADASTROS!$B$4+SUM($J$2:J868)+SUM($M$2:M868)-SUM($K$2:K868)-SUM($L$2:L868))</f>
        <v>503602.2099999981</v>
      </c>
      <c r="O868" s="72">
        <f>IF(A868="","",SUMIF(RATEIOS!$A$2:$A$3142,$A868,RATEIOS!$F$2:$F$3142))</f>
        <v>1470</v>
      </c>
      <c r="P868" s="15">
        <f t="shared" si="27"/>
        <v>0</v>
      </c>
      <c r="Q868" s="49" t="str">
        <f>IF(AND(J868=0,K868=0,L868=0,M868=0),"",IF(O868=0,"PENDENTE DE RATEIO",IF(ABS(P868)&gt;0.005,"DIVERGÊNCIA",IF(COUNTIF(RATEIOS!$A$2:$A$3142,$A868)-COUNTIFS(RATEIOS!$A$2:$A$3142,$A868,RATEIOS!$D$2:$D$3142,"&lt;&gt;")&gt;0,"NÃO CLASSIFICADO","RATEIO OK"))))</f>
        <v>RATEIO OK</v>
      </c>
      <c r="R868" s="49" t="s">
        <v>2553</v>
      </c>
      <c r="S868" s="14"/>
    </row>
    <row r="869" spans="1:19" ht="24.95" customHeight="1" x14ac:dyDescent="0.25">
      <c r="A869" s="49" t="s">
        <v>2363</v>
      </c>
      <c r="B869" s="98">
        <v>868</v>
      </c>
      <c r="C869" s="50">
        <v>46267</v>
      </c>
      <c r="D869" s="49">
        <f t="shared" si="26"/>
        <v>9</v>
      </c>
      <c r="E869" s="92" t="s">
        <v>72</v>
      </c>
      <c r="F869" s="49" t="s">
        <v>36</v>
      </c>
      <c r="G869" s="14" t="s">
        <v>1254</v>
      </c>
      <c r="H869" s="14" t="s">
        <v>545</v>
      </c>
      <c r="I869" s="76" t="s">
        <v>1255</v>
      </c>
      <c r="J869" s="73">
        <v>0</v>
      </c>
      <c r="K869" s="74">
        <v>4500</v>
      </c>
      <c r="L869" s="72">
        <v>0</v>
      </c>
      <c r="M869" s="72">
        <v>0</v>
      </c>
      <c r="N869" s="72">
        <f>IF(AND(C869="",J869=0,K869=0,L869=0,M869=0),"",CADASTROS!$B$4+SUM($J$2:J869)+SUM($M$2:M869)-SUM($K$2:K869)-SUM($L$2:L869))</f>
        <v>499102.2099999981</v>
      </c>
      <c r="O869" s="72">
        <f>IF(A869="","",SUMIF(RATEIOS!$A$2:$A$3142,$A869,RATEIOS!$F$2:$F$3142))</f>
        <v>4500</v>
      </c>
      <c r="P869" s="15">
        <f t="shared" si="27"/>
        <v>0</v>
      </c>
      <c r="Q869" s="49" t="str">
        <f>IF(AND(J869=0,K869=0,L869=0,M869=0),"",IF(O869=0,"PENDENTE DE RATEIO",IF(ABS(P869)&gt;0.005,"DIVERGÊNCIA",IF(COUNTIF(RATEIOS!$A$2:$A$3142,$A869)-COUNTIFS(RATEIOS!$A$2:$A$3142,$A869,RATEIOS!$D$2:$D$3142,"&lt;&gt;")&gt;0,"NÃO CLASSIFICADO","RATEIO OK"))))</f>
        <v>NÃO CLASSIFICADO</v>
      </c>
      <c r="R869" s="49" t="s">
        <v>2553</v>
      </c>
      <c r="S869" s="14"/>
    </row>
    <row r="870" spans="1:19" ht="24.95" customHeight="1" x14ac:dyDescent="0.25">
      <c r="A870" s="49" t="s">
        <v>2364</v>
      </c>
      <c r="B870" s="98">
        <v>869</v>
      </c>
      <c r="C870" s="50">
        <v>46267</v>
      </c>
      <c r="D870" s="49">
        <f t="shared" si="26"/>
        <v>9</v>
      </c>
      <c r="E870" s="92" t="s">
        <v>72</v>
      </c>
      <c r="F870" s="49" t="s">
        <v>36</v>
      </c>
      <c r="G870" s="14" t="s">
        <v>1256</v>
      </c>
      <c r="H870" s="14" t="s">
        <v>3041</v>
      </c>
      <c r="I870" s="76" t="s">
        <v>627</v>
      </c>
      <c r="J870" s="73">
        <v>0</v>
      </c>
      <c r="K870" s="74">
        <v>5200</v>
      </c>
      <c r="L870" s="72">
        <v>0</v>
      </c>
      <c r="M870" s="72">
        <v>0</v>
      </c>
      <c r="N870" s="72">
        <f>IF(AND(C870="",J870=0,K870=0,L870=0,M870=0),"",CADASTROS!$B$4+SUM($J$2:J870)+SUM($M$2:M870)-SUM($K$2:K870)-SUM($L$2:L870))</f>
        <v>493902.2099999981</v>
      </c>
      <c r="O870" s="72">
        <f>IF(A870="","",SUMIF(RATEIOS!$A$2:$A$3142,$A870,RATEIOS!$F$2:$F$3142))</f>
        <v>5200</v>
      </c>
      <c r="P870" s="15">
        <f t="shared" si="27"/>
        <v>0</v>
      </c>
      <c r="Q870" s="49" t="str">
        <f>IF(AND(J870=0,K870=0,L870=0,M870=0),"",IF(O870=0,"PENDENTE DE RATEIO",IF(ABS(P870)&gt;0.005,"DIVERGÊNCIA",IF(COUNTIF(RATEIOS!$A$2:$A$3142,$A870)-COUNTIFS(RATEIOS!$A$2:$A$3142,$A870,RATEIOS!$D$2:$D$3142,"&lt;&gt;")&gt;0,"NÃO CLASSIFICADO","RATEIO OK"))))</f>
        <v>NÃO CLASSIFICADO</v>
      </c>
      <c r="R870" s="49" t="s">
        <v>2553</v>
      </c>
      <c r="S870" s="14"/>
    </row>
    <row r="871" spans="1:19" ht="24.95" customHeight="1" x14ac:dyDescent="0.25">
      <c r="A871" s="49" t="s">
        <v>2365</v>
      </c>
      <c r="B871" s="98">
        <v>870</v>
      </c>
      <c r="C871" s="50">
        <v>46267</v>
      </c>
      <c r="D871" s="49">
        <f t="shared" si="26"/>
        <v>9</v>
      </c>
      <c r="E871" s="92" t="s">
        <v>72</v>
      </c>
      <c r="F871" s="49" t="s">
        <v>36</v>
      </c>
      <c r="G871" s="14" t="s">
        <v>1258</v>
      </c>
      <c r="H871" s="14" t="s">
        <v>951</v>
      </c>
      <c r="I871" s="76" t="s">
        <v>507</v>
      </c>
      <c r="J871" s="73">
        <v>0</v>
      </c>
      <c r="K871" s="74">
        <v>2200</v>
      </c>
      <c r="L871" s="72">
        <v>0</v>
      </c>
      <c r="M871" s="72">
        <v>0</v>
      </c>
      <c r="N871" s="72">
        <f>IF(AND(C871="",J871=0,K871=0,L871=0,M871=0),"",CADASTROS!$B$4+SUM($J$2:J871)+SUM($M$2:M871)-SUM($K$2:K871)-SUM($L$2:L871))</f>
        <v>491702.2099999981</v>
      </c>
      <c r="O871" s="72">
        <f>IF(A871="","",SUMIF(RATEIOS!$A$2:$A$3142,$A871,RATEIOS!$F$2:$F$3142))</f>
        <v>2200</v>
      </c>
      <c r="P871" s="15">
        <f t="shared" si="27"/>
        <v>0</v>
      </c>
      <c r="Q871" s="49" t="str">
        <f>IF(AND(J871=0,K871=0,L871=0,M871=0),"",IF(O871=0,"PENDENTE DE RATEIO",IF(ABS(P871)&gt;0.005,"DIVERGÊNCIA",IF(COUNTIF(RATEIOS!$A$2:$A$3142,$A871)-COUNTIFS(RATEIOS!$A$2:$A$3142,$A871,RATEIOS!$D$2:$D$3142,"&lt;&gt;")&gt;0,"NÃO CLASSIFICADO","RATEIO OK"))))</f>
        <v>RATEIO OK</v>
      </c>
      <c r="R871" s="49" t="s">
        <v>2553</v>
      </c>
      <c r="S871" s="14"/>
    </row>
    <row r="872" spans="1:19" ht="24.95" customHeight="1" x14ac:dyDescent="0.25">
      <c r="A872" s="49" t="s">
        <v>2366</v>
      </c>
      <c r="B872" s="98">
        <v>871</v>
      </c>
      <c r="C872" s="50">
        <v>46267</v>
      </c>
      <c r="D872" s="49">
        <f t="shared" si="26"/>
        <v>9</v>
      </c>
      <c r="E872" s="92" t="s">
        <v>72</v>
      </c>
      <c r="F872" s="49" t="s">
        <v>36</v>
      </c>
      <c r="G872" s="14" t="s">
        <v>1259</v>
      </c>
      <c r="H872" s="14" t="s">
        <v>1126</v>
      </c>
      <c r="I872" s="76" t="s">
        <v>1260</v>
      </c>
      <c r="J872" s="73">
        <v>0</v>
      </c>
      <c r="K872" s="74">
        <v>12000</v>
      </c>
      <c r="L872" s="72">
        <v>0</v>
      </c>
      <c r="M872" s="72">
        <v>0</v>
      </c>
      <c r="N872" s="72">
        <f>IF(AND(C872="",J872=0,K872=0,L872=0,M872=0),"",CADASTROS!$B$4+SUM($J$2:J872)+SUM($M$2:M872)-SUM($K$2:K872)-SUM($L$2:L872))</f>
        <v>479702.2099999981</v>
      </c>
      <c r="O872" s="72">
        <f>IF(A872="","",SUMIF(RATEIOS!$A$2:$A$3142,$A872,RATEIOS!$F$2:$F$3142))</f>
        <v>12000</v>
      </c>
      <c r="P872" s="15">
        <f t="shared" si="27"/>
        <v>0</v>
      </c>
      <c r="Q872" s="49" t="str">
        <f>IF(AND(J872=0,K872=0,L872=0,M872=0),"",IF(O872=0,"PENDENTE DE RATEIO",IF(ABS(P872)&gt;0.005,"DIVERGÊNCIA",IF(COUNTIF(RATEIOS!$A$2:$A$3142,$A872)-COUNTIFS(RATEIOS!$A$2:$A$3142,$A872,RATEIOS!$D$2:$D$3142,"&lt;&gt;")&gt;0,"NÃO CLASSIFICADO","RATEIO OK"))))</f>
        <v>NÃO CLASSIFICADO</v>
      </c>
      <c r="R872" s="49" t="s">
        <v>2553</v>
      </c>
      <c r="S872" s="14" t="s">
        <v>1261</v>
      </c>
    </row>
    <row r="873" spans="1:19" ht="24.95" customHeight="1" x14ac:dyDescent="0.25">
      <c r="A873" s="49" t="s">
        <v>2367</v>
      </c>
      <c r="B873" s="98">
        <v>872</v>
      </c>
      <c r="C873" s="50">
        <v>46267</v>
      </c>
      <c r="D873" s="49">
        <f t="shared" si="26"/>
        <v>9</v>
      </c>
      <c r="E873" s="92" t="s">
        <v>72</v>
      </c>
      <c r="F873" s="49" t="s">
        <v>36</v>
      </c>
      <c r="G873" s="14" t="s">
        <v>1262</v>
      </c>
      <c r="H873" s="14" t="s">
        <v>425</v>
      </c>
      <c r="I873" s="76" t="s">
        <v>1263</v>
      </c>
      <c r="J873" s="73">
        <v>0</v>
      </c>
      <c r="K873" s="74">
        <v>8000</v>
      </c>
      <c r="L873" s="72">
        <v>0</v>
      </c>
      <c r="M873" s="72">
        <v>0</v>
      </c>
      <c r="N873" s="72">
        <f>IF(AND(C873="",J873=0,K873=0,L873=0,M873=0),"",CADASTROS!$B$4+SUM($J$2:J873)+SUM($M$2:M873)-SUM($K$2:K873)-SUM($L$2:L873))</f>
        <v>471702.2099999981</v>
      </c>
      <c r="O873" s="72">
        <f>IF(A873="","",SUMIF(RATEIOS!$A$2:$A$3142,$A873,RATEIOS!$F$2:$F$3142))</f>
        <v>8000</v>
      </c>
      <c r="P873" s="15">
        <f t="shared" si="27"/>
        <v>0</v>
      </c>
      <c r="Q873" s="49" t="str">
        <f>IF(AND(J873=0,K873=0,L873=0,M873=0),"",IF(O873=0,"PENDENTE DE RATEIO",IF(ABS(P873)&gt;0.005,"DIVERGÊNCIA",IF(COUNTIF(RATEIOS!$A$2:$A$3142,$A873)-COUNTIFS(RATEIOS!$A$2:$A$3142,$A873,RATEIOS!$D$2:$D$3142,"&lt;&gt;")&gt;0,"NÃO CLASSIFICADO","RATEIO OK"))))</f>
        <v>RATEIO OK</v>
      </c>
      <c r="R873" s="49" t="s">
        <v>2553</v>
      </c>
      <c r="S873" s="14" t="s">
        <v>1264</v>
      </c>
    </row>
    <row r="874" spans="1:19" ht="24.95" customHeight="1" x14ac:dyDescent="0.25">
      <c r="A874" s="49" t="s">
        <v>2368</v>
      </c>
      <c r="B874" s="98">
        <v>873</v>
      </c>
      <c r="C874" s="50">
        <v>46268</v>
      </c>
      <c r="D874" s="49">
        <f t="shared" si="26"/>
        <v>9</v>
      </c>
      <c r="E874" s="92" t="s">
        <v>287</v>
      </c>
      <c r="F874" s="49" t="s">
        <v>36</v>
      </c>
      <c r="G874" s="14" t="s">
        <v>1265</v>
      </c>
      <c r="H874" s="14" t="s">
        <v>482</v>
      </c>
      <c r="I874" s="76" t="s">
        <v>1266</v>
      </c>
      <c r="J874" s="73">
        <v>0</v>
      </c>
      <c r="K874" s="74">
        <v>4000</v>
      </c>
      <c r="L874" s="72">
        <v>0</v>
      </c>
      <c r="M874" s="72">
        <v>0</v>
      </c>
      <c r="N874" s="72">
        <f>IF(AND(C874="",J874=0,K874=0,L874=0,M874=0),"",CADASTROS!$B$4+SUM($J$2:J874)+SUM($M$2:M874)-SUM($K$2:K874)-SUM($L$2:L874))</f>
        <v>467702.2099999981</v>
      </c>
      <c r="O874" s="72">
        <f>IF(A874="","",SUMIF(RATEIOS!$A$2:$A$3142,$A874,RATEIOS!$F$2:$F$3142))</f>
        <v>4000</v>
      </c>
      <c r="P874" s="15">
        <f t="shared" si="27"/>
        <v>0</v>
      </c>
      <c r="Q874" s="49" t="str">
        <f>IF(AND(J874=0,K874=0,L874=0,M874=0),"",IF(O874=0,"PENDENTE DE RATEIO",IF(ABS(P874)&gt;0.005,"DIVERGÊNCIA",IF(COUNTIF(RATEIOS!$A$2:$A$3142,$A874)-COUNTIFS(RATEIOS!$A$2:$A$3142,$A874,RATEIOS!$D$2:$D$3142,"&lt;&gt;")&gt;0,"NÃO CLASSIFICADO","RATEIO OK"))))</f>
        <v>RATEIO OK</v>
      </c>
      <c r="R874" s="49" t="s">
        <v>2553</v>
      </c>
      <c r="S874" s="14"/>
    </row>
    <row r="875" spans="1:19" ht="24.95" customHeight="1" x14ac:dyDescent="0.25">
      <c r="A875" s="49" t="s">
        <v>2369</v>
      </c>
      <c r="B875" s="98">
        <v>874</v>
      </c>
      <c r="C875" s="50">
        <v>46268</v>
      </c>
      <c r="D875" s="49">
        <f t="shared" si="26"/>
        <v>9</v>
      </c>
      <c r="E875" s="92" t="s">
        <v>118</v>
      </c>
      <c r="F875" s="49" t="s">
        <v>36</v>
      </c>
      <c r="G875" s="14" t="s">
        <v>1267</v>
      </c>
      <c r="H875" s="14" t="s">
        <v>1268</v>
      </c>
      <c r="I875" s="76" t="s">
        <v>1269</v>
      </c>
      <c r="J875" s="73">
        <v>0</v>
      </c>
      <c r="K875" s="74">
        <v>3176</v>
      </c>
      <c r="L875" s="72">
        <v>0</v>
      </c>
      <c r="M875" s="72">
        <v>0</v>
      </c>
      <c r="N875" s="72">
        <f>IF(AND(C875="",J875=0,K875=0,L875=0,M875=0),"",CADASTROS!$B$4+SUM($J$2:J875)+SUM($M$2:M875)-SUM($K$2:K875)-SUM($L$2:L875))</f>
        <v>464526.2099999981</v>
      </c>
      <c r="O875" s="72">
        <f>IF(A875="","",SUMIF(RATEIOS!$A$2:$A$3142,$A875,RATEIOS!$F$2:$F$3142))</f>
        <v>3176</v>
      </c>
      <c r="P875" s="15">
        <f t="shared" si="27"/>
        <v>0</v>
      </c>
      <c r="Q875" s="49" t="str">
        <f>IF(AND(J875=0,K875=0,L875=0,M875=0),"",IF(O875=0,"PENDENTE DE RATEIO",IF(ABS(P875)&gt;0.005,"DIVERGÊNCIA",IF(COUNTIF(RATEIOS!$A$2:$A$3142,$A875)-COUNTIFS(RATEIOS!$A$2:$A$3142,$A875,RATEIOS!$D$2:$D$3142,"&lt;&gt;")&gt;0,"NÃO CLASSIFICADO","RATEIO OK"))))</f>
        <v>NÃO CLASSIFICADO</v>
      </c>
      <c r="R875" s="49" t="s">
        <v>2553</v>
      </c>
      <c r="S875" s="14"/>
    </row>
    <row r="876" spans="1:19" ht="24.95" customHeight="1" x14ac:dyDescent="0.25">
      <c r="A876" s="49" t="s">
        <v>2370</v>
      </c>
      <c r="B876" s="98">
        <v>875</v>
      </c>
      <c r="C876" s="50">
        <v>46269</v>
      </c>
      <c r="D876" s="49">
        <f t="shared" si="26"/>
        <v>9</v>
      </c>
      <c r="E876" s="92" t="s">
        <v>287</v>
      </c>
      <c r="F876" s="49" t="s">
        <v>36</v>
      </c>
      <c r="G876" s="14" t="s">
        <v>1270</v>
      </c>
      <c r="H876" s="14" t="s">
        <v>3033</v>
      </c>
      <c r="I876" s="76" t="s">
        <v>1271</v>
      </c>
      <c r="J876" s="73">
        <v>0</v>
      </c>
      <c r="K876" s="74">
        <v>1246</v>
      </c>
      <c r="L876" s="72">
        <v>0</v>
      </c>
      <c r="M876" s="72">
        <v>0</v>
      </c>
      <c r="N876" s="72">
        <f>IF(AND(C876="",J876=0,K876=0,L876=0,M876=0),"",CADASTROS!$B$4+SUM($J$2:J876)+SUM($M$2:M876)-SUM($K$2:K876)-SUM($L$2:L876))</f>
        <v>463280.2099999981</v>
      </c>
      <c r="O876" s="72">
        <f>IF(A876="","",SUMIF(RATEIOS!$A$2:$A$3142,$A876,RATEIOS!$F$2:$F$3142))</f>
        <v>1246</v>
      </c>
      <c r="P876" s="15">
        <f t="shared" si="27"/>
        <v>0</v>
      </c>
      <c r="Q876" s="49" t="str">
        <f>IF(AND(J876=0,K876=0,L876=0,M876=0),"",IF(O876=0,"PENDENTE DE RATEIO",IF(ABS(P876)&gt;0.005,"DIVERGÊNCIA",IF(COUNTIF(RATEIOS!$A$2:$A$3142,$A876)-COUNTIFS(RATEIOS!$A$2:$A$3142,$A876,RATEIOS!$D$2:$D$3142,"&lt;&gt;")&gt;0,"NÃO CLASSIFICADO","RATEIO OK"))))</f>
        <v>NÃO CLASSIFICADO</v>
      </c>
      <c r="R876" s="49" t="s">
        <v>2553</v>
      </c>
      <c r="S876" s="14"/>
    </row>
    <row r="877" spans="1:19" ht="24.95" customHeight="1" x14ac:dyDescent="0.25">
      <c r="A877" s="49" t="s">
        <v>2371</v>
      </c>
      <c r="B877" s="98">
        <v>876</v>
      </c>
      <c r="C877" s="50">
        <v>46269</v>
      </c>
      <c r="D877" s="49">
        <f t="shared" si="26"/>
        <v>9</v>
      </c>
      <c r="E877" s="92" t="s">
        <v>123</v>
      </c>
      <c r="F877" s="49" t="s">
        <v>36</v>
      </c>
      <c r="G877" s="14" t="s">
        <v>1272</v>
      </c>
      <c r="H877" s="14" t="s">
        <v>123</v>
      </c>
      <c r="I877" s="76" t="s">
        <v>412</v>
      </c>
      <c r="J877" s="73">
        <v>0</v>
      </c>
      <c r="K877" s="74">
        <v>66607.48</v>
      </c>
      <c r="L877" s="72">
        <v>0</v>
      </c>
      <c r="M877" s="72">
        <v>0</v>
      </c>
      <c r="N877" s="72">
        <f>IF(AND(C877="",J877=0,K877=0,L877=0,M877=0),"",CADASTROS!$B$4+SUM($J$2:J877)+SUM($M$2:M877)-SUM($K$2:K877)-SUM($L$2:L877))</f>
        <v>396672.72999999765</v>
      </c>
      <c r="O877" s="72">
        <f>IF(A877="","",SUMIF(RATEIOS!$A$2:$A$3142,$A877,RATEIOS!$F$2:$F$3142))</f>
        <v>66607.48</v>
      </c>
      <c r="P877" s="15">
        <f t="shared" si="27"/>
        <v>0</v>
      </c>
      <c r="Q877" s="49" t="str">
        <f>IF(AND(J877=0,K877=0,L877=0,M877=0),"",IF(O877=0,"PENDENTE DE RATEIO",IF(ABS(P877)&gt;0.005,"DIVERGÊNCIA",IF(COUNTIF(RATEIOS!$A$2:$A$3142,$A877)-COUNTIFS(RATEIOS!$A$2:$A$3142,$A877,RATEIOS!$D$2:$D$3142,"&lt;&gt;")&gt;0,"NÃO CLASSIFICADO","RATEIO OK"))))</f>
        <v>NÃO CLASSIFICADO</v>
      </c>
      <c r="R877" s="49" t="s">
        <v>2553</v>
      </c>
      <c r="S877" s="14"/>
    </row>
    <row r="878" spans="1:19" ht="24.95" customHeight="1" x14ac:dyDescent="0.25">
      <c r="A878" s="49" t="s">
        <v>2372</v>
      </c>
      <c r="B878" s="98">
        <v>877</v>
      </c>
      <c r="C878" s="50">
        <v>46269</v>
      </c>
      <c r="D878" s="49">
        <f t="shared" si="26"/>
        <v>9</v>
      </c>
      <c r="E878" s="92" t="s">
        <v>72</v>
      </c>
      <c r="F878" s="49" t="s">
        <v>36</v>
      </c>
      <c r="G878" s="14" t="s">
        <v>2733</v>
      </c>
      <c r="H878" s="14" t="s">
        <v>953</v>
      </c>
      <c r="I878" s="76" t="s">
        <v>1273</v>
      </c>
      <c r="J878" s="73">
        <v>0</v>
      </c>
      <c r="K878" s="74">
        <v>2560</v>
      </c>
      <c r="L878" s="72">
        <v>0</v>
      </c>
      <c r="M878" s="72">
        <v>0</v>
      </c>
      <c r="N878" s="72">
        <f>IF(AND(C878="",J878=0,K878=0,L878=0,M878=0),"",CADASTROS!$B$4+SUM($J$2:J878)+SUM($M$2:M878)-SUM($K$2:K878)-SUM($L$2:L878))</f>
        <v>394112.72999999765</v>
      </c>
      <c r="O878" s="72">
        <f>IF(A878="","",SUMIF(RATEIOS!$A$2:$A$3142,$A878,RATEIOS!$F$2:$F$3142))</f>
        <v>2560</v>
      </c>
      <c r="P878" s="15">
        <f t="shared" si="27"/>
        <v>0</v>
      </c>
      <c r="Q878" s="49" t="str">
        <f>IF(AND(J878=0,K878=0,L878=0,M878=0),"",IF(O878=0,"PENDENTE DE RATEIO",IF(ABS(P878)&gt;0.005,"DIVERGÊNCIA",IF(COUNTIF(RATEIOS!$A$2:$A$3142,$A878)-COUNTIFS(RATEIOS!$A$2:$A$3142,$A878,RATEIOS!$D$2:$D$3142,"&lt;&gt;")&gt;0,"NÃO CLASSIFICADO","RATEIO OK"))))</f>
        <v>RATEIO OK</v>
      </c>
      <c r="R878" s="49" t="s">
        <v>2553</v>
      </c>
      <c r="S878" s="14"/>
    </row>
    <row r="879" spans="1:19" ht="24.95" customHeight="1" x14ac:dyDescent="0.25">
      <c r="A879" s="49" t="s">
        <v>2373</v>
      </c>
      <c r="B879" s="98">
        <v>878</v>
      </c>
      <c r="C879" s="50">
        <v>46269</v>
      </c>
      <c r="D879" s="49">
        <f t="shared" si="26"/>
        <v>9</v>
      </c>
      <c r="E879" s="92" t="s">
        <v>118</v>
      </c>
      <c r="F879" s="49" t="s">
        <v>36</v>
      </c>
      <c r="G879" s="14" t="s">
        <v>1274</v>
      </c>
      <c r="H879" s="14" t="s">
        <v>143</v>
      </c>
      <c r="I879" s="76" t="s">
        <v>1275</v>
      </c>
      <c r="J879" s="73">
        <v>0</v>
      </c>
      <c r="K879" s="74">
        <v>7951.25</v>
      </c>
      <c r="L879" s="72">
        <v>0</v>
      </c>
      <c r="M879" s="72">
        <v>0</v>
      </c>
      <c r="N879" s="72">
        <f>IF(AND(C879="",J879=0,K879=0,L879=0,M879=0),"",CADASTROS!$B$4+SUM($J$2:J879)+SUM($M$2:M879)-SUM($K$2:K879)-SUM($L$2:L879))</f>
        <v>386161.47999999765</v>
      </c>
      <c r="O879" s="72">
        <f>IF(A879="","",SUMIF(RATEIOS!$A$2:$A$3142,$A879,RATEIOS!$F$2:$F$3142))</f>
        <v>7951.25</v>
      </c>
      <c r="P879" s="15">
        <f t="shared" si="27"/>
        <v>0</v>
      </c>
      <c r="Q879" s="49" t="str">
        <f>IF(AND(J879=0,K879=0,L879=0,M879=0),"",IF(O879=0,"PENDENTE DE RATEIO",IF(ABS(P879)&gt;0.005,"DIVERGÊNCIA",IF(COUNTIF(RATEIOS!$A$2:$A$3142,$A879)-COUNTIFS(RATEIOS!$A$2:$A$3142,$A879,RATEIOS!$D$2:$D$3142,"&lt;&gt;")&gt;0,"NÃO CLASSIFICADO","RATEIO OK"))))</f>
        <v>RATEIO OK</v>
      </c>
      <c r="R879" s="49" t="s">
        <v>2553</v>
      </c>
      <c r="S879" s="14" t="s">
        <v>1276</v>
      </c>
    </row>
    <row r="880" spans="1:19" ht="24.95" customHeight="1" x14ac:dyDescent="0.25">
      <c r="A880" s="49" t="s">
        <v>2374</v>
      </c>
      <c r="B880" s="98">
        <v>879</v>
      </c>
      <c r="C880" s="50">
        <v>46269</v>
      </c>
      <c r="D880" s="49">
        <f t="shared" si="26"/>
        <v>9</v>
      </c>
      <c r="E880" s="92" t="s">
        <v>118</v>
      </c>
      <c r="F880" s="49" t="s">
        <v>36</v>
      </c>
      <c r="G880" s="14" t="s">
        <v>1162</v>
      </c>
      <c r="H880" s="14" t="s">
        <v>188</v>
      </c>
      <c r="I880" s="76" t="s">
        <v>1277</v>
      </c>
      <c r="J880" s="73">
        <v>0</v>
      </c>
      <c r="K880" s="74">
        <v>1607.5</v>
      </c>
      <c r="L880" s="72">
        <v>0</v>
      </c>
      <c r="M880" s="72">
        <v>0</v>
      </c>
      <c r="N880" s="72">
        <f>IF(AND(C880="",J880=0,K880=0,L880=0,M880=0),"",CADASTROS!$B$4+SUM($J$2:J880)+SUM($M$2:M880)-SUM($K$2:K880)-SUM($L$2:L880))</f>
        <v>384553.97999999765</v>
      </c>
      <c r="O880" s="72">
        <f>IF(A880="","",SUMIF(RATEIOS!$A$2:$A$3142,$A880,RATEIOS!$F$2:$F$3142))</f>
        <v>1607.5</v>
      </c>
      <c r="P880" s="15">
        <f t="shared" si="27"/>
        <v>0</v>
      </c>
      <c r="Q880" s="49" t="str">
        <f>IF(AND(J880=0,K880=0,L880=0,M880=0),"",IF(O880=0,"PENDENTE DE RATEIO",IF(ABS(P880)&gt;0.005,"DIVERGÊNCIA",IF(COUNTIF(RATEIOS!$A$2:$A$3142,$A880)-COUNTIFS(RATEIOS!$A$2:$A$3142,$A880,RATEIOS!$D$2:$D$3142,"&lt;&gt;")&gt;0,"NÃO CLASSIFICADO","RATEIO OK"))))</f>
        <v>NÃO CLASSIFICADO</v>
      </c>
      <c r="R880" s="49" t="s">
        <v>2553</v>
      </c>
      <c r="S880" s="14"/>
    </row>
    <row r="881" spans="1:19" ht="24.95" customHeight="1" x14ac:dyDescent="0.25">
      <c r="A881" s="49" t="s">
        <v>2375</v>
      </c>
      <c r="B881" s="98">
        <v>880</v>
      </c>
      <c r="C881" s="50">
        <v>46269</v>
      </c>
      <c r="D881" s="49">
        <f t="shared" si="26"/>
        <v>9</v>
      </c>
      <c r="E881" s="92" t="s">
        <v>118</v>
      </c>
      <c r="F881" s="49" t="s">
        <v>36</v>
      </c>
      <c r="G881" s="14" t="s">
        <v>1278</v>
      </c>
      <c r="H881" s="14" t="s">
        <v>143</v>
      </c>
      <c r="I881" s="76" t="s">
        <v>1279</v>
      </c>
      <c r="J881" s="73">
        <v>0</v>
      </c>
      <c r="K881" s="74">
        <v>2505</v>
      </c>
      <c r="L881" s="72">
        <v>0</v>
      </c>
      <c r="M881" s="72">
        <v>0</v>
      </c>
      <c r="N881" s="72">
        <f>IF(AND(C881="",J881=0,K881=0,L881=0,M881=0),"",CADASTROS!$B$4+SUM($J$2:J881)+SUM($M$2:M881)-SUM($K$2:K881)-SUM($L$2:L881))</f>
        <v>382048.97999999765</v>
      </c>
      <c r="O881" s="72">
        <f>IF(A881="","",SUMIF(RATEIOS!$A$2:$A$3142,$A881,RATEIOS!$F$2:$F$3142))</f>
        <v>2505</v>
      </c>
      <c r="P881" s="15">
        <f t="shared" si="27"/>
        <v>0</v>
      </c>
      <c r="Q881" s="49" t="str">
        <f>IF(AND(J881=0,K881=0,L881=0,M881=0),"",IF(O881=0,"PENDENTE DE RATEIO",IF(ABS(P881)&gt;0.005,"DIVERGÊNCIA",IF(COUNTIF(RATEIOS!$A$2:$A$3142,$A881)-COUNTIFS(RATEIOS!$A$2:$A$3142,$A881,RATEIOS!$D$2:$D$3142,"&lt;&gt;")&gt;0,"NÃO CLASSIFICADO","RATEIO OK"))))</f>
        <v>RATEIO OK</v>
      </c>
      <c r="R881" s="49" t="s">
        <v>2553</v>
      </c>
      <c r="S881" s="14" t="s">
        <v>1276</v>
      </c>
    </row>
    <row r="882" spans="1:19" ht="24.95" customHeight="1" x14ac:dyDescent="0.25">
      <c r="A882" s="49" t="s">
        <v>2376</v>
      </c>
      <c r="B882" s="98">
        <v>881</v>
      </c>
      <c r="C882" s="50">
        <v>46269</v>
      </c>
      <c r="D882" s="49">
        <f t="shared" si="26"/>
        <v>9</v>
      </c>
      <c r="E882" s="92" t="s">
        <v>118</v>
      </c>
      <c r="F882" s="49" t="s">
        <v>36</v>
      </c>
      <c r="G882" s="14" t="s">
        <v>254</v>
      </c>
      <c r="H882" s="14" t="s">
        <v>255</v>
      </c>
      <c r="I882" s="76" t="s">
        <v>1280</v>
      </c>
      <c r="J882" s="73">
        <v>0</v>
      </c>
      <c r="K882" s="74">
        <v>2938.4</v>
      </c>
      <c r="L882" s="72">
        <v>0</v>
      </c>
      <c r="M882" s="72">
        <v>0</v>
      </c>
      <c r="N882" s="72">
        <f>IF(AND(C882="",J882=0,K882=0,L882=0,M882=0),"",CADASTROS!$B$4+SUM($J$2:J882)+SUM($M$2:M882)-SUM($K$2:K882)-SUM($L$2:L882))</f>
        <v>379110.57999999728</v>
      </c>
      <c r="O882" s="72">
        <f>IF(A882="","",SUMIF(RATEIOS!$A$2:$A$3142,$A882,RATEIOS!$F$2:$F$3142))</f>
        <v>2938.4</v>
      </c>
      <c r="P882" s="15">
        <f t="shared" si="27"/>
        <v>0</v>
      </c>
      <c r="Q882" s="49" t="str">
        <f>IF(AND(J882=0,K882=0,L882=0,M882=0),"",IF(O882=0,"PENDENTE DE RATEIO",IF(ABS(P882)&gt;0.005,"DIVERGÊNCIA",IF(COUNTIF(RATEIOS!$A$2:$A$3142,$A882)-COUNTIFS(RATEIOS!$A$2:$A$3142,$A882,RATEIOS!$D$2:$D$3142,"&lt;&gt;")&gt;0,"NÃO CLASSIFICADO","RATEIO OK"))))</f>
        <v>RATEIO OK</v>
      </c>
      <c r="R882" s="49" t="s">
        <v>2553</v>
      </c>
      <c r="S882" s="14"/>
    </row>
    <row r="883" spans="1:19" ht="24.95" customHeight="1" x14ac:dyDescent="0.25">
      <c r="A883" s="49" t="s">
        <v>2377</v>
      </c>
      <c r="B883" s="98">
        <v>882</v>
      </c>
      <c r="C883" s="50">
        <v>46269</v>
      </c>
      <c r="D883" s="49">
        <f t="shared" si="26"/>
        <v>9</v>
      </c>
      <c r="E883" s="92" t="s">
        <v>2556</v>
      </c>
      <c r="F883" s="49" t="s">
        <v>36</v>
      </c>
      <c r="G883" s="14" t="s">
        <v>276</v>
      </c>
      <c r="H883" s="14" t="s">
        <v>277</v>
      </c>
      <c r="I883" s="76" t="s">
        <v>412</v>
      </c>
      <c r="J883" s="73">
        <v>0</v>
      </c>
      <c r="K883" s="74">
        <v>45.25</v>
      </c>
      <c r="L883" s="72">
        <v>0</v>
      </c>
      <c r="M883" s="72">
        <v>0</v>
      </c>
      <c r="N883" s="72">
        <f>IF(AND(C883="",J883=0,K883=0,L883=0,M883=0),"",CADASTROS!$B$4+SUM($J$2:J883)+SUM($M$2:M883)-SUM($K$2:K883)-SUM($L$2:L883))</f>
        <v>379065.32999999728</v>
      </c>
      <c r="O883" s="72">
        <f>IF(A883="","",SUMIF(RATEIOS!$A$2:$A$3142,$A883,RATEIOS!$F$2:$F$3142))</f>
        <v>45.25</v>
      </c>
      <c r="P883" s="15">
        <f t="shared" si="27"/>
        <v>0</v>
      </c>
      <c r="Q883" s="49" t="str">
        <f>IF(AND(J883=0,K883=0,L883=0,M883=0),"",IF(O883=0,"PENDENTE DE RATEIO",IF(ABS(P883)&gt;0.005,"DIVERGÊNCIA",IF(COUNTIF(RATEIOS!$A$2:$A$3142,$A883)-COUNTIFS(RATEIOS!$A$2:$A$3142,$A883,RATEIOS!$D$2:$D$3142,"&lt;&gt;")&gt;0,"NÃO CLASSIFICADO","RATEIO OK"))))</f>
        <v>RATEIO OK</v>
      </c>
      <c r="R883" s="49" t="s">
        <v>2553</v>
      </c>
      <c r="S883" s="14"/>
    </row>
    <row r="884" spans="1:19" ht="24.95" customHeight="1" x14ac:dyDescent="0.25">
      <c r="A884" s="49" t="s">
        <v>2378</v>
      </c>
      <c r="B884" s="98">
        <v>883</v>
      </c>
      <c r="C884" s="50">
        <v>46273</v>
      </c>
      <c r="D884" s="49">
        <f t="shared" si="26"/>
        <v>9</v>
      </c>
      <c r="E884" s="92" t="s">
        <v>287</v>
      </c>
      <c r="F884" s="49" t="s">
        <v>36</v>
      </c>
      <c r="G884" s="14" t="s">
        <v>895</v>
      </c>
      <c r="H884" s="14" t="s">
        <v>712</v>
      </c>
      <c r="I884" s="76" t="s">
        <v>412</v>
      </c>
      <c r="J884" s="73">
        <v>0</v>
      </c>
      <c r="K884" s="74">
        <v>8000</v>
      </c>
      <c r="L884" s="72">
        <v>0</v>
      </c>
      <c r="M884" s="72">
        <v>0</v>
      </c>
      <c r="N884" s="72">
        <f>IF(AND(C884="",J884=0,K884=0,L884=0,M884=0),"",CADASTROS!$B$4+SUM($J$2:J884)+SUM($M$2:M884)-SUM($K$2:K884)-SUM($L$2:L884))</f>
        <v>371065.32999999728</v>
      </c>
      <c r="O884" s="72">
        <f>IF(A884="","",SUMIF(RATEIOS!$A$2:$A$3142,$A884,RATEIOS!$F$2:$F$3142))</f>
        <v>8000</v>
      </c>
      <c r="P884" s="15">
        <f t="shared" si="27"/>
        <v>0</v>
      </c>
      <c r="Q884" s="49" t="str">
        <f>IF(AND(J884=0,K884=0,L884=0,M884=0),"",IF(O884=0,"PENDENTE DE RATEIO",IF(ABS(P884)&gt;0.005,"DIVERGÊNCIA",IF(COUNTIF(RATEIOS!$A$2:$A$3142,$A884)-COUNTIFS(RATEIOS!$A$2:$A$3142,$A884,RATEIOS!$D$2:$D$3142,"&lt;&gt;")&gt;0,"NÃO CLASSIFICADO","RATEIO OK"))))</f>
        <v>RATEIO OK</v>
      </c>
      <c r="R884" s="49" t="s">
        <v>2553</v>
      </c>
      <c r="S884" s="14"/>
    </row>
    <row r="885" spans="1:19" ht="24.95" customHeight="1" x14ac:dyDescent="0.25">
      <c r="A885" s="49" t="s">
        <v>2379</v>
      </c>
      <c r="B885" s="98">
        <v>884</v>
      </c>
      <c r="C885" s="50">
        <v>46273</v>
      </c>
      <c r="D885" s="49">
        <f t="shared" si="26"/>
        <v>9</v>
      </c>
      <c r="E885" s="92" t="s">
        <v>287</v>
      </c>
      <c r="F885" s="49" t="s">
        <v>36</v>
      </c>
      <c r="G885" s="14" t="s">
        <v>896</v>
      </c>
      <c r="H885" s="14" t="s">
        <v>703</v>
      </c>
      <c r="I885" s="76" t="s">
        <v>412</v>
      </c>
      <c r="J885" s="73">
        <v>0</v>
      </c>
      <c r="K885" s="74">
        <v>9621</v>
      </c>
      <c r="L885" s="72">
        <v>0</v>
      </c>
      <c r="M885" s="72">
        <v>0</v>
      </c>
      <c r="N885" s="72">
        <f>IF(AND(C885="",J885=0,K885=0,L885=0,M885=0),"",CADASTROS!$B$4+SUM($J$2:J885)+SUM($M$2:M885)-SUM($K$2:K885)-SUM($L$2:L885))</f>
        <v>361444.32999999728</v>
      </c>
      <c r="O885" s="72">
        <f>IF(A885="","",SUMIF(RATEIOS!$A$2:$A$3142,$A885,RATEIOS!$F$2:$F$3142))</f>
        <v>9621</v>
      </c>
      <c r="P885" s="15">
        <f t="shared" si="27"/>
        <v>0</v>
      </c>
      <c r="Q885" s="49" t="str">
        <f>IF(AND(J885=0,K885=0,L885=0,M885=0),"",IF(O885=0,"PENDENTE DE RATEIO",IF(ABS(P885)&gt;0.005,"DIVERGÊNCIA",IF(COUNTIF(RATEIOS!$A$2:$A$3142,$A885)-COUNTIFS(RATEIOS!$A$2:$A$3142,$A885,RATEIOS!$D$2:$D$3142,"&lt;&gt;")&gt;0,"NÃO CLASSIFICADO","RATEIO OK"))))</f>
        <v>NÃO CLASSIFICADO</v>
      </c>
      <c r="R885" s="49" t="s">
        <v>2553</v>
      </c>
      <c r="S885" s="14"/>
    </row>
    <row r="886" spans="1:19" ht="24.95" customHeight="1" x14ac:dyDescent="0.25">
      <c r="A886" s="49" t="s">
        <v>2380</v>
      </c>
      <c r="B886" s="98">
        <v>885</v>
      </c>
      <c r="C886" s="50">
        <v>46273</v>
      </c>
      <c r="D886" s="49">
        <f t="shared" si="26"/>
        <v>9</v>
      </c>
      <c r="E886" s="92" t="s">
        <v>287</v>
      </c>
      <c r="F886" s="49" t="s">
        <v>36</v>
      </c>
      <c r="G886" s="14" t="s">
        <v>1281</v>
      </c>
      <c r="H886" s="14" t="s">
        <v>417</v>
      </c>
      <c r="I886" s="76" t="s">
        <v>412</v>
      </c>
      <c r="J886" s="73">
        <v>0</v>
      </c>
      <c r="K886" s="74">
        <v>18000</v>
      </c>
      <c r="L886" s="72">
        <v>0</v>
      </c>
      <c r="M886" s="72">
        <v>0</v>
      </c>
      <c r="N886" s="72">
        <f>IF(AND(C886="",J886=0,K886=0,L886=0,M886=0),"",CADASTROS!$B$4+SUM($J$2:J886)+SUM($M$2:M886)-SUM($K$2:K886)-SUM($L$2:L886))</f>
        <v>343444.32999999728</v>
      </c>
      <c r="O886" s="72">
        <f>IF(A886="","",SUMIF(RATEIOS!$A$2:$A$3142,$A886,RATEIOS!$F$2:$F$3142))</f>
        <v>18000</v>
      </c>
      <c r="P886" s="15">
        <f t="shared" si="27"/>
        <v>0</v>
      </c>
      <c r="Q886" s="49" t="str">
        <f>IF(AND(J886=0,K886=0,L886=0,M886=0),"",IF(O886=0,"PENDENTE DE RATEIO",IF(ABS(P886)&gt;0.005,"DIVERGÊNCIA",IF(COUNTIF(RATEIOS!$A$2:$A$3142,$A886)-COUNTIFS(RATEIOS!$A$2:$A$3142,$A886,RATEIOS!$D$2:$D$3142,"&lt;&gt;")&gt;0,"NÃO CLASSIFICADO","RATEIO OK"))))</f>
        <v>RATEIO OK</v>
      </c>
      <c r="R886" s="49" t="s">
        <v>2553</v>
      </c>
      <c r="S886" s="14"/>
    </row>
    <row r="887" spans="1:19" ht="24.95" customHeight="1" x14ac:dyDescent="0.25">
      <c r="A887" s="49" t="s">
        <v>2381</v>
      </c>
      <c r="B887" s="98">
        <v>886</v>
      </c>
      <c r="C887" s="50">
        <v>46273</v>
      </c>
      <c r="D887" s="49">
        <f t="shared" si="26"/>
        <v>9</v>
      </c>
      <c r="E887" s="92" t="s">
        <v>287</v>
      </c>
      <c r="F887" s="49" t="s">
        <v>36</v>
      </c>
      <c r="G887" s="14" t="s">
        <v>1282</v>
      </c>
      <c r="H887" s="14" t="s">
        <v>411</v>
      </c>
      <c r="I887" s="76" t="s">
        <v>412</v>
      </c>
      <c r="J887" s="73">
        <v>0</v>
      </c>
      <c r="K887" s="74">
        <v>12000</v>
      </c>
      <c r="L887" s="72">
        <v>0</v>
      </c>
      <c r="M887" s="72">
        <v>0</v>
      </c>
      <c r="N887" s="72">
        <f>IF(AND(C887="",J887=0,K887=0,L887=0,M887=0),"",CADASTROS!$B$4+SUM($J$2:J887)+SUM($M$2:M887)-SUM($K$2:K887)-SUM($L$2:L887))</f>
        <v>331444.32999999728</v>
      </c>
      <c r="O887" s="72">
        <f>IF(A887="","",SUMIF(RATEIOS!$A$2:$A$3142,$A887,RATEIOS!$F$2:$F$3142))</f>
        <v>12000</v>
      </c>
      <c r="P887" s="15">
        <f t="shared" si="27"/>
        <v>0</v>
      </c>
      <c r="Q887" s="49" t="str">
        <f>IF(AND(J887=0,K887=0,L887=0,M887=0),"",IF(O887=0,"PENDENTE DE RATEIO",IF(ABS(P887)&gt;0.005,"DIVERGÊNCIA",IF(COUNTIF(RATEIOS!$A$2:$A$3142,$A887)-COUNTIFS(RATEIOS!$A$2:$A$3142,$A887,RATEIOS!$D$2:$D$3142,"&lt;&gt;")&gt;0,"NÃO CLASSIFICADO","RATEIO OK"))))</f>
        <v>RATEIO OK</v>
      </c>
      <c r="R887" s="49" t="s">
        <v>2553</v>
      </c>
      <c r="S887" s="14"/>
    </row>
    <row r="888" spans="1:19" ht="24.95" customHeight="1" x14ac:dyDescent="0.25">
      <c r="A888" s="49" t="s">
        <v>2382</v>
      </c>
      <c r="B888" s="98">
        <v>887</v>
      </c>
      <c r="C888" s="50">
        <v>46273</v>
      </c>
      <c r="D888" s="49">
        <f t="shared" si="26"/>
        <v>9</v>
      </c>
      <c r="E888" s="92" t="s">
        <v>287</v>
      </c>
      <c r="F888" s="49" t="s">
        <v>36</v>
      </c>
      <c r="G888" s="14" t="s">
        <v>900</v>
      </c>
      <c r="H888" s="14" t="s">
        <v>755</v>
      </c>
      <c r="I888" s="76" t="s">
        <v>412</v>
      </c>
      <c r="J888" s="73">
        <v>0</v>
      </c>
      <c r="K888" s="74">
        <v>4000</v>
      </c>
      <c r="L888" s="72">
        <v>0</v>
      </c>
      <c r="M888" s="72">
        <v>0</v>
      </c>
      <c r="N888" s="72">
        <f>IF(AND(C888="",J888=0,K888=0,L888=0,M888=0),"",CADASTROS!$B$4+SUM($J$2:J888)+SUM($M$2:M888)-SUM($K$2:K888)-SUM($L$2:L888))</f>
        <v>327444.32999999728</v>
      </c>
      <c r="O888" s="72">
        <f>IF(A888="","",SUMIF(RATEIOS!$A$2:$A$3142,$A888,RATEIOS!$F$2:$F$3142))</f>
        <v>4000</v>
      </c>
      <c r="P888" s="15">
        <f t="shared" si="27"/>
        <v>0</v>
      </c>
      <c r="Q888" s="49" t="str">
        <f>IF(AND(J888=0,K888=0,L888=0,M888=0),"",IF(O888=0,"PENDENTE DE RATEIO",IF(ABS(P888)&gt;0.005,"DIVERGÊNCIA",IF(COUNTIF(RATEIOS!$A$2:$A$3142,$A888)-COUNTIFS(RATEIOS!$A$2:$A$3142,$A888,RATEIOS!$D$2:$D$3142,"&lt;&gt;")&gt;0,"NÃO CLASSIFICADO","RATEIO OK"))))</f>
        <v>RATEIO OK</v>
      </c>
      <c r="R888" s="49" t="s">
        <v>2553</v>
      </c>
      <c r="S888" s="14"/>
    </row>
    <row r="889" spans="1:19" ht="24.95" customHeight="1" x14ac:dyDescent="0.25">
      <c r="A889" s="49" t="s">
        <v>2383</v>
      </c>
      <c r="B889" s="98">
        <v>888</v>
      </c>
      <c r="C889" s="50">
        <v>46273</v>
      </c>
      <c r="D889" s="49">
        <f t="shared" si="26"/>
        <v>9</v>
      </c>
      <c r="E889" s="92" t="s">
        <v>287</v>
      </c>
      <c r="F889" s="49" t="s">
        <v>36</v>
      </c>
      <c r="G889" s="14" t="s">
        <v>1283</v>
      </c>
      <c r="H889" s="14" t="s">
        <v>743</v>
      </c>
      <c r="I889" s="76" t="s">
        <v>412</v>
      </c>
      <c r="J889" s="73">
        <v>0</v>
      </c>
      <c r="K889" s="74">
        <v>9000</v>
      </c>
      <c r="L889" s="72">
        <v>0</v>
      </c>
      <c r="M889" s="72">
        <v>0</v>
      </c>
      <c r="N889" s="72">
        <f>IF(AND(C889="",J889=0,K889=0,L889=0,M889=0),"",CADASTROS!$B$4+SUM($J$2:J889)+SUM($M$2:M889)-SUM($K$2:K889)-SUM($L$2:L889))</f>
        <v>318444.32999999728</v>
      </c>
      <c r="O889" s="72">
        <f>IF(A889="","",SUMIF(RATEIOS!$A$2:$A$3142,$A889,RATEIOS!$F$2:$F$3142))</f>
        <v>9000</v>
      </c>
      <c r="P889" s="15">
        <f t="shared" si="27"/>
        <v>0</v>
      </c>
      <c r="Q889" s="49" t="str">
        <f>IF(AND(J889=0,K889=0,L889=0,M889=0),"",IF(O889=0,"PENDENTE DE RATEIO",IF(ABS(P889)&gt;0.005,"DIVERGÊNCIA",IF(COUNTIF(RATEIOS!$A$2:$A$3142,$A889)-COUNTIFS(RATEIOS!$A$2:$A$3142,$A889,RATEIOS!$D$2:$D$3142,"&lt;&gt;")&gt;0,"NÃO CLASSIFICADO","RATEIO OK"))))</f>
        <v>RATEIO OK</v>
      </c>
      <c r="R889" s="49" t="s">
        <v>2553</v>
      </c>
      <c r="S889" s="14"/>
    </row>
    <row r="890" spans="1:19" ht="24.95" customHeight="1" x14ac:dyDescent="0.25">
      <c r="A890" s="49" t="s">
        <v>2384</v>
      </c>
      <c r="B890" s="98">
        <v>889</v>
      </c>
      <c r="C890" s="50">
        <v>46273</v>
      </c>
      <c r="D890" s="49">
        <f t="shared" si="26"/>
        <v>9</v>
      </c>
      <c r="E890" s="92" t="s">
        <v>287</v>
      </c>
      <c r="F890" s="49" t="s">
        <v>36</v>
      </c>
      <c r="G890" s="14" t="s">
        <v>1284</v>
      </c>
      <c r="H890" s="14" t="s">
        <v>337</v>
      </c>
      <c r="I890" s="76" t="s">
        <v>412</v>
      </c>
      <c r="J890" s="73">
        <v>0</v>
      </c>
      <c r="K890" s="74">
        <v>9000</v>
      </c>
      <c r="L890" s="72">
        <v>0</v>
      </c>
      <c r="M890" s="72">
        <v>0</v>
      </c>
      <c r="N890" s="72">
        <f>IF(AND(C890="",J890=0,K890=0,L890=0,M890=0),"",CADASTROS!$B$4+SUM($J$2:J890)+SUM($M$2:M890)-SUM($K$2:K890)-SUM($L$2:L890))</f>
        <v>309444.32999999728</v>
      </c>
      <c r="O890" s="72">
        <f>IF(A890="","",SUMIF(RATEIOS!$A$2:$A$3142,$A890,RATEIOS!$F$2:$F$3142))</f>
        <v>9000</v>
      </c>
      <c r="P890" s="15">
        <f t="shared" si="27"/>
        <v>0</v>
      </c>
      <c r="Q890" s="49" t="str">
        <f>IF(AND(J890=0,K890=0,L890=0,M890=0),"",IF(O890=0,"PENDENTE DE RATEIO",IF(ABS(P890)&gt;0.005,"DIVERGÊNCIA",IF(COUNTIF(RATEIOS!$A$2:$A$3142,$A890)-COUNTIFS(RATEIOS!$A$2:$A$3142,$A890,RATEIOS!$D$2:$D$3142,"&lt;&gt;")&gt;0,"NÃO CLASSIFICADO","RATEIO OK"))))</f>
        <v>RATEIO OK</v>
      </c>
      <c r="R890" s="49" t="s">
        <v>2553</v>
      </c>
      <c r="S890" s="14"/>
    </row>
    <row r="891" spans="1:19" ht="24.95" customHeight="1" x14ac:dyDescent="0.25">
      <c r="A891" s="49" t="s">
        <v>2385</v>
      </c>
      <c r="B891" s="98">
        <v>890</v>
      </c>
      <c r="C891" s="50">
        <v>46273</v>
      </c>
      <c r="D891" s="49">
        <f t="shared" si="26"/>
        <v>9</v>
      </c>
      <c r="E891" s="92" t="s">
        <v>287</v>
      </c>
      <c r="F891" s="49" t="s">
        <v>36</v>
      </c>
      <c r="G891" s="14" t="s">
        <v>1285</v>
      </c>
      <c r="H891" s="14" t="s">
        <v>349</v>
      </c>
      <c r="I891" s="76" t="s">
        <v>412</v>
      </c>
      <c r="J891" s="73">
        <v>0</v>
      </c>
      <c r="K891" s="74">
        <v>18742</v>
      </c>
      <c r="L891" s="72">
        <v>0</v>
      </c>
      <c r="M891" s="72">
        <v>0</v>
      </c>
      <c r="N891" s="72">
        <f>IF(AND(C891="",J891=0,K891=0,L891=0,M891=0),"",CADASTROS!$B$4+SUM($J$2:J891)+SUM($M$2:M891)-SUM($K$2:K891)-SUM($L$2:L891))</f>
        <v>290702.32999999728</v>
      </c>
      <c r="O891" s="72">
        <f>IF(A891="","",SUMIF(RATEIOS!$A$2:$A$3142,$A891,RATEIOS!$F$2:$F$3142))</f>
        <v>18742</v>
      </c>
      <c r="P891" s="15">
        <f t="shared" si="27"/>
        <v>0</v>
      </c>
      <c r="Q891" s="49" t="str">
        <f>IF(AND(J891=0,K891=0,L891=0,M891=0),"",IF(O891=0,"PENDENTE DE RATEIO",IF(ABS(P891)&gt;0.005,"DIVERGÊNCIA",IF(COUNTIF(RATEIOS!$A$2:$A$3142,$A891)-COUNTIFS(RATEIOS!$A$2:$A$3142,$A891,RATEIOS!$D$2:$D$3142,"&lt;&gt;")&gt;0,"NÃO CLASSIFICADO","RATEIO OK"))))</f>
        <v>NÃO CLASSIFICADO</v>
      </c>
      <c r="R891" s="49" t="s">
        <v>2553</v>
      </c>
      <c r="S891" s="14"/>
    </row>
    <row r="892" spans="1:19" ht="24.95" customHeight="1" x14ac:dyDescent="0.25">
      <c r="A892" s="49" t="s">
        <v>2386</v>
      </c>
      <c r="B892" s="98">
        <v>891</v>
      </c>
      <c r="C892" s="50">
        <v>46273</v>
      </c>
      <c r="D892" s="49">
        <f t="shared" si="26"/>
        <v>9</v>
      </c>
      <c r="E892" s="92" t="s">
        <v>287</v>
      </c>
      <c r="F892" s="49" t="s">
        <v>36</v>
      </c>
      <c r="G892" s="14" t="s">
        <v>904</v>
      </c>
      <c r="H892" s="14" t="s">
        <v>758</v>
      </c>
      <c r="I892" s="76" t="s">
        <v>412</v>
      </c>
      <c r="J892" s="73">
        <v>0</v>
      </c>
      <c r="K892" s="74">
        <v>4000</v>
      </c>
      <c r="L892" s="72">
        <v>0</v>
      </c>
      <c r="M892" s="72">
        <v>0</v>
      </c>
      <c r="N892" s="72">
        <f>IF(AND(C892="",J892=0,K892=0,L892=0,M892=0),"",CADASTROS!$B$4+SUM($J$2:J892)+SUM($M$2:M892)-SUM($K$2:K892)-SUM($L$2:L892))</f>
        <v>286702.32999999728</v>
      </c>
      <c r="O892" s="72">
        <f>IF(A892="","",SUMIF(RATEIOS!$A$2:$A$3142,$A892,RATEIOS!$F$2:$F$3142))</f>
        <v>4000</v>
      </c>
      <c r="P892" s="15">
        <f t="shared" si="27"/>
        <v>0</v>
      </c>
      <c r="Q892" s="49" t="str">
        <f>IF(AND(J892=0,K892=0,L892=0,M892=0),"",IF(O892=0,"PENDENTE DE RATEIO",IF(ABS(P892)&gt;0.005,"DIVERGÊNCIA",IF(COUNTIF(RATEIOS!$A$2:$A$3142,$A892)-COUNTIFS(RATEIOS!$A$2:$A$3142,$A892,RATEIOS!$D$2:$D$3142,"&lt;&gt;")&gt;0,"NÃO CLASSIFICADO","RATEIO OK"))))</f>
        <v>RATEIO OK</v>
      </c>
      <c r="R892" s="49" t="s">
        <v>2553</v>
      </c>
      <c r="S892" s="14"/>
    </row>
    <row r="893" spans="1:19" ht="24.95" customHeight="1" x14ac:dyDescent="0.25">
      <c r="A893" s="49" t="s">
        <v>2387</v>
      </c>
      <c r="B893" s="98">
        <v>892</v>
      </c>
      <c r="C893" s="50">
        <v>46273</v>
      </c>
      <c r="D893" s="49">
        <f t="shared" si="26"/>
        <v>9</v>
      </c>
      <c r="E893" s="92" t="s">
        <v>118</v>
      </c>
      <c r="F893" s="49" t="s">
        <v>36</v>
      </c>
      <c r="G893" s="14" t="s">
        <v>1286</v>
      </c>
      <c r="H893" s="14" t="s">
        <v>84</v>
      </c>
      <c r="I893" s="76" t="s">
        <v>412</v>
      </c>
      <c r="J893" s="73">
        <v>0</v>
      </c>
      <c r="K893" s="74">
        <v>20.260000000000002</v>
      </c>
      <c r="L893" s="72">
        <v>0</v>
      </c>
      <c r="M893" s="72">
        <v>0</v>
      </c>
      <c r="N893" s="72">
        <f>IF(AND(C893="",J893=0,K893=0,L893=0,M893=0),"",CADASTROS!$B$4+SUM($J$2:J893)+SUM($M$2:M893)-SUM($K$2:K893)-SUM($L$2:L893))</f>
        <v>286682.0699999975</v>
      </c>
      <c r="O893" s="72">
        <f>IF(A893="","",SUMIF(RATEIOS!$A$2:$A$3142,$A893,RATEIOS!$F$2:$F$3142))</f>
        <v>20.260000000000002</v>
      </c>
      <c r="P893" s="15">
        <f t="shared" si="27"/>
        <v>0</v>
      </c>
      <c r="Q893" s="49" t="str">
        <f>IF(AND(J893=0,K893=0,L893=0,M893=0),"",IF(O893=0,"PENDENTE DE RATEIO",IF(ABS(P893)&gt;0.005,"DIVERGÊNCIA",IF(COUNTIF(RATEIOS!$A$2:$A$3142,$A893)-COUNTIFS(RATEIOS!$A$2:$A$3142,$A893,RATEIOS!$D$2:$D$3142,"&lt;&gt;")&gt;0,"NÃO CLASSIFICADO","RATEIO OK"))))</f>
        <v>RATEIO OK</v>
      </c>
      <c r="R893" s="49" t="s">
        <v>2553</v>
      </c>
      <c r="S893" s="14"/>
    </row>
    <row r="894" spans="1:19" ht="24.95" customHeight="1" x14ac:dyDescent="0.25">
      <c r="A894" s="49" t="s">
        <v>2388</v>
      </c>
      <c r="B894" s="98">
        <v>893</v>
      </c>
      <c r="C894" s="50">
        <v>46273</v>
      </c>
      <c r="D894" s="49">
        <f t="shared" si="26"/>
        <v>9</v>
      </c>
      <c r="E894" s="92" t="s">
        <v>118</v>
      </c>
      <c r="F894" s="49" t="s">
        <v>36</v>
      </c>
      <c r="G894" s="14" t="s">
        <v>1287</v>
      </c>
      <c r="H894" s="14" t="s">
        <v>84</v>
      </c>
      <c r="I894" s="76" t="s">
        <v>412</v>
      </c>
      <c r="J894" s="73">
        <v>0</v>
      </c>
      <c r="K894" s="74">
        <v>26.72</v>
      </c>
      <c r="L894" s="72">
        <v>0</v>
      </c>
      <c r="M894" s="72">
        <v>0</v>
      </c>
      <c r="N894" s="72">
        <f>IF(AND(C894="",J894=0,K894=0,L894=0,M894=0),"",CADASTROS!$B$4+SUM($J$2:J894)+SUM($M$2:M894)-SUM($K$2:K894)-SUM($L$2:L894))</f>
        <v>286655.34999999776</v>
      </c>
      <c r="O894" s="72">
        <f>IF(A894="","",SUMIF(RATEIOS!$A$2:$A$3142,$A894,RATEIOS!$F$2:$F$3142))</f>
        <v>26.72</v>
      </c>
      <c r="P894" s="15">
        <f t="shared" si="27"/>
        <v>0</v>
      </c>
      <c r="Q894" s="49" t="str">
        <f>IF(AND(J894=0,K894=0,L894=0,M894=0),"",IF(O894=0,"PENDENTE DE RATEIO",IF(ABS(P894)&gt;0.005,"DIVERGÊNCIA",IF(COUNTIF(RATEIOS!$A$2:$A$3142,$A894)-COUNTIFS(RATEIOS!$A$2:$A$3142,$A894,RATEIOS!$D$2:$D$3142,"&lt;&gt;")&gt;0,"NÃO CLASSIFICADO","RATEIO OK"))))</f>
        <v>RATEIO OK</v>
      </c>
      <c r="R894" s="49" t="s">
        <v>2553</v>
      </c>
      <c r="S894" s="14"/>
    </row>
    <row r="895" spans="1:19" ht="24.95" customHeight="1" x14ac:dyDescent="0.25">
      <c r="A895" s="49" t="s">
        <v>2389</v>
      </c>
      <c r="B895" s="98">
        <v>894</v>
      </c>
      <c r="C895" s="50">
        <v>46273</v>
      </c>
      <c r="D895" s="49">
        <f t="shared" si="26"/>
        <v>9</v>
      </c>
      <c r="E895" s="92" t="s">
        <v>72</v>
      </c>
      <c r="F895" s="49" t="s">
        <v>36</v>
      </c>
      <c r="G895" s="14" t="s">
        <v>1288</v>
      </c>
      <c r="H895" s="14" t="s">
        <v>994</v>
      </c>
      <c r="I895" s="76" t="s">
        <v>1289</v>
      </c>
      <c r="J895" s="73">
        <v>0</v>
      </c>
      <c r="K895" s="74">
        <v>580</v>
      </c>
      <c r="L895" s="72">
        <v>0</v>
      </c>
      <c r="M895" s="72">
        <v>0</v>
      </c>
      <c r="N895" s="72">
        <f>IF(AND(C895="",J895=0,K895=0,L895=0,M895=0),"",CADASTROS!$B$4+SUM($J$2:J895)+SUM($M$2:M895)-SUM($K$2:K895)-SUM($L$2:L895))</f>
        <v>286075.34999999776</v>
      </c>
      <c r="O895" s="72">
        <f>IF(A895="","",SUMIF(RATEIOS!$A$2:$A$3142,$A895,RATEIOS!$F$2:$F$3142))</f>
        <v>580</v>
      </c>
      <c r="P895" s="15">
        <f t="shared" si="27"/>
        <v>0</v>
      </c>
      <c r="Q895" s="49" t="str">
        <f>IF(AND(J895=0,K895=0,L895=0,M895=0),"",IF(O895=0,"PENDENTE DE RATEIO",IF(ABS(P895)&gt;0.005,"DIVERGÊNCIA",IF(COUNTIF(RATEIOS!$A$2:$A$3142,$A895)-COUNTIFS(RATEIOS!$A$2:$A$3142,$A895,RATEIOS!$D$2:$D$3142,"&lt;&gt;")&gt;0,"NÃO CLASSIFICADO","RATEIO OK"))))</f>
        <v>NÃO CLASSIFICADO</v>
      </c>
      <c r="R895" s="49" t="s">
        <v>2553</v>
      </c>
      <c r="S895" s="14"/>
    </row>
    <row r="896" spans="1:19" ht="24.95" customHeight="1" x14ac:dyDescent="0.25">
      <c r="A896" s="49" t="s">
        <v>2390</v>
      </c>
      <c r="B896" s="98">
        <v>895</v>
      </c>
      <c r="C896" s="50">
        <v>46273</v>
      </c>
      <c r="D896" s="49">
        <f t="shared" si="26"/>
        <v>9</v>
      </c>
      <c r="E896" s="92" t="s">
        <v>118</v>
      </c>
      <c r="F896" s="49" t="s">
        <v>36</v>
      </c>
      <c r="G896" s="14" t="s">
        <v>1290</v>
      </c>
      <c r="H896" s="14" t="s">
        <v>1291</v>
      </c>
      <c r="I896" s="76" t="s">
        <v>1292</v>
      </c>
      <c r="J896" s="73">
        <v>0</v>
      </c>
      <c r="K896" s="74">
        <v>9418.7999999999993</v>
      </c>
      <c r="L896" s="72">
        <v>0</v>
      </c>
      <c r="M896" s="72">
        <v>0</v>
      </c>
      <c r="N896" s="72">
        <f>IF(AND(C896="",J896=0,K896=0,L896=0,M896=0),"",CADASTROS!$B$4+SUM($J$2:J896)+SUM($M$2:M896)-SUM($K$2:K896)-SUM($L$2:L896))</f>
        <v>276656.54999999795</v>
      </c>
      <c r="O896" s="72">
        <f>IF(A896="","",SUMIF(RATEIOS!$A$2:$A$3142,$A896,RATEIOS!$F$2:$F$3142))</f>
        <v>9418.7999999999993</v>
      </c>
      <c r="P896" s="15">
        <f t="shared" si="27"/>
        <v>0</v>
      </c>
      <c r="Q896" s="49" t="str">
        <f>IF(AND(J896=0,K896=0,L896=0,M896=0),"",IF(O896=0,"PENDENTE DE RATEIO",IF(ABS(P896)&gt;0.005,"DIVERGÊNCIA",IF(COUNTIF(RATEIOS!$A$2:$A$3142,$A896)-COUNTIFS(RATEIOS!$A$2:$A$3142,$A896,RATEIOS!$D$2:$D$3142,"&lt;&gt;")&gt;0,"NÃO CLASSIFICADO","RATEIO OK"))))</f>
        <v>NÃO CLASSIFICADO</v>
      </c>
      <c r="R896" s="49" t="s">
        <v>2553</v>
      </c>
      <c r="S896" s="14"/>
    </row>
    <row r="897" spans="1:19" ht="24.95" customHeight="1" x14ac:dyDescent="0.25">
      <c r="A897" s="49" t="s">
        <v>2391</v>
      </c>
      <c r="B897" s="98">
        <v>896</v>
      </c>
      <c r="C897" s="50">
        <v>46273</v>
      </c>
      <c r="D897" s="49">
        <f t="shared" si="26"/>
        <v>9</v>
      </c>
      <c r="E897" s="92" t="s">
        <v>118</v>
      </c>
      <c r="F897" s="49" t="s">
        <v>36</v>
      </c>
      <c r="G897" s="14" t="s">
        <v>3038</v>
      </c>
      <c r="H897" s="14" t="s">
        <v>188</v>
      </c>
      <c r="I897" s="76" t="s">
        <v>1163</v>
      </c>
      <c r="J897" s="73">
        <v>0</v>
      </c>
      <c r="K897" s="74">
        <v>2560</v>
      </c>
      <c r="L897" s="72">
        <v>0</v>
      </c>
      <c r="M897" s="72">
        <v>0</v>
      </c>
      <c r="N897" s="72">
        <f>IF(AND(C897="",J897=0,K897=0,L897=0,M897=0),"",CADASTROS!$B$4+SUM($J$2:J897)+SUM($M$2:M897)-SUM($K$2:K897)-SUM($L$2:L897))</f>
        <v>274096.54999999795</v>
      </c>
      <c r="O897" s="72">
        <f>IF(A897="","",SUMIF(RATEIOS!$A$2:$A$3142,$A897,RATEIOS!$F$2:$F$3142))</f>
        <v>2560</v>
      </c>
      <c r="P897" s="15">
        <f t="shared" si="27"/>
        <v>0</v>
      </c>
      <c r="Q897" s="49" t="str">
        <f>IF(AND(J897=0,K897=0,L897=0,M897=0),"",IF(O897=0,"PENDENTE DE RATEIO",IF(ABS(P897)&gt;0.005,"DIVERGÊNCIA",IF(COUNTIF(RATEIOS!$A$2:$A$3142,$A897)-COUNTIFS(RATEIOS!$A$2:$A$3142,$A897,RATEIOS!$D$2:$D$3142,"&lt;&gt;")&gt;0,"NÃO CLASSIFICADO","RATEIO OK"))))</f>
        <v>NÃO CLASSIFICADO</v>
      </c>
      <c r="R897" s="49" t="s">
        <v>2553</v>
      </c>
      <c r="S897" s="14"/>
    </row>
    <row r="898" spans="1:19" ht="24.95" customHeight="1" x14ac:dyDescent="0.25">
      <c r="A898" s="49" t="s">
        <v>2392</v>
      </c>
      <c r="B898" s="98">
        <v>897</v>
      </c>
      <c r="C898" s="50">
        <v>46273</v>
      </c>
      <c r="D898" s="49">
        <f t="shared" ref="D898:D961" si="28">IF(C898="","",MONTH(C898))</f>
        <v>9</v>
      </c>
      <c r="E898" s="92" t="s">
        <v>118</v>
      </c>
      <c r="F898" s="49" t="s">
        <v>36</v>
      </c>
      <c r="G898" s="14" t="s">
        <v>67</v>
      </c>
      <c r="H898" s="14" t="s">
        <v>67</v>
      </c>
      <c r="I898" s="76" t="s">
        <v>1293</v>
      </c>
      <c r="J898" s="73">
        <v>0</v>
      </c>
      <c r="K898" s="74">
        <v>2593</v>
      </c>
      <c r="L898" s="72">
        <v>0</v>
      </c>
      <c r="M898" s="72">
        <v>0</v>
      </c>
      <c r="N898" s="72">
        <f>IF(AND(C898="",J898=0,K898=0,L898=0,M898=0),"",CADASTROS!$B$4+SUM($J$2:J898)+SUM($M$2:M898)-SUM($K$2:K898)-SUM($L$2:L898))</f>
        <v>271503.54999999795</v>
      </c>
      <c r="O898" s="72">
        <f>IF(A898="","",SUMIF(RATEIOS!$A$2:$A$3142,$A898,RATEIOS!$F$2:$F$3142))</f>
        <v>2593</v>
      </c>
      <c r="P898" s="15">
        <f t="shared" ref="P898:P961" si="29">IF(A898="","",(J898+K898+L898+M898)-O898)</f>
        <v>0</v>
      </c>
      <c r="Q898" s="49" t="str">
        <f>IF(AND(J898=0,K898=0,L898=0,M898=0),"",IF(O898=0,"PENDENTE DE RATEIO",IF(ABS(P898)&gt;0.005,"DIVERGÊNCIA",IF(COUNTIF(RATEIOS!$A$2:$A$3142,$A898)-COUNTIFS(RATEIOS!$A$2:$A$3142,$A898,RATEIOS!$D$2:$D$3142,"&lt;&gt;")&gt;0,"NÃO CLASSIFICADO","RATEIO OK"))))</f>
        <v>RATEIO OK</v>
      </c>
      <c r="R898" s="49" t="s">
        <v>2553</v>
      </c>
      <c r="S898" s="14"/>
    </row>
    <row r="899" spans="1:19" ht="24.95" customHeight="1" x14ac:dyDescent="0.25">
      <c r="A899" s="49" t="s">
        <v>2393</v>
      </c>
      <c r="B899" s="98">
        <v>898</v>
      </c>
      <c r="C899" s="50">
        <v>46273</v>
      </c>
      <c r="D899" s="49">
        <f t="shared" si="28"/>
        <v>9</v>
      </c>
      <c r="E899" s="92" t="s">
        <v>118</v>
      </c>
      <c r="F899" s="49" t="s">
        <v>36</v>
      </c>
      <c r="G899" s="14" t="s">
        <v>1294</v>
      </c>
      <c r="H899" s="14" t="s">
        <v>143</v>
      </c>
      <c r="I899" s="76" t="s">
        <v>1175</v>
      </c>
      <c r="J899" s="73">
        <v>0</v>
      </c>
      <c r="K899" s="74">
        <v>8208.5</v>
      </c>
      <c r="L899" s="72">
        <v>0</v>
      </c>
      <c r="M899" s="72">
        <v>0</v>
      </c>
      <c r="N899" s="72">
        <f>IF(AND(C899="",J899=0,K899=0,L899=0,M899=0),"",CADASTROS!$B$4+SUM($J$2:J899)+SUM($M$2:M899)-SUM($K$2:K899)-SUM($L$2:L899))</f>
        <v>263295.04999999795</v>
      </c>
      <c r="O899" s="72">
        <f>IF(A899="","",SUMIF(RATEIOS!$A$2:$A$3142,$A899,RATEIOS!$F$2:$F$3142))</f>
        <v>8208.5</v>
      </c>
      <c r="P899" s="15">
        <f t="shared" si="29"/>
        <v>0</v>
      </c>
      <c r="Q899" s="49" t="str">
        <f>IF(AND(J899=0,K899=0,L899=0,M899=0),"",IF(O899=0,"PENDENTE DE RATEIO",IF(ABS(P899)&gt;0.005,"DIVERGÊNCIA",IF(COUNTIF(RATEIOS!$A$2:$A$3142,$A899)-COUNTIFS(RATEIOS!$A$2:$A$3142,$A899,RATEIOS!$D$2:$D$3142,"&lt;&gt;")&gt;0,"NÃO CLASSIFICADO","RATEIO OK"))))</f>
        <v>RATEIO OK</v>
      </c>
      <c r="R899" s="49" t="s">
        <v>2553</v>
      </c>
      <c r="S899" s="14"/>
    </row>
    <row r="900" spans="1:19" ht="24.95" customHeight="1" x14ac:dyDescent="0.25">
      <c r="A900" s="49" t="s">
        <v>2394</v>
      </c>
      <c r="B900" s="98">
        <v>899</v>
      </c>
      <c r="C900" s="50">
        <v>46273</v>
      </c>
      <c r="D900" s="49">
        <f t="shared" si="28"/>
        <v>9</v>
      </c>
      <c r="E900" s="92" t="s">
        <v>118</v>
      </c>
      <c r="F900" s="49" t="s">
        <v>36</v>
      </c>
      <c r="G900" s="14" t="s">
        <v>273</v>
      </c>
      <c r="H900" s="14" t="s">
        <v>81</v>
      </c>
      <c r="I900" s="76" t="s">
        <v>1172</v>
      </c>
      <c r="J900" s="73">
        <v>0</v>
      </c>
      <c r="K900" s="74">
        <v>7249.28</v>
      </c>
      <c r="L900" s="72">
        <v>0</v>
      </c>
      <c r="M900" s="72">
        <v>0</v>
      </c>
      <c r="N900" s="72">
        <f>IF(AND(C900="",J900=0,K900=0,L900=0,M900=0),"",CADASTROS!$B$4+SUM($J$2:J900)+SUM($M$2:M900)-SUM($K$2:K900)-SUM($L$2:L900))</f>
        <v>256045.76999999769</v>
      </c>
      <c r="O900" s="72">
        <f>IF(A900="","",SUMIF(RATEIOS!$A$2:$A$3142,$A900,RATEIOS!$F$2:$F$3142))</f>
        <v>7249.28</v>
      </c>
      <c r="P900" s="15">
        <f t="shared" si="29"/>
        <v>0</v>
      </c>
      <c r="Q900" s="49" t="str">
        <f>IF(AND(J900=0,K900=0,L900=0,M900=0),"",IF(O900=0,"PENDENTE DE RATEIO",IF(ABS(P900)&gt;0.005,"DIVERGÊNCIA",IF(COUNTIF(RATEIOS!$A$2:$A$3142,$A900)-COUNTIFS(RATEIOS!$A$2:$A$3142,$A900,RATEIOS!$D$2:$D$3142,"&lt;&gt;")&gt;0,"NÃO CLASSIFICADO","RATEIO OK"))))</f>
        <v>RATEIO OK</v>
      </c>
      <c r="R900" s="49" t="s">
        <v>2553</v>
      </c>
      <c r="S900" s="14"/>
    </row>
    <row r="901" spans="1:19" ht="24.95" customHeight="1" x14ac:dyDescent="0.25">
      <c r="A901" s="49" t="s">
        <v>2395</v>
      </c>
      <c r="B901" s="98">
        <v>900</v>
      </c>
      <c r="C901" s="50">
        <v>46273</v>
      </c>
      <c r="D901" s="49">
        <f t="shared" si="28"/>
        <v>9</v>
      </c>
      <c r="E901" s="92" t="s">
        <v>118</v>
      </c>
      <c r="F901" s="49" t="s">
        <v>36</v>
      </c>
      <c r="G901" s="14" t="s">
        <v>607</v>
      </c>
      <c r="H901" s="14" t="s">
        <v>265</v>
      </c>
      <c r="I901" s="76" t="s">
        <v>1173</v>
      </c>
      <c r="J901" s="73">
        <v>0</v>
      </c>
      <c r="K901" s="74">
        <v>1909.4</v>
      </c>
      <c r="L901" s="72">
        <v>0</v>
      </c>
      <c r="M901" s="72">
        <v>0</v>
      </c>
      <c r="N901" s="72">
        <f>IF(AND(C901="",J901=0,K901=0,L901=0,M901=0),"",CADASTROS!$B$4+SUM($J$2:J901)+SUM($M$2:M901)-SUM($K$2:K901)-SUM($L$2:L901))</f>
        <v>254136.36999999732</v>
      </c>
      <c r="O901" s="72">
        <f>IF(A901="","",SUMIF(RATEIOS!$A$2:$A$3142,$A901,RATEIOS!$F$2:$F$3142))</f>
        <v>1909.4</v>
      </c>
      <c r="P901" s="15">
        <f t="shared" si="29"/>
        <v>0</v>
      </c>
      <c r="Q901" s="49" t="str">
        <f>IF(AND(J901=0,K901=0,L901=0,M901=0),"",IF(O901=0,"PENDENTE DE RATEIO",IF(ABS(P901)&gt;0.005,"DIVERGÊNCIA",IF(COUNTIF(RATEIOS!$A$2:$A$3142,$A901)-COUNTIFS(RATEIOS!$A$2:$A$3142,$A901,RATEIOS!$D$2:$D$3142,"&lt;&gt;")&gt;0,"NÃO CLASSIFICADO","RATEIO OK"))))</f>
        <v>RATEIO OK</v>
      </c>
      <c r="R901" s="49" t="s">
        <v>2553</v>
      </c>
      <c r="S901" s="14"/>
    </row>
    <row r="902" spans="1:19" ht="24.95" customHeight="1" x14ac:dyDescent="0.25">
      <c r="A902" s="49" t="s">
        <v>2396</v>
      </c>
      <c r="B902" s="98">
        <v>901</v>
      </c>
      <c r="C902" s="50">
        <v>46273</v>
      </c>
      <c r="D902" s="49">
        <f t="shared" si="28"/>
        <v>9</v>
      </c>
      <c r="E902" s="92" t="s">
        <v>118</v>
      </c>
      <c r="F902" s="49" t="s">
        <v>36</v>
      </c>
      <c r="G902" s="14" t="s">
        <v>1295</v>
      </c>
      <c r="H902" s="14" t="s">
        <v>92</v>
      </c>
      <c r="I902" s="76" t="s">
        <v>93</v>
      </c>
      <c r="J902" s="73">
        <v>0</v>
      </c>
      <c r="K902" s="74">
        <v>1935.4</v>
      </c>
      <c r="L902" s="72">
        <v>0</v>
      </c>
      <c r="M902" s="72">
        <v>0</v>
      </c>
      <c r="N902" s="72">
        <f>IF(AND(C902="",J902=0,K902=0,L902=0,M902=0),"",CADASTROS!$B$4+SUM($J$2:J902)+SUM($M$2:M902)-SUM($K$2:K902)-SUM($L$2:L902))</f>
        <v>252200.96999999695</v>
      </c>
      <c r="O902" s="72">
        <f>IF(A902="","",SUMIF(RATEIOS!$A$2:$A$3142,$A902,RATEIOS!$F$2:$F$3142))</f>
        <v>1935.4</v>
      </c>
      <c r="P902" s="15">
        <f t="shared" si="29"/>
        <v>0</v>
      </c>
      <c r="Q902" s="49" t="str">
        <f>IF(AND(J902=0,K902=0,L902=0,M902=0),"",IF(O902=0,"PENDENTE DE RATEIO",IF(ABS(P902)&gt;0.005,"DIVERGÊNCIA",IF(COUNTIF(RATEIOS!$A$2:$A$3142,$A902)-COUNTIFS(RATEIOS!$A$2:$A$3142,$A902,RATEIOS!$D$2:$D$3142,"&lt;&gt;")&gt;0,"NÃO CLASSIFICADO","RATEIO OK"))))</f>
        <v>RATEIO OK</v>
      </c>
      <c r="R902" s="49" t="s">
        <v>2553</v>
      </c>
      <c r="S902" s="14"/>
    </row>
    <row r="903" spans="1:19" ht="24.95" customHeight="1" x14ac:dyDescent="0.25">
      <c r="A903" s="49" t="s">
        <v>2397</v>
      </c>
      <c r="B903" s="98">
        <v>902</v>
      </c>
      <c r="C903" s="50">
        <v>46274</v>
      </c>
      <c r="D903" s="49">
        <f t="shared" si="28"/>
        <v>9</v>
      </c>
      <c r="E903" s="92" t="s">
        <v>118</v>
      </c>
      <c r="F903" s="49" t="s">
        <v>36</v>
      </c>
      <c r="G903" s="14" t="s">
        <v>3036</v>
      </c>
      <c r="H903" s="14" t="s">
        <v>1169</v>
      </c>
      <c r="I903" s="76" t="s">
        <v>1296</v>
      </c>
      <c r="J903" s="73">
        <v>0</v>
      </c>
      <c r="K903" s="74">
        <v>1007.78</v>
      </c>
      <c r="L903" s="72">
        <v>0</v>
      </c>
      <c r="M903" s="72">
        <v>0</v>
      </c>
      <c r="N903" s="72">
        <f>IF(AND(C903="",J903=0,K903=0,L903=0,M903=0),"",CADASTROS!$B$4+SUM($J$2:J903)+SUM($M$2:M903)-SUM($K$2:K903)-SUM($L$2:L903))</f>
        <v>251193.18999999668</v>
      </c>
      <c r="O903" s="72">
        <f>IF(A903="","",SUMIF(RATEIOS!$A$2:$A$3142,$A903,RATEIOS!$F$2:$F$3142))</f>
        <v>1007.78</v>
      </c>
      <c r="P903" s="15">
        <f t="shared" si="29"/>
        <v>0</v>
      </c>
      <c r="Q903" s="49" t="str">
        <f>IF(AND(J903=0,K903=0,L903=0,M903=0),"",IF(O903=0,"PENDENTE DE RATEIO",IF(ABS(P903)&gt;0.005,"DIVERGÊNCIA",IF(COUNTIF(RATEIOS!$A$2:$A$3142,$A903)-COUNTIFS(RATEIOS!$A$2:$A$3142,$A903,RATEIOS!$D$2:$D$3142,"&lt;&gt;")&gt;0,"NÃO CLASSIFICADO","RATEIO OK"))))</f>
        <v>NÃO CLASSIFICADO</v>
      </c>
      <c r="R903" s="49" t="s">
        <v>2553</v>
      </c>
      <c r="S903" s="14"/>
    </row>
    <row r="904" spans="1:19" ht="24.95" customHeight="1" x14ac:dyDescent="0.25">
      <c r="A904" s="49" t="s">
        <v>2398</v>
      </c>
      <c r="B904" s="98">
        <v>903</v>
      </c>
      <c r="C904" s="50">
        <v>46275</v>
      </c>
      <c r="D904" s="49">
        <f t="shared" si="28"/>
        <v>9</v>
      </c>
      <c r="E904" s="92" t="s">
        <v>118</v>
      </c>
      <c r="F904" s="49" t="s">
        <v>36</v>
      </c>
      <c r="G904" s="14" t="s">
        <v>2694</v>
      </c>
      <c r="H904" s="14" t="s">
        <v>125</v>
      </c>
      <c r="I904" s="76" t="s">
        <v>412</v>
      </c>
      <c r="J904" s="73">
        <v>0</v>
      </c>
      <c r="K904" s="74">
        <v>31077.96</v>
      </c>
      <c r="L904" s="72">
        <v>0</v>
      </c>
      <c r="M904" s="72">
        <v>0</v>
      </c>
      <c r="N904" s="72">
        <f>IF(AND(C904="",J904=0,K904=0,L904=0,M904=0),"",CADASTROS!$B$4+SUM($J$2:J904)+SUM($M$2:M904)-SUM($K$2:K904)-SUM($L$2:L904))</f>
        <v>220115.22999999672</v>
      </c>
      <c r="O904" s="72">
        <f>IF(A904="","",SUMIF(RATEIOS!$A$2:$A$3142,$A904,RATEIOS!$F$2:$F$3142))</f>
        <v>31077.96</v>
      </c>
      <c r="P904" s="15">
        <f t="shared" si="29"/>
        <v>0</v>
      </c>
      <c r="Q904" s="49" t="str">
        <f>IF(AND(J904=0,K904=0,L904=0,M904=0),"",IF(O904=0,"PENDENTE DE RATEIO",IF(ABS(P904)&gt;0.005,"DIVERGÊNCIA",IF(COUNTIF(RATEIOS!$A$2:$A$3142,$A904)-COUNTIFS(RATEIOS!$A$2:$A$3142,$A904,RATEIOS!$D$2:$D$3142,"&lt;&gt;")&gt;0,"NÃO CLASSIFICADO","RATEIO OK"))))</f>
        <v>RATEIO OK</v>
      </c>
      <c r="R904" s="49" t="s">
        <v>2553</v>
      </c>
      <c r="S904" s="14"/>
    </row>
    <row r="905" spans="1:19" ht="24.95" customHeight="1" x14ac:dyDescent="0.25">
      <c r="A905" s="49" t="s">
        <v>2399</v>
      </c>
      <c r="B905" s="98">
        <v>904</v>
      </c>
      <c r="C905" s="50">
        <v>46275</v>
      </c>
      <c r="D905" s="49">
        <f t="shared" si="28"/>
        <v>9</v>
      </c>
      <c r="E905" s="92" t="s">
        <v>118</v>
      </c>
      <c r="F905" s="49" t="s">
        <v>36</v>
      </c>
      <c r="G905" s="14" t="s">
        <v>119</v>
      </c>
      <c r="H905" s="14" t="s">
        <v>120</v>
      </c>
      <c r="I905" s="76" t="s">
        <v>2952</v>
      </c>
      <c r="J905" s="73">
        <v>0</v>
      </c>
      <c r="K905" s="74">
        <v>149.9</v>
      </c>
      <c r="L905" s="72">
        <v>0</v>
      </c>
      <c r="M905" s="72">
        <v>0</v>
      </c>
      <c r="N905" s="72">
        <f>IF(AND(C905="",J905=0,K905=0,L905=0,M905=0),"",CADASTROS!$B$4+SUM($J$2:J905)+SUM($M$2:M905)-SUM($K$2:K905)-SUM($L$2:L905))</f>
        <v>219965.32999999635</v>
      </c>
      <c r="O905" s="72">
        <f>IF(A905="","",SUMIF(RATEIOS!$A$2:$A$3142,$A905,RATEIOS!$F$2:$F$3142))</f>
        <v>149.9</v>
      </c>
      <c r="P905" s="15">
        <f t="shared" si="29"/>
        <v>0</v>
      </c>
      <c r="Q905" s="49" t="str">
        <f>IF(AND(J905=0,K905=0,L905=0,M905=0),"",IF(O905=0,"PENDENTE DE RATEIO",IF(ABS(P905)&gt;0.005,"DIVERGÊNCIA",IF(COUNTIF(RATEIOS!$A$2:$A$3142,$A905)-COUNTIFS(RATEIOS!$A$2:$A$3142,$A905,RATEIOS!$D$2:$D$3142,"&lt;&gt;")&gt;0,"NÃO CLASSIFICADO","RATEIO OK"))))</f>
        <v>RATEIO OK</v>
      </c>
      <c r="R905" s="49" t="s">
        <v>2553</v>
      </c>
      <c r="S905" s="14"/>
    </row>
    <row r="906" spans="1:19" ht="24.95" customHeight="1" x14ac:dyDescent="0.25">
      <c r="A906" s="49" t="s">
        <v>2400</v>
      </c>
      <c r="B906" s="98">
        <v>905</v>
      </c>
      <c r="C906" s="50">
        <v>46275</v>
      </c>
      <c r="D906" s="49">
        <f t="shared" si="28"/>
        <v>9</v>
      </c>
      <c r="E906" s="92" t="s">
        <v>118</v>
      </c>
      <c r="F906" s="49" t="s">
        <v>36</v>
      </c>
      <c r="G906" s="14" t="s">
        <v>2695</v>
      </c>
      <c r="H906" s="14" t="s">
        <v>265</v>
      </c>
      <c r="I906" s="76" t="s">
        <v>2682</v>
      </c>
      <c r="J906" s="73">
        <v>0</v>
      </c>
      <c r="K906" s="74">
        <v>1259.9000000000001</v>
      </c>
      <c r="L906" s="72">
        <v>0</v>
      </c>
      <c r="M906" s="72">
        <v>0</v>
      </c>
      <c r="N906" s="72">
        <f>IF(AND(C906="",J906=0,K906=0,L906=0,M906=0),"",CADASTROS!$B$4+SUM($J$2:J906)+SUM($M$2:M906)-SUM($K$2:K906)-SUM($L$2:L906))</f>
        <v>218705.42999999598</v>
      </c>
      <c r="O906" s="72">
        <f>IF(A906="","",SUMIF(RATEIOS!$A$2:$A$3142,$A906,RATEIOS!$F$2:$F$3142))</f>
        <v>1259.9000000000001</v>
      </c>
      <c r="P906" s="15">
        <f t="shared" si="29"/>
        <v>0</v>
      </c>
      <c r="Q906" s="49" t="str">
        <f>IF(AND(J906=0,K906=0,L906=0,M906=0),"",IF(O906=0,"PENDENTE DE RATEIO",IF(ABS(P906)&gt;0.005,"DIVERGÊNCIA",IF(COUNTIF(RATEIOS!$A$2:$A$3142,$A906)-COUNTIFS(RATEIOS!$A$2:$A$3142,$A906,RATEIOS!$D$2:$D$3142,"&lt;&gt;")&gt;0,"NÃO CLASSIFICADO","RATEIO OK"))))</f>
        <v>RATEIO OK</v>
      </c>
      <c r="R906" s="49" t="s">
        <v>2553</v>
      </c>
      <c r="S906" s="14"/>
    </row>
    <row r="907" spans="1:19" ht="24.95" customHeight="1" x14ac:dyDescent="0.25">
      <c r="A907" s="49" t="s">
        <v>2401</v>
      </c>
      <c r="B907" s="98">
        <v>906</v>
      </c>
      <c r="C907" s="50">
        <v>46275</v>
      </c>
      <c r="D907" s="49">
        <f t="shared" si="28"/>
        <v>9</v>
      </c>
      <c r="E907" s="92" t="s">
        <v>118</v>
      </c>
      <c r="F907" s="49" t="s">
        <v>36</v>
      </c>
      <c r="G907" s="14" t="s">
        <v>1149</v>
      </c>
      <c r="H907" s="14" t="s">
        <v>265</v>
      </c>
      <c r="I907" s="76" t="s">
        <v>1036</v>
      </c>
      <c r="J907" s="73">
        <v>0</v>
      </c>
      <c r="K907" s="74">
        <v>3012</v>
      </c>
      <c r="L907" s="72">
        <v>0</v>
      </c>
      <c r="M907" s="72">
        <v>0</v>
      </c>
      <c r="N907" s="72">
        <f>IF(AND(C907="",J907=0,K907=0,L907=0,M907=0),"",CADASTROS!$B$4+SUM($J$2:J907)+SUM($M$2:M907)-SUM($K$2:K907)-SUM($L$2:L907))</f>
        <v>215693.42999999598</v>
      </c>
      <c r="O907" s="72">
        <f>IF(A907="","",SUMIF(RATEIOS!$A$2:$A$3142,$A907,RATEIOS!$F$2:$F$3142))</f>
        <v>3012</v>
      </c>
      <c r="P907" s="15">
        <f t="shared" si="29"/>
        <v>0</v>
      </c>
      <c r="Q907" s="49" t="str">
        <f>IF(AND(J907=0,K907=0,L907=0,M907=0),"",IF(O907=0,"PENDENTE DE RATEIO",IF(ABS(P907)&gt;0.005,"DIVERGÊNCIA",IF(COUNTIF(RATEIOS!$A$2:$A$3142,$A907)-COUNTIFS(RATEIOS!$A$2:$A$3142,$A907,RATEIOS!$D$2:$D$3142,"&lt;&gt;")&gt;0,"NÃO CLASSIFICADO","RATEIO OK"))))</f>
        <v>RATEIO OK</v>
      </c>
      <c r="R907" s="49" t="s">
        <v>2553</v>
      </c>
      <c r="S907" s="14"/>
    </row>
    <row r="908" spans="1:19" ht="24.95" customHeight="1" x14ac:dyDescent="0.25">
      <c r="A908" s="49" t="s">
        <v>2402</v>
      </c>
      <c r="B908" s="98">
        <v>907</v>
      </c>
      <c r="C908" s="50">
        <v>46275</v>
      </c>
      <c r="D908" s="49">
        <f t="shared" si="28"/>
        <v>9</v>
      </c>
      <c r="E908" s="92" t="s">
        <v>118</v>
      </c>
      <c r="F908" s="49" t="s">
        <v>36</v>
      </c>
      <c r="G908" s="14" t="s">
        <v>161</v>
      </c>
      <c r="H908" s="14" t="s">
        <v>81</v>
      </c>
      <c r="I908" s="76" t="s">
        <v>1031</v>
      </c>
      <c r="J908" s="73">
        <v>0</v>
      </c>
      <c r="K908" s="74">
        <v>7249.27</v>
      </c>
      <c r="L908" s="72">
        <v>0</v>
      </c>
      <c r="M908" s="72">
        <v>0</v>
      </c>
      <c r="N908" s="72">
        <f>IF(AND(C908="",J908=0,K908=0,L908=0,M908=0),"",CADASTROS!$B$4+SUM($J$2:J908)+SUM($M$2:M908)-SUM($K$2:K908)-SUM($L$2:L908))</f>
        <v>208444.15999999642</v>
      </c>
      <c r="O908" s="72">
        <f>IF(A908="","",SUMIF(RATEIOS!$A$2:$A$3142,$A908,RATEIOS!$F$2:$F$3142))</f>
        <v>7249.27</v>
      </c>
      <c r="P908" s="15">
        <f t="shared" si="29"/>
        <v>0</v>
      </c>
      <c r="Q908" s="49" t="str">
        <f>IF(AND(J908=0,K908=0,L908=0,M908=0),"",IF(O908=0,"PENDENTE DE RATEIO",IF(ABS(P908)&gt;0.005,"DIVERGÊNCIA",IF(COUNTIF(RATEIOS!$A$2:$A$3142,$A908)-COUNTIFS(RATEIOS!$A$2:$A$3142,$A908,RATEIOS!$D$2:$D$3142,"&lt;&gt;")&gt;0,"NÃO CLASSIFICADO","RATEIO OK"))))</f>
        <v>RATEIO OK</v>
      </c>
      <c r="R908" s="49" t="s">
        <v>2553</v>
      </c>
      <c r="S908" s="14"/>
    </row>
    <row r="909" spans="1:19" ht="24.95" customHeight="1" x14ac:dyDescent="0.25">
      <c r="A909" s="49" t="s">
        <v>2696</v>
      </c>
      <c r="B909" s="98">
        <v>908</v>
      </c>
      <c r="C909" s="50">
        <v>46275</v>
      </c>
      <c r="D909" s="49">
        <f t="shared" si="28"/>
        <v>9</v>
      </c>
      <c r="E909" s="92" t="s">
        <v>2556</v>
      </c>
      <c r="F909" s="49" t="s">
        <v>36</v>
      </c>
      <c r="G909" s="14" t="s">
        <v>297</v>
      </c>
      <c r="H909" s="14" t="s">
        <v>117</v>
      </c>
      <c r="I909" s="76" t="s">
        <v>412</v>
      </c>
      <c r="J909" s="73">
        <v>0</v>
      </c>
      <c r="K909" s="74">
        <v>275</v>
      </c>
      <c r="L909" s="72">
        <v>0</v>
      </c>
      <c r="M909" s="72">
        <v>0</v>
      </c>
      <c r="N909" s="72">
        <f>IF(AND(C909="",J909=0,K909=0,L909=0,M909=0),"",CADASTROS!$B$4+SUM($J$2:J909)+SUM($M$2:M909)-SUM($K$2:K909)-SUM($L$2:L909))</f>
        <v>208169.15999999642</v>
      </c>
      <c r="O909" s="72">
        <f>IF(A909="","",SUMIF(RATEIOS!$A$2:$A$3142,$A909,RATEIOS!$F$2:$F$3142))</f>
        <v>275</v>
      </c>
      <c r="P909" s="15">
        <f t="shared" si="29"/>
        <v>0</v>
      </c>
      <c r="Q909" s="49" t="str">
        <f>IF(AND(J909=0,K909=0,L909=0,M909=0),"",IF(O909=0,"PENDENTE DE RATEIO",IF(ABS(P909)&gt;0.005,"DIVERGÊNCIA",IF(COUNTIF(RATEIOS!$A$2:$A$3142,$A909)-COUNTIFS(RATEIOS!$A$2:$A$3142,$A909,RATEIOS!$D$2:$D$3142,"&lt;&gt;")&gt;0,"NÃO CLASSIFICADO","RATEIO OK"))))</f>
        <v>RATEIO OK</v>
      </c>
      <c r="R909" s="49" t="s">
        <v>2553</v>
      </c>
      <c r="S909" s="14"/>
    </row>
    <row r="910" spans="1:19" ht="24.95" customHeight="1" x14ac:dyDescent="0.25">
      <c r="A910" s="49" t="s">
        <v>2697</v>
      </c>
      <c r="B910" s="98">
        <v>909</v>
      </c>
      <c r="C910" s="50">
        <v>46276</v>
      </c>
      <c r="D910" s="49">
        <f t="shared" si="28"/>
        <v>9</v>
      </c>
      <c r="E910" s="92" t="s">
        <v>118</v>
      </c>
      <c r="F910" s="49" t="s">
        <v>36</v>
      </c>
      <c r="G910" s="14" t="s">
        <v>2698</v>
      </c>
      <c r="H910" s="14" t="s">
        <v>204</v>
      </c>
      <c r="I910" s="76" t="s">
        <v>1185</v>
      </c>
      <c r="J910" s="73">
        <v>0</v>
      </c>
      <c r="K910" s="74">
        <v>6082.67</v>
      </c>
      <c r="L910" s="72">
        <v>0</v>
      </c>
      <c r="M910" s="72">
        <v>0</v>
      </c>
      <c r="N910" s="72">
        <f>IF(AND(C910="",J910=0,K910=0,L910=0,M910=0),"",CADASTROS!$B$4+SUM($J$2:J910)+SUM($M$2:M910)-SUM($K$2:K910)-SUM($L$2:L910))</f>
        <v>202086.4899999965</v>
      </c>
      <c r="O910" s="72">
        <f>IF(A910="","",SUMIF(RATEIOS!$A$2:$A$3142,$A910,RATEIOS!$F$2:$F$3142))</f>
        <v>6082.67</v>
      </c>
      <c r="P910" s="15">
        <f t="shared" si="29"/>
        <v>0</v>
      </c>
      <c r="Q910" s="49" t="str">
        <f>IF(AND(J910=0,K910=0,L910=0,M910=0),"",IF(O910=0,"PENDENTE DE RATEIO",IF(ABS(P910)&gt;0.005,"DIVERGÊNCIA",IF(COUNTIF(RATEIOS!$A$2:$A$3142,$A910)-COUNTIFS(RATEIOS!$A$2:$A$3142,$A910,RATEIOS!$D$2:$D$3142,"&lt;&gt;")&gt;0,"NÃO CLASSIFICADO","RATEIO OK"))))</f>
        <v>RATEIO OK</v>
      </c>
      <c r="R910" s="49" t="s">
        <v>2553</v>
      </c>
      <c r="S910" s="14"/>
    </row>
    <row r="911" spans="1:19" ht="24.95" customHeight="1" x14ac:dyDescent="0.25">
      <c r="A911" s="49" t="s">
        <v>2699</v>
      </c>
      <c r="B911" s="98">
        <v>910</v>
      </c>
      <c r="C911" s="50">
        <v>46276</v>
      </c>
      <c r="D911" s="49">
        <f t="shared" si="28"/>
        <v>9</v>
      </c>
      <c r="E911" s="92" t="s">
        <v>118</v>
      </c>
      <c r="F911" s="49" t="s">
        <v>36</v>
      </c>
      <c r="G911" s="14" t="s">
        <v>2723</v>
      </c>
      <c r="H911" s="14" t="s">
        <v>204</v>
      </c>
      <c r="I911" s="76" t="s">
        <v>2683</v>
      </c>
      <c r="J911" s="73">
        <v>0</v>
      </c>
      <c r="K911" s="74">
        <v>1858.59</v>
      </c>
      <c r="L911" s="72">
        <v>0</v>
      </c>
      <c r="M911" s="72">
        <v>0</v>
      </c>
      <c r="N911" s="72">
        <f>IF(AND(C911="",J911=0,K911=0,L911=0,M911=0),"",CADASTROS!$B$4+SUM($J$2:J911)+SUM($M$2:M911)-SUM($K$2:K911)-SUM($L$2:L911))</f>
        <v>200227.89999999665</v>
      </c>
      <c r="O911" s="72">
        <f>IF(A911="","",SUMIF(RATEIOS!$A$2:$A$3142,$A911,RATEIOS!$F$2:$F$3142))</f>
        <v>1858.59</v>
      </c>
      <c r="P911" s="15">
        <f t="shared" si="29"/>
        <v>0</v>
      </c>
      <c r="Q911" s="49" t="str">
        <f>IF(AND(J911=0,K911=0,L911=0,M911=0),"",IF(O911=0,"PENDENTE DE RATEIO",IF(ABS(P911)&gt;0.005,"DIVERGÊNCIA",IF(COUNTIF(RATEIOS!$A$2:$A$3142,$A911)-COUNTIFS(RATEIOS!$A$2:$A$3142,$A911,RATEIOS!$D$2:$D$3142,"&lt;&gt;")&gt;0,"NÃO CLASSIFICADO","RATEIO OK"))))</f>
        <v>RATEIO OK</v>
      </c>
      <c r="R911" s="49" t="s">
        <v>2553</v>
      </c>
      <c r="S911" s="14"/>
    </row>
    <row r="912" spans="1:19" ht="24.95" customHeight="1" x14ac:dyDescent="0.25">
      <c r="A912" s="49" t="s">
        <v>2700</v>
      </c>
      <c r="B912" s="98">
        <v>911</v>
      </c>
      <c r="C912" s="50">
        <v>46279</v>
      </c>
      <c r="D912" s="49">
        <f t="shared" si="28"/>
        <v>9</v>
      </c>
      <c r="E912" s="92" t="s">
        <v>287</v>
      </c>
      <c r="F912" s="49" t="s">
        <v>36</v>
      </c>
      <c r="G912" s="14" t="s">
        <v>2701</v>
      </c>
      <c r="H912" s="14" t="s">
        <v>2942</v>
      </c>
      <c r="I912" s="76" t="s">
        <v>2684</v>
      </c>
      <c r="J912" s="73">
        <v>0</v>
      </c>
      <c r="K912" s="74">
        <v>4990.25</v>
      </c>
      <c r="L912" s="72">
        <v>0</v>
      </c>
      <c r="M912" s="72">
        <v>0</v>
      </c>
      <c r="N912" s="72">
        <f>IF(AND(C912="",J912=0,K912=0,L912=0,M912=0),"",CADASTROS!$B$4+SUM($J$2:J912)+SUM($M$2:M912)-SUM($K$2:K912)-SUM($L$2:L912))</f>
        <v>195237.64999999665</v>
      </c>
      <c r="O912" s="72">
        <f>IF(A912="","",SUMIF(RATEIOS!$A$2:$A$3142,$A912,RATEIOS!$F$2:$F$3142))</f>
        <v>4990.25</v>
      </c>
      <c r="P912" s="15">
        <f t="shared" si="29"/>
        <v>0</v>
      </c>
      <c r="Q912" s="49" t="str">
        <f>IF(AND(J912=0,K912=0,L912=0,M912=0),"",IF(O912=0,"PENDENTE DE RATEIO",IF(ABS(P912)&gt;0.005,"DIVERGÊNCIA",IF(COUNTIF(RATEIOS!$A$2:$A$3142,$A912)-COUNTIFS(RATEIOS!$A$2:$A$3142,$A912,RATEIOS!$D$2:$D$3142,"&lt;&gt;")&gt;0,"NÃO CLASSIFICADO","RATEIO OK"))))</f>
        <v>RATEIO OK</v>
      </c>
      <c r="R912" s="49" t="s">
        <v>2553</v>
      </c>
      <c r="S912" s="14"/>
    </row>
    <row r="913" spans="1:19" ht="24.95" customHeight="1" x14ac:dyDescent="0.25">
      <c r="A913" s="49" t="s">
        <v>2702</v>
      </c>
      <c r="B913" s="98">
        <v>912</v>
      </c>
      <c r="C913" s="50">
        <v>46279</v>
      </c>
      <c r="D913" s="49">
        <f t="shared" si="28"/>
        <v>9</v>
      </c>
      <c r="E913" s="92" t="s">
        <v>72</v>
      </c>
      <c r="F913" s="49" t="s">
        <v>36</v>
      </c>
      <c r="G913" s="14" t="s">
        <v>2703</v>
      </c>
      <c r="H913" s="14" t="s">
        <v>153</v>
      </c>
      <c r="I913" s="76" t="s">
        <v>243</v>
      </c>
      <c r="J913" s="73">
        <v>0</v>
      </c>
      <c r="K913" s="74">
        <v>1490</v>
      </c>
      <c r="L913" s="72">
        <v>0</v>
      </c>
      <c r="M913" s="72">
        <v>0</v>
      </c>
      <c r="N913" s="72">
        <f>IF(AND(C913="",J913=0,K913=0,L913=0,M913=0),"",CADASTROS!$B$4+SUM($J$2:J913)+SUM($M$2:M913)-SUM($K$2:K913)-SUM($L$2:L913))</f>
        <v>193747.64999999665</v>
      </c>
      <c r="O913" s="72">
        <f>IF(A913="","",SUMIF(RATEIOS!$A$2:$A$3142,$A913,RATEIOS!$F$2:$F$3142))</f>
        <v>1490</v>
      </c>
      <c r="P913" s="15">
        <f t="shared" si="29"/>
        <v>0</v>
      </c>
      <c r="Q913" s="49" t="str">
        <f>IF(AND(J913=0,K913=0,L913=0,M913=0),"",IF(O913=0,"PENDENTE DE RATEIO",IF(ABS(P913)&gt;0.005,"DIVERGÊNCIA",IF(COUNTIF(RATEIOS!$A$2:$A$3142,$A913)-COUNTIFS(RATEIOS!$A$2:$A$3142,$A913,RATEIOS!$D$2:$D$3142,"&lt;&gt;")&gt;0,"NÃO CLASSIFICADO","RATEIO OK"))))</f>
        <v>RATEIO OK</v>
      </c>
      <c r="R913" s="49" t="s">
        <v>2553</v>
      </c>
      <c r="S913" s="14"/>
    </row>
    <row r="914" spans="1:19" ht="24.95" customHeight="1" x14ac:dyDescent="0.25">
      <c r="A914" s="49" t="s">
        <v>2704</v>
      </c>
      <c r="B914" s="98">
        <v>913</v>
      </c>
      <c r="C914" s="50">
        <v>46279</v>
      </c>
      <c r="D914" s="49">
        <f t="shared" si="28"/>
        <v>9</v>
      </c>
      <c r="E914" s="92" t="s">
        <v>72</v>
      </c>
      <c r="F914" s="49" t="s">
        <v>36</v>
      </c>
      <c r="G914" s="14" t="s">
        <v>2927</v>
      </c>
      <c r="H914" s="14" t="s">
        <v>2934</v>
      </c>
      <c r="I914" s="76" t="s">
        <v>2940</v>
      </c>
      <c r="J914" s="73">
        <v>0</v>
      </c>
      <c r="K914" s="74">
        <v>2000</v>
      </c>
      <c r="L914" s="72">
        <v>0</v>
      </c>
      <c r="M914" s="72">
        <v>0</v>
      </c>
      <c r="N914" s="72">
        <f>IF(AND(C914="",J914=0,K914=0,L914=0,M914=0),"",CADASTROS!$B$4+SUM($J$2:J914)+SUM($M$2:M914)-SUM($K$2:K914)-SUM($L$2:L914))</f>
        <v>191747.64999999665</v>
      </c>
      <c r="O914" s="72">
        <f>IF(A914="","",SUMIF(RATEIOS!$A$2:$A$3142,$A914,RATEIOS!$F$2:$F$3142))</f>
        <v>2000</v>
      </c>
      <c r="P914" s="15">
        <f t="shared" si="29"/>
        <v>0</v>
      </c>
      <c r="Q914" s="49" t="str">
        <f>IF(AND(J914=0,K914=0,L914=0,M914=0),"",IF(O914=0,"PENDENTE DE RATEIO",IF(ABS(P914)&gt;0.005,"DIVERGÊNCIA",IF(COUNTIF(RATEIOS!$A$2:$A$3142,$A914)-COUNTIFS(RATEIOS!$A$2:$A$3142,$A914,RATEIOS!$D$2:$D$3142,"&lt;&gt;")&gt;0,"NÃO CLASSIFICADO","RATEIO OK"))))</f>
        <v>RATEIO OK</v>
      </c>
      <c r="R914" s="49" t="s">
        <v>2553</v>
      </c>
      <c r="S914" s="14" t="s">
        <v>2725</v>
      </c>
    </row>
    <row r="915" spans="1:19" ht="24.95" customHeight="1" x14ac:dyDescent="0.25">
      <c r="A915" s="49" t="s">
        <v>2705</v>
      </c>
      <c r="B915" s="98">
        <v>914</v>
      </c>
      <c r="C915" s="50">
        <v>46279</v>
      </c>
      <c r="D915" s="49">
        <f t="shared" si="28"/>
        <v>9</v>
      </c>
      <c r="E915" s="92" t="s">
        <v>72</v>
      </c>
      <c r="F915" s="49" t="s">
        <v>36</v>
      </c>
      <c r="G915" s="14" t="s">
        <v>2706</v>
      </c>
      <c r="H915" s="14" t="s">
        <v>425</v>
      </c>
      <c r="I915" s="76" t="s">
        <v>1052</v>
      </c>
      <c r="J915" s="73">
        <v>0</v>
      </c>
      <c r="K915" s="74">
        <v>14000</v>
      </c>
      <c r="L915" s="72">
        <v>0</v>
      </c>
      <c r="M915" s="72">
        <v>0</v>
      </c>
      <c r="N915" s="72">
        <f>IF(AND(C915="",J915=0,K915=0,L915=0,M915=0),"",CADASTROS!$B$4+SUM($J$2:J915)+SUM($M$2:M915)-SUM($K$2:K915)-SUM($L$2:L915))</f>
        <v>177747.64999999665</v>
      </c>
      <c r="O915" s="72">
        <f>IF(A915="","",SUMIF(RATEIOS!$A$2:$A$3142,$A915,RATEIOS!$F$2:$F$3142))</f>
        <v>14000</v>
      </c>
      <c r="P915" s="15">
        <f t="shared" si="29"/>
        <v>0</v>
      </c>
      <c r="Q915" s="49" t="str">
        <f>IF(AND(J915=0,K915=0,L915=0,M915=0),"",IF(O915=0,"PENDENTE DE RATEIO",IF(ABS(P915)&gt;0.005,"DIVERGÊNCIA",IF(COUNTIF(RATEIOS!$A$2:$A$3142,$A915)-COUNTIFS(RATEIOS!$A$2:$A$3142,$A915,RATEIOS!$D$2:$D$3142,"&lt;&gt;")&gt;0,"NÃO CLASSIFICADO","RATEIO OK"))))</f>
        <v>RATEIO OK</v>
      </c>
      <c r="R915" s="49" t="s">
        <v>2553</v>
      </c>
      <c r="S915" s="14"/>
    </row>
    <row r="916" spans="1:19" ht="24.95" customHeight="1" x14ac:dyDescent="0.25">
      <c r="A916" s="49" t="s">
        <v>2707</v>
      </c>
      <c r="B916" s="98">
        <v>915</v>
      </c>
      <c r="C916" s="50">
        <v>46279</v>
      </c>
      <c r="D916" s="49">
        <f t="shared" si="28"/>
        <v>9</v>
      </c>
      <c r="E916" s="92" t="s">
        <v>72</v>
      </c>
      <c r="F916" s="49" t="s">
        <v>36</v>
      </c>
      <c r="G916" s="14" t="s">
        <v>3040</v>
      </c>
      <c r="H916" s="14" t="s">
        <v>1126</v>
      </c>
      <c r="I916" s="76" t="s">
        <v>2685</v>
      </c>
      <c r="J916" s="73">
        <v>0</v>
      </c>
      <c r="K916" s="74">
        <v>10000</v>
      </c>
      <c r="L916" s="72">
        <v>0</v>
      </c>
      <c r="M916" s="72">
        <v>0</v>
      </c>
      <c r="N916" s="72">
        <f>IF(AND(C916="",J916=0,K916=0,L916=0,M916=0),"",CADASTROS!$B$4+SUM($J$2:J916)+SUM($M$2:M916)-SUM($K$2:K916)-SUM($L$2:L916))</f>
        <v>167747.64999999665</v>
      </c>
      <c r="O916" s="72">
        <f>IF(A916="","",SUMIF(RATEIOS!$A$2:$A$3142,$A916,RATEIOS!$F$2:$F$3142))</f>
        <v>10000</v>
      </c>
      <c r="P916" s="15">
        <f t="shared" si="29"/>
        <v>0</v>
      </c>
      <c r="Q916" s="49" t="str">
        <f>IF(AND(J916=0,K916=0,L916=0,M916=0),"",IF(O916=0,"PENDENTE DE RATEIO",IF(ABS(P916)&gt;0.005,"DIVERGÊNCIA",IF(COUNTIF(RATEIOS!$A$2:$A$3142,$A916)-COUNTIFS(RATEIOS!$A$2:$A$3142,$A916,RATEIOS!$D$2:$D$3142,"&lt;&gt;")&gt;0,"NÃO CLASSIFICADO","RATEIO OK"))))</f>
        <v>RATEIO OK</v>
      </c>
      <c r="R916" s="49" t="s">
        <v>2553</v>
      </c>
      <c r="S916" s="14"/>
    </row>
    <row r="917" spans="1:19" ht="24.95" customHeight="1" x14ac:dyDescent="0.25">
      <c r="A917" s="49" t="s">
        <v>2708</v>
      </c>
      <c r="B917" s="98">
        <v>916</v>
      </c>
      <c r="C917" s="50">
        <v>46279</v>
      </c>
      <c r="D917" s="49">
        <f t="shared" si="28"/>
        <v>9</v>
      </c>
      <c r="E917" s="92" t="s">
        <v>72</v>
      </c>
      <c r="F917" s="49" t="s">
        <v>36</v>
      </c>
      <c r="G917" s="14" t="s">
        <v>2709</v>
      </c>
      <c r="H917" s="14" t="s">
        <v>156</v>
      </c>
      <c r="I917" s="76" t="s">
        <v>2686</v>
      </c>
      <c r="J917" s="73">
        <v>0</v>
      </c>
      <c r="K917" s="74">
        <v>10606.33</v>
      </c>
      <c r="L917" s="72">
        <v>0</v>
      </c>
      <c r="M917" s="72">
        <v>0</v>
      </c>
      <c r="N917" s="72">
        <f>IF(AND(C917="",J917=0,K917=0,L917=0,M917=0),"",CADASTROS!$B$4+SUM($J$2:J917)+SUM($M$2:M917)-SUM($K$2:K917)-SUM($L$2:L917))</f>
        <v>157141.31999999657</v>
      </c>
      <c r="O917" s="72">
        <f>IF(A917="","",SUMIF(RATEIOS!$A$2:$A$3142,$A917,RATEIOS!$F$2:$F$3142))</f>
        <v>10606.33</v>
      </c>
      <c r="P917" s="15">
        <f t="shared" si="29"/>
        <v>0</v>
      </c>
      <c r="Q917" s="49" t="str">
        <f>IF(AND(J917=0,K917=0,L917=0,M917=0),"",IF(O917=0,"PENDENTE DE RATEIO",IF(ABS(P917)&gt;0.005,"DIVERGÊNCIA",IF(COUNTIF(RATEIOS!$A$2:$A$3142,$A917)-COUNTIFS(RATEIOS!$A$2:$A$3142,$A917,RATEIOS!$D$2:$D$3142,"&lt;&gt;")&gt;0,"NÃO CLASSIFICADO","RATEIO OK"))))</f>
        <v>NÃO CLASSIFICADO</v>
      </c>
      <c r="R917" s="49" t="s">
        <v>2553</v>
      </c>
      <c r="S917" s="14"/>
    </row>
    <row r="918" spans="1:19" ht="24.95" customHeight="1" x14ac:dyDescent="0.25">
      <c r="A918" s="49" t="s">
        <v>2710</v>
      </c>
      <c r="B918" s="98">
        <v>917</v>
      </c>
      <c r="C918" s="50">
        <v>46279</v>
      </c>
      <c r="D918" s="49">
        <f t="shared" si="28"/>
        <v>9</v>
      </c>
      <c r="E918" s="92" t="s">
        <v>118</v>
      </c>
      <c r="F918" s="49" t="s">
        <v>36</v>
      </c>
      <c r="G918" s="14" t="s">
        <v>2711</v>
      </c>
      <c r="H918" s="14" t="s">
        <v>326</v>
      </c>
      <c r="I918" s="76" t="s">
        <v>2687</v>
      </c>
      <c r="J918" s="73">
        <v>0</v>
      </c>
      <c r="K918" s="74">
        <v>2270.17</v>
      </c>
      <c r="L918" s="72">
        <v>0</v>
      </c>
      <c r="M918" s="72">
        <v>0</v>
      </c>
      <c r="N918" s="72">
        <f>IF(AND(C918="",J918=0,K918=0,L918=0,M918=0),"",CADASTROS!$B$4+SUM($J$2:J918)+SUM($M$2:M918)-SUM($K$2:K918)-SUM($L$2:L918))</f>
        <v>154871.14999999665</v>
      </c>
      <c r="O918" s="72">
        <f>IF(A918="","",SUMIF(RATEIOS!$A$2:$A$3142,$A918,RATEIOS!$F$2:$F$3142))</f>
        <v>2270.17</v>
      </c>
      <c r="P918" s="15">
        <f t="shared" si="29"/>
        <v>0</v>
      </c>
      <c r="Q918" s="49" t="str">
        <f>IF(AND(J918=0,K918=0,L918=0,M918=0),"",IF(O918=0,"PENDENTE DE RATEIO",IF(ABS(P918)&gt;0.005,"DIVERGÊNCIA",IF(COUNTIF(RATEIOS!$A$2:$A$3142,$A918)-COUNTIFS(RATEIOS!$A$2:$A$3142,$A918,RATEIOS!$D$2:$D$3142,"&lt;&gt;")&gt;0,"NÃO CLASSIFICADO","RATEIO OK"))))</f>
        <v>RATEIO OK</v>
      </c>
      <c r="R918" s="49" t="s">
        <v>2553</v>
      </c>
      <c r="S918" s="14"/>
    </row>
    <row r="919" spans="1:19" ht="24.95" customHeight="1" x14ac:dyDescent="0.25">
      <c r="A919" s="49" t="s">
        <v>2712</v>
      </c>
      <c r="B919" s="98">
        <v>918</v>
      </c>
      <c r="C919" s="50">
        <v>46279</v>
      </c>
      <c r="D919" s="49">
        <f t="shared" si="28"/>
        <v>9</v>
      </c>
      <c r="E919" s="92" t="s">
        <v>118</v>
      </c>
      <c r="F919" s="49" t="s">
        <v>36</v>
      </c>
      <c r="G919" s="14" t="s">
        <v>2713</v>
      </c>
      <c r="H919" s="14" t="s">
        <v>252</v>
      </c>
      <c r="I919" s="76" t="s">
        <v>2688</v>
      </c>
      <c r="J919" s="73">
        <v>0</v>
      </c>
      <c r="K919" s="74">
        <v>22683.7</v>
      </c>
      <c r="L919" s="72">
        <v>0</v>
      </c>
      <c r="M919" s="72">
        <v>0</v>
      </c>
      <c r="N919" s="72">
        <f>IF(AND(C919="",J919=0,K919=0,L919=0,M919=0),"",CADASTROS!$B$4+SUM($J$2:J919)+SUM($M$2:M919)-SUM($K$2:K919)-SUM($L$2:L919))</f>
        <v>132187.44999999646</v>
      </c>
      <c r="O919" s="72">
        <f>IF(A919="","",SUMIF(RATEIOS!$A$2:$A$3142,$A919,RATEIOS!$F$2:$F$3142))</f>
        <v>22683.7</v>
      </c>
      <c r="P919" s="15">
        <f t="shared" si="29"/>
        <v>0</v>
      </c>
      <c r="Q919" s="49" t="str">
        <f>IF(AND(J919=0,K919=0,L919=0,M919=0),"",IF(O919=0,"PENDENTE DE RATEIO",IF(ABS(P919)&gt;0.005,"DIVERGÊNCIA",IF(COUNTIF(RATEIOS!$A$2:$A$3142,$A919)-COUNTIFS(RATEIOS!$A$2:$A$3142,$A919,RATEIOS!$D$2:$D$3142,"&lt;&gt;")&gt;0,"NÃO CLASSIFICADO","RATEIO OK"))))</f>
        <v>NÃO CLASSIFICADO</v>
      </c>
      <c r="R919" s="49" t="s">
        <v>2553</v>
      </c>
      <c r="S919" s="14" t="s">
        <v>2726</v>
      </c>
    </row>
    <row r="920" spans="1:19" ht="24.95" customHeight="1" x14ac:dyDescent="0.25">
      <c r="A920" s="49" t="s">
        <v>2714</v>
      </c>
      <c r="B920" s="98">
        <v>919</v>
      </c>
      <c r="C920" s="50">
        <v>46279</v>
      </c>
      <c r="D920" s="49">
        <f t="shared" si="28"/>
        <v>9</v>
      </c>
      <c r="E920" s="92" t="s">
        <v>118</v>
      </c>
      <c r="F920" s="49" t="s">
        <v>36</v>
      </c>
      <c r="G920" s="14" t="s">
        <v>2724</v>
      </c>
      <c r="H920" s="14" t="s">
        <v>137</v>
      </c>
      <c r="I920" s="76" t="s">
        <v>2689</v>
      </c>
      <c r="J920" s="73">
        <v>0</v>
      </c>
      <c r="K920" s="74">
        <v>500</v>
      </c>
      <c r="L920" s="72">
        <v>0</v>
      </c>
      <c r="M920" s="72">
        <v>0</v>
      </c>
      <c r="N920" s="72">
        <f>IF(AND(C920="",J920=0,K920=0,L920=0,M920=0),"",CADASTROS!$B$4+SUM($J$2:J920)+SUM($M$2:M920)-SUM($K$2:K920)-SUM($L$2:L920))</f>
        <v>131687.44999999646</v>
      </c>
      <c r="O920" s="72">
        <f>IF(A920="","",SUMIF(RATEIOS!$A$2:$A$3142,$A920,RATEIOS!$F$2:$F$3142))</f>
        <v>500</v>
      </c>
      <c r="P920" s="15">
        <f t="shared" si="29"/>
        <v>0</v>
      </c>
      <c r="Q920" s="49" t="str">
        <f>IF(AND(J920=0,K920=0,L920=0,M920=0),"",IF(O920=0,"PENDENTE DE RATEIO",IF(ABS(P920)&gt;0.005,"DIVERGÊNCIA",IF(COUNTIF(RATEIOS!$A$2:$A$3142,$A920)-COUNTIFS(RATEIOS!$A$2:$A$3142,$A920,RATEIOS!$D$2:$D$3142,"&lt;&gt;")&gt;0,"NÃO CLASSIFICADO","RATEIO OK"))))</f>
        <v>RATEIO OK</v>
      </c>
      <c r="R920" s="49" t="s">
        <v>2553</v>
      </c>
      <c r="S920" s="14" t="s">
        <v>2727</v>
      </c>
    </row>
    <row r="921" spans="1:19" ht="24.95" customHeight="1" x14ac:dyDescent="0.25">
      <c r="A921" s="49" t="s">
        <v>2715</v>
      </c>
      <c r="B921" s="98">
        <v>920</v>
      </c>
      <c r="C921" s="50">
        <v>46279</v>
      </c>
      <c r="D921" s="49">
        <f t="shared" si="28"/>
        <v>9</v>
      </c>
      <c r="E921" s="92" t="s">
        <v>118</v>
      </c>
      <c r="F921" s="49" t="s">
        <v>36</v>
      </c>
      <c r="G921" s="14" t="s">
        <v>2716</v>
      </c>
      <c r="H921" s="14" t="s">
        <v>252</v>
      </c>
      <c r="I921" s="76" t="s">
        <v>1200</v>
      </c>
      <c r="J921" s="73">
        <v>0</v>
      </c>
      <c r="K921" s="74">
        <v>18974</v>
      </c>
      <c r="L921" s="72">
        <v>0</v>
      </c>
      <c r="M921" s="72">
        <v>0</v>
      </c>
      <c r="N921" s="72">
        <f>IF(AND(C921="",J921=0,K921=0,L921=0,M921=0),"",CADASTROS!$B$4+SUM($J$2:J921)+SUM($M$2:M921)-SUM($K$2:K921)-SUM($L$2:L921))</f>
        <v>112713.44999999646</v>
      </c>
      <c r="O921" s="72">
        <f>IF(A921="","",SUMIF(RATEIOS!$A$2:$A$3142,$A921,RATEIOS!$F$2:$F$3142))</f>
        <v>18974</v>
      </c>
      <c r="P921" s="15">
        <f t="shared" si="29"/>
        <v>0</v>
      </c>
      <c r="Q921" s="49" t="str">
        <f>IF(AND(J921=0,K921=0,L921=0,M921=0),"",IF(O921=0,"PENDENTE DE RATEIO",IF(ABS(P921)&gt;0.005,"DIVERGÊNCIA",IF(COUNTIF(RATEIOS!$A$2:$A$3142,$A921)-COUNTIFS(RATEIOS!$A$2:$A$3142,$A921,RATEIOS!$D$2:$D$3142,"&lt;&gt;")&gt;0,"NÃO CLASSIFICADO","RATEIO OK"))))</f>
        <v>RATEIO OK</v>
      </c>
      <c r="R921" s="49" t="s">
        <v>2553</v>
      </c>
      <c r="S921" s="14" t="s">
        <v>2726</v>
      </c>
    </row>
    <row r="922" spans="1:19" ht="24.95" customHeight="1" x14ac:dyDescent="0.25">
      <c r="A922" s="49" t="s">
        <v>2717</v>
      </c>
      <c r="B922" s="98">
        <v>921</v>
      </c>
      <c r="C922" s="50">
        <v>46280</v>
      </c>
      <c r="D922" s="49">
        <f t="shared" si="28"/>
        <v>9</v>
      </c>
      <c r="E922" s="92" t="s">
        <v>118</v>
      </c>
      <c r="F922" s="49" t="s">
        <v>36</v>
      </c>
      <c r="G922" s="14" t="s">
        <v>2718</v>
      </c>
      <c r="H922" s="14" t="s">
        <v>143</v>
      </c>
      <c r="I922" s="76" t="s">
        <v>1206</v>
      </c>
      <c r="J922" s="73">
        <v>0</v>
      </c>
      <c r="K922" s="74">
        <v>2411.25</v>
      </c>
      <c r="L922" s="72">
        <v>0</v>
      </c>
      <c r="M922" s="72">
        <v>0</v>
      </c>
      <c r="N922" s="72">
        <f>IF(AND(C922="",J922=0,K922=0,L922=0,M922=0),"",CADASTROS!$B$4+SUM($J$2:J922)+SUM($M$2:M922)-SUM($K$2:K922)-SUM($L$2:L922))</f>
        <v>110302.19999999646</v>
      </c>
      <c r="O922" s="72">
        <f>IF(A922="","",SUMIF(RATEIOS!$A$2:$A$3142,$A922,RATEIOS!$F$2:$F$3142))</f>
        <v>2411.25</v>
      </c>
      <c r="P922" s="15">
        <f t="shared" si="29"/>
        <v>0</v>
      </c>
      <c r="Q922" s="49" t="str">
        <f>IF(AND(J922=0,K922=0,L922=0,M922=0),"",IF(O922=0,"PENDENTE DE RATEIO",IF(ABS(P922)&gt;0.005,"DIVERGÊNCIA",IF(COUNTIF(RATEIOS!$A$2:$A$3142,$A922)-COUNTIFS(RATEIOS!$A$2:$A$3142,$A922,RATEIOS!$D$2:$D$3142,"&lt;&gt;")&gt;0,"NÃO CLASSIFICADO","RATEIO OK"))))</f>
        <v>RATEIO OK</v>
      </c>
      <c r="R922" s="49" t="s">
        <v>2553</v>
      </c>
      <c r="S922" s="14"/>
    </row>
    <row r="923" spans="1:19" ht="24.95" customHeight="1" x14ac:dyDescent="0.25">
      <c r="A923" s="49" t="s">
        <v>2719</v>
      </c>
      <c r="B923" s="98">
        <v>922</v>
      </c>
      <c r="C923" s="50">
        <v>46280</v>
      </c>
      <c r="D923" s="49">
        <f t="shared" si="28"/>
        <v>9</v>
      </c>
      <c r="E923" s="92" t="s">
        <v>118</v>
      </c>
      <c r="F923" s="49" t="s">
        <v>36</v>
      </c>
      <c r="G923" s="14" t="s">
        <v>305</v>
      </c>
      <c r="H923" s="14" t="s">
        <v>3207</v>
      </c>
      <c r="I923" s="76" t="s">
        <v>2690</v>
      </c>
      <c r="J923" s="73">
        <v>0</v>
      </c>
      <c r="K923" s="74">
        <v>97.62</v>
      </c>
      <c r="L923" s="72">
        <v>0</v>
      </c>
      <c r="M923" s="72">
        <v>0</v>
      </c>
      <c r="N923" s="72">
        <f>IF(AND(C923="",J923=0,K923=0,L923=0,M923=0),"",CADASTROS!$B$4+SUM($J$2:J923)+SUM($M$2:M923)-SUM($K$2:K923)-SUM($L$2:L923))</f>
        <v>110204.57999999635</v>
      </c>
      <c r="O923" s="72">
        <f>IF(A923="","",SUMIF(RATEIOS!$A$2:$A$3142,$A923,RATEIOS!$F$2:$F$3142))</f>
        <v>97.62</v>
      </c>
      <c r="P923" s="15">
        <f t="shared" si="29"/>
        <v>0</v>
      </c>
      <c r="Q923" s="49" t="str">
        <f>IF(AND(J923=0,K923=0,L923=0,M923=0),"",IF(O923=0,"PENDENTE DE RATEIO",IF(ABS(P923)&gt;0.005,"DIVERGÊNCIA",IF(COUNTIF(RATEIOS!$A$2:$A$3142,$A923)-COUNTIFS(RATEIOS!$A$2:$A$3142,$A923,RATEIOS!$D$2:$D$3142,"&lt;&gt;")&gt;0,"NÃO CLASSIFICADO","RATEIO OK"))))</f>
        <v>RATEIO OK</v>
      </c>
      <c r="R923" s="49" t="s">
        <v>2553</v>
      </c>
      <c r="S923" s="14"/>
    </row>
    <row r="924" spans="1:19" ht="24.95" customHeight="1" x14ac:dyDescent="0.25">
      <c r="A924" s="49" t="s">
        <v>2720</v>
      </c>
      <c r="B924" s="98">
        <v>923</v>
      </c>
      <c r="C924" s="50">
        <v>46280</v>
      </c>
      <c r="D924" s="49">
        <f t="shared" si="28"/>
        <v>9</v>
      </c>
      <c r="E924" s="92" t="s">
        <v>118</v>
      </c>
      <c r="F924" s="49" t="s">
        <v>36</v>
      </c>
      <c r="G924" s="14" t="s">
        <v>305</v>
      </c>
      <c r="H924" s="14" t="s">
        <v>3207</v>
      </c>
      <c r="I924" s="76" t="s">
        <v>2691</v>
      </c>
      <c r="J924" s="73">
        <v>0</v>
      </c>
      <c r="K924" s="74">
        <v>216.19</v>
      </c>
      <c r="L924" s="72">
        <v>0</v>
      </c>
      <c r="M924" s="72">
        <v>0</v>
      </c>
      <c r="N924" s="72">
        <f>IF(AND(C924="",J924=0,K924=0,L924=0,M924=0),"",CADASTROS!$B$4+SUM($J$2:J924)+SUM($M$2:M924)-SUM($K$2:K924)-SUM($L$2:L924))</f>
        <v>109988.38999999594</v>
      </c>
      <c r="O924" s="72">
        <f>IF(A924="","",SUMIF(RATEIOS!$A$2:$A$3142,$A924,RATEIOS!$F$2:$F$3142))</f>
        <v>216.19</v>
      </c>
      <c r="P924" s="15">
        <f t="shared" si="29"/>
        <v>0</v>
      </c>
      <c r="Q924" s="49" t="str">
        <f>IF(AND(J924=0,K924=0,L924=0,M924=0),"",IF(O924=0,"PENDENTE DE RATEIO",IF(ABS(P924)&gt;0.005,"DIVERGÊNCIA",IF(COUNTIF(RATEIOS!$A$2:$A$3142,$A924)-COUNTIFS(RATEIOS!$A$2:$A$3142,$A924,RATEIOS!$D$2:$D$3142,"&lt;&gt;")&gt;0,"NÃO CLASSIFICADO","RATEIO OK"))))</f>
        <v>RATEIO OK</v>
      </c>
      <c r="R924" s="49" t="s">
        <v>2553</v>
      </c>
      <c r="S924" s="14"/>
    </row>
    <row r="925" spans="1:19" ht="24.95" customHeight="1" x14ac:dyDescent="0.25">
      <c r="A925" s="49" t="s">
        <v>2721</v>
      </c>
      <c r="B925" s="98">
        <v>924</v>
      </c>
      <c r="C925" s="50">
        <v>46280</v>
      </c>
      <c r="D925" s="49">
        <f t="shared" si="28"/>
        <v>9</v>
      </c>
      <c r="E925" s="92" t="s">
        <v>118</v>
      </c>
      <c r="F925" s="49" t="s">
        <v>36</v>
      </c>
      <c r="G925" s="14" t="s">
        <v>2722</v>
      </c>
      <c r="H925" s="14" t="s">
        <v>2692</v>
      </c>
      <c r="I925" s="76" t="s">
        <v>2693</v>
      </c>
      <c r="J925" s="73">
        <v>0</v>
      </c>
      <c r="K925" s="74">
        <v>1295</v>
      </c>
      <c r="L925" s="72">
        <v>0</v>
      </c>
      <c r="M925" s="72">
        <v>0</v>
      </c>
      <c r="N925" s="72">
        <f>IF(AND(C925="",J925=0,K925=0,L925=0,M925=0),"",CADASTROS!$B$4+SUM($J$2:J925)+SUM($M$2:M925)-SUM($K$2:K925)-SUM($L$2:L925))</f>
        <v>108693.38999999594</v>
      </c>
      <c r="O925" s="72">
        <f>IF(A925="","",SUMIF(RATEIOS!$A$2:$A$3142,$A925,RATEIOS!$F$2:$F$3142))</f>
        <v>1295</v>
      </c>
      <c r="P925" s="15">
        <f t="shared" si="29"/>
        <v>0</v>
      </c>
      <c r="Q925" s="49" t="str">
        <f>IF(AND(J925=0,K925=0,L925=0,M925=0),"",IF(O925=0,"PENDENTE DE RATEIO",IF(ABS(P925)&gt;0.005,"DIVERGÊNCIA",IF(COUNTIF(RATEIOS!$A$2:$A$3142,$A925)-COUNTIFS(RATEIOS!$A$2:$A$3142,$A925,RATEIOS!$D$2:$D$3142,"&lt;&gt;")&gt;0,"NÃO CLASSIFICADO","RATEIO OK"))))</f>
        <v>RATEIO OK</v>
      </c>
      <c r="R925" s="49" t="s">
        <v>2553</v>
      </c>
      <c r="S925" s="14" t="s">
        <v>2728</v>
      </c>
    </row>
    <row r="926" spans="1:19" ht="24.95" customHeight="1" x14ac:dyDescent="0.25">
      <c r="A926" s="49" t="s">
        <v>2857</v>
      </c>
      <c r="B926" s="98">
        <v>925</v>
      </c>
      <c r="C926" s="50">
        <v>46282</v>
      </c>
      <c r="D926" s="49">
        <f t="shared" si="28"/>
        <v>9</v>
      </c>
      <c r="E926" s="92" t="s">
        <v>72</v>
      </c>
      <c r="F926" s="49" t="s">
        <v>36</v>
      </c>
      <c r="G926" s="14" t="s">
        <v>2734</v>
      </c>
      <c r="H926" s="14" t="s">
        <v>953</v>
      </c>
      <c r="I926" s="76">
        <v>64</v>
      </c>
      <c r="J926" s="73">
        <v>0</v>
      </c>
      <c r="K926" s="74">
        <v>2840</v>
      </c>
      <c r="L926" s="72">
        <v>0</v>
      </c>
      <c r="M926" s="72">
        <v>0</v>
      </c>
      <c r="N926" s="72">
        <f>IF(AND(C926="",J926=0,K926=0,L926=0,M926=0),"",CADASTROS!$B$4+SUM($J$2:J926)+SUM($M$2:M926)-SUM($K$2:K926)-SUM($L$2:L926))</f>
        <v>105853.38999999594</v>
      </c>
      <c r="O926" s="72">
        <f>IF(A926="","",SUMIF(RATEIOS!$A$2:$A$3142,$A926,RATEIOS!$F$2:$F$3142))</f>
        <v>2840</v>
      </c>
      <c r="P926" s="15">
        <f t="shared" si="29"/>
        <v>0</v>
      </c>
      <c r="Q926" s="49" t="str">
        <f>IF(AND(J926=0,K926=0,L926=0,M926=0),"",IF(O926=0,"PENDENTE DE RATEIO",IF(ABS(P926)&gt;0.005,"DIVERGÊNCIA",IF(COUNTIF(RATEIOS!$A$2:$A$3142,$A926)-COUNTIFS(RATEIOS!$A$2:$A$3142,$A926,RATEIOS!$D$2:$D$3142,"&lt;&gt;")&gt;0,"NÃO CLASSIFICADO","RATEIO OK"))))</f>
        <v>NÃO CLASSIFICADO</v>
      </c>
      <c r="R926" s="49" t="s">
        <v>2553</v>
      </c>
      <c r="S926" s="14"/>
    </row>
    <row r="927" spans="1:19" ht="24.95" customHeight="1" x14ac:dyDescent="0.25">
      <c r="A927" s="49" t="s">
        <v>2858</v>
      </c>
      <c r="B927" s="98">
        <v>926</v>
      </c>
      <c r="C927" s="50">
        <v>46283</v>
      </c>
      <c r="D927" s="49">
        <f t="shared" si="28"/>
        <v>9</v>
      </c>
      <c r="E927" s="92" t="s">
        <v>287</v>
      </c>
      <c r="F927" s="49" t="s">
        <v>35</v>
      </c>
      <c r="G927" s="14" t="s">
        <v>2735</v>
      </c>
      <c r="H927" s="14" t="s">
        <v>2737</v>
      </c>
      <c r="I927" s="76" t="s">
        <v>412</v>
      </c>
      <c r="J927" s="73">
        <v>38477.160000000003</v>
      </c>
      <c r="K927" s="74">
        <v>0</v>
      </c>
      <c r="L927" s="72">
        <v>0</v>
      </c>
      <c r="M927" s="72">
        <v>0</v>
      </c>
      <c r="N927" s="72">
        <f>IF(AND(C927="",J927=0,K927=0,L927=0,M927=0),"",CADASTROS!$B$4+SUM($J$2:J927)+SUM($M$2:M927)-SUM($K$2:K927)-SUM($L$2:L927))</f>
        <v>144330.54999999609</v>
      </c>
      <c r="O927" s="72">
        <f>IF(A927="","",SUMIF(RATEIOS!$A$2:$A$3142,$A927,RATEIOS!$F$2:$F$3142))</f>
        <v>38477.160000000003</v>
      </c>
      <c r="P927" s="15">
        <f t="shared" si="29"/>
        <v>0</v>
      </c>
      <c r="Q927" s="49" t="str">
        <f>IF(AND(J927=0,K927=0,L927=0,M927=0),"",IF(O927=0,"PENDENTE DE RATEIO",IF(ABS(P927)&gt;0.005,"DIVERGÊNCIA",IF(COUNTIF(RATEIOS!$A$2:$A$3142,$A927)-COUNTIFS(RATEIOS!$A$2:$A$3142,$A927,RATEIOS!$D$2:$D$3142,"&lt;&gt;")&gt;0,"NÃO CLASSIFICADO","RATEIO OK"))))</f>
        <v>NÃO CLASSIFICADO</v>
      </c>
      <c r="R927" s="49" t="s">
        <v>2553</v>
      </c>
      <c r="S927" s="14"/>
    </row>
    <row r="928" spans="1:19" ht="24.95" customHeight="1" x14ac:dyDescent="0.25">
      <c r="A928" s="49" t="s">
        <v>2859</v>
      </c>
      <c r="B928" s="98">
        <v>927</v>
      </c>
      <c r="C928" s="50">
        <v>46283</v>
      </c>
      <c r="D928" s="49">
        <f t="shared" si="28"/>
        <v>9</v>
      </c>
      <c r="E928" s="92" t="s">
        <v>287</v>
      </c>
      <c r="F928" s="49" t="s">
        <v>36</v>
      </c>
      <c r="G928" s="14" t="s">
        <v>2738</v>
      </c>
      <c r="H928" s="14" t="s">
        <v>612</v>
      </c>
      <c r="I928" s="76" t="s">
        <v>412</v>
      </c>
      <c r="J928" s="73">
        <v>0</v>
      </c>
      <c r="K928" s="74">
        <v>3085.42</v>
      </c>
      <c r="L928" s="72">
        <v>0</v>
      </c>
      <c r="M928" s="72">
        <v>0</v>
      </c>
      <c r="N928" s="72">
        <f>IF(AND(C928="",J928=0,K928=0,L928=0,M928=0),"",CADASTROS!$B$4+SUM($J$2:J928)+SUM($M$2:M928)-SUM($K$2:K928)-SUM($L$2:L928))</f>
        <v>141245.12999999616</v>
      </c>
      <c r="O928" s="72">
        <f>IF(A928="","",SUMIF(RATEIOS!$A$2:$A$3142,$A928,RATEIOS!$F$2:$F$3142))</f>
        <v>3085.42</v>
      </c>
      <c r="P928" s="15">
        <f t="shared" si="29"/>
        <v>0</v>
      </c>
      <c r="Q928" s="49" t="str">
        <f>IF(AND(J928=0,K928=0,L928=0,M928=0),"",IF(O928=0,"PENDENTE DE RATEIO",IF(ABS(P928)&gt;0.005,"DIVERGÊNCIA",IF(COUNTIF(RATEIOS!$A$2:$A$3142,$A928)-COUNTIFS(RATEIOS!$A$2:$A$3142,$A928,RATEIOS!$D$2:$D$3142,"&lt;&gt;")&gt;0,"NÃO CLASSIFICADO","RATEIO OK"))))</f>
        <v>NÃO CLASSIFICADO</v>
      </c>
      <c r="R928" s="49" t="s">
        <v>2553</v>
      </c>
      <c r="S928" s="14"/>
    </row>
    <row r="929" spans="1:19" ht="24.95" customHeight="1" x14ac:dyDescent="0.25">
      <c r="A929" s="49" t="s">
        <v>2860</v>
      </c>
      <c r="B929" s="98">
        <v>928</v>
      </c>
      <c r="C929" s="50">
        <v>46283</v>
      </c>
      <c r="D929" s="49">
        <f t="shared" si="28"/>
        <v>9</v>
      </c>
      <c r="E929" s="92" t="s">
        <v>123</v>
      </c>
      <c r="F929" s="49" t="s">
        <v>36</v>
      </c>
      <c r="G929" s="14" t="s">
        <v>1190</v>
      </c>
      <c r="H929" s="14" t="s">
        <v>3183</v>
      </c>
      <c r="I929" s="76" t="s">
        <v>412</v>
      </c>
      <c r="J929" s="73">
        <v>0</v>
      </c>
      <c r="K929" s="74">
        <v>38477.160000000003</v>
      </c>
      <c r="L929" s="72">
        <v>0</v>
      </c>
      <c r="M929" s="72">
        <v>0</v>
      </c>
      <c r="N929" s="72">
        <f>IF(AND(C929="",J929=0,K929=0,L929=0,M929=0),"",CADASTROS!$B$4+SUM($J$2:J929)+SUM($M$2:M929)-SUM($K$2:K929)-SUM($L$2:L929))</f>
        <v>102767.96999999601</v>
      </c>
      <c r="O929" s="72">
        <f>IF(A929="","",SUMIF(RATEIOS!$A$2:$A$3142,$A929,RATEIOS!$F$2:$F$3142))</f>
        <v>38477.160000000003</v>
      </c>
      <c r="P929" s="15">
        <f t="shared" si="29"/>
        <v>0</v>
      </c>
      <c r="Q929" s="49" t="str">
        <f>IF(AND(J929=0,K929=0,L929=0,M929=0),"",IF(O929=0,"PENDENTE DE RATEIO",IF(ABS(P929)&gt;0.005,"DIVERGÊNCIA",IF(COUNTIF(RATEIOS!$A$2:$A$3142,$A929)-COUNTIFS(RATEIOS!$A$2:$A$3142,$A929,RATEIOS!$D$2:$D$3142,"&lt;&gt;")&gt;0,"NÃO CLASSIFICADO","RATEIO OK"))))</f>
        <v>NÃO CLASSIFICADO</v>
      </c>
      <c r="R929" s="49" t="s">
        <v>2553</v>
      </c>
      <c r="S929" s="14"/>
    </row>
    <row r="930" spans="1:19" ht="24.95" customHeight="1" x14ac:dyDescent="0.25">
      <c r="A930" s="49" t="s">
        <v>2861</v>
      </c>
      <c r="B930" s="98">
        <v>929</v>
      </c>
      <c r="C930" s="50">
        <v>46283</v>
      </c>
      <c r="D930" s="49">
        <f t="shared" si="28"/>
        <v>9</v>
      </c>
      <c r="E930" s="93" t="s">
        <v>72</v>
      </c>
      <c r="F930" s="75" t="s">
        <v>36</v>
      </c>
      <c r="G930" s="90" t="s">
        <v>2739</v>
      </c>
      <c r="H930" s="22" t="s">
        <v>164</v>
      </c>
      <c r="I930" s="76" t="s">
        <v>412</v>
      </c>
      <c r="J930" s="73">
        <v>0</v>
      </c>
      <c r="K930" s="74">
        <v>8700.0400000000009</v>
      </c>
      <c r="L930" s="72">
        <v>0</v>
      </c>
      <c r="M930" s="72">
        <v>0</v>
      </c>
      <c r="N930" s="72">
        <f>IF(AND(C930="",J930=0,K930=0,L930=0,M930=0),"",CADASTROS!$B$4+SUM($J$2:J930)+SUM($M$2:M930)-SUM($K$2:K930)-SUM($L$2:L930))</f>
        <v>94067.929999995977</v>
      </c>
      <c r="O930" s="72">
        <f>IF(A930="","",SUMIF(RATEIOS!$A$2:$A$3142,$A930,RATEIOS!$F$2:$F$3142))</f>
        <v>8700.0400000000009</v>
      </c>
      <c r="P930" s="15">
        <f t="shared" si="29"/>
        <v>0</v>
      </c>
      <c r="Q930" s="49" t="str">
        <f>IF(AND(J930=0,K930=0,L930=0,M930=0),"",IF(O930=0,"PENDENTE DE RATEIO",IF(ABS(P930)&gt;0.005,"DIVERGÊNCIA",IF(COUNTIF(RATEIOS!$A$2:$A$3142,$A930)-COUNTIFS(RATEIOS!$A$2:$A$3142,$A930,RATEIOS!$D$2:$D$3142,"&lt;&gt;")&gt;0,"NÃO CLASSIFICADO","RATEIO OK"))))</f>
        <v>NÃO CLASSIFICADO</v>
      </c>
      <c r="R930" s="49" t="s">
        <v>2553</v>
      </c>
      <c r="S930" s="14"/>
    </row>
    <row r="931" spans="1:19" ht="24.95" customHeight="1" x14ac:dyDescent="0.25">
      <c r="A931" s="49" t="s">
        <v>2862</v>
      </c>
      <c r="B931" s="98">
        <v>930</v>
      </c>
      <c r="C931" s="50">
        <v>46283</v>
      </c>
      <c r="D931" s="49">
        <f t="shared" si="28"/>
        <v>9</v>
      </c>
      <c r="E931" s="92" t="s">
        <v>169</v>
      </c>
      <c r="F931" s="49" t="s">
        <v>36</v>
      </c>
      <c r="G931" s="90" t="s">
        <v>2740</v>
      </c>
      <c r="H931" s="14" t="s">
        <v>167</v>
      </c>
      <c r="I931" s="76" t="s">
        <v>412</v>
      </c>
      <c r="J931" s="73">
        <v>0</v>
      </c>
      <c r="K931" s="74">
        <v>25131.200000000001</v>
      </c>
      <c r="L931" s="72">
        <v>0</v>
      </c>
      <c r="M931" s="72">
        <v>0</v>
      </c>
      <c r="N931" s="72">
        <f>IF(AND(C931="",J931=0,K931=0,L931=0,M931=0),"",CADASTROS!$B$4+SUM($J$2:J931)+SUM($M$2:M931)-SUM($K$2:K931)-SUM($L$2:L931))</f>
        <v>68936.72999999579</v>
      </c>
      <c r="O931" s="72">
        <f>IF(A931="","",SUMIF(RATEIOS!$A$2:$A$3142,$A931,RATEIOS!$F$2:$F$3142))</f>
        <v>25131.200000000001</v>
      </c>
      <c r="P931" s="15">
        <f t="shared" si="29"/>
        <v>0</v>
      </c>
      <c r="Q931" s="49" t="str">
        <f>IF(AND(J931=0,K931=0,L931=0,M931=0),"",IF(O931=0,"PENDENTE DE RATEIO",IF(ABS(P931)&gt;0.005,"DIVERGÊNCIA",IF(COUNTIF(RATEIOS!$A$2:$A$3142,$A931)-COUNTIFS(RATEIOS!$A$2:$A$3142,$A931,RATEIOS!$D$2:$D$3142,"&lt;&gt;")&gt;0,"NÃO CLASSIFICADO","RATEIO OK"))))</f>
        <v>NÃO CLASSIFICADO</v>
      </c>
      <c r="R931" s="49" t="s">
        <v>2553</v>
      </c>
      <c r="S931" s="14"/>
    </row>
    <row r="932" spans="1:19" ht="24.95" customHeight="1" x14ac:dyDescent="0.25">
      <c r="A932" s="49" t="s">
        <v>2863</v>
      </c>
      <c r="B932" s="98">
        <v>931</v>
      </c>
      <c r="C932" s="50">
        <v>46283</v>
      </c>
      <c r="D932" s="49">
        <f t="shared" si="28"/>
        <v>9</v>
      </c>
      <c r="E932" s="92" t="s">
        <v>169</v>
      </c>
      <c r="F932" s="49" t="s">
        <v>36</v>
      </c>
      <c r="G932" s="90" t="s">
        <v>168</v>
      </c>
      <c r="H932" s="14" t="s">
        <v>2741</v>
      </c>
      <c r="I932" s="76" t="s">
        <v>412</v>
      </c>
      <c r="J932" s="73">
        <v>0</v>
      </c>
      <c r="K932" s="74">
        <v>57.77</v>
      </c>
      <c r="L932" s="72">
        <v>0</v>
      </c>
      <c r="M932" s="72">
        <v>0</v>
      </c>
      <c r="N932" s="72">
        <f>IF(AND(C932="",J932=0,K932=0,L932=0,M932=0),"",CADASTROS!$B$4+SUM($J$2:J932)+SUM($M$2:M932)-SUM($K$2:K932)-SUM($L$2:L932))</f>
        <v>68878.959999996237</v>
      </c>
      <c r="O932" s="72">
        <f>IF(A932="","",SUMIF(RATEIOS!$A$2:$A$3142,$A932,RATEIOS!$F$2:$F$3142))</f>
        <v>57.77</v>
      </c>
      <c r="P932" s="15">
        <f t="shared" si="29"/>
        <v>0</v>
      </c>
      <c r="Q932" s="49" t="str">
        <f>IF(AND(J932=0,K932=0,L932=0,M932=0),"",IF(O932=0,"PENDENTE DE RATEIO",IF(ABS(P932)&gt;0.005,"DIVERGÊNCIA",IF(COUNTIF(RATEIOS!$A$2:$A$3142,$A932)-COUNTIFS(RATEIOS!$A$2:$A$3142,$A932,RATEIOS!$D$2:$D$3142,"&lt;&gt;")&gt;0,"NÃO CLASSIFICADO","RATEIO OK"))))</f>
        <v>NÃO CLASSIFICADO</v>
      </c>
      <c r="R932" s="49" t="s">
        <v>2553</v>
      </c>
      <c r="S932" s="14"/>
    </row>
    <row r="933" spans="1:19" ht="24.95" customHeight="1" x14ac:dyDescent="0.25">
      <c r="A933" s="49" t="s">
        <v>2864</v>
      </c>
      <c r="B933" s="98">
        <v>932</v>
      </c>
      <c r="C933" s="50">
        <v>46283</v>
      </c>
      <c r="D933" s="49">
        <f t="shared" si="28"/>
        <v>9</v>
      </c>
      <c r="E933" s="92" t="s">
        <v>169</v>
      </c>
      <c r="F933" s="49" t="s">
        <v>36</v>
      </c>
      <c r="G933" s="90" t="s">
        <v>170</v>
      </c>
      <c r="H933" s="14" t="s">
        <v>2741</v>
      </c>
      <c r="I933" s="76" t="s">
        <v>412</v>
      </c>
      <c r="J933" s="73">
        <v>0</v>
      </c>
      <c r="K933" s="74">
        <v>18.64</v>
      </c>
      <c r="L933" s="72">
        <v>0</v>
      </c>
      <c r="M933" s="72">
        <v>0</v>
      </c>
      <c r="N933" s="72">
        <f>IF(AND(C933="",J933=0,K933=0,L933=0,M933=0),"",CADASTROS!$B$4+SUM($J$2:J933)+SUM($M$2:M933)-SUM($K$2:K933)-SUM($L$2:L933))</f>
        <v>68860.319999996573</v>
      </c>
      <c r="O933" s="72">
        <f>IF(A933="","",SUMIF(RATEIOS!$A$2:$A$3142,$A933,RATEIOS!$F$2:$F$3142))</f>
        <v>18.64</v>
      </c>
      <c r="P933" s="15">
        <f t="shared" si="29"/>
        <v>0</v>
      </c>
      <c r="Q933" s="49" t="str">
        <f>IF(AND(J933=0,K933=0,L933=0,M933=0),"",IF(O933=0,"PENDENTE DE RATEIO",IF(ABS(P933)&gt;0.005,"DIVERGÊNCIA",IF(COUNTIF(RATEIOS!$A$2:$A$3142,$A933)-COUNTIFS(RATEIOS!$A$2:$A$3142,$A933,RATEIOS!$D$2:$D$3142,"&lt;&gt;")&gt;0,"NÃO CLASSIFICADO","RATEIO OK"))))</f>
        <v>NÃO CLASSIFICADO</v>
      </c>
      <c r="R933" s="49" t="s">
        <v>2553</v>
      </c>
      <c r="S933" s="14"/>
    </row>
    <row r="934" spans="1:19" ht="24.95" customHeight="1" x14ac:dyDescent="0.25">
      <c r="A934" s="49" t="s">
        <v>2865</v>
      </c>
      <c r="B934" s="98">
        <v>933</v>
      </c>
      <c r="C934" s="50">
        <v>46283</v>
      </c>
      <c r="D934" s="49">
        <f t="shared" si="28"/>
        <v>9</v>
      </c>
      <c r="E934" s="92" t="s">
        <v>118</v>
      </c>
      <c r="F934" s="49" t="s">
        <v>36</v>
      </c>
      <c r="G934" s="14" t="s">
        <v>2742</v>
      </c>
      <c r="H934" s="14" t="s">
        <v>65</v>
      </c>
      <c r="I934" s="76">
        <v>109745</v>
      </c>
      <c r="J934" s="73">
        <v>0</v>
      </c>
      <c r="K934" s="74">
        <v>560</v>
      </c>
      <c r="L934" s="72">
        <v>0</v>
      </c>
      <c r="M934" s="72">
        <v>0</v>
      </c>
      <c r="N934" s="72">
        <f>IF(AND(C934="",J934=0,K934=0,L934=0,M934=0),"",CADASTROS!$B$4+SUM($J$2:J934)+SUM($M$2:M934)-SUM($K$2:K934)-SUM($L$2:L934))</f>
        <v>68300.319999996573</v>
      </c>
      <c r="O934" s="72">
        <f>IF(A934="","",SUMIF(RATEIOS!$A$2:$A$3142,$A934,RATEIOS!$F$2:$F$3142))</f>
        <v>560</v>
      </c>
      <c r="P934" s="15">
        <f t="shared" si="29"/>
        <v>0</v>
      </c>
      <c r="Q934" s="49" t="str">
        <f>IF(AND(J934=0,K934=0,L934=0,M934=0),"",IF(O934=0,"PENDENTE DE RATEIO",IF(ABS(P934)&gt;0.005,"DIVERGÊNCIA",IF(COUNTIF(RATEIOS!$A$2:$A$3142,$A934)-COUNTIFS(RATEIOS!$A$2:$A$3142,$A934,RATEIOS!$D$2:$D$3142,"&lt;&gt;")&gt;0,"NÃO CLASSIFICADO","RATEIO OK"))))</f>
        <v>NÃO CLASSIFICADO</v>
      </c>
      <c r="R934" s="49" t="s">
        <v>2553</v>
      </c>
      <c r="S934" s="14"/>
    </row>
    <row r="935" spans="1:19" ht="24.95" customHeight="1" x14ac:dyDescent="0.25">
      <c r="A935" s="49" t="s">
        <v>2866</v>
      </c>
      <c r="B935" s="98">
        <v>934</v>
      </c>
      <c r="C935" s="50">
        <v>46283</v>
      </c>
      <c r="D935" s="49">
        <f t="shared" si="28"/>
        <v>9</v>
      </c>
      <c r="E935" s="92" t="s">
        <v>118</v>
      </c>
      <c r="F935" s="49" t="s">
        <v>36</v>
      </c>
      <c r="G935" s="14" t="s">
        <v>2743</v>
      </c>
      <c r="H935" s="14" t="s">
        <v>994</v>
      </c>
      <c r="I935" s="76">
        <v>2845</v>
      </c>
      <c r="J935" s="73">
        <v>0</v>
      </c>
      <c r="K935" s="74">
        <v>792</v>
      </c>
      <c r="L935" s="72">
        <v>0</v>
      </c>
      <c r="M935" s="72">
        <v>0</v>
      </c>
      <c r="N935" s="72">
        <f>IF(AND(C935="",J935=0,K935=0,L935=0,M935=0),"",CADASTROS!$B$4+SUM($J$2:J935)+SUM($M$2:M935)-SUM($K$2:K935)-SUM($L$2:L935))</f>
        <v>67508.319999996573</v>
      </c>
      <c r="O935" s="72">
        <f>IF(A935="","",SUMIF(RATEIOS!$A$2:$A$3142,$A935,RATEIOS!$F$2:$F$3142))</f>
        <v>792</v>
      </c>
      <c r="P935" s="15">
        <f t="shared" si="29"/>
        <v>0</v>
      </c>
      <c r="Q935" s="49" t="str">
        <f>IF(AND(J935=0,K935=0,L935=0,M935=0),"",IF(O935=0,"PENDENTE DE RATEIO",IF(ABS(P935)&gt;0.005,"DIVERGÊNCIA",IF(COUNTIF(RATEIOS!$A$2:$A$3142,$A935)-COUNTIFS(RATEIOS!$A$2:$A$3142,$A935,RATEIOS!$D$2:$D$3142,"&lt;&gt;")&gt;0,"NÃO CLASSIFICADO","RATEIO OK"))))</f>
        <v>NÃO CLASSIFICADO</v>
      </c>
      <c r="R935" s="49" t="s">
        <v>2553</v>
      </c>
      <c r="S935" s="14"/>
    </row>
    <row r="936" spans="1:19" ht="24.95" customHeight="1" x14ac:dyDescent="0.25">
      <c r="A936" s="49" t="s">
        <v>2867</v>
      </c>
      <c r="B936" s="98">
        <v>935</v>
      </c>
      <c r="C936" s="50">
        <v>46283</v>
      </c>
      <c r="D936" s="49">
        <f t="shared" si="28"/>
        <v>9</v>
      </c>
      <c r="E936" s="92" t="s">
        <v>72</v>
      </c>
      <c r="F936" s="49" t="s">
        <v>36</v>
      </c>
      <c r="G936" s="14" t="s">
        <v>2744</v>
      </c>
      <c r="H936" s="14" t="s">
        <v>1054</v>
      </c>
      <c r="I936" s="76" t="s">
        <v>2747</v>
      </c>
      <c r="J936" s="73">
        <v>0</v>
      </c>
      <c r="K936" s="74">
        <v>299.8</v>
      </c>
      <c r="L936" s="72">
        <v>0</v>
      </c>
      <c r="M936" s="72">
        <v>0</v>
      </c>
      <c r="N936" s="72">
        <f>IF(AND(C936="",J936=0,K936=0,L936=0,M936=0),"",CADASTROS!$B$4+SUM($J$2:J936)+SUM($M$2:M936)-SUM($K$2:K936)-SUM($L$2:L936))</f>
        <v>67208.519999996759</v>
      </c>
      <c r="O936" s="72">
        <f>IF(A936="","",SUMIF(RATEIOS!$A$2:$A$3142,$A936,RATEIOS!$F$2:$F$3142))</f>
        <v>299.8</v>
      </c>
      <c r="P936" s="15">
        <f t="shared" si="29"/>
        <v>0</v>
      </c>
      <c r="Q936" s="49" t="str">
        <f>IF(AND(J936=0,K936=0,L936=0,M936=0),"",IF(O936=0,"PENDENTE DE RATEIO",IF(ABS(P936)&gt;0.005,"DIVERGÊNCIA",IF(COUNTIF(RATEIOS!$A$2:$A$3142,$A936)-COUNTIFS(RATEIOS!$A$2:$A$3142,$A936,RATEIOS!$D$2:$D$3142,"&lt;&gt;")&gt;0,"NÃO CLASSIFICADO","RATEIO OK"))))</f>
        <v>NÃO CLASSIFICADO</v>
      </c>
      <c r="R936" s="49" t="s">
        <v>2553</v>
      </c>
      <c r="S936" s="14"/>
    </row>
    <row r="937" spans="1:19" ht="24.95" customHeight="1" x14ac:dyDescent="0.25">
      <c r="A937" s="49" t="s">
        <v>2868</v>
      </c>
      <c r="B937" s="98">
        <v>936</v>
      </c>
      <c r="C937" s="50">
        <v>46283</v>
      </c>
      <c r="D937" s="49">
        <f t="shared" si="28"/>
        <v>9</v>
      </c>
      <c r="E937" s="92" t="s">
        <v>72</v>
      </c>
      <c r="F937" s="49" t="s">
        <v>36</v>
      </c>
      <c r="G937" s="14" t="s">
        <v>1051</v>
      </c>
      <c r="H937" s="14" t="s">
        <v>245</v>
      </c>
      <c r="I937" s="76" t="s">
        <v>2746</v>
      </c>
      <c r="J937" s="73">
        <v>0</v>
      </c>
      <c r="K937" s="74">
        <v>180</v>
      </c>
      <c r="L937" s="72">
        <v>0</v>
      </c>
      <c r="M937" s="72">
        <v>0</v>
      </c>
      <c r="N937" s="72">
        <f>IF(AND(C937="",J937=0,K937=0,L937=0,M937=0),"",CADASTROS!$B$4+SUM($J$2:J937)+SUM($M$2:M937)-SUM($K$2:K937)-SUM($L$2:L937))</f>
        <v>67028.519999996759</v>
      </c>
      <c r="O937" s="72">
        <f>IF(A937="","",SUMIF(RATEIOS!$A$2:$A$3142,$A937,RATEIOS!$F$2:$F$3142))</f>
        <v>180</v>
      </c>
      <c r="P937" s="15">
        <f t="shared" si="29"/>
        <v>0</v>
      </c>
      <c r="Q937" s="49" t="str">
        <f>IF(AND(J937=0,K937=0,L937=0,M937=0),"",IF(O937=0,"PENDENTE DE RATEIO",IF(ABS(P937)&gt;0.005,"DIVERGÊNCIA",IF(COUNTIF(RATEIOS!$A$2:$A$3142,$A937)-COUNTIFS(RATEIOS!$A$2:$A$3142,$A937,RATEIOS!$D$2:$D$3142,"&lt;&gt;")&gt;0,"NÃO CLASSIFICADO","RATEIO OK"))))</f>
        <v>NÃO CLASSIFICADO</v>
      </c>
      <c r="R937" s="49" t="s">
        <v>2553</v>
      </c>
      <c r="S937" s="14"/>
    </row>
    <row r="938" spans="1:19" ht="24.95" customHeight="1" x14ac:dyDescent="0.25">
      <c r="A938" s="49" t="s">
        <v>2869</v>
      </c>
      <c r="B938" s="98">
        <v>937</v>
      </c>
      <c r="C938" s="50">
        <v>46283</v>
      </c>
      <c r="D938" s="49">
        <f t="shared" si="28"/>
        <v>9</v>
      </c>
      <c r="E938" s="92" t="s">
        <v>72</v>
      </c>
      <c r="F938" s="49" t="s">
        <v>36</v>
      </c>
      <c r="G938" s="14" t="s">
        <v>2748</v>
      </c>
      <c r="H938" s="14" t="s">
        <v>1216</v>
      </c>
      <c r="I938" s="76" t="s">
        <v>412</v>
      </c>
      <c r="J938" s="73">
        <v>0</v>
      </c>
      <c r="K938" s="74">
        <v>2125.0700000000002</v>
      </c>
      <c r="L938" s="72">
        <v>0</v>
      </c>
      <c r="M938" s="72">
        <v>0</v>
      </c>
      <c r="N938" s="72">
        <f>IF(AND(C938="",J938=0,K938=0,L938=0,M938=0),"",CADASTROS!$B$4+SUM($J$2:J938)+SUM($M$2:M938)-SUM($K$2:K938)-SUM($L$2:L938))</f>
        <v>64903.449999996461</v>
      </c>
      <c r="O938" s="72">
        <f>IF(A938="","",SUMIF(RATEIOS!$A$2:$A$3142,$A938,RATEIOS!$F$2:$F$3142))</f>
        <v>2125.0700000000002</v>
      </c>
      <c r="P938" s="15">
        <f t="shared" si="29"/>
        <v>0</v>
      </c>
      <c r="Q938" s="49" t="str">
        <f>IF(AND(J938=0,K938=0,L938=0,M938=0),"",IF(O938=0,"PENDENTE DE RATEIO",IF(ABS(P938)&gt;0.005,"DIVERGÊNCIA",IF(COUNTIF(RATEIOS!$A$2:$A$3142,$A938)-COUNTIFS(RATEIOS!$A$2:$A$3142,$A938,RATEIOS!$D$2:$D$3142,"&lt;&gt;")&gt;0,"NÃO CLASSIFICADO","RATEIO OK"))))</f>
        <v>NÃO CLASSIFICADO</v>
      </c>
      <c r="R938" s="49" t="s">
        <v>2553</v>
      </c>
      <c r="S938" s="14"/>
    </row>
    <row r="939" spans="1:19" ht="24.95" customHeight="1" x14ac:dyDescent="0.25">
      <c r="A939" s="49" t="s">
        <v>2870</v>
      </c>
      <c r="B939" s="98">
        <v>938</v>
      </c>
      <c r="C939" s="50">
        <v>46283</v>
      </c>
      <c r="D939" s="49">
        <f t="shared" si="28"/>
        <v>9</v>
      </c>
      <c r="E939" s="92" t="s">
        <v>2556</v>
      </c>
      <c r="F939" s="49" t="s">
        <v>36</v>
      </c>
      <c r="G939" s="14" t="s">
        <v>276</v>
      </c>
      <c r="H939" s="14" t="s">
        <v>277</v>
      </c>
      <c r="I939" s="76" t="s">
        <v>412</v>
      </c>
      <c r="J939" s="73">
        <v>0</v>
      </c>
      <c r="K939" s="74">
        <v>41.63</v>
      </c>
      <c r="L939" s="72">
        <v>0</v>
      </c>
      <c r="M939" s="72">
        <v>0</v>
      </c>
      <c r="N939" s="72">
        <f>IF(AND(C939="",J939=0,K939=0,L939=0,M939=0),"",CADASTROS!$B$4+SUM($J$2:J939)+SUM($M$2:M939)-SUM($K$2:K939)-SUM($L$2:L939))</f>
        <v>64861.819999996573</v>
      </c>
      <c r="O939" s="72">
        <f>IF(A939="","",SUMIF(RATEIOS!$A$2:$A$3142,$A939,RATEIOS!$F$2:$F$3142))</f>
        <v>41.63</v>
      </c>
      <c r="P939" s="15">
        <f t="shared" si="29"/>
        <v>0</v>
      </c>
      <c r="Q939" s="49" t="str">
        <f>IF(AND(J939=0,K939=0,L939=0,M939=0),"",IF(O939=0,"PENDENTE DE RATEIO",IF(ABS(P939)&gt;0.005,"DIVERGÊNCIA",IF(COUNTIF(RATEIOS!$A$2:$A$3142,$A939)-COUNTIFS(RATEIOS!$A$2:$A$3142,$A939,RATEIOS!$D$2:$D$3142,"&lt;&gt;")&gt;0,"NÃO CLASSIFICADO","RATEIO OK"))))</f>
        <v>NÃO CLASSIFICADO</v>
      </c>
      <c r="R939" s="49" t="s">
        <v>2553</v>
      </c>
      <c r="S939" s="14"/>
    </row>
    <row r="940" spans="1:19" ht="24.95" customHeight="1" x14ac:dyDescent="0.25">
      <c r="A940" s="49" t="s">
        <v>2871</v>
      </c>
      <c r="B940" s="98">
        <v>939</v>
      </c>
      <c r="C940" s="50">
        <v>46283</v>
      </c>
      <c r="D940" s="49">
        <f t="shared" si="28"/>
        <v>9</v>
      </c>
      <c r="E940" s="92" t="s">
        <v>505</v>
      </c>
      <c r="F940" s="49" t="s">
        <v>36</v>
      </c>
      <c r="G940" s="14" t="s">
        <v>2749</v>
      </c>
      <c r="H940" s="14" t="s">
        <v>2750</v>
      </c>
      <c r="I940" s="91" t="s">
        <v>2751</v>
      </c>
      <c r="J940" s="73">
        <v>0</v>
      </c>
      <c r="K940" s="74">
        <v>2175</v>
      </c>
      <c r="L940" s="72">
        <v>0</v>
      </c>
      <c r="M940" s="72">
        <v>0</v>
      </c>
      <c r="N940" s="72">
        <f>IF(AND(C940="",J940=0,K940=0,L940=0,M940=0),"",CADASTROS!$B$4+SUM($J$2:J940)+SUM($M$2:M940)-SUM($K$2:K940)-SUM($L$2:L940))</f>
        <v>62686.819999996573</v>
      </c>
      <c r="O940" s="72">
        <f>IF(A940="","",SUMIF(RATEIOS!$A$2:$A$3142,$A940,RATEIOS!$F$2:$F$3142))</f>
        <v>2175</v>
      </c>
      <c r="P940" s="15">
        <f t="shared" si="29"/>
        <v>0</v>
      </c>
      <c r="Q940" s="49" t="str">
        <f>IF(AND(J940=0,K940=0,L940=0,M940=0),"",IF(O940=0,"PENDENTE DE RATEIO",IF(ABS(P940)&gt;0.005,"DIVERGÊNCIA",IF(COUNTIF(RATEIOS!$A$2:$A$3142,$A940)-COUNTIFS(RATEIOS!$A$2:$A$3142,$A940,RATEIOS!$D$2:$D$3142,"&lt;&gt;")&gt;0,"NÃO CLASSIFICADO","RATEIO OK"))))</f>
        <v>NÃO CLASSIFICADO</v>
      </c>
      <c r="R940" s="49" t="s">
        <v>2553</v>
      </c>
      <c r="S940" s="14"/>
    </row>
    <row r="941" spans="1:19" ht="24.95" customHeight="1" x14ac:dyDescent="0.25">
      <c r="A941" s="49" t="s">
        <v>2872</v>
      </c>
      <c r="B941" s="98">
        <v>940</v>
      </c>
      <c r="C941" s="50">
        <v>46286</v>
      </c>
      <c r="D941" s="49">
        <f t="shared" si="28"/>
        <v>9</v>
      </c>
      <c r="E941" s="92" t="s">
        <v>118</v>
      </c>
      <c r="F941" s="49" t="s">
        <v>36</v>
      </c>
      <c r="G941" s="14" t="s">
        <v>513</v>
      </c>
      <c r="H941" s="14" t="s">
        <v>67</v>
      </c>
      <c r="I941" s="76" t="s">
        <v>1273</v>
      </c>
      <c r="J941" s="73">
        <v>0</v>
      </c>
      <c r="K941" s="74">
        <v>300</v>
      </c>
      <c r="L941" s="72">
        <v>0</v>
      </c>
      <c r="M941" s="72">
        <v>0</v>
      </c>
      <c r="N941" s="72">
        <f>IF(AND(C941="",J941=0,K941=0,L941=0,M941=0),"",CADASTROS!$B$4+SUM($J$2:J941)+SUM($M$2:M941)-SUM($K$2:K941)-SUM($L$2:L941))</f>
        <v>62386.819999996573</v>
      </c>
      <c r="O941" s="72">
        <f>IF(A941="","",SUMIF(RATEIOS!$A$2:$A$3142,$A941,RATEIOS!$F$2:$F$3142))</f>
        <v>300</v>
      </c>
      <c r="P941" s="15">
        <f t="shared" si="29"/>
        <v>0</v>
      </c>
      <c r="Q941" s="49" t="str">
        <f>IF(AND(J941=0,K941=0,L941=0,M941=0),"",IF(O941=0,"PENDENTE DE RATEIO",IF(ABS(P941)&gt;0.005,"DIVERGÊNCIA",IF(COUNTIF(RATEIOS!$A$2:$A$3142,$A941)-COUNTIFS(RATEIOS!$A$2:$A$3142,$A941,RATEIOS!$D$2:$D$3142,"&lt;&gt;")&gt;0,"NÃO CLASSIFICADO","RATEIO OK"))))</f>
        <v>NÃO CLASSIFICADO</v>
      </c>
      <c r="R941" s="49" t="s">
        <v>2553</v>
      </c>
      <c r="S941" s="14"/>
    </row>
    <row r="942" spans="1:19" ht="24.95" customHeight="1" x14ac:dyDescent="0.25">
      <c r="A942" s="49" t="s">
        <v>2873</v>
      </c>
      <c r="B942" s="98">
        <v>941</v>
      </c>
      <c r="C942" s="50">
        <v>46286</v>
      </c>
      <c r="D942" s="49">
        <f t="shared" si="28"/>
        <v>9</v>
      </c>
      <c r="E942" s="92" t="s">
        <v>118</v>
      </c>
      <c r="F942" s="49" t="s">
        <v>36</v>
      </c>
      <c r="G942" s="14" t="s">
        <v>2752</v>
      </c>
      <c r="H942" s="95" t="s">
        <v>2753</v>
      </c>
      <c r="I942" s="76" t="s">
        <v>1293</v>
      </c>
      <c r="J942" s="73">
        <v>0</v>
      </c>
      <c r="K942" s="74">
        <v>1600</v>
      </c>
      <c r="L942" s="72">
        <v>0</v>
      </c>
      <c r="M942" s="72">
        <v>0</v>
      </c>
      <c r="N942" s="72">
        <f>IF(AND(C942="",J942=0,K942=0,L942=0,M942=0),"",CADASTROS!$B$4+SUM($J$2:J942)+SUM($M$2:M942)-SUM($K$2:K942)-SUM($L$2:L942))</f>
        <v>60786.819999996573</v>
      </c>
      <c r="O942" s="72">
        <f>IF(A942="","",SUMIF(RATEIOS!$A$2:$A$3142,$A942,RATEIOS!$F$2:$F$3142))</f>
        <v>1600</v>
      </c>
      <c r="P942" s="15">
        <f t="shared" si="29"/>
        <v>0</v>
      </c>
      <c r="Q942" s="49" t="str">
        <f>IF(AND(J942=0,K942=0,L942=0,M942=0),"",IF(O942=0,"PENDENTE DE RATEIO",IF(ABS(P942)&gt;0.005,"DIVERGÊNCIA",IF(COUNTIF(RATEIOS!$A$2:$A$3142,$A942)-COUNTIFS(RATEIOS!$A$2:$A$3142,$A942,RATEIOS!$D$2:$D$3142,"&lt;&gt;")&gt;0,"NÃO CLASSIFICADO","RATEIO OK"))))</f>
        <v>NÃO CLASSIFICADO</v>
      </c>
      <c r="R942" s="49" t="s">
        <v>2553</v>
      </c>
      <c r="S942" s="14"/>
    </row>
    <row r="943" spans="1:19" ht="24.95" customHeight="1" x14ac:dyDescent="0.25">
      <c r="A943" s="49" t="s">
        <v>2874</v>
      </c>
      <c r="B943" s="98">
        <v>942</v>
      </c>
      <c r="C943" s="50">
        <v>46286</v>
      </c>
      <c r="D943" s="49">
        <f t="shared" si="28"/>
        <v>9</v>
      </c>
      <c r="E943" s="92" t="s">
        <v>2556</v>
      </c>
      <c r="F943" s="49" t="s">
        <v>36</v>
      </c>
      <c r="G943" s="14" t="s">
        <v>1212</v>
      </c>
      <c r="H943" s="14" t="s">
        <v>1213</v>
      </c>
      <c r="I943" s="76" t="s">
        <v>412</v>
      </c>
      <c r="J943" s="73">
        <v>0</v>
      </c>
      <c r="K943" s="74">
        <v>521.01</v>
      </c>
      <c r="L943" s="72">
        <v>0</v>
      </c>
      <c r="M943" s="72">
        <v>0</v>
      </c>
      <c r="N943" s="72">
        <f>IF(AND(C943="",J943=0,K943=0,L943=0,M943=0),"",CADASTROS!$B$4+SUM($J$2:J943)+SUM($M$2:M943)-SUM($K$2:K943)-SUM($L$2:L943))</f>
        <v>60265.809999996796</v>
      </c>
      <c r="O943" s="72">
        <f>IF(A943="","",SUMIF(RATEIOS!$A$2:$A$3142,$A943,RATEIOS!$F$2:$F$3142))</f>
        <v>521.01</v>
      </c>
      <c r="P943" s="15">
        <f t="shared" si="29"/>
        <v>0</v>
      </c>
      <c r="Q943" s="49" t="str">
        <f>IF(AND(J943=0,K943=0,L943=0,M943=0),"",IF(O943=0,"PENDENTE DE RATEIO",IF(ABS(P943)&gt;0.005,"DIVERGÊNCIA",IF(COUNTIF(RATEIOS!$A$2:$A$3142,$A943)-COUNTIFS(RATEIOS!$A$2:$A$3142,$A943,RATEIOS!$D$2:$D$3142,"&lt;&gt;")&gt;0,"NÃO CLASSIFICADO","RATEIO OK"))))</f>
        <v>NÃO CLASSIFICADO</v>
      </c>
      <c r="R943" s="49" t="s">
        <v>2553</v>
      </c>
      <c r="S943" s="14"/>
    </row>
    <row r="944" spans="1:19" ht="24.95" customHeight="1" x14ac:dyDescent="0.25">
      <c r="A944" s="49" t="s">
        <v>2875</v>
      </c>
      <c r="B944" s="98">
        <v>943</v>
      </c>
      <c r="C944" s="50">
        <v>46288</v>
      </c>
      <c r="D944" s="49">
        <f t="shared" si="28"/>
        <v>9</v>
      </c>
      <c r="E944" s="92" t="s">
        <v>287</v>
      </c>
      <c r="F944" s="49" t="s">
        <v>36</v>
      </c>
      <c r="G944" s="14" t="s">
        <v>2780</v>
      </c>
      <c r="H944" s="14" t="s">
        <v>65</v>
      </c>
      <c r="I944" s="89" t="s">
        <v>458</v>
      </c>
      <c r="J944" s="73">
        <v>0</v>
      </c>
      <c r="K944" s="74">
        <v>130</v>
      </c>
      <c r="L944" s="72">
        <v>0</v>
      </c>
      <c r="M944" s="72">
        <v>0</v>
      </c>
      <c r="N944" s="72">
        <f>IF(AND(C944="",J944=0,K944=0,L944=0,M944=0),"",CADASTROS!$B$4+SUM($J$2:J944)+SUM($M$2:M944)-SUM($K$2:K944)-SUM($L$2:L944))</f>
        <v>60135.809999996796</v>
      </c>
      <c r="O944" s="72">
        <f>IF(A944="","",SUMIF(RATEIOS!$A$2:$A$3142,$A944,RATEIOS!$F$2:$F$3142))</f>
        <v>130</v>
      </c>
      <c r="P944" s="15">
        <f t="shared" si="29"/>
        <v>0</v>
      </c>
      <c r="Q944" s="49" t="str">
        <f>IF(AND(J944=0,K944=0,L944=0,M944=0),"",IF(O944=0,"PENDENTE DE RATEIO",IF(ABS(P944)&gt;0.005,"DIVERGÊNCIA",IF(COUNTIF(RATEIOS!$A$2:$A$3142,$A944)-COUNTIFS(RATEIOS!$A$2:$A$3142,$A944,RATEIOS!$D$2:$D$3142,"&lt;&gt;")&gt;0,"NÃO CLASSIFICADO","RATEIO OK"))))</f>
        <v>NÃO CLASSIFICADO</v>
      </c>
      <c r="R944" s="49" t="s">
        <v>2553</v>
      </c>
      <c r="S944" s="14"/>
    </row>
    <row r="945" spans="1:19" ht="24.95" customHeight="1" x14ac:dyDescent="0.25">
      <c r="A945" s="49" t="s">
        <v>2876</v>
      </c>
      <c r="B945" s="98">
        <v>944</v>
      </c>
      <c r="C945" s="50">
        <v>46290</v>
      </c>
      <c r="D945" s="49">
        <f t="shared" si="28"/>
        <v>9</v>
      </c>
      <c r="E945" s="92" t="s">
        <v>118</v>
      </c>
      <c r="F945" s="49" t="s">
        <v>36</v>
      </c>
      <c r="G945" s="14" t="s">
        <v>218</v>
      </c>
      <c r="H945" s="14" t="s">
        <v>219</v>
      </c>
      <c r="I945" s="76" t="s">
        <v>2781</v>
      </c>
      <c r="J945" s="73">
        <v>0</v>
      </c>
      <c r="K945" s="74">
        <v>1189.68</v>
      </c>
      <c r="L945" s="72">
        <v>0</v>
      </c>
      <c r="M945" s="72">
        <v>0</v>
      </c>
      <c r="N945" s="72">
        <f>IF(AND(C945="",J945=0,K945=0,L945=0,M945=0),"",CADASTROS!$B$4+SUM($J$2:J945)+SUM($M$2:M945)-SUM($K$2:K945)-SUM($L$2:L945))</f>
        <v>58946.129999997094</v>
      </c>
      <c r="O945" s="72">
        <f>IF(A945="","",SUMIF(RATEIOS!$A$2:$A$3142,$A945,RATEIOS!$F$2:$F$3142))</f>
        <v>1189.68</v>
      </c>
      <c r="P945" s="15">
        <f t="shared" si="29"/>
        <v>0</v>
      </c>
      <c r="Q945" s="49" t="str">
        <f>IF(AND(J945=0,K945=0,L945=0,M945=0),"",IF(O945=0,"PENDENTE DE RATEIO",IF(ABS(P945)&gt;0.005,"DIVERGÊNCIA",IF(COUNTIF(RATEIOS!$A$2:$A$3142,$A945)-COUNTIFS(RATEIOS!$A$2:$A$3142,$A945,RATEIOS!$D$2:$D$3142,"&lt;&gt;")&gt;0,"NÃO CLASSIFICADO","RATEIO OK"))))</f>
        <v>NÃO CLASSIFICADO</v>
      </c>
      <c r="R945" s="49" t="s">
        <v>2553</v>
      </c>
      <c r="S945" s="14" t="s">
        <v>3014</v>
      </c>
    </row>
    <row r="946" spans="1:19" ht="24.95" customHeight="1" x14ac:dyDescent="0.25">
      <c r="A946" s="49" t="s">
        <v>2877</v>
      </c>
      <c r="B946" s="98">
        <v>945</v>
      </c>
      <c r="C946" s="50">
        <v>46290</v>
      </c>
      <c r="D946" s="49">
        <f t="shared" si="28"/>
        <v>9</v>
      </c>
      <c r="E946" s="92" t="s">
        <v>169</v>
      </c>
      <c r="F946" s="49" t="s">
        <v>36</v>
      </c>
      <c r="G946" s="90" t="s">
        <v>2809</v>
      </c>
      <c r="H946" s="14" t="s">
        <v>179</v>
      </c>
      <c r="I946" s="76" t="s">
        <v>412</v>
      </c>
      <c r="J946" s="73">
        <v>0</v>
      </c>
      <c r="K946" s="74">
        <v>8115.97</v>
      </c>
      <c r="L946" s="72">
        <v>0</v>
      </c>
      <c r="M946" s="72">
        <v>0</v>
      </c>
      <c r="N946" s="72">
        <f>IF(AND(C946="",J946=0,K946=0,L946=0,M946=0),"",CADASTROS!$B$4+SUM($J$2:J946)+SUM($M$2:M946)-SUM($K$2:K946)-SUM($L$2:L946))</f>
        <v>50830.159999997355</v>
      </c>
      <c r="O946" s="72">
        <f>IF(A946="","",SUMIF(RATEIOS!$A$2:$A$3142,$A946,RATEIOS!$F$2:$F$3142))</f>
        <v>8115.97</v>
      </c>
      <c r="P946" s="15">
        <f t="shared" si="29"/>
        <v>0</v>
      </c>
      <c r="Q946" s="49" t="str">
        <f>IF(AND(J946=0,K946=0,L946=0,M946=0),"",IF(O946=0,"PENDENTE DE RATEIO",IF(ABS(P946)&gt;0.005,"DIVERGÊNCIA",IF(COUNTIF(RATEIOS!$A$2:$A$3142,$A946)-COUNTIFS(RATEIOS!$A$2:$A$3142,$A946,RATEIOS!$D$2:$D$3142,"&lt;&gt;")&gt;0,"NÃO CLASSIFICADO","RATEIO OK"))))</f>
        <v>NÃO CLASSIFICADO</v>
      </c>
      <c r="R946" s="49" t="s">
        <v>2553</v>
      </c>
      <c r="S946" s="14"/>
    </row>
    <row r="947" spans="1:19" ht="24.95" customHeight="1" x14ac:dyDescent="0.25">
      <c r="A947" s="49" t="s">
        <v>2878</v>
      </c>
      <c r="B947" s="98">
        <v>946</v>
      </c>
      <c r="C947" s="50">
        <v>46290</v>
      </c>
      <c r="D947" s="49">
        <f t="shared" si="28"/>
        <v>9</v>
      </c>
      <c r="E947" s="92" t="s">
        <v>169</v>
      </c>
      <c r="F947" s="49" t="s">
        <v>36</v>
      </c>
      <c r="G947" s="90" t="s">
        <v>2816</v>
      </c>
      <c r="H947" s="14" t="s">
        <v>180</v>
      </c>
      <c r="I947" s="76" t="s">
        <v>412</v>
      </c>
      <c r="J947" s="73">
        <v>0</v>
      </c>
      <c r="K947" s="74">
        <v>37458.339999999997</v>
      </c>
      <c r="L947" s="72">
        <v>0</v>
      </c>
      <c r="M947" s="72">
        <v>0</v>
      </c>
      <c r="N947" s="72">
        <f>IF(AND(C947="",J947=0,K947=0,L947=0,M947=0),"",CADASTROS!$B$4+SUM($J$2:J947)+SUM($M$2:M947)-SUM($K$2:K947)-SUM($L$2:L947))</f>
        <v>13371.819999997504</v>
      </c>
      <c r="O947" s="72">
        <f>IF(A947="","",SUMIF(RATEIOS!$A$2:$A$3142,$A947,RATEIOS!$F$2:$F$3142))</f>
        <v>37458.339999999997</v>
      </c>
      <c r="P947" s="15">
        <f t="shared" si="29"/>
        <v>0</v>
      </c>
      <c r="Q947" s="49" t="str">
        <f>IF(AND(J947=0,K947=0,L947=0,M947=0),"",IF(O947=0,"PENDENTE DE RATEIO",IF(ABS(P947)&gt;0.005,"DIVERGÊNCIA",IF(COUNTIF(RATEIOS!$A$2:$A$3142,$A947)-COUNTIFS(RATEIOS!$A$2:$A$3142,$A947,RATEIOS!$D$2:$D$3142,"&lt;&gt;")&gt;0,"NÃO CLASSIFICADO","RATEIO OK"))))</f>
        <v>NÃO CLASSIFICADO</v>
      </c>
      <c r="R947" s="49" t="s">
        <v>2553</v>
      </c>
      <c r="S947" s="14"/>
    </row>
    <row r="948" spans="1:19" ht="24.95" customHeight="1" x14ac:dyDescent="0.25">
      <c r="A948" s="49" t="s">
        <v>2879</v>
      </c>
      <c r="B948" s="98">
        <v>947</v>
      </c>
      <c r="C948" s="50">
        <v>46290</v>
      </c>
      <c r="D948" s="49">
        <f t="shared" si="28"/>
        <v>9</v>
      </c>
      <c r="E948" s="92" t="s">
        <v>118</v>
      </c>
      <c r="F948" s="49" t="s">
        <v>36</v>
      </c>
      <c r="G948" s="90" t="s">
        <v>678</v>
      </c>
      <c r="H948" s="14" t="s">
        <v>679</v>
      </c>
      <c r="I948" s="76" t="s">
        <v>412</v>
      </c>
      <c r="J948" s="73">
        <v>0</v>
      </c>
      <c r="K948" s="74">
        <v>330</v>
      </c>
      <c r="L948" s="72">
        <v>0</v>
      </c>
      <c r="M948" s="72">
        <v>0</v>
      </c>
      <c r="N948" s="72">
        <f>IF(AND(C948="",J948=0,K948=0,L948=0,M948=0),"",CADASTROS!$B$4+SUM($J$2:J948)+SUM($M$2:M948)-SUM($K$2:K948)-SUM($L$2:L948))</f>
        <v>13041.819999997504</v>
      </c>
      <c r="O948" s="72">
        <f>IF(A948="","",SUMIF(RATEIOS!$A$2:$A$3142,$A948,RATEIOS!$F$2:$F$3142))</f>
        <v>330</v>
      </c>
      <c r="P948" s="15">
        <f t="shared" si="29"/>
        <v>0</v>
      </c>
      <c r="Q948" s="49" t="str">
        <f>IF(AND(J948=0,K948=0,L948=0,M948=0),"",IF(O948=0,"PENDENTE DE RATEIO",IF(ABS(P948)&gt;0.005,"DIVERGÊNCIA",IF(COUNTIF(RATEIOS!$A$2:$A$3142,$A948)-COUNTIFS(RATEIOS!$A$2:$A$3142,$A948,RATEIOS!$D$2:$D$3142,"&lt;&gt;")&gt;0,"NÃO CLASSIFICADO","RATEIO OK"))))</f>
        <v>NÃO CLASSIFICADO</v>
      </c>
      <c r="R948" s="49" t="s">
        <v>2553</v>
      </c>
      <c r="S948" s="14"/>
    </row>
    <row r="949" spans="1:19" ht="24.95" customHeight="1" x14ac:dyDescent="0.25">
      <c r="A949" s="49" t="s">
        <v>2880</v>
      </c>
      <c r="B949" s="98">
        <v>948</v>
      </c>
      <c r="C949" s="50">
        <v>46294</v>
      </c>
      <c r="D949" s="49">
        <f t="shared" si="28"/>
        <v>9</v>
      </c>
      <c r="E949" s="92" t="s">
        <v>287</v>
      </c>
      <c r="F949" s="49" t="s">
        <v>36</v>
      </c>
      <c r="G949" s="14" t="s">
        <v>2782</v>
      </c>
      <c r="H949" s="14" t="s">
        <v>612</v>
      </c>
      <c r="I949" s="76" t="s">
        <v>412</v>
      </c>
      <c r="J949" s="73">
        <v>0</v>
      </c>
      <c r="K949" s="74">
        <v>5815.29</v>
      </c>
      <c r="L949" s="72">
        <v>0</v>
      </c>
      <c r="M949" s="72">
        <v>0</v>
      </c>
      <c r="N949" s="72">
        <f>IF(AND(C949="",J949=0,K949=0,L949=0,M949=0),"",CADASTROS!$B$4+SUM($J$2:J949)+SUM($M$2:M949)-SUM($K$2:K949)-SUM($L$2:L949))</f>
        <v>7226.5299999974668</v>
      </c>
      <c r="O949" s="72">
        <f>IF(A949="","",SUMIF(RATEIOS!$A$2:$A$3142,$A949,RATEIOS!$F$2:$F$3142))</f>
        <v>5815.29</v>
      </c>
      <c r="P949" s="15">
        <f t="shared" si="29"/>
        <v>0</v>
      </c>
      <c r="Q949" s="49" t="str">
        <f>IF(AND(J949=0,K949=0,L949=0,M949=0),"",IF(O949=0,"PENDENTE DE RATEIO",IF(ABS(P949)&gt;0.005,"DIVERGÊNCIA",IF(COUNTIF(RATEIOS!$A$2:$A$3142,$A949)-COUNTIFS(RATEIOS!$A$2:$A$3142,$A949,RATEIOS!$D$2:$D$3142,"&lt;&gt;")&gt;0,"NÃO CLASSIFICADO","RATEIO OK"))))</f>
        <v>NÃO CLASSIFICADO</v>
      </c>
      <c r="R949" s="49" t="s">
        <v>2553</v>
      </c>
      <c r="S949" s="14"/>
    </row>
    <row r="950" spans="1:19" ht="24.95" customHeight="1" x14ac:dyDescent="0.25">
      <c r="A950" s="49" t="s">
        <v>2881</v>
      </c>
      <c r="B950" s="98">
        <v>949</v>
      </c>
      <c r="C950" s="50">
        <v>46294</v>
      </c>
      <c r="D950" s="49">
        <f t="shared" si="28"/>
        <v>9</v>
      </c>
      <c r="E950" s="92" t="s">
        <v>72</v>
      </c>
      <c r="F950" s="49" t="s">
        <v>36</v>
      </c>
      <c r="G950" s="14" t="s">
        <v>2783</v>
      </c>
      <c r="H950" s="14" t="s">
        <v>412</v>
      </c>
      <c r="I950" s="76" t="s">
        <v>2784</v>
      </c>
      <c r="J950" s="73">
        <v>0</v>
      </c>
      <c r="K950" s="74">
        <v>600</v>
      </c>
      <c r="L950" s="72">
        <v>0</v>
      </c>
      <c r="M950" s="72">
        <v>0</v>
      </c>
      <c r="N950" s="72">
        <f>IF(AND(C950="",J950=0,K950=0,L950=0,M950=0),"",CADASTROS!$B$4+SUM($J$2:J950)+SUM($M$2:M950)-SUM($K$2:K950)-SUM($L$2:L950))</f>
        <v>6626.5299999974668</v>
      </c>
      <c r="O950" s="72">
        <f>IF(A950="","",SUMIF(RATEIOS!$A$2:$A$3142,$A950,RATEIOS!$F$2:$F$3142))</f>
        <v>600</v>
      </c>
      <c r="P950" s="15">
        <f t="shared" si="29"/>
        <v>0</v>
      </c>
      <c r="Q950" s="49" t="str">
        <f>IF(AND(J950=0,K950=0,L950=0,M950=0),"",IF(O950=0,"PENDENTE DE RATEIO",IF(ABS(P950)&gt;0.005,"DIVERGÊNCIA",IF(COUNTIF(RATEIOS!$A$2:$A$3142,$A950)-COUNTIFS(RATEIOS!$A$2:$A$3142,$A950,RATEIOS!$D$2:$D$3142,"&lt;&gt;")&gt;0,"NÃO CLASSIFICADO","RATEIO OK"))))</f>
        <v>NÃO CLASSIFICADO</v>
      </c>
      <c r="R950" s="49" t="s">
        <v>2553</v>
      </c>
      <c r="S950" s="14"/>
    </row>
    <row r="951" spans="1:19" ht="24.95" customHeight="1" x14ac:dyDescent="0.25">
      <c r="A951" s="49" t="s">
        <v>2882</v>
      </c>
      <c r="B951" s="98">
        <v>950</v>
      </c>
      <c r="C951" s="50">
        <v>46294</v>
      </c>
      <c r="D951" s="49">
        <f t="shared" si="28"/>
        <v>9</v>
      </c>
      <c r="E951" s="92" t="s">
        <v>72</v>
      </c>
      <c r="F951" s="49" t="s">
        <v>36</v>
      </c>
      <c r="G951" s="14" t="s">
        <v>2785</v>
      </c>
      <c r="H951" s="14" t="s">
        <v>545</v>
      </c>
      <c r="I951" s="76" t="s">
        <v>547</v>
      </c>
      <c r="J951" s="73">
        <v>0</v>
      </c>
      <c r="K951" s="74">
        <v>1838</v>
      </c>
      <c r="L951" s="72">
        <v>0</v>
      </c>
      <c r="M951" s="72">
        <v>0</v>
      </c>
      <c r="N951" s="72">
        <f>IF(AND(C951="",J951=0,K951=0,L951=0,M951=0),"",CADASTROS!$B$4+SUM($J$2:J951)+SUM($M$2:M951)-SUM($K$2:K951)-SUM($L$2:L951))</f>
        <v>4788.5299999974668</v>
      </c>
      <c r="O951" s="72">
        <f>IF(A951="","",SUMIF(RATEIOS!$A$2:$A$3142,$A951,RATEIOS!$F$2:$F$3142))</f>
        <v>1838</v>
      </c>
      <c r="P951" s="15">
        <f t="shared" si="29"/>
        <v>0</v>
      </c>
      <c r="Q951" s="49" t="str">
        <f>IF(AND(J951=0,K951=0,L951=0,M951=0),"",IF(O951=0,"PENDENTE DE RATEIO",IF(ABS(P951)&gt;0.005,"DIVERGÊNCIA",IF(COUNTIF(RATEIOS!$A$2:$A$3142,$A951)-COUNTIFS(RATEIOS!$A$2:$A$3142,$A951,RATEIOS!$D$2:$D$3142,"&lt;&gt;")&gt;0,"NÃO CLASSIFICADO","RATEIO OK"))))</f>
        <v>NÃO CLASSIFICADO</v>
      </c>
      <c r="R951" s="49" t="s">
        <v>2553</v>
      </c>
      <c r="S951" s="14"/>
    </row>
    <row r="952" spans="1:19" ht="24.95" customHeight="1" x14ac:dyDescent="0.25">
      <c r="A952" s="49" t="s">
        <v>2883</v>
      </c>
      <c r="B952" s="98">
        <v>951</v>
      </c>
      <c r="C952" s="50">
        <v>46294</v>
      </c>
      <c r="D952" s="49">
        <f t="shared" si="28"/>
        <v>9</v>
      </c>
      <c r="E952" s="92" t="s">
        <v>118</v>
      </c>
      <c r="F952" s="49" t="s">
        <v>36</v>
      </c>
      <c r="G952" s="14" t="s">
        <v>254</v>
      </c>
      <c r="H952" s="14" t="s">
        <v>255</v>
      </c>
      <c r="I952" s="76" t="s">
        <v>2786</v>
      </c>
      <c r="J952" s="73">
        <v>0</v>
      </c>
      <c r="K952" s="74">
        <v>3002.4</v>
      </c>
      <c r="L952" s="72">
        <v>0</v>
      </c>
      <c r="M952" s="72">
        <v>0</v>
      </c>
      <c r="N952" s="72">
        <f>IF(AND(C952="",J952=0,K952=0,L952=0,M952=0),"",CADASTROS!$B$4+SUM($J$2:J952)+SUM($M$2:M952)-SUM($K$2:K952)-SUM($L$2:L952))</f>
        <v>1786.1299999970943</v>
      </c>
      <c r="O952" s="72">
        <f>IF(A952="","",SUMIF(RATEIOS!$A$2:$A$3142,$A952,RATEIOS!$F$2:$F$3142))</f>
        <v>3002.4</v>
      </c>
      <c r="P952" s="15">
        <f t="shared" si="29"/>
        <v>0</v>
      </c>
      <c r="Q952" s="49" t="str">
        <f>IF(AND(J952=0,K952=0,L952=0,M952=0),"",IF(O952=0,"PENDENTE DE RATEIO",IF(ABS(P952)&gt;0.005,"DIVERGÊNCIA",IF(COUNTIF(RATEIOS!$A$2:$A$3142,$A952)-COUNTIFS(RATEIOS!$A$2:$A$3142,$A952,RATEIOS!$D$2:$D$3142,"&lt;&gt;")&gt;0,"NÃO CLASSIFICADO","RATEIO OK"))))</f>
        <v>NÃO CLASSIFICADO</v>
      </c>
      <c r="R952" s="49" t="s">
        <v>2553</v>
      </c>
      <c r="S952" s="14"/>
    </row>
    <row r="953" spans="1:19" ht="24.95" customHeight="1" x14ac:dyDescent="0.25">
      <c r="A953" s="49" t="s">
        <v>2884</v>
      </c>
      <c r="B953" s="98">
        <v>952</v>
      </c>
      <c r="C953" s="50">
        <v>46294</v>
      </c>
      <c r="D953" s="49">
        <f t="shared" si="28"/>
        <v>9</v>
      </c>
      <c r="E953" s="92" t="s">
        <v>118</v>
      </c>
      <c r="F953" s="49" t="s">
        <v>36</v>
      </c>
      <c r="G953" s="14" t="s">
        <v>3037</v>
      </c>
      <c r="H953" s="14" t="s">
        <v>1169</v>
      </c>
      <c r="I953" s="76" t="s">
        <v>1296</v>
      </c>
      <c r="J953" s="73">
        <v>0</v>
      </c>
      <c r="K953" s="74">
        <v>1007.77</v>
      </c>
      <c r="L953" s="72">
        <v>0</v>
      </c>
      <c r="M953" s="72">
        <v>0</v>
      </c>
      <c r="N953" s="72">
        <f>IF(AND(C953="",J953=0,K953=0,L953=0,M953=0),"",CADASTROS!$B$4+SUM($J$2:J953)+SUM($M$2:M953)-SUM($K$2:K953)-SUM($L$2:L953))</f>
        <v>778.35999999754131</v>
      </c>
      <c r="O953" s="72">
        <f>IF(A953="","",SUMIF(RATEIOS!$A$2:$A$3142,$A953,RATEIOS!$F$2:$F$3142))</f>
        <v>1007.77</v>
      </c>
      <c r="P953" s="15">
        <f t="shared" si="29"/>
        <v>0</v>
      </c>
      <c r="Q953" s="49" t="str">
        <f>IF(AND(J953=0,K953=0,L953=0,M953=0),"",IF(O953=0,"PENDENTE DE RATEIO",IF(ABS(P953)&gt;0.005,"DIVERGÊNCIA",IF(COUNTIF(RATEIOS!$A$2:$A$3142,$A953)-COUNTIFS(RATEIOS!$A$2:$A$3142,$A953,RATEIOS!$D$2:$D$3142,"&lt;&gt;")&gt;0,"NÃO CLASSIFICADO","RATEIO OK"))))</f>
        <v>NÃO CLASSIFICADO</v>
      </c>
      <c r="R953" s="49" t="s">
        <v>2553</v>
      </c>
      <c r="S953" s="14"/>
    </row>
    <row r="954" spans="1:19" ht="24.95" customHeight="1" x14ac:dyDescent="0.25">
      <c r="A954" s="49" t="s">
        <v>2885</v>
      </c>
      <c r="B954" s="98">
        <v>953</v>
      </c>
      <c r="C954" s="50">
        <v>46295</v>
      </c>
      <c r="D954" s="49">
        <f t="shared" si="28"/>
        <v>9</v>
      </c>
      <c r="E954" s="92" t="s">
        <v>2558</v>
      </c>
      <c r="F954" s="49" t="s">
        <v>38</v>
      </c>
      <c r="G954" s="14" t="s">
        <v>45</v>
      </c>
      <c r="H954" s="14" t="s">
        <v>45</v>
      </c>
      <c r="I954" s="76" t="s">
        <v>412</v>
      </c>
      <c r="J954" s="73">
        <v>0</v>
      </c>
      <c r="K954" s="74">
        <v>0</v>
      </c>
      <c r="L954" s="72">
        <v>0</v>
      </c>
      <c r="M954" s="72">
        <v>69500</v>
      </c>
      <c r="N954" s="72">
        <f>IF(AND(C954="",J954=0,K954=0,L954=0,M954=0),"",CADASTROS!$B$4+SUM($J$2:J954)+SUM($M$2:M954)-SUM($K$2:K954)-SUM($L$2:L954))</f>
        <v>70278.359999997541</v>
      </c>
      <c r="O954" s="72">
        <f>IF(A954="","",SUMIF(RATEIOS!$A$2:$A$3142,$A954,RATEIOS!$F$2:$F$3142))</f>
        <v>69500</v>
      </c>
      <c r="P954" s="15">
        <f t="shared" si="29"/>
        <v>0</v>
      </c>
      <c r="Q954" s="49" t="str">
        <f>IF(AND(J954=0,K954=0,L954=0,M954=0),"",IF(O954=0,"PENDENTE DE RATEIO",IF(ABS(P954)&gt;0.005,"DIVERGÊNCIA",IF(COUNTIF(RATEIOS!$A$2:$A$3142,$A954)-COUNTIFS(RATEIOS!$A$2:$A$3142,$A954,RATEIOS!$D$2:$D$3142,"&lt;&gt;")&gt;0,"NÃO CLASSIFICADO","RATEIO OK"))))</f>
        <v>NÃO CLASSIFICADO</v>
      </c>
      <c r="R954" s="49" t="s">
        <v>2553</v>
      </c>
      <c r="S954" s="14"/>
    </row>
    <row r="955" spans="1:19" ht="24.95" customHeight="1" x14ac:dyDescent="0.25">
      <c r="A955" s="49" t="s">
        <v>2886</v>
      </c>
      <c r="B955" s="98">
        <v>954</v>
      </c>
      <c r="C955" s="50">
        <v>46295</v>
      </c>
      <c r="D955" s="49">
        <f t="shared" si="28"/>
        <v>9</v>
      </c>
      <c r="E955" s="92" t="s">
        <v>123</v>
      </c>
      <c r="F955" s="49" t="s">
        <v>36</v>
      </c>
      <c r="G955" s="14" t="s">
        <v>2787</v>
      </c>
      <c r="H955" s="14" t="s">
        <v>3189</v>
      </c>
      <c r="I955" s="76" t="s">
        <v>412</v>
      </c>
      <c r="J955" s="73">
        <v>0</v>
      </c>
      <c r="K955" s="74">
        <v>8296.1200000000008</v>
      </c>
      <c r="L955" s="72">
        <v>0</v>
      </c>
      <c r="M955" s="72">
        <v>0</v>
      </c>
      <c r="N955" s="72">
        <f>IF(AND(C955="",J955=0,K955=0,L955=0,M955=0),"",CADASTROS!$B$4+SUM($J$2:J955)+SUM($M$2:M955)-SUM($K$2:K955)-SUM($L$2:L955))</f>
        <v>61982.23999999743</v>
      </c>
      <c r="O955" s="72">
        <f>IF(A955="","",SUMIF(RATEIOS!$A$2:$A$3142,$A955,RATEIOS!$F$2:$F$3142))</f>
        <v>8296.1200000000008</v>
      </c>
      <c r="P955" s="15">
        <f t="shared" si="29"/>
        <v>0</v>
      </c>
      <c r="Q955" s="49" t="str">
        <f>IF(AND(J955=0,K955=0,L955=0,M955=0),"",IF(O955=0,"PENDENTE DE RATEIO",IF(ABS(P955)&gt;0.005,"DIVERGÊNCIA",IF(COUNTIF(RATEIOS!$A$2:$A$3142,$A955)-COUNTIFS(RATEIOS!$A$2:$A$3142,$A955,RATEIOS!$D$2:$D$3142,"&lt;&gt;")&gt;0,"NÃO CLASSIFICADO","RATEIO OK"))))</f>
        <v>NÃO CLASSIFICADO</v>
      </c>
      <c r="R955" s="49" t="s">
        <v>2553</v>
      </c>
      <c r="S955" s="14"/>
    </row>
    <row r="956" spans="1:19" ht="24.95" customHeight="1" x14ac:dyDescent="0.25">
      <c r="A956" s="49" t="s">
        <v>2887</v>
      </c>
      <c r="B956" s="98">
        <v>955</v>
      </c>
      <c r="C956" s="50">
        <v>46295</v>
      </c>
      <c r="D956" s="49">
        <f t="shared" si="28"/>
        <v>9</v>
      </c>
      <c r="E956" s="92" t="s">
        <v>72</v>
      </c>
      <c r="F956" s="49" t="s">
        <v>36</v>
      </c>
      <c r="G956" s="14" t="s">
        <v>2788</v>
      </c>
      <c r="H956" s="14" t="s">
        <v>1216</v>
      </c>
      <c r="I956" s="76" t="s">
        <v>412</v>
      </c>
      <c r="J956" s="73">
        <v>0</v>
      </c>
      <c r="K956" s="74">
        <v>943.82</v>
      </c>
      <c r="L956" s="72">
        <v>0</v>
      </c>
      <c r="M956" s="72">
        <v>0</v>
      </c>
      <c r="N956" s="72">
        <f>IF(AND(C956="",J956=0,K956=0,L956=0,M956=0),"",CADASTROS!$B$4+SUM($J$2:J956)+SUM($M$2:M956)-SUM($K$2:K956)-SUM($L$2:L956))</f>
        <v>61038.419999997132</v>
      </c>
      <c r="O956" s="72">
        <f>IF(A956="","",SUMIF(RATEIOS!$A$2:$A$3142,$A956,RATEIOS!$F$2:$F$3142))</f>
        <v>943.82</v>
      </c>
      <c r="P956" s="15">
        <f t="shared" si="29"/>
        <v>0</v>
      </c>
      <c r="Q956" s="49" t="str">
        <f>IF(AND(J956=0,K956=0,L956=0,M956=0),"",IF(O956=0,"PENDENTE DE RATEIO",IF(ABS(P956)&gt;0.005,"DIVERGÊNCIA",IF(COUNTIF(RATEIOS!$A$2:$A$3142,$A956)-COUNTIFS(RATEIOS!$A$2:$A$3142,$A956,RATEIOS!$D$2:$D$3142,"&lt;&gt;")&gt;0,"NÃO CLASSIFICADO","RATEIO OK"))))</f>
        <v>NÃO CLASSIFICADO</v>
      </c>
      <c r="R956" s="49" t="s">
        <v>2553</v>
      </c>
      <c r="S956" s="14"/>
    </row>
    <row r="957" spans="1:19" ht="24.95" customHeight="1" x14ac:dyDescent="0.25">
      <c r="A957" s="49" t="s">
        <v>2888</v>
      </c>
      <c r="B957" s="98">
        <v>956</v>
      </c>
      <c r="C957" s="50">
        <v>46295</v>
      </c>
      <c r="D957" s="49">
        <f t="shared" si="28"/>
        <v>9</v>
      </c>
      <c r="E957" s="92" t="s">
        <v>118</v>
      </c>
      <c r="F957" s="49" t="s">
        <v>36</v>
      </c>
      <c r="G957" s="14" t="s">
        <v>2789</v>
      </c>
      <c r="H957" s="14" t="s">
        <v>1291</v>
      </c>
      <c r="I957" s="76">
        <v>1236</v>
      </c>
      <c r="J957" s="73">
        <v>0</v>
      </c>
      <c r="K957" s="74">
        <v>2649.52</v>
      </c>
      <c r="L957" s="72">
        <v>0</v>
      </c>
      <c r="M957" s="72">
        <v>0</v>
      </c>
      <c r="N957" s="72">
        <f>IF(AND(C957="",J957=0,K957=0,L957=0,M957=0),"",CADASTROS!$B$4+SUM($J$2:J957)+SUM($M$2:M957)-SUM($K$2:K957)-SUM($L$2:L957))</f>
        <v>58388.899999997579</v>
      </c>
      <c r="O957" s="72">
        <f>IF(A957="","",SUMIF(RATEIOS!$A$2:$A$3142,$A957,RATEIOS!$F$2:$F$3142))</f>
        <v>2649.52</v>
      </c>
      <c r="P957" s="15">
        <f t="shared" si="29"/>
        <v>0</v>
      </c>
      <c r="Q957" s="49" t="str">
        <f>IF(AND(J957=0,K957=0,L957=0,M957=0),"",IF(O957=0,"PENDENTE DE RATEIO",IF(ABS(P957)&gt;0.005,"DIVERGÊNCIA",IF(COUNTIF(RATEIOS!$A$2:$A$3142,$A957)-COUNTIFS(RATEIOS!$A$2:$A$3142,$A957,RATEIOS!$D$2:$D$3142,"&lt;&gt;")&gt;0,"NÃO CLASSIFICADO","RATEIO OK"))))</f>
        <v>NÃO CLASSIFICADO</v>
      </c>
      <c r="R957" s="49" t="s">
        <v>2553</v>
      </c>
      <c r="S957" s="14"/>
    </row>
    <row r="958" spans="1:19" ht="24.95" customHeight="1" x14ac:dyDescent="0.25">
      <c r="A958" s="49" t="s">
        <v>2889</v>
      </c>
      <c r="B958" s="98">
        <v>957</v>
      </c>
      <c r="C958" s="50">
        <v>46295</v>
      </c>
      <c r="D958" s="49">
        <f t="shared" si="28"/>
        <v>9</v>
      </c>
      <c r="E958" s="92" t="s">
        <v>118</v>
      </c>
      <c r="F958" s="49" t="s">
        <v>36</v>
      </c>
      <c r="G958" s="14" t="s">
        <v>2790</v>
      </c>
      <c r="H958" s="14" t="s">
        <v>143</v>
      </c>
      <c r="I958" s="76">
        <v>158863</v>
      </c>
      <c r="J958" s="73">
        <v>0</v>
      </c>
      <c r="K958" s="74">
        <v>9331.84</v>
      </c>
      <c r="L958" s="72">
        <v>0</v>
      </c>
      <c r="M958" s="72">
        <v>0</v>
      </c>
      <c r="N958" s="72">
        <f>IF(AND(C958="",J958=0,K958=0,L958=0,M958=0),"",CADASTROS!$B$4+SUM($J$2:J958)+SUM($M$2:M958)-SUM($K$2:K958)-SUM($L$2:L958))</f>
        <v>49057.059999997728</v>
      </c>
      <c r="O958" s="72">
        <f>IF(A958="","",SUMIF(RATEIOS!$A$2:$A$3142,$A958,RATEIOS!$F$2:$F$3142))</f>
        <v>9331.84</v>
      </c>
      <c r="P958" s="15">
        <f t="shared" si="29"/>
        <v>0</v>
      </c>
      <c r="Q958" s="49" t="str">
        <f>IF(AND(J958=0,K958=0,L958=0,M958=0),"",IF(O958=0,"PENDENTE DE RATEIO",IF(ABS(P958)&gt;0.005,"DIVERGÊNCIA",IF(COUNTIF(RATEIOS!$A$2:$A$3142,$A958)-COUNTIFS(RATEIOS!$A$2:$A$3142,$A958,RATEIOS!$D$2:$D$3142,"&lt;&gt;")&gt;0,"NÃO CLASSIFICADO","RATEIO OK"))))</f>
        <v>NÃO CLASSIFICADO</v>
      </c>
      <c r="R958" s="49" t="s">
        <v>2553</v>
      </c>
      <c r="S958" s="14"/>
    </row>
    <row r="959" spans="1:19" ht="24.95" customHeight="1" x14ac:dyDescent="0.25">
      <c r="A959" s="49" t="s">
        <v>2890</v>
      </c>
      <c r="B959" s="98">
        <v>958</v>
      </c>
      <c r="C959" s="50">
        <v>46295</v>
      </c>
      <c r="D959" s="49">
        <f t="shared" si="28"/>
        <v>9</v>
      </c>
      <c r="E959" s="92" t="s">
        <v>118</v>
      </c>
      <c r="F959" s="49" t="s">
        <v>36</v>
      </c>
      <c r="G959" s="14" t="s">
        <v>2791</v>
      </c>
      <c r="H959" s="14" t="s">
        <v>143</v>
      </c>
      <c r="I959" s="76">
        <v>18971</v>
      </c>
      <c r="J959" s="73">
        <v>0</v>
      </c>
      <c r="K959" s="74">
        <v>48992.160000000003</v>
      </c>
      <c r="L959" s="72">
        <v>0</v>
      </c>
      <c r="M959" s="72">
        <v>0</v>
      </c>
      <c r="N959" s="72">
        <f>IF(AND(C959="",J959=0,K959=0,L959=0,M959=0),"",CADASTROS!$B$4+SUM($J$2:J959)+SUM($M$2:M959)-SUM($K$2:K959)-SUM($L$2:L959))</f>
        <v>64.899999997578561</v>
      </c>
      <c r="O959" s="72">
        <f>IF(A959="","",SUMIF(RATEIOS!$A$2:$A$3142,$A959,RATEIOS!$F$2:$F$3142))</f>
        <v>48992.160000000003</v>
      </c>
      <c r="P959" s="15">
        <f t="shared" si="29"/>
        <v>0</v>
      </c>
      <c r="Q959" s="49" t="str">
        <f>IF(AND(J959=0,K959=0,L959=0,M959=0),"",IF(O959=0,"PENDENTE DE RATEIO",IF(ABS(P959)&gt;0.005,"DIVERGÊNCIA",IF(COUNTIF(RATEIOS!$A$2:$A$3142,$A959)-COUNTIFS(RATEIOS!$A$2:$A$3142,$A959,RATEIOS!$D$2:$D$3142,"&lt;&gt;")&gt;0,"NÃO CLASSIFICADO","RATEIO OK"))))</f>
        <v>NÃO CLASSIFICADO</v>
      </c>
      <c r="R959" s="49" t="s">
        <v>2553</v>
      </c>
      <c r="S959" s="14"/>
    </row>
    <row r="960" spans="1:19" ht="24.95" customHeight="1" x14ac:dyDescent="0.25">
      <c r="A960" s="49" t="s">
        <v>2891</v>
      </c>
      <c r="B960" s="98">
        <v>959</v>
      </c>
      <c r="C960" s="50">
        <v>46295</v>
      </c>
      <c r="D960" s="49">
        <f t="shared" si="28"/>
        <v>9</v>
      </c>
      <c r="E960" s="92" t="s">
        <v>2556</v>
      </c>
      <c r="F960" s="49" t="s">
        <v>36</v>
      </c>
      <c r="G960" s="14" t="s">
        <v>276</v>
      </c>
      <c r="H960" s="14" t="s">
        <v>277</v>
      </c>
      <c r="I960" s="76" t="s">
        <v>412</v>
      </c>
      <c r="J960" s="73">
        <v>0</v>
      </c>
      <c r="K960" s="74">
        <v>5.43</v>
      </c>
      <c r="L960" s="72">
        <v>0</v>
      </c>
      <c r="M960" s="72">
        <v>0</v>
      </c>
      <c r="N960" s="72">
        <f>IF(AND(C960="",J960=0,K960=0,L960=0,M960=0),"",CADASTROS!$B$4+SUM($J$2:J960)+SUM($M$2:M960)-SUM($K$2:K960)-SUM($L$2:L960))</f>
        <v>59.469999997876585</v>
      </c>
      <c r="O960" s="72">
        <f>IF(A960="","",SUMIF(RATEIOS!$A$2:$A$3142,$A960,RATEIOS!$F$2:$F$3142))</f>
        <v>5.43</v>
      </c>
      <c r="P960" s="15">
        <f t="shared" si="29"/>
        <v>0</v>
      </c>
      <c r="Q960" s="49" t="str">
        <f>IF(AND(J960=0,K960=0,L960=0,M960=0),"",IF(O960=0,"PENDENTE DE RATEIO",IF(ABS(P960)&gt;0.005,"DIVERGÊNCIA",IF(COUNTIF(RATEIOS!$A$2:$A$3142,$A960)-COUNTIFS(RATEIOS!$A$2:$A$3142,$A960,RATEIOS!$D$2:$D$3142,"&lt;&gt;")&gt;0,"NÃO CLASSIFICADO","RATEIO OK"))))</f>
        <v>NÃO CLASSIFICADO</v>
      </c>
      <c r="R960" s="49" t="s">
        <v>2553</v>
      </c>
      <c r="S960" s="14"/>
    </row>
    <row r="961" spans="1:19" ht="24.95" customHeight="1" x14ac:dyDescent="0.25">
      <c r="A961" s="49" t="s">
        <v>2892</v>
      </c>
      <c r="B961" s="98">
        <v>960</v>
      </c>
      <c r="C961" s="50">
        <v>46296</v>
      </c>
      <c r="D961" s="49">
        <f t="shared" si="28"/>
        <v>10</v>
      </c>
      <c r="E961" s="92" t="s">
        <v>2558</v>
      </c>
      <c r="F961" s="49" t="s">
        <v>38</v>
      </c>
      <c r="G961" s="22" t="s">
        <v>45</v>
      </c>
      <c r="H961" s="14" t="s">
        <v>45</v>
      </c>
      <c r="I961" s="91"/>
      <c r="J961" s="73">
        <v>0</v>
      </c>
      <c r="K961" s="74">
        <v>0</v>
      </c>
      <c r="L961" s="72">
        <v>0</v>
      </c>
      <c r="M961" s="72">
        <v>554.61</v>
      </c>
      <c r="N961" s="72">
        <f>IF(AND(C961="",J961=0,K961=0,L961=0,M961=0),"",CADASTROS!$B$4+SUM($J$2:J961)+SUM($M$2:M961)-SUM($K$2:K961)-SUM($L$2:L961))</f>
        <v>614.07999999821186</v>
      </c>
      <c r="O961" s="72">
        <f>IF(A961="","",SUMIF(RATEIOS!$A$2:$A$3142,$A961,RATEIOS!$F$2:$F$3142))</f>
        <v>554.61</v>
      </c>
      <c r="P961" s="15">
        <f t="shared" si="29"/>
        <v>0</v>
      </c>
      <c r="Q961" s="49" t="str">
        <f>IF(AND(J961=0,K961=0,L961=0,M961=0),"",IF(O961=0,"PENDENTE DE RATEIO",IF(ABS(P961)&gt;0.005,"DIVERGÊNCIA",IF(COUNTIF(RATEIOS!$A$2:$A$3142,$A961)-COUNTIFS(RATEIOS!$A$2:$A$3142,$A961,RATEIOS!$D$2:$D$3142,"&lt;&gt;")&gt;0,"NÃO CLASSIFICADO","RATEIO OK"))))</f>
        <v>NÃO CLASSIFICADO</v>
      </c>
      <c r="R961" s="49" t="s">
        <v>2553</v>
      </c>
      <c r="S961" s="14"/>
    </row>
    <row r="962" spans="1:19" ht="24.95" customHeight="1" x14ac:dyDescent="0.25">
      <c r="A962" s="49" t="s">
        <v>2893</v>
      </c>
      <c r="B962" s="98">
        <v>961</v>
      </c>
      <c r="C962" s="50">
        <v>46296</v>
      </c>
      <c r="D962" s="49">
        <f t="shared" ref="D962:D1025" si="30">IF(C962="","",MONTH(C962))</f>
        <v>10</v>
      </c>
      <c r="E962" s="92" t="s">
        <v>72</v>
      </c>
      <c r="F962" s="49" t="s">
        <v>36</v>
      </c>
      <c r="G962" s="14" t="s">
        <v>2793</v>
      </c>
      <c r="H962" s="14"/>
      <c r="I962" s="91" t="s">
        <v>2751</v>
      </c>
      <c r="J962" s="73">
        <v>0</v>
      </c>
      <c r="K962" s="74">
        <v>500</v>
      </c>
      <c r="L962" s="72">
        <v>0</v>
      </c>
      <c r="M962" s="72">
        <v>0</v>
      </c>
      <c r="N962" s="72">
        <f>IF(AND(C962="",J962=0,K962=0,L962=0,M962=0),"",CADASTROS!$B$4+SUM($J$2:J962)+SUM($M$2:M962)-SUM($K$2:K962)-SUM($L$2:L962))</f>
        <v>114.07999999821186</v>
      </c>
      <c r="O962" s="72">
        <f>IF(A962="","",SUMIF(RATEIOS!$A$2:$A$3142,$A962,RATEIOS!$F$2:$F$3142))</f>
        <v>500</v>
      </c>
      <c r="P962" s="15">
        <f t="shared" ref="P962:P1025" si="31">IF(A962="","",(J962+K962+L962+M962)-O962)</f>
        <v>0</v>
      </c>
      <c r="Q962" s="49" t="str">
        <f>IF(AND(J962=0,K962=0,L962=0,M962=0),"",IF(O962=0,"PENDENTE DE RATEIO",IF(ABS(P962)&gt;0.005,"DIVERGÊNCIA",IF(COUNTIF(RATEIOS!$A$2:$A$3142,$A962)-COUNTIFS(RATEIOS!$A$2:$A$3142,$A962,RATEIOS!$D$2:$D$3142,"&lt;&gt;")&gt;0,"NÃO CLASSIFICADO","RATEIO OK"))))</f>
        <v>NÃO CLASSIFICADO</v>
      </c>
      <c r="R962" s="49" t="s">
        <v>2553</v>
      </c>
      <c r="S962" s="14"/>
    </row>
    <row r="963" spans="1:19" ht="24.95" customHeight="1" x14ac:dyDescent="0.25">
      <c r="A963" s="49" t="s">
        <v>2894</v>
      </c>
      <c r="B963" s="98">
        <v>962</v>
      </c>
      <c r="C963" s="50">
        <v>46296</v>
      </c>
      <c r="D963" s="49">
        <f t="shared" si="30"/>
        <v>10</v>
      </c>
      <c r="E963" s="92" t="s">
        <v>118</v>
      </c>
      <c r="F963" s="49" t="s">
        <v>36</v>
      </c>
      <c r="G963" s="14" t="s">
        <v>2795</v>
      </c>
      <c r="H963" s="14" t="s">
        <v>59</v>
      </c>
      <c r="I963" s="76" t="s">
        <v>2796</v>
      </c>
      <c r="J963" s="73">
        <v>0</v>
      </c>
      <c r="K963" s="74">
        <v>2376</v>
      </c>
      <c r="L963" s="72">
        <v>0</v>
      </c>
      <c r="M963" s="72">
        <v>0</v>
      </c>
      <c r="N963" s="72">
        <f>IF(AND(C963="",J963=0,K963=0,L963=0,M963=0),"",CADASTROS!$B$4+SUM($J$2:J963)+SUM($M$2:M963)-SUM($K$2:K963)-SUM($L$2:L963))</f>
        <v>-2261.9200000017881</v>
      </c>
      <c r="O963" s="72">
        <f>IF(A963="","",SUMIF(RATEIOS!$A$2:$A$3142,$A963,RATEIOS!$F$2:$F$3142))</f>
        <v>2376</v>
      </c>
      <c r="P963" s="15">
        <f t="shared" si="31"/>
        <v>0</v>
      </c>
      <c r="Q963" s="49" t="str">
        <f>IF(AND(J963=0,K963=0,L963=0,M963=0),"",IF(O963=0,"PENDENTE DE RATEIO",IF(ABS(P963)&gt;0.005,"DIVERGÊNCIA",IF(COUNTIF(RATEIOS!$A$2:$A$3142,$A963)-COUNTIFS(RATEIOS!$A$2:$A$3142,$A963,RATEIOS!$D$2:$D$3142,"&lt;&gt;")&gt;0,"NÃO CLASSIFICADO","RATEIO OK"))))</f>
        <v>NÃO CLASSIFICADO</v>
      </c>
      <c r="R963" s="49" t="s">
        <v>2553</v>
      </c>
      <c r="S963" s="14"/>
    </row>
    <row r="964" spans="1:19" ht="24.95" customHeight="1" x14ac:dyDescent="0.25">
      <c r="A964" s="49" t="s">
        <v>2895</v>
      </c>
      <c r="B964" s="98">
        <v>963</v>
      </c>
      <c r="C964" s="50">
        <v>46296</v>
      </c>
      <c r="D964" s="49">
        <f t="shared" si="30"/>
        <v>10</v>
      </c>
      <c r="E964" s="92" t="s">
        <v>118</v>
      </c>
      <c r="F964" s="49" t="s">
        <v>36</v>
      </c>
      <c r="G964" s="14" t="s">
        <v>1238</v>
      </c>
      <c r="H964" s="14" t="s">
        <v>51</v>
      </c>
      <c r="I964" s="76">
        <v>89531</v>
      </c>
      <c r="J964" s="73">
        <v>0</v>
      </c>
      <c r="K964" s="74">
        <v>1041.6500000000001</v>
      </c>
      <c r="L964" s="72">
        <v>0</v>
      </c>
      <c r="M964" s="72">
        <v>0</v>
      </c>
      <c r="N964" s="72">
        <f>IF(AND(C964="",J964=0,K964=0,L964=0,M964=0),"",CADASTROS!$B$4+SUM($J$2:J964)+SUM($M$2:M964)-SUM($K$2:K964)-SUM($L$2:L964))</f>
        <v>-3303.5700000021607</v>
      </c>
      <c r="O964" s="72">
        <f>IF(A964="","",SUMIF(RATEIOS!$A$2:$A$3142,$A964,RATEIOS!$F$2:$F$3142))</f>
        <v>1041.6500000000001</v>
      </c>
      <c r="P964" s="15">
        <f t="shared" si="31"/>
        <v>0</v>
      </c>
      <c r="Q964" s="49" t="str">
        <f>IF(AND(J964=0,K964=0,L964=0,M964=0),"",IF(O964=0,"PENDENTE DE RATEIO",IF(ABS(P964)&gt;0.005,"DIVERGÊNCIA",IF(COUNTIF(RATEIOS!$A$2:$A$3142,$A964)-COUNTIFS(RATEIOS!$A$2:$A$3142,$A964,RATEIOS!$D$2:$D$3142,"&lt;&gt;")&gt;0,"NÃO CLASSIFICADO","RATEIO OK"))))</f>
        <v>NÃO CLASSIFICADO</v>
      </c>
      <c r="R964" s="49" t="s">
        <v>2553</v>
      </c>
      <c r="S964" s="14"/>
    </row>
    <row r="965" spans="1:19" ht="24.95" customHeight="1" x14ac:dyDescent="0.25">
      <c r="A965" s="49" t="s">
        <v>2896</v>
      </c>
      <c r="B965" s="98">
        <v>964</v>
      </c>
      <c r="C965" s="50">
        <v>46296</v>
      </c>
      <c r="D965" s="49">
        <f t="shared" si="30"/>
        <v>10</v>
      </c>
      <c r="E965" s="92" t="s">
        <v>118</v>
      </c>
      <c r="F965" s="49" t="s">
        <v>36</v>
      </c>
      <c r="G965" s="14" t="s">
        <v>1147</v>
      </c>
      <c r="H965" s="14" t="s">
        <v>51</v>
      </c>
      <c r="I965" s="76">
        <v>89952</v>
      </c>
      <c r="J965" s="73">
        <v>0</v>
      </c>
      <c r="K965" s="74">
        <v>1171.24</v>
      </c>
      <c r="L965" s="72">
        <v>0</v>
      </c>
      <c r="M965" s="72">
        <v>0</v>
      </c>
      <c r="N965" s="72">
        <f>IF(AND(C965="",J965=0,K965=0,L965=0,M965=0),"",CADASTROS!$B$4+SUM($J$2:J965)+SUM($M$2:M965)-SUM($K$2:K965)-SUM($L$2:L965))</f>
        <v>-4474.8100000023842</v>
      </c>
      <c r="O965" s="72">
        <f>IF(A965="","",SUMIF(RATEIOS!$A$2:$A$3142,$A965,RATEIOS!$F$2:$F$3142))</f>
        <v>1171.24</v>
      </c>
      <c r="P965" s="15">
        <f t="shared" si="31"/>
        <v>0</v>
      </c>
      <c r="Q965" s="49" t="str">
        <f>IF(AND(J965=0,K965=0,L965=0,M965=0),"",IF(O965=0,"PENDENTE DE RATEIO",IF(ABS(P965)&gt;0.005,"DIVERGÊNCIA",IF(COUNTIF(RATEIOS!$A$2:$A$3142,$A965)-COUNTIFS(RATEIOS!$A$2:$A$3142,$A965,RATEIOS!$D$2:$D$3142,"&lt;&gt;")&gt;0,"NÃO CLASSIFICADO","RATEIO OK"))))</f>
        <v>NÃO CLASSIFICADO</v>
      </c>
      <c r="R965" s="49" t="s">
        <v>2553</v>
      </c>
      <c r="S965" s="14"/>
    </row>
    <row r="966" spans="1:19" ht="24.95" customHeight="1" x14ac:dyDescent="0.25">
      <c r="A966" s="49" t="s">
        <v>2897</v>
      </c>
      <c r="B966" s="98">
        <v>965</v>
      </c>
      <c r="C966" s="50">
        <v>46296</v>
      </c>
      <c r="D966" s="49">
        <f t="shared" si="30"/>
        <v>10</v>
      </c>
      <c r="E966" s="92" t="s">
        <v>118</v>
      </c>
      <c r="F966" s="49" t="s">
        <v>36</v>
      </c>
      <c r="G966" s="14" t="s">
        <v>2797</v>
      </c>
      <c r="H966" s="14" t="s">
        <v>51</v>
      </c>
      <c r="I966" s="76" t="s">
        <v>3039</v>
      </c>
      <c r="J966" s="73">
        <v>0</v>
      </c>
      <c r="K966" s="74">
        <v>1301.82</v>
      </c>
      <c r="L966" s="72">
        <v>0</v>
      </c>
      <c r="M966" s="72">
        <v>0</v>
      </c>
      <c r="N966" s="72">
        <f>IF(AND(C966="",J966=0,K966=0,L966=0,M966=0),"",CADASTROS!$B$4+SUM($J$2:J966)+SUM($M$2:M966)-SUM($K$2:K966)-SUM($L$2:L966))</f>
        <v>-5776.6300000026822</v>
      </c>
      <c r="O966" s="72">
        <f>IF(A966="","",SUMIF(RATEIOS!$A$2:$A$3142,$A966,RATEIOS!$F$2:$F$3142))</f>
        <v>1301.82</v>
      </c>
      <c r="P966" s="15">
        <f t="shared" si="31"/>
        <v>0</v>
      </c>
      <c r="Q966" s="49" t="str">
        <f>IF(AND(J966=0,K966=0,L966=0,M966=0),"",IF(O966=0,"PENDENTE DE RATEIO",IF(ABS(P966)&gt;0.005,"DIVERGÊNCIA",IF(COUNTIF(RATEIOS!$A$2:$A$3142,$A966)-COUNTIFS(RATEIOS!$A$2:$A$3142,$A966,RATEIOS!$D$2:$D$3142,"&lt;&gt;")&gt;0,"NÃO CLASSIFICADO","RATEIO OK"))))</f>
        <v>NÃO CLASSIFICADO</v>
      </c>
      <c r="R966" s="49" t="s">
        <v>2553</v>
      </c>
      <c r="S966" s="14"/>
    </row>
    <row r="967" spans="1:19" ht="24.95" customHeight="1" x14ac:dyDescent="0.25">
      <c r="A967" s="49" t="s">
        <v>2898</v>
      </c>
      <c r="B967" s="98">
        <v>966</v>
      </c>
      <c r="C967" s="50">
        <v>46296</v>
      </c>
      <c r="D967" s="49">
        <f t="shared" si="30"/>
        <v>10</v>
      </c>
      <c r="E967" s="92" t="s">
        <v>118</v>
      </c>
      <c r="F967" s="49" t="s">
        <v>36</v>
      </c>
      <c r="G967" s="14" t="s">
        <v>2798</v>
      </c>
      <c r="H967" s="14" t="s">
        <v>188</v>
      </c>
      <c r="I967" s="76">
        <v>80931</v>
      </c>
      <c r="J967" s="73">
        <v>0</v>
      </c>
      <c r="K967" s="74">
        <v>1510</v>
      </c>
      <c r="L967" s="72">
        <v>0</v>
      </c>
      <c r="M967" s="72">
        <v>0</v>
      </c>
      <c r="N967" s="72">
        <f>IF(AND(C967="",J967=0,K967=0,L967=0,M967=0),"",CADASTROS!$B$4+SUM($J$2:J967)+SUM($M$2:M967)-SUM($K$2:K967)-SUM($L$2:L967))</f>
        <v>-7286.6300000026822</v>
      </c>
      <c r="O967" s="72">
        <f>IF(A967="","",SUMIF(RATEIOS!$A$2:$A$3142,$A967,RATEIOS!$F$2:$F$3142))</f>
        <v>1510</v>
      </c>
      <c r="P967" s="15">
        <f t="shared" si="31"/>
        <v>0</v>
      </c>
      <c r="Q967" s="49" t="str">
        <f>IF(AND(J967=0,K967=0,L967=0,M967=0),"",IF(O967=0,"PENDENTE DE RATEIO",IF(ABS(P967)&gt;0.005,"DIVERGÊNCIA",IF(COUNTIF(RATEIOS!$A$2:$A$3142,$A967)-COUNTIFS(RATEIOS!$A$2:$A$3142,$A967,RATEIOS!$D$2:$D$3142,"&lt;&gt;")&gt;0,"NÃO CLASSIFICADO","RATEIO OK"))))</f>
        <v>NÃO CLASSIFICADO</v>
      </c>
      <c r="R967" s="49" t="s">
        <v>2553</v>
      </c>
      <c r="S967" s="14"/>
    </row>
    <row r="968" spans="1:19" ht="24.95" customHeight="1" x14ac:dyDescent="0.25">
      <c r="A968" s="49" t="s">
        <v>2899</v>
      </c>
      <c r="B968" s="98">
        <v>967</v>
      </c>
      <c r="C968" s="50">
        <v>46296</v>
      </c>
      <c r="D968" s="49">
        <f t="shared" si="30"/>
        <v>10</v>
      </c>
      <c r="E968" s="92" t="s">
        <v>118</v>
      </c>
      <c r="F968" s="49" t="s">
        <v>36</v>
      </c>
      <c r="G968" s="14" t="s">
        <v>2799</v>
      </c>
      <c r="H968" s="14" t="s">
        <v>252</v>
      </c>
      <c r="I968" s="76">
        <v>364573</v>
      </c>
      <c r="J968" s="73">
        <v>0</v>
      </c>
      <c r="K968" s="74">
        <v>17570</v>
      </c>
      <c r="L968" s="72">
        <v>0</v>
      </c>
      <c r="M968" s="72">
        <v>0</v>
      </c>
      <c r="N968" s="72">
        <f>IF(AND(C968="",J968=0,K968=0,L968=0,M968=0),"",CADASTROS!$B$4+SUM($J$2:J968)+SUM($M$2:M968)-SUM($K$2:K968)-SUM($L$2:L968))</f>
        <v>-24856.630000002682</v>
      </c>
      <c r="O968" s="72">
        <f>IF(A968="","",SUMIF(RATEIOS!$A$2:$A$3142,$A968,RATEIOS!$F$2:$F$3142))</f>
        <v>17570</v>
      </c>
      <c r="P968" s="15">
        <f t="shared" si="31"/>
        <v>0</v>
      </c>
      <c r="Q968" s="49" t="str">
        <f>IF(AND(J968=0,K968=0,L968=0,M968=0),"",IF(O968=0,"PENDENTE DE RATEIO",IF(ABS(P968)&gt;0.005,"DIVERGÊNCIA",IF(COUNTIF(RATEIOS!$A$2:$A$3142,$A968)-COUNTIFS(RATEIOS!$A$2:$A$3142,$A968,RATEIOS!$D$2:$D$3142,"&lt;&gt;")&gt;0,"NÃO CLASSIFICADO","RATEIO OK"))))</f>
        <v>NÃO CLASSIFICADO</v>
      </c>
      <c r="R968" s="49" t="s">
        <v>2553</v>
      </c>
      <c r="S968" s="14"/>
    </row>
    <row r="969" spans="1:19" ht="24.95" customHeight="1" x14ac:dyDescent="0.25">
      <c r="A969" s="49" t="s">
        <v>2900</v>
      </c>
      <c r="B969" s="98">
        <v>968</v>
      </c>
      <c r="C969" s="50">
        <v>46296</v>
      </c>
      <c r="D969" s="49">
        <f t="shared" si="30"/>
        <v>10</v>
      </c>
      <c r="E969" s="92" t="s">
        <v>118</v>
      </c>
      <c r="F969" s="49" t="s">
        <v>36</v>
      </c>
      <c r="G969" s="14" t="s">
        <v>2800</v>
      </c>
      <c r="H969" s="14" t="s">
        <v>143</v>
      </c>
      <c r="I969" s="76">
        <v>191321</v>
      </c>
      <c r="J969" s="73">
        <v>0</v>
      </c>
      <c r="K969" s="74">
        <v>2505</v>
      </c>
      <c r="L969" s="72">
        <v>0</v>
      </c>
      <c r="M969" s="72">
        <v>0</v>
      </c>
      <c r="N969" s="72">
        <f>IF(AND(C969="",J969=0,K969=0,L969=0,M969=0),"",CADASTROS!$B$4+SUM($J$2:J969)+SUM($M$2:M969)-SUM($K$2:K969)-SUM($L$2:L969))</f>
        <v>-27361.630000002682</v>
      </c>
      <c r="O969" s="72">
        <f>IF(A969="","",SUMIF(RATEIOS!$A$2:$A$3142,$A969,RATEIOS!$F$2:$F$3142))</f>
        <v>2505</v>
      </c>
      <c r="P969" s="15">
        <f t="shared" si="31"/>
        <v>0</v>
      </c>
      <c r="Q969" s="49" t="str">
        <f>IF(AND(J969=0,K969=0,L969=0,M969=0),"",IF(O969=0,"PENDENTE DE RATEIO",IF(ABS(P969)&gt;0.005,"DIVERGÊNCIA",IF(COUNTIF(RATEIOS!$A$2:$A$3142,$A969)-COUNTIFS(RATEIOS!$A$2:$A$3142,$A969,RATEIOS!$D$2:$D$3142,"&lt;&gt;")&gt;0,"NÃO CLASSIFICADO","RATEIO OK"))))</f>
        <v>NÃO CLASSIFICADO</v>
      </c>
      <c r="R969" s="49" t="s">
        <v>2553</v>
      </c>
      <c r="S969" s="14"/>
    </row>
    <row r="970" spans="1:19" ht="24.95" customHeight="1" x14ac:dyDescent="0.25">
      <c r="A970" s="49" t="s">
        <v>2901</v>
      </c>
      <c r="B970" s="98">
        <v>969</v>
      </c>
      <c r="C970" s="50">
        <v>46296</v>
      </c>
      <c r="D970" s="49">
        <f t="shared" si="30"/>
        <v>10</v>
      </c>
      <c r="E970" s="92" t="s">
        <v>118</v>
      </c>
      <c r="F970" s="49" t="s">
        <v>36</v>
      </c>
      <c r="G970" s="14" t="s">
        <v>2801</v>
      </c>
      <c r="H970" s="14" t="s">
        <v>59</v>
      </c>
      <c r="I970" s="76">
        <v>1303</v>
      </c>
      <c r="J970" s="73">
        <v>0</v>
      </c>
      <c r="K970" s="74">
        <v>2895</v>
      </c>
      <c r="L970" s="72">
        <v>0</v>
      </c>
      <c r="M970" s="72">
        <v>0</v>
      </c>
      <c r="N970" s="72">
        <f>IF(AND(C970="",J970=0,K970=0,L970=0,M970=0),"",CADASTROS!$B$4+SUM($J$2:J970)+SUM($M$2:M970)-SUM($K$2:K970)-SUM($L$2:L970))</f>
        <v>-30256.630000002682</v>
      </c>
      <c r="O970" s="72">
        <f>IF(A970="","",SUMIF(RATEIOS!$A$2:$A$3142,$A970,RATEIOS!$F$2:$F$3142))</f>
        <v>2895</v>
      </c>
      <c r="P970" s="15">
        <f t="shared" si="31"/>
        <v>0</v>
      </c>
      <c r="Q970" s="49" t="str">
        <f>IF(AND(J970=0,K970=0,L970=0,M970=0),"",IF(O970=0,"PENDENTE DE RATEIO",IF(ABS(P970)&gt;0.005,"DIVERGÊNCIA",IF(COUNTIF(RATEIOS!$A$2:$A$3142,$A970)-COUNTIFS(RATEIOS!$A$2:$A$3142,$A970,RATEIOS!$D$2:$D$3142,"&lt;&gt;")&gt;0,"NÃO CLASSIFICADO","RATEIO OK"))))</f>
        <v>NÃO CLASSIFICADO</v>
      </c>
      <c r="R970" s="49" t="s">
        <v>2553</v>
      </c>
      <c r="S970" s="14"/>
    </row>
    <row r="971" spans="1:19" ht="24.95" customHeight="1" x14ac:dyDescent="0.25">
      <c r="A971" s="49" t="s">
        <v>2902</v>
      </c>
      <c r="B971" s="98">
        <v>970</v>
      </c>
      <c r="C971" s="50">
        <v>46296</v>
      </c>
      <c r="D971" s="49">
        <f t="shared" si="30"/>
        <v>10</v>
      </c>
      <c r="E971" s="92" t="s">
        <v>118</v>
      </c>
      <c r="F971" s="49" t="s">
        <v>36</v>
      </c>
      <c r="G971" s="14" t="s">
        <v>1244</v>
      </c>
      <c r="H971" s="14" t="s">
        <v>59</v>
      </c>
      <c r="I971" s="76">
        <v>1170</v>
      </c>
      <c r="J971" s="73">
        <v>0</v>
      </c>
      <c r="K971" s="74">
        <v>3670</v>
      </c>
      <c r="L971" s="72">
        <v>0</v>
      </c>
      <c r="M971" s="72">
        <v>0</v>
      </c>
      <c r="N971" s="72">
        <f>IF(AND(C971="",J971=0,K971=0,L971=0,M971=0),"",CADASTROS!$B$4+SUM($J$2:J971)+SUM($M$2:M971)-SUM($K$2:K971)-SUM($L$2:L971))</f>
        <v>-33926.630000002682</v>
      </c>
      <c r="O971" s="72">
        <f>IF(A971="","",SUMIF(RATEIOS!$A$2:$A$3142,$A971,RATEIOS!$F$2:$F$3142))</f>
        <v>3670</v>
      </c>
      <c r="P971" s="15">
        <f t="shared" si="31"/>
        <v>0</v>
      </c>
      <c r="Q971" s="49" t="str">
        <f>IF(AND(J971=0,K971=0,L971=0,M971=0),"",IF(O971=0,"PENDENTE DE RATEIO",IF(ABS(P971)&gt;0.005,"DIVERGÊNCIA",IF(COUNTIF(RATEIOS!$A$2:$A$3142,$A971)-COUNTIFS(RATEIOS!$A$2:$A$3142,$A971,RATEIOS!$D$2:$D$3142,"&lt;&gt;")&gt;0,"NÃO CLASSIFICADO","RATEIO OK"))))</f>
        <v>NÃO CLASSIFICADO</v>
      </c>
      <c r="R971" s="49" t="s">
        <v>2553</v>
      </c>
      <c r="S971" s="14"/>
    </row>
    <row r="972" spans="1:19" ht="24.95" customHeight="1" x14ac:dyDescent="0.25">
      <c r="A972" s="49" t="s">
        <v>2903</v>
      </c>
      <c r="B972" s="98">
        <v>971</v>
      </c>
      <c r="C972" s="50">
        <v>46296</v>
      </c>
      <c r="D972" s="49">
        <f t="shared" si="30"/>
        <v>10</v>
      </c>
      <c r="E972" s="92" t="s">
        <v>118</v>
      </c>
      <c r="F972" s="49" t="s">
        <v>36</v>
      </c>
      <c r="G972" s="14" t="s">
        <v>2802</v>
      </c>
      <c r="H972" s="14" t="s">
        <v>143</v>
      </c>
      <c r="I972" s="76">
        <v>25924</v>
      </c>
      <c r="J972" s="73">
        <v>0</v>
      </c>
      <c r="K972" s="74">
        <v>7951.25</v>
      </c>
      <c r="L972" s="72">
        <v>0</v>
      </c>
      <c r="M972" s="72">
        <v>0</v>
      </c>
      <c r="N972" s="72">
        <f>IF(AND(C972="",J972=0,K972=0,L972=0,M972=0),"",CADASTROS!$B$4+SUM($J$2:J972)+SUM($M$2:M972)-SUM($K$2:K972)-SUM($L$2:L972))</f>
        <v>-41877.880000002682</v>
      </c>
      <c r="O972" s="72">
        <f>IF(A972="","",SUMIF(RATEIOS!$A$2:$A$3142,$A972,RATEIOS!$F$2:$F$3142))</f>
        <v>7951.25</v>
      </c>
      <c r="P972" s="15">
        <f t="shared" si="31"/>
        <v>0</v>
      </c>
      <c r="Q972" s="49" t="str">
        <f>IF(AND(J972=0,K972=0,L972=0,M972=0),"",IF(O972=0,"PENDENTE DE RATEIO",IF(ABS(P972)&gt;0.005,"DIVERGÊNCIA",IF(COUNTIF(RATEIOS!$A$2:$A$3142,$A972)-COUNTIFS(RATEIOS!$A$2:$A$3142,$A972,RATEIOS!$D$2:$D$3142,"&lt;&gt;")&gt;0,"NÃO CLASSIFICADO","RATEIO OK"))))</f>
        <v>NÃO CLASSIFICADO</v>
      </c>
      <c r="R972" s="49" t="s">
        <v>2553</v>
      </c>
      <c r="S972" s="14"/>
    </row>
    <row r="973" spans="1:19" ht="24.95" customHeight="1" x14ac:dyDescent="0.25">
      <c r="A973" s="49" t="s">
        <v>2904</v>
      </c>
      <c r="B973" s="98">
        <v>972</v>
      </c>
      <c r="C973" s="50">
        <v>46296</v>
      </c>
      <c r="D973" s="49">
        <f t="shared" si="30"/>
        <v>10</v>
      </c>
      <c r="E973" s="92" t="s">
        <v>118</v>
      </c>
      <c r="F973" s="49" t="s">
        <v>36</v>
      </c>
      <c r="G973" s="14" t="s">
        <v>2803</v>
      </c>
      <c r="H973" s="14" t="s">
        <v>252</v>
      </c>
      <c r="I973" s="76">
        <v>366475</v>
      </c>
      <c r="J973" s="73">
        <v>0</v>
      </c>
      <c r="K973" s="74">
        <v>21592.2</v>
      </c>
      <c r="L973" s="72">
        <v>0</v>
      </c>
      <c r="M973" s="72">
        <v>0</v>
      </c>
      <c r="N973" s="72">
        <f>IF(AND(C973="",J973=0,K973=0,L973=0,M973=0),"",CADASTROS!$B$4+SUM($J$2:J973)+SUM($M$2:M973)-SUM($K$2:K973)-SUM($L$2:L973))</f>
        <v>-63470.080000002868</v>
      </c>
      <c r="O973" s="72">
        <f>IF(A973="","",SUMIF(RATEIOS!$A$2:$A$3142,$A973,RATEIOS!$F$2:$F$3142))</f>
        <v>21592.2</v>
      </c>
      <c r="P973" s="15">
        <f t="shared" si="31"/>
        <v>0</v>
      </c>
      <c r="Q973" s="49" t="str">
        <f>IF(AND(J973=0,K973=0,L973=0,M973=0),"",IF(O973=0,"PENDENTE DE RATEIO",IF(ABS(P973)&gt;0.005,"DIVERGÊNCIA",IF(COUNTIF(RATEIOS!$A$2:$A$3142,$A973)-COUNTIFS(RATEIOS!$A$2:$A$3142,$A973,RATEIOS!$D$2:$D$3142,"&lt;&gt;")&gt;0,"NÃO CLASSIFICADO","RATEIO OK"))))</f>
        <v>NÃO CLASSIFICADO</v>
      </c>
      <c r="R973" s="49" t="s">
        <v>2553</v>
      </c>
      <c r="S973" s="14"/>
    </row>
    <row r="974" spans="1:19" ht="24.95" customHeight="1" x14ac:dyDescent="0.25">
      <c r="A974" s="49" t="s">
        <v>2905</v>
      </c>
      <c r="B974" s="98">
        <v>973</v>
      </c>
      <c r="C974" s="50">
        <v>46296</v>
      </c>
      <c r="D974" s="49">
        <f t="shared" si="30"/>
        <v>10</v>
      </c>
      <c r="E974" s="92" t="s">
        <v>118</v>
      </c>
      <c r="F974" s="49" t="s">
        <v>36</v>
      </c>
      <c r="G974" s="90" t="s">
        <v>2804</v>
      </c>
      <c r="H974" s="14" t="s">
        <v>84</v>
      </c>
      <c r="I974" s="76" t="s">
        <v>412</v>
      </c>
      <c r="J974" s="73">
        <v>0</v>
      </c>
      <c r="K974" s="74">
        <v>24976.3</v>
      </c>
      <c r="L974" s="72">
        <v>0</v>
      </c>
      <c r="M974" s="72">
        <v>0</v>
      </c>
      <c r="N974" s="72">
        <f>IF(AND(C974="",J974=0,K974=0,L974=0,M974=0),"",CADASTROS!$B$4+SUM($J$2:J974)+SUM($M$2:M974)-SUM($K$2:K974)-SUM($L$2:L974))</f>
        <v>-88446.380000002682</v>
      </c>
      <c r="O974" s="72">
        <f>IF(A974="","",SUMIF(RATEIOS!$A$2:$A$3142,$A974,RATEIOS!$F$2:$F$3142))</f>
        <v>24976.3</v>
      </c>
      <c r="P974" s="15">
        <f t="shared" si="31"/>
        <v>0</v>
      </c>
      <c r="Q974" s="49" t="str">
        <f>IF(AND(J974=0,K974=0,L974=0,M974=0),"",IF(O974=0,"PENDENTE DE RATEIO",IF(ABS(P974)&gt;0.005,"DIVERGÊNCIA",IF(COUNTIF(RATEIOS!$A$2:$A$3142,$A974)-COUNTIFS(RATEIOS!$A$2:$A$3142,$A974,RATEIOS!$D$2:$D$3142,"&lt;&gt;")&gt;0,"NÃO CLASSIFICADO","RATEIO OK"))))</f>
        <v>NÃO CLASSIFICADO</v>
      </c>
      <c r="R974" s="49" t="s">
        <v>2553</v>
      </c>
      <c r="S974" s="14"/>
    </row>
    <row r="975" spans="1:19" ht="24.95" customHeight="1" x14ac:dyDescent="0.25">
      <c r="A975" s="49" t="s">
        <v>2906</v>
      </c>
      <c r="B975" s="98">
        <v>974</v>
      </c>
      <c r="C975" s="50">
        <v>46296</v>
      </c>
      <c r="D975" s="49">
        <f t="shared" si="30"/>
        <v>10</v>
      </c>
      <c r="E975" s="92" t="s">
        <v>2558</v>
      </c>
      <c r="F975" s="49" t="s">
        <v>38</v>
      </c>
      <c r="G975" s="14" t="s">
        <v>45</v>
      </c>
      <c r="H975" s="14" t="s">
        <v>45</v>
      </c>
      <c r="I975" s="76"/>
      <c r="J975" s="73">
        <v>0</v>
      </c>
      <c r="K975" s="74">
        <v>0</v>
      </c>
      <c r="L975" s="72">
        <v>0</v>
      </c>
      <c r="M975" s="72">
        <v>88500</v>
      </c>
      <c r="N975" s="72">
        <f>IF(AND(C975="",J975=0,K975=0,L975=0,M975=0),"",CADASTROS!$B$4+SUM($J$2:J975)+SUM($M$2:M975)-SUM($K$2:K975)-SUM($L$2:L975))</f>
        <v>53.619999997317791</v>
      </c>
      <c r="O975" s="72">
        <f>IF(A975="","",SUMIF(RATEIOS!$A$2:$A$3142,$A975,RATEIOS!$F$2:$F$3142))</f>
        <v>88500</v>
      </c>
      <c r="P975" s="15">
        <f t="shared" si="31"/>
        <v>0</v>
      </c>
      <c r="Q975" s="49" t="str">
        <f>IF(AND(J975=0,K975=0,L975=0,M975=0),"",IF(O975=0,"PENDENTE DE RATEIO",IF(ABS(P975)&gt;0.005,"DIVERGÊNCIA",IF(COUNTIF(RATEIOS!$A$2:$A$3142,$A975)-COUNTIFS(RATEIOS!$A$2:$A$3142,$A975,RATEIOS!$D$2:$D$3142,"&lt;&gt;")&gt;0,"NÃO CLASSIFICADO","RATEIO OK"))))</f>
        <v>NÃO CLASSIFICADO</v>
      </c>
      <c r="R975" s="49" t="s">
        <v>2553</v>
      </c>
      <c r="S975" s="14"/>
    </row>
    <row r="976" spans="1:19" ht="24.95" customHeight="1" x14ac:dyDescent="0.25">
      <c r="A976" s="49" t="s">
        <v>2907</v>
      </c>
      <c r="B976" s="98">
        <v>975</v>
      </c>
      <c r="C976" s="50">
        <v>46297</v>
      </c>
      <c r="D976" s="49">
        <f t="shared" si="30"/>
        <v>10</v>
      </c>
      <c r="E976" s="92" t="s">
        <v>2558</v>
      </c>
      <c r="F976" s="49" t="s">
        <v>38</v>
      </c>
      <c r="G976" s="14" t="s">
        <v>45</v>
      </c>
      <c r="H976" s="14" t="s">
        <v>45</v>
      </c>
      <c r="I976" s="76"/>
      <c r="J976" s="73">
        <v>0</v>
      </c>
      <c r="K976" s="74">
        <v>0</v>
      </c>
      <c r="L976" s="72">
        <v>0</v>
      </c>
      <c r="M976" s="72">
        <v>738.09</v>
      </c>
      <c r="N976" s="72">
        <f>IF(AND(C976="",J976=0,K976=0,L976=0,M976=0),"",CADASTROS!$B$4+SUM($J$2:J976)+SUM($M$2:M976)-SUM($K$2:K976)-SUM($L$2:L976))</f>
        <v>791.70999999716878</v>
      </c>
      <c r="O976" s="72">
        <f>IF(A976="","",SUMIF(RATEIOS!$A$2:$A$3142,$A976,RATEIOS!$F$2:$F$3142))</f>
        <v>738.09</v>
      </c>
      <c r="P976" s="15">
        <f t="shared" si="31"/>
        <v>0</v>
      </c>
      <c r="Q976" s="49" t="str">
        <f>IF(AND(J976=0,K976=0,L976=0,M976=0),"",IF(O976=0,"PENDENTE DE RATEIO",IF(ABS(P976)&gt;0.005,"DIVERGÊNCIA",IF(COUNTIF(RATEIOS!$A$2:$A$3142,$A976)-COUNTIFS(RATEIOS!$A$2:$A$3142,$A976,RATEIOS!$D$2:$D$3142,"&lt;&gt;")&gt;0,"NÃO CLASSIFICADO","RATEIO OK"))))</f>
        <v>NÃO CLASSIFICADO</v>
      </c>
      <c r="R976" s="49" t="s">
        <v>2553</v>
      </c>
      <c r="S976" s="14"/>
    </row>
    <row r="977" spans="1:19" ht="24.95" customHeight="1" x14ac:dyDescent="0.25">
      <c r="A977" s="49" t="s">
        <v>2908</v>
      </c>
      <c r="B977" s="98">
        <v>976</v>
      </c>
      <c r="C977" s="50">
        <v>46297</v>
      </c>
      <c r="D977" s="49">
        <f t="shared" si="30"/>
        <v>10</v>
      </c>
      <c r="E977" s="92" t="s">
        <v>118</v>
      </c>
      <c r="F977" s="49" t="s">
        <v>36</v>
      </c>
      <c r="G977" s="14" t="s">
        <v>2805</v>
      </c>
      <c r="H977" s="14" t="s">
        <v>2692</v>
      </c>
      <c r="I977" s="76" t="s">
        <v>2693</v>
      </c>
      <c r="J977" s="73">
        <v>0</v>
      </c>
      <c r="K977" s="74">
        <v>1295</v>
      </c>
      <c r="L977" s="72">
        <v>0</v>
      </c>
      <c r="M977" s="72">
        <v>0</v>
      </c>
      <c r="N977" s="72">
        <f>IF(AND(C977="",J977=0,K977=0,L977=0,M977=0),"",CADASTROS!$B$4+SUM($J$2:J977)+SUM($M$2:M977)-SUM($K$2:K977)-SUM($L$2:L977))</f>
        <v>-503.29000000283122</v>
      </c>
      <c r="O977" s="72">
        <f>IF(A977="","",SUMIF(RATEIOS!$A$2:$A$3142,$A977,RATEIOS!$F$2:$F$3142))</f>
        <v>1295</v>
      </c>
      <c r="P977" s="15">
        <f t="shared" si="31"/>
        <v>0</v>
      </c>
      <c r="Q977" s="49" t="str">
        <f>IF(AND(J977=0,K977=0,L977=0,M977=0),"",IF(O977=0,"PENDENTE DE RATEIO",IF(ABS(P977)&gt;0.005,"DIVERGÊNCIA",IF(COUNTIF(RATEIOS!$A$2:$A$3142,$A977)-COUNTIFS(RATEIOS!$A$2:$A$3142,$A977,RATEIOS!$D$2:$D$3142,"&lt;&gt;")&gt;0,"NÃO CLASSIFICADO","RATEIO OK"))))</f>
        <v>NÃO CLASSIFICADO</v>
      </c>
      <c r="R977" s="49" t="s">
        <v>2553</v>
      </c>
      <c r="S977" s="14"/>
    </row>
    <row r="978" spans="1:19" ht="24.95" customHeight="1" x14ac:dyDescent="0.25">
      <c r="A978" s="49" t="s">
        <v>2909</v>
      </c>
      <c r="B978" s="98">
        <v>977</v>
      </c>
      <c r="C978" s="50">
        <v>46297</v>
      </c>
      <c r="D978" s="49">
        <f t="shared" si="30"/>
        <v>10</v>
      </c>
      <c r="E978" s="92" t="s">
        <v>2558</v>
      </c>
      <c r="F978" s="49" t="s">
        <v>38</v>
      </c>
      <c r="G978" s="14" t="s">
        <v>45</v>
      </c>
      <c r="H978" s="14" t="s">
        <v>45</v>
      </c>
      <c r="I978" s="76"/>
      <c r="J978" s="73">
        <v>0</v>
      </c>
      <c r="K978" s="74">
        <v>0</v>
      </c>
      <c r="L978" s="72">
        <v>0</v>
      </c>
      <c r="M978" s="72">
        <v>1000</v>
      </c>
      <c r="N978" s="72">
        <f>IF(AND(C978="",J978=0,K978=0,L978=0,M978=0),"",CADASTROS!$B$4+SUM($J$2:J978)+SUM($M$2:M978)-SUM($K$2:K978)-SUM($L$2:L978))</f>
        <v>496.70999999716878</v>
      </c>
      <c r="O978" s="72">
        <f>IF(A978="","",SUMIF(RATEIOS!$A$2:$A$3142,$A978,RATEIOS!$F$2:$F$3142))</f>
        <v>1000</v>
      </c>
      <c r="P978" s="15">
        <f t="shared" si="31"/>
        <v>0</v>
      </c>
      <c r="Q978" s="49" t="str">
        <f>IF(AND(J978=0,K978=0,L978=0,M978=0),"",IF(O978=0,"PENDENTE DE RATEIO",IF(ABS(P978)&gt;0.005,"DIVERGÊNCIA",IF(COUNTIF(RATEIOS!$A$2:$A$3142,$A978)-COUNTIFS(RATEIOS!$A$2:$A$3142,$A978,RATEIOS!$D$2:$D$3142,"&lt;&gt;")&gt;0,"NÃO CLASSIFICADO","RATEIO OK"))))</f>
        <v>NÃO CLASSIFICADO</v>
      </c>
      <c r="R978" s="49" t="s">
        <v>2553</v>
      </c>
      <c r="S978" s="14"/>
    </row>
    <row r="979" spans="1:19" ht="24.95" customHeight="1" x14ac:dyDescent="0.25">
      <c r="A979" s="49" t="s">
        <v>2910</v>
      </c>
      <c r="B979" s="98">
        <v>978</v>
      </c>
      <c r="C979" s="50">
        <v>46300</v>
      </c>
      <c r="D979" s="49">
        <f t="shared" si="30"/>
        <v>10</v>
      </c>
      <c r="E979" s="92" t="s">
        <v>2558</v>
      </c>
      <c r="F979" s="49" t="s">
        <v>38</v>
      </c>
      <c r="G979" s="14" t="s">
        <v>45</v>
      </c>
      <c r="H979" s="14" t="s">
        <v>45</v>
      </c>
      <c r="I979" s="76"/>
      <c r="J979" s="73">
        <v>0</v>
      </c>
      <c r="K979" s="74">
        <v>0</v>
      </c>
      <c r="L979" s="72">
        <v>0</v>
      </c>
      <c r="M979" s="72">
        <v>8.7200000000000006</v>
      </c>
      <c r="N979" s="72">
        <f>IF(AND(C979="",J979=0,K979=0,L979=0,M979=0),"",CADASTROS!$B$4+SUM($J$2:J979)+SUM($M$2:M979)-SUM($K$2:K979)-SUM($L$2:L979))</f>
        <v>505.42999999690801</v>
      </c>
      <c r="O979" s="72">
        <f>IF(A979="","",SUMIF(RATEIOS!$A$2:$A$3142,$A979,RATEIOS!$F$2:$F$3142))</f>
        <v>8.7200000000000006</v>
      </c>
      <c r="P979" s="15">
        <f t="shared" si="31"/>
        <v>0</v>
      </c>
      <c r="Q979" s="49" t="str">
        <f>IF(AND(J979=0,K979=0,L979=0,M979=0),"",IF(O979=0,"PENDENTE DE RATEIO",IF(ABS(P979)&gt;0.005,"DIVERGÊNCIA",IF(COUNTIF(RATEIOS!$A$2:$A$3142,$A979)-COUNTIFS(RATEIOS!$A$2:$A$3142,$A979,RATEIOS!$D$2:$D$3142,"&lt;&gt;")&gt;0,"NÃO CLASSIFICADO","RATEIO OK"))))</f>
        <v>NÃO CLASSIFICADO</v>
      </c>
      <c r="R979" s="49" t="s">
        <v>2553</v>
      </c>
      <c r="S979" s="14"/>
    </row>
    <row r="980" spans="1:19" ht="24.95" customHeight="1" x14ac:dyDescent="0.25">
      <c r="A980" s="49" t="s">
        <v>2911</v>
      </c>
      <c r="B980" s="98">
        <v>979</v>
      </c>
      <c r="C980" s="50">
        <v>46300</v>
      </c>
      <c r="D980" s="49">
        <f t="shared" si="30"/>
        <v>10</v>
      </c>
      <c r="E980" s="92" t="s">
        <v>72</v>
      </c>
      <c r="F980" s="49" t="s">
        <v>36</v>
      </c>
      <c r="G980" s="14" t="s">
        <v>2806</v>
      </c>
      <c r="H980" s="14" t="s">
        <v>2807</v>
      </c>
      <c r="I980" s="76" t="s">
        <v>2808</v>
      </c>
      <c r="J980" s="73">
        <v>0</v>
      </c>
      <c r="K980" s="74">
        <v>787.57</v>
      </c>
      <c r="L980" s="72">
        <v>0</v>
      </c>
      <c r="M980" s="72">
        <v>0</v>
      </c>
      <c r="N980" s="72">
        <f>IF(AND(C980="",J980=0,K980=0,L980=0,M980=0),"",CADASTROS!$B$4+SUM($J$2:J980)+SUM($M$2:M980)-SUM($K$2:K980)-SUM($L$2:L980))</f>
        <v>-282.14000000339001</v>
      </c>
      <c r="O980" s="72">
        <f>IF(A980="","",SUMIF(RATEIOS!$A$2:$A$3142,$A980,RATEIOS!$F$2:$F$3142))</f>
        <v>787.57</v>
      </c>
      <c r="P980" s="15">
        <f t="shared" si="31"/>
        <v>0</v>
      </c>
      <c r="Q980" s="49" t="str">
        <f>IF(AND(J980=0,K980=0,L980=0,M980=0),"",IF(O980=0,"PENDENTE DE RATEIO",IF(ABS(P980)&gt;0.005,"DIVERGÊNCIA",IF(COUNTIF(RATEIOS!$A$2:$A$3142,$A980)-COUNTIFS(RATEIOS!$A$2:$A$3142,$A980,RATEIOS!$D$2:$D$3142,"&lt;&gt;")&gt;0,"NÃO CLASSIFICADO","RATEIO OK"))))</f>
        <v>NÃO CLASSIFICADO</v>
      </c>
      <c r="R980" s="49" t="s">
        <v>2553</v>
      </c>
      <c r="S980" s="14"/>
    </row>
    <row r="981" spans="1:19" ht="24.95" customHeight="1" x14ac:dyDescent="0.25">
      <c r="A981" s="49" t="s">
        <v>3044</v>
      </c>
      <c r="B981" s="98">
        <v>980</v>
      </c>
      <c r="C981" s="50">
        <v>46300</v>
      </c>
      <c r="D981" s="49">
        <f t="shared" si="30"/>
        <v>10</v>
      </c>
      <c r="E981" s="92" t="s">
        <v>72</v>
      </c>
      <c r="F981" s="49" t="s">
        <v>36</v>
      </c>
      <c r="G981" s="14" t="s">
        <v>3060</v>
      </c>
      <c r="H981" s="14" t="s">
        <v>3061</v>
      </c>
      <c r="I981" s="76" t="s">
        <v>458</v>
      </c>
      <c r="J981" s="73">
        <v>0</v>
      </c>
      <c r="K981" s="74">
        <v>73.78</v>
      </c>
      <c r="L981" s="72">
        <v>0</v>
      </c>
      <c r="M981" s="72">
        <v>0</v>
      </c>
      <c r="N981" s="72">
        <f>IF(AND(C981="",J981=0,K981=0,L981=0,M981=0),"",CADASTROS!$B$4+SUM($J$2:J981)+SUM($M$2:M981)-SUM($K$2:K981)-SUM($L$2:L981))</f>
        <v>-355.92000000365078</v>
      </c>
      <c r="O981" s="72">
        <f>IF(A981="","",SUMIF(RATEIOS!$A$2:$A$3142,$A981,RATEIOS!$F$2:$F$3142))</f>
        <v>73.78</v>
      </c>
      <c r="P981" s="15">
        <f t="shared" si="31"/>
        <v>0</v>
      </c>
      <c r="Q981" s="49" t="str">
        <f>IF(AND(J981=0,K981=0,L981=0,M981=0),"",IF(O981=0,"PENDENTE DE RATEIO",IF(ABS(P981)&gt;0.005,"DIVERGÊNCIA",IF(COUNTIF(RATEIOS!$A$2:$A$3142,$A981)-COUNTIFS(RATEIOS!$A$2:$A$3142,$A981,RATEIOS!$D$2:$D$3142,"&lt;&gt;")&gt;0,"NÃO CLASSIFICADO","RATEIO OK"))))</f>
        <v>NÃO CLASSIFICADO</v>
      </c>
      <c r="R981" s="49" t="s">
        <v>2553</v>
      </c>
      <c r="S981" s="14"/>
    </row>
    <row r="982" spans="1:19" ht="24.95" customHeight="1" x14ac:dyDescent="0.25">
      <c r="A982" s="49" t="s">
        <v>3045</v>
      </c>
      <c r="B982" s="98">
        <v>981</v>
      </c>
      <c r="C982" s="50">
        <v>46300</v>
      </c>
      <c r="D982" s="49">
        <f t="shared" si="30"/>
        <v>10</v>
      </c>
      <c r="E982" s="92" t="s">
        <v>118</v>
      </c>
      <c r="F982" s="49" t="s">
        <v>36</v>
      </c>
      <c r="G982" s="14" t="s">
        <v>67</v>
      </c>
      <c r="H982" s="14" t="s">
        <v>67</v>
      </c>
      <c r="I982" s="76" t="s">
        <v>3062</v>
      </c>
      <c r="J982" s="73">
        <v>0</v>
      </c>
      <c r="K982" s="74">
        <v>2593</v>
      </c>
      <c r="L982" s="72">
        <v>0</v>
      </c>
      <c r="M982" s="72">
        <v>0</v>
      </c>
      <c r="N982" s="72">
        <f>IF(AND(C982="",J982=0,K982=0,L982=0,M982=0),"",CADASTROS!$B$4+SUM($J$2:J982)+SUM($M$2:M982)-SUM($K$2:K982)-SUM($L$2:L982))</f>
        <v>-2948.9200000036508</v>
      </c>
      <c r="O982" s="72">
        <f>IF(A982="","",SUMIF(RATEIOS!$A$2:$A$3142,$A982,RATEIOS!$F$2:$F$3142))</f>
        <v>2593</v>
      </c>
      <c r="P982" s="15">
        <f t="shared" si="31"/>
        <v>0</v>
      </c>
      <c r="Q982" s="49" t="str">
        <f>IF(AND(J982=0,K982=0,L982=0,M982=0),"",IF(O982=0,"PENDENTE DE RATEIO",IF(ABS(P982)&gt;0.005,"DIVERGÊNCIA",IF(COUNTIF(RATEIOS!$A$2:$A$3142,$A982)-COUNTIFS(RATEIOS!$A$2:$A$3142,$A982,RATEIOS!$D$2:$D$3142,"&lt;&gt;")&gt;0,"NÃO CLASSIFICADO","RATEIO OK"))))</f>
        <v>NÃO CLASSIFICADO</v>
      </c>
      <c r="R982" s="49" t="s">
        <v>2553</v>
      </c>
      <c r="S982" s="14"/>
    </row>
    <row r="983" spans="1:19" ht="24.95" customHeight="1" x14ac:dyDescent="0.25">
      <c r="A983" s="49" t="s">
        <v>3046</v>
      </c>
      <c r="B983" s="98">
        <v>982</v>
      </c>
      <c r="C983" s="50">
        <v>46300</v>
      </c>
      <c r="D983" s="49">
        <f t="shared" si="30"/>
        <v>10</v>
      </c>
      <c r="E983" s="92" t="s">
        <v>118</v>
      </c>
      <c r="F983" s="49" t="s">
        <v>36</v>
      </c>
      <c r="G983" s="14" t="s">
        <v>3063</v>
      </c>
      <c r="H983" s="14" t="s">
        <v>188</v>
      </c>
      <c r="I983" s="76">
        <v>80615</v>
      </c>
      <c r="J983" s="73">
        <v>0</v>
      </c>
      <c r="K983" s="74">
        <v>1607.5</v>
      </c>
      <c r="L983" s="72">
        <v>0</v>
      </c>
      <c r="M983" s="72">
        <v>0</v>
      </c>
      <c r="N983" s="72">
        <f>IF(AND(C983="",J983=0,K983=0,L983=0,M983=0),"",CADASTROS!$B$4+SUM($J$2:J983)+SUM($M$2:M983)-SUM($K$2:K983)-SUM($L$2:L983))</f>
        <v>-4556.4200000036508</v>
      </c>
      <c r="O983" s="72">
        <f>IF(A983="","",SUMIF(RATEIOS!$A$2:$A$3142,$A983,RATEIOS!$F$2:$F$3142))</f>
        <v>1607.5</v>
      </c>
      <c r="P983" s="15">
        <f t="shared" si="31"/>
        <v>0</v>
      </c>
      <c r="Q983" s="49" t="str">
        <f>IF(AND(J983=0,K983=0,L983=0,M983=0),"",IF(O983=0,"PENDENTE DE RATEIO",IF(ABS(P983)&gt;0.005,"DIVERGÊNCIA",IF(COUNTIF(RATEIOS!$A$2:$A$3142,$A983)-COUNTIFS(RATEIOS!$A$2:$A$3142,$A983,RATEIOS!$D$2:$D$3142,"&lt;&gt;")&gt;0,"NÃO CLASSIFICADO","RATEIO OK"))))</f>
        <v>NÃO CLASSIFICADO</v>
      </c>
      <c r="R983" s="49" t="s">
        <v>2553</v>
      </c>
      <c r="S983" s="14"/>
    </row>
    <row r="984" spans="1:19" ht="24.95" customHeight="1" x14ac:dyDescent="0.25">
      <c r="A984" s="49" t="s">
        <v>3047</v>
      </c>
      <c r="B984" s="98">
        <v>983</v>
      </c>
      <c r="C984" s="50">
        <v>46300</v>
      </c>
      <c r="D984" s="49">
        <f t="shared" si="30"/>
        <v>10</v>
      </c>
      <c r="E984" s="92" t="s">
        <v>2558</v>
      </c>
      <c r="F984" s="49" t="s">
        <v>38</v>
      </c>
      <c r="G984" s="14" t="s">
        <v>45</v>
      </c>
      <c r="H984" s="14" t="s">
        <v>45</v>
      </c>
      <c r="I984" s="76"/>
      <c r="J984" s="73">
        <v>0</v>
      </c>
      <c r="K984" s="74">
        <v>0</v>
      </c>
      <c r="L984" s="72">
        <v>0</v>
      </c>
      <c r="M984" s="72">
        <v>5000</v>
      </c>
      <c r="N984" s="72">
        <f>IF(AND(C984="",J984=0,K984=0,L984=0,M984=0),"",CADASTROS!$B$4+SUM($J$2:J984)+SUM($M$2:M984)-SUM($K$2:K984)-SUM($L$2:L984))</f>
        <v>443.57999999634922</v>
      </c>
      <c r="O984" s="72">
        <f>IF(A984="","",SUMIF(RATEIOS!$A$2:$A$3142,$A984,RATEIOS!$F$2:$F$3142))</f>
        <v>5000</v>
      </c>
      <c r="P984" s="15">
        <f t="shared" si="31"/>
        <v>0</v>
      </c>
      <c r="Q984" s="49" t="str">
        <f>IF(AND(J984=0,K984=0,L984=0,M984=0),"",IF(O984=0,"PENDENTE DE RATEIO",IF(ABS(P984)&gt;0.005,"DIVERGÊNCIA",IF(COUNTIF(RATEIOS!$A$2:$A$3142,$A984)-COUNTIFS(RATEIOS!$A$2:$A$3142,$A984,RATEIOS!$D$2:$D$3142,"&lt;&gt;")&gt;0,"NÃO CLASSIFICADO","RATEIO OK"))))</f>
        <v>NÃO CLASSIFICADO</v>
      </c>
      <c r="R984" s="49" t="s">
        <v>2553</v>
      </c>
      <c r="S984" s="14"/>
    </row>
    <row r="985" spans="1:19" ht="24.95" customHeight="1" x14ac:dyDescent="0.25">
      <c r="A985" s="49" t="s">
        <v>3048</v>
      </c>
      <c r="B985" s="98">
        <v>984</v>
      </c>
      <c r="C985" s="50">
        <v>46300</v>
      </c>
      <c r="D985" s="49">
        <f t="shared" si="30"/>
        <v>10</v>
      </c>
      <c r="E985" s="92" t="s">
        <v>2558</v>
      </c>
      <c r="F985" s="49" t="s">
        <v>38</v>
      </c>
      <c r="G985" s="14" t="s">
        <v>45</v>
      </c>
      <c r="H985" s="14" t="s">
        <v>45</v>
      </c>
      <c r="I985" s="76"/>
      <c r="J985" s="73">
        <v>0</v>
      </c>
      <c r="K985" s="74">
        <v>0</v>
      </c>
      <c r="L985" s="72">
        <v>0</v>
      </c>
      <c r="M985" s="72">
        <v>45.5</v>
      </c>
      <c r="N985" s="72">
        <f>IF(AND(C985="",J985=0,K985=0,L985=0,M985=0),"",CADASTROS!$B$4+SUM($J$2:J985)+SUM($M$2:M985)-SUM($K$2:K985)-SUM($L$2:L985))</f>
        <v>489.07999999634922</v>
      </c>
      <c r="O985" s="72">
        <f>IF(A985="","",SUMIF(RATEIOS!$A$2:$A$3142,$A985,RATEIOS!$F$2:$F$3142))</f>
        <v>45.5</v>
      </c>
      <c r="P985" s="15">
        <f t="shared" si="31"/>
        <v>0</v>
      </c>
      <c r="Q985" s="49" t="str">
        <f>IF(AND(J985=0,K985=0,L985=0,M985=0),"",IF(O985=0,"PENDENTE DE RATEIO",IF(ABS(P985)&gt;0.005,"DIVERGÊNCIA",IF(COUNTIF(RATEIOS!$A$2:$A$3142,$A985)-COUNTIFS(RATEIOS!$A$2:$A$3142,$A985,RATEIOS!$D$2:$D$3142,"&lt;&gt;")&gt;0,"NÃO CLASSIFICADO","RATEIO OK"))))</f>
        <v>NÃO CLASSIFICADO</v>
      </c>
      <c r="R985" s="49" t="s">
        <v>2553</v>
      </c>
      <c r="S985" s="14"/>
    </row>
    <row r="986" spans="1:19" ht="24.95" customHeight="1" x14ac:dyDescent="0.25">
      <c r="A986" s="49" t="s">
        <v>3049</v>
      </c>
      <c r="B986" s="98">
        <v>985</v>
      </c>
      <c r="C986" s="50">
        <v>46301</v>
      </c>
      <c r="D986" s="49">
        <f t="shared" si="30"/>
        <v>10</v>
      </c>
      <c r="E986" s="92" t="s">
        <v>123</v>
      </c>
      <c r="F986" s="49" t="s">
        <v>36</v>
      </c>
      <c r="G986" s="14" t="s">
        <v>3064</v>
      </c>
      <c r="H986" s="14" t="s">
        <v>123</v>
      </c>
      <c r="I986" s="76"/>
      <c r="J986" s="73">
        <v>0</v>
      </c>
      <c r="K986" s="74">
        <v>74068.479999999996</v>
      </c>
      <c r="L986" s="72">
        <v>0</v>
      </c>
      <c r="M986" s="72">
        <v>0</v>
      </c>
      <c r="N986" s="72">
        <f>IF(AND(C986="",J986=0,K986=0,L986=0,M986=0),"",CADASTROS!$B$4+SUM($J$2:J986)+SUM($M$2:M986)-SUM($K$2:K986)-SUM($L$2:L986))</f>
        <v>-73579.400000004098</v>
      </c>
      <c r="O986" s="72">
        <f>IF(A986="","",SUMIF(RATEIOS!$A$2:$A$3142,$A986,RATEIOS!$F$2:$F$3142))</f>
        <v>74068.479999999996</v>
      </c>
      <c r="P986" s="15">
        <f t="shared" si="31"/>
        <v>0</v>
      </c>
      <c r="Q986" s="49" t="str">
        <f>IF(AND(J986=0,K986=0,L986=0,M986=0),"",IF(O986=0,"PENDENTE DE RATEIO",IF(ABS(P986)&gt;0.005,"DIVERGÊNCIA",IF(COUNTIF(RATEIOS!$A$2:$A$3142,$A986)-COUNTIFS(RATEIOS!$A$2:$A$3142,$A986,RATEIOS!$D$2:$D$3142,"&lt;&gt;")&gt;0,"NÃO CLASSIFICADO","RATEIO OK"))))</f>
        <v>NÃO CLASSIFICADO</v>
      </c>
      <c r="R986" s="49" t="s">
        <v>2553</v>
      </c>
      <c r="S986" s="14"/>
    </row>
    <row r="987" spans="1:19" ht="24.95" customHeight="1" x14ac:dyDescent="0.25">
      <c r="A987" s="49" t="s">
        <v>3050</v>
      </c>
      <c r="B987" s="98">
        <v>986</v>
      </c>
      <c r="C987" s="50">
        <v>46301</v>
      </c>
      <c r="D987" s="49">
        <f t="shared" si="30"/>
        <v>10</v>
      </c>
      <c r="E987" s="92" t="s">
        <v>72</v>
      </c>
      <c r="F987" s="49" t="s">
        <v>36</v>
      </c>
      <c r="G987" s="14" t="s">
        <v>3067</v>
      </c>
      <c r="H987" s="14" t="s">
        <v>109</v>
      </c>
      <c r="I987" s="76" t="s">
        <v>3068</v>
      </c>
      <c r="J987" s="73">
        <v>0</v>
      </c>
      <c r="K987" s="74">
        <v>300</v>
      </c>
      <c r="L987" s="72">
        <v>0</v>
      </c>
      <c r="M987" s="72">
        <v>0</v>
      </c>
      <c r="N987" s="72">
        <f>IF(AND(C987="",J987=0,K987=0,L987=0,M987=0),"",CADASTROS!$B$4+SUM($J$2:J987)+SUM($M$2:M987)-SUM($K$2:K987)-SUM($L$2:L987))</f>
        <v>-73879.400000004098</v>
      </c>
      <c r="O987" s="72">
        <f>IF(A987="","",SUMIF(RATEIOS!$A$2:$A$3142,$A987,RATEIOS!$F$2:$F$3142))</f>
        <v>300</v>
      </c>
      <c r="P987" s="15">
        <f t="shared" si="31"/>
        <v>0</v>
      </c>
      <c r="Q987" s="49" t="str">
        <f>IF(AND(J987=0,K987=0,L987=0,M987=0),"",IF(O987=0,"PENDENTE DE RATEIO",IF(ABS(P987)&gt;0.005,"DIVERGÊNCIA",IF(COUNTIF(RATEIOS!$A$2:$A$3142,$A987)-COUNTIFS(RATEIOS!$A$2:$A$3142,$A987,RATEIOS!$D$2:$D$3142,"&lt;&gt;")&gt;0,"NÃO CLASSIFICADO","RATEIO OK"))))</f>
        <v>NÃO CLASSIFICADO</v>
      </c>
      <c r="R987" s="49" t="s">
        <v>2553</v>
      </c>
      <c r="S987" s="14"/>
    </row>
    <row r="988" spans="1:19" ht="24.95" customHeight="1" x14ac:dyDescent="0.25">
      <c r="A988" s="49" t="s">
        <v>3051</v>
      </c>
      <c r="B988" s="98">
        <v>987</v>
      </c>
      <c r="C988" s="50">
        <v>46301</v>
      </c>
      <c r="D988" s="49">
        <f t="shared" si="30"/>
        <v>10</v>
      </c>
      <c r="E988" s="92" t="s">
        <v>118</v>
      </c>
      <c r="F988" s="49" t="s">
        <v>36</v>
      </c>
      <c r="G988" s="14" t="s">
        <v>3069</v>
      </c>
      <c r="H988" s="14" t="s">
        <v>3070</v>
      </c>
      <c r="I988" s="76" t="s">
        <v>412</v>
      </c>
      <c r="J988" s="73">
        <v>0</v>
      </c>
      <c r="K988" s="74">
        <v>5418.96</v>
      </c>
      <c r="L988" s="72">
        <v>0</v>
      </c>
      <c r="M988" s="72">
        <v>0</v>
      </c>
      <c r="N988" s="72">
        <f>IF(AND(C988="",J988=0,K988=0,L988=0,M988=0),"",CADASTROS!$B$4+SUM($J$2:J988)+SUM($M$2:M988)-SUM($K$2:K988)-SUM($L$2:L988))</f>
        <v>-79298.360000004061</v>
      </c>
      <c r="O988" s="72">
        <f>IF(A988="","",SUMIF(RATEIOS!$A$2:$A$3142,$A988,RATEIOS!$F$2:$F$3142))</f>
        <v>5418.96</v>
      </c>
      <c r="P988" s="15">
        <f t="shared" si="31"/>
        <v>0</v>
      </c>
      <c r="Q988" s="49" t="str">
        <f>IF(AND(J988=0,K988=0,L988=0,M988=0),"",IF(O988=0,"PENDENTE DE RATEIO",IF(ABS(P988)&gt;0.005,"DIVERGÊNCIA",IF(COUNTIF(RATEIOS!$A$2:$A$3142,$A988)-COUNTIFS(RATEIOS!$A$2:$A$3142,$A988,RATEIOS!$D$2:$D$3142,"&lt;&gt;")&gt;0,"NÃO CLASSIFICADO","RATEIO OK"))))</f>
        <v>NÃO CLASSIFICADO</v>
      </c>
      <c r="R988" s="49" t="s">
        <v>2553</v>
      </c>
      <c r="S988" s="14"/>
    </row>
    <row r="989" spans="1:19" ht="24.95" customHeight="1" x14ac:dyDescent="0.25">
      <c r="A989" s="49" t="s">
        <v>3052</v>
      </c>
      <c r="B989" s="98">
        <v>988</v>
      </c>
      <c r="C989" s="50">
        <v>46301</v>
      </c>
      <c r="D989" s="49">
        <f t="shared" si="30"/>
        <v>10</v>
      </c>
      <c r="E989" s="92" t="s">
        <v>2556</v>
      </c>
      <c r="F989" s="49" t="s">
        <v>36</v>
      </c>
      <c r="G989" s="14" t="s">
        <v>276</v>
      </c>
      <c r="H989" s="14" t="s">
        <v>277</v>
      </c>
      <c r="I989" s="76"/>
      <c r="J989" s="73">
        <v>0</v>
      </c>
      <c r="K989" s="74">
        <v>45.25</v>
      </c>
      <c r="L989" s="72">
        <v>0</v>
      </c>
      <c r="M989" s="72">
        <v>0</v>
      </c>
      <c r="N989" s="72">
        <f>IF(AND(C989="",J989=0,K989=0,L989=0,M989=0),"",CADASTROS!$B$4+SUM($J$2:J989)+SUM($M$2:M989)-SUM($K$2:K989)-SUM($L$2:L989))</f>
        <v>-79343.610000004061</v>
      </c>
      <c r="O989" s="72">
        <f>IF(A989="","",SUMIF(RATEIOS!$A$2:$A$3142,$A989,RATEIOS!$F$2:$F$3142))</f>
        <v>45.25</v>
      </c>
      <c r="P989" s="15">
        <f t="shared" si="31"/>
        <v>0</v>
      </c>
      <c r="Q989" s="49" t="str">
        <f>IF(AND(J989=0,K989=0,L989=0,M989=0),"",IF(O989=0,"PENDENTE DE RATEIO",IF(ABS(P989)&gt;0.005,"DIVERGÊNCIA",IF(COUNTIF(RATEIOS!$A$2:$A$3142,$A989)-COUNTIFS(RATEIOS!$A$2:$A$3142,$A989,RATEIOS!$D$2:$D$3142,"&lt;&gt;")&gt;0,"NÃO CLASSIFICADO","RATEIO OK"))))</f>
        <v>NÃO CLASSIFICADO</v>
      </c>
      <c r="R989" s="49" t="s">
        <v>2553</v>
      </c>
      <c r="S989" s="14"/>
    </row>
    <row r="990" spans="1:19" ht="24.95" customHeight="1" x14ac:dyDescent="0.25">
      <c r="A990" s="49" t="s">
        <v>3053</v>
      </c>
      <c r="B990" s="98">
        <v>989</v>
      </c>
      <c r="C990" s="50">
        <v>46301</v>
      </c>
      <c r="D990" s="49">
        <f t="shared" si="30"/>
        <v>10</v>
      </c>
      <c r="E990" s="92" t="s">
        <v>2558</v>
      </c>
      <c r="F990" s="49" t="s">
        <v>38</v>
      </c>
      <c r="G990" s="14" t="s">
        <v>45</v>
      </c>
      <c r="H990" s="14" t="s">
        <v>45</v>
      </c>
      <c r="I990" s="76"/>
      <c r="J990" s="73">
        <v>0</v>
      </c>
      <c r="K990" s="74">
        <v>0</v>
      </c>
      <c r="L990" s="72">
        <v>0</v>
      </c>
      <c r="M990" s="72">
        <v>79500</v>
      </c>
      <c r="N990" s="72">
        <f>IF(AND(C990="",J990=0,K990=0,L990=0,M990=0),"",CADASTROS!$B$4+SUM($J$2:J990)+SUM($M$2:M990)-SUM($K$2:K990)-SUM($L$2:L990))</f>
        <v>156.38999999593943</v>
      </c>
      <c r="O990" s="72">
        <f>IF(A990="","",SUMIF(RATEIOS!$A$2:$A$3142,$A990,RATEIOS!$F$2:$F$3142))</f>
        <v>79500</v>
      </c>
      <c r="P990" s="15">
        <f t="shared" si="31"/>
        <v>0</v>
      </c>
      <c r="Q990" s="49" t="str">
        <f>IF(AND(J990=0,K990=0,L990=0,M990=0),"",IF(O990=0,"PENDENTE DE RATEIO",IF(ABS(P990)&gt;0.005,"DIVERGÊNCIA",IF(COUNTIF(RATEIOS!$A$2:$A$3142,$A990)-COUNTIFS(RATEIOS!$A$2:$A$3142,$A990,RATEIOS!$D$2:$D$3142,"&lt;&gt;")&gt;0,"NÃO CLASSIFICADO","RATEIO OK"))))</f>
        <v>NÃO CLASSIFICADO</v>
      </c>
      <c r="R990" s="49" t="s">
        <v>2553</v>
      </c>
      <c r="S990" s="14"/>
    </row>
    <row r="991" spans="1:19" ht="24.95" customHeight="1" x14ac:dyDescent="0.25">
      <c r="A991" s="49" t="s">
        <v>3054</v>
      </c>
      <c r="B991" s="98">
        <v>990</v>
      </c>
      <c r="C991" s="50">
        <v>46301</v>
      </c>
      <c r="D991" s="49">
        <f t="shared" si="30"/>
        <v>10</v>
      </c>
      <c r="E991" s="92" t="s">
        <v>2558</v>
      </c>
      <c r="F991" s="49" t="s">
        <v>38</v>
      </c>
      <c r="G991" s="14" t="s">
        <v>45</v>
      </c>
      <c r="H991" s="14" t="s">
        <v>45</v>
      </c>
      <c r="I991" s="76"/>
      <c r="J991" s="73">
        <v>0</v>
      </c>
      <c r="K991" s="74">
        <v>0</v>
      </c>
      <c r="L991" s="72">
        <v>0</v>
      </c>
      <c r="M991" s="72">
        <v>753.66</v>
      </c>
      <c r="N991" s="72">
        <f>IF(AND(C991="",J991=0,K991=0,L991=0,M991=0),"",CADASTROS!$B$4+SUM($J$2:J991)+SUM($M$2:M991)-SUM($K$2:K991)-SUM($L$2:L991))</f>
        <v>910.04999999608845</v>
      </c>
      <c r="O991" s="72">
        <f>IF(A991="","",SUMIF(RATEIOS!$A$2:$A$3142,$A991,RATEIOS!$F$2:$F$3142))</f>
        <v>753.66</v>
      </c>
      <c r="P991" s="15">
        <f t="shared" si="31"/>
        <v>0</v>
      </c>
      <c r="Q991" s="49" t="str">
        <f>IF(AND(J991=0,K991=0,L991=0,M991=0),"",IF(O991=0,"PENDENTE DE RATEIO",IF(ABS(P991)&gt;0.005,"DIVERGÊNCIA",IF(COUNTIF(RATEIOS!$A$2:$A$3142,$A991)-COUNTIFS(RATEIOS!$A$2:$A$3142,$A991,RATEIOS!$D$2:$D$3142,"&lt;&gt;")&gt;0,"NÃO CLASSIFICADO","RATEIO OK"))))</f>
        <v>NÃO CLASSIFICADO</v>
      </c>
      <c r="R991" s="49" t="s">
        <v>2553</v>
      </c>
      <c r="S991" s="14"/>
    </row>
    <row r="992" spans="1:19" ht="24.95" customHeight="1" x14ac:dyDescent="0.25">
      <c r="A992" s="49" t="s">
        <v>3055</v>
      </c>
      <c r="B992" s="98">
        <v>991</v>
      </c>
      <c r="C992" s="50">
        <v>46302</v>
      </c>
      <c r="D992" s="49">
        <f t="shared" si="30"/>
        <v>10</v>
      </c>
      <c r="E992" s="92" t="s">
        <v>72</v>
      </c>
      <c r="F992" s="49" t="s">
        <v>36</v>
      </c>
      <c r="G992" s="14" t="s">
        <v>3078</v>
      </c>
      <c r="H992" s="14" t="s">
        <v>3079</v>
      </c>
      <c r="I992" s="76" t="s">
        <v>3080</v>
      </c>
      <c r="J992" s="73">
        <v>0</v>
      </c>
      <c r="K992" s="74">
        <v>2780</v>
      </c>
      <c r="L992" s="72">
        <v>0</v>
      </c>
      <c r="M992" s="72">
        <v>0</v>
      </c>
      <c r="N992" s="72">
        <f>IF(AND(C992="",J992=0,K992=0,L992=0,M992=0),"",CADASTROS!$B$4+SUM($J$2:J992)+SUM($M$2:M992)-SUM($K$2:K992)-SUM($L$2:L992))</f>
        <v>-1869.9500000039116</v>
      </c>
      <c r="O992" s="72">
        <f>IF(A992="","",SUMIF(RATEIOS!$A$2:$A$3142,$A992,RATEIOS!$F$2:$F$3142))</f>
        <v>2780</v>
      </c>
      <c r="P992" s="15">
        <f t="shared" si="31"/>
        <v>0</v>
      </c>
      <c r="Q992" s="49" t="str">
        <f>IF(AND(J992=0,K992=0,L992=0,M992=0),"",IF(O992=0,"PENDENTE DE RATEIO",IF(ABS(P992)&gt;0.005,"DIVERGÊNCIA",IF(COUNTIF(RATEIOS!$A$2:$A$3142,$A992)-COUNTIFS(RATEIOS!$A$2:$A$3142,$A992,RATEIOS!$D$2:$D$3142,"&lt;&gt;")&gt;0,"NÃO CLASSIFICADO","RATEIO OK"))))</f>
        <v>NÃO CLASSIFICADO</v>
      </c>
      <c r="R992" s="49" t="s">
        <v>2553</v>
      </c>
      <c r="S992" s="14"/>
    </row>
    <row r="993" spans="1:19" ht="24.95" customHeight="1" x14ac:dyDescent="0.25">
      <c r="A993" s="49" t="s">
        <v>3056</v>
      </c>
      <c r="B993" s="98">
        <v>992</v>
      </c>
      <c r="C993" s="50">
        <v>46302</v>
      </c>
      <c r="D993" s="49">
        <f t="shared" si="30"/>
        <v>10</v>
      </c>
      <c r="E993" s="92" t="s">
        <v>72</v>
      </c>
      <c r="F993" s="49" t="s">
        <v>36</v>
      </c>
      <c r="G993" s="14" t="s">
        <v>3082</v>
      </c>
      <c r="H993" s="14" t="s">
        <v>855</v>
      </c>
      <c r="I993" s="76" t="s">
        <v>827</v>
      </c>
      <c r="J993" s="73">
        <v>0</v>
      </c>
      <c r="K993" s="74">
        <v>360</v>
      </c>
      <c r="L993" s="72">
        <v>0</v>
      </c>
      <c r="M993" s="72">
        <v>0</v>
      </c>
      <c r="N993" s="72">
        <f>IF(AND(C993="",J993=0,K993=0,L993=0,M993=0),"",CADASTROS!$B$4+SUM($J$2:J993)+SUM($M$2:M993)-SUM($K$2:K993)-SUM($L$2:L993))</f>
        <v>-2229.9500000039116</v>
      </c>
      <c r="O993" s="72">
        <f>IF(A993="","",SUMIF(RATEIOS!$A$2:$A$3142,$A993,RATEIOS!$F$2:$F$3142))</f>
        <v>360</v>
      </c>
      <c r="P993" s="15">
        <f t="shared" si="31"/>
        <v>0</v>
      </c>
      <c r="Q993" s="49" t="str">
        <f>IF(AND(J993=0,K993=0,L993=0,M993=0),"",IF(O993=0,"PENDENTE DE RATEIO",IF(ABS(P993)&gt;0.005,"DIVERGÊNCIA",IF(COUNTIF(RATEIOS!$A$2:$A$3142,$A993)-COUNTIFS(RATEIOS!$A$2:$A$3142,$A993,RATEIOS!$D$2:$D$3142,"&lt;&gt;")&gt;0,"NÃO CLASSIFICADO","RATEIO OK"))))</f>
        <v>NÃO CLASSIFICADO</v>
      </c>
      <c r="R993" s="49" t="s">
        <v>2553</v>
      </c>
      <c r="S993" s="14"/>
    </row>
    <row r="994" spans="1:19" ht="24.95" customHeight="1" x14ac:dyDescent="0.25">
      <c r="A994" s="49" t="s">
        <v>3057</v>
      </c>
      <c r="B994" s="98">
        <v>993</v>
      </c>
      <c r="C994" s="50">
        <v>46302</v>
      </c>
      <c r="D994" s="49">
        <f t="shared" si="30"/>
        <v>10</v>
      </c>
      <c r="E994" s="92" t="s">
        <v>118</v>
      </c>
      <c r="F994" s="49" t="s">
        <v>36</v>
      </c>
      <c r="G994" s="14" t="s">
        <v>3077</v>
      </c>
      <c r="H994" s="14" t="s">
        <v>1291</v>
      </c>
      <c r="I994" s="76">
        <v>1199</v>
      </c>
      <c r="J994" s="73">
        <v>0</v>
      </c>
      <c r="K994" s="74">
        <v>9418.7999999999993</v>
      </c>
      <c r="L994" s="72">
        <v>0</v>
      </c>
      <c r="M994" s="72">
        <v>0</v>
      </c>
      <c r="N994" s="72">
        <f>IF(AND(C994="",J994=0,K994=0,L994=0,M994=0),"",CADASTROS!$B$4+SUM($J$2:J994)+SUM($M$2:M994)-SUM($K$2:K994)-SUM($L$2:L994))</f>
        <v>-11648.750000003725</v>
      </c>
      <c r="O994" s="72">
        <f>IF(A994="","",SUMIF(RATEIOS!$A$2:$A$3142,$A994,RATEIOS!$F$2:$F$3142))</f>
        <v>9418.7999999999993</v>
      </c>
      <c r="P994" s="15">
        <f t="shared" si="31"/>
        <v>0</v>
      </c>
      <c r="Q994" s="49" t="str">
        <f>IF(AND(J994=0,K994=0,L994=0,M994=0),"",IF(O994=0,"PENDENTE DE RATEIO",IF(ABS(P994)&gt;0.005,"DIVERGÊNCIA",IF(COUNTIF(RATEIOS!$A$2:$A$3142,$A994)-COUNTIFS(RATEIOS!$A$2:$A$3142,$A994,RATEIOS!$D$2:$D$3142,"&lt;&gt;")&gt;0,"NÃO CLASSIFICADO","RATEIO OK"))))</f>
        <v>NÃO CLASSIFICADO</v>
      </c>
      <c r="R994" s="49" t="s">
        <v>2553</v>
      </c>
      <c r="S994" s="14"/>
    </row>
    <row r="995" spans="1:19" ht="24.95" customHeight="1" x14ac:dyDescent="0.25">
      <c r="A995" s="49" t="s">
        <v>3058</v>
      </c>
      <c r="B995" s="98">
        <v>994</v>
      </c>
      <c r="C995" s="50">
        <v>46302</v>
      </c>
      <c r="D995" s="49">
        <f t="shared" si="30"/>
        <v>10</v>
      </c>
      <c r="E995" s="92" t="s">
        <v>2558</v>
      </c>
      <c r="F995" s="49" t="s">
        <v>38</v>
      </c>
      <c r="G995" s="14" t="s">
        <v>45</v>
      </c>
      <c r="H995" s="14" t="s">
        <v>45</v>
      </c>
      <c r="I995" s="76"/>
      <c r="J995" s="73">
        <v>0</v>
      </c>
      <c r="K995" s="74">
        <v>0</v>
      </c>
      <c r="L995" s="72">
        <v>0</v>
      </c>
      <c r="M995" s="72">
        <v>12000</v>
      </c>
      <c r="N995" s="72">
        <f>IF(AND(C995="",J995=0,K995=0,L995=0,M995=0),"",CADASTROS!$B$4+SUM($J$2:J995)+SUM($M$2:M995)-SUM($K$2:K995)-SUM($L$2:L995))</f>
        <v>351.24999999627471</v>
      </c>
      <c r="O995" s="72">
        <f>IF(A995="","",SUMIF(RATEIOS!$A$2:$A$3142,$A995,RATEIOS!$F$2:$F$3142))</f>
        <v>12000</v>
      </c>
      <c r="P995" s="15">
        <f t="shared" si="31"/>
        <v>0</v>
      </c>
      <c r="Q995" s="49" t="str">
        <f>IF(AND(J995=0,K995=0,L995=0,M995=0),"",IF(O995=0,"PENDENTE DE RATEIO",IF(ABS(P995)&gt;0.005,"DIVERGÊNCIA",IF(COUNTIF(RATEIOS!$A$2:$A$3142,$A995)-COUNTIFS(RATEIOS!$A$2:$A$3142,$A995,RATEIOS!$D$2:$D$3142,"&lt;&gt;")&gt;0,"NÃO CLASSIFICADO","RATEIO OK"))))</f>
        <v>NÃO CLASSIFICADO</v>
      </c>
      <c r="R995" s="49" t="s">
        <v>2553</v>
      </c>
      <c r="S995" s="14"/>
    </row>
    <row r="996" spans="1:19" ht="24.95" customHeight="1" x14ac:dyDescent="0.25">
      <c r="A996" s="49" t="s">
        <v>3059</v>
      </c>
      <c r="B996" s="98">
        <v>995</v>
      </c>
      <c r="C996" s="50">
        <v>46302</v>
      </c>
      <c r="D996" s="49">
        <f t="shared" si="30"/>
        <v>10</v>
      </c>
      <c r="E996" s="92" t="s">
        <v>2558</v>
      </c>
      <c r="F996" s="49" t="s">
        <v>38</v>
      </c>
      <c r="G996" s="14" t="s">
        <v>45</v>
      </c>
      <c r="H996" s="14" t="s">
        <v>45</v>
      </c>
      <c r="I996" s="76"/>
      <c r="J996" s="73">
        <v>0</v>
      </c>
      <c r="K996" s="74">
        <v>0</v>
      </c>
      <c r="L996" s="72">
        <v>0</v>
      </c>
      <c r="M996" s="72">
        <v>118.32</v>
      </c>
      <c r="N996" s="72">
        <f>IF(AND(C996="",J996=0,K996=0,L996=0,M996=0),"",CADASTROS!$B$4+SUM($J$2:J996)+SUM($M$2:M996)-SUM($K$2:K996)-SUM($L$2:L996))</f>
        <v>469.56999999657273</v>
      </c>
      <c r="O996" s="72">
        <f>IF(A996="","",SUMIF(RATEIOS!$A$2:$A$3142,$A996,RATEIOS!$F$2:$F$3142))</f>
        <v>118.32</v>
      </c>
      <c r="P996" s="15">
        <f t="shared" si="31"/>
        <v>0</v>
      </c>
      <c r="Q996" s="49" t="str">
        <f>IF(AND(J996=0,K996=0,L996=0,M996=0),"",IF(O996=0,"PENDENTE DE RATEIO",IF(ABS(P996)&gt;0.005,"DIVERGÊNCIA",IF(COUNTIF(RATEIOS!$A$2:$A$3142,$A996)-COUNTIFS(RATEIOS!$A$2:$A$3142,$A996,RATEIOS!$D$2:$D$3142,"&lt;&gt;")&gt;0,"NÃO CLASSIFICADO","RATEIO OK"))))</f>
        <v>NÃO CLASSIFICADO</v>
      </c>
      <c r="R996" s="49" t="s">
        <v>2553</v>
      </c>
      <c r="S996" s="14"/>
    </row>
    <row r="997" spans="1:19" ht="24.95" customHeight="1" x14ac:dyDescent="0.25">
      <c r="A997" s="49" t="s">
        <v>3071</v>
      </c>
      <c r="B997" s="98">
        <v>996</v>
      </c>
      <c r="C997" s="50">
        <v>46303</v>
      </c>
      <c r="D997" s="49">
        <f t="shared" si="30"/>
        <v>10</v>
      </c>
      <c r="E997" s="92" t="s">
        <v>118</v>
      </c>
      <c r="F997" s="49" t="s">
        <v>36</v>
      </c>
      <c r="G997" s="14" t="s">
        <v>161</v>
      </c>
      <c r="H997" s="14" t="s">
        <v>81</v>
      </c>
      <c r="I997" s="76">
        <v>1042864</v>
      </c>
      <c r="J997" s="73">
        <v>0</v>
      </c>
      <c r="K997" s="74">
        <v>7249.27</v>
      </c>
      <c r="L997" s="72">
        <v>0</v>
      </c>
      <c r="M997" s="72">
        <v>0</v>
      </c>
      <c r="N997" s="72">
        <f>IF(AND(C997="",J997=0,K997=0,L997=0,M997=0),"",CADASTROS!$B$4+SUM($J$2:J997)+SUM($M$2:M997)-SUM($K$2:K997)-SUM($L$2:L997))</f>
        <v>-6779.7000000029802</v>
      </c>
      <c r="O997" s="72">
        <f>IF(A997="","",SUMIF(RATEIOS!$A$2:$A$3142,$A997,RATEIOS!$F$2:$F$3142))</f>
        <v>7249.27</v>
      </c>
      <c r="P997" s="15">
        <f t="shared" si="31"/>
        <v>0</v>
      </c>
      <c r="Q997" s="49" t="str">
        <f>IF(AND(J997=0,K997=0,L997=0,M997=0),"",IF(O997=0,"PENDENTE DE RATEIO",IF(ABS(P997)&gt;0.005,"DIVERGÊNCIA",IF(COUNTIF(RATEIOS!$A$2:$A$3142,$A997)-COUNTIFS(RATEIOS!$A$2:$A$3142,$A997,RATEIOS!$D$2:$D$3142,"&lt;&gt;")&gt;0,"NÃO CLASSIFICADO","RATEIO OK"))))</f>
        <v>NÃO CLASSIFICADO</v>
      </c>
      <c r="R997" s="49" t="s">
        <v>2553</v>
      </c>
      <c r="S997" s="14"/>
    </row>
    <row r="998" spans="1:19" ht="24.95" customHeight="1" x14ac:dyDescent="0.25">
      <c r="A998" s="49" t="s">
        <v>3072</v>
      </c>
      <c r="B998" s="98">
        <v>997</v>
      </c>
      <c r="C998" s="50">
        <v>46303</v>
      </c>
      <c r="D998" s="49">
        <f t="shared" si="30"/>
        <v>10</v>
      </c>
      <c r="E998" s="92" t="s">
        <v>118</v>
      </c>
      <c r="F998" s="49" t="s">
        <v>36</v>
      </c>
      <c r="G998" s="14" t="s">
        <v>564</v>
      </c>
      <c r="H998" s="14" t="s">
        <v>59</v>
      </c>
      <c r="I998" s="76">
        <v>14552</v>
      </c>
      <c r="J998" s="73">
        <v>0</v>
      </c>
      <c r="K998" s="74">
        <v>1100</v>
      </c>
      <c r="L998" s="72">
        <v>0</v>
      </c>
      <c r="M998" s="72">
        <v>0</v>
      </c>
      <c r="N998" s="72">
        <f>IF(AND(C998="",J998=0,K998=0,L998=0,M998=0),"",CADASTROS!$B$4+SUM($J$2:J998)+SUM($M$2:M998)-SUM($K$2:K998)-SUM($L$2:L998))</f>
        <v>-7879.7000000029802</v>
      </c>
      <c r="O998" s="72">
        <f>IF(A998="","",SUMIF(RATEIOS!$A$2:$A$3142,$A998,RATEIOS!$F$2:$F$3142))</f>
        <v>1100</v>
      </c>
      <c r="P998" s="15">
        <f t="shared" si="31"/>
        <v>0</v>
      </c>
      <c r="Q998" s="49" t="str">
        <f>IF(AND(J998=0,K998=0,L998=0,M998=0),"",IF(O998=0,"PENDENTE DE RATEIO",IF(ABS(P998)&gt;0.005,"DIVERGÊNCIA",IF(COUNTIF(RATEIOS!$A$2:$A$3142,$A998)-COUNTIFS(RATEIOS!$A$2:$A$3142,$A998,RATEIOS!$D$2:$D$3142,"&lt;&gt;")&gt;0,"NÃO CLASSIFICADO","RATEIO OK"))))</f>
        <v>NÃO CLASSIFICADO</v>
      </c>
      <c r="R998" s="49" t="s">
        <v>2553</v>
      </c>
      <c r="S998" s="14"/>
    </row>
    <row r="999" spans="1:19" ht="24.95" customHeight="1" x14ac:dyDescent="0.25">
      <c r="A999" s="49" t="s">
        <v>3073</v>
      </c>
      <c r="B999" s="98">
        <v>998</v>
      </c>
      <c r="C999" s="50">
        <v>46303</v>
      </c>
      <c r="D999" s="49">
        <f t="shared" si="30"/>
        <v>10</v>
      </c>
      <c r="E999" s="92" t="s">
        <v>118</v>
      </c>
      <c r="F999" s="49" t="s">
        <v>36</v>
      </c>
      <c r="G999" s="14" t="s">
        <v>3083</v>
      </c>
      <c r="H999" s="14" t="s">
        <v>92</v>
      </c>
      <c r="I999" s="76">
        <v>38758</v>
      </c>
      <c r="J999" s="73">
        <v>0</v>
      </c>
      <c r="K999" s="74">
        <v>1935.4</v>
      </c>
      <c r="L999" s="72">
        <v>0</v>
      </c>
      <c r="M999" s="72">
        <v>0</v>
      </c>
      <c r="N999" s="72">
        <f>IF(AND(C999="",J999=0,K999=0,L999=0,M999=0),"",CADASTROS!$B$4+SUM($J$2:J999)+SUM($M$2:M999)-SUM($K$2:K999)-SUM($L$2:L999))</f>
        <v>-9815.1000000033528</v>
      </c>
      <c r="O999" s="72">
        <f>IF(A999="","",SUMIF(RATEIOS!$A$2:$A$3142,$A999,RATEIOS!$F$2:$F$3142))</f>
        <v>1935.4</v>
      </c>
      <c r="P999" s="15">
        <f t="shared" si="31"/>
        <v>0</v>
      </c>
      <c r="Q999" s="49" t="str">
        <f>IF(AND(J999=0,K999=0,L999=0,M999=0),"",IF(O999=0,"PENDENTE DE RATEIO",IF(ABS(P999)&gt;0.005,"DIVERGÊNCIA",IF(COUNTIF(RATEIOS!$A$2:$A$3142,$A999)-COUNTIFS(RATEIOS!$A$2:$A$3142,$A999,RATEIOS!$D$2:$D$3142,"&lt;&gt;")&gt;0,"NÃO CLASSIFICADO","RATEIO OK"))))</f>
        <v>NÃO CLASSIFICADO</v>
      </c>
      <c r="R999" s="49" t="s">
        <v>2553</v>
      </c>
      <c r="S999" s="14"/>
    </row>
    <row r="1000" spans="1:19" ht="24.95" customHeight="1" x14ac:dyDescent="0.25">
      <c r="A1000" s="49" t="s">
        <v>3074</v>
      </c>
      <c r="B1000" s="98">
        <v>999</v>
      </c>
      <c r="C1000" s="50">
        <v>46303</v>
      </c>
      <c r="D1000" s="49">
        <f t="shared" si="30"/>
        <v>10</v>
      </c>
      <c r="E1000" s="92" t="s">
        <v>2558</v>
      </c>
      <c r="F1000" s="49" t="s">
        <v>38</v>
      </c>
      <c r="G1000" s="14" t="s">
        <v>45</v>
      </c>
      <c r="H1000" s="14" t="s">
        <v>45</v>
      </c>
      <c r="I1000" s="76"/>
      <c r="J1000" s="73">
        <v>0</v>
      </c>
      <c r="K1000" s="74">
        <v>0</v>
      </c>
      <c r="L1000" s="72">
        <v>0</v>
      </c>
      <c r="M1000" s="72">
        <v>10000</v>
      </c>
      <c r="N1000" s="72">
        <f>IF(AND(C1000="",J1000=0,K1000=0,L1000=0,M1000=0),"",CADASTROS!$B$4+SUM($J$2:J1000)+SUM($M$2:M1000)-SUM($K$2:K1000)-SUM($L$2:L1000))</f>
        <v>184.89999999664724</v>
      </c>
      <c r="O1000" s="72">
        <f>IF(A1000="","",SUMIF(RATEIOS!$A$2:$A$3142,$A1000,RATEIOS!$F$2:$F$3142))</f>
        <v>10000</v>
      </c>
      <c r="P1000" s="15">
        <f t="shared" si="31"/>
        <v>0</v>
      </c>
      <c r="Q1000" s="49" t="str">
        <f>IF(AND(J1000=0,K1000=0,L1000=0,M1000=0),"",IF(O1000=0,"PENDENTE DE RATEIO",IF(ABS(P1000)&gt;0.005,"DIVERGÊNCIA",IF(COUNTIF(RATEIOS!$A$2:$A$3142,$A1000)-COUNTIFS(RATEIOS!$A$2:$A$3142,$A1000,RATEIOS!$D$2:$D$3142,"&lt;&gt;")&gt;0,"NÃO CLASSIFICADO","RATEIO OK"))))</f>
        <v>NÃO CLASSIFICADO</v>
      </c>
      <c r="R1000" s="49" t="s">
        <v>2553</v>
      </c>
      <c r="S1000" s="14"/>
    </row>
    <row r="1001" spans="1:19" ht="24.95" customHeight="1" x14ac:dyDescent="0.25">
      <c r="A1001" s="49" t="s">
        <v>3075</v>
      </c>
      <c r="B1001" s="98">
        <v>1000</v>
      </c>
      <c r="C1001" s="50">
        <v>46303</v>
      </c>
      <c r="D1001" s="49">
        <f t="shared" si="30"/>
        <v>10</v>
      </c>
      <c r="E1001" s="92" t="s">
        <v>2558</v>
      </c>
      <c r="F1001" s="49" t="s">
        <v>38</v>
      </c>
      <c r="G1001" s="14" t="s">
        <v>45</v>
      </c>
      <c r="H1001" s="14" t="s">
        <v>45</v>
      </c>
      <c r="I1001" s="76"/>
      <c r="J1001" s="73">
        <v>0</v>
      </c>
      <c r="K1001" s="74">
        <v>0</v>
      </c>
      <c r="L1001" s="72">
        <v>0</v>
      </c>
      <c r="M1001" s="72">
        <v>102.4</v>
      </c>
      <c r="N1001" s="72">
        <f>IF(AND(C1001="",J1001=0,K1001=0,L1001=0,M1001=0),"",CADASTROS!$B$4+SUM($J$2:J1001)+SUM($M$2:M1001)-SUM($K$2:K1001)-SUM($L$2:L1001))</f>
        <v>287.29999999608845</v>
      </c>
      <c r="O1001" s="72">
        <f>IF(A1001="","",SUMIF(RATEIOS!$A$2:$A$3142,$A1001,RATEIOS!$F$2:$F$3142))</f>
        <v>102.4</v>
      </c>
      <c r="P1001" s="15">
        <f t="shared" si="31"/>
        <v>0</v>
      </c>
      <c r="Q1001" s="49" t="str">
        <f>IF(AND(J1001=0,K1001=0,L1001=0,M1001=0),"",IF(O1001=0,"PENDENTE DE RATEIO",IF(ABS(P1001)&gt;0.005,"DIVERGÊNCIA",IF(COUNTIF(RATEIOS!$A$2:$A$3142,$A1001)-COUNTIFS(RATEIOS!$A$2:$A$3142,$A1001,RATEIOS!$D$2:$D$3142,"&lt;&gt;")&gt;0,"NÃO CLASSIFICADO","RATEIO OK"))))</f>
        <v>NÃO CLASSIFICADO</v>
      </c>
      <c r="R1001" s="49" t="s">
        <v>2553</v>
      </c>
      <c r="S1001" s="14"/>
    </row>
    <row r="1002" spans="1:19" ht="24.95" customHeight="1" x14ac:dyDescent="0.25">
      <c r="A1002" s="49" t="s">
        <v>3076</v>
      </c>
      <c r="B1002" s="98">
        <v>1001</v>
      </c>
      <c r="C1002" s="50">
        <v>46308</v>
      </c>
      <c r="D1002" s="49">
        <f t="shared" si="30"/>
        <v>10</v>
      </c>
      <c r="E1002" s="92" t="s">
        <v>287</v>
      </c>
      <c r="F1002" s="49" t="s">
        <v>35</v>
      </c>
      <c r="G1002" s="14" t="s">
        <v>2735</v>
      </c>
      <c r="H1002" s="14" t="s">
        <v>2737</v>
      </c>
      <c r="I1002" s="76" t="s">
        <v>412</v>
      </c>
      <c r="J1002" s="73">
        <v>44452.800000000003</v>
      </c>
      <c r="K1002" s="74">
        <v>0</v>
      </c>
      <c r="L1002" s="72">
        <v>0</v>
      </c>
      <c r="M1002" s="72">
        <v>0</v>
      </c>
      <c r="N1002" s="72">
        <f>IF(AND(C1002="",J1002=0,K1002=0,L1002=0,M1002=0),"",CADASTROS!$B$4+SUM($J$2:J1002)+SUM($M$2:M1002)-SUM($K$2:K1002)-SUM($L$2:L1002))</f>
        <v>44740.099999995902</v>
      </c>
      <c r="O1002" s="72">
        <f>IF(A1002="","",SUMIF(RATEIOS!$A$2:$A$3142,$A1002,RATEIOS!$F$2:$F$3142))</f>
        <v>44452.800000000003</v>
      </c>
      <c r="P1002" s="15">
        <f t="shared" si="31"/>
        <v>0</v>
      </c>
      <c r="Q1002" s="49" t="str">
        <f>IF(AND(J1002=0,K1002=0,L1002=0,M1002=0),"",IF(O1002=0,"PENDENTE DE RATEIO",IF(ABS(P1002)&gt;0.005,"DIVERGÊNCIA",IF(COUNTIF(RATEIOS!$A$2:$A$3142,$A1002)-COUNTIFS(RATEIOS!$A$2:$A$3142,$A1002,RATEIOS!$D$2:$D$3142,"&lt;&gt;")&gt;0,"NÃO CLASSIFICADO","RATEIO OK"))))</f>
        <v>NÃO CLASSIFICADO</v>
      </c>
      <c r="R1002" s="49" t="s">
        <v>2553</v>
      </c>
      <c r="S1002" s="14"/>
    </row>
    <row r="1003" spans="1:19" ht="24.95" customHeight="1" x14ac:dyDescent="0.25">
      <c r="A1003" s="49" t="s">
        <v>3084</v>
      </c>
      <c r="B1003" s="98">
        <v>1002</v>
      </c>
      <c r="C1003" s="50">
        <v>46308</v>
      </c>
      <c r="D1003" s="49">
        <f t="shared" si="30"/>
        <v>10</v>
      </c>
      <c r="E1003" s="92" t="s">
        <v>287</v>
      </c>
      <c r="F1003" s="49" t="s">
        <v>36</v>
      </c>
      <c r="G1003" s="14" t="s">
        <v>3184</v>
      </c>
      <c r="H1003" s="14" t="s">
        <v>2942</v>
      </c>
      <c r="I1003" s="76" t="s">
        <v>3185</v>
      </c>
      <c r="J1003" s="73">
        <v>0</v>
      </c>
      <c r="K1003" s="74">
        <v>7568.39</v>
      </c>
      <c r="L1003" s="72">
        <v>0</v>
      </c>
      <c r="M1003" s="72">
        <v>0</v>
      </c>
      <c r="N1003" s="72">
        <f>IF(AND(C1003="",J1003=0,K1003=0,L1003=0,M1003=0),"",CADASTROS!$B$4+SUM($J$2:J1003)+SUM($M$2:M1003)-SUM($K$2:K1003)-SUM($L$2:L1003))</f>
        <v>37171.709999996237</v>
      </c>
      <c r="O1003" s="72">
        <f>IF(A1003="","",SUMIF(RATEIOS!$A$2:$A$3142,$A1003,RATEIOS!$F$2:$F$3142))</f>
        <v>7568.39</v>
      </c>
      <c r="P1003" s="15">
        <f t="shared" si="31"/>
        <v>0</v>
      </c>
      <c r="Q1003" s="49" t="str">
        <f>IF(AND(J1003=0,K1003=0,L1003=0,M1003=0),"",IF(O1003=0,"PENDENTE DE RATEIO",IF(ABS(P1003)&gt;0.005,"DIVERGÊNCIA",IF(COUNTIF(RATEIOS!$A$2:$A$3142,$A1003)-COUNTIFS(RATEIOS!$A$2:$A$3142,$A1003,RATEIOS!$D$2:$D$3142,"&lt;&gt;")&gt;0,"NÃO CLASSIFICADO","RATEIO OK"))))</f>
        <v>NÃO CLASSIFICADO</v>
      </c>
      <c r="R1003" s="49" t="s">
        <v>2553</v>
      </c>
      <c r="S1003" s="14"/>
    </row>
    <row r="1004" spans="1:19" ht="24.95" customHeight="1" x14ac:dyDescent="0.25">
      <c r="A1004" s="49" t="s">
        <v>3085</v>
      </c>
      <c r="B1004" s="98">
        <v>1003</v>
      </c>
      <c r="C1004" s="50">
        <v>46308</v>
      </c>
      <c r="D1004" s="49">
        <f t="shared" si="30"/>
        <v>10</v>
      </c>
      <c r="E1004" s="92" t="s">
        <v>287</v>
      </c>
      <c r="F1004" s="49" t="s">
        <v>36</v>
      </c>
      <c r="G1004" s="14" t="s">
        <v>3186</v>
      </c>
      <c r="H1004" s="14" t="s">
        <v>3033</v>
      </c>
      <c r="I1004" s="76" t="s">
        <v>3187</v>
      </c>
      <c r="J1004" s="73">
        <v>0</v>
      </c>
      <c r="K1004" s="74">
        <v>1246</v>
      </c>
      <c r="L1004" s="72">
        <v>0</v>
      </c>
      <c r="M1004" s="72">
        <v>0</v>
      </c>
      <c r="N1004" s="72">
        <f>IF(AND(C1004="",J1004=0,K1004=0,L1004=0,M1004=0),"",CADASTROS!$B$4+SUM($J$2:J1004)+SUM($M$2:M1004)-SUM($K$2:K1004)-SUM($L$2:L1004))</f>
        <v>35925.709999996237</v>
      </c>
      <c r="O1004" s="72">
        <f>IF(A1004="","",SUMIF(RATEIOS!$A$2:$A$3142,$A1004,RATEIOS!$F$2:$F$3142))</f>
        <v>1246</v>
      </c>
      <c r="P1004" s="15">
        <f t="shared" si="31"/>
        <v>0</v>
      </c>
      <c r="Q1004" s="49" t="str">
        <f>IF(AND(J1004=0,K1004=0,L1004=0,M1004=0),"",IF(O1004=0,"PENDENTE DE RATEIO",IF(ABS(P1004)&gt;0.005,"DIVERGÊNCIA",IF(COUNTIF(RATEIOS!$A$2:$A$3142,$A1004)-COUNTIFS(RATEIOS!$A$2:$A$3142,$A1004,RATEIOS!$D$2:$D$3142,"&lt;&gt;")&gt;0,"NÃO CLASSIFICADO","RATEIO OK"))))</f>
        <v>NÃO CLASSIFICADO</v>
      </c>
      <c r="R1004" s="49" t="s">
        <v>2553</v>
      </c>
      <c r="S1004" s="14"/>
    </row>
    <row r="1005" spans="1:19" ht="24.95" customHeight="1" x14ac:dyDescent="0.25">
      <c r="A1005" s="49" t="s">
        <v>3086</v>
      </c>
      <c r="B1005" s="98">
        <v>1004</v>
      </c>
      <c r="C1005" s="50">
        <v>46308</v>
      </c>
      <c r="D1005" s="49">
        <f t="shared" si="30"/>
        <v>10</v>
      </c>
      <c r="E1005" s="92" t="s">
        <v>123</v>
      </c>
      <c r="F1005" s="49" t="s">
        <v>36</v>
      </c>
      <c r="G1005" s="14" t="s">
        <v>3188</v>
      </c>
      <c r="H1005" s="14" t="s">
        <v>3183</v>
      </c>
      <c r="I1005" s="76"/>
      <c r="J1005" s="73">
        <v>0</v>
      </c>
      <c r="K1005" s="74">
        <v>44452.800000000003</v>
      </c>
      <c r="L1005" s="72">
        <v>0</v>
      </c>
      <c r="M1005" s="72">
        <v>0</v>
      </c>
      <c r="N1005" s="72">
        <f>IF(AND(C1005="",J1005=0,K1005=0,L1005=0,M1005=0),"",CADASTROS!$B$4+SUM($J$2:J1005)+SUM($M$2:M1005)-SUM($K$2:K1005)-SUM($L$2:L1005))</f>
        <v>-8527.0900000035763</v>
      </c>
      <c r="O1005" s="72">
        <f>IF(A1005="","",SUMIF(RATEIOS!$A$2:$A$3142,$A1005,RATEIOS!$F$2:$F$3142))</f>
        <v>44452.800000000003</v>
      </c>
      <c r="P1005" s="15">
        <f t="shared" si="31"/>
        <v>0</v>
      </c>
      <c r="Q1005" s="49" t="str">
        <f>IF(AND(J1005=0,K1005=0,L1005=0,M1005=0),"",IF(O1005=0,"PENDENTE DE RATEIO",IF(ABS(P1005)&gt;0.005,"DIVERGÊNCIA",IF(COUNTIF(RATEIOS!$A$2:$A$3142,$A1005)-COUNTIFS(RATEIOS!$A$2:$A$3142,$A1005,RATEIOS!$D$2:$D$3142,"&lt;&gt;")&gt;0,"NÃO CLASSIFICADO","RATEIO OK"))))</f>
        <v>NÃO CLASSIFICADO</v>
      </c>
      <c r="R1005" s="49" t="s">
        <v>2553</v>
      </c>
      <c r="S1005" s="14"/>
    </row>
    <row r="1006" spans="1:19" ht="24.95" customHeight="1" x14ac:dyDescent="0.25">
      <c r="A1006" s="49" t="s">
        <v>3087</v>
      </c>
      <c r="B1006" s="98">
        <v>1005</v>
      </c>
      <c r="C1006" s="50">
        <v>46308</v>
      </c>
      <c r="D1006" s="49">
        <f t="shared" si="30"/>
        <v>10</v>
      </c>
      <c r="E1006" s="92" t="s">
        <v>118</v>
      </c>
      <c r="F1006" s="49" t="s">
        <v>36</v>
      </c>
      <c r="G1006" s="14" t="s">
        <v>119</v>
      </c>
      <c r="H1006" s="14" t="s">
        <v>120</v>
      </c>
      <c r="I1006" s="89" t="s">
        <v>458</v>
      </c>
      <c r="J1006" s="73">
        <v>0</v>
      </c>
      <c r="K1006" s="74">
        <v>149.9</v>
      </c>
      <c r="L1006" s="72">
        <v>0</v>
      </c>
      <c r="M1006" s="72">
        <v>0</v>
      </c>
      <c r="N1006" s="72">
        <f>IF(AND(C1006="",J1006=0,K1006=0,L1006=0,M1006=0),"",CADASTROS!$B$4+SUM($J$2:J1006)+SUM($M$2:M1006)-SUM($K$2:K1006)-SUM($L$2:L1006))</f>
        <v>-8676.9900000039488</v>
      </c>
      <c r="O1006" s="72">
        <f>IF(A1006="","",SUMIF(RATEIOS!$A$2:$A$3142,$A1006,RATEIOS!$F$2:$F$3142))</f>
        <v>149.9</v>
      </c>
      <c r="P1006" s="15">
        <f t="shared" si="31"/>
        <v>0</v>
      </c>
      <c r="Q1006" s="49" t="str">
        <f>IF(AND(J1006=0,K1006=0,L1006=0,M1006=0),"",IF(O1006=0,"PENDENTE DE RATEIO",IF(ABS(P1006)&gt;0.005,"DIVERGÊNCIA",IF(COUNTIF(RATEIOS!$A$2:$A$3142,$A1006)-COUNTIFS(RATEIOS!$A$2:$A$3142,$A1006,RATEIOS!$D$2:$D$3142,"&lt;&gt;")&gt;0,"NÃO CLASSIFICADO","RATEIO OK"))))</f>
        <v>NÃO CLASSIFICADO</v>
      </c>
      <c r="R1006" s="49" t="s">
        <v>2553</v>
      </c>
      <c r="S1006" s="14"/>
    </row>
    <row r="1007" spans="1:19" ht="24.95" customHeight="1" x14ac:dyDescent="0.25">
      <c r="A1007" s="49" t="s">
        <v>3088</v>
      </c>
      <c r="B1007" s="98">
        <v>1006</v>
      </c>
      <c r="C1007" s="50">
        <v>46308</v>
      </c>
      <c r="D1007" s="49">
        <f t="shared" si="30"/>
        <v>10</v>
      </c>
      <c r="E1007" s="92" t="s">
        <v>118</v>
      </c>
      <c r="F1007" s="49" t="s">
        <v>36</v>
      </c>
      <c r="G1007" s="14" t="s">
        <v>3190</v>
      </c>
      <c r="H1007" s="14" t="s">
        <v>265</v>
      </c>
      <c r="I1007" s="76">
        <v>14588</v>
      </c>
      <c r="J1007" s="73">
        <v>0</v>
      </c>
      <c r="K1007" s="74">
        <v>1259.9000000000001</v>
      </c>
      <c r="L1007" s="72">
        <v>0</v>
      </c>
      <c r="M1007" s="72">
        <v>0</v>
      </c>
      <c r="N1007" s="72">
        <f>IF(AND(C1007="",J1007=0,K1007=0,L1007=0,M1007=0),"",CADASTROS!$B$4+SUM($J$2:J1007)+SUM($M$2:M1007)-SUM($K$2:K1007)-SUM($L$2:L1007))</f>
        <v>-9936.8900000043213</v>
      </c>
      <c r="O1007" s="72">
        <f>IF(A1007="","",SUMIF(RATEIOS!$A$2:$A$3142,$A1007,RATEIOS!$F$2:$F$3142))</f>
        <v>1259.9000000000001</v>
      </c>
      <c r="P1007" s="15">
        <f t="shared" si="31"/>
        <v>0</v>
      </c>
      <c r="Q1007" s="49" t="str">
        <f>IF(AND(J1007=0,K1007=0,L1007=0,M1007=0),"",IF(O1007=0,"PENDENTE DE RATEIO",IF(ABS(P1007)&gt;0.005,"DIVERGÊNCIA",IF(COUNTIF(RATEIOS!$A$2:$A$3142,$A1007)-COUNTIFS(RATEIOS!$A$2:$A$3142,$A1007,RATEIOS!$D$2:$D$3142,"&lt;&gt;")&gt;0,"NÃO CLASSIFICADO","RATEIO OK"))))</f>
        <v>NÃO CLASSIFICADO</v>
      </c>
      <c r="R1007" s="49" t="s">
        <v>2553</v>
      </c>
      <c r="S1007" s="14"/>
    </row>
    <row r="1008" spans="1:19" ht="24.95" customHeight="1" x14ac:dyDescent="0.25">
      <c r="A1008" s="49" t="s">
        <v>3089</v>
      </c>
      <c r="B1008" s="98">
        <v>1007</v>
      </c>
      <c r="C1008" s="50">
        <v>46308</v>
      </c>
      <c r="D1008" s="49">
        <f t="shared" si="30"/>
        <v>10</v>
      </c>
      <c r="E1008" s="92" t="s">
        <v>118</v>
      </c>
      <c r="F1008" s="49" t="s">
        <v>36</v>
      </c>
      <c r="G1008" s="14" t="s">
        <v>3191</v>
      </c>
      <c r="H1008" s="14" t="s">
        <v>204</v>
      </c>
      <c r="I1008" s="76">
        <v>428167</v>
      </c>
      <c r="J1008" s="73">
        <v>0</v>
      </c>
      <c r="K1008" s="74">
        <v>1858.59</v>
      </c>
      <c r="L1008" s="72">
        <v>0</v>
      </c>
      <c r="M1008" s="72">
        <v>0</v>
      </c>
      <c r="N1008" s="72">
        <f>IF(AND(C1008="",J1008=0,K1008=0,L1008=0,M1008=0),"",CADASTROS!$B$4+SUM($J$2:J1008)+SUM($M$2:M1008)-SUM($K$2:K1008)-SUM($L$2:L1008))</f>
        <v>-11795.480000004172</v>
      </c>
      <c r="O1008" s="72">
        <f>IF(A1008="","",SUMIF(RATEIOS!$A$2:$A$3142,$A1008,RATEIOS!$F$2:$F$3142))</f>
        <v>1858.59</v>
      </c>
      <c r="P1008" s="15">
        <f t="shared" si="31"/>
        <v>0</v>
      </c>
      <c r="Q1008" s="49" t="str">
        <f>IF(AND(J1008=0,K1008=0,L1008=0,M1008=0),"",IF(O1008=0,"PENDENTE DE RATEIO",IF(ABS(P1008)&gt;0.005,"DIVERGÊNCIA",IF(COUNTIF(RATEIOS!$A$2:$A$3142,$A1008)-COUNTIFS(RATEIOS!$A$2:$A$3142,$A1008,RATEIOS!$D$2:$D$3142,"&lt;&gt;")&gt;0,"NÃO CLASSIFICADO","RATEIO OK"))))</f>
        <v>NÃO CLASSIFICADO</v>
      </c>
      <c r="R1008" s="49" t="s">
        <v>2553</v>
      </c>
      <c r="S1008" s="14"/>
    </row>
    <row r="1009" spans="1:19" ht="24.95" customHeight="1" x14ac:dyDescent="0.25">
      <c r="A1009" s="49" t="s">
        <v>3090</v>
      </c>
      <c r="B1009" s="98">
        <v>1008</v>
      </c>
      <c r="C1009" s="50">
        <v>46308</v>
      </c>
      <c r="D1009" s="49">
        <f t="shared" si="30"/>
        <v>10</v>
      </c>
      <c r="E1009" s="92" t="s">
        <v>118</v>
      </c>
      <c r="F1009" s="49" t="s">
        <v>36</v>
      </c>
      <c r="G1009" s="14" t="s">
        <v>3192</v>
      </c>
      <c r="H1009" s="14" t="s">
        <v>81</v>
      </c>
      <c r="I1009" s="76">
        <v>1103397</v>
      </c>
      <c r="J1009" s="73">
        <v>0</v>
      </c>
      <c r="K1009" s="74">
        <v>9686.94</v>
      </c>
      <c r="L1009" s="72">
        <v>0</v>
      </c>
      <c r="M1009" s="72">
        <v>0</v>
      </c>
      <c r="N1009" s="72">
        <f>IF(AND(C1009="",J1009=0,K1009=0,L1009=0,M1009=0),"",CADASTROS!$B$4+SUM($J$2:J1009)+SUM($M$2:M1009)-SUM($K$2:K1009)-SUM($L$2:L1009))</f>
        <v>-21482.420000004582</v>
      </c>
      <c r="O1009" s="72">
        <f>IF(A1009="","",SUMIF(RATEIOS!$A$2:$A$3142,$A1009,RATEIOS!$F$2:$F$3142))</f>
        <v>9686.94</v>
      </c>
      <c r="P1009" s="15">
        <f t="shared" si="31"/>
        <v>0</v>
      </c>
      <c r="Q1009" s="49" t="str">
        <f>IF(AND(J1009=0,K1009=0,L1009=0,M1009=0),"",IF(O1009=0,"PENDENTE DE RATEIO",IF(ABS(P1009)&gt;0.005,"DIVERGÊNCIA",IF(COUNTIF(RATEIOS!$A$2:$A$3142,$A1009)-COUNTIFS(RATEIOS!$A$2:$A$3142,$A1009,RATEIOS!$D$2:$D$3142,"&lt;&gt;")&gt;0,"NÃO CLASSIFICADO","RATEIO OK"))))</f>
        <v>NÃO CLASSIFICADO</v>
      </c>
      <c r="R1009" s="49" t="s">
        <v>2553</v>
      </c>
      <c r="S1009" s="14"/>
    </row>
    <row r="1010" spans="1:19" ht="24.95" customHeight="1" x14ac:dyDescent="0.25">
      <c r="A1010" s="49" t="s">
        <v>3091</v>
      </c>
      <c r="B1010" s="98">
        <v>1009</v>
      </c>
      <c r="C1010" s="50">
        <v>46308</v>
      </c>
      <c r="D1010" s="49">
        <f t="shared" si="30"/>
        <v>10</v>
      </c>
      <c r="E1010" s="92" t="s">
        <v>118</v>
      </c>
      <c r="F1010" s="49" t="s">
        <v>36</v>
      </c>
      <c r="G1010" s="14" t="s">
        <v>3193</v>
      </c>
      <c r="H1010" s="14" t="s">
        <v>3194</v>
      </c>
      <c r="I1010" s="76">
        <v>1968</v>
      </c>
      <c r="J1010" s="73">
        <v>0</v>
      </c>
      <c r="K1010" s="74">
        <v>2270.16</v>
      </c>
      <c r="L1010" s="72">
        <v>0</v>
      </c>
      <c r="M1010" s="72">
        <v>0</v>
      </c>
      <c r="N1010" s="72">
        <f>IF(AND(C1010="",J1010=0,K1010=0,L1010=0,M1010=0),"",CADASTROS!$B$4+SUM($J$2:J1010)+SUM($M$2:M1010)-SUM($K$2:K1010)-SUM($L$2:L1010))</f>
        <v>-23752.580000004731</v>
      </c>
      <c r="O1010" s="72">
        <f>IF(A1010="","",SUMIF(RATEIOS!$A$2:$A$3142,$A1010,RATEIOS!$F$2:$F$3142))</f>
        <v>2270.16</v>
      </c>
      <c r="P1010" s="15">
        <f t="shared" si="31"/>
        <v>0</v>
      </c>
      <c r="Q1010" s="49" t="str">
        <f>IF(AND(J1010=0,K1010=0,L1010=0,M1010=0),"",IF(O1010=0,"PENDENTE DE RATEIO",IF(ABS(P1010)&gt;0.005,"DIVERGÊNCIA",IF(COUNTIF(RATEIOS!$A$2:$A$3142,$A1010)-COUNTIFS(RATEIOS!$A$2:$A$3142,$A1010,RATEIOS!$D$2:$D$3142,"&lt;&gt;")&gt;0,"NÃO CLASSIFICADO","RATEIO OK"))))</f>
        <v>NÃO CLASSIFICADO</v>
      </c>
      <c r="R1010" s="49" t="s">
        <v>2553</v>
      </c>
      <c r="S1010" s="14"/>
    </row>
    <row r="1011" spans="1:19" ht="24.95" customHeight="1" x14ac:dyDescent="0.25">
      <c r="A1011" s="49" t="s">
        <v>3092</v>
      </c>
      <c r="B1011" s="98">
        <v>1010</v>
      </c>
      <c r="C1011" s="50">
        <v>46308</v>
      </c>
      <c r="D1011" s="49">
        <f t="shared" si="30"/>
        <v>10</v>
      </c>
      <c r="E1011" s="92" t="s">
        <v>118</v>
      </c>
      <c r="F1011" s="49" t="s">
        <v>36</v>
      </c>
      <c r="G1011" s="14" t="s">
        <v>3195</v>
      </c>
      <c r="H1011" s="14" t="s">
        <v>2753</v>
      </c>
      <c r="I1011" s="76" t="s">
        <v>1273</v>
      </c>
      <c r="J1011" s="73">
        <v>0</v>
      </c>
      <c r="K1011" s="74">
        <v>1800</v>
      </c>
      <c r="L1011" s="72">
        <v>0</v>
      </c>
      <c r="M1011" s="72">
        <v>0</v>
      </c>
      <c r="N1011" s="72">
        <f>IF(AND(C1011="",J1011=0,K1011=0,L1011=0,M1011=0),"",CADASTROS!$B$4+SUM($J$2:J1011)+SUM($M$2:M1011)-SUM($K$2:K1011)-SUM($L$2:L1011))</f>
        <v>-25552.580000004731</v>
      </c>
      <c r="O1011" s="72">
        <f>IF(A1011="","",SUMIF(RATEIOS!$A$2:$A$3142,$A1011,RATEIOS!$F$2:$F$3142))</f>
        <v>1800</v>
      </c>
      <c r="P1011" s="15">
        <f t="shared" si="31"/>
        <v>0</v>
      </c>
      <c r="Q1011" s="49" t="str">
        <f>IF(AND(J1011=0,K1011=0,L1011=0,M1011=0),"",IF(O1011=0,"PENDENTE DE RATEIO",IF(ABS(P1011)&gt;0.005,"DIVERGÊNCIA",IF(COUNTIF(RATEIOS!$A$2:$A$3142,$A1011)-COUNTIFS(RATEIOS!$A$2:$A$3142,$A1011,RATEIOS!$D$2:$D$3142,"&lt;&gt;")&gt;0,"NÃO CLASSIFICADO","RATEIO OK"))))</f>
        <v>NÃO CLASSIFICADO</v>
      </c>
      <c r="R1011" s="49" t="s">
        <v>2553</v>
      </c>
      <c r="S1011" s="14"/>
    </row>
    <row r="1012" spans="1:19" ht="24.95" customHeight="1" x14ac:dyDescent="0.25">
      <c r="A1012" s="49" t="s">
        <v>3093</v>
      </c>
      <c r="B1012" s="98">
        <v>1011</v>
      </c>
      <c r="C1012" s="50">
        <v>46308</v>
      </c>
      <c r="D1012" s="49">
        <f t="shared" si="30"/>
        <v>10</v>
      </c>
      <c r="E1012" s="92" t="s">
        <v>118</v>
      </c>
      <c r="F1012" s="49" t="s">
        <v>36</v>
      </c>
      <c r="G1012" s="14" t="s">
        <v>3196</v>
      </c>
      <c r="H1012" s="14" t="s">
        <v>252</v>
      </c>
      <c r="I1012" s="76">
        <v>365424</v>
      </c>
      <c r="J1012" s="73">
        <v>0</v>
      </c>
      <c r="K1012" s="74">
        <v>22683.7</v>
      </c>
      <c r="L1012" s="72">
        <v>0</v>
      </c>
      <c r="M1012" s="72">
        <v>0</v>
      </c>
      <c r="N1012" s="72">
        <f>IF(AND(C1012="",J1012=0,K1012=0,L1012=0,M1012=0),"",CADASTROS!$B$4+SUM($J$2:J1012)+SUM($M$2:M1012)-SUM($K$2:K1012)-SUM($L$2:L1012))</f>
        <v>-48236.280000004917</v>
      </c>
      <c r="O1012" s="72">
        <f>IF(A1012="","",SUMIF(RATEIOS!$A$2:$A$3142,$A1012,RATEIOS!$F$2:$F$3142))</f>
        <v>22683.7</v>
      </c>
      <c r="P1012" s="15">
        <f t="shared" si="31"/>
        <v>0</v>
      </c>
      <c r="Q1012" s="49" t="str">
        <f>IF(AND(J1012=0,K1012=0,L1012=0,M1012=0),"",IF(O1012=0,"PENDENTE DE RATEIO",IF(ABS(P1012)&gt;0.005,"DIVERGÊNCIA",IF(COUNTIF(RATEIOS!$A$2:$A$3142,$A1012)-COUNTIFS(RATEIOS!$A$2:$A$3142,$A1012,RATEIOS!$D$2:$D$3142,"&lt;&gt;")&gt;0,"NÃO CLASSIFICADO","RATEIO OK"))))</f>
        <v>NÃO CLASSIFICADO</v>
      </c>
      <c r="R1012" s="49" t="s">
        <v>2553</v>
      </c>
      <c r="S1012" s="14"/>
    </row>
    <row r="1013" spans="1:19" ht="24.95" customHeight="1" x14ac:dyDescent="0.25">
      <c r="A1013" s="49" t="s">
        <v>3094</v>
      </c>
      <c r="B1013" s="98">
        <v>1012</v>
      </c>
      <c r="C1013" s="50">
        <v>46308</v>
      </c>
      <c r="D1013" s="49">
        <f t="shared" si="30"/>
        <v>10</v>
      </c>
      <c r="E1013" s="92" t="s">
        <v>2556</v>
      </c>
      <c r="F1013" s="49" t="s">
        <v>36</v>
      </c>
      <c r="G1013" s="14" t="s">
        <v>276</v>
      </c>
      <c r="H1013" s="14" t="s">
        <v>277</v>
      </c>
      <c r="I1013" s="76"/>
      <c r="J1013" s="73">
        <v>0</v>
      </c>
      <c r="K1013" s="74">
        <v>47.06</v>
      </c>
      <c r="L1013" s="72">
        <v>0</v>
      </c>
      <c r="M1013" s="72">
        <v>0</v>
      </c>
      <c r="N1013" s="72">
        <f>IF(AND(C1013="",J1013=0,K1013=0,L1013=0,M1013=0),"",CADASTROS!$B$4+SUM($J$2:J1013)+SUM($M$2:M1013)-SUM($K$2:K1013)-SUM($L$2:L1013))</f>
        <v>-48283.340000004508</v>
      </c>
      <c r="O1013" s="72">
        <f>IF(A1013="","",SUMIF(RATEIOS!$A$2:$A$3142,$A1013,RATEIOS!$F$2:$F$3142))</f>
        <v>47.06</v>
      </c>
      <c r="P1013" s="15">
        <f t="shared" si="31"/>
        <v>0</v>
      </c>
      <c r="Q1013" s="49" t="str">
        <f>IF(AND(J1013=0,K1013=0,L1013=0,M1013=0),"",IF(O1013=0,"PENDENTE DE RATEIO",IF(ABS(P1013)&gt;0.005,"DIVERGÊNCIA",IF(COUNTIF(RATEIOS!$A$2:$A$3142,$A1013)-COUNTIFS(RATEIOS!$A$2:$A$3142,$A1013,RATEIOS!$D$2:$D$3142,"&lt;&gt;")&gt;0,"NÃO CLASSIFICADO","RATEIO OK"))))</f>
        <v>NÃO CLASSIFICADO</v>
      </c>
      <c r="R1013" s="49" t="s">
        <v>2553</v>
      </c>
      <c r="S1013" s="14"/>
    </row>
    <row r="1014" spans="1:19" ht="24.95" customHeight="1" x14ac:dyDescent="0.25">
      <c r="A1014" s="49" t="s">
        <v>3095</v>
      </c>
      <c r="B1014" s="98">
        <v>1013</v>
      </c>
      <c r="C1014" s="50">
        <v>46308</v>
      </c>
      <c r="D1014" s="49">
        <f t="shared" si="30"/>
        <v>10</v>
      </c>
      <c r="E1014" s="92" t="s">
        <v>2556</v>
      </c>
      <c r="F1014" s="49" t="s">
        <v>36</v>
      </c>
      <c r="G1014" s="14" t="s">
        <v>297</v>
      </c>
      <c r="H1014" s="14" t="s">
        <v>117</v>
      </c>
      <c r="I1014" s="76"/>
      <c r="J1014" s="73">
        <v>0</v>
      </c>
      <c r="K1014" s="74">
        <v>206.25</v>
      </c>
      <c r="L1014" s="72">
        <v>0</v>
      </c>
      <c r="M1014" s="72">
        <v>0</v>
      </c>
      <c r="N1014" s="72">
        <f>IF(AND(C1014="",J1014=0,K1014=0,L1014=0,M1014=0),"",CADASTROS!$B$4+SUM($J$2:J1014)+SUM($M$2:M1014)-SUM($K$2:K1014)-SUM($L$2:L1014))</f>
        <v>-48489.590000004508</v>
      </c>
      <c r="O1014" s="72">
        <f>IF(A1014="","",SUMIF(RATEIOS!$A$2:$A$3142,$A1014,RATEIOS!$F$2:$F$3142))</f>
        <v>206.25</v>
      </c>
      <c r="P1014" s="15">
        <f t="shared" si="31"/>
        <v>0</v>
      </c>
      <c r="Q1014" s="49" t="str">
        <f>IF(AND(J1014=0,K1014=0,L1014=0,M1014=0),"",IF(O1014=0,"PENDENTE DE RATEIO",IF(ABS(P1014)&gt;0.005,"DIVERGÊNCIA",IF(COUNTIF(RATEIOS!$A$2:$A$3142,$A1014)-COUNTIFS(RATEIOS!$A$2:$A$3142,$A1014,RATEIOS!$D$2:$D$3142,"&lt;&gt;")&gt;0,"NÃO CLASSIFICADO","RATEIO OK"))))</f>
        <v>NÃO CLASSIFICADO</v>
      </c>
      <c r="R1014" s="49" t="s">
        <v>2553</v>
      </c>
      <c r="S1014" s="14"/>
    </row>
    <row r="1015" spans="1:19" ht="24.95" customHeight="1" x14ac:dyDescent="0.25">
      <c r="A1015" s="49" t="s">
        <v>3096</v>
      </c>
      <c r="B1015" s="98">
        <v>1014</v>
      </c>
      <c r="C1015" s="50">
        <v>46308</v>
      </c>
      <c r="D1015" s="49">
        <f t="shared" ref="D1015:D1016" si="32">IF(C1015="","",MONTH(C1015))</f>
        <v>10</v>
      </c>
      <c r="E1015" s="92" t="s">
        <v>2558</v>
      </c>
      <c r="F1015" s="49" t="s">
        <v>38</v>
      </c>
      <c r="G1015" s="14" t="s">
        <v>45</v>
      </c>
      <c r="H1015" s="14" t="s">
        <v>45</v>
      </c>
      <c r="I1015" s="76"/>
      <c r="J1015" s="73">
        <v>0</v>
      </c>
      <c r="K1015" s="74">
        <v>0</v>
      </c>
      <c r="L1015" s="72">
        <v>0</v>
      </c>
      <c r="M1015" s="72">
        <v>48500</v>
      </c>
      <c r="N1015" s="72">
        <f>IF(AND(C1015="",J1015=0,K1015=0,L1015=0,M1015=0),"",CADASTROS!$B$4+SUM($J$2:J1015)+SUM($M$2:M1015)-SUM($K$2:K1015)-SUM($L$2:L1015))</f>
        <v>10.409999995492399</v>
      </c>
      <c r="O1015" s="72">
        <f>IF(A1015="","",SUMIF(RATEIOS!$A$2:$A$3142,$A1015,RATEIOS!$F$2:$F$3142))</f>
        <v>48500</v>
      </c>
      <c r="P1015" s="15">
        <f t="shared" si="31"/>
        <v>0</v>
      </c>
      <c r="Q1015" s="49" t="str">
        <f>IF(AND(J1015=0,K1015=0,L1015=0,M1015=0),"",IF(O1015=0,"PENDENTE DE RATEIO",IF(ABS(P1015)&gt;0.005,"DIVERGÊNCIA",IF(COUNTIF(RATEIOS!$A$2:$A$3142,$A1015)-COUNTIFS(RATEIOS!$A$2:$A$3142,$A1015,RATEIOS!$D$2:$D$3142,"&lt;&gt;")&gt;0,"NÃO CLASSIFICADO","RATEIO OK"))))</f>
        <v>NÃO CLASSIFICADO</v>
      </c>
      <c r="R1015" s="49" t="s">
        <v>2553</v>
      </c>
      <c r="S1015" s="14"/>
    </row>
    <row r="1016" spans="1:19" ht="24.95" customHeight="1" x14ac:dyDescent="0.25">
      <c r="A1016" s="49" t="s">
        <v>3097</v>
      </c>
      <c r="B1016" s="98">
        <v>1015</v>
      </c>
      <c r="C1016" s="50">
        <v>46308</v>
      </c>
      <c r="D1016" s="49">
        <f t="shared" si="32"/>
        <v>10</v>
      </c>
      <c r="E1016" s="92" t="s">
        <v>2558</v>
      </c>
      <c r="F1016" s="49" t="s">
        <v>38</v>
      </c>
      <c r="G1016" s="14" t="s">
        <v>45</v>
      </c>
      <c r="H1016" s="14" t="s">
        <v>45</v>
      </c>
      <c r="I1016" s="76"/>
      <c r="J1016" s="73">
        <v>0</v>
      </c>
      <c r="K1016" s="74">
        <v>0</v>
      </c>
      <c r="L1016" s="72">
        <v>0</v>
      </c>
      <c r="M1016" s="72">
        <v>533.5</v>
      </c>
      <c r="N1016" s="72">
        <f>IF(AND(C1016="",J1016=0,K1016=0,L1016=0,M1016=0),"",CADASTROS!$B$4+SUM($J$2:J1016)+SUM($M$2:M1016)-SUM($K$2:K1016)-SUM($L$2:L1016))</f>
        <v>543.9099999954924</v>
      </c>
      <c r="O1016" s="72">
        <f>IF(A1016="","",SUMIF(RATEIOS!$A$2:$A$3142,$A1016,RATEIOS!$F$2:$F$3142))</f>
        <v>533.5</v>
      </c>
      <c r="P1016" s="15">
        <f t="shared" si="31"/>
        <v>0</v>
      </c>
      <c r="Q1016" s="49" t="str">
        <f>IF(AND(J1016=0,K1016=0,L1016=0,M1016=0),"",IF(O1016=0,"PENDENTE DE RATEIO",IF(ABS(P1016)&gt;0.005,"DIVERGÊNCIA",IF(COUNTIF(RATEIOS!$A$2:$A$3142,$A1016)-COUNTIFS(RATEIOS!$A$2:$A$3142,$A1016,RATEIOS!$D$2:$D$3142,"&lt;&gt;")&gt;0,"NÃO CLASSIFICADO","RATEIO OK"))))</f>
        <v>NÃO CLASSIFICADO</v>
      </c>
      <c r="R1016" s="49" t="s">
        <v>2553</v>
      </c>
      <c r="S1016" s="14"/>
    </row>
    <row r="1017" spans="1:19" ht="24.95" customHeight="1" x14ac:dyDescent="0.25">
      <c r="A1017" s="49" t="s">
        <v>3098</v>
      </c>
      <c r="B1017" s="98">
        <v>1016</v>
      </c>
      <c r="C1017" s="50">
        <v>46309</v>
      </c>
      <c r="D1017" s="49">
        <f t="shared" si="30"/>
        <v>10</v>
      </c>
      <c r="E1017" s="92" t="s">
        <v>287</v>
      </c>
      <c r="F1017" s="49" t="s">
        <v>36</v>
      </c>
      <c r="G1017" s="14" t="s">
        <v>1118</v>
      </c>
      <c r="H1017" s="14" t="s">
        <v>112</v>
      </c>
      <c r="I1017" s="76" t="s">
        <v>3198</v>
      </c>
      <c r="J1017" s="73">
        <v>0</v>
      </c>
      <c r="K1017" s="74">
        <v>150</v>
      </c>
      <c r="L1017" s="72">
        <v>0</v>
      </c>
      <c r="M1017" s="72">
        <v>0</v>
      </c>
      <c r="N1017" s="72">
        <f>IF(AND(C1017="",J1017=0,K1017=0,L1017=0,M1017=0),"",CADASTROS!$B$4+SUM($J$2:J1017)+SUM($M$2:M1017)-SUM($K$2:K1017)-SUM($L$2:L1017))</f>
        <v>393.9099999954924</v>
      </c>
      <c r="O1017" s="72">
        <f>IF(A1017="","",SUMIF(RATEIOS!$A$2:$A$3142,$A1017,RATEIOS!$F$2:$F$3142))</f>
        <v>150</v>
      </c>
      <c r="P1017" s="15">
        <f t="shared" si="31"/>
        <v>0</v>
      </c>
      <c r="Q1017" s="49" t="str">
        <f>IF(AND(J1017=0,K1017=0,L1017=0,M1017=0),"",IF(O1017=0,"PENDENTE DE RATEIO",IF(ABS(P1017)&gt;0.005,"DIVERGÊNCIA",IF(COUNTIF(RATEIOS!$A$2:$A$3142,$A1017)-COUNTIFS(RATEIOS!$A$2:$A$3142,$A1017,RATEIOS!$D$2:$D$3142,"&lt;&gt;")&gt;0,"NÃO CLASSIFICADO","RATEIO OK"))))</f>
        <v>NÃO CLASSIFICADO</v>
      </c>
      <c r="R1017" s="49" t="s">
        <v>2553</v>
      </c>
      <c r="S1017" s="14"/>
    </row>
    <row r="1018" spans="1:19" ht="24.95" customHeight="1" x14ac:dyDescent="0.25">
      <c r="A1018" s="49" t="s">
        <v>3099</v>
      </c>
      <c r="B1018" s="98">
        <v>1017</v>
      </c>
      <c r="C1018" s="50">
        <v>46309</v>
      </c>
      <c r="D1018" s="49">
        <f t="shared" si="30"/>
        <v>10</v>
      </c>
      <c r="E1018" s="92" t="s">
        <v>620</v>
      </c>
      <c r="F1018" s="49" t="s">
        <v>36</v>
      </c>
      <c r="G1018" s="90" t="s">
        <v>3197</v>
      </c>
      <c r="H1018" s="14" t="s">
        <v>125</v>
      </c>
      <c r="I1018" s="76"/>
      <c r="J1018" s="73">
        <v>0</v>
      </c>
      <c r="K1018" s="74">
        <v>34364.410000000003</v>
      </c>
      <c r="L1018" s="72">
        <v>0</v>
      </c>
      <c r="M1018" s="72">
        <v>0</v>
      </c>
      <c r="N1018" s="72">
        <f>IF(AND(C1018="",J1018=0,K1018=0,L1018=0,M1018=0),"",CADASTROS!$B$4+SUM($J$2:J1018)+SUM($M$2:M1018)-SUM($K$2:K1018)-SUM($L$2:L1018))</f>
        <v>-33970.500000004657</v>
      </c>
      <c r="O1018" s="72">
        <f>IF(A1018="","",SUMIF(RATEIOS!$A$2:$A$3142,$A1018,RATEIOS!$F$2:$F$3142))</f>
        <v>34364.410000000003</v>
      </c>
      <c r="P1018" s="15">
        <f t="shared" si="31"/>
        <v>0</v>
      </c>
      <c r="Q1018" s="49" t="str">
        <f>IF(AND(J1018=0,K1018=0,L1018=0,M1018=0),"",IF(O1018=0,"PENDENTE DE RATEIO",IF(ABS(P1018)&gt;0.005,"DIVERGÊNCIA",IF(COUNTIF(RATEIOS!$A$2:$A$3142,$A1018)-COUNTIFS(RATEIOS!$A$2:$A$3142,$A1018,RATEIOS!$D$2:$D$3142,"&lt;&gt;")&gt;0,"NÃO CLASSIFICADO","RATEIO OK"))))</f>
        <v>NÃO CLASSIFICADO</v>
      </c>
      <c r="R1018" s="49" t="s">
        <v>2553</v>
      </c>
      <c r="S1018" s="14"/>
    </row>
    <row r="1019" spans="1:19" ht="24.95" customHeight="1" x14ac:dyDescent="0.25">
      <c r="A1019" s="49" t="s">
        <v>3100</v>
      </c>
      <c r="B1019" s="98">
        <v>1018</v>
      </c>
      <c r="C1019" s="50">
        <v>46309</v>
      </c>
      <c r="D1019" s="49">
        <f t="shared" si="30"/>
        <v>10</v>
      </c>
      <c r="E1019" s="92" t="s">
        <v>72</v>
      </c>
      <c r="F1019" s="49" t="s">
        <v>36</v>
      </c>
      <c r="G1019" s="14" t="s">
        <v>3199</v>
      </c>
      <c r="H1019" s="14" t="s">
        <v>1007</v>
      </c>
      <c r="I1019" s="76" t="s">
        <v>3200</v>
      </c>
      <c r="J1019" s="73">
        <v>0</v>
      </c>
      <c r="K1019" s="74">
        <v>137.01</v>
      </c>
      <c r="L1019" s="72">
        <v>0</v>
      </c>
      <c r="M1019" s="72">
        <v>0</v>
      </c>
      <c r="N1019" s="72">
        <f>IF(AND(C1019="",J1019=0,K1019=0,L1019=0,M1019=0),"",CADASTROS!$B$4+SUM($J$2:J1019)+SUM($M$2:M1019)-SUM($K$2:K1019)-SUM($L$2:L1019))</f>
        <v>-34107.510000004433</v>
      </c>
      <c r="O1019" s="72">
        <f>IF(A1019="","",SUMIF(RATEIOS!$A$2:$A$3142,$A1019,RATEIOS!$F$2:$F$3142))</f>
        <v>137.01</v>
      </c>
      <c r="P1019" s="15">
        <f t="shared" si="31"/>
        <v>0</v>
      </c>
      <c r="Q1019" s="49" t="str">
        <f>IF(AND(J1019=0,K1019=0,L1019=0,M1019=0),"",IF(O1019=0,"PENDENTE DE RATEIO",IF(ABS(P1019)&gt;0.005,"DIVERGÊNCIA",IF(COUNTIF(RATEIOS!$A$2:$A$3142,$A1019)-COUNTIFS(RATEIOS!$A$2:$A$3142,$A1019,RATEIOS!$D$2:$D$3142,"&lt;&gt;")&gt;0,"NÃO CLASSIFICADO","RATEIO OK"))))</f>
        <v>NÃO CLASSIFICADO</v>
      </c>
      <c r="R1019" s="49" t="s">
        <v>2553</v>
      </c>
      <c r="S1019" s="14"/>
    </row>
    <row r="1020" spans="1:19" ht="24.95" customHeight="1" x14ac:dyDescent="0.25">
      <c r="A1020" s="49" t="s">
        <v>3101</v>
      </c>
      <c r="B1020" s="98">
        <v>1019</v>
      </c>
      <c r="C1020" s="50">
        <v>46309</v>
      </c>
      <c r="D1020" s="49">
        <f t="shared" si="30"/>
        <v>10</v>
      </c>
      <c r="E1020" s="92" t="s">
        <v>72</v>
      </c>
      <c r="F1020" s="49" t="s">
        <v>36</v>
      </c>
      <c r="G1020" s="14" t="s">
        <v>69</v>
      </c>
      <c r="H1020" s="14" t="s">
        <v>70</v>
      </c>
      <c r="I1020" s="76" t="s">
        <v>3201</v>
      </c>
      <c r="J1020" s="73">
        <v>0</v>
      </c>
      <c r="K1020" s="74">
        <v>230</v>
      </c>
      <c r="L1020" s="72">
        <v>0</v>
      </c>
      <c r="M1020" s="72">
        <v>0</v>
      </c>
      <c r="N1020" s="72">
        <f>IF(AND(C1020="",J1020=0,K1020=0,L1020=0,M1020=0),"",CADASTROS!$B$4+SUM($J$2:J1020)+SUM($M$2:M1020)-SUM($K$2:K1020)-SUM($L$2:L1020))</f>
        <v>-34337.510000004433</v>
      </c>
      <c r="O1020" s="72">
        <f>IF(A1020="","",SUMIF(RATEIOS!$A$2:$A$3142,$A1020,RATEIOS!$F$2:$F$3142))</f>
        <v>230</v>
      </c>
      <c r="P1020" s="15">
        <f t="shared" si="31"/>
        <v>0</v>
      </c>
      <c r="Q1020" s="49" t="str">
        <f>IF(AND(J1020=0,K1020=0,L1020=0,M1020=0),"",IF(O1020=0,"PENDENTE DE RATEIO",IF(ABS(P1020)&gt;0.005,"DIVERGÊNCIA",IF(COUNTIF(RATEIOS!$A$2:$A$3142,$A1020)-COUNTIFS(RATEIOS!$A$2:$A$3142,$A1020,RATEIOS!$D$2:$D$3142,"&lt;&gt;")&gt;0,"NÃO CLASSIFICADO","RATEIO OK"))))</f>
        <v>NÃO CLASSIFICADO</v>
      </c>
      <c r="R1020" s="49" t="s">
        <v>2553</v>
      </c>
      <c r="S1020" s="14"/>
    </row>
    <row r="1021" spans="1:19" ht="24.95" customHeight="1" x14ac:dyDescent="0.25">
      <c r="A1021" s="49" t="s">
        <v>3102</v>
      </c>
      <c r="B1021" s="98">
        <v>1020</v>
      </c>
      <c r="C1021" s="50">
        <v>46309</v>
      </c>
      <c r="D1021" s="49">
        <f t="shared" si="30"/>
        <v>10</v>
      </c>
      <c r="E1021" s="92" t="s">
        <v>72</v>
      </c>
      <c r="F1021" s="49" t="s">
        <v>36</v>
      </c>
      <c r="G1021" s="14" t="s">
        <v>3202</v>
      </c>
      <c r="H1021" s="14" t="s">
        <v>150</v>
      </c>
      <c r="I1021" s="76" t="s">
        <v>3203</v>
      </c>
      <c r="J1021" s="73">
        <v>0</v>
      </c>
      <c r="K1021" s="74">
        <v>200</v>
      </c>
      <c r="L1021" s="72">
        <v>0</v>
      </c>
      <c r="M1021" s="72">
        <v>0</v>
      </c>
      <c r="N1021" s="72">
        <f>IF(AND(C1021="",J1021=0,K1021=0,L1021=0,M1021=0),"",CADASTROS!$B$4+SUM($J$2:J1021)+SUM($M$2:M1021)-SUM($K$2:K1021)-SUM($L$2:L1021))</f>
        <v>-34537.510000004433</v>
      </c>
      <c r="O1021" s="72">
        <f>IF(A1021="","",SUMIF(RATEIOS!$A$2:$A$3142,$A1021,RATEIOS!$F$2:$F$3142))</f>
        <v>200</v>
      </c>
      <c r="P1021" s="15">
        <f t="shared" si="31"/>
        <v>0</v>
      </c>
      <c r="Q1021" s="49" t="str">
        <f>IF(AND(J1021=0,K1021=0,L1021=0,M1021=0),"",IF(O1021=0,"PENDENTE DE RATEIO",IF(ABS(P1021)&gt;0.005,"DIVERGÊNCIA",IF(COUNTIF(RATEIOS!$A$2:$A$3142,$A1021)-COUNTIFS(RATEIOS!$A$2:$A$3142,$A1021,RATEIOS!$D$2:$D$3142,"&lt;&gt;")&gt;0,"NÃO CLASSIFICADO","RATEIO OK"))))</f>
        <v>NÃO CLASSIFICADO</v>
      </c>
      <c r="R1021" s="49" t="s">
        <v>2553</v>
      </c>
      <c r="S1021" s="14"/>
    </row>
    <row r="1022" spans="1:19" ht="24.95" customHeight="1" x14ac:dyDescent="0.25">
      <c r="A1022" s="49" t="s">
        <v>3103</v>
      </c>
      <c r="B1022" s="98">
        <v>1021</v>
      </c>
      <c r="C1022" s="50">
        <v>46309</v>
      </c>
      <c r="D1022" s="49">
        <f t="shared" si="30"/>
        <v>10</v>
      </c>
      <c r="E1022" s="92" t="s">
        <v>118</v>
      </c>
      <c r="F1022" s="49" t="s">
        <v>36</v>
      </c>
      <c r="G1022" s="14" t="s">
        <v>3196</v>
      </c>
      <c r="H1022" s="14" t="s">
        <v>252</v>
      </c>
      <c r="I1022" s="76">
        <v>365424</v>
      </c>
      <c r="J1022" s="73">
        <v>0</v>
      </c>
      <c r="K1022" s="74">
        <v>22283</v>
      </c>
      <c r="L1022" s="72">
        <v>0</v>
      </c>
      <c r="M1022" s="72">
        <v>0</v>
      </c>
      <c r="N1022" s="72">
        <f>IF(AND(C1022="",J1022=0,K1022=0,L1022=0,M1022=0),"",CADASTROS!$B$4+SUM($J$2:J1022)+SUM($M$2:M1022)-SUM($K$2:K1022)-SUM($L$2:L1022))</f>
        <v>-56820.510000004433</v>
      </c>
      <c r="O1022" s="72">
        <f>IF(A1022="","",SUMIF(RATEIOS!$A$2:$A$3142,$A1022,RATEIOS!$F$2:$F$3142))</f>
        <v>22283</v>
      </c>
      <c r="P1022" s="15">
        <f t="shared" si="31"/>
        <v>0</v>
      </c>
      <c r="Q1022" s="49" t="str">
        <f>IF(AND(J1022=0,K1022=0,L1022=0,M1022=0),"",IF(O1022=0,"PENDENTE DE RATEIO",IF(ABS(P1022)&gt;0.005,"DIVERGÊNCIA",IF(COUNTIF(RATEIOS!$A$2:$A$3142,$A1022)-COUNTIFS(RATEIOS!$A$2:$A$3142,$A1022,RATEIOS!$D$2:$D$3142,"&lt;&gt;")&gt;0,"NÃO CLASSIFICADO","RATEIO OK"))))</f>
        <v>NÃO CLASSIFICADO</v>
      </c>
      <c r="R1022" s="49" t="s">
        <v>2553</v>
      </c>
      <c r="S1022" s="14"/>
    </row>
    <row r="1023" spans="1:19" ht="24.95" customHeight="1" x14ac:dyDescent="0.25">
      <c r="A1023" s="49" t="s">
        <v>3104</v>
      </c>
      <c r="B1023" s="98">
        <v>1022</v>
      </c>
      <c r="C1023" s="50">
        <v>46309</v>
      </c>
      <c r="D1023" s="49">
        <f t="shared" si="30"/>
        <v>10</v>
      </c>
      <c r="E1023" s="92" t="s">
        <v>2558</v>
      </c>
      <c r="F1023" s="49" t="s">
        <v>38</v>
      </c>
      <c r="G1023" s="14" t="s">
        <v>45</v>
      </c>
      <c r="H1023" s="14" t="s">
        <v>45</v>
      </c>
      <c r="I1023" s="76"/>
      <c r="J1023" s="73">
        <v>0</v>
      </c>
      <c r="K1023" s="74">
        <v>0</v>
      </c>
      <c r="L1023" s="72">
        <v>0</v>
      </c>
      <c r="M1023" s="72">
        <v>57000</v>
      </c>
      <c r="N1023" s="72">
        <f>IF(AND(C1023="",J1023=0,K1023=0,L1023=0,M1023=0),"",CADASTROS!$B$4+SUM($J$2:J1023)+SUM($M$2:M1023)-SUM($K$2:K1023)-SUM($L$2:L1023))</f>
        <v>179.4899999955669</v>
      </c>
      <c r="O1023" s="72">
        <f>IF(A1023="","",SUMIF(RATEIOS!$A$2:$A$3142,$A1023,RATEIOS!$F$2:$F$3142))</f>
        <v>57000</v>
      </c>
      <c r="P1023" s="15">
        <f t="shared" si="31"/>
        <v>0</v>
      </c>
      <c r="Q1023" s="49" t="str">
        <f>IF(AND(J1023=0,K1023=0,L1023=0,M1023=0),"",IF(O1023=0,"PENDENTE DE RATEIO",IF(ABS(P1023)&gt;0.005,"DIVERGÊNCIA",IF(COUNTIF(RATEIOS!$A$2:$A$3142,$A1023)-COUNTIFS(RATEIOS!$A$2:$A$3142,$A1023,RATEIOS!$D$2:$D$3142,"&lt;&gt;")&gt;0,"NÃO CLASSIFICADO","RATEIO OK"))))</f>
        <v>NÃO CLASSIFICADO</v>
      </c>
      <c r="R1023" s="49" t="s">
        <v>2553</v>
      </c>
      <c r="S1023" s="14"/>
    </row>
    <row r="1024" spans="1:19" ht="24.95" customHeight="1" x14ac:dyDescent="0.25">
      <c r="A1024" s="49" t="s">
        <v>3105</v>
      </c>
      <c r="B1024" s="98">
        <v>1023</v>
      </c>
      <c r="C1024" s="50">
        <v>46309</v>
      </c>
      <c r="D1024" s="49">
        <f t="shared" si="30"/>
        <v>10</v>
      </c>
      <c r="E1024" s="92" t="s">
        <v>2558</v>
      </c>
      <c r="F1024" s="49" t="s">
        <v>38</v>
      </c>
      <c r="G1024" s="14" t="s">
        <v>45</v>
      </c>
      <c r="H1024" s="14" t="s">
        <v>45</v>
      </c>
      <c r="I1024" s="76"/>
      <c r="J1024" s="73">
        <v>0</v>
      </c>
      <c r="K1024" s="74">
        <v>0</v>
      </c>
      <c r="L1024" s="72">
        <v>0</v>
      </c>
      <c r="M1024" s="72">
        <v>648.66</v>
      </c>
      <c r="N1024" s="72">
        <f>IF(AND(C1024="",J1024=0,K1024=0,L1024=0,M1024=0),"",CADASTROS!$B$4+SUM($J$2:J1024)+SUM($M$2:M1024)-SUM($K$2:K1024)-SUM($L$2:L1024))</f>
        <v>828.14999999571592</v>
      </c>
      <c r="O1024" s="72">
        <f>IF(A1024="","",SUMIF(RATEIOS!$A$2:$A$3142,$A1024,RATEIOS!$F$2:$F$3142))</f>
        <v>648.66</v>
      </c>
      <c r="P1024" s="15">
        <f t="shared" si="31"/>
        <v>0</v>
      </c>
      <c r="Q1024" s="49" t="str">
        <f>IF(AND(J1024=0,K1024=0,L1024=0,M1024=0),"",IF(O1024=0,"PENDENTE DE RATEIO",IF(ABS(P1024)&gt;0.005,"DIVERGÊNCIA",IF(COUNTIF(RATEIOS!$A$2:$A$3142,$A1024)-COUNTIFS(RATEIOS!$A$2:$A$3142,$A1024,RATEIOS!$D$2:$D$3142,"&lt;&gt;")&gt;0,"NÃO CLASSIFICADO","RATEIO OK"))))</f>
        <v>NÃO CLASSIFICADO</v>
      </c>
      <c r="R1024" s="49" t="s">
        <v>2553</v>
      </c>
      <c r="S1024" s="14"/>
    </row>
    <row r="1025" spans="1:19" ht="24.95" customHeight="1" x14ac:dyDescent="0.25">
      <c r="A1025" s="49" t="s">
        <v>3106</v>
      </c>
      <c r="B1025" s="98">
        <v>1024</v>
      </c>
      <c r="C1025" s="50">
        <v>46310</v>
      </c>
      <c r="D1025" s="49">
        <f t="shared" si="30"/>
        <v>10</v>
      </c>
      <c r="E1025" s="92" t="s">
        <v>287</v>
      </c>
      <c r="F1025" s="49" t="s">
        <v>35</v>
      </c>
      <c r="G1025" s="14" t="s">
        <v>3204</v>
      </c>
      <c r="H1025" s="14" t="s">
        <v>2736</v>
      </c>
      <c r="I1025" s="76"/>
      <c r="J1025" s="73">
        <v>15084.47</v>
      </c>
      <c r="K1025" s="74">
        <v>0</v>
      </c>
      <c r="L1025" s="72">
        <v>0</v>
      </c>
      <c r="M1025" s="72">
        <v>0</v>
      </c>
      <c r="N1025" s="72">
        <f>IF(AND(C1025="",J1025=0,K1025=0,L1025=0,M1025=0),"",CADASTROS!$B$4+SUM($J$2:J1025)+SUM($M$2:M1025)-SUM($K$2:K1025)-SUM($L$2:L1025))</f>
        <v>15912.619999995455</v>
      </c>
      <c r="O1025" s="72">
        <f>IF(A1025="","",SUMIF(RATEIOS!$A$2:$A$3142,$A1025,RATEIOS!$F$2:$F$3142))</f>
        <v>15084.47</v>
      </c>
      <c r="P1025" s="15">
        <f t="shared" si="31"/>
        <v>0</v>
      </c>
      <c r="Q1025" s="49" t="str">
        <f>IF(AND(J1025=0,K1025=0,L1025=0,M1025=0),"",IF(O1025=0,"PENDENTE DE RATEIO",IF(ABS(P1025)&gt;0.005,"DIVERGÊNCIA",IF(COUNTIF(RATEIOS!$A$2:$A$3142,$A1025)-COUNTIFS(RATEIOS!$A$2:$A$3142,$A1025,RATEIOS!$D$2:$D$3142,"&lt;&gt;")&gt;0,"NÃO CLASSIFICADO","RATEIO OK"))))</f>
        <v>NÃO CLASSIFICADO</v>
      </c>
      <c r="R1025" s="49" t="s">
        <v>2553</v>
      </c>
      <c r="S1025" s="14"/>
    </row>
    <row r="1026" spans="1:19" ht="24.95" customHeight="1" x14ac:dyDescent="0.25">
      <c r="A1026" s="49" t="s">
        <v>3107</v>
      </c>
      <c r="B1026" s="98">
        <v>1025</v>
      </c>
      <c r="C1026" s="50">
        <v>46310</v>
      </c>
      <c r="D1026" s="49">
        <f t="shared" ref="D1026:D1089" si="33">IF(C1026="","",MONTH(C1026))</f>
        <v>10</v>
      </c>
      <c r="E1026" s="92" t="s">
        <v>287</v>
      </c>
      <c r="F1026" s="49" t="s">
        <v>35</v>
      </c>
      <c r="G1026" s="14" t="s">
        <v>3205</v>
      </c>
      <c r="H1026" s="14" t="s">
        <v>2736</v>
      </c>
      <c r="I1026" s="76"/>
      <c r="J1026" s="73">
        <v>663956.17000000004</v>
      </c>
      <c r="K1026" s="74">
        <v>0</v>
      </c>
      <c r="L1026" s="72">
        <v>0</v>
      </c>
      <c r="M1026" s="72">
        <v>0</v>
      </c>
      <c r="N1026" s="72">
        <f>IF(AND(C1026="",J1026=0,K1026=0,L1026=0,M1026=0),"",CADASTROS!$B$4+SUM($J$2:J1026)+SUM($M$2:M1026)-SUM($K$2:K1026)-SUM($L$2:L1026))</f>
        <v>679868.78999999538</v>
      </c>
      <c r="O1026" s="72">
        <f>IF(A1026="","",SUMIF(RATEIOS!$A$2:$A$3142,$A1026,RATEIOS!$F$2:$F$3142))</f>
        <v>663956.17000000004</v>
      </c>
      <c r="P1026" s="15">
        <f t="shared" ref="P1026:P1089" si="34">IF(A1026="","",(J1026+K1026+L1026+M1026)-O1026)</f>
        <v>0</v>
      </c>
      <c r="Q1026" s="49" t="str">
        <f>IF(AND(J1026=0,K1026=0,L1026=0,M1026=0),"",IF(O1026=0,"PENDENTE DE RATEIO",IF(ABS(P1026)&gt;0.005,"DIVERGÊNCIA",IF(COUNTIF(RATEIOS!$A$2:$A$3142,$A1026)-COUNTIFS(RATEIOS!$A$2:$A$3142,$A1026,RATEIOS!$D$2:$D$3142,"&lt;&gt;")&gt;0,"NÃO CLASSIFICADO","RATEIO OK"))))</f>
        <v>NÃO CLASSIFICADO</v>
      </c>
      <c r="R1026" s="49" t="s">
        <v>2553</v>
      </c>
      <c r="S1026" s="14"/>
    </row>
    <row r="1027" spans="1:19" ht="24.95" customHeight="1" x14ac:dyDescent="0.25">
      <c r="A1027" s="49" t="s">
        <v>3108</v>
      </c>
      <c r="B1027" s="98">
        <v>1026</v>
      </c>
      <c r="C1027" s="50">
        <v>46310</v>
      </c>
      <c r="D1027" s="49">
        <f t="shared" si="33"/>
        <v>10</v>
      </c>
      <c r="E1027" s="92" t="s">
        <v>118</v>
      </c>
      <c r="F1027" s="49" t="s">
        <v>36</v>
      </c>
      <c r="G1027" s="90" t="s">
        <v>136</v>
      </c>
      <c r="H1027" s="14" t="s">
        <v>3206</v>
      </c>
      <c r="I1027" s="76"/>
      <c r="J1027" s="73">
        <v>0</v>
      </c>
      <c r="K1027" s="74">
        <v>300</v>
      </c>
      <c r="L1027" s="72">
        <v>0</v>
      </c>
      <c r="M1027" s="72">
        <v>0</v>
      </c>
      <c r="N1027" s="72">
        <f>IF(AND(C1027="",J1027=0,K1027=0,L1027=0,M1027=0),"",CADASTROS!$B$4+SUM($J$2:J1027)+SUM($M$2:M1027)-SUM($K$2:K1027)-SUM($L$2:L1027))</f>
        <v>679568.78999999538</v>
      </c>
      <c r="O1027" s="72">
        <f>IF(A1027="","",SUMIF(RATEIOS!$A$2:$A$3142,$A1027,RATEIOS!$F$2:$F$3142))</f>
        <v>300</v>
      </c>
      <c r="P1027" s="15">
        <f t="shared" si="34"/>
        <v>0</v>
      </c>
      <c r="Q1027" s="49" t="str">
        <f>IF(AND(J1027=0,K1027=0,L1027=0,M1027=0),"",IF(O1027=0,"PENDENTE DE RATEIO",IF(ABS(P1027)&gt;0.005,"DIVERGÊNCIA",IF(COUNTIF(RATEIOS!$A$2:$A$3142,$A1027)-COUNTIFS(RATEIOS!$A$2:$A$3142,$A1027,RATEIOS!$D$2:$D$3142,"&lt;&gt;")&gt;0,"NÃO CLASSIFICADO","RATEIO OK"))))</f>
        <v>NÃO CLASSIFICADO</v>
      </c>
      <c r="R1027" s="49" t="s">
        <v>2553</v>
      </c>
      <c r="S1027" s="14"/>
    </row>
    <row r="1028" spans="1:19" ht="24.95" customHeight="1" x14ac:dyDescent="0.25">
      <c r="A1028" s="49" t="s">
        <v>3109</v>
      </c>
      <c r="B1028" s="98">
        <v>1027</v>
      </c>
      <c r="C1028" s="50">
        <v>46310</v>
      </c>
      <c r="D1028" s="49">
        <f t="shared" si="33"/>
        <v>10</v>
      </c>
      <c r="E1028" s="92" t="s">
        <v>118</v>
      </c>
      <c r="F1028" s="49" t="s">
        <v>36</v>
      </c>
      <c r="G1028" s="14" t="s">
        <v>305</v>
      </c>
      <c r="H1028" s="14" t="s">
        <v>3207</v>
      </c>
      <c r="I1028" s="76" t="s">
        <v>3208</v>
      </c>
      <c r="J1028" s="73">
        <v>0</v>
      </c>
      <c r="K1028" s="74">
        <v>97.62</v>
      </c>
      <c r="L1028" s="72">
        <v>0</v>
      </c>
      <c r="M1028" s="72">
        <v>0</v>
      </c>
      <c r="N1028" s="72">
        <f>IF(AND(C1028="",J1028=0,K1028=0,L1028=0,M1028=0),"",CADASTROS!$B$4+SUM($J$2:J1028)+SUM($M$2:M1028)-SUM($K$2:K1028)-SUM($L$2:L1028))</f>
        <v>679471.16999999527</v>
      </c>
      <c r="O1028" s="72">
        <f>IF(A1028="","",SUMIF(RATEIOS!$A$2:$A$3142,$A1028,RATEIOS!$F$2:$F$3142))</f>
        <v>97.62</v>
      </c>
      <c r="P1028" s="15">
        <f t="shared" si="34"/>
        <v>0</v>
      </c>
      <c r="Q1028" s="49" t="str">
        <f>IF(AND(J1028=0,K1028=0,L1028=0,M1028=0),"",IF(O1028=0,"PENDENTE DE RATEIO",IF(ABS(P1028)&gt;0.005,"DIVERGÊNCIA",IF(COUNTIF(RATEIOS!$A$2:$A$3142,$A1028)-COUNTIFS(RATEIOS!$A$2:$A$3142,$A1028,RATEIOS!$D$2:$D$3142,"&lt;&gt;")&gt;0,"NÃO CLASSIFICADO","RATEIO OK"))))</f>
        <v>NÃO CLASSIFICADO</v>
      </c>
      <c r="R1028" s="49" t="s">
        <v>2553</v>
      </c>
      <c r="S1028" s="14"/>
    </row>
    <row r="1029" spans="1:19" ht="24.95" customHeight="1" x14ac:dyDescent="0.25">
      <c r="A1029" s="49" t="s">
        <v>3110</v>
      </c>
      <c r="B1029" s="98">
        <v>1028</v>
      </c>
      <c r="C1029" s="50">
        <v>46310</v>
      </c>
      <c r="D1029" s="49">
        <f t="shared" si="33"/>
        <v>10</v>
      </c>
      <c r="E1029" s="92" t="s">
        <v>118</v>
      </c>
      <c r="F1029" s="49" t="s">
        <v>36</v>
      </c>
      <c r="G1029" s="14" t="s">
        <v>305</v>
      </c>
      <c r="H1029" s="14" t="s">
        <v>3207</v>
      </c>
      <c r="I1029" s="76" t="s">
        <v>3209</v>
      </c>
      <c r="J1029" s="73">
        <v>0</v>
      </c>
      <c r="K1029" s="74">
        <v>216.19</v>
      </c>
      <c r="L1029" s="72">
        <v>0</v>
      </c>
      <c r="M1029" s="72">
        <v>0</v>
      </c>
      <c r="N1029" s="72">
        <f>IF(AND(C1029="",J1029=0,K1029=0,L1029=0,M1029=0),"",CADASTROS!$B$4+SUM($J$2:J1029)+SUM($M$2:M1029)-SUM($K$2:K1029)-SUM($L$2:L1029))</f>
        <v>679254.97999999486</v>
      </c>
      <c r="O1029" s="72">
        <f>IF(A1029="","",SUMIF(RATEIOS!$A$2:$A$3142,$A1029,RATEIOS!$F$2:$F$3142))</f>
        <v>216.19</v>
      </c>
      <c r="P1029" s="15">
        <f t="shared" si="34"/>
        <v>0</v>
      </c>
      <c r="Q1029" s="49" t="str">
        <f>IF(AND(J1029=0,K1029=0,L1029=0,M1029=0),"",IF(O1029=0,"PENDENTE DE RATEIO",IF(ABS(P1029)&gt;0.005,"DIVERGÊNCIA",IF(COUNTIF(RATEIOS!$A$2:$A$3142,$A1029)-COUNTIFS(RATEIOS!$A$2:$A$3142,$A1029,RATEIOS!$D$2:$D$3142,"&lt;&gt;")&gt;0,"NÃO CLASSIFICADO","RATEIO OK"))))</f>
        <v>NÃO CLASSIFICADO</v>
      </c>
      <c r="R1029" s="49" t="s">
        <v>2553</v>
      </c>
      <c r="S1029" s="14"/>
    </row>
    <row r="1030" spans="1:19" ht="24.95" customHeight="1" x14ac:dyDescent="0.25">
      <c r="A1030" s="49" t="s">
        <v>3111</v>
      </c>
      <c r="B1030" s="98">
        <v>1029</v>
      </c>
      <c r="C1030" s="50">
        <v>46311</v>
      </c>
      <c r="D1030" s="49">
        <f t="shared" si="33"/>
        <v>10</v>
      </c>
      <c r="E1030" s="92" t="s">
        <v>287</v>
      </c>
      <c r="F1030" s="49" t="s">
        <v>36</v>
      </c>
      <c r="G1030" s="14" t="s">
        <v>895</v>
      </c>
      <c r="H1030" s="14" t="s">
        <v>712</v>
      </c>
      <c r="I1030" s="76"/>
      <c r="J1030" s="73">
        <v>0</v>
      </c>
      <c r="K1030" s="74">
        <v>8000</v>
      </c>
      <c r="L1030" s="72">
        <v>0</v>
      </c>
      <c r="M1030" s="72">
        <v>0</v>
      </c>
      <c r="N1030" s="72">
        <f>IF(AND(C1030="",J1030=0,K1030=0,L1030=0,M1030=0),"",CADASTROS!$B$4+SUM($J$2:J1030)+SUM($M$2:M1030)-SUM($K$2:K1030)-SUM($L$2:L1030))</f>
        <v>671254.97999999486</v>
      </c>
      <c r="O1030" s="72">
        <f>IF(A1030="","",SUMIF(RATEIOS!$A$2:$A$3142,$A1030,RATEIOS!$F$2:$F$3142))</f>
        <v>8000</v>
      </c>
      <c r="P1030" s="15">
        <f t="shared" si="34"/>
        <v>0</v>
      </c>
      <c r="Q1030" s="49" t="str">
        <f>IF(AND(J1030=0,K1030=0,L1030=0,M1030=0),"",IF(O1030=0,"PENDENTE DE RATEIO",IF(ABS(P1030)&gt;0.005,"DIVERGÊNCIA",IF(COUNTIF(RATEIOS!$A$2:$A$3142,$A1030)-COUNTIFS(RATEIOS!$A$2:$A$3142,$A1030,RATEIOS!$D$2:$D$3142,"&lt;&gt;")&gt;0,"NÃO CLASSIFICADO","RATEIO OK"))))</f>
        <v>NÃO CLASSIFICADO</v>
      </c>
      <c r="R1030" s="49"/>
      <c r="S1030" s="14"/>
    </row>
    <row r="1031" spans="1:19" ht="24.95" customHeight="1" x14ac:dyDescent="0.25">
      <c r="A1031" s="49" t="s">
        <v>3112</v>
      </c>
      <c r="B1031" s="98">
        <v>1030</v>
      </c>
      <c r="C1031" s="50">
        <v>46311</v>
      </c>
      <c r="D1031" s="49">
        <f t="shared" si="33"/>
        <v>10</v>
      </c>
      <c r="E1031" s="92" t="s">
        <v>287</v>
      </c>
      <c r="F1031" s="49" t="s">
        <v>36</v>
      </c>
      <c r="G1031" s="14" t="s">
        <v>896</v>
      </c>
      <c r="H1031" s="14" t="s">
        <v>703</v>
      </c>
      <c r="I1031" s="76"/>
      <c r="J1031" s="73">
        <v>0</v>
      </c>
      <c r="K1031" s="74">
        <v>9621</v>
      </c>
      <c r="L1031" s="72">
        <v>0</v>
      </c>
      <c r="M1031" s="72">
        <v>0</v>
      </c>
      <c r="N1031" s="72">
        <f>IF(AND(C1031="",J1031=0,K1031=0,L1031=0,M1031=0),"",CADASTROS!$B$4+SUM($J$2:J1031)+SUM($M$2:M1031)-SUM($K$2:K1031)-SUM($L$2:L1031))</f>
        <v>661633.97999999486</v>
      </c>
      <c r="O1031" s="72">
        <f>IF(A1031="","",SUMIF(RATEIOS!$A$2:$A$3142,$A1031,RATEIOS!$F$2:$F$3142))</f>
        <v>9621</v>
      </c>
      <c r="P1031" s="15">
        <f t="shared" si="34"/>
        <v>0</v>
      </c>
      <c r="Q1031" s="49" t="str">
        <f>IF(AND(J1031=0,K1031=0,L1031=0,M1031=0),"",IF(O1031=0,"PENDENTE DE RATEIO",IF(ABS(P1031)&gt;0.005,"DIVERGÊNCIA",IF(COUNTIF(RATEIOS!$A$2:$A$3142,$A1031)-COUNTIFS(RATEIOS!$A$2:$A$3142,$A1031,RATEIOS!$D$2:$D$3142,"&lt;&gt;")&gt;0,"NÃO CLASSIFICADO","RATEIO OK"))))</f>
        <v>NÃO CLASSIFICADO</v>
      </c>
      <c r="R1031" s="49"/>
      <c r="S1031" s="14"/>
    </row>
    <row r="1032" spans="1:19" ht="24.95" customHeight="1" x14ac:dyDescent="0.25">
      <c r="A1032" s="49" t="s">
        <v>3113</v>
      </c>
      <c r="B1032" s="98">
        <v>1031</v>
      </c>
      <c r="C1032" s="50">
        <v>46311</v>
      </c>
      <c r="D1032" s="49">
        <f t="shared" si="33"/>
        <v>10</v>
      </c>
      <c r="E1032" s="92" t="s">
        <v>287</v>
      </c>
      <c r="F1032" s="49" t="s">
        <v>36</v>
      </c>
      <c r="G1032" s="14" t="s">
        <v>3210</v>
      </c>
      <c r="H1032" s="14" t="s">
        <v>417</v>
      </c>
      <c r="I1032" s="76"/>
      <c r="J1032" s="73">
        <v>0</v>
      </c>
      <c r="K1032" s="74">
        <v>18000</v>
      </c>
      <c r="L1032" s="72">
        <v>0</v>
      </c>
      <c r="M1032" s="72">
        <v>0</v>
      </c>
      <c r="N1032" s="72">
        <f>IF(AND(C1032="",J1032=0,K1032=0,L1032=0,M1032=0),"",CADASTROS!$B$4+SUM($J$2:J1032)+SUM($M$2:M1032)-SUM($K$2:K1032)-SUM($L$2:L1032))</f>
        <v>643633.97999999486</v>
      </c>
      <c r="O1032" s="72">
        <f>IF(A1032="","",SUMIF(RATEIOS!$A$2:$A$3142,$A1032,RATEIOS!$F$2:$F$3142))</f>
        <v>18000</v>
      </c>
      <c r="P1032" s="15">
        <f t="shared" si="34"/>
        <v>0</v>
      </c>
      <c r="Q1032" s="49" t="str">
        <f>IF(AND(J1032=0,K1032=0,L1032=0,M1032=0),"",IF(O1032=0,"PENDENTE DE RATEIO",IF(ABS(P1032)&gt;0.005,"DIVERGÊNCIA",IF(COUNTIF(RATEIOS!$A$2:$A$3142,$A1032)-COUNTIFS(RATEIOS!$A$2:$A$3142,$A1032,RATEIOS!$D$2:$D$3142,"&lt;&gt;")&gt;0,"NÃO CLASSIFICADO","RATEIO OK"))))</f>
        <v>NÃO CLASSIFICADO</v>
      </c>
      <c r="R1032" s="49"/>
      <c r="S1032" s="14"/>
    </row>
    <row r="1033" spans="1:19" ht="24.95" customHeight="1" x14ac:dyDescent="0.25">
      <c r="A1033" s="49" t="s">
        <v>3114</v>
      </c>
      <c r="B1033" s="98">
        <v>1032</v>
      </c>
      <c r="C1033" s="50">
        <v>46311</v>
      </c>
      <c r="D1033" s="49">
        <f t="shared" si="33"/>
        <v>10</v>
      </c>
      <c r="E1033" s="92" t="s">
        <v>287</v>
      </c>
      <c r="F1033" s="49" t="s">
        <v>36</v>
      </c>
      <c r="G1033" s="14" t="s">
        <v>3211</v>
      </c>
      <c r="H1033" s="14" t="s">
        <v>411</v>
      </c>
      <c r="I1033" s="76"/>
      <c r="J1033" s="73">
        <v>0</v>
      </c>
      <c r="K1033" s="74">
        <v>12000</v>
      </c>
      <c r="L1033" s="72">
        <v>0</v>
      </c>
      <c r="M1033" s="72">
        <v>0</v>
      </c>
      <c r="N1033" s="72">
        <f>IF(AND(C1033="",J1033=0,K1033=0,L1033=0,M1033=0),"",CADASTROS!$B$4+SUM($J$2:J1033)+SUM($M$2:M1033)-SUM($K$2:K1033)-SUM($L$2:L1033))</f>
        <v>631633.97999999486</v>
      </c>
      <c r="O1033" s="72">
        <f>IF(A1033="","",SUMIF(RATEIOS!$A$2:$A$3142,$A1033,RATEIOS!$F$2:$F$3142))</f>
        <v>12000</v>
      </c>
      <c r="P1033" s="15">
        <f t="shared" si="34"/>
        <v>0</v>
      </c>
      <c r="Q1033" s="49" t="str">
        <f>IF(AND(J1033=0,K1033=0,L1033=0,M1033=0),"",IF(O1033=0,"PENDENTE DE RATEIO",IF(ABS(P1033)&gt;0.005,"DIVERGÊNCIA",IF(COUNTIF(RATEIOS!$A$2:$A$3142,$A1033)-COUNTIFS(RATEIOS!$A$2:$A$3142,$A1033,RATEIOS!$D$2:$D$3142,"&lt;&gt;")&gt;0,"NÃO CLASSIFICADO","RATEIO OK"))))</f>
        <v>NÃO CLASSIFICADO</v>
      </c>
      <c r="R1033" s="49"/>
      <c r="S1033" s="14"/>
    </row>
    <row r="1034" spans="1:19" ht="24.95" customHeight="1" x14ac:dyDescent="0.25">
      <c r="A1034" s="49" t="s">
        <v>3115</v>
      </c>
      <c r="B1034" s="98">
        <v>1033</v>
      </c>
      <c r="C1034" s="50">
        <v>46311</v>
      </c>
      <c r="D1034" s="49">
        <f t="shared" si="33"/>
        <v>10</v>
      </c>
      <c r="E1034" s="92" t="s">
        <v>287</v>
      </c>
      <c r="F1034" s="49" t="s">
        <v>36</v>
      </c>
      <c r="G1034" s="14" t="s">
        <v>900</v>
      </c>
      <c r="H1034" s="14" t="s">
        <v>755</v>
      </c>
      <c r="I1034" s="76"/>
      <c r="J1034" s="73">
        <v>0</v>
      </c>
      <c r="K1034" s="74">
        <v>4000</v>
      </c>
      <c r="L1034" s="72">
        <v>0</v>
      </c>
      <c r="M1034" s="72">
        <v>0</v>
      </c>
      <c r="N1034" s="72">
        <f>IF(AND(C1034="",J1034=0,K1034=0,L1034=0,M1034=0),"",CADASTROS!$B$4+SUM($J$2:J1034)+SUM($M$2:M1034)-SUM($K$2:K1034)-SUM($L$2:L1034))</f>
        <v>627633.97999999486</v>
      </c>
      <c r="O1034" s="72">
        <f>IF(A1034="","",SUMIF(RATEIOS!$A$2:$A$3142,$A1034,RATEIOS!$F$2:$F$3142))</f>
        <v>4000</v>
      </c>
      <c r="P1034" s="15">
        <f t="shared" si="34"/>
        <v>0</v>
      </c>
      <c r="Q1034" s="49" t="str">
        <f>IF(AND(J1034=0,K1034=0,L1034=0,M1034=0),"",IF(O1034=0,"PENDENTE DE RATEIO",IF(ABS(P1034)&gt;0.005,"DIVERGÊNCIA",IF(COUNTIF(RATEIOS!$A$2:$A$3142,$A1034)-COUNTIFS(RATEIOS!$A$2:$A$3142,$A1034,RATEIOS!$D$2:$D$3142,"&lt;&gt;")&gt;0,"NÃO CLASSIFICADO","RATEIO OK"))))</f>
        <v>NÃO CLASSIFICADO</v>
      </c>
      <c r="R1034" s="49"/>
      <c r="S1034" s="14"/>
    </row>
    <row r="1035" spans="1:19" ht="24.95" customHeight="1" x14ac:dyDescent="0.25">
      <c r="A1035" s="49" t="s">
        <v>3116</v>
      </c>
      <c r="B1035" s="98">
        <v>1034</v>
      </c>
      <c r="C1035" s="50">
        <v>46311</v>
      </c>
      <c r="D1035" s="49">
        <f t="shared" si="33"/>
        <v>10</v>
      </c>
      <c r="E1035" s="92" t="s">
        <v>287</v>
      </c>
      <c r="F1035" s="49" t="s">
        <v>36</v>
      </c>
      <c r="G1035" s="14" t="s">
        <v>3212</v>
      </c>
      <c r="H1035" s="14" t="s">
        <v>743</v>
      </c>
      <c r="I1035" s="76"/>
      <c r="J1035" s="73">
        <v>0</v>
      </c>
      <c r="K1035" s="74">
        <v>4000</v>
      </c>
      <c r="L1035" s="72">
        <v>0</v>
      </c>
      <c r="M1035" s="72">
        <v>0</v>
      </c>
      <c r="N1035" s="72">
        <f>IF(AND(C1035="",J1035=0,K1035=0,L1035=0,M1035=0),"",CADASTROS!$B$4+SUM($J$2:J1035)+SUM($M$2:M1035)-SUM($K$2:K1035)-SUM($L$2:L1035))</f>
        <v>623633.97999999486</v>
      </c>
      <c r="O1035" s="72">
        <f>IF(A1035="","",SUMIF(RATEIOS!$A$2:$A$3142,$A1035,RATEIOS!$F$2:$F$3142))</f>
        <v>4000</v>
      </c>
      <c r="P1035" s="15">
        <f t="shared" si="34"/>
        <v>0</v>
      </c>
      <c r="Q1035" s="49" t="str">
        <f>IF(AND(J1035=0,K1035=0,L1035=0,M1035=0),"",IF(O1035=0,"PENDENTE DE RATEIO",IF(ABS(P1035)&gt;0.005,"DIVERGÊNCIA",IF(COUNTIF(RATEIOS!$A$2:$A$3142,$A1035)-COUNTIFS(RATEIOS!$A$2:$A$3142,$A1035,RATEIOS!$D$2:$D$3142,"&lt;&gt;")&gt;0,"NÃO CLASSIFICADO","RATEIO OK"))))</f>
        <v>NÃO CLASSIFICADO</v>
      </c>
      <c r="R1035" s="49"/>
      <c r="S1035" s="14"/>
    </row>
    <row r="1036" spans="1:19" ht="24.95" customHeight="1" x14ac:dyDescent="0.25">
      <c r="A1036" s="49" t="s">
        <v>3117</v>
      </c>
      <c r="B1036" s="98">
        <v>1035</v>
      </c>
      <c r="C1036" s="50">
        <v>46311</v>
      </c>
      <c r="D1036" s="49">
        <f t="shared" si="33"/>
        <v>10</v>
      </c>
      <c r="E1036" s="92" t="s">
        <v>287</v>
      </c>
      <c r="F1036" s="49" t="s">
        <v>36</v>
      </c>
      <c r="G1036" s="14" t="s">
        <v>3213</v>
      </c>
      <c r="H1036" s="14" t="s">
        <v>337</v>
      </c>
      <c r="I1036" s="76"/>
      <c r="J1036" s="73">
        <v>0</v>
      </c>
      <c r="K1036" s="74">
        <v>14000</v>
      </c>
      <c r="L1036" s="72">
        <v>0</v>
      </c>
      <c r="M1036" s="72">
        <v>0</v>
      </c>
      <c r="N1036" s="72">
        <f>IF(AND(C1036="",J1036=0,K1036=0,L1036=0,M1036=0),"",CADASTROS!$B$4+SUM($J$2:J1036)+SUM($M$2:M1036)-SUM($K$2:K1036)-SUM($L$2:L1036))</f>
        <v>609633.97999999486</v>
      </c>
      <c r="O1036" s="72">
        <f>IF(A1036="","",SUMIF(RATEIOS!$A$2:$A$3142,$A1036,RATEIOS!$F$2:$F$3142))</f>
        <v>14000</v>
      </c>
      <c r="P1036" s="15">
        <f t="shared" si="34"/>
        <v>0</v>
      </c>
      <c r="Q1036" s="49" t="str">
        <f>IF(AND(J1036=0,K1036=0,L1036=0,M1036=0),"",IF(O1036=0,"PENDENTE DE RATEIO",IF(ABS(P1036)&gt;0.005,"DIVERGÊNCIA",IF(COUNTIF(RATEIOS!$A$2:$A$3142,$A1036)-COUNTIFS(RATEIOS!$A$2:$A$3142,$A1036,RATEIOS!$D$2:$D$3142,"&lt;&gt;")&gt;0,"NÃO CLASSIFICADO","RATEIO OK"))))</f>
        <v>NÃO CLASSIFICADO</v>
      </c>
      <c r="R1036" s="49"/>
      <c r="S1036" s="14"/>
    </row>
    <row r="1037" spans="1:19" ht="24.95" customHeight="1" x14ac:dyDescent="0.25">
      <c r="A1037" s="49" t="s">
        <v>3118</v>
      </c>
      <c r="B1037" s="98">
        <v>1036</v>
      </c>
      <c r="C1037" s="50">
        <v>46311</v>
      </c>
      <c r="D1037" s="49">
        <f t="shared" si="33"/>
        <v>10</v>
      </c>
      <c r="E1037" s="92" t="s">
        <v>287</v>
      </c>
      <c r="F1037" s="49" t="s">
        <v>36</v>
      </c>
      <c r="G1037" s="14" t="s">
        <v>3214</v>
      </c>
      <c r="H1037" s="14" t="s">
        <v>349</v>
      </c>
      <c r="I1037" s="76"/>
      <c r="J1037" s="73">
        <v>0</v>
      </c>
      <c r="K1037" s="74">
        <v>21242</v>
      </c>
      <c r="L1037" s="72">
        <v>0</v>
      </c>
      <c r="M1037" s="72">
        <v>0</v>
      </c>
      <c r="N1037" s="72">
        <f>IF(AND(C1037="",J1037=0,K1037=0,L1037=0,M1037=0),"",CADASTROS!$B$4+SUM($J$2:J1037)+SUM($M$2:M1037)-SUM($K$2:K1037)-SUM($L$2:L1037))</f>
        <v>588391.97999999486</v>
      </c>
      <c r="O1037" s="72">
        <f>IF(A1037="","",SUMIF(RATEIOS!$A$2:$A$3142,$A1037,RATEIOS!$F$2:$F$3142))</f>
        <v>21242</v>
      </c>
      <c r="P1037" s="15">
        <f t="shared" si="34"/>
        <v>0</v>
      </c>
      <c r="Q1037" s="49" t="str">
        <f>IF(AND(J1037=0,K1037=0,L1037=0,M1037=0),"",IF(O1037=0,"PENDENTE DE RATEIO",IF(ABS(P1037)&gt;0.005,"DIVERGÊNCIA",IF(COUNTIF(RATEIOS!$A$2:$A$3142,$A1037)-COUNTIFS(RATEIOS!$A$2:$A$3142,$A1037,RATEIOS!$D$2:$D$3142,"&lt;&gt;")&gt;0,"NÃO CLASSIFICADO","RATEIO OK"))))</f>
        <v>NÃO CLASSIFICADO</v>
      </c>
      <c r="R1037" s="49"/>
      <c r="S1037" s="14"/>
    </row>
    <row r="1038" spans="1:19" ht="24.95" customHeight="1" x14ac:dyDescent="0.25">
      <c r="A1038" s="49" t="s">
        <v>3119</v>
      </c>
      <c r="B1038" s="98">
        <v>1037</v>
      </c>
      <c r="C1038" s="50">
        <v>46311</v>
      </c>
      <c r="D1038" s="49">
        <f t="shared" si="33"/>
        <v>10</v>
      </c>
      <c r="E1038" s="92" t="s">
        <v>287</v>
      </c>
      <c r="F1038" s="49" t="s">
        <v>36</v>
      </c>
      <c r="G1038" s="14" t="s">
        <v>904</v>
      </c>
      <c r="H1038" s="14" t="s">
        <v>758</v>
      </c>
      <c r="I1038" s="76"/>
      <c r="J1038" s="73">
        <v>0</v>
      </c>
      <c r="K1038" s="74">
        <v>4000</v>
      </c>
      <c r="L1038" s="72">
        <v>0</v>
      </c>
      <c r="M1038" s="72">
        <v>0</v>
      </c>
      <c r="N1038" s="72">
        <f>IF(AND(C1038="",J1038=0,K1038=0,L1038=0,M1038=0),"",CADASTROS!$B$4+SUM($J$2:J1038)+SUM($M$2:M1038)-SUM($K$2:K1038)-SUM($L$2:L1038))</f>
        <v>584391.97999999486</v>
      </c>
      <c r="O1038" s="72">
        <f>IF(A1038="","",SUMIF(RATEIOS!$A$2:$A$3142,$A1038,RATEIOS!$F$2:$F$3142))</f>
        <v>4000</v>
      </c>
      <c r="P1038" s="15">
        <f t="shared" si="34"/>
        <v>0</v>
      </c>
      <c r="Q1038" s="49" t="str">
        <f>IF(AND(J1038=0,K1038=0,L1038=0,M1038=0),"",IF(O1038=0,"PENDENTE DE RATEIO",IF(ABS(P1038)&gt;0.005,"DIVERGÊNCIA",IF(COUNTIF(RATEIOS!$A$2:$A$3142,$A1038)-COUNTIFS(RATEIOS!$A$2:$A$3142,$A1038,RATEIOS!$D$2:$D$3142,"&lt;&gt;")&gt;0,"NÃO CLASSIFICADO","RATEIO OK"))))</f>
        <v>NÃO CLASSIFICADO</v>
      </c>
      <c r="R1038" s="49"/>
      <c r="S1038" s="14"/>
    </row>
    <row r="1039" spans="1:19" ht="24.95" customHeight="1" x14ac:dyDescent="0.25">
      <c r="A1039" s="49" t="s">
        <v>3120</v>
      </c>
      <c r="B1039" s="98">
        <v>1038</v>
      </c>
      <c r="C1039" s="50">
        <v>46311</v>
      </c>
      <c r="D1039" s="49">
        <f t="shared" si="33"/>
        <v>10</v>
      </c>
      <c r="E1039" s="92" t="s">
        <v>287</v>
      </c>
      <c r="F1039" s="49" t="s">
        <v>36</v>
      </c>
      <c r="G1039" s="14" t="s">
        <v>3215</v>
      </c>
      <c r="H1039" s="14"/>
      <c r="I1039" s="76"/>
      <c r="J1039" s="73">
        <v>0</v>
      </c>
      <c r="K1039" s="74">
        <v>4400</v>
      </c>
      <c r="L1039" s="72">
        <v>0</v>
      </c>
      <c r="M1039" s="72">
        <v>0</v>
      </c>
      <c r="N1039" s="72">
        <f>IF(AND(C1039="",J1039=0,K1039=0,L1039=0,M1039=0),"",CADASTROS!$B$4+SUM($J$2:J1039)+SUM($M$2:M1039)-SUM($K$2:K1039)-SUM($L$2:L1039))</f>
        <v>579991.97999999486</v>
      </c>
      <c r="O1039" s="72">
        <f>IF(A1039="","",SUMIF(RATEIOS!$A$2:$A$3142,$A1039,RATEIOS!$F$2:$F$3142))</f>
        <v>4400</v>
      </c>
      <c r="P1039" s="15">
        <f t="shared" si="34"/>
        <v>0</v>
      </c>
      <c r="Q1039" s="49" t="str">
        <f>IF(AND(J1039=0,K1039=0,L1039=0,M1039=0),"",IF(O1039=0,"PENDENTE DE RATEIO",IF(ABS(P1039)&gt;0.005,"DIVERGÊNCIA",IF(COUNTIF(RATEIOS!$A$2:$A$3142,$A1039)-COUNTIFS(RATEIOS!$A$2:$A$3142,$A1039,RATEIOS!$D$2:$D$3142,"&lt;&gt;")&gt;0,"NÃO CLASSIFICADO","RATEIO OK"))))</f>
        <v>NÃO CLASSIFICADO</v>
      </c>
      <c r="R1039" s="49"/>
      <c r="S1039" s="14"/>
    </row>
    <row r="1040" spans="1:19" ht="24.95" customHeight="1" x14ac:dyDescent="0.25">
      <c r="A1040" s="49" t="s">
        <v>3121</v>
      </c>
      <c r="B1040" s="98">
        <v>1039</v>
      </c>
      <c r="C1040" s="50">
        <v>46311</v>
      </c>
      <c r="D1040" s="49">
        <f t="shared" si="33"/>
        <v>10</v>
      </c>
      <c r="E1040" s="92" t="s">
        <v>287</v>
      </c>
      <c r="F1040" s="49" t="s">
        <v>36</v>
      </c>
      <c r="G1040" s="14" t="s">
        <v>3216</v>
      </c>
      <c r="H1040" s="14"/>
      <c r="I1040" s="76" t="s">
        <v>3217</v>
      </c>
      <c r="J1040" s="73">
        <v>0</v>
      </c>
      <c r="K1040" s="74">
        <v>3850</v>
      </c>
      <c r="L1040" s="72">
        <v>0</v>
      </c>
      <c r="M1040" s="72">
        <v>0</v>
      </c>
      <c r="N1040" s="72">
        <f>IF(AND(C1040="",J1040=0,K1040=0,L1040=0,M1040=0),"",CADASTROS!$B$4+SUM($J$2:J1040)+SUM($M$2:M1040)-SUM($K$2:K1040)-SUM($L$2:L1040))</f>
        <v>576141.97999999486</v>
      </c>
      <c r="O1040" s="72">
        <f>IF(A1040="","",SUMIF(RATEIOS!$A$2:$A$3142,$A1040,RATEIOS!$F$2:$F$3142))</f>
        <v>3850</v>
      </c>
      <c r="P1040" s="15">
        <f t="shared" si="34"/>
        <v>0</v>
      </c>
      <c r="Q1040" s="49" t="str">
        <f>IF(AND(J1040=0,K1040=0,L1040=0,M1040=0),"",IF(O1040=0,"PENDENTE DE RATEIO",IF(ABS(P1040)&gt;0.005,"DIVERGÊNCIA",IF(COUNTIF(RATEIOS!$A$2:$A$3142,$A1040)-COUNTIFS(RATEIOS!$A$2:$A$3142,$A1040,RATEIOS!$D$2:$D$3142,"&lt;&gt;")&gt;0,"NÃO CLASSIFICADO","RATEIO OK"))))</f>
        <v>NÃO CLASSIFICADO</v>
      </c>
      <c r="R1040" s="49"/>
      <c r="S1040" s="14"/>
    </row>
    <row r="1041" spans="1:19" ht="24.95" customHeight="1" x14ac:dyDescent="0.25">
      <c r="A1041" s="49" t="s">
        <v>3122</v>
      </c>
      <c r="B1041" s="98">
        <v>1040</v>
      </c>
      <c r="C1041" s="50">
        <v>46311</v>
      </c>
      <c r="D1041" s="49">
        <f t="shared" si="33"/>
        <v>10</v>
      </c>
      <c r="E1041" s="92" t="s">
        <v>287</v>
      </c>
      <c r="F1041" s="49" t="s">
        <v>36</v>
      </c>
      <c r="G1041" s="14" t="s">
        <v>3218</v>
      </c>
      <c r="H1041" s="14"/>
      <c r="I1041" s="76"/>
      <c r="J1041" s="73">
        <v>0</v>
      </c>
      <c r="K1041" s="74">
        <v>14332.78</v>
      </c>
      <c r="L1041" s="72">
        <v>0</v>
      </c>
      <c r="M1041" s="72">
        <v>0</v>
      </c>
      <c r="N1041" s="72">
        <f>IF(AND(C1041="",J1041=0,K1041=0,L1041=0,M1041=0),"",CADASTROS!$B$4+SUM($J$2:J1041)+SUM($M$2:M1041)-SUM($K$2:K1041)-SUM($L$2:L1041))</f>
        <v>561809.1999999946</v>
      </c>
      <c r="O1041" s="72">
        <f>IF(A1041="","",SUMIF(RATEIOS!$A$2:$A$3142,$A1041,RATEIOS!$F$2:$F$3142))</f>
        <v>14332.78</v>
      </c>
      <c r="P1041" s="15">
        <f t="shared" si="34"/>
        <v>0</v>
      </c>
      <c r="Q1041" s="49" t="str">
        <f>IF(AND(J1041=0,K1041=0,L1041=0,M1041=0),"",IF(O1041=0,"PENDENTE DE RATEIO",IF(ABS(P1041)&gt;0.005,"DIVERGÊNCIA",IF(COUNTIF(RATEIOS!$A$2:$A$3142,$A1041)-COUNTIFS(RATEIOS!$A$2:$A$3142,$A1041,RATEIOS!$D$2:$D$3142,"&lt;&gt;")&gt;0,"NÃO CLASSIFICADO","RATEIO OK"))))</f>
        <v>NÃO CLASSIFICADO</v>
      </c>
      <c r="R1041" s="49"/>
      <c r="S1041" s="14"/>
    </row>
    <row r="1042" spans="1:19" ht="24.95" customHeight="1" x14ac:dyDescent="0.25">
      <c r="A1042" s="49" t="s">
        <v>3123</v>
      </c>
      <c r="B1042" s="98">
        <v>1041</v>
      </c>
      <c r="C1042" s="50">
        <v>46311</v>
      </c>
      <c r="D1042" s="49">
        <f t="shared" si="33"/>
        <v>10</v>
      </c>
      <c r="E1042" s="92" t="s">
        <v>287</v>
      </c>
      <c r="F1042" s="49" t="s">
        <v>36</v>
      </c>
      <c r="G1042" s="14" t="s">
        <v>3219</v>
      </c>
      <c r="H1042" s="14"/>
      <c r="I1042" s="76"/>
      <c r="J1042" s="73">
        <v>0</v>
      </c>
      <c r="K1042" s="74">
        <v>130.5</v>
      </c>
      <c r="L1042" s="72">
        <v>0</v>
      </c>
      <c r="M1042" s="72">
        <v>0</v>
      </c>
      <c r="N1042" s="72">
        <f>IF(AND(C1042="",J1042=0,K1042=0,L1042=0,M1042=0),"",CADASTROS!$B$4+SUM($J$2:J1042)+SUM($M$2:M1042)-SUM($K$2:K1042)-SUM($L$2:L1042))</f>
        <v>561678.6999999946</v>
      </c>
      <c r="O1042" s="72">
        <f>IF(A1042="","",SUMIF(RATEIOS!$A$2:$A$3142,$A1042,RATEIOS!$F$2:$F$3142))</f>
        <v>130.5</v>
      </c>
      <c r="P1042" s="15">
        <f t="shared" si="34"/>
        <v>0</v>
      </c>
      <c r="Q1042" s="49" t="str">
        <f>IF(AND(J1042=0,K1042=0,L1042=0,M1042=0),"",IF(O1042=0,"PENDENTE DE RATEIO",IF(ABS(P1042)&gt;0.005,"DIVERGÊNCIA",IF(COUNTIF(RATEIOS!$A$2:$A$3142,$A1042)-COUNTIFS(RATEIOS!$A$2:$A$3142,$A1042,RATEIOS!$D$2:$D$3142,"&lt;&gt;")&gt;0,"NÃO CLASSIFICADO","RATEIO OK"))))</f>
        <v>NÃO CLASSIFICADO</v>
      </c>
      <c r="R1042" s="49"/>
      <c r="S1042" s="14"/>
    </row>
    <row r="1043" spans="1:19" ht="24.95" customHeight="1" x14ac:dyDescent="0.25">
      <c r="A1043" s="49" t="s">
        <v>3124</v>
      </c>
      <c r="B1043" s="98">
        <v>1042</v>
      </c>
      <c r="C1043" s="50">
        <v>46311</v>
      </c>
      <c r="D1043" s="49">
        <f t="shared" si="33"/>
        <v>10</v>
      </c>
      <c r="E1043" s="92" t="s">
        <v>287</v>
      </c>
      <c r="F1043" s="49" t="s">
        <v>36</v>
      </c>
      <c r="G1043" s="14" t="s">
        <v>3220</v>
      </c>
      <c r="H1043" s="14"/>
      <c r="I1043" s="76"/>
      <c r="J1043" s="73">
        <v>0</v>
      </c>
      <c r="K1043" s="74">
        <v>1470</v>
      </c>
      <c r="L1043" s="72">
        <v>0</v>
      </c>
      <c r="M1043" s="72">
        <v>0</v>
      </c>
      <c r="N1043" s="72">
        <f>IF(AND(C1043="",J1043=0,K1043=0,L1043=0,M1043=0),"",CADASTROS!$B$4+SUM($J$2:J1043)+SUM($M$2:M1043)-SUM($K$2:K1043)-SUM($L$2:L1043))</f>
        <v>560208.6999999946</v>
      </c>
      <c r="O1043" s="72">
        <f>IF(A1043="","",SUMIF(RATEIOS!$A$2:$A$3142,$A1043,RATEIOS!$F$2:$F$3142))</f>
        <v>1470</v>
      </c>
      <c r="P1043" s="15">
        <f t="shared" si="34"/>
        <v>0</v>
      </c>
      <c r="Q1043" s="49" t="str">
        <f>IF(AND(J1043=0,K1043=0,L1043=0,M1043=0),"",IF(O1043=0,"PENDENTE DE RATEIO",IF(ABS(P1043)&gt;0.005,"DIVERGÊNCIA",IF(COUNTIF(RATEIOS!$A$2:$A$3142,$A1043)-COUNTIFS(RATEIOS!$A$2:$A$3142,$A1043,RATEIOS!$D$2:$D$3142,"&lt;&gt;")&gt;0,"NÃO CLASSIFICADO","RATEIO OK"))))</f>
        <v>NÃO CLASSIFICADO</v>
      </c>
      <c r="R1043" s="49"/>
      <c r="S1043" s="14"/>
    </row>
    <row r="1044" spans="1:19" ht="24.95" customHeight="1" x14ac:dyDescent="0.25">
      <c r="A1044" s="49" t="s">
        <v>3125</v>
      </c>
      <c r="B1044" s="98">
        <v>1043</v>
      </c>
      <c r="C1044" s="50">
        <v>46311</v>
      </c>
      <c r="D1044" s="49">
        <f t="shared" si="33"/>
        <v>10</v>
      </c>
      <c r="E1044" s="92" t="s">
        <v>72</v>
      </c>
      <c r="F1044" s="49" t="s">
        <v>36</v>
      </c>
      <c r="G1044" s="14" t="s">
        <v>3221</v>
      </c>
      <c r="H1044" s="14"/>
      <c r="I1044" s="76"/>
      <c r="J1044" s="73">
        <v>0</v>
      </c>
      <c r="K1044" s="74">
        <v>5200</v>
      </c>
      <c r="L1044" s="72">
        <v>0</v>
      </c>
      <c r="M1044" s="72">
        <v>0</v>
      </c>
      <c r="N1044" s="72">
        <f>IF(AND(C1044="",J1044=0,K1044=0,L1044=0,M1044=0),"",CADASTROS!$B$4+SUM($J$2:J1044)+SUM($M$2:M1044)-SUM($K$2:K1044)-SUM($L$2:L1044))</f>
        <v>555008.6999999946</v>
      </c>
      <c r="O1044" s="72">
        <f>IF(A1044="","",SUMIF(RATEIOS!$A$2:$A$3142,$A1044,RATEIOS!$F$2:$F$3142))</f>
        <v>5200</v>
      </c>
      <c r="P1044" s="15">
        <f t="shared" si="34"/>
        <v>0</v>
      </c>
      <c r="Q1044" s="49" t="str">
        <f>IF(AND(J1044=0,K1044=0,L1044=0,M1044=0),"",IF(O1044=0,"PENDENTE DE RATEIO",IF(ABS(P1044)&gt;0.005,"DIVERGÊNCIA",IF(COUNTIF(RATEIOS!$A$2:$A$3142,$A1044)-COUNTIFS(RATEIOS!$A$2:$A$3142,$A1044,RATEIOS!$D$2:$D$3142,"&lt;&gt;")&gt;0,"NÃO CLASSIFICADO","RATEIO OK"))))</f>
        <v>NÃO CLASSIFICADO</v>
      </c>
      <c r="R1044" s="49"/>
      <c r="S1044" s="14"/>
    </row>
    <row r="1045" spans="1:19" ht="24.95" customHeight="1" x14ac:dyDescent="0.25">
      <c r="A1045" s="49" t="s">
        <v>3126</v>
      </c>
      <c r="B1045" s="98">
        <v>1044</v>
      </c>
      <c r="C1045" s="50">
        <v>46311</v>
      </c>
      <c r="D1045" s="49">
        <f t="shared" si="33"/>
        <v>10</v>
      </c>
      <c r="E1045" s="92" t="s">
        <v>72</v>
      </c>
      <c r="F1045" s="49" t="s">
        <v>36</v>
      </c>
      <c r="G1045" s="14" t="s">
        <v>3222</v>
      </c>
      <c r="H1045" s="14"/>
      <c r="I1045" s="76"/>
      <c r="J1045" s="73">
        <v>0</v>
      </c>
      <c r="K1045" s="74">
        <v>2200</v>
      </c>
      <c r="L1045" s="72">
        <v>0</v>
      </c>
      <c r="M1045" s="72">
        <v>0</v>
      </c>
      <c r="N1045" s="72">
        <f>IF(AND(C1045="",J1045=0,K1045=0,L1045=0,M1045=0),"",CADASTROS!$B$4+SUM($J$2:J1045)+SUM($M$2:M1045)-SUM($K$2:K1045)-SUM($L$2:L1045))</f>
        <v>552808.6999999946</v>
      </c>
      <c r="O1045" s="72">
        <f>IF(A1045="","",SUMIF(RATEIOS!$A$2:$A$3142,$A1045,RATEIOS!$F$2:$F$3142))</f>
        <v>2200</v>
      </c>
      <c r="P1045" s="15">
        <f t="shared" si="34"/>
        <v>0</v>
      </c>
      <c r="Q1045" s="49" t="str">
        <f>IF(AND(J1045=0,K1045=0,L1045=0,M1045=0),"",IF(O1045=0,"PENDENTE DE RATEIO",IF(ABS(P1045)&gt;0.005,"DIVERGÊNCIA",IF(COUNTIF(RATEIOS!$A$2:$A$3142,$A1045)-COUNTIFS(RATEIOS!$A$2:$A$3142,$A1045,RATEIOS!$D$2:$D$3142,"&lt;&gt;")&gt;0,"NÃO CLASSIFICADO","RATEIO OK"))))</f>
        <v>NÃO CLASSIFICADO</v>
      </c>
      <c r="R1045" s="49"/>
      <c r="S1045" s="14"/>
    </row>
    <row r="1046" spans="1:19" ht="24.95" customHeight="1" x14ac:dyDescent="0.25">
      <c r="A1046" s="49" t="s">
        <v>3127</v>
      </c>
      <c r="B1046" s="98">
        <v>1045</v>
      </c>
      <c r="C1046" s="50">
        <v>46311</v>
      </c>
      <c r="D1046" s="49">
        <f t="shared" si="33"/>
        <v>10</v>
      </c>
      <c r="E1046" s="92" t="s">
        <v>72</v>
      </c>
      <c r="F1046" s="49" t="s">
        <v>36</v>
      </c>
      <c r="G1046" s="14" t="s">
        <v>3223</v>
      </c>
      <c r="H1046" s="14"/>
      <c r="I1046" s="76"/>
      <c r="J1046" s="73">
        <v>0</v>
      </c>
      <c r="K1046" s="74">
        <v>4500</v>
      </c>
      <c r="L1046" s="72">
        <v>0</v>
      </c>
      <c r="M1046" s="72">
        <v>0</v>
      </c>
      <c r="N1046" s="72">
        <f>IF(AND(C1046="",J1046=0,K1046=0,L1046=0,M1046=0),"",CADASTROS!$B$4+SUM($J$2:J1046)+SUM($M$2:M1046)-SUM($K$2:K1046)-SUM($L$2:L1046))</f>
        <v>548308.6999999946</v>
      </c>
      <c r="O1046" s="72">
        <f>IF(A1046="","",SUMIF(RATEIOS!$A$2:$A$3142,$A1046,RATEIOS!$F$2:$F$3142))</f>
        <v>4500</v>
      </c>
      <c r="P1046" s="15">
        <f t="shared" si="34"/>
        <v>0</v>
      </c>
      <c r="Q1046" s="49" t="str">
        <f>IF(AND(J1046=0,K1046=0,L1046=0,M1046=0),"",IF(O1046=0,"PENDENTE DE RATEIO",IF(ABS(P1046)&gt;0.005,"DIVERGÊNCIA",IF(COUNTIF(RATEIOS!$A$2:$A$3142,$A1046)-COUNTIFS(RATEIOS!$A$2:$A$3142,$A1046,RATEIOS!$D$2:$D$3142,"&lt;&gt;")&gt;0,"NÃO CLASSIFICADO","RATEIO OK"))))</f>
        <v>NÃO CLASSIFICADO</v>
      </c>
      <c r="R1046" s="49"/>
      <c r="S1046" s="14"/>
    </row>
    <row r="1047" spans="1:19" ht="24.95" customHeight="1" x14ac:dyDescent="0.25">
      <c r="A1047" s="49" t="s">
        <v>3128</v>
      </c>
      <c r="B1047" s="98">
        <v>1046</v>
      </c>
      <c r="C1047" s="50">
        <v>46311</v>
      </c>
      <c r="D1047" s="49">
        <f t="shared" si="33"/>
        <v>10</v>
      </c>
      <c r="E1047" s="92" t="s">
        <v>72</v>
      </c>
      <c r="F1047" s="49" t="s">
        <v>36</v>
      </c>
      <c r="G1047" s="14" t="s">
        <v>3224</v>
      </c>
      <c r="H1047" s="14"/>
      <c r="I1047" s="76"/>
      <c r="J1047" s="73">
        <v>0</v>
      </c>
      <c r="K1047" s="74">
        <v>1470</v>
      </c>
      <c r="L1047" s="72">
        <v>0</v>
      </c>
      <c r="M1047" s="72">
        <v>0</v>
      </c>
      <c r="N1047" s="72">
        <f>IF(AND(C1047="",J1047=0,K1047=0,L1047=0,M1047=0),"",CADASTROS!$B$4+SUM($J$2:J1047)+SUM($M$2:M1047)-SUM($K$2:K1047)-SUM($L$2:L1047))</f>
        <v>546838.6999999946</v>
      </c>
      <c r="O1047" s="72">
        <f>IF(A1047="","",SUMIF(RATEIOS!$A$2:$A$3142,$A1047,RATEIOS!$F$2:$F$3142))</f>
        <v>1470</v>
      </c>
      <c r="P1047" s="15">
        <f t="shared" si="34"/>
        <v>0</v>
      </c>
      <c r="Q1047" s="49" t="str">
        <f>IF(AND(J1047=0,K1047=0,L1047=0,M1047=0),"",IF(O1047=0,"PENDENTE DE RATEIO",IF(ABS(P1047)&gt;0.005,"DIVERGÊNCIA",IF(COUNTIF(RATEIOS!$A$2:$A$3142,$A1047)-COUNTIFS(RATEIOS!$A$2:$A$3142,$A1047,RATEIOS!$D$2:$D$3142,"&lt;&gt;")&gt;0,"NÃO CLASSIFICADO","RATEIO OK"))))</f>
        <v>NÃO CLASSIFICADO</v>
      </c>
      <c r="R1047" s="49"/>
      <c r="S1047" s="14"/>
    </row>
    <row r="1048" spans="1:19" ht="24.95" customHeight="1" x14ac:dyDescent="0.25">
      <c r="A1048" s="49" t="s">
        <v>3129</v>
      </c>
      <c r="B1048" s="98">
        <v>1047</v>
      </c>
      <c r="C1048" s="50">
        <v>46311</v>
      </c>
      <c r="D1048" s="49">
        <f t="shared" si="33"/>
        <v>10</v>
      </c>
      <c r="E1048" s="92" t="s">
        <v>3231</v>
      </c>
      <c r="F1048" s="49" t="s">
        <v>36</v>
      </c>
      <c r="G1048" s="14" t="s">
        <v>3225</v>
      </c>
      <c r="H1048" s="14"/>
      <c r="I1048" s="76"/>
      <c r="J1048" s="73">
        <v>0</v>
      </c>
      <c r="K1048" s="74">
        <v>1490</v>
      </c>
      <c r="L1048" s="72">
        <v>0</v>
      </c>
      <c r="M1048" s="72">
        <v>0</v>
      </c>
      <c r="N1048" s="72">
        <f>IF(AND(C1048="",J1048=0,K1048=0,L1048=0,M1048=0),"",CADASTROS!$B$4+SUM($J$2:J1048)+SUM($M$2:M1048)-SUM($K$2:K1048)-SUM($L$2:L1048))</f>
        <v>545348.6999999946</v>
      </c>
      <c r="O1048" s="72">
        <f>IF(A1048="","",SUMIF(RATEIOS!$A$2:$A$3142,$A1048,RATEIOS!$F$2:$F$3142))</f>
        <v>1490</v>
      </c>
      <c r="P1048" s="15">
        <f t="shared" si="34"/>
        <v>0</v>
      </c>
      <c r="Q1048" s="49" t="str">
        <f>IF(AND(J1048=0,K1048=0,L1048=0,M1048=0),"",IF(O1048=0,"PENDENTE DE RATEIO",IF(ABS(P1048)&gt;0.005,"DIVERGÊNCIA",IF(COUNTIF(RATEIOS!$A$2:$A$3142,$A1048)-COUNTIFS(RATEIOS!$A$2:$A$3142,$A1048,RATEIOS!$D$2:$D$3142,"&lt;&gt;")&gt;0,"NÃO CLASSIFICADO","RATEIO OK"))))</f>
        <v>NÃO CLASSIFICADO</v>
      </c>
      <c r="R1048" s="49"/>
      <c r="S1048" s="14"/>
    </row>
    <row r="1049" spans="1:19" ht="24.95" customHeight="1" x14ac:dyDescent="0.25">
      <c r="A1049" s="49" t="s">
        <v>3130</v>
      </c>
      <c r="B1049" s="98">
        <v>1048</v>
      </c>
      <c r="C1049" s="50">
        <v>46311</v>
      </c>
      <c r="D1049" s="49">
        <f t="shared" si="33"/>
        <v>10</v>
      </c>
      <c r="E1049" s="92" t="s">
        <v>72</v>
      </c>
      <c r="F1049" s="49" t="s">
        <v>36</v>
      </c>
      <c r="G1049" s="14" t="s">
        <v>3226</v>
      </c>
      <c r="H1049" s="14"/>
      <c r="I1049" s="76"/>
      <c r="J1049" s="73">
        <v>0</v>
      </c>
      <c r="K1049" s="74">
        <v>2000</v>
      </c>
      <c r="L1049" s="72">
        <v>0</v>
      </c>
      <c r="M1049" s="72">
        <v>0</v>
      </c>
      <c r="N1049" s="72">
        <f>IF(AND(C1049="",J1049=0,K1049=0,L1049=0,M1049=0),"",CADASTROS!$B$4+SUM($J$2:J1049)+SUM($M$2:M1049)-SUM($K$2:K1049)-SUM($L$2:L1049))</f>
        <v>543348.6999999946</v>
      </c>
      <c r="O1049" s="72">
        <f>IF(A1049="","",SUMIF(RATEIOS!$A$2:$A$3142,$A1049,RATEIOS!$F$2:$F$3142))</f>
        <v>2000</v>
      </c>
      <c r="P1049" s="15">
        <f t="shared" si="34"/>
        <v>0</v>
      </c>
      <c r="Q1049" s="49" t="str">
        <f>IF(AND(J1049=0,K1049=0,L1049=0,M1049=0),"",IF(O1049=0,"PENDENTE DE RATEIO",IF(ABS(P1049)&gt;0.005,"DIVERGÊNCIA",IF(COUNTIF(RATEIOS!$A$2:$A$3142,$A1049)-COUNTIFS(RATEIOS!$A$2:$A$3142,$A1049,RATEIOS!$D$2:$D$3142,"&lt;&gt;")&gt;0,"NÃO CLASSIFICADO","RATEIO OK"))))</f>
        <v>NÃO CLASSIFICADO</v>
      </c>
      <c r="R1049" s="49"/>
      <c r="S1049" s="14"/>
    </row>
    <row r="1050" spans="1:19" ht="24.95" customHeight="1" x14ac:dyDescent="0.25">
      <c r="A1050" s="49" t="s">
        <v>3131</v>
      </c>
      <c r="B1050" s="98">
        <v>1049</v>
      </c>
      <c r="C1050" s="50">
        <v>46311</v>
      </c>
      <c r="D1050" s="49">
        <f t="shared" si="33"/>
        <v>10</v>
      </c>
      <c r="E1050" s="92" t="s">
        <v>72</v>
      </c>
      <c r="F1050" s="49" t="s">
        <v>36</v>
      </c>
      <c r="G1050" s="14" t="s">
        <v>3227</v>
      </c>
      <c r="H1050" s="14"/>
      <c r="I1050" s="76"/>
      <c r="J1050" s="73">
        <v>0</v>
      </c>
      <c r="K1050" s="74">
        <v>11406.33</v>
      </c>
      <c r="L1050" s="72">
        <v>0</v>
      </c>
      <c r="M1050" s="72">
        <v>0</v>
      </c>
      <c r="N1050" s="72">
        <f>IF(AND(C1050="",J1050=0,K1050=0,L1050=0,M1050=0),"",CADASTROS!$B$4+SUM($J$2:J1050)+SUM($M$2:M1050)-SUM($K$2:K1050)-SUM($L$2:L1050))</f>
        <v>531942.36999999452</v>
      </c>
      <c r="O1050" s="72">
        <f>IF(A1050="","",SUMIF(RATEIOS!$A$2:$A$3142,$A1050,RATEIOS!$F$2:$F$3142))</f>
        <v>11406.33</v>
      </c>
      <c r="P1050" s="15">
        <f t="shared" si="34"/>
        <v>0</v>
      </c>
      <c r="Q1050" s="49" t="str">
        <f>IF(AND(J1050=0,K1050=0,L1050=0,M1050=0),"",IF(O1050=0,"PENDENTE DE RATEIO",IF(ABS(P1050)&gt;0.005,"DIVERGÊNCIA",IF(COUNTIF(RATEIOS!$A$2:$A$3142,$A1050)-COUNTIFS(RATEIOS!$A$2:$A$3142,$A1050,RATEIOS!$D$2:$D$3142,"&lt;&gt;")&gt;0,"NÃO CLASSIFICADO","RATEIO OK"))))</f>
        <v>NÃO CLASSIFICADO</v>
      </c>
      <c r="R1050" s="49"/>
      <c r="S1050" s="14"/>
    </row>
    <row r="1051" spans="1:19" ht="24.95" customHeight="1" x14ac:dyDescent="0.25">
      <c r="A1051" s="49" t="s">
        <v>3132</v>
      </c>
      <c r="B1051" s="98">
        <v>1050</v>
      </c>
      <c r="C1051" s="50">
        <v>46311</v>
      </c>
      <c r="D1051" s="49">
        <f t="shared" si="33"/>
        <v>10</v>
      </c>
      <c r="E1051" s="92" t="s">
        <v>72</v>
      </c>
      <c r="F1051" s="49" t="s">
        <v>36</v>
      </c>
      <c r="G1051" s="14" t="s">
        <v>3228</v>
      </c>
      <c r="H1051" s="14"/>
      <c r="I1051" s="76"/>
      <c r="J1051" s="73">
        <v>0</v>
      </c>
      <c r="K1051" s="74">
        <v>1499.95</v>
      </c>
      <c r="L1051" s="72">
        <v>0</v>
      </c>
      <c r="M1051" s="72">
        <v>0</v>
      </c>
      <c r="N1051" s="72">
        <f>IF(AND(C1051="",J1051=0,K1051=0,L1051=0,M1051=0),"",CADASTROS!$B$4+SUM($J$2:J1051)+SUM($M$2:M1051)-SUM($K$2:K1051)-SUM($L$2:L1051))</f>
        <v>530442.41999999434</v>
      </c>
      <c r="O1051" s="72">
        <f>IF(A1051="","",SUMIF(RATEIOS!$A$2:$A$3142,$A1051,RATEIOS!$F$2:$F$3142))</f>
        <v>1499.95</v>
      </c>
      <c r="P1051" s="15">
        <f t="shared" si="34"/>
        <v>0</v>
      </c>
      <c r="Q1051" s="49" t="str">
        <f>IF(AND(J1051=0,K1051=0,L1051=0,M1051=0),"",IF(O1051=0,"PENDENTE DE RATEIO",IF(ABS(P1051)&gt;0.005,"DIVERGÊNCIA",IF(COUNTIF(RATEIOS!$A$2:$A$3142,$A1051)-COUNTIFS(RATEIOS!$A$2:$A$3142,$A1051,RATEIOS!$D$2:$D$3142,"&lt;&gt;")&gt;0,"NÃO CLASSIFICADO","RATEIO OK"))))</f>
        <v>NÃO CLASSIFICADO</v>
      </c>
      <c r="R1051" s="49"/>
      <c r="S1051" s="14"/>
    </row>
    <row r="1052" spans="1:19" ht="24.95" customHeight="1" x14ac:dyDescent="0.25">
      <c r="A1052" s="49" t="s">
        <v>3133</v>
      </c>
      <c r="B1052" s="98">
        <v>1051</v>
      </c>
      <c r="C1052" s="50">
        <v>46314</v>
      </c>
      <c r="D1052" s="49">
        <f t="shared" si="33"/>
        <v>10</v>
      </c>
      <c r="E1052" s="92" t="s">
        <v>287</v>
      </c>
      <c r="F1052" s="49" t="s">
        <v>36</v>
      </c>
      <c r="G1052" s="14" t="s">
        <v>3229</v>
      </c>
      <c r="H1052" s="14"/>
      <c r="I1052" s="76"/>
      <c r="J1052" s="73">
        <v>0</v>
      </c>
      <c r="K1052" s="74">
        <v>350</v>
      </c>
      <c r="L1052" s="72">
        <v>0</v>
      </c>
      <c r="M1052" s="72">
        <v>0</v>
      </c>
      <c r="N1052" s="72">
        <f>IF(AND(C1052="",J1052=0,K1052=0,L1052=0,M1052=0),"",CADASTROS!$B$4+SUM($J$2:J1052)+SUM($M$2:M1052)-SUM($K$2:K1052)-SUM($L$2:L1052))</f>
        <v>530092.41999999434</v>
      </c>
      <c r="O1052" s="72">
        <f>IF(A1052="","",SUMIF(RATEIOS!$A$2:$A$3142,$A1052,RATEIOS!$F$2:$F$3142))</f>
        <v>350</v>
      </c>
      <c r="P1052" s="15">
        <f t="shared" si="34"/>
        <v>0</v>
      </c>
      <c r="Q1052" s="49" t="str">
        <f>IF(AND(J1052=0,K1052=0,L1052=0,M1052=0),"",IF(O1052=0,"PENDENTE DE RATEIO",IF(ABS(P1052)&gt;0.005,"DIVERGÊNCIA",IF(COUNTIF(RATEIOS!$A$2:$A$3142,$A1052)-COUNTIFS(RATEIOS!$A$2:$A$3142,$A1052,RATEIOS!$D$2:$D$3142,"&lt;&gt;")&gt;0,"NÃO CLASSIFICADO","RATEIO OK"))))</f>
        <v>NÃO CLASSIFICADO</v>
      </c>
      <c r="R1052" s="49"/>
      <c r="S1052" s="14"/>
    </row>
    <row r="1053" spans="1:19" ht="24.95" customHeight="1" x14ac:dyDescent="0.25">
      <c r="A1053" s="49" t="s">
        <v>3134</v>
      </c>
      <c r="B1053" s="98">
        <v>1052</v>
      </c>
      <c r="C1053" s="50">
        <v>46314</v>
      </c>
      <c r="D1053" s="49">
        <f t="shared" si="33"/>
        <v>10</v>
      </c>
      <c r="E1053" s="92" t="s">
        <v>118</v>
      </c>
      <c r="F1053" s="49" t="s">
        <v>36</v>
      </c>
      <c r="G1053" s="14" t="s">
        <v>3230</v>
      </c>
      <c r="H1053" s="14"/>
      <c r="I1053" s="76">
        <v>1309</v>
      </c>
      <c r="J1053" s="73">
        <v>0</v>
      </c>
      <c r="K1053" s="74">
        <v>4138.2700000000004</v>
      </c>
      <c r="L1053" s="72">
        <v>0</v>
      </c>
      <c r="M1053" s="72">
        <v>0</v>
      </c>
      <c r="N1053" s="72">
        <f>IF(AND(C1053="",J1053=0,K1053=0,L1053=0,M1053=0),"",CADASTROS!$B$4+SUM($J$2:J1053)+SUM($M$2:M1053)-SUM($K$2:K1053)-SUM($L$2:L1053))</f>
        <v>525954.14999999478</v>
      </c>
      <c r="O1053" s="72">
        <f>IF(A1053="","",SUMIF(RATEIOS!$A$2:$A$3142,$A1053,RATEIOS!$F$2:$F$3142))</f>
        <v>4138.2700000000004</v>
      </c>
      <c r="P1053" s="15">
        <f t="shared" si="34"/>
        <v>0</v>
      </c>
      <c r="Q1053" s="49" t="str">
        <f>IF(AND(J1053=0,K1053=0,L1053=0,M1053=0),"",IF(O1053=0,"PENDENTE DE RATEIO",IF(ABS(P1053)&gt;0.005,"DIVERGÊNCIA",IF(COUNTIF(RATEIOS!$A$2:$A$3142,$A1053)-COUNTIFS(RATEIOS!$A$2:$A$3142,$A1053,RATEIOS!$D$2:$D$3142,"&lt;&gt;")&gt;0,"NÃO CLASSIFICADO","RATEIO OK"))))</f>
        <v>NÃO CLASSIFICADO</v>
      </c>
      <c r="R1053" s="49"/>
      <c r="S1053" s="14"/>
    </row>
    <row r="1054" spans="1:19" ht="24.95" customHeight="1" x14ac:dyDescent="0.25">
      <c r="A1054" s="49" t="s">
        <v>3135</v>
      </c>
      <c r="B1054" s="98">
        <v>1053</v>
      </c>
      <c r="C1054" s="50">
        <v>46314</v>
      </c>
      <c r="D1054" s="49">
        <f t="shared" si="33"/>
        <v>10</v>
      </c>
      <c r="E1054" s="92" t="s">
        <v>118</v>
      </c>
      <c r="F1054" s="49" t="s">
        <v>36</v>
      </c>
      <c r="G1054" s="14" t="s">
        <v>3232</v>
      </c>
      <c r="H1054" s="14"/>
      <c r="I1054" s="76">
        <v>21734</v>
      </c>
      <c r="J1054" s="73">
        <v>0</v>
      </c>
      <c r="K1054" s="74">
        <v>784.34</v>
      </c>
      <c r="L1054" s="72">
        <v>0</v>
      </c>
      <c r="M1054" s="72">
        <v>0</v>
      </c>
      <c r="N1054" s="72">
        <f>IF(AND(C1054="",J1054=0,K1054=0,L1054=0,M1054=0),"",CADASTROS!$B$4+SUM($J$2:J1054)+SUM($M$2:M1054)-SUM($K$2:K1054)-SUM($L$2:L1054))</f>
        <v>525169.80999999493</v>
      </c>
      <c r="O1054" s="72">
        <f>IF(A1054="","",SUMIF(RATEIOS!$A$2:$A$3142,$A1054,RATEIOS!$F$2:$F$3142))</f>
        <v>784.34</v>
      </c>
      <c r="P1054" s="15">
        <f t="shared" si="34"/>
        <v>0</v>
      </c>
      <c r="Q1054" s="49" t="str">
        <f>IF(AND(J1054=0,K1054=0,L1054=0,M1054=0),"",IF(O1054=0,"PENDENTE DE RATEIO",IF(ABS(P1054)&gt;0.005,"DIVERGÊNCIA",IF(COUNTIF(RATEIOS!$A$2:$A$3142,$A1054)-COUNTIFS(RATEIOS!$A$2:$A$3142,$A1054,RATEIOS!$D$2:$D$3142,"&lt;&gt;")&gt;0,"NÃO CLASSIFICADO","RATEIO OK"))))</f>
        <v>NÃO CLASSIFICADO</v>
      </c>
      <c r="R1054" s="49"/>
      <c r="S1054" s="14"/>
    </row>
    <row r="1055" spans="1:19" ht="24.95" customHeight="1" x14ac:dyDescent="0.25">
      <c r="A1055" s="49" t="s">
        <v>3136</v>
      </c>
      <c r="B1055" s="98">
        <v>1054</v>
      </c>
      <c r="C1055" s="50">
        <v>46314</v>
      </c>
      <c r="D1055" s="49">
        <f t="shared" si="33"/>
        <v>10</v>
      </c>
      <c r="E1055" s="92" t="s">
        <v>118</v>
      </c>
      <c r="F1055" s="49" t="s">
        <v>36</v>
      </c>
      <c r="G1055" s="14" t="s">
        <v>2722</v>
      </c>
      <c r="H1055" s="14"/>
      <c r="I1055" s="76">
        <v>1091</v>
      </c>
      <c r="J1055" s="73">
        <v>0</v>
      </c>
      <c r="K1055" s="74">
        <v>1295</v>
      </c>
      <c r="L1055" s="72">
        <v>0</v>
      </c>
      <c r="M1055" s="72">
        <v>0</v>
      </c>
      <c r="N1055" s="72">
        <f>IF(AND(C1055="",J1055=0,K1055=0,L1055=0,M1055=0),"",CADASTROS!$B$4+SUM($J$2:J1055)+SUM($M$2:M1055)-SUM($K$2:K1055)-SUM($L$2:L1055))</f>
        <v>523874.80999999493</v>
      </c>
      <c r="O1055" s="72">
        <f>IF(A1055="","",SUMIF(RATEIOS!$A$2:$A$3142,$A1055,RATEIOS!$F$2:$F$3142))</f>
        <v>1295</v>
      </c>
      <c r="P1055" s="15">
        <f t="shared" si="34"/>
        <v>0</v>
      </c>
      <c r="Q1055" s="49" t="str">
        <f>IF(AND(J1055=0,K1055=0,L1055=0,M1055=0),"",IF(O1055=0,"PENDENTE DE RATEIO",IF(ABS(P1055)&gt;0.005,"DIVERGÊNCIA",IF(COUNTIF(RATEIOS!$A$2:$A$3142,$A1055)-COUNTIFS(RATEIOS!$A$2:$A$3142,$A1055,RATEIOS!$D$2:$D$3142,"&lt;&gt;")&gt;0,"NÃO CLASSIFICADO","RATEIO OK"))))</f>
        <v>NÃO CLASSIFICADO</v>
      </c>
      <c r="R1055" s="49"/>
      <c r="S1055" s="14"/>
    </row>
    <row r="1056" spans="1:19" ht="24.95" customHeight="1" x14ac:dyDescent="0.25">
      <c r="A1056" s="49" t="s">
        <v>3137</v>
      </c>
      <c r="B1056" s="98">
        <v>1055</v>
      </c>
      <c r="C1056" s="50">
        <v>46314</v>
      </c>
      <c r="D1056" s="49">
        <f t="shared" si="33"/>
        <v>10</v>
      </c>
      <c r="E1056" s="92" t="s">
        <v>118</v>
      </c>
      <c r="F1056" s="49" t="s">
        <v>36</v>
      </c>
      <c r="G1056" s="14" t="s">
        <v>2743</v>
      </c>
      <c r="H1056" s="14"/>
      <c r="I1056" s="76">
        <v>2982</v>
      </c>
      <c r="J1056" s="73">
        <v>0</v>
      </c>
      <c r="K1056" s="74">
        <v>1849.5</v>
      </c>
      <c r="L1056" s="72">
        <v>0</v>
      </c>
      <c r="M1056" s="72">
        <v>0</v>
      </c>
      <c r="N1056" s="72">
        <f>IF(AND(C1056="",J1056=0,K1056=0,L1056=0,M1056=0),"",CADASTROS!$B$4+SUM($J$2:J1056)+SUM($M$2:M1056)-SUM($K$2:K1056)-SUM($L$2:L1056))</f>
        <v>522025.30999999493</v>
      </c>
      <c r="O1056" s="72">
        <f>IF(A1056="","",SUMIF(RATEIOS!$A$2:$A$3142,$A1056,RATEIOS!$F$2:$F$3142))</f>
        <v>1849.5</v>
      </c>
      <c r="P1056" s="15">
        <f t="shared" si="34"/>
        <v>0</v>
      </c>
      <c r="Q1056" s="49" t="str">
        <f>IF(AND(J1056=0,K1056=0,L1056=0,M1056=0),"",IF(O1056=0,"PENDENTE DE RATEIO",IF(ABS(P1056)&gt;0.005,"DIVERGÊNCIA",IF(COUNTIF(RATEIOS!$A$2:$A$3142,$A1056)-COUNTIFS(RATEIOS!$A$2:$A$3142,$A1056,RATEIOS!$D$2:$D$3142,"&lt;&gt;")&gt;0,"NÃO CLASSIFICADO","RATEIO OK"))))</f>
        <v>NÃO CLASSIFICADO</v>
      </c>
      <c r="R1056" s="49"/>
      <c r="S1056" s="14"/>
    </row>
    <row r="1057" spans="1:19" ht="24.95" customHeight="1" x14ac:dyDescent="0.25">
      <c r="A1057" s="49" t="s">
        <v>3138</v>
      </c>
      <c r="B1057" s="98">
        <v>1056</v>
      </c>
      <c r="C1057" s="50">
        <v>46315</v>
      </c>
      <c r="D1057" s="49">
        <f t="shared" si="33"/>
        <v>10</v>
      </c>
      <c r="E1057" s="92" t="s">
        <v>169</v>
      </c>
      <c r="F1057" s="49" t="s">
        <v>36</v>
      </c>
      <c r="G1057" s="90" t="s">
        <v>3233</v>
      </c>
      <c r="H1057" s="14"/>
      <c r="I1057" s="76"/>
      <c r="J1057" s="73">
        <v>0</v>
      </c>
      <c r="K1057" s="74">
        <v>9805.92</v>
      </c>
      <c r="L1057" s="72">
        <v>0</v>
      </c>
      <c r="M1057" s="72">
        <v>0</v>
      </c>
      <c r="N1057" s="72">
        <f>IF(AND(C1057="",J1057=0,K1057=0,L1057=0,M1057=0),"",CADASTROS!$B$4+SUM($J$2:J1057)+SUM($M$2:M1057)-SUM($K$2:K1057)-SUM($L$2:L1057))</f>
        <v>512219.38999999501</v>
      </c>
      <c r="O1057" s="72">
        <f>IF(A1057="","",SUMIF(RATEIOS!$A$2:$A$3142,$A1057,RATEIOS!$F$2:$F$3142))</f>
        <v>9805.92</v>
      </c>
      <c r="P1057" s="15">
        <f t="shared" si="34"/>
        <v>0</v>
      </c>
      <c r="Q1057" s="49" t="str">
        <f>IF(AND(J1057=0,K1057=0,L1057=0,M1057=0),"",IF(O1057=0,"PENDENTE DE RATEIO",IF(ABS(P1057)&gt;0.005,"DIVERGÊNCIA",IF(COUNTIF(RATEIOS!$A$2:$A$3142,$A1057)-COUNTIFS(RATEIOS!$A$2:$A$3142,$A1057,RATEIOS!$D$2:$D$3142,"&lt;&gt;")&gt;0,"NÃO CLASSIFICADO","RATEIO OK"))))</f>
        <v>NÃO CLASSIFICADO</v>
      </c>
      <c r="R1057" s="49"/>
      <c r="S1057" s="14"/>
    </row>
    <row r="1058" spans="1:19" ht="24.95" customHeight="1" x14ac:dyDescent="0.25">
      <c r="A1058" s="49" t="s">
        <v>3139</v>
      </c>
      <c r="B1058" s="98">
        <v>1057</v>
      </c>
      <c r="C1058" s="50">
        <v>46315</v>
      </c>
      <c r="D1058" s="49">
        <f t="shared" si="33"/>
        <v>10</v>
      </c>
      <c r="E1058" s="92" t="s">
        <v>169</v>
      </c>
      <c r="F1058" s="49" t="s">
        <v>36</v>
      </c>
      <c r="G1058" s="90" t="s">
        <v>3234</v>
      </c>
      <c r="H1058" s="14"/>
      <c r="I1058" s="76"/>
      <c r="J1058" s="73">
        <v>0</v>
      </c>
      <c r="K1058" s="74">
        <v>30607.84</v>
      </c>
      <c r="L1058" s="72">
        <v>0</v>
      </c>
      <c r="M1058" s="72">
        <v>0</v>
      </c>
      <c r="N1058" s="72">
        <f>IF(AND(C1058="",J1058=0,K1058=0,L1058=0,M1058=0),"",CADASTROS!$B$4+SUM($J$2:J1058)+SUM($M$2:M1058)-SUM($K$2:K1058)-SUM($L$2:L1058))</f>
        <v>481611.54999999516</v>
      </c>
      <c r="O1058" s="72">
        <f>IF(A1058="","",SUMIF(RATEIOS!$A$2:$A$3142,$A1058,RATEIOS!$F$2:$F$3142))</f>
        <v>30607.84</v>
      </c>
      <c r="P1058" s="15">
        <f t="shared" si="34"/>
        <v>0</v>
      </c>
      <c r="Q1058" s="49" t="str">
        <f>IF(AND(J1058=0,K1058=0,L1058=0,M1058=0),"",IF(O1058=0,"PENDENTE DE RATEIO",IF(ABS(P1058)&gt;0.005,"DIVERGÊNCIA",IF(COUNTIF(RATEIOS!$A$2:$A$3142,$A1058)-COUNTIFS(RATEIOS!$A$2:$A$3142,$A1058,RATEIOS!$D$2:$D$3142,"&lt;&gt;")&gt;0,"NÃO CLASSIFICADO","RATEIO OK"))))</f>
        <v>NÃO CLASSIFICADO</v>
      </c>
      <c r="R1058" s="49"/>
      <c r="S1058" s="14"/>
    </row>
    <row r="1059" spans="1:19" ht="24.95" customHeight="1" x14ac:dyDescent="0.25">
      <c r="A1059" s="49" t="s">
        <v>3140</v>
      </c>
      <c r="B1059" s="98">
        <v>1058</v>
      </c>
      <c r="C1059" s="50">
        <v>46315</v>
      </c>
      <c r="D1059" s="49">
        <f t="shared" si="33"/>
        <v>10</v>
      </c>
      <c r="E1059" s="92" t="s">
        <v>169</v>
      </c>
      <c r="F1059" s="49" t="s">
        <v>36</v>
      </c>
      <c r="G1059" s="90" t="s">
        <v>168</v>
      </c>
      <c r="H1059" s="14"/>
      <c r="I1059" s="76"/>
      <c r="J1059" s="73">
        <v>0</v>
      </c>
      <c r="K1059" s="74">
        <v>57.77</v>
      </c>
      <c r="L1059" s="72">
        <v>0</v>
      </c>
      <c r="M1059" s="72">
        <v>0</v>
      </c>
      <c r="N1059" s="72">
        <f>IF(AND(C1059="",J1059=0,K1059=0,L1059=0,M1059=0),"",CADASTROS!$B$4+SUM($J$2:J1059)+SUM($M$2:M1059)-SUM($K$2:K1059)-SUM($L$2:L1059))</f>
        <v>481553.7799999956</v>
      </c>
      <c r="O1059" s="72">
        <f>IF(A1059="","",SUMIF(RATEIOS!$A$2:$A$3142,$A1059,RATEIOS!$F$2:$F$3142))</f>
        <v>57.77</v>
      </c>
      <c r="P1059" s="15">
        <f t="shared" si="34"/>
        <v>0</v>
      </c>
      <c r="Q1059" s="49" t="str">
        <f>IF(AND(J1059=0,K1059=0,L1059=0,M1059=0),"",IF(O1059=0,"PENDENTE DE RATEIO",IF(ABS(P1059)&gt;0.005,"DIVERGÊNCIA",IF(COUNTIF(RATEIOS!$A$2:$A$3142,$A1059)-COUNTIFS(RATEIOS!$A$2:$A$3142,$A1059,RATEIOS!$D$2:$D$3142,"&lt;&gt;")&gt;0,"NÃO CLASSIFICADO","RATEIO OK"))))</f>
        <v>NÃO CLASSIFICADO</v>
      </c>
      <c r="R1059" s="49"/>
      <c r="S1059" s="14"/>
    </row>
    <row r="1060" spans="1:19" ht="24.95" customHeight="1" x14ac:dyDescent="0.25">
      <c r="A1060" s="49" t="s">
        <v>3141</v>
      </c>
      <c r="B1060" s="98">
        <v>1059</v>
      </c>
      <c r="C1060" s="50">
        <v>46315</v>
      </c>
      <c r="D1060" s="49">
        <f t="shared" si="33"/>
        <v>10</v>
      </c>
      <c r="E1060" s="92" t="s">
        <v>169</v>
      </c>
      <c r="F1060" s="49" t="s">
        <v>36</v>
      </c>
      <c r="G1060" s="90" t="s">
        <v>170</v>
      </c>
      <c r="H1060" s="14"/>
      <c r="I1060" s="76"/>
      <c r="J1060" s="73">
        <v>0</v>
      </c>
      <c r="K1060" s="74">
        <v>18.64</v>
      </c>
      <c r="L1060" s="72">
        <v>0</v>
      </c>
      <c r="M1060" s="72">
        <v>0</v>
      </c>
      <c r="N1060" s="72">
        <f>IF(AND(C1060="",J1060=0,K1060=0,L1060=0,M1060=0),"",CADASTROS!$B$4+SUM($J$2:J1060)+SUM($M$2:M1060)-SUM($K$2:K1060)-SUM($L$2:L1060))</f>
        <v>481535.13999999594</v>
      </c>
      <c r="O1060" s="72">
        <f>IF(A1060="","",SUMIF(RATEIOS!$A$2:$A$3142,$A1060,RATEIOS!$F$2:$F$3142))</f>
        <v>18.64</v>
      </c>
      <c r="P1060" s="15">
        <f t="shared" si="34"/>
        <v>0</v>
      </c>
      <c r="Q1060" s="49" t="str">
        <f>IF(AND(J1060=0,K1060=0,L1060=0,M1060=0),"",IF(O1060=0,"PENDENTE DE RATEIO",IF(ABS(P1060)&gt;0.005,"DIVERGÊNCIA",IF(COUNTIF(RATEIOS!$A$2:$A$3142,$A1060)-COUNTIFS(RATEIOS!$A$2:$A$3142,$A1060,RATEIOS!$D$2:$D$3142,"&lt;&gt;")&gt;0,"NÃO CLASSIFICADO","RATEIO OK"))))</f>
        <v>NÃO CLASSIFICADO</v>
      </c>
      <c r="R1060" s="49"/>
      <c r="S1060" s="14"/>
    </row>
    <row r="1061" spans="1:19" ht="24.95" customHeight="1" x14ac:dyDescent="0.25">
      <c r="A1061" s="49" t="s">
        <v>3142</v>
      </c>
      <c r="B1061" s="98">
        <v>1060</v>
      </c>
      <c r="C1061" s="50">
        <v>46315</v>
      </c>
      <c r="D1061" s="49">
        <f t="shared" si="33"/>
        <v>10</v>
      </c>
      <c r="E1061" s="92" t="s">
        <v>118</v>
      </c>
      <c r="F1061" s="49" t="s">
        <v>36</v>
      </c>
      <c r="G1061" s="14" t="s">
        <v>513</v>
      </c>
      <c r="H1061" s="14"/>
      <c r="I1061" s="76"/>
      <c r="J1061" s="73">
        <v>0</v>
      </c>
      <c r="K1061" s="74">
        <v>300</v>
      </c>
      <c r="L1061" s="72">
        <v>0</v>
      </c>
      <c r="M1061" s="72">
        <v>0</v>
      </c>
      <c r="N1061" s="72">
        <f>IF(AND(C1061="",J1061=0,K1061=0,L1061=0,M1061=0),"",CADASTROS!$B$4+SUM($J$2:J1061)+SUM($M$2:M1061)-SUM($K$2:K1061)-SUM($L$2:L1061))</f>
        <v>481235.13999999594</v>
      </c>
      <c r="O1061" s="72">
        <f>IF(A1061="","",SUMIF(RATEIOS!$A$2:$A$3142,$A1061,RATEIOS!$F$2:$F$3142))</f>
        <v>300</v>
      </c>
      <c r="P1061" s="15">
        <f t="shared" si="34"/>
        <v>0</v>
      </c>
      <c r="Q1061" s="49" t="str">
        <f>IF(AND(J1061=0,K1061=0,L1061=0,M1061=0),"",IF(O1061=0,"PENDENTE DE RATEIO",IF(ABS(P1061)&gt;0.005,"DIVERGÊNCIA",IF(COUNTIF(RATEIOS!$A$2:$A$3142,$A1061)-COUNTIFS(RATEIOS!$A$2:$A$3142,$A1061,RATEIOS!$D$2:$D$3142,"&lt;&gt;")&gt;0,"NÃO CLASSIFICADO","RATEIO OK"))))</f>
        <v>NÃO CLASSIFICADO</v>
      </c>
      <c r="R1061" s="49"/>
      <c r="S1061" s="14"/>
    </row>
    <row r="1062" spans="1:19" ht="24.95" customHeight="1" x14ac:dyDescent="0.25">
      <c r="A1062" s="49" t="s">
        <v>3143</v>
      </c>
      <c r="B1062" s="98">
        <v>1061</v>
      </c>
      <c r="C1062" s="50">
        <v>46315</v>
      </c>
      <c r="D1062" s="49">
        <f t="shared" si="33"/>
        <v>10</v>
      </c>
      <c r="E1062" s="92" t="s">
        <v>2556</v>
      </c>
      <c r="F1062" s="49" t="s">
        <v>36</v>
      </c>
      <c r="G1062" s="14" t="s">
        <v>1212</v>
      </c>
      <c r="H1062" s="14" t="s">
        <v>1213</v>
      </c>
      <c r="I1062" s="76" t="s">
        <v>412</v>
      </c>
      <c r="J1062" s="73">
        <v>0</v>
      </c>
      <c r="K1062" s="74">
        <v>521.01</v>
      </c>
      <c r="L1062" s="72">
        <v>0</v>
      </c>
      <c r="M1062" s="72">
        <v>0</v>
      </c>
      <c r="N1062" s="72">
        <f>IF(AND(C1062="",J1062=0,K1062=0,L1062=0,M1062=0),"",CADASTROS!$B$4+SUM($J$2:J1062)+SUM($M$2:M1062)-SUM($K$2:K1062)-SUM($L$2:L1062))</f>
        <v>480714.12999999616</v>
      </c>
      <c r="O1062" s="72">
        <f>IF(A1062="","",SUMIF(RATEIOS!$A$2:$A$3142,$A1062,RATEIOS!$F$2:$F$3142))</f>
        <v>521.01</v>
      </c>
      <c r="P1062" s="15">
        <f t="shared" si="34"/>
        <v>0</v>
      </c>
      <c r="Q1062" s="49" t="str">
        <f>IF(AND(J1062=0,K1062=0,L1062=0,M1062=0),"",IF(O1062=0,"PENDENTE DE RATEIO",IF(ABS(P1062)&gt;0.005,"DIVERGÊNCIA",IF(COUNTIF(RATEIOS!$A$2:$A$3142,$A1062)-COUNTIFS(RATEIOS!$A$2:$A$3142,$A1062,RATEIOS!$D$2:$D$3142,"&lt;&gt;")&gt;0,"NÃO CLASSIFICADO","RATEIO OK"))))</f>
        <v>NÃO CLASSIFICADO</v>
      </c>
      <c r="R1062" s="49"/>
      <c r="S1062" s="14"/>
    </row>
    <row r="1063" spans="1:19" ht="24.95" customHeight="1" x14ac:dyDescent="0.25">
      <c r="A1063" s="49" t="s">
        <v>3144</v>
      </c>
      <c r="B1063" s="98">
        <v>1062</v>
      </c>
      <c r="C1063" s="50"/>
      <c r="D1063" s="49" t="str">
        <f t="shared" si="33"/>
        <v/>
      </c>
      <c r="E1063" s="92"/>
      <c r="F1063" s="49"/>
      <c r="G1063" s="14"/>
      <c r="H1063" s="14"/>
      <c r="I1063" s="76"/>
      <c r="J1063" s="73"/>
      <c r="K1063" s="74"/>
      <c r="L1063" s="72"/>
      <c r="M1063" s="72"/>
      <c r="N1063" s="72" t="str">
        <f>IF(AND(C1063="",J1063=0,K1063=0,L1063=0,M1063=0),"",CADASTROS!$B$4+SUM($J$2:J1063)+SUM($M$2:M1063)-SUM($K$2:K1063)-SUM($L$2:L1063))</f>
        <v/>
      </c>
      <c r="O1063" s="72">
        <f>IF(A1063="","",SUMIF(RATEIOS!$A$2:$A$3142,$A1063,RATEIOS!$F$2:$F$3142))</f>
        <v>0</v>
      </c>
      <c r="P1063" s="15">
        <f t="shared" si="34"/>
        <v>0</v>
      </c>
      <c r="Q1063" s="49" t="str">
        <f>IF(AND(J1063=0,K1063=0,L1063=0,M1063=0),"",IF(O1063=0,"PENDENTE DE RATEIO",IF(ABS(P1063)&gt;0.005,"DIVERGÊNCIA",IF(COUNTIF(RATEIOS!$A$2:$A$3142,$A1063)-COUNTIFS(RATEIOS!$A$2:$A$3142,$A1063,RATEIOS!$D$2:$D$3142,"&lt;&gt;")&gt;0,"NÃO CLASSIFICADO","RATEIO OK"))))</f>
        <v/>
      </c>
      <c r="R1063" s="49"/>
      <c r="S1063" s="14"/>
    </row>
    <row r="1064" spans="1:19" ht="24.95" customHeight="1" x14ac:dyDescent="0.25">
      <c r="A1064" s="49" t="s">
        <v>3145</v>
      </c>
      <c r="B1064" s="98">
        <v>1063</v>
      </c>
      <c r="C1064" s="50"/>
      <c r="D1064" s="49" t="str">
        <f t="shared" si="33"/>
        <v/>
      </c>
      <c r="E1064" s="92"/>
      <c r="F1064" s="49"/>
      <c r="G1064" s="14"/>
      <c r="H1064" s="14"/>
      <c r="I1064" s="76"/>
      <c r="J1064" s="73"/>
      <c r="K1064" s="74"/>
      <c r="L1064" s="72"/>
      <c r="M1064" s="72"/>
      <c r="N1064" s="72" t="str">
        <f>IF(AND(C1064="",J1064=0,K1064=0,L1064=0,M1064=0),"",CADASTROS!$B$4+SUM($J$2:J1064)+SUM($M$2:M1064)-SUM($K$2:K1064)-SUM($L$2:L1064))</f>
        <v/>
      </c>
      <c r="O1064" s="72">
        <f>IF(A1064="","",SUMIF(RATEIOS!$A$2:$A$3142,$A1064,RATEIOS!$F$2:$F$3142))</f>
        <v>0</v>
      </c>
      <c r="P1064" s="15">
        <f t="shared" si="34"/>
        <v>0</v>
      </c>
      <c r="Q1064" s="49" t="str">
        <f>IF(AND(J1064=0,K1064=0,L1064=0,M1064=0),"",IF(O1064=0,"PENDENTE DE RATEIO",IF(ABS(P1064)&gt;0.005,"DIVERGÊNCIA",IF(COUNTIF(RATEIOS!$A$2:$A$3142,$A1064)-COUNTIFS(RATEIOS!$A$2:$A$3142,$A1064,RATEIOS!$D$2:$D$3142,"&lt;&gt;")&gt;0,"NÃO CLASSIFICADO","RATEIO OK"))))</f>
        <v/>
      </c>
      <c r="R1064" s="49"/>
      <c r="S1064" s="14"/>
    </row>
    <row r="1065" spans="1:19" ht="24.95" customHeight="1" x14ac:dyDescent="0.25">
      <c r="A1065" s="49" t="s">
        <v>3146</v>
      </c>
      <c r="B1065" s="98">
        <v>1064</v>
      </c>
      <c r="C1065" s="50"/>
      <c r="D1065" s="49" t="str">
        <f t="shared" si="33"/>
        <v/>
      </c>
      <c r="E1065" s="92"/>
      <c r="F1065" s="49"/>
      <c r="G1065" s="14"/>
      <c r="H1065" s="14"/>
      <c r="I1065" s="76"/>
      <c r="J1065" s="73"/>
      <c r="K1065" s="74"/>
      <c r="L1065" s="72"/>
      <c r="M1065" s="72"/>
      <c r="N1065" s="72" t="str">
        <f>IF(AND(C1065="",J1065=0,K1065=0,L1065=0,M1065=0),"",CADASTROS!$B$4+SUM($J$2:J1065)+SUM($M$2:M1065)-SUM($K$2:K1065)-SUM($L$2:L1065))</f>
        <v/>
      </c>
      <c r="O1065" s="72">
        <f>IF(A1065="","",SUMIF(RATEIOS!$A$2:$A$3142,$A1065,RATEIOS!$F$2:$F$3142))</f>
        <v>0</v>
      </c>
      <c r="P1065" s="15">
        <f t="shared" si="34"/>
        <v>0</v>
      </c>
      <c r="Q1065" s="49" t="str">
        <f>IF(AND(J1065=0,K1065=0,L1065=0,M1065=0),"",IF(O1065=0,"PENDENTE DE RATEIO",IF(ABS(P1065)&gt;0.005,"DIVERGÊNCIA",IF(COUNTIF(RATEIOS!$A$2:$A$3142,$A1065)-COUNTIFS(RATEIOS!$A$2:$A$3142,$A1065,RATEIOS!$D$2:$D$3142,"&lt;&gt;")&gt;0,"NÃO CLASSIFICADO","RATEIO OK"))))</f>
        <v/>
      </c>
      <c r="R1065" s="49"/>
      <c r="S1065" s="14"/>
    </row>
    <row r="1066" spans="1:19" ht="24.95" customHeight="1" x14ac:dyDescent="0.25">
      <c r="A1066" s="49" t="s">
        <v>3147</v>
      </c>
      <c r="B1066" s="98">
        <v>1065</v>
      </c>
      <c r="C1066" s="50"/>
      <c r="D1066" s="49" t="str">
        <f t="shared" si="33"/>
        <v/>
      </c>
      <c r="E1066" s="92"/>
      <c r="F1066" s="49"/>
      <c r="G1066" s="14"/>
      <c r="H1066" s="14"/>
      <c r="I1066" s="76"/>
      <c r="J1066" s="73"/>
      <c r="K1066" s="74"/>
      <c r="L1066" s="72"/>
      <c r="M1066" s="72"/>
      <c r="N1066" s="72" t="str">
        <f>IF(AND(C1066="",J1066=0,K1066=0,L1066=0,M1066=0),"",CADASTROS!$B$4+SUM($J$2:J1066)+SUM($M$2:M1066)-SUM($K$2:K1066)-SUM($L$2:L1066))</f>
        <v/>
      </c>
      <c r="O1066" s="72">
        <f>IF(A1066="","",SUMIF(RATEIOS!$A$2:$A$3142,$A1066,RATEIOS!$F$2:$F$3142))</f>
        <v>0</v>
      </c>
      <c r="P1066" s="15">
        <f t="shared" si="34"/>
        <v>0</v>
      </c>
      <c r="Q1066" s="49" t="str">
        <f>IF(AND(J1066=0,K1066=0,L1066=0,M1066=0),"",IF(O1066=0,"PENDENTE DE RATEIO",IF(ABS(P1066)&gt;0.005,"DIVERGÊNCIA",IF(COUNTIF(RATEIOS!$A$2:$A$3142,$A1066)-COUNTIFS(RATEIOS!$A$2:$A$3142,$A1066,RATEIOS!$D$2:$D$3142,"&lt;&gt;")&gt;0,"NÃO CLASSIFICADO","RATEIO OK"))))</f>
        <v/>
      </c>
      <c r="R1066" s="49"/>
      <c r="S1066" s="14"/>
    </row>
    <row r="1067" spans="1:19" ht="24.95" customHeight="1" x14ac:dyDescent="0.25">
      <c r="A1067" s="49" t="s">
        <v>3148</v>
      </c>
      <c r="B1067" s="98">
        <v>1066</v>
      </c>
      <c r="C1067" s="50"/>
      <c r="D1067" s="49" t="str">
        <f t="shared" si="33"/>
        <v/>
      </c>
      <c r="E1067" s="92"/>
      <c r="F1067" s="49"/>
      <c r="G1067" s="14"/>
      <c r="H1067" s="14"/>
      <c r="I1067" s="76"/>
      <c r="J1067" s="73"/>
      <c r="K1067" s="74"/>
      <c r="L1067" s="72"/>
      <c r="M1067" s="72"/>
      <c r="N1067" s="72" t="str">
        <f>IF(AND(C1067="",J1067=0,K1067=0,L1067=0,M1067=0),"",CADASTROS!$B$4+SUM($J$2:J1067)+SUM($M$2:M1067)-SUM($K$2:K1067)-SUM($L$2:L1067))</f>
        <v/>
      </c>
      <c r="O1067" s="72">
        <f>IF(A1067="","",SUMIF(RATEIOS!$A$2:$A$3142,$A1067,RATEIOS!$F$2:$F$3142))</f>
        <v>0</v>
      </c>
      <c r="P1067" s="15">
        <f t="shared" si="34"/>
        <v>0</v>
      </c>
      <c r="Q1067" s="49" t="str">
        <f>IF(AND(J1067=0,K1067=0,L1067=0,M1067=0),"",IF(O1067=0,"PENDENTE DE RATEIO",IF(ABS(P1067)&gt;0.005,"DIVERGÊNCIA",IF(COUNTIF(RATEIOS!$A$2:$A$3142,$A1067)-COUNTIFS(RATEIOS!$A$2:$A$3142,$A1067,RATEIOS!$D$2:$D$3142,"&lt;&gt;")&gt;0,"NÃO CLASSIFICADO","RATEIO OK"))))</f>
        <v/>
      </c>
      <c r="R1067" s="49"/>
      <c r="S1067" s="14"/>
    </row>
    <row r="1068" spans="1:19" ht="24.95" customHeight="1" x14ac:dyDescent="0.25">
      <c r="A1068" s="49" t="s">
        <v>3149</v>
      </c>
      <c r="B1068" s="98">
        <v>1067</v>
      </c>
      <c r="C1068" s="50"/>
      <c r="D1068" s="49" t="str">
        <f t="shared" si="33"/>
        <v/>
      </c>
      <c r="E1068" s="92"/>
      <c r="F1068" s="49"/>
      <c r="G1068" s="14"/>
      <c r="H1068" s="14"/>
      <c r="I1068" s="76"/>
      <c r="J1068" s="73"/>
      <c r="K1068" s="74"/>
      <c r="L1068" s="72"/>
      <c r="M1068" s="72"/>
      <c r="N1068" s="72" t="str">
        <f>IF(AND(C1068="",J1068=0,K1068=0,L1068=0,M1068=0),"",CADASTROS!$B$4+SUM($J$2:J1068)+SUM($M$2:M1068)-SUM($K$2:K1068)-SUM($L$2:L1068))</f>
        <v/>
      </c>
      <c r="O1068" s="72">
        <f>IF(A1068="","",SUMIF(RATEIOS!$A$2:$A$3142,$A1068,RATEIOS!$F$2:$F$3142))</f>
        <v>0</v>
      </c>
      <c r="P1068" s="15">
        <f t="shared" si="34"/>
        <v>0</v>
      </c>
      <c r="Q1068" s="49" t="str">
        <f>IF(AND(J1068=0,K1068=0,L1068=0,M1068=0),"",IF(O1068=0,"PENDENTE DE RATEIO",IF(ABS(P1068)&gt;0.005,"DIVERGÊNCIA",IF(COUNTIF(RATEIOS!$A$2:$A$3142,$A1068)-COUNTIFS(RATEIOS!$A$2:$A$3142,$A1068,RATEIOS!$D$2:$D$3142,"&lt;&gt;")&gt;0,"NÃO CLASSIFICADO","RATEIO OK"))))</f>
        <v/>
      </c>
      <c r="R1068" s="49"/>
      <c r="S1068" s="14"/>
    </row>
    <row r="1069" spans="1:19" ht="24.95" customHeight="1" x14ac:dyDescent="0.25">
      <c r="A1069" s="49" t="s">
        <v>3150</v>
      </c>
      <c r="B1069" s="98">
        <v>1068</v>
      </c>
      <c r="C1069" s="50"/>
      <c r="D1069" s="49" t="str">
        <f t="shared" si="33"/>
        <v/>
      </c>
      <c r="E1069" s="92"/>
      <c r="F1069" s="49"/>
      <c r="G1069" s="14"/>
      <c r="H1069" s="14"/>
      <c r="I1069" s="76"/>
      <c r="J1069" s="73"/>
      <c r="K1069" s="74"/>
      <c r="L1069" s="72"/>
      <c r="M1069" s="72"/>
      <c r="N1069" s="72" t="str">
        <f>IF(AND(C1069="",J1069=0,K1069=0,L1069=0,M1069=0),"",CADASTROS!$B$4+SUM($J$2:J1069)+SUM($M$2:M1069)-SUM($K$2:K1069)-SUM($L$2:L1069))</f>
        <v/>
      </c>
      <c r="O1069" s="72">
        <f>IF(A1069="","",SUMIF(RATEIOS!$A$2:$A$3142,$A1069,RATEIOS!$F$2:$F$3142))</f>
        <v>0</v>
      </c>
      <c r="P1069" s="15">
        <f t="shared" si="34"/>
        <v>0</v>
      </c>
      <c r="Q1069" s="49" t="str">
        <f>IF(AND(J1069=0,K1069=0,L1069=0,M1069=0),"",IF(O1069=0,"PENDENTE DE RATEIO",IF(ABS(P1069)&gt;0.005,"DIVERGÊNCIA",IF(COUNTIF(RATEIOS!$A$2:$A$3142,$A1069)-COUNTIFS(RATEIOS!$A$2:$A$3142,$A1069,RATEIOS!$D$2:$D$3142,"&lt;&gt;")&gt;0,"NÃO CLASSIFICADO","RATEIO OK"))))</f>
        <v/>
      </c>
      <c r="R1069" s="49"/>
      <c r="S1069" s="14"/>
    </row>
    <row r="1070" spans="1:19" ht="24.95" customHeight="1" x14ac:dyDescent="0.25">
      <c r="A1070" s="49" t="s">
        <v>3151</v>
      </c>
      <c r="B1070" s="98">
        <v>1069</v>
      </c>
      <c r="C1070" s="50"/>
      <c r="D1070" s="49" t="str">
        <f t="shared" si="33"/>
        <v/>
      </c>
      <c r="E1070" s="92"/>
      <c r="F1070" s="49"/>
      <c r="G1070" s="14"/>
      <c r="H1070" s="14"/>
      <c r="I1070" s="76"/>
      <c r="J1070" s="73"/>
      <c r="K1070" s="74"/>
      <c r="L1070" s="72"/>
      <c r="M1070" s="72"/>
      <c r="N1070" s="72" t="str">
        <f>IF(AND(C1070="",J1070=0,K1070=0,L1070=0,M1070=0),"",CADASTROS!$B$4+SUM($J$2:J1070)+SUM($M$2:M1070)-SUM($K$2:K1070)-SUM($L$2:L1070))</f>
        <v/>
      </c>
      <c r="O1070" s="72">
        <f>IF(A1070="","",SUMIF(RATEIOS!$A$2:$A$3142,$A1070,RATEIOS!$F$2:$F$3142))</f>
        <v>0</v>
      </c>
      <c r="P1070" s="15">
        <f t="shared" si="34"/>
        <v>0</v>
      </c>
      <c r="Q1070" s="49" t="str">
        <f>IF(AND(J1070=0,K1070=0,L1070=0,M1070=0),"",IF(O1070=0,"PENDENTE DE RATEIO",IF(ABS(P1070)&gt;0.005,"DIVERGÊNCIA",IF(COUNTIF(RATEIOS!$A$2:$A$3142,$A1070)-COUNTIFS(RATEIOS!$A$2:$A$3142,$A1070,RATEIOS!$D$2:$D$3142,"&lt;&gt;")&gt;0,"NÃO CLASSIFICADO","RATEIO OK"))))</f>
        <v/>
      </c>
      <c r="R1070" s="49"/>
      <c r="S1070" s="14"/>
    </row>
    <row r="1071" spans="1:19" ht="24.95" customHeight="1" x14ac:dyDescent="0.25">
      <c r="A1071" s="49" t="s">
        <v>3152</v>
      </c>
      <c r="B1071" s="98">
        <v>1070</v>
      </c>
      <c r="C1071" s="50"/>
      <c r="D1071" s="49" t="str">
        <f t="shared" si="33"/>
        <v/>
      </c>
      <c r="E1071" s="92"/>
      <c r="F1071" s="49"/>
      <c r="G1071" s="14"/>
      <c r="H1071" s="14"/>
      <c r="I1071" s="76"/>
      <c r="J1071" s="73"/>
      <c r="K1071" s="74"/>
      <c r="L1071" s="72"/>
      <c r="M1071" s="72"/>
      <c r="N1071" s="72" t="str">
        <f>IF(AND(C1071="",J1071=0,K1071=0,L1071=0,M1071=0),"",CADASTROS!$B$4+SUM($J$2:J1071)+SUM($M$2:M1071)-SUM($K$2:K1071)-SUM($L$2:L1071))</f>
        <v/>
      </c>
      <c r="O1071" s="72">
        <f>IF(A1071="","",SUMIF(RATEIOS!$A$2:$A$3142,$A1071,RATEIOS!$F$2:$F$3142))</f>
        <v>0</v>
      </c>
      <c r="P1071" s="15">
        <f t="shared" si="34"/>
        <v>0</v>
      </c>
      <c r="Q1071" s="49" t="str">
        <f>IF(AND(J1071=0,K1071=0,L1071=0,M1071=0),"",IF(O1071=0,"PENDENTE DE RATEIO",IF(ABS(P1071)&gt;0.005,"DIVERGÊNCIA",IF(COUNTIF(RATEIOS!$A$2:$A$3142,$A1071)-COUNTIFS(RATEIOS!$A$2:$A$3142,$A1071,RATEIOS!$D$2:$D$3142,"&lt;&gt;")&gt;0,"NÃO CLASSIFICADO","RATEIO OK"))))</f>
        <v/>
      </c>
      <c r="R1071" s="49"/>
      <c r="S1071" s="14"/>
    </row>
    <row r="1072" spans="1:19" ht="24.95" customHeight="1" x14ac:dyDescent="0.25">
      <c r="A1072" s="49" t="s">
        <v>3153</v>
      </c>
      <c r="B1072" s="98">
        <v>1071</v>
      </c>
      <c r="C1072" s="50"/>
      <c r="D1072" s="49" t="str">
        <f t="shared" si="33"/>
        <v/>
      </c>
      <c r="E1072" s="92"/>
      <c r="F1072" s="49"/>
      <c r="G1072" s="14"/>
      <c r="H1072" s="14"/>
      <c r="I1072" s="76"/>
      <c r="J1072" s="73"/>
      <c r="K1072" s="74"/>
      <c r="L1072" s="72"/>
      <c r="M1072" s="72"/>
      <c r="N1072" s="72" t="str">
        <f>IF(AND(C1072="",J1072=0,K1072=0,L1072=0,M1072=0),"",CADASTROS!$B$4+SUM($J$2:J1072)+SUM($M$2:M1072)-SUM($K$2:K1072)-SUM($L$2:L1072))</f>
        <v/>
      </c>
      <c r="O1072" s="72">
        <f>IF(A1072="","",SUMIF(RATEIOS!$A$2:$A$3142,$A1072,RATEIOS!$F$2:$F$3142))</f>
        <v>0</v>
      </c>
      <c r="P1072" s="15">
        <f t="shared" si="34"/>
        <v>0</v>
      </c>
      <c r="Q1072" s="49" t="str">
        <f>IF(AND(J1072=0,K1072=0,L1072=0,M1072=0),"",IF(O1072=0,"PENDENTE DE RATEIO",IF(ABS(P1072)&gt;0.005,"DIVERGÊNCIA",IF(COUNTIF(RATEIOS!$A$2:$A$3142,$A1072)-COUNTIFS(RATEIOS!$A$2:$A$3142,$A1072,RATEIOS!$D$2:$D$3142,"&lt;&gt;")&gt;0,"NÃO CLASSIFICADO","RATEIO OK"))))</f>
        <v/>
      </c>
      <c r="R1072" s="49"/>
      <c r="S1072" s="14"/>
    </row>
    <row r="1073" spans="1:19" ht="24.95" customHeight="1" x14ac:dyDescent="0.25">
      <c r="A1073" s="49" t="s">
        <v>3154</v>
      </c>
      <c r="B1073" s="98">
        <v>1072</v>
      </c>
      <c r="C1073" s="50"/>
      <c r="D1073" s="49" t="str">
        <f t="shared" si="33"/>
        <v/>
      </c>
      <c r="E1073" s="92"/>
      <c r="F1073" s="49"/>
      <c r="G1073" s="14"/>
      <c r="H1073" s="14"/>
      <c r="I1073" s="76"/>
      <c r="J1073" s="73"/>
      <c r="K1073" s="74"/>
      <c r="L1073" s="72"/>
      <c r="M1073" s="72"/>
      <c r="N1073" s="72" t="str">
        <f>IF(AND(C1073="",J1073=0,K1073=0,L1073=0,M1073=0),"",CADASTROS!$B$4+SUM($J$2:J1073)+SUM($M$2:M1073)-SUM($K$2:K1073)-SUM($L$2:L1073))</f>
        <v/>
      </c>
      <c r="O1073" s="72">
        <f>IF(A1073="","",SUMIF(RATEIOS!$A$2:$A$3142,$A1073,RATEIOS!$F$2:$F$3142))</f>
        <v>0</v>
      </c>
      <c r="P1073" s="15">
        <f t="shared" si="34"/>
        <v>0</v>
      </c>
      <c r="Q1073" s="49" t="str">
        <f>IF(AND(J1073=0,K1073=0,L1073=0,M1073=0),"",IF(O1073=0,"PENDENTE DE RATEIO",IF(ABS(P1073)&gt;0.005,"DIVERGÊNCIA",IF(COUNTIF(RATEIOS!$A$2:$A$3142,$A1073)-COUNTIFS(RATEIOS!$A$2:$A$3142,$A1073,RATEIOS!$D$2:$D$3142,"&lt;&gt;")&gt;0,"NÃO CLASSIFICADO","RATEIO OK"))))</f>
        <v/>
      </c>
      <c r="R1073" s="49"/>
      <c r="S1073" s="14"/>
    </row>
    <row r="1074" spans="1:19" ht="24.95" customHeight="1" x14ac:dyDescent="0.25">
      <c r="A1074" s="49" t="s">
        <v>3155</v>
      </c>
      <c r="B1074" s="98">
        <v>1073</v>
      </c>
      <c r="C1074" s="50"/>
      <c r="D1074" s="49" t="str">
        <f t="shared" si="33"/>
        <v/>
      </c>
      <c r="E1074" s="92"/>
      <c r="F1074" s="49"/>
      <c r="G1074" s="14"/>
      <c r="H1074" s="14"/>
      <c r="I1074" s="76"/>
      <c r="J1074" s="73"/>
      <c r="K1074" s="74"/>
      <c r="L1074" s="72"/>
      <c r="M1074" s="72"/>
      <c r="N1074" s="72" t="str">
        <f>IF(AND(C1074="",J1074=0,K1074=0,L1074=0,M1074=0),"",CADASTROS!$B$4+SUM($J$2:J1074)+SUM($M$2:M1074)-SUM($K$2:K1074)-SUM($L$2:L1074))</f>
        <v/>
      </c>
      <c r="O1074" s="72">
        <f>IF(A1074="","",SUMIF(RATEIOS!$A$2:$A$3142,$A1074,RATEIOS!$F$2:$F$3142))</f>
        <v>0</v>
      </c>
      <c r="P1074" s="15">
        <f t="shared" si="34"/>
        <v>0</v>
      </c>
      <c r="Q1074" s="49" t="str">
        <f>IF(AND(J1074=0,K1074=0,L1074=0,M1074=0),"",IF(O1074=0,"PENDENTE DE RATEIO",IF(ABS(P1074)&gt;0.005,"DIVERGÊNCIA",IF(COUNTIF(RATEIOS!$A$2:$A$3142,$A1074)-COUNTIFS(RATEIOS!$A$2:$A$3142,$A1074,RATEIOS!$D$2:$D$3142,"&lt;&gt;")&gt;0,"NÃO CLASSIFICADO","RATEIO OK"))))</f>
        <v/>
      </c>
      <c r="R1074" s="49"/>
      <c r="S1074" s="14"/>
    </row>
    <row r="1075" spans="1:19" ht="24.95" customHeight="1" x14ac:dyDescent="0.25">
      <c r="A1075" s="49" t="s">
        <v>3156</v>
      </c>
      <c r="B1075" s="98">
        <v>1074</v>
      </c>
      <c r="C1075" s="50"/>
      <c r="D1075" s="49" t="str">
        <f t="shared" si="33"/>
        <v/>
      </c>
      <c r="E1075" s="92"/>
      <c r="F1075" s="49"/>
      <c r="G1075" s="14"/>
      <c r="H1075" s="14"/>
      <c r="I1075" s="76"/>
      <c r="J1075" s="73"/>
      <c r="K1075" s="74"/>
      <c r="L1075" s="72"/>
      <c r="M1075" s="72"/>
      <c r="N1075" s="72" t="str">
        <f>IF(AND(C1075="",J1075=0,K1075=0,L1075=0,M1075=0),"",CADASTROS!$B$4+SUM($J$2:J1075)+SUM($M$2:M1075)-SUM($K$2:K1075)-SUM($L$2:L1075))</f>
        <v/>
      </c>
      <c r="O1075" s="72">
        <f>IF(A1075="","",SUMIF(RATEIOS!$A$2:$A$3142,$A1075,RATEIOS!$F$2:$F$3142))</f>
        <v>0</v>
      </c>
      <c r="P1075" s="15">
        <f t="shared" si="34"/>
        <v>0</v>
      </c>
      <c r="Q1075" s="49" t="str">
        <f>IF(AND(J1075=0,K1075=0,L1075=0,M1075=0),"",IF(O1075=0,"PENDENTE DE RATEIO",IF(ABS(P1075)&gt;0.005,"DIVERGÊNCIA",IF(COUNTIF(RATEIOS!$A$2:$A$3142,$A1075)-COUNTIFS(RATEIOS!$A$2:$A$3142,$A1075,RATEIOS!$D$2:$D$3142,"&lt;&gt;")&gt;0,"NÃO CLASSIFICADO","RATEIO OK"))))</f>
        <v/>
      </c>
      <c r="R1075" s="49"/>
      <c r="S1075" s="14"/>
    </row>
    <row r="1076" spans="1:19" ht="24.95" customHeight="1" x14ac:dyDescent="0.25">
      <c r="A1076" s="49" t="s">
        <v>3157</v>
      </c>
      <c r="B1076" s="98">
        <v>1075</v>
      </c>
      <c r="C1076" s="50"/>
      <c r="D1076" s="49" t="str">
        <f t="shared" si="33"/>
        <v/>
      </c>
      <c r="E1076" s="92"/>
      <c r="F1076" s="49"/>
      <c r="G1076" s="14"/>
      <c r="H1076" s="14"/>
      <c r="I1076" s="76"/>
      <c r="J1076" s="73"/>
      <c r="K1076" s="74"/>
      <c r="L1076" s="72"/>
      <c r="M1076" s="72"/>
      <c r="N1076" s="72" t="str">
        <f>IF(AND(C1076="",J1076=0,K1076=0,L1076=0,M1076=0),"",CADASTROS!$B$4+SUM($J$2:J1076)+SUM($M$2:M1076)-SUM($K$2:K1076)-SUM($L$2:L1076))</f>
        <v/>
      </c>
      <c r="O1076" s="72">
        <f>IF(A1076="","",SUMIF(RATEIOS!$A$2:$A$3142,$A1076,RATEIOS!$F$2:$F$3142))</f>
        <v>0</v>
      </c>
      <c r="P1076" s="15">
        <f t="shared" si="34"/>
        <v>0</v>
      </c>
      <c r="Q1076" s="49" t="str">
        <f>IF(AND(J1076=0,K1076=0,L1076=0,M1076=0),"",IF(O1076=0,"PENDENTE DE RATEIO",IF(ABS(P1076)&gt;0.005,"DIVERGÊNCIA",IF(COUNTIF(RATEIOS!$A$2:$A$3142,$A1076)-COUNTIFS(RATEIOS!$A$2:$A$3142,$A1076,RATEIOS!$D$2:$D$3142,"&lt;&gt;")&gt;0,"NÃO CLASSIFICADO","RATEIO OK"))))</f>
        <v/>
      </c>
      <c r="R1076" s="49"/>
      <c r="S1076" s="14"/>
    </row>
    <row r="1077" spans="1:19" ht="24.95" customHeight="1" x14ac:dyDescent="0.25">
      <c r="A1077" s="49" t="s">
        <v>3158</v>
      </c>
      <c r="B1077" s="98">
        <v>1076</v>
      </c>
      <c r="C1077" s="50"/>
      <c r="D1077" s="49" t="str">
        <f t="shared" si="33"/>
        <v/>
      </c>
      <c r="E1077" s="92"/>
      <c r="F1077" s="49"/>
      <c r="G1077" s="14"/>
      <c r="H1077" s="14"/>
      <c r="I1077" s="76"/>
      <c r="J1077" s="73"/>
      <c r="K1077" s="74"/>
      <c r="L1077" s="72"/>
      <c r="M1077" s="72"/>
      <c r="N1077" s="72" t="str">
        <f>IF(AND(C1077="",J1077=0,K1077=0,L1077=0,M1077=0),"",CADASTROS!$B$4+SUM($J$2:J1077)+SUM($M$2:M1077)-SUM($K$2:K1077)-SUM($L$2:L1077))</f>
        <v/>
      </c>
      <c r="O1077" s="72">
        <f>IF(A1077="","",SUMIF(RATEIOS!$A$2:$A$3142,$A1077,RATEIOS!$F$2:$F$3142))</f>
        <v>0</v>
      </c>
      <c r="P1077" s="15">
        <f t="shared" si="34"/>
        <v>0</v>
      </c>
      <c r="Q1077" s="49" t="str">
        <f>IF(AND(J1077=0,K1077=0,L1077=0,M1077=0),"",IF(O1077=0,"PENDENTE DE RATEIO",IF(ABS(P1077)&gt;0.005,"DIVERGÊNCIA",IF(COUNTIF(RATEIOS!$A$2:$A$3142,$A1077)-COUNTIFS(RATEIOS!$A$2:$A$3142,$A1077,RATEIOS!$D$2:$D$3142,"&lt;&gt;")&gt;0,"NÃO CLASSIFICADO","RATEIO OK"))))</f>
        <v/>
      </c>
      <c r="R1077" s="49"/>
      <c r="S1077" s="14"/>
    </row>
    <row r="1078" spans="1:19" ht="24.95" customHeight="1" x14ac:dyDescent="0.25">
      <c r="A1078" s="49" t="s">
        <v>3159</v>
      </c>
      <c r="B1078" s="98">
        <v>1077</v>
      </c>
      <c r="C1078" s="50"/>
      <c r="D1078" s="49" t="str">
        <f t="shared" si="33"/>
        <v/>
      </c>
      <c r="E1078" s="92"/>
      <c r="F1078" s="49"/>
      <c r="G1078" s="14"/>
      <c r="H1078" s="14"/>
      <c r="I1078" s="76"/>
      <c r="J1078" s="73"/>
      <c r="K1078" s="74"/>
      <c r="L1078" s="72"/>
      <c r="M1078" s="72"/>
      <c r="N1078" s="72" t="str">
        <f>IF(AND(C1078="",J1078=0,K1078=0,L1078=0,M1078=0),"",CADASTROS!$B$4+SUM($J$2:J1078)+SUM($M$2:M1078)-SUM($K$2:K1078)-SUM($L$2:L1078))</f>
        <v/>
      </c>
      <c r="O1078" s="72">
        <f>IF(A1078="","",SUMIF(RATEIOS!$A$2:$A$3142,$A1078,RATEIOS!$F$2:$F$3142))</f>
        <v>0</v>
      </c>
      <c r="P1078" s="15">
        <f t="shared" si="34"/>
        <v>0</v>
      </c>
      <c r="Q1078" s="49" t="str">
        <f>IF(AND(J1078=0,K1078=0,L1078=0,M1078=0),"",IF(O1078=0,"PENDENTE DE RATEIO",IF(ABS(P1078)&gt;0.005,"DIVERGÊNCIA",IF(COUNTIF(RATEIOS!$A$2:$A$3142,$A1078)-COUNTIFS(RATEIOS!$A$2:$A$3142,$A1078,RATEIOS!$D$2:$D$3142,"&lt;&gt;")&gt;0,"NÃO CLASSIFICADO","RATEIO OK"))))</f>
        <v/>
      </c>
      <c r="R1078" s="49"/>
      <c r="S1078" s="14"/>
    </row>
    <row r="1079" spans="1:19" ht="24.95" customHeight="1" x14ac:dyDescent="0.25">
      <c r="A1079" s="49" t="s">
        <v>3160</v>
      </c>
      <c r="B1079" s="98">
        <v>1078</v>
      </c>
      <c r="C1079" s="50"/>
      <c r="D1079" s="49" t="str">
        <f t="shared" si="33"/>
        <v/>
      </c>
      <c r="E1079" s="92"/>
      <c r="F1079" s="49"/>
      <c r="G1079" s="14"/>
      <c r="H1079" s="14"/>
      <c r="I1079" s="76"/>
      <c r="J1079" s="73"/>
      <c r="K1079" s="74"/>
      <c r="L1079" s="72"/>
      <c r="M1079" s="72"/>
      <c r="N1079" s="72" t="str">
        <f>IF(AND(C1079="",J1079=0,K1079=0,L1079=0,M1079=0),"",CADASTROS!$B$4+SUM($J$2:J1079)+SUM($M$2:M1079)-SUM($K$2:K1079)-SUM($L$2:L1079))</f>
        <v/>
      </c>
      <c r="O1079" s="72">
        <f>IF(A1079="","",SUMIF(RATEIOS!$A$2:$A$3142,$A1079,RATEIOS!$F$2:$F$3142))</f>
        <v>0</v>
      </c>
      <c r="P1079" s="15">
        <f t="shared" si="34"/>
        <v>0</v>
      </c>
      <c r="Q1079" s="49" t="str">
        <f>IF(AND(J1079=0,K1079=0,L1079=0,M1079=0),"",IF(O1079=0,"PENDENTE DE RATEIO",IF(ABS(P1079)&gt;0.005,"DIVERGÊNCIA",IF(COUNTIF(RATEIOS!$A$2:$A$3142,$A1079)-COUNTIFS(RATEIOS!$A$2:$A$3142,$A1079,RATEIOS!$D$2:$D$3142,"&lt;&gt;")&gt;0,"NÃO CLASSIFICADO","RATEIO OK"))))</f>
        <v/>
      </c>
      <c r="R1079" s="49"/>
      <c r="S1079" s="14"/>
    </row>
    <row r="1080" spans="1:19" ht="24.95" customHeight="1" x14ac:dyDescent="0.25">
      <c r="A1080" s="49" t="s">
        <v>3161</v>
      </c>
      <c r="B1080" s="98">
        <v>1079</v>
      </c>
      <c r="C1080" s="50"/>
      <c r="D1080" s="49" t="str">
        <f t="shared" si="33"/>
        <v/>
      </c>
      <c r="E1080" s="92"/>
      <c r="F1080" s="49"/>
      <c r="G1080" s="14"/>
      <c r="H1080" s="14"/>
      <c r="I1080" s="76"/>
      <c r="J1080" s="73"/>
      <c r="K1080" s="74"/>
      <c r="L1080" s="72"/>
      <c r="M1080" s="72"/>
      <c r="N1080" s="72" t="str">
        <f>IF(AND(C1080="",J1080=0,K1080=0,L1080=0,M1080=0),"",CADASTROS!$B$4+SUM($J$2:J1080)+SUM($M$2:M1080)-SUM($K$2:K1080)-SUM($L$2:L1080))</f>
        <v/>
      </c>
      <c r="O1080" s="72">
        <f>IF(A1080="","",SUMIF(RATEIOS!$A$2:$A$3142,$A1080,RATEIOS!$F$2:$F$3142))</f>
        <v>0</v>
      </c>
      <c r="P1080" s="15">
        <f t="shared" si="34"/>
        <v>0</v>
      </c>
      <c r="Q1080" s="49" t="str">
        <f>IF(AND(J1080=0,K1080=0,L1080=0,M1080=0),"",IF(O1080=0,"PENDENTE DE RATEIO",IF(ABS(P1080)&gt;0.005,"DIVERGÊNCIA",IF(COUNTIF(RATEIOS!$A$2:$A$3142,$A1080)-COUNTIFS(RATEIOS!$A$2:$A$3142,$A1080,RATEIOS!$D$2:$D$3142,"&lt;&gt;")&gt;0,"NÃO CLASSIFICADO","RATEIO OK"))))</f>
        <v/>
      </c>
      <c r="R1080" s="49"/>
      <c r="S1080" s="14"/>
    </row>
    <row r="1081" spans="1:19" ht="24.95" customHeight="1" x14ac:dyDescent="0.25">
      <c r="A1081" s="49" t="s">
        <v>3162</v>
      </c>
      <c r="B1081" s="98">
        <v>1080</v>
      </c>
      <c r="C1081" s="50"/>
      <c r="D1081" s="49" t="str">
        <f t="shared" si="33"/>
        <v/>
      </c>
      <c r="E1081" s="92"/>
      <c r="F1081" s="49"/>
      <c r="G1081" s="14"/>
      <c r="H1081" s="14"/>
      <c r="I1081" s="76"/>
      <c r="J1081" s="73"/>
      <c r="K1081" s="74"/>
      <c r="L1081" s="72"/>
      <c r="M1081" s="72"/>
      <c r="N1081" s="72" t="str">
        <f>IF(AND(C1081="",J1081=0,K1081=0,L1081=0,M1081=0),"",CADASTROS!$B$4+SUM($J$2:J1081)+SUM($M$2:M1081)-SUM($K$2:K1081)-SUM($L$2:L1081))</f>
        <v/>
      </c>
      <c r="O1081" s="72">
        <f>IF(A1081="","",SUMIF(RATEIOS!$A$2:$A$3142,$A1081,RATEIOS!$F$2:$F$3142))</f>
        <v>0</v>
      </c>
      <c r="P1081" s="15">
        <f t="shared" si="34"/>
        <v>0</v>
      </c>
      <c r="Q1081" s="49" t="str">
        <f>IF(AND(J1081=0,K1081=0,L1081=0,M1081=0),"",IF(O1081=0,"PENDENTE DE RATEIO",IF(ABS(P1081)&gt;0.005,"DIVERGÊNCIA",IF(COUNTIF(RATEIOS!$A$2:$A$3142,$A1081)-COUNTIFS(RATEIOS!$A$2:$A$3142,$A1081,RATEIOS!$D$2:$D$3142,"&lt;&gt;")&gt;0,"NÃO CLASSIFICADO","RATEIO OK"))))</f>
        <v/>
      </c>
      <c r="R1081" s="49"/>
      <c r="S1081" s="14"/>
    </row>
    <row r="1082" spans="1:19" ht="24.95" customHeight="1" x14ac:dyDescent="0.25">
      <c r="A1082" s="49" t="s">
        <v>3163</v>
      </c>
      <c r="B1082" s="98">
        <v>1081</v>
      </c>
      <c r="C1082" s="50"/>
      <c r="D1082" s="49" t="str">
        <f t="shared" si="33"/>
        <v/>
      </c>
      <c r="E1082" s="92"/>
      <c r="F1082" s="49"/>
      <c r="G1082" s="14"/>
      <c r="H1082" s="14"/>
      <c r="I1082" s="76"/>
      <c r="J1082" s="73"/>
      <c r="K1082" s="74"/>
      <c r="L1082" s="72"/>
      <c r="M1082" s="72"/>
      <c r="N1082" s="72" t="str">
        <f>IF(AND(C1082="",J1082=0,K1082=0,L1082=0,M1082=0),"",CADASTROS!$B$4+SUM($J$2:J1082)+SUM($M$2:M1082)-SUM($K$2:K1082)-SUM($L$2:L1082))</f>
        <v/>
      </c>
      <c r="O1082" s="72">
        <f>IF(A1082="","",SUMIF(RATEIOS!$A$2:$A$3142,$A1082,RATEIOS!$F$2:$F$3142))</f>
        <v>0</v>
      </c>
      <c r="P1082" s="15">
        <f t="shared" si="34"/>
        <v>0</v>
      </c>
      <c r="Q1082" s="49" t="str">
        <f>IF(AND(J1082=0,K1082=0,L1082=0,M1082=0),"",IF(O1082=0,"PENDENTE DE RATEIO",IF(ABS(P1082)&gt;0.005,"DIVERGÊNCIA",IF(COUNTIF(RATEIOS!$A$2:$A$3142,$A1082)-COUNTIFS(RATEIOS!$A$2:$A$3142,$A1082,RATEIOS!$D$2:$D$3142,"&lt;&gt;")&gt;0,"NÃO CLASSIFICADO","RATEIO OK"))))</f>
        <v/>
      </c>
      <c r="R1082" s="49"/>
      <c r="S1082" s="14"/>
    </row>
    <row r="1083" spans="1:19" ht="24.95" customHeight="1" x14ac:dyDescent="0.25">
      <c r="A1083" s="49" t="s">
        <v>3164</v>
      </c>
      <c r="B1083" s="98">
        <v>1082</v>
      </c>
      <c r="C1083" s="50"/>
      <c r="D1083" s="49" t="str">
        <f t="shared" si="33"/>
        <v/>
      </c>
      <c r="E1083" s="92"/>
      <c r="F1083" s="49"/>
      <c r="G1083" s="14"/>
      <c r="H1083" s="14"/>
      <c r="I1083" s="76"/>
      <c r="J1083" s="73"/>
      <c r="K1083" s="74"/>
      <c r="L1083" s="72"/>
      <c r="M1083" s="72"/>
      <c r="N1083" s="72" t="str">
        <f>IF(AND(C1083="",J1083=0,K1083=0,L1083=0,M1083=0),"",CADASTROS!$B$4+SUM($J$2:J1083)+SUM($M$2:M1083)-SUM($K$2:K1083)-SUM($L$2:L1083))</f>
        <v/>
      </c>
      <c r="O1083" s="72">
        <f>IF(A1083="","",SUMIF(RATEIOS!$A$2:$A$3142,$A1083,RATEIOS!$F$2:$F$3142))</f>
        <v>0</v>
      </c>
      <c r="P1083" s="15">
        <f t="shared" si="34"/>
        <v>0</v>
      </c>
      <c r="Q1083" s="49" t="str">
        <f>IF(AND(J1083=0,K1083=0,L1083=0,M1083=0),"",IF(O1083=0,"PENDENTE DE RATEIO",IF(ABS(P1083)&gt;0.005,"DIVERGÊNCIA",IF(COUNTIF(RATEIOS!$A$2:$A$3142,$A1083)-COUNTIFS(RATEIOS!$A$2:$A$3142,$A1083,RATEIOS!$D$2:$D$3142,"&lt;&gt;")&gt;0,"NÃO CLASSIFICADO","RATEIO OK"))))</f>
        <v/>
      </c>
      <c r="R1083" s="49"/>
      <c r="S1083" s="14"/>
    </row>
    <row r="1084" spans="1:19" ht="24.95" customHeight="1" x14ac:dyDescent="0.25">
      <c r="A1084" s="49" t="s">
        <v>3165</v>
      </c>
      <c r="B1084" s="98">
        <v>1083</v>
      </c>
      <c r="C1084" s="50"/>
      <c r="D1084" s="49" t="str">
        <f t="shared" si="33"/>
        <v/>
      </c>
      <c r="E1084" s="92"/>
      <c r="F1084" s="49"/>
      <c r="G1084" s="14"/>
      <c r="H1084" s="14"/>
      <c r="I1084" s="76"/>
      <c r="J1084" s="73"/>
      <c r="K1084" s="74"/>
      <c r="L1084" s="72"/>
      <c r="M1084" s="72"/>
      <c r="N1084" s="72" t="str">
        <f>IF(AND(C1084="",J1084=0,K1084=0,L1084=0,M1084=0),"",CADASTROS!$B$4+SUM($J$2:J1084)+SUM($M$2:M1084)-SUM($K$2:K1084)-SUM($L$2:L1084))</f>
        <v/>
      </c>
      <c r="O1084" s="72">
        <f>IF(A1084="","",SUMIF(RATEIOS!$A$2:$A$3142,$A1084,RATEIOS!$F$2:$F$3142))</f>
        <v>0</v>
      </c>
      <c r="P1084" s="15">
        <f t="shared" si="34"/>
        <v>0</v>
      </c>
      <c r="Q1084" s="49" t="str">
        <f>IF(AND(J1084=0,K1084=0,L1084=0,M1084=0),"",IF(O1084=0,"PENDENTE DE RATEIO",IF(ABS(P1084)&gt;0.005,"DIVERGÊNCIA",IF(COUNTIF(RATEIOS!$A$2:$A$3142,$A1084)-COUNTIFS(RATEIOS!$A$2:$A$3142,$A1084,RATEIOS!$D$2:$D$3142,"&lt;&gt;")&gt;0,"NÃO CLASSIFICADO","RATEIO OK"))))</f>
        <v/>
      </c>
      <c r="R1084" s="49"/>
      <c r="S1084" s="14"/>
    </row>
    <row r="1085" spans="1:19" ht="24.95" customHeight="1" x14ac:dyDescent="0.25">
      <c r="A1085" s="49" t="s">
        <v>3166</v>
      </c>
      <c r="B1085" s="98">
        <v>1084</v>
      </c>
      <c r="C1085" s="50"/>
      <c r="D1085" s="49" t="str">
        <f t="shared" si="33"/>
        <v/>
      </c>
      <c r="E1085" s="92"/>
      <c r="F1085" s="49"/>
      <c r="G1085" s="14"/>
      <c r="H1085" s="14"/>
      <c r="I1085" s="76"/>
      <c r="J1085" s="73"/>
      <c r="K1085" s="74"/>
      <c r="L1085" s="72"/>
      <c r="M1085" s="72"/>
      <c r="N1085" s="72" t="str">
        <f>IF(AND(C1085="",J1085=0,K1085=0,L1085=0,M1085=0),"",CADASTROS!$B$4+SUM($J$2:J1085)+SUM($M$2:M1085)-SUM($K$2:K1085)-SUM($L$2:L1085))</f>
        <v/>
      </c>
      <c r="O1085" s="72">
        <f>IF(A1085="","",SUMIF(RATEIOS!$A$2:$A$3142,$A1085,RATEIOS!$F$2:$F$3142))</f>
        <v>0</v>
      </c>
      <c r="P1085" s="15">
        <f t="shared" si="34"/>
        <v>0</v>
      </c>
      <c r="Q1085" s="49" t="str">
        <f>IF(AND(J1085=0,K1085=0,L1085=0,M1085=0),"",IF(O1085=0,"PENDENTE DE RATEIO",IF(ABS(P1085)&gt;0.005,"DIVERGÊNCIA",IF(COUNTIF(RATEIOS!$A$2:$A$3142,$A1085)-COUNTIFS(RATEIOS!$A$2:$A$3142,$A1085,RATEIOS!$D$2:$D$3142,"&lt;&gt;")&gt;0,"NÃO CLASSIFICADO","RATEIO OK"))))</f>
        <v/>
      </c>
      <c r="R1085" s="49"/>
      <c r="S1085" s="14"/>
    </row>
    <row r="1086" spans="1:19" ht="24.95" customHeight="1" x14ac:dyDescent="0.25">
      <c r="A1086" s="49" t="s">
        <v>3167</v>
      </c>
      <c r="B1086" s="98">
        <v>1085</v>
      </c>
      <c r="C1086" s="50"/>
      <c r="D1086" s="49" t="str">
        <f t="shared" si="33"/>
        <v/>
      </c>
      <c r="E1086" s="92"/>
      <c r="F1086" s="49"/>
      <c r="G1086" s="14"/>
      <c r="H1086" s="14"/>
      <c r="I1086" s="76"/>
      <c r="J1086" s="73"/>
      <c r="K1086" s="74"/>
      <c r="L1086" s="72"/>
      <c r="M1086" s="72"/>
      <c r="N1086" s="72" t="str">
        <f>IF(AND(C1086="",J1086=0,K1086=0,L1086=0,M1086=0),"",CADASTROS!$B$4+SUM($J$2:J1086)+SUM($M$2:M1086)-SUM($K$2:K1086)-SUM($L$2:L1086))</f>
        <v/>
      </c>
      <c r="O1086" s="72">
        <f>IF(A1086="","",SUMIF(RATEIOS!$A$2:$A$3142,$A1086,RATEIOS!$F$2:$F$3142))</f>
        <v>0</v>
      </c>
      <c r="P1086" s="15">
        <f t="shared" si="34"/>
        <v>0</v>
      </c>
      <c r="Q1086" s="49" t="str">
        <f>IF(AND(J1086=0,K1086=0,L1086=0,M1086=0),"",IF(O1086=0,"PENDENTE DE RATEIO",IF(ABS(P1086)&gt;0.005,"DIVERGÊNCIA",IF(COUNTIF(RATEIOS!$A$2:$A$3142,$A1086)-COUNTIFS(RATEIOS!$A$2:$A$3142,$A1086,RATEIOS!$D$2:$D$3142,"&lt;&gt;")&gt;0,"NÃO CLASSIFICADO","RATEIO OK"))))</f>
        <v/>
      </c>
      <c r="R1086" s="49"/>
      <c r="S1086" s="14"/>
    </row>
    <row r="1087" spans="1:19" ht="24.95" customHeight="1" x14ac:dyDescent="0.25">
      <c r="A1087" s="49" t="s">
        <v>3168</v>
      </c>
      <c r="B1087" s="98">
        <v>1086</v>
      </c>
      <c r="C1087" s="50"/>
      <c r="D1087" s="49" t="str">
        <f t="shared" si="33"/>
        <v/>
      </c>
      <c r="E1087" s="92"/>
      <c r="F1087" s="49"/>
      <c r="G1087" s="14"/>
      <c r="H1087" s="14"/>
      <c r="I1087" s="76"/>
      <c r="J1087" s="73"/>
      <c r="K1087" s="74"/>
      <c r="L1087" s="72"/>
      <c r="M1087" s="72"/>
      <c r="N1087" s="72" t="str">
        <f>IF(AND(C1087="",J1087=0,K1087=0,L1087=0,M1087=0),"",CADASTROS!$B$4+SUM($J$2:J1087)+SUM($M$2:M1087)-SUM($K$2:K1087)-SUM($L$2:L1087))</f>
        <v/>
      </c>
      <c r="O1087" s="72">
        <f>IF(A1087="","",SUMIF(RATEIOS!$A$2:$A$3142,$A1087,RATEIOS!$F$2:$F$3142))</f>
        <v>0</v>
      </c>
      <c r="P1087" s="15">
        <f t="shared" si="34"/>
        <v>0</v>
      </c>
      <c r="Q1087" s="49" t="str">
        <f>IF(AND(J1087=0,K1087=0,L1087=0,M1087=0),"",IF(O1087=0,"PENDENTE DE RATEIO",IF(ABS(P1087)&gt;0.005,"DIVERGÊNCIA",IF(COUNTIF(RATEIOS!$A$2:$A$3142,$A1087)-COUNTIFS(RATEIOS!$A$2:$A$3142,$A1087,RATEIOS!$D$2:$D$3142,"&lt;&gt;")&gt;0,"NÃO CLASSIFICADO","RATEIO OK"))))</f>
        <v/>
      </c>
      <c r="R1087" s="49"/>
      <c r="S1087" s="14"/>
    </row>
    <row r="1088" spans="1:19" ht="24.95" customHeight="1" x14ac:dyDescent="0.25">
      <c r="A1088" s="49" t="s">
        <v>3169</v>
      </c>
      <c r="B1088" s="98">
        <v>1087</v>
      </c>
      <c r="C1088" s="50"/>
      <c r="D1088" s="49" t="str">
        <f t="shared" si="33"/>
        <v/>
      </c>
      <c r="E1088" s="92"/>
      <c r="F1088" s="49"/>
      <c r="G1088" s="14"/>
      <c r="H1088" s="14"/>
      <c r="I1088" s="76"/>
      <c r="J1088" s="73"/>
      <c r="K1088" s="74"/>
      <c r="L1088" s="72"/>
      <c r="M1088" s="72"/>
      <c r="N1088" s="72" t="str">
        <f>IF(AND(C1088="",J1088=0,K1088=0,L1088=0,M1088=0),"",CADASTROS!$B$4+SUM($J$2:J1088)+SUM($M$2:M1088)-SUM($K$2:K1088)-SUM($L$2:L1088))</f>
        <v/>
      </c>
      <c r="O1088" s="72">
        <f>IF(A1088="","",SUMIF(RATEIOS!$A$2:$A$3142,$A1088,RATEIOS!$F$2:$F$3142))</f>
        <v>0</v>
      </c>
      <c r="P1088" s="15">
        <f t="shared" si="34"/>
        <v>0</v>
      </c>
      <c r="Q1088" s="49" t="str">
        <f>IF(AND(J1088=0,K1088=0,L1088=0,M1088=0),"",IF(O1088=0,"PENDENTE DE RATEIO",IF(ABS(P1088)&gt;0.005,"DIVERGÊNCIA",IF(COUNTIF(RATEIOS!$A$2:$A$3142,$A1088)-COUNTIFS(RATEIOS!$A$2:$A$3142,$A1088,RATEIOS!$D$2:$D$3142,"&lt;&gt;")&gt;0,"NÃO CLASSIFICADO","RATEIO OK"))))</f>
        <v/>
      </c>
      <c r="R1088" s="49"/>
      <c r="S1088" s="14"/>
    </row>
    <row r="1089" spans="1:19" ht="24.95" customHeight="1" x14ac:dyDescent="0.25">
      <c r="A1089" s="49" t="s">
        <v>3170</v>
      </c>
      <c r="B1089" s="98">
        <v>1088</v>
      </c>
      <c r="C1089" s="50"/>
      <c r="D1089" s="49" t="str">
        <f t="shared" si="33"/>
        <v/>
      </c>
      <c r="E1089" s="92"/>
      <c r="F1089" s="49"/>
      <c r="G1089" s="14"/>
      <c r="H1089" s="14"/>
      <c r="I1089" s="76"/>
      <c r="J1089" s="73"/>
      <c r="K1089" s="74"/>
      <c r="L1089" s="72"/>
      <c r="M1089" s="72"/>
      <c r="N1089" s="72" t="str">
        <f>IF(AND(C1089="",J1089=0,K1089=0,L1089=0,M1089=0),"",CADASTROS!$B$4+SUM($J$2:J1089)+SUM($M$2:M1089)-SUM($K$2:K1089)-SUM($L$2:L1089))</f>
        <v/>
      </c>
      <c r="O1089" s="72">
        <f>IF(A1089="","",SUMIF(RATEIOS!$A$2:$A$3142,$A1089,RATEIOS!$F$2:$F$3142))</f>
        <v>0</v>
      </c>
      <c r="P1089" s="15">
        <f t="shared" si="34"/>
        <v>0</v>
      </c>
      <c r="Q1089" s="49" t="str">
        <f>IF(AND(J1089=0,K1089=0,L1089=0,M1089=0),"",IF(O1089=0,"PENDENTE DE RATEIO",IF(ABS(P1089)&gt;0.005,"DIVERGÊNCIA",IF(COUNTIF(RATEIOS!$A$2:$A$3142,$A1089)-COUNTIFS(RATEIOS!$A$2:$A$3142,$A1089,RATEIOS!$D$2:$D$3142,"&lt;&gt;")&gt;0,"NÃO CLASSIFICADO","RATEIO OK"))))</f>
        <v/>
      </c>
      <c r="R1089" s="49"/>
      <c r="S1089" s="14"/>
    </row>
    <row r="1090" spans="1:19" ht="24.95" customHeight="1" x14ac:dyDescent="0.25">
      <c r="A1090" s="49" t="s">
        <v>3171</v>
      </c>
      <c r="B1090" s="98">
        <v>1089</v>
      </c>
      <c r="C1090" s="50"/>
      <c r="D1090" s="49" t="str">
        <f t="shared" ref="D1090:D1153" si="35">IF(C1090="","",MONTH(C1090))</f>
        <v/>
      </c>
      <c r="E1090" s="92"/>
      <c r="F1090" s="49"/>
      <c r="G1090" s="14"/>
      <c r="H1090" s="14"/>
      <c r="I1090" s="76"/>
      <c r="J1090" s="73"/>
      <c r="K1090" s="74"/>
      <c r="L1090" s="72"/>
      <c r="M1090" s="72"/>
      <c r="N1090" s="72" t="str">
        <f>IF(AND(C1090="",J1090=0,K1090=0,L1090=0,M1090=0),"",CADASTROS!$B$4+SUM($J$2:J1090)+SUM($M$2:M1090)-SUM($K$2:K1090)-SUM($L$2:L1090))</f>
        <v/>
      </c>
      <c r="O1090" s="72">
        <f>IF(A1090="","",SUMIF(RATEIOS!$A$2:$A$3142,$A1090,RATEIOS!$F$2:$F$3142))</f>
        <v>0</v>
      </c>
      <c r="P1090" s="15">
        <f t="shared" ref="P1090:P1153" si="36">IF(A1090="","",(J1090+K1090+L1090+M1090)-O1090)</f>
        <v>0</v>
      </c>
      <c r="Q1090" s="49" t="str">
        <f>IF(AND(J1090=0,K1090=0,L1090=0,M1090=0),"",IF(O1090=0,"PENDENTE DE RATEIO",IF(ABS(P1090)&gt;0.005,"DIVERGÊNCIA",IF(COUNTIF(RATEIOS!$A$2:$A$3142,$A1090)-COUNTIFS(RATEIOS!$A$2:$A$3142,$A1090,RATEIOS!$D$2:$D$3142,"&lt;&gt;")&gt;0,"NÃO CLASSIFICADO","RATEIO OK"))))</f>
        <v/>
      </c>
      <c r="R1090" s="49"/>
      <c r="S1090" s="14"/>
    </row>
    <row r="1091" spans="1:19" ht="24.95" customHeight="1" x14ac:dyDescent="0.25">
      <c r="A1091" s="49" t="s">
        <v>3172</v>
      </c>
      <c r="B1091" s="98">
        <v>1090</v>
      </c>
      <c r="C1091" s="50"/>
      <c r="D1091" s="49" t="str">
        <f t="shared" si="35"/>
        <v/>
      </c>
      <c r="E1091" s="92"/>
      <c r="F1091" s="49"/>
      <c r="G1091" s="14"/>
      <c r="H1091" s="14"/>
      <c r="I1091" s="76"/>
      <c r="J1091" s="73"/>
      <c r="K1091" s="74"/>
      <c r="L1091" s="72"/>
      <c r="M1091" s="72"/>
      <c r="N1091" s="72" t="str">
        <f>IF(AND(C1091="",J1091=0,K1091=0,L1091=0,M1091=0),"",CADASTROS!$B$4+SUM($J$2:J1091)+SUM($M$2:M1091)-SUM($K$2:K1091)-SUM($L$2:L1091))</f>
        <v/>
      </c>
      <c r="O1091" s="72">
        <f>IF(A1091="","",SUMIF(RATEIOS!$A$2:$A$3142,$A1091,RATEIOS!$F$2:$F$3142))</f>
        <v>0</v>
      </c>
      <c r="P1091" s="15">
        <f t="shared" si="36"/>
        <v>0</v>
      </c>
      <c r="Q1091" s="49" t="str">
        <f>IF(AND(J1091=0,K1091=0,L1091=0,M1091=0),"",IF(O1091=0,"PENDENTE DE RATEIO",IF(ABS(P1091)&gt;0.005,"DIVERGÊNCIA",IF(COUNTIF(RATEIOS!$A$2:$A$3142,$A1091)-COUNTIFS(RATEIOS!$A$2:$A$3142,$A1091,RATEIOS!$D$2:$D$3142,"&lt;&gt;")&gt;0,"NÃO CLASSIFICADO","RATEIO OK"))))</f>
        <v/>
      </c>
      <c r="R1091" s="49"/>
      <c r="S1091" s="14"/>
    </row>
    <row r="1092" spans="1:19" ht="24.95" customHeight="1" x14ac:dyDescent="0.25">
      <c r="A1092" s="49" t="s">
        <v>3173</v>
      </c>
      <c r="B1092" s="98">
        <v>1091</v>
      </c>
      <c r="C1092" s="50"/>
      <c r="D1092" s="49" t="str">
        <f t="shared" si="35"/>
        <v/>
      </c>
      <c r="E1092" s="92"/>
      <c r="F1092" s="49"/>
      <c r="G1092" s="14"/>
      <c r="H1092" s="14"/>
      <c r="I1092" s="76"/>
      <c r="J1092" s="73"/>
      <c r="K1092" s="74"/>
      <c r="L1092" s="72"/>
      <c r="M1092" s="72"/>
      <c r="N1092" s="72" t="str">
        <f>IF(AND(C1092="",J1092=0,K1092=0,L1092=0,M1092=0),"",CADASTROS!$B$4+SUM($J$2:J1092)+SUM($M$2:M1092)-SUM($K$2:K1092)-SUM($L$2:L1092))</f>
        <v/>
      </c>
      <c r="O1092" s="72">
        <f>IF(A1092="","",SUMIF(RATEIOS!$A$2:$A$3142,$A1092,RATEIOS!$F$2:$F$3142))</f>
        <v>0</v>
      </c>
      <c r="P1092" s="15">
        <f t="shared" si="36"/>
        <v>0</v>
      </c>
      <c r="Q1092" s="49" t="str">
        <f>IF(AND(J1092=0,K1092=0,L1092=0,M1092=0),"",IF(O1092=0,"PENDENTE DE RATEIO",IF(ABS(P1092)&gt;0.005,"DIVERGÊNCIA",IF(COUNTIF(RATEIOS!$A$2:$A$3142,$A1092)-COUNTIFS(RATEIOS!$A$2:$A$3142,$A1092,RATEIOS!$D$2:$D$3142,"&lt;&gt;")&gt;0,"NÃO CLASSIFICADO","RATEIO OK"))))</f>
        <v/>
      </c>
      <c r="R1092" s="49"/>
      <c r="S1092" s="14"/>
    </row>
    <row r="1093" spans="1:19" ht="24.95" customHeight="1" x14ac:dyDescent="0.25">
      <c r="A1093" s="49" t="s">
        <v>3174</v>
      </c>
      <c r="B1093" s="98">
        <v>1092</v>
      </c>
      <c r="C1093" s="50"/>
      <c r="D1093" s="49" t="str">
        <f t="shared" si="35"/>
        <v/>
      </c>
      <c r="E1093" s="92"/>
      <c r="F1093" s="49"/>
      <c r="G1093" s="14"/>
      <c r="H1093" s="14"/>
      <c r="I1093" s="76"/>
      <c r="J1093" s="73"/>
      <c r="K1093" s="74"/>
      <c r="L1093" s="72"/>
      <c r="M1093" s="72"/>
      <c r="N1093" s="72" t="str">
        <f>IF(AND(C1093="",J1093=0,K1093=0,L1093=0,M1093=0),"",CADASTROS!$B$4+SUM($J$2:J1093)+SUM($M$2:M1093)-SUM($K$2:K1093)-SUM($L$2:L1093))</f>
        <v/>
      </c>
      <c r="O1093" s="72">
        <f>IF(A1093="","",SUMIF(RATEIOS!$A$2:$A$3142,$A1093,RATEIOS!$F$2:$F$3142))</f>
        <v>0</v>
      </c>
      <c r="P1093" s="15">
        <f t="shared" si="36"/>
        <v>0</v>
      </c>
      <c r="Q1093" s="49" t="str">
        <f>IF(AND(J1093=0,K1093=0,L1093=0,M1093=0),"",IF(O1093=0,"PENDENTE DE RATEIO",IF(ABS(P1093)&gt;0.005,"DIVERGÊNCIA",IF(COUNTIF(RATEIOS!$A$2:$A$3142,$A1093)-COUNTIFS(RATEIOS!$A$2:$A$3142,$A1093,RATEIOS!$D$2:$D$3142,"&lt;&gt;")&gt;0,"NÃO CLASSIFICADO","RATEIO OK"))))</f>
        <v/>
      </c>
      <c r="R1093" s="49"/>
      <c r="S1093" s="14"/>
    </row>
    <row r="1094" spans="1:19" ht="24.95" customHeight="1" x14ac:dyDescent="0.25">
      <c r="A1094" s="49" t="s">
        <v>3175</v>
      </c>
      <c r="B1094" s="98">
        <v>1093</v>
      </c>
      <c r="C1094" s="50"/>
      <c r="D1094" s="49" t="str">
        <f t="shared" si="35"/>
        <v/>
      </c>
      <c r="E1094" s="92"/>
      <c r="F1094" s="49"/>
      <c r="G1094" s="14"/>
      <c r="H1094" s="14"/>
      <c r="I1094" s="76"/>
      <c r="J1094" s="73"/>
      <c r="K1094" s="74"/>
      <c r="L1094" s="72"/>
      <c r="M1094" s="72"/>
      <c r="N1094" s="72" t="str">
        <f>IF(AND(C1094="",J1094=0,K1094=0,L1094=0,M1094=0),"",CADASTROS!$B$4+SUM($J$2:J1094)+SUM($M$2:M1094)-SUM($K$2:K1094)-SUM($L$2:L1094))</f>
        <v/>
      </c>
      <c r="O1094" s="72">
        <f>IF(A1094="","",SUMIF(RATEIOS!$A$2:$A$3142,$A1094,RATEIOS!$F$2:$F$3142))</f>
        <v>0</v>
      </c>
      <c r="P1094" s="15">
        <f t="shared" si="36"/>
        <v>0</v>
      </c>
      <c r="Q1094" s="49" t="str">
        <f>IF(AND(J1094=0,K1094=0,L1094=0,M1094=0),"",IF(O1094=0,"PENDENTE DE RATEIO",IF(ABS(P1094)&gt;0.005,"DIVERGÊNCIA",IF(COUNTIF(RATEIOS!$A$2:$A$3142,$A1094)-COUNTIFS(RATEIOS!$A$2:$A$3142,$A1094,RATEIOS!$D$2:$D$3142,"&lt;&gt;")&gt;0,"NÃO CLASSIFICADO","RATEIO OK"))))</f>
        <v/>
      </c>
      <c r="R1094" s="49"/>
      <c r="S1094" s="14"/>
    </row>
    <row r="1095" spans="1:19" ht="24.95" customHeight="1" x14ac:dyDescent="0.25">
      <c r="A1095" s="49" t="s">
        <v>3176</v>
      </c>
      <c r="B1095" s="98">
        <v>1094</v>
      </c>
      <c r="C1095" s="50"/>
      <c r="D1095" s="49" t="str">
        <f t="shared" si="35"/>
        <v/>
      </c>
      <c r="E1095" s="92"/>
      <c r="F1095" s="49"/>
      <c r="G1095" s="14"/>
      <c r="H1095" s="14"/>
      <c r="I1095" s="76"/>
      <c r="J1095" s="73"/>
      <c r="K1095" s="74"/>
      <c r="L1095" s="72"/>
      <c r="M1095" s="72"/>
      <c r="N1095" s="72" t="str">
        <f>IF(AND(C1095="",J1095=0,K1095=0,L1095=0,M1095=0),"",CADASTROS!$B$4+SUM($J$2:J1095)+SUM($M$2:M1095)-SUM($K$2:K1095)-SUM($L$2:L1095))</f>
        <v/>
      </c>
      <c r="O1095" s="72">
        <f>IF(A1095="","",SUMIF(RATEIOS!$A$2:$A$3142,$A1095,RATEIOS!$F$2:$F$3142))</f>
        <v>0</v>
      </c>
      <c r="P1095" s="15">
        <f t="shared" si="36"/>
        <v>0</v>
      </c>
      <c r="Q1095" s="49" t="str">
        <f>IF(AND(J1095=0,K1095=0,L1095=0,M1095=0),"",IF(O1095=0,"PENDENTE DE RATEIO",IF(ABS(P1095)&gt;0.005,"DIVERGÊNCIA",IF(COUNTIF(RATEIOS!$A$2:$A$3142,$A1095)-COUNTIFS(RATEIOS!$A$2:$A$3142,$A1095,RATEIOS!$D$2:$D$3142,"&lt;&gt;")&gt;0,"NÃO CLASSIFICADO","RATEIO OK"))))</f>
        <v/>
      </c>
      <c r="R1095" s="49"/>
      <c r="S1095" s="14"/>
    </row>
    <row r="1096" spans="1:19" ht="24.95" customHeight="1" x14ac:dyDescent="0.25">
      <c r="A1096" s="49" t="s">
        <v>3177</v>
      </c>
      <c r="B1096" s="98">
        <v>1095</v>
      </c>
      <c r="C1096" s="50"/>
      <c r="D1096" s="49" t="str">
        <f t="shared" si="35"/>
        <v/>
      </c>
      <c r="E1096" s="92"/>
      <c r="F1096" s="49"/>
      <c r="G1096" s="14"/>
      <c r="H1096" s="14"/>
      <c r="I1096" s="76"/>
      <c r="J1096" s="73"/>
      <c r="K1096" s="74"/>
      <c r="L1096" s="72"/>
      <c r="M1096" s="72"/>
      <c r="N1096" s="72" t="str">
        <f>IF(AND(C1096="",J1096=0,K1096=0,L1096=0,M1096=0),"",CADASTROS!$B$4+SUM($J$2:J1096)+SUM($M$2:M1096)-SUM($K$2:K1096)-SUM($L$2:L1096))</f>
        <v/>
      </c>
      <c r="O1096" s="72">
        <f>IF(A1096="","",SUMIF(RATEIOS!$A$2:$A$3142,$A1096,RATEIOS!$F$2:$F$3142))</f>
        <v>0</v>
      </c>
      <c r="P1096" s="15">
        <f t="shared" si="36"/>
        <v>0</v>
      </c>
      <c r="Q1096" s="49" t="str">
        <f>IF(AND(J1096=0,K1096=0,L1096=0,M1096=0),"",IF(O1096=0,"PENDENTE DE RATEIO",IF(ABS(P1096)&gt;0.005,"DIVERGÊNCIA",IF(COUNTIF(RATEIOS!$A$2:$A$3142,$A1096)-COUNTIFS(RATEIOS!$A$2:$A$3142,$A1096,RATEIOS!$D$2:$D$3142,"&lt;&gt;")&gt;0,"NÃO CLASSIFICADO","RATEIO OK"))))</f>
        <v/>
      </c>
      <c r="R1096" s="49"/>
      <c r="S1096" s="14"/>
    </row>
    <row r="1097" spans="1:19" ht="24.95" customHeight="1" x14ac:dyDescent="0.25">
      <c r="A1097" s="49" t="s">
        <v>3178</v>
      </c>
      <c r="B1097" s="98">
        <v>1096</v>
      </c>
      <c r="C1097" s="50"/>
      <c r="D1097" s="49" t="str">
        <f t="shared" si="35"/>
        <v/>
      </c>
      <c r="E1097" s="92"/>
      <c r="F1097" s="49"/>
      <c r="G1097" s="14"/>
      <c r="H1097" s="14"/>
      <c r="I1097" s="76"/>
      <c r="J1097" s="73"/>
      <c r="K1097" s="74"/>
      <c r="L1097" s="72"/>
      <c r="M1097" s="72"/>
      <c r="N1097" s="72" t="str">
        <f>IF(AND(C1097="",J1097=0,K1097=0,L1097=0,M1097=0),"",CADASTROS!$B$4+SUM($J$2:J1097)+SUM($M$2:M1097)-SUM($K$2:K1097)-SUM($L$2:L1097))</f>
        <v/>
      </c>
      <c r="O1097" s="72">
        <f>IF(A1097="","",SUMIF(RATEIOS!$A$2:$A$3142,$A1097,RATEIOS!$F$2:$F$3142))</f>
        <v>0</v>
      </c>
      <c r="P1097" s="15">
        <f t="shared" si="36"/>
        <v>0</v>
      </c>
      <c r="Q1097" s="49" t="str">
        <f>IF(AND(J1097=0,K1097=0,L1097=0,M1097=0),"",IF(O1097=0,"PENDENTE DE RATEIO",IF(ABS(P1097)&gt;0.005,"DIVERGÊNCIA",IF(COUNTIF(RATEIOS!$A$2:$A$3142,$A1097)-COUNTIFS(RATEIOS!$A$2:$A$3142,$A1097,RATEIOS!$D$2:$D$3142,"&lt;&gt;")&gt;0,"NÃO CLASSIFICADO","RATEIO OK"))))</f>
        <v/>
      </c>
      <c r="R1097" s="49"/>
      <c r="S1097" s="14"/>
    </row>
    <row r="1098" spans="1:19" ht="24.95" customHeight="1" x14ac:dyDescent="0.25">
      <c r="A1098" s="49" t="s">
        <v>3179</v>
      </c>
      <c r="B1098" s="98">
        <v>1097</v>
      </c>
      <c r="C1098" s="50"/>
      <c r="D1098" s="49" t="str">
        <f t="shared" si="35"/>
        <v/>
      </c>
      <c r="E1098" s="92"/>
      <c r="F1098" s="49"/>
      <c r="G1098" s="14"/>
      <c r="H1098" s="14"/>
      <c r="I1098" s="76"/>
      <c r="J1098" s="73"/>
      <c r="K1098" s="74"/>
      <c r="L1098" s="72"/>
      <c r="M1098" s="72"/>
      <c r="N1098" s="72" t="str">
        <f>IF(AND(C1098="",J1098=0,K1098=0,L1098=0,M1098=0),"",CADASTROS!$B$4+SUM($J$2:J1098)+SUM($M$2:M1098)-SUM($K$2:K1098)-SUM($L$2:L1098))</f>
        <v/>
      </c>
      <c r="O1098" s="72">
        <f>IF(A1098="","",SUMIF(RATEIOS!$A$2:$A$3142,$A1098,RATEIOS!$F$2:$F$3142))</f>
        <v>0</v>
      </c>
      <c r="P1098" s="15">
        <f t="shared" si="36"/>
        <v>0</v>
      </c>
      <c r="Q1098" s="49" t="str">
        <f>IF(AND(J1098=0,K1098=0,L1098=0,M1098=0),"",IF(O1098=0,"PENDENTE DE RATEIO",IF(ABS(P1098)&gt;0.005,"DIVERGÊNCIA",IF(COUNTIF(RATEIOS!$A$2:$A$3142,$A1098)-COUNTIFS(RATEIOS!$A$2:$A$3142,$A1098,RATEIOS!$D$2:$D$3142,"&lt;&gt;")&gt;0,"NÃO CLASSIFICADO","RATEIO OK"))))</f>
        <v/>
      </c>
      <c r="R1098" s="49"/>
      <c r="S1098" s="14"/>
    </row>
    <row r="1099" spans="1:19" ht="24.95" customHeight="1" x14ac:dyDescent="0.25">
      <c r="A1099" s="49" t="s">
        <v>3180</v>
      </c>
      <c r="B1099" s="98">
        <v>1098</v>
      </c>
      <c r="C1099" s="50"/>
      <c r="D1099" s="49" t="str">
        <f t="shared" si="35"/>
        <v/>
      </c>
      <c r="E1099" s="92"/>
      <c r="F1099" s="49"/>
      <c r="G1099" s="14"/>
      <c r="H1099" s="14"/>
      <c r="I1099" s="76"/>
      <c r="J1099" s="73"/>
      <c r="K1099" s="74"/>
      <c r="L1099" s="72"/>
      <c r="M1099" s="72"/>
      <c r="N1099" s="72" t="str">
        <f>IF(AND(C1099="",J1099=0,K1099=0,L1099=0,M1099=0),"",CADASTROS!$B$4+SUM($J$2:J1099)+SUM($M$2:M1099)-SUM($K$2:K1099)-SUM($L$2:L1099))</f>
        <v/>
      </c>
      <c r="O1099" s="72">
        <f>IF(A1099="","",SUMIF(RATEIOS!$A$2:$A$3142,$A1099,RATEIOS!$F$2:$F$3142))</f>
        <v>0</v>
      </c>
      <c r="P1099" s="15">
        <f t="shared" si="36"/>
        <v>0</v>
      </c>
      <c r="Q1099" s="49" t="str">
        <f>IF(AND(J1099=0,K1099=0,L1099=0,M1099=0),"",IF(O1099=0,"PENDENTE DE RATEIO",IF(ABS(P1099)&gt;0.005,"DIVERGÊNCIA",IF(COUNTIF(RATEIOS!$A$2:$A$3142,$A1099)-COUNTIFS(RATEIOS!$A$2:$A$3142,$A1099,RATEIOS!$D$2:$D$3142,"&lt;&gt;")&gt;0,"NÃO CLASSIFICADO","RATEIO OK"))))</f>
        <v/>
      </c>
      <c r="R1099" s="49"/>
      <c r="S1099" s="14"/>
    </row>
    <row r="1100" spans="1:19" ht="24.95" customHeight="1" x14ac:dyDescent="0.25">
      <c r="A1100" s="49" t="s">
        <v>3181</v>
      </c>
      <c r="B1100" s="98">
        <v>1099</v>
      </c>
      <c r="C1100" s="50"/>
      <c r="D1100" s="49" t="str">
        <f t="shared" si="35"/>
        <v/>
      </c>
      <c r="E1100" s="92"/>
      <c r="F1100" s="49"/>
      <c r="G1100" s="14"/>
      <c r="H1100" s="14"/>
      <c r="I1100" s="76"/>
      <c r="J1100" s="73"/>
      <c r="K1100" s="74"/>
      <c r="L1100" s="72"/>
      <c r="M1100" s="72"/>
      <c r="N1100" s="72" t="str">
        <f>IF(AND(C1100="",J1100=0,K1100=0,L1100=0,M1100=0),"",CADASTROS!$B$4+SUM($J$2:J1100)+SUM($M$2:M1100)-SUM($K$2:K1100)-SUM($L$2:L1100))</f>
        <v/>
      </c>
      <c r="O1100" s="72">
        <f>IF(A1100="","",SUMIF(RATEIOS!$A$2:$A$3142,$A1100,RATEIOS!$F$2:$F$3142))</f>
        <v>0</v>
      </c>
      <c r="P1100" s="15">
        <f t="shared" si="36"/>
        <v>0</v>
      </c>
      <c r="Q1100" s="49" t="str">
        <f>IF(AND(J1100=0,K1100=0,L1100=0,M1100=0),"",IF(O1100=0,"PENDENTE DE RATEIO",IF(ABS(P1100)&gt;0.005,"DIVERGÊNCIA",IF(COUNTIF(RATEIOS!$A$2:$A$3142,$A1100)-COUNTIFS(RATEIOS!$A$2:$A$3142,$A1100,RATEIOS!$D$2:$D$3142,"&lt;&gt;")&gt;0,"NÃO CLASSIFICADO","RATEIO OK"))))</f>
        <v/>
      </c>
      <c r="R1100" s="49"/>
      <c r="S1100" s="14"/>
    </row>
    <row r="1101" spans="1:19" ht="24.95" customHeight="1" x14ac:dyDescent="0.25">
      <c r="A1101" s="49" t="s">
        <v>3182</v>
      </c>
      <c r="B1101" s="98">
        <v>1100</v>
      </c>
      <c r="C1101" s="50"/>
      <c r="D1101" s="49" t="str">
        <f t="shared" si="35"/>
        <v/>
      </c>
      <c r="E1101" s="92"/>
      <c r="F1101" s="49"/>
      <c r="G1101" s="14"/>
      <c r="H1101" s="14"/>
      <c r="I1101" s="76"/>
      <c r="J1101" s="73"/>
      <c r="K1101" s="74"/>
      <c r="L1101" s="72"/>
      <c r="M1101" s="72"/>
      <c r="N1101" s="72" t="str">
        <f>IF(AND(C1101="",J1101=0,K1101=0,L1101=0,M1101=0),"",CADASTROS!$B$4+SUM($J$2:J1101)+SUM($M$2:M1101)-SUM($K$2:K1101)-SUM($L$2:L1101))</f>
        <v/>
      </c>
      <c r="O1101" s="72">
        <f>IF(A1101="","",SUMIF(RATEIOS!$A$2:$A$3142,$A1101,RATEIOS!$F$2:$F$3142))</f>
        <v>0</v>
      </c>
      <c r="P1101" s="15">
        <f t="shared" si="36"/>
        <v>0</v>
      </c>
      <c r="Q1101" s="49" t="str">
        <f>IF(AND(J1101=0,K1101=0,L1101=0,M1101=0),"",IF(O1101=0,"PENDENTE DE RATEIO",IF(ABS(P1101)&gt;0.005,"DIVERGÊNCIA",IF(COUNTIF(RATEIOS!$A$2:$A$3142,$A1101)-COUNTIFS(RATEIOS!$A$2:$A$3142,$A1101,RATEIOS!$D$2:$D$3142,"&lt;&gt;")&gt;0,"NÃO CLASSIFICADO","RATEIO OK"))))</f>
        <v/>
      </c>
      <c r="R1101" s="49"/>
      <c r="S1101" s="14"/>
    </row>
    <row r="1102" spans="1:19" ht="24.95" customHeight="1" x14ac:dyDescent="0.25">
      <c r="A1102" s="49" t="str">
        <f>IF(C1102="","","BAN-01101")</f>
        <v/>
      </c>
      <c r="B1102" s="98" t="str">
        <f>IF(C1102="","",1101)</f>
        <v/>
      </c>
      <c r="C1102" s="50"/>
      <c r="D1102" s="49" t="str">
        <f t="shared" si="35"/>
        <v/>
      </c>
      <c r="E1102" s="92"/>
      <c r="F1102" s="49"/>
      <c r="G1102" s="14"/>
      <c r="H1102" s="14"/>
      <c r="I1102" s="76"/>
      <c r="J1102" s="73"/>
      <c r="K1102" s="74"/>
      <c r="L1102" s="72"/>
      <c r="M1102" s="72"/>
      <c r="N1102" s="72" t="str">
        <f>IF(AND(C1102="",J1102=0,K1102=0,L1102=0,M1102=0),"",CADASTROS!$B$4+SUM($J$2:J1102)+SUM($M$2:M1102)-SUM($K$2:K1102)-SUM($L$2:L1102))</f>
        <v/>
      </c>
      <c r="O1102" s="72" t="str">
        <f>IF(A1102="","",SUMIF(RATEIOS!$A$2:$A$3142,$A1102,RATEIOS!$F$2:$F$3142))</f>
        <v/>
      </c>
      <c r="P1102" s="15" t="str">
        <f t="shared" si="36"/>
        <v/>
      </c>
      <c r="Q1102" s="49" t="str">
        <f>IF(AND(J1102=0,K1102=0,L1102=0,M1102=0),"",IF(O1102=0,"PENDENTE DE RATEIO",IF(ABS(P1102)&gt;0.005,"DIVERGÊNCIA",IF(COUNTIF(RATEIOS!$A$2:$A$3142,$A1102)-COUNTIFS(RATEIOS!$A$2:$A$3142,$A1102,RATEIOS!$D$2:$D$3142,"&lt;&gt;")&gt;0,"NÃO CLASSIFICADO","RATEIO OK"))))</f>
        <v/>
      </c>
      <c r="R1102" s="49"/>
      <c r="S1102" s="14"/>
    </row>
    <row r="1103" spans="1:19" ht="24.95" customHeight="1" x14ac:dyDescent="0.25">
      <c r="A1103" s="49" t="str">
        <f>IF(C1103="","","BAN-01102")</f>
        <v/>
      </c>
      <c r="B1103" s="98" t="str">
        <f>IF(C1103="","",1102)</f>
        <v/>
      </c>
      <c r="C1103" s="50"/>
      <c r="D1103" s="49" t="str">
        <f t="shared" si="35"/>
        <v/>
      </c>
      <c r="E1103" s="92"/>
      <c r="F1103" s="49"/>
      <c r="G1103" s="14"/>
      <c r="H1103" s="14"/>
      <c r="I1103" s="76"/>
      <c r="J1103" s="73"/>
      <c r="K1103" s="74"/>
      <c r="L1103" s="72"/>
      <c r="M1103" s="72"/>
      <c r="N1103" s="72" t="str">
        <f>IF(AND(C1103="",J1103=0,K1103=0,L1103=0,M1103=0),"",CADASTROS!$B$4+SUM($J$2:J1103)+SUM($M$2:M1103)-SUM($K$2:K1103)-SUM($L$2:L1103))</f>
        <v/>
      </c>
      <c r="O1103" s="72" t="str">
        <f>IF(A1103="","",SUMIF(RATEIOS!$A$2:$A$3142,$A1103,RATEIOS!$F$2:$F$3142))</f>
        <v/>
      </c>
      <c r="P1103" s="15" t="str">
        <f t="shared" si="36"/>
        <v/>
      </c>
      <c r="Q1103" s="49" t="str">
        <f>IF(AND(J1103=0,K1103=0,L1103=0,M1103=0),"",IF(O1103=0,"PENDENTE DE RATEIO",IF(ABS(P1103)&gt;0.005,"DIVERGÊNCIA",IF(COUNTIF(RATEIOS!$A$2:$A$3142,$A1103)-COUNTIFS(RATEIOS!$A$2:$A$3142,$A1103,RATEIOS!$D$2:$D$3142,"&lt;&gt;")&gt;0,"NÃO CLASSIFICADO","RATEIO OK"))))</f>
        <v/>
      </c>
      <c r="R1103" s="49"/>
      <c r="S1103" s="14"/>
    </row>
    <row r="1104" spans="1:19" ht="24.95" customHeight="1" x14ac:dyDescent="0.25">
      <c r="A1104" s="49" t="str">
        <f>IF(C1104="","","BAN-01103")</f>
        <v/>
      </c>
      <c r="B1104" s="98" t="str">
        <f>IF(C1104="","",1103)</f>
        <v/>
      </c>
      <c r="C1104" s="50"/>
      <c r="D1104" s="49" t="str">
        <f t="shared" si="35"/>
        <v/>
      </c>
      <c r="E1104" s="92"/>
      <c r="F1104" s="49"/>
      <c r="G1104" s="14"/>
      <c r="H1104" s="14"/>
      <c r="I1104" s="76"/>
      <c r="J1104" s="73"/>
      <c r="K1104" s="74"/>
      <c r="L1104" s="72"/>
      <c r="M1104" s="72"/>
      <c r="N1104" s="72" t="str">
        <f>IF(AND(C1104="",J1104=0,K1104=0,L1104=0,M1104=0),"",CADASTROS!$B$4+SUM($J$2:J1104)+SUM($M$2:M1104)-SUM($K$2:K1104)-SUM($L$2:L1104))</f>
        <v/>
      </c>
      <c r="O1104" s="72" t="str">
        <f>IF(A1104="","",SUMIF(RATEIOS!$A$2:$A$3142,$A1104,RATEIOS!$F$2:$F$3142))</f>
        <v/>
      </c>
      <c r="P1104" s="15" t="str">
        <f t="shared" si="36"/>
        <v/>
      </c>
      <c r="Q1104" s="49" t="str">
        <f>IF(AND(J1104=0,K1104=0,L1104=0,M1104=0),"",IF(O1104=0,"PENDENTE DE RATEIO",IF(ABS(P1104)&gt;0.005,"DIVERGÊNCIA",IF(COUNTIF(RATEIOS!$A$2:$A$3142,$A1104)-COUNTIFS(RATEIOS!$A$2:$A$3142,$A1104,RATEIOS!$D$2:$D$3142,"&lt;&gt;")&gt;0,"NÃO CLASSIFICADO","RATEIO OK"))))</f>
        <v/>
      </c>
      <c r="R1104" s="49"/>
      <c r="S1104" s="14"/>
    </row>
    <row r="1105" spans="1:19" ht="24.95" customHeight="1" x14ac:dyDescent="0.25">
      <c r="A1105" s="49" t="str">
        <f>IF(C1105="","","BAN-01104")</f>
        <v/>
      </c>
      <c r="B1105" s="98" t="str">
        <f>IF(C1105="","",1104)</f>
        <v/>
      </c>
      <c r="C1105" s="50"/>
      <c r="D1105" s="49" t="str">
        <f t="shared" si="35"/>
        <v/>
      </c>
      <c r="E1105" s="92"/>
      <c r="F1105" s="49"/>
      <c r="G1105" s="14"/>
      <c r="H1105" s="14"/>
      <c r="I1105" s="76"/>
      <c r="J1105" s="73"/>
      <c r="K1105" s="74"/>
      <c r="L1105" s="72"/>
      <c r="M1105" s="72"/>
      <c r="N1105" s="72" t="str">
        <f>IF(AND(C1105="",J1105=0,K1105=0,L1105=0,M1105=0),"",CADASTROS!$B$4+SUM($J$2:J1105)+SUM($M$2:M1105)-SUM($K$2:K1105)-SUM($L$2:L1105))</f>
        <v/>
      </c>
      <c r="O1105" s="72" t="str">
        <f>IF(A1105="","",SUMIF(RATEIOS!$A$2:$A$3142,$A1105,RATEIOS!$F$2:$F$3142))</f>
        <v/>
      </c>
      <c r="P1105" s="15" t="str">
        <f t="shared" si="36"/>
        <v/>
      </c>
      <c r="Q1105" s="49" t="str">
        <f>IF(AND(J1105=0,K1105=0,L1105=0,M1105=0),"",IF(O1105=0,"PENDENTE DE RATEIO",IF(ABS(P1105)&gt;0.005,"DIVERGÊNCIA",IF(COUNTIF(RATEIOS!$A$2:$A$3142,$A1105)-COUNTIFS(RATEIOS!$A$2:$A$3142,$A1105,RATEIOS!$D$2:$D$3142,"&lt;&gt;")&gt;0,"NÃO CLASSIFICADO","RATEIO OK"))))</f>
        <v/>
      </c>
      <c r="R1105" s="49"/>
      <c r="S1105" s="14"/>
    </row>
    <row r="1106" spans="1:19" ht="24.95" customHeight="1" x14ac:dyDescent="0.25">
      <c r="A1106" s="49" t="str">
        <f>IF(C1106="","","BAN-01105")</f>
        <v/>
      </c>
      <c r="B1106" s="98" t="str">
        <f>IF(C1106="","",1105)</f>
        <v/>
      </c>
      <c r="C1106" s="50"/>
      <c r="D1106" s="49" t="str">
        <f t="shared" si="35"/>
        <v/>
      </c>
      <c r="E1106" s="92"/>
      <c r="F1106" s="49"/>
      <c r="G1106" s="14"/>
      <c r="H1106" s="14"/>
      <c r="I1106" s="76"/>
      <c r="J1106" s="73"/>
      <c r="K1106" s="74"/>
      <c r="L1106" s="72"/>
      <c r="M1106" s="72"/>
      <c r="N1106" s="72" t="str">
        <f>IF(AND(C1106="",J1106=0,K1106=0,L1106=0,M1106=0),"",CADASTROS!$B$4+SUM($J$2:J1106)+SUM($M$2:M1106)-SUM($K$2:K1106)-SUM($L$2:L1106))</f>
        <v/>
      </c>
      <c r="O1106" s="72" t="str">
        <f>IF(A1106="","",SUMIF(RATEIOS!$A$2:$A$3142,$A1106,RATEIOS!$F$2:$F$3142))</f>
        <v/>
      </c>
      <c r="P1106" s="15" t="str">
        <f t="shared" si="36"/>
        <v/>
      </c>
      <c r="Q1106" s="49" t="str">
        <f>IF(AND(J1106=0,K1106=0,L1106=0,M1106=0),"",IF(O1106=0,"PENDENTE DE RATEIO",IF(ABS(P1106)&gt;0.005,"DIVERGÊNCIA",IF(COUNTIF(RATEIOS!$A$2:$A$3142,$A1106)-COUNTIFS(RATEIOS!$A$2:$A$3142,$A1106,RATEIOS!$D$2:$D$3142,"&lt;&gt;")&gt;0,"NÃO CLASSIFICADO","RATEIO OK"))))</f>
        <v/>
      </c>
      <c r="R1106" s="49"/>
      <c r="S1106" s="14"/>
    </row>
    <row r="1107" spans="1:19" ht="24.95" customHeight="1" x14ac:dyDescent="0.25">
      <c r="A1107" s="49" t="str">
        <f>IF(C1107="","","BAN-01106")</f>
        <v/>
      </c>
      <c r="B1107" s="98" t="str">
        <f>IF(C1107="","",1106)</f>
        <v/>
      </c>
      <c r="C1107" s="50"/>
      <c r="D1107" s="49" t="str">
        <f t="shared" si="35"/>
        <v/>
      </c>
      <c r="E1107" s="92"/>
      <c r="F1107" s="49"/>
      <c r="G1107" s="14"/>
      <c r="H1107" s="14"/>
      <c r="I1107" s="76"/>
      <c r="J1107" s="73"/>
      <c r="K1107" s="74"/>
      <c r="L1107" s="72"/>
      <c r="M1107" s="72"/>
      <c r="N1107" s="72" t="str">
        <f>IF(AND(C1107="",J1107=0,K1107=0,L1107=0,M1107=0),"",CADASTROS!$B$4+SUM($J$2:J1107)+SUM($M$2:M1107)-SUM($K$2:K1107)-SUM($L$2:L1107))</f>
        <v/>
      </c>
      <c r="O1107" s="72" t="str">
        <f>IF(A1107="","",SUMIF(RATEIOS!$A$2:$A$3142,$A1107,RATEIOS!$F$2:$F$3142))</f>
        <v/>
      </c>
      <c r="P1107" s="15" t="str">
        <f t="shared" si="36"/>
        <v/>
      </c>
      <c r="Q1107" s="49" t="str">
        <f>IF(AND(J1107=0,K1107=0,L1107=0,M1107=0),"",IF(O1107=0,"PENDENTE DE RATEIO",IF(ABS(P1107)&gt;0.005,"DIVERGÊNCIA",IF(COUNTIF(RATEIOS!$A$2:$A$3142,$A1107)-COUNTIFS(RATEIOS!$A$2:$A$3142,$A1107,RATEIOS!$D$2:$D$3142,"&lt;&gt;")&gt;0,"NÃO CLASSIFICADO","RATEIO OK"))))</f>
        <v/>
      </c>
      <c r="R1107" s="49"/>
      <c r="S1107" s="14"/>
    </row>
    <row r="1108" spans="1:19" ht="24.95" customHeight="1" x14ac:dyDescent="0.25">
      <c r="A1108" s="49" t="str">
        <f>IF(C1108="","","BAN-01107")</f>
        <v/>
      </c>
      <c r="B1108" s="98" t="str">
        <f>IF(C1108="","",1107)</f>
        <v/>
      </c>
      <c r="C1108" s="50"/>
      <c r="D1108" s="49" t="str">
        <f t="shared" si="35"/>
        <v/>
      </c>
      <c r="E1108" s="92"/>
      <c r="F1108" s="49"/>
      <c r="G1108" s="14"/>
      <c r="H1108" s="14"/>
      <c r="I1108" s="76"/>
      <c r="J1108" s="73"/>
      <c r="K1108" s="74"/>
      <c r="L1108" s="72"/>
      <c r="M1108" s="72"/>
      <c r="N1108" s="72" t="str">
        <f>IF(AND(C1108="",J1108=0,K1108=0,L1108=0,M1108=0),"",CADASTROS!$B$4+SUM($J$2:J1108)+SUM($M$2:M1108)-SUM($K$2:K1108)-SUM($L$2:L1108))</f>
        <v/>
      </c>
      <c r="O1108" s="72" t="str">
        <f>IF(A1108="","",SUMIF(RATEIOS!$A$2:$A$3142,$A1108,RATEIOS!$F$2:$F$3142))</f>
        <v/>
      </c>
      <c r="P1108" s="15" t="str">
        <f t="shared" si="36"/>
        <v/>
      </c>
      <c r="Q1108" s="49" t="str">
        <f>IF(AND(J1108=0,K1108=0,L1108=0,M1108=0),"",IF(O1108=0,"PENDENTE DE RATEIO",IF(ABS(P1108)&gt;0.005,"DIVERGÊNCIA",IF(COUNTIF(RATEIOS!$A$2:$A$3142,$A1108)-COUNTIFS(RATEIOS!$A$2:$A$3142,$A1108,RATEIOS!$D$2:$D$3142,"&lt;&gt;")&gt;0,"NÃO CLASSIFICADO","RATEIO OK"))))</f>
        <v/>
      </c>
      <c r="R1108" s="49"/>
      <c r="S1108" s="14"/>
    </row>
    <row r="1109" spans="1:19" ht="24.95" customHeight="1" x14ac:dyDescent="0.25">
      <c r="A1109" s="49" t="str">
        <f>IF(C1109="","","BAN-01108")</f>
        <v/>
      </c>
      <c r="B1109" s="98" t="str">
        <f>IF(C1109="","",1108)</f>
        <v/>
      </c>
      <c r="C1109" s="50"/>
      <c r="D1109" s="49" t="str">
        <f t="shared" si="35"/>
        <v/>
      </c>
      <c r="E1109" s="92"/>
      <c r="F1109" s="49"/>
      <c r="G1109" s="14"/>
      <c r="H1109" s="14"/>
      <c r="I1109" s="76"/>
      <c r="J1109" s="73"/>
      <c r="K1109" s="74"/>
      <c r="L1109" s="72"/>
      <c r="M1109" s="72"/>
      <c r="N1109" s="72" t="str">
        <f>IF(AND(C1109="",J1109=0,K1109=0,L1109=0,M1109=0),"",CADASTROS!$B$4+SUM($J$2:J1109)+SUM($M$2:M1109)-SUM($K$2:K1109)-SUM($L$2:L1109))</f>
        <v/>
      </c>
      <c r="O1109" s="72" t="str">
        <f>IF(A1109="","",SUMIF(RATEIOS!$A$2:$A$3142,$A1109,RATEIOS!$F$2:$F$3142))</f>
        <v/>
      </c>
      <c r="P1109" s="15" t="str">
        <f t="shared" si="36"/>
        <v/>
      </c>
      <c r="Q1109" s="49" t="str">
        <f>IF(AND(J1109=0,K1109=0,L1109=0,M1109=0),"",IF(O1109=0,"PENDENTE DE RATEIO",IF(ABS(P1109)&gt;0.005,"DIVERGÊNCIA",IF(COUNTIF(RATEIOS!$A$2:$A$3142,$A1109)-COUNTIFS(RATEIOS!$A$2:$A$3142,$A1109,RATEIOS!$D$2:$D$3142,"&lt;&gt;")&gt;0,"NÃO CLASSIFICADO","RATEIO OK"))))</f>
        <v/>
      </c>
      <c r="R1109" s="49"/>
      <c r="S1109" s="14"/>
    </row>
    <row r="1110" spans="1:19" ht="24.95" customHeight="1" x14ac:dyDescent="0.25">
      <c r="A1110" s="49" t="str">
        <f>IF(C1110="","","BAN-01109")</f>
        <v/>
      </c>
      <c r="B1110" s="98" t="str">
        <f>IF(C1110="","",1109)</f>
        <v/>
      </c>
      <c r="C1110" s="50"/>
      <c r="D1110" s="49" t="str">
        <f t="shared" si="35"/>
        <v/>
      </c>
      <c r="E1110" s="92"/>
      <c r="F1110" s="49"/>
      <c r="G1110" s="14"/>
      <c r="H1110" s="14"/>
      <c r="I1110" s="76"/>
      <c r="J1110" s="73"/>
      <c r="K1110" s="74"/>
      <c r="L1110" s="72"/>
      <c r="M1110" s="72"/>
      <c r="N1110" s="72" t="str">
        <f>IF(AND(C1110="",J1110=0,K1110=0,L1110=0,M1110=0),"",CADASTROS!$B$4+SUM($J$2:J1110)+SUM($M$2:M1110)-SUM($K$2:K1110)-SUM($L$2:L1110))</f>
        <v/>
      </c>
      <c r="O1110" s="72" t="str">
        <f>IF(A1110="","",SUMIF(RATEIOS!$A$2:$A$3142,$A1110,RATEIOS!$F$2:$F$3142))</f>
        <v/>
      </c>
      <c r="P1110" s="15" t="str">
        <f t="shared" si="36"/>
        <v/>
      </c>
      <c r="Q1110" s="49" t="str">
        <f>IF(AND(J1110=0,K1110=0,L1110=0,M1110=0),"",IF(O1110=0,"PENDENTE DE RATEIO",IF(ABS(P1110)&gt;0.005,"DIVERGÊNCIA",IF(COUNTIF(RATEIOS!$A$2:$A$3142,$A1110)-COUNTIFS(RATEIOS!$A$2:$A$3142,$A1110,RATEIOS!$D$2:$D$3142,"&lt;&gt;")&gt;0,"NÃO CLASSIFICADO","RATEIO OK"))))</f>
        <v/>
      </c>
      <c r="R1110" s="49"/>
      <c r="S1110" s="14"/>
    </row>
    <row r="1111" spans="1:19" ht="24.95" customHeight="1" x14ac:dyDescent="0.25">
      <c r="A1111" s="49" t="str">
        <f>IF(C1111="","","BAN-01110")</f>
        <v/>
      </c>
      <c r="B1111" s="98" t="str">
        <f>IF(C1111="","",1110)</f>
        <v/>
      </c>
      <c r="C1111" s="50"/>
      <c r="D1111" s="49" t="str">
        <f t="shared" si="35"/>
        <v/>
      </c>
      <c r="E1111" s="92"/>
      <c r="F1111" s="49"/>
      <c r="G1111" s="14"/>
      <c r="H1111" s="14"/>
      <c r="I1111" s="76"/>
      <c r="J1111" s="73"/>
      <c r="K1111" s="74"/>
      <c r="L1111" s="72"/>
      <c r="M1111" s="72"/>
      <c r="N1111" s="72" t="str">
        <f>IF(AND(C1111="",J1111=0,K1111=0,L1111=0,M1111=0),"",CADASTROS!$B$4+SUM($J$2:J1111)+SUM($M$2:M1111)-SUM($K$2:K1111)-SUM($L$2:L1111))</f>
        <v/>
      </c>
      <c r="O1111" s="72" t="str">
        <f>IF(A1111="","",SUMIF(RATEIOS!$A$2:$A$3142,$A1111,RATEIOS!$F$2:$F$3142))</f>
        <v/>
      </c>
      <c r="P1111" s="15" t="str">
        <f t="shared" si="36"/>
        <v/>
      </c>
      <c r="Q1111" s="49" t="str">
        <f>IF(AND(J1111=0,K1111=0,L1111=0,M1111=0),"",IF(O1111=0,"PENDENTE DE RATEIO",IF(ABS(P1111)&gt;0.005,"DIVERGÊNCIA",IF(COUNTIF(RATEIOS!$A$2:$A$3142,$A1111)-COUNTIFS(RATEIOS!$A$2:$A$3142,$A1111,RATEIOS!$D$2:$D$3142,"&lt;&gt;")&gt;0,"NÃO CLASSIFICADO","RATEIO OK"))))</f>
        <v/>
      </c>
      <c r="R1111" s="49"/>
      <c r="S1111" s="14"/>
    </row>
    <row r="1112" spans="1:19" ht="24.95" customHeight="1" x14ac:dyDescent="0.25">
      <c r="A1112" s="49" t="str">
        <f>IF(C1112="","","BAN-01111")</f>
        <v/>
      </c>
      <c r="B1112" s="98" t="str">
        <f>IF(C1112="","",1111)</f>
        <v/>
      </c>
      <c r="C1112" s="50"/>
      <c r="D1112" s="49" t="str">
        <f t="shared" si="35"/>
        <v/>
      </c>
      <c r="E1112" s="92"/>
      <c r="F1112" s="49"/>
      <c r="G1112" s="14"/>
      <c r="H1112" s="14"/>
      <c r="I1112" s="76"/>
      <c r="J1112" s="73"/>
      <c r="K1112" s="74"/>
      <c r="L1112" s="72"/>
      <c r="M1112" s="72"/>
      <c r="N1112" s="72" t="str">
        <f>IF(AND(C1112="",J1112=0,K1112=0,L1112=0,M1112=0),"",CADASTROS!$B$4+SUM($J$2:J1112)+SUM($M$2:M1112)-SUM($K$2:K1112)-SUM($L$2:L1112))</f>
        <v/>
      </c>
      <c r="O1112" s="72" t="str">
        <f>IF(A1112="","",SUMIF(RATEIOS!$A$2:$A$3142,$A1112,RATEIOS!$F$2:$F$3142))</f>
        <v/>
      </c>
      <c r="P1112" s="15" t="str">
        <f t="shared" si="36"/>
        <v/>
      </c>
      <c r="Q1112" s="49" t="str">
        <f>IF(AND(J1112=0,K1112=0,L1112=0,M1112=0),"",IF(O1112=0,"PENDENTE DE RATEIO",IF(ABS(P1112)&gt;0.005,"DIVERGÊNCIA",IF(COUNTIF(RATEIOS!$A$2:$A$3142,$A1112)-COUNTIFS(RATEIOS!$A$2:$A$3142,$A1112,RATEIOS!$D$2:$D$3142,"&lt;&gt;")&gt;0,"NÃO CLASSIFICADO","RATEIO OK"))))</f>
        <v/>
      </c>
      <c r="R1112" s="49"/>
      <c r="S1112" s="14"/>
    </row>
    <row r="1113" spans="1:19" ht="24.95" customHeight="1" x14ac:dyDescent="0.25">
      <c r="A1113" s="49" t="str">
        <f>IF(C1113="","","BAN-01112")</f>
        <v/>
      </c>
      <c r="B1113" s="98" t="str">
        <f>IF(C1113="","",1112)</f>
        <v/>
      </c>
      <c r="C1113" s="50"/>
      <c r="D1113" s="49" t="str">
        <f t="shared" si="35"/>
        <v/>
      </c>
      <c r="E1113" s="92"/>
      <c r="F1113" s="49"/>
      <c r="G1113" s="14"/>
      <c r="H1113" s="14"/>
      <c r="I1113" s="76"/>
      <c r="J1113" s="73"/>
      <c r="K1113" s="74"/>
      <c r="L1113" s="72"/>
      <c r="M1113" s="72"/>
      <c r="N1113" s="72" t="str">
        <f>IF(AND(C1113="",J1113=0,K1113=0,L1113=0,M1113=0),"",CADASTROS!$B$4+SUM($J$2:J1113)+SUM($M$2:M1113)-SUM($K$2:K1113)-SUM($L$2:L1113))</f>
        <v/>
      </c>
      <c r="O1113" s="72" t="str">
        <f>IF(A1113="","",SUMIF(RATEIOS!$A$2:$A$3142,$A1113,RATEIOS!$F$2:$F$3142))</f>
        <v/>
      </c>
      <c r="P1113" s="15" t="str">
        <f t="shared" si="36"/>
        <v/>
      </c>
      <c r="Q1113" s="49" t="str">
        <f>IF(AND(J1113=0,K1113=0,L1113=0,M1113=0),"",IF(O1113=0,"PENDENTE DE RATEIO",IF(ABS(P1113)&gt;0.005,"DIVERGÊNCIA",IF(COUNTIF(RATEIOS!$A$2:$A$3142,$A1113)-COUNTIFS(RATEIOS!$A$2:$A$3142,$A1113,RATEIOS!$D$2:$D$3142,"&lt;&gt;")&gt;0,"NÃO CLASSIFICADO","RATEIO OK"))))</f>
        <v/>
      </c>
      <c r="R1113" s="49"/>
      <c r="S1113" s="14"/>
    </row>
    <row r="1114" spans="1:19" ht="24.95" customHeight="1" x14ac:dyDescent="0.25">
      <c r="A1114" s="49" t="str">
        <f>IF(C1114="","","BAN-01113")</f>
        <v/>
      </c>
      <c r="B1114" s="98" t="str">
        <f>IF(C1114="","",1113)</f>
        <v/>
      </c>
      <c r="C1114" s="50"/>
      <c r="D1114" s="49" t="str">
        <f t="shared" si="35"/>
        <v/>
      </c>
      <c r="E1114" s="92"/>
      <c r="F1114" s="49"/>
      <c r="G1114" s="14"/>
      <c r="H1114" s="14"/>
      <c r="I1114" s="76"/>
      <c r="J1114" s="73"/>
      <c r="K1114" s="74"/>
      <c r="L1114" s="72"/>
      <c r="M1114" s="72"/>
      <c r="N1114" s="72" t="str">
        <f>IF(AND(C1114="",J1114=0,K1114=0,L1114=0,M1114=0),"",CADASTROS!$B$4+SUM($J$2:J1114)+SUM($M$2:M1114)-SUM($K$2:K1114)-SUM($L$2:L1114))</f>
        <v/>
      </c>
      <c r="O1114" s="72" t="str">
        <f>IF(A1114="","",SUMIF(RATEIOS!$A$2:$A$3142,$A1114,RATEIOS!$F$2:$F$3142))</f>
        <v/>
      </c>
      <c r="P1114" s="15" t="str">
        <f t="shared" si="36"/>
        <v/>
      </c>
      <c r="Q1114" s="49" t="str">
        <f>IF(AND(J1114=0,K1114=0,L1114=0,M1114=0),"",IF(O1114=0,"PENDENTE DE RATEIO",IF(ABS(P1114)&gt;0.005,"DIVERGÊNCIA",IF(COUNTIF(RATEIOS!$A$2:$A$3142,$A1114)-COUNTIFS(RATEIOS!$A$2:$A$3142,$A1114,RATEIOS!$D$2:$D$3142,"&lt;&gt;")&gt;0,"NÃO CLASSIFICADO","RATEIO OK"))))</f>
        <v/>
      </c>
      <c r="R1114" s="49"/>
      <c r="S1114" s="14"/>
    </row>
    <row r="1115" spans="1:19" ht="24.95" customHeight="1" x14ac:dyDescent="0.25">
      <c r="A1115" s="49" t="str">
        <f>IF(C1115="","","BAN-01114")</f>
        <v/>
      </c>
      <c r="B1115" s="98" t="str">
        <f>IF(C1115="","",1114)</f>
        <v/>
      </c>
      <c r="C1115" s="50"/>
      <c r="D1115" s="49" t="str">
        <f t="shared" si="35"/>
        <v/>
      </c>
      <c r="E1115" s="92"/>
      <c r="F1115" s="49"/>
      <c r="G1115" s="14"/>
      <c r="H1115" s="14"/>
      <c r="I1115" s="76"/>
      <c r="J1115" s="73"/>
      <c r="K1115" s="74"/>
      <c r="L1115" s="72"/>
      <c r="M1115" s="72"/>
      <c r="N1115" s="72" t="str">
        <f>IF(AND(C1115="",J1115=0,K1115=0,L1115=0,M1115=0),"",CADASTROS!$B$4+SUM($J$2:J1115)+SUM($M$2:M1115)-SUM($K$2:K1115)-SUM($L$2:L1115))</f>
        <v/>
      </c>
      <c r="O1115" s="72" t="str">
        <f>IF(A1115="","",SUMIF(RATEIOS!$A$2:$A$3142,$A1115,RATEIOS!$F$2:$F$3142))</f>
        <v/>
      </c>
      <c r="P1115" s="15" t="str">
        <f t="shared" si="36"/>
        <v/>
      </c>
      <c r="Q1115" s="49" t="str">
        <f>IF(AND(J1115=0,K1115=0,L1115=0,M1115=0),"",IF(O1115=0,"PENDENTE DE RATEIO",IF(ABS(P1115)&gt;0.005,"DIVERGÊNCIA",IF(COUNTIF(RATEIOS!$A$2:$A$3142,$A1115)-COUNTIFS(RATEIOS!$A$2:$A$3142,$A1115,RATEIOS!$D$2:$D$3142,"&lt;&gt;")&gt;0,"NÃO CLASSIFICADO","RATEIO OK"))))</f>
        <v/>
      </c>
      <c r="R1115" s="49"/>
      <c r="S1115" s="14"/>
    </row>
    <row r="1116" spans="1:19" ht="24.95" customHeight="1" x14ac:dyDescent="0.25">
      <c r="A1116" s="49" t="str">
        <f>IF(C1116="","","BAN-01115")</f>
        <v/>
      </c>
      <c r="B1116" s="98" t="str">
        <f>IF(C1116="","",1115)</f>
        <v/>
      </c>
      <c r="C1116" s="50"/>
      <c r="D1116" s="49" t="str">
        <f t="shared" si="35"/>
        <v/>
      </c>
      <c r="E1116" s="92"/>
      <c r="F1116" s="49"/>
      <c r="G1116" s="14"/>
      <c r="H1116" s="14"/>
      <c r="I1116" s="76"/>
      <c r="J1116" s="73"/>
      <c r="K1116" s="74"/>
      <c r="L1116" s="72"/>
      <c r="M1116" s="72"/>
      <c r="N1116" s="72" t="str">
        <f>IF(AND(C1116="",J1116=0,K1116=0,L1116=0,M1116=0),"",CADASTROS!$B$4+SUM($J$2:J1116)+SUM($M$2:M1116)-SUM($K$2:K1116)-SUM($L$2:L1116))</f>
        <v/>
      </c>
      <c r="O1116" s="72" t="str">
        <f>IF(A1116="","",SUMIF(RATEIOS!$A$2:$A$3142,$A1116,RATEIOS!$F$2:$F$3142))</f>
        <v/>
      </c>
      <c r="P1116" s="15" t="str">
        <f t="shared" si="36"/>
        <v/>
      </c>
      <c r="Q1116" s="49" t="str">
        <f>IF(AND(J1116=0,K1116=0,L1116=0,M1116=0),"",IF(O1116=0,"PENDENTE DE RATEIO",IF(ABS(P1116)&gt;0.005,"DIVERGÊNCIA",IF(COUNTIF(RATEIOS!$A$2:$A$3142,$A1116)-COUNTIFS(RATEIOS!$A$2:$A$3142,$A1116,RATEIOS!$D$2:$D$3142,"&lt;&gt;")&gt;0,"NÃO CLASSIFICADO","RATEIO OK"))))</f>
        <v/>
      </c>
      <c r="R1116" s="49"/>
      <c r="S1116" s="14"/>
    </row>
    <row r="1117" spans="1:19" ht="24.95" customHeight="1" x14ac:dyDescent="0.25">
      <c r="A1117" s="49" t="str">
        <f>IF(C1117="","","BAN-01116")</f>
        <v/>
      </c>
      <c r="B1117" s="98" t="str">
        <f>IF(C1117="","",1116)</f>
        <v/>
      </c>
      <c r="C1117" s="50"/>
      <c r="D1117" s="49" t="str">
        <f t="shared" si="35"/>
        <v/>
      </c>
      <c r="E1117" s="92"/>
      <c r="F1117" s="49"/>
      <c r="G1117" s="14"/>
      <c r="H1117" s="14"/>
      <c r="I1117" s="76"/>
      <c r="J1117" s="73"/>
      <c r="K1117" s="74"/>
      <c r="L1117" s="72"/>
      <c r="M1117" s="72"/>
      <c r="N1117" s="72" t="str">
        <f>IF(AND(C1117="",J1117=0,K1117=0,L1117=0,M1117=0),"",CADASTROS!$B$4+SUM($J$2:J1117)+SUM($M$2:M1117)-SUM($K$2:K1117)-SUM($L$2:L1117))</f>
        <v/>
      </c>
      <c r="O1117" s="72" t="str">
        <f>IF(A1117="","",SUMIF(RATEIOS!$A$2:$A$3142,$A1117,RATEIOS!$F$2:$F$3142))</f>
        <v/>
      </c>
      <c r="P1117" s="15" t="str">
        <f t="shared" si="36"/>
        <v/>
      </c>
      <c r="Q1117" s="49" t="str">
        <f>IF(AND(J1117=0,K1117=0,L1117=0,M1117=0),"",IF(O1117=0,"PENDENTE DE RATEIO",IF(ABS(P1117)&gt;0.005,"DIVERGÊNCIA",IF(COUNTIF(RATEIOS!$A$2:$A$3142,$A1117)-COUNTIFS(RATEIOS!$A$2:$A$3142,$A1117,RATEIOS!$D$2:$D$3142,"&lt;&gt;")&gt;0,"NÃO CLASSIFICADO","RATEIO OK"))))</f>
        <v/>
      </c>
      <c r="R1117" s="49"/>
      <c r="S1117" s="14"/>
    </row>
    <row r="1118" spans="1:19" ht="24.95" customHeight="1" x14ac:dyDescent="0.25">
      <c r="A1118" s="49" t="str">
        <f>IF(C1118="","","BAN-01117")</f>
        <v/>
      </c>
      <c r="B1118" s="98" t="str">
        <f>IF(C1118="","",1117)</f>
        <v/>
      </c>
      <c r="C1118" s="50"/>
      <c r="D1118" s="49" t="str">
        <f t="shared" si="35"/>
        <v/>
      </c>
      <c r="E1118" s="92"/>
      <c r="F1118" s="49"/>
      <c r="G1118" s="14"/>
      <c r="H1118" s="14"/>
      <c r="I1118" s="76"/>
      <c r="J1118" s="73"/>
      <c r="K1118" s="74"/>
      <c r="L1118" s="72"/>
      <c r="M1118" s="72"/>
      <c r="N1118" s="72" t="str">
        <f>IF(AND(C1118="",J1118=0,K1118=0,L1118=0,M1118=0),"",CADASTROS!$B$4+SUM($J$2:J1118)+SUM($M$2:M1118)-SUM($K$2:K1118)-SUM($L$2:L1118))</f>
        <v/>
      </c>
      <c r="O1118" s="72" t="str">
        <f>IF(A1118="","",SUMIF(RATEIOS!$A$2:$A$3142,$A1118,RATEIOS!$F$2:$F$3142))</f>
        <v/>
      </c>
      <c r="P1118" s="15" t="str">
        <f t="shared" si="36"/>
        <v/>
      </c>
      <c r="Q1118" s="49" t="str">
        <f>IF(AND(J1118=0,K1118=0,L1118=0,M1118=0),"",IF(O1118=0,"PENDENTE DE RATEIO",IF(ABS(P1118)&gt;0.005,"DIVERGÊNCIA",IF(COUNTIF(RATEIOS!$A$2:$A$3142,$A1118)-COUNTIFS(RATEIOS!$A$2:$A$3142,$A1118,RATEIOS!$D$2:$D$3142,"&lt;&gt;")&gt;0,"NÃO CLASSIFICADO","RATEIO OK"))))</f>
        <v/>
      </c>
      <c r="R1118" s="49"/>
      <c r="S1118" s="14"/>
    </row>
    <row r="1119" spans="1:19" ht="24.95" customHeight="1" x14ac:dyDescent="0.25">
      <c r="A1119" s="49" t="str">
        <f>IF(C1119="","","BAN-01118")</f>
        <v/>
      </c>
      <c r="B1119" s="98" t="str">
        <f>IF(C1119="","",1118)</f>
        <v/>
      </c>
      <c r="C1119" s="50"/>
      <c r="D1119" s="49" t="str">
        <f t="shared" si="35"/>
        <v/>
      </c>
      <c r="E1119" s="92"/>
      <c r="F1119" s="49"/>
      <c r="G1119" s="14"/>
      <c r="H1119" s="14"/>
      <c r="I1119" s="76"/>
      <c r="J1119" s="73"/>
      <c r="K1119" s="74"/>
      <c r="L1119" s="72"/>
      <c r="M1119" s="72"/>
      <c r="N1119" s="72" t="str">
        <f>IF(AND(C1119="",J1119=0,K1119=0,L1119=0,M1119=0),"",CADASTROS!$B$4+SUM($J$2:J1119)+SUM($M$2:M1119)-SUM($K$2:K1119)-SUM($L$2:L1119))</f>
        <v/>
      </c>
      <c r="O1119" s="72" t="str">
        <f>IF(A1119="","",SUMIF(RATEIOS!$A$2:$A$3142,$A1119,RATEIOS!$F$2:$F$3142))</f>
        <v/>
      </c>
      <c r="P1119" s="15" t="str">
        <f t="shared" si="36"/>
        <v/>
      </c>
      <c r="Q1119" s="49" t="str">
        <f>IF(AND(J1119=0,K1119=0,L1119=0,M1119=0),"",IF(O1119=0,"PENDENTE DE RATEIO",IF(ABS(P1119)&gt;0.005,"DIVERGÊNCIA",IF(COUNTIF(RATEIOS!$A$2:$A$3142,$A1119)-COUNTIFS(RATEIOS!$A$2:$A$3142,$A1119,RATEIOS!$D$2:$D$3142,"&lt;&gt;")&gt;0,"NÃO CLASSIFICADO","RATEIO OK"))))</f>
        <v/>
      </c>
      <c r="R1119" s="49"/>
      <c r="S1119" s="14"/>
    </row>
    <row r="1120" spans="1:19" ht="24.95" customHeight="1" x14ac:dyDescent="0.25">
      <c r="A1120" s="49" t="str">
        <f>IF(C1120="","","BAN-01119")</f>
        <v/>
      </c>
      <c r="B1120" s="98" t="str">
        <f>IF(C1120="","",1119)</f>
        <v/>
      </c>
      <c r="C1120" s="50"/>
      <c r="D1120" s="49" t="str">
        <f t="shared" si="35"/>
        <v/>
      </c>
      <c r="E1120" s="92"/>
      <c r="F1120" s="49"/>
      <c r="G1120" s="14"/>
      <c r="H1120" s="14"/>
      <c r="I1120" s="76"/>
      <c r="J1120" s="73"/>
      <c r="K1120" s="74"/>
      <c r="L1120" s="72"/>
      <c r="M1120" s="72"/>
      <c r="N1120" s="72" t="str">
        <f>IF(AND(C1120="",J1120=0,K1120=0,L1120=0,M1120=0),"",CADASTROS!$B$4+SUM($J$2:J1120)+SUM($M$2:M1120)-SUM($K$2:K1120)-SUM($L$2:L1120))</f>
        <v/>
      </c>
      <c r="O1120" s="72" t="str">
        <f>IF(A1120="","",SUMIF(RATEIOS!$A$2:$A$3142,$A1120,RATEIOS!$F$2:$F$3142))</f>
        <v/>
      </c>
      <c r="P1120" s="15" t="str">
        <f t="shared" si="36"/>
        <v/>
      </c>
      <c r="Q1120" s="49" t="str">
        <f>IF(AND(J1120=0,K1120=0,L1120=0,M1120=0),"",IF(O1120=0,"PENDENTE DE RATEIO",IF(ABS(P1120)&gt;0.005,"DIVERGÊNCIA",IF(COUNTIF(RATEIOS!$A$2:$A$3142,$A1120)-COUNTIFS(RATEIOS!$A$2:$A$3142,$A1120,RATEIOS!$D$2:$D$3142,"&lt;&gt;")&gt;0,"NÃO CLASSIFICADO","RATEIO OK"))))</f>
        <v/>
      </c>
      <c r="R1120" s="49"/>
      <c r="S1120" s="14"/>
    </row>
    <row r="1121" spans="1:19" ht="24.95" customHeight="1" x14ac:dyDescent="0.25">
      <c r="A1121" s="49" t="str">
        <f>IF(C1121="","","BAN-01120")</f>
        <v/>
      </c>
      <c r="B1121" s="98" t="str">
        <f>IF(C1121="","",1120)</f>
        <v/>
      </c>
      <c r="C1121" s="50"/>
      <c r="D1121" s="49" t="str">
        <f t="shared" si="35"/>
        <v/>
      </c>
      <c r="E1121" s="92"/>
      <c r="F1121" s="49"/>
      <c r="G1121" s="14"/>
      <c r="H1121" s="14"/>
      <c r="I1121" s="76"/>
      <c r="J1121" s="73"/>
      <c r="K1121" s="74"/>
      <c r="L1121" s="72"/>
      <c r="M1121" s="72"/>
      <c r="N1121" s="72" t="str">
        <f>IF(AND(C1121="",J1121=0,K1121=0,L1121=0,M1121=0),"",CADASTROS!$B$4+SUM($J$2:J1121)+SUM($M$2:M1121)-SUM($K$2:K1121)-SUM($L$2:L1121))</f>
        <v/>
      </c>
      <c r="O1121" s="72" t="str">
        <f>IF(A1121="","",SUMIF(RATEIOS!$A$2:$A$3142,$A1121,RATEIOS!$F$2:$F$3142))</f>
        <v/>
      </c>
      <c r="P1121" s="15" t="str">
        <f t="shared" si="36"/>
        <v/>
      </c>
      <c r="Q1121" s="49" t="str">
        <f>IF(AND(J1121=0,K1121=0,L1121=0,M1121=0),"",IF(O1121=0,"PENDENTE DE RATEIO",IF(ABS(P1121)&gt;0.005,"DIVERGÊNCIA",IF(COUNTIF(RATEIOS!$A$2:$A$3142,$A1121)-COUNTIFS(RATEIOS!$A$2:$A$3142,$A1121,RATEIOS!$D$2:$D$3142,"&lt;&gt;")&gt;0,"NÃO CLASSIFICADO","RATEIO OK"))))</f>
        <v/>
      </c>
      <c r="R1121" s="49"/>
      <c r="S1121" s="14"/>
    </row>
    <row r="1122" spans="1:19" ht="24.95" customHeight="1" x14ac:dyDescent="0.25">
      <c r="A1122" s="49" t="str">
        <f>IF(C1122="","","BAN-01121")</f>
        <v/>
      </c>
      <c r="B1122" s="98" t="str">
        <f>IF(C1122="","",1121)</f>
        <v/>
      </c>
      <c r="C1122" s="50"/>
      <c r="D1122" s="49" t="str">
        <f t="shared" si="35"/>
        <v/>
      </c>
      <c r="E1122" s="92"/>
      <c r="F1122" s="49"/>
      <c r="G1122" s="14"/>
      <c r="H1122" s="14"/>
      <c r="I1122" s="76"/>
      <c r="J1122" s="73"/>
      <c r="K1122" s="74"/>
      <c r="L1122" s="72"/>
      <c r="M1122" s="72"/>
      <c r="N1122" s="72" t="str">
        <f>IF(AND(C1122="",J1122=0,K1122=0,L1122=0,M1122=0),"",CADASTROS!$B$4+SUM($J$2:J1122)+SUM($M$2:M1122)-SUM($K$2:K1122)-SUM($L$2:L1122))</f>
        <v/>
      </c>
      <c r="O1122" s="72" t="str">
        <f>IF(A1122="","",SUMIF(RATEIOS!$A$2:$A$3142,$A1122,RATEIOS!$F$2:$F$3142))</f>
        <v/>
      </c>
      <c r="P1122" s="15" t="str">
        <f t="shared" si="36"/>
        <v/>
      </c>
      <c r="Q1122" s="49" t="str">
        <f>IF(AND(J1122=0,K1122=0,L1122=0,M1122=0),"",IF(O1122=0,"PENDENTE DE RATEIO",IF(ABS(P1122)&gt;0.005,"DIVERGÊNCIA",IF(COUNTIF(RATEIOS!$A$2:$A$3142,$A1122)-COUNTIFS(RATEIOS!$A$2:$A$3142,$A1122,RATEIOS!$D$2:$D$3142,"&lt;&gt;")&gt;0,"NÃO CLASSIFICADO","RATEIO OK"))))</f>
        <v/>
      </c>
      <c r="R1122" s="49"/>
      <c r="S1122" s="14"/>
    </row>
    <row r="1123" spans="1:19" ht="24.95" customHeight="1" x14ac:dyDescent="0.25">
      <c r="A1123" s="49" t="str">
        <f>IF(C1123="","","BAN-01122")</f>
        <v/>
      </c>
      <c r="B1123" s="98" t="str">
        <f>IF(C1123="","",1122)</f>
        <v/>
      </c>
      <c r="C1123" s="50"/>
      <c r="D1123" s="49" t="str">
        <f t="shared" si="35"/>
        <v/>
      </c>
      <c r="E1123" s="92"/>
      <c r="F1123" s="49"/>
      <c r="G1123" s="14"/>
      <c r="H1123" s="14"/>
      <c r="I1123" s="76"/>
      <c r="J1123" s="73"/>
      <c r="K1123" s="74"/>
      <c r="L1123" s="72"/>
      <c r="M1123" s="72"/>
      <c r="N1123" s="72" t="str">
        <f>IF(AND(C1123="",J1123=0,K1123=0,L1123=0,M1123=0),"",CADASTROS!$B$4+SUM($J$2:J1123)+SUM($M$2:M1123)-SUM($K$2:K1123)-SUM($L$2:L1123))</f>
        <v/>
      </c>
      <c r="O1123" s="72" t="str">
        <f>IF(A1123="","",SUMIF(RATEIOS!$A$2:$A$3142,$A1123,RATEIOS!$F$2:$F$3142))</f>
        <v/>
      </c>
      <c r="P1123" s="15" t="str">
        <f t="shared" si="36"/>
        <v/>
      </c>
      <c r="Q1123" s="49" t="str">
        <f>IF(AND(J1123=0,K1123=0,L1123=0,M1123=0),"",IF(O1123=0,"PENDENTE DE RATEIO",IF(ABS(P1123)&gt;0.005,"DIVERGÊNCIA",IF(COUNTIF(RATEIOS!$A$2:$A$3142,$A1123)-COUNTIFS(RATEIOS!$A$2:$A$3142,$A1123,RATEIOS!$D$2:$D$3142,"&lt;&gt;")&gt;0,"NÃO CLASSIFICADO","RATEIO OK"))))</f>
        <v/>
      </c>
      <c r="R1123" s="49"/>
      <c r="S1123" s="14"/>
    </row>
    <row r="1124" spans="1:19" ht="24.95" customHeight="1" x14ac:dyDescent="0.25">
      <c r="A1124" s="49" t="str">
        <f>IF(C1124="","","BAN-01123")</f>
        <v/>
      </c>
      <c r="B1124" s="98" t="str">
        <f>IF(C1124="","",1123)</f>
        <v/>
      </c>
      <c r="C1124" s="50"/>
      <c r="D1124" s="49" t="str">
        <f t="shared" si="35"/>
        <v/>
      </c>
      <c r="E1124" s="92"/>
      <c r="F1124" s="49"/>
      <c r="G1124" s="14"/>
      <c r="H1124" s="14"/>
      <c r="I1124" s="76"/>
      <c r="J1124" s="73"/>
      <c r="K1124" s="74"/>
      <c r="L1124" s="72"/>
      <c r="M1124" s="72"/>
      <c r="N1124" s="72" t="str">
        <f>IF(AND(C1124="",J1124=0,K1124=0,L1124=0,M1124=0),"",CADASTROS!$B$4+SUM($J$2:J1124)+SUM($M$2:M1124)-SUM($K$2:K1124)-SUM($L$2:L1124))</f>
        <v/>
      </c>
      <c r="O1124" s="72" t="str">
        <f>IF(A1124="","",SUMIF(RATEIOS!$A$2:$A$3142,$A1124,RATEIOS!$F$2:$F$3142))</f>
        <v/>
      </c>
      <c r="P1124" s="15" t="str">
        <f t="shared" si="36"/>
        <v/>
      </c>
      <c r="Q1124" s="49" t="str">
        <f>IF(AND(J1124=0,K1124=0,L1124=0,M1124=0),"",IF(O1124=0,"PENDENTE DE RATEIO",IF(ABS(P1124)&gt;0.005,"DIVERGÊNCIA",IF(COUNTIF(RATEIOS!$A$2:$A$3142,$A1124)-COUNTIFS(RATEIOS!$A$2:$A$3142,$A1124,RATEIOS!$D$2:$D$3142,"&lt;&gt;")&gt;0,"NÃO CLASSIFICADO","RATEIO OK"))))</f>
        <v/>
      </c>
      <c r="R1124" s="49"/>
      <c r="S1124" s="14"/>
    </row>
    <row r="1125" spans="1:19" ht="24.95" customHeight="1" x14ac:dyDescent="0.25">
      <c r="A1125" s="49" t="str">
        <f>IF(C1125="","","BAN-01124")</f>
        <v/>
      </c>
      <c r="B1125" s="98" t="str">
        <f>IF(C1125="","",1124)</f>
        <v/>
      </c>
      <c r="C1125" s="50"/>
      <c r="D1125" s="49" t="str">
        <f t="shared" si="35"/>
        <v/>
      </c>
      <c r="E1125" s="92"/>
      <c r="F1125" s="49"/>
      <c r="G1125" s="14"/>
      <c r="H1125" s="14"/>
      <c r="I1125" s="76"/>
      <c r="J1125" s="73"/>
      <c r="K1125" s="74"/>
      <c r="L1125" s="72"/>
      <c r="M1125" s="72"/>
      <c r="N1125" s="72" t="str">
        <f>IF(AND(C1125="",J1125=0,K1125=0,L1125=0,M1125=0),"",CADASTROS!$B$4+SUM($J$2:J1125)+SUM($M$2:M1125)-SUM($K$2:K1125)-SUM($L$2:L1125))</f>
        <v/>
      </c>
      <c r="O1125" s="72" t="str">
        <f>IF(A1125="","",SUMIF(RATEIOS!$A$2:$A$3142,$A1125,RATEIOS!$F$2:$F$3142))</f>
        <v/>
      </c>
      <c r="P1125" s="15" t="str">
        <f t="shared" si="36"/>
        <v/>
      </c>
      <c r="Q1125" s="49" t="str">
        <f>IF(AND(J1125=0,K1125=0,L1125=0,M1125=0),"",IF(O1125=0,"PENDENTE DE RATEIO",IF(ABS(P1125)&gt;0.005,"DIVERGÊNCIA",IF(COUNTIF(RATEIOS!$A$2:$A$3142,$A1125)-COUNTIFS(RATEIOS!$A$2:$A$3142,$A1125,RATEIOS!$D$2:$D$3142,"&lt;&gt;")&gt;0,"NÃO CLASSIFICADO","RATEIO OK"))))</f>
        <v/>
      </c>
      <c r="R1125" s="49"/>
      <c r="S1125" s="14"/>
    </row>
    <row r="1126" spans="1:19" ht="24.95" customHeight="1" x14ac:dyDescent="0.25">
      <c r="A1126" s="49" t="str">
        <f>IF(C1126="","","BAN-01125")</f>
        <v/>
      </c>
      <c r="B1126" s="98" t="str">
        <f>IF(C1126="","",1125)</f>
        <v/>
      </c>
      <c r="C1126" s="50"/>
      <c r="D1126" s="49" t="str">
        <f t="shared" si="35"/>
        <v/>
      </c>
      <c r="E1126" s="92"/>
      <c r="F1126" s="49"/>
      <c r="G1126" s="14"/>
      <c r="H1126" s="14"/>
      <c r="I1126" s="76"/>
      <c r="J1126" s="73"/>
      <c r="K1126" s="74"/>
      <c r="L1126" s="72"/>
      <c r="M1126" s="72"/>
      <c r="N1126" s="72" t="str">
        <f>IF(AND(C1126="",J1126=0,K1126=0,L1126=0,M1126=0),"",CADASTROS!$B$4+SUM($J$2:J1126)+SUM($M$2:M1126)-SUM($K$2:K1126)-SUM($L$2:L1126))</f>
        <v/>
      </c>
      <c r="O1126" s="72" t="str">
        <f>IF(A1126="","",SUMIF(RATEIOS!$A$2:$A$3142,$A1126,RATEIOS!$F$2:$F$3142))</f>
        <v/>
      </c>
      <c r="P1126" s="15" t="str">
        <f t="shared" si="36"/>
        <v/>
      </c>
      <c r="Q1126" s="49" t="str">
        <f>IF(AND(J1126=0,K1126=0,L1126=0,M1126=0),"",IF(O1126=0,"PENDENTE DE RATEIO",IF(ABS(P1126)&gt;0.005,"DIVERGÊNCIA",IF(COUNTIF(RATEIOS!$A$2:$A$3142,$A1126)-COUNTIFS(RATEIOS!$A$2:$A$3142,$A1126,RATEIOS!$D$2:$D$3142,"&lt;&gt;")&gt;0,"NÃO CLASSIFICADO","RATEIO OK"))))</f>
        <v/>
      </c>
      <c r="R1126" s="49"/>
      <c r="S1126" s="14"/>
    </row>
    <row r="1127" spans="1:19" ht="24.95" customHeight="1" x14ac:dyDescent="0.25">
      <c r="A1127" s="49" t="str">
        <f>IF(C1127="","","BAN-01126")</f>
        <v/>
      </c>
      <c r="B1127" s="98" t="str">
        <f>IF(C1127="","",1126)</f>
        <v/>
      </c>
      <c r="C1127" s="50"/>
      <c r="D1127" s="49" t="str">
        <f t="shared" si="35"/>
        <v/>
      </c>
      <c r="E1127" s="92"/>
      <c r="F1127" s="49"/>
      <c r="G1127" s="14"/>
      <c r="H1127" s="14"/>
      <c r="I1127" s="76"/>
      <c r="J1127" s="73"/>
      <c r="K1127" s="74"/>
      <c r="L1127" s="72"/>
      <c r="M1127" s="72"/>
      <c r="N1127" s="72" t="str">
        <f>IF(AND(C1127="",J1127=0,K1127=0,L1127=0,M1127=0),"",CADASTROS!$B$4+SUM($J$2:J1127)+SUM($M$2:M1127)-SUM($K$2:K1127)-SUM($L$2:L1127))</f>
        <v/>
      </c>
      <c r="O1127" s="72" t="str">
        <f>IF(A1127="","",SUMIF(RATEIOS!$A$2:$A$3142,$A1127,RATEIOS!$F$2:$F$3142))</f>
        <v/>
      </c>
      <c r="P1127" s="15" t="str">
        <f t="shared" si="36"/>
        <v/>
      </c>
      <c r="Q1127" s="49" t="str">
        <f>IF(AND(J1127=0,K1127=0,L1127=0,M1127=0),"",IF(O1127=0,"PENDENTE DE RATEIO",IF(ABS(P1127)&gt;0.005,"DIVERGÊNCIA",IF(COUNTIF(RATEIOS!$A$2:$A$3142,$A1127)-COUNTIFS(RATEIOS!$A$2:$A$3142,$A1127,RATEIOS!$D$2:$D$3142,"&lt;&gt;")&gt;0,"NÃO CLASSIFICADO","RATEIO OK"))))</f>
        <v/>
      </c>
      <c r="R1127" s="49"/>
      <c r="S1127" s="14"/>
    </row>
    <row r="1128" spans="1:19" ht="24.95" customHeight="1" x14ac:dyDescent="0.25">
      <c r="A1128" s="49" t="str">
        <f>IF(C1128="","","BAN-01127")</f>
        <v/>
      </c>
      <c r="B1128" s="98" t="str">
        <f>IF(C1128="","",1127)</f>
        <v/>
      </c>
      <c r="C1128" s="50"/>
      <c r="D1128" s="49" t="str">
        <f t="shared" si="35"/>
        <v/>
      </c>
      <c r="E1128" s="92"/>
      <c r="F1128" s="49"/>
      <c r="G1128" s="14"/>
      <c r="H1128" s="14"/>
      <c r="I1128" s="76"/>
      <c r="J1128" s="73"/>
      <c r="K1128" s="74"/>
      <c r="L1128" s="72"/>
      <c r="M1128" s="72"/>
      <c r="N1128" s="72" t="str">
        <f>IF(AND(C1128="",J1128=0,K1128=0,L1128=0,M1128=0),"",CADASTROS!$B$4+SUM($J$2:J1128)+SUM($M$2:M1128)-SUM($K$2:K1128)-SUM($L$2:L1128))</f>
        <v/>
      </c>
      <c r="O1128" s="72" t="str">
        <f>IF(A1128="","",SUMIF(RATEIOS!$A$2:$A$3142,$A1128,RATEIOS!$F$2:$F$3142))</f>
        <v/>
      </c>
      <c r="P1128" s="15" t="str">
        <f t="shared" si="36"/>
        <v/>
      </c>
      <c r="Q1128" s="49" t="str">
        <f>IF(AND(J1128=0,K1128=0,L1128=0,M1128=0),"",IF(O1128=0,"PENDENTE DE RATEIO",IF(ABS(P1128)&gt;0.005,"DIVERGÊNCIA",IF(COUNTIF(RATEIOS!$A$2:$A$3142,$A1128)-COUNTIFS(RATEIOS!$A$2:$A$3142,$A1128,RATEIOS!$D$2:$D$3142,"&lt;&gt;")&gt;0,"NÃO CLASSIFICADO","RATEIO OK"))))</f>
        <v/>
      </c>
      <c r="R1128" s="49"/>
      <c r="S1128" s="14"/>
    </row>
    <row r="1129" spans="1:19" ht="24.95" customHeight="1" x14ac:dyDescent="0.25">
      <c r="A1129" s="49" t="str">
        <f>IF(C1129="","","BAN-01128")</f>
        <v/>
      </c>
      <c r="B1129" s="98" t="str">
        <f>IF(C1129="","",1128)</f>
        <v/>
      </c>
      <c r="C1129" s="50"/>
      <c r="D1129" s="49" t="str">
        <f t="shared" si="35"/>
        <v/>
      </c>
      <c r="E1129" s="92"/>
      <c r="F1129" s="49"/>
      <c r="G1129" s="14"/>
      <c r="H1129" s="14"/>
      <c r="I1129" s="76"/>
      <c r="J1129" s="73"/>
      <c r="K1129" s="74"/>
      <c r="L1129" s="72"/>
      <c r="M1129" s="72"/>
      <c r="N1129" s="72" t="str">
        <f>IF(AND(C1129="",J1129=0,K1129=0,L1129=0,M1129=0),"",CADASTROS!$B$4+SUM($J$2:J1129)+SUM($M$2:M1129)-SUM($K$2:K1129)-SUM($L$2:L1129))</f>
        <v/>
      </c>
      <c r="O1129" s="72" t="str">
        <f>IF(A1129="","",SUMIF(RATEIOS!$A$2:$A$3142,$A1129,RATEIOS!$F$2:$F$3142))</f>
        <v/>
      </c>
      <c r="P1129" s="15" t="str">
        <f t="shared" si="36"/>
        <v/>
      </c>
      <c r="Q1129" s="49" t="str">
        <f>IF(AND(J1129=0,K1129=0,L1129=0,M1129=0),"",IF(O1129=0,"PENDENTE DE RATEIO",IF(ABS(P1129)&gt;0.005,"DIVERGÊNCIA",IF(COUNTIF(RATEIOS!$A$2:$A$3142,$A1129)-COUNTIFS(RATEIOS!$A$2:$A$3142,$A1129,RATEIOS!$D$2:$D$3142,"&lt;&gt;")&gt;0,"NÃO CLASSIFICADO","RATEIO OK"))))</f>
        <v/>
      </c>
      <c r="R1129" s="49"/>
      <c r="S1129" s="14"/>
    </row>
    <row r="1130" spans="1:19" ht="24.95" customHeight="1" x14ac:dyDescent="0.25">
      <c r="A1130" s="49" t="str">
        <f>IF(C1130="","","BAN-01129")</f>
        <v/>
      </c>
      <c r="B1130" s="98" t="str">
        <f>IF(C1130="","",1129)</f>
        <v/>
      </c>
      <c r="C1130" s="50"/>
      <c r="D1130" s="49" t="str">
        <f t="shared" si="35"/>
        <v/>
      </c>
      <c r="E1130" s="92"/>
      <c r="F1130" s="49"/>
      <c r="G1130" s="14"/>
      <c r="H1130" s="14"/>
      <c r="I1130" s="76"/>
      <c r="J1130" s="73"/>
      <c r="K1130" s="74"/>
      <c r="L1130" s="72"/>
      <c r="M1130" s="72"/>
      <c r="N1130" s="72" t="str">
        <f>IF(AND(C1130="",J1130=0,K1130=0,L1130=0,M1130=0),"",CADASTROS!$B$4+SUM($J$2:J1130)+SUM($M$2:M1130)-SUM($K$2:K1130)-SUM($L$2:L1130))</f>
        <v/>
      </c>
      <c r="O1130" s="72" t="str">
        <f>IF(A1130="","",SUMIF(RATEIOS!$A$2:$A$3142,$A1130,RATEIOS!$F$2:$F$3142))</f>
        <v/>
      </c>
      <c r="P1130" s="15" t="str">
        <f t="shared" si="36"/>
        <v/>
      </c>
      <c r="Q1130" s="49" t="str">
        <f>IF(AND(J1130=0,K1130=0,L1130=0,M1130=0),"",IF(O1130=0,"PENDENTE DE RATEIO",IF(ABS(P1130)&gt;0.005,"DIVERGÊNCIA",IF(COUNTIF(RATEIOS!$A$2:$A$3142,$A1130)-COUNTIFS(RATEIOS!$A$2:$A$3142,$A1130,RATEIOS!$D$2:$D$3142,"&lt;&gt;")&gt;0,"NÃO CLASSIFICADO","RATEIO OK"))))</f>
        <v/>
      </c>
      <c r="R1130" s="49"/>
      <c r="S1130" s="14"/>
    </row>
    <row r="1131" spans="1:19" ht="24.95" customHeight="1" x14ac:dyDescent="0.25">
      <c r="A1131" s="49" t="str">
        <f>IF(C1131="","","BAN-01130")</f>
        <v/>
      </c>
      <c r="B1131" s="98" t="str">
        <f>IF(C1131="","",1130)</f>
        <v/>
      </c>
      <c r="C1131" s="50"/>
      <c r="D1131" s="49" t="str">
        <f t="shared" si="35"/>
        <v/>
      </c>
      <c r="E1131" s="92"/>
      <c r="F1131" s="49"/>
      <c r="G1131" s="14"/>
      <c r="H1131" s="14"/>
      <c r="I1131" s="76"/>
      <c r="J1131" s="73"/>
      <c r="K1131" s="74"/>
      <c r="L1131" s="72"/>
      <c r="M1131" s="72"/>
      <c r="N1131" s="72" t="str">
        <f>IF(AND(C1131="",J1131=0,K1131=0,L1131=0,M1131=0),"",CADASTROS!$B$4+SUM($J$2:J1131)+SUM($M$2:M1131)-SUM($K$2:K1131)-SUM($L$2:L1131))</f>
        <v/>
      </c>
      <c r="O1131" s="72" t="str">
        <f>IF(A1131="","",SUMIF(RATEIOS!$A$2:$A$3142,$A1131,RATEIOS!$F$2:$F$3142))</f>
        <v/>
      </c>
      <c r="P1131" s="15" t="str">
        <f t="shared" si="36"/>
        <v/>
      </c>
      <c r="Q1131" s="49" t="str">
        <f>IF(AND(J1131=0,K1131=0,L1131=0,M1131=0),"",IF(O1131=0,"PENDENTE DE RATEIO",IF(ABS(P1131)&gt;0.005,"DIVERGÊNCIA",IF(COUNTIF(RATEIOS!$A$2:$A$3142,$A1131)-COUNTIFS(RATEIOS!$A$2:$A$3142,$A1131,RATEIOS!$D$2:$D$3142,"&lt;&gt;")&gt;0,"NÃO CLASSIFICADO","RATEIO OK"))))</f>
        <v/>
      </c>
      <c r="R1131" s="49"/>
      <c r="S1131" s="14"/>
    </row>
    <row r="1132" spans="1:19" ht="24.95" customHeight="1" x14ac:dyDescent="0.25">
      <c r="A1132" s="49" t="str">
        <f>IF(C1132="","","BAN-01131")</f>
        <v/>
      </c>
      <c r="B1132" s="98" t="str">
        <f>IF(C1132="","",1131)</f>
        <v/>
      </c>
      <c r="C1132" s="50"/>
      <c r="D1132" s="49" t="str">
        <f t="shared" si="35"/>
        <v/>
      </c>
      <c r="E1132" s="92"/>
      <c r="F1132" s="49"/>
      <c r="G1132" s="14"/>
      <c r="H1132" s="14"/>
      <c r="I1132" s="76"/>
      <c r="J1132" s="73"/>
      <c r="K1132" s="74"/>
      <c r="L1132" s="72"/>
      <c r="M1132" s="72"/>
      <c r="N1132" s="72" t="str">
        <f>IF(AND(C1132="",J1132=0,K1132=0,L1132=0,M1132=0),"",CADASTROS!$B$4+SUM($J$2:J1132)+SUM($M$2:M1132)-SUM($K$2:K1132)-SUM($L$2:L1132))</f>
        <v/>
      </c>
      <c r="O1132" s="72" t="str">
        <f>IF(A1132="","",SUMIF(RATEIOS!$A$2:$A$3142,$A1132,RATEIOS!$F$2:$F$3142))</f>
        <v/>
      </c>
      <c r="P1132" s="15" t="str">
        <f t="shared" si="36"/>
        <v/>
      </c>
      <c r="Q1132" s="49" t="str">
        <f>IF(AND(J1132=0,K1132=0,L1132=0,M1132=0),"",IF(O1132=0,"PENDENTE DE RATEIO",IF(ABS(P1132)&gt;0.005,"DIVERGÊNCIA",IF(COUNTIF(RATEIOS!$A$2:$A$3142,$A1132)-COUNTIFS(RATEIOS!$A$2:$A$3142,$A1132,RATEIOS!$D$2:$D$3142,"&lt;&gt;")&gt;0,"NÃO CLASSIFICADO","RATEIO OK"))))</f>
        <v/>
      </c>
      <c r="R1132" s="49"/>
      <c r="S1132" s="14"/>
    </row>
    <row r="1133" spans="1:19" ht="24.95" customHeight="1" x14ac:dyDescent="0.25">
      <c r="A1133" s="49" t="str">
        <f>IF(C1133="","","BAN-01132")</f>
        <v/>
      </c>
      <c r="B1133" s="98" t="str">
        <f>IF(C1133="","",1132)</f>
        <v/>
      </c>
      <c r="C1133" s="50"/>
      <c r="D1133" s="49" t="str">
        <f t="shared" si="35"/>
        <v/>
      </c>
      <c r="E1133" s="92"/>
      <c r="F1133" s="49"/>
      <c r="G1133" s="14"/>
      <c r="H1133" s="14"/>
      <c r="I1133" s="76"/>
      <c r="J1133" s="73"/>
      <c r="K1133" s="74"/>
      <c r="L1133" s="72"/>
      <c r="M1133" s="72"/>
      <c r="N1133" s="72" t="str">
        <f>IF(AND(C1133="",J1133=0,K1133=0,L1133=0,M1133=0),"",CADASTROS!$B$4+SUM($J$2:J1133)+SUM($M$2:M1133)-SUM($K$2:K1133)-SUM($L$2:L1133))</f>
        <v/>
      </c>
      <c r="O1133" s="72" t="str">
        <f>IF(A1133="","",SUMIF(RATEIOS!$A$2:$A$3142,$A1133,RATEIOS!$F$2:$F$3142))</f>
        <v/>
      </c>
      <c r="P1133" s="15" t="str">
        <f t="shared" si="36"/>
        <v/>
      </c>
      <c r="Q1133" s="49" t="str">
        <f>IF(AND(J1133=0,K1133=0,L1133=0,M1133=0),"",IF(O1133=0,"PENDENTE DE RATEIO",IF(ABS(P1133)&gt;0.005,"DIVERGÊNCIA",IF(COUNTIF(RATEIOS!$A$2:$A$3142,$A1133)-COUNTIFS(RATEIOS!$A$2:$A$3142,$A1133,RATEIOS!$D$2:$D$3142,"&lt;&gt;")&gt;0,"NÃO CLASSIFICADO","RATEIO OK"))))</f>
        <v/>
      </c>
      <c r="R1133" s="49"/>
      <c r="S1133" s="14"/>
    </row>
    <row r="1134" spans="1:19" ht="24.95" customHeight="1" x14ac:dyDescent="0.25">
      <c r="A1134" s="49" t="str">
        <f>IF(C1134="","","BAN-01133")</f>
        <v/>
      </c>
      <c r="B1134" s="98" t="str">
        <f>IF(C1134="","",1133)</f>
        <v/>
      </c>
      <c r="C1134" s="50"/>
      <c r="D1134" s="49" t="str">
        <f t="shared" si="35"/>
        <v/>
      </c>
      <c r="E1134" s="92"/>
      <c r="F1134" s="49"/>
      <c r="G1134" s="14"/>
      <c r="H1134" s="14"/>
      <c r="I1134" s="76"/>
      <c r="J1134" s="73"/>
      <c r="K1134" s="74"/>
      <c r="L1134" s="72"/>
      <c r="M1134" s="72"/>
      <c r="N1134" s="72" t="str">
        <f>IF(AND(C1134="",J1134=0,K1134=0,L1134=0,M1134=0),"",CADASTROS!$B$4+SUM($J$2:J1134)+SUM($M$2:M1134)-SUM($K$2:K1134)-SUM($L$2:L1134))</f>
        <v/>
      </c>
      <c r="O1134" s="72" t="str">
        <f>IF(A1134="","",SUMIF(RATEIOS!$A$2:$A$3142,$A1134,RATEIOS!$F$2:$F$3142))</f>
        <v/>
      </c>
      <c r="P1134" s="15" t="str">
        <f t="shared" si="36"/>
        <v/>
      </c>
      <c r="Q1134" s="49" t="str">
        <f>IF(AND(J1134=0,K1134=0,L1134=0,M1134=0),"",IF(O1134=0,"PENDENTE DE RATEIO",IF(ABS(P1134)&gt;0.005,"DIVERGÊNCIA",IF(COUNTIF(RATEIOS!$A$2:$A$3142,$A1134)-COUNTIFS(RATEIOS!$A$2:$A$3142,$A1134,RATEIOS!$D$2:$D$3142,"&lt;&gt;")&gt;0,"NÃO CLASSIFICADO","RATEIO OK"))))</f>
        <v/>
      </c>
      <c r="R1134" s="49"/>
      <c r="S1134" s="14"/>
    </row>
    <row r="1135" spans="1:19" ht="24.95" customHeight="1" x14ac:dyDescent="0.25">
      <c r="A1135" s="49" t="str">
        <f>IF(C1135="","","BAN-01134")</f>
        <v/>
      </c>
      <c r="B1135" s="98" t="str">
        <f>IF(C1135="","",1134)</f>
        <v/>
      </c>
      <c r="C1135" s="50"/>
      <c r="D1135" s="49" t="str">
        <f t="shared" si="35"/>
        <v/>
      </c>
      <c r="E1135" s="92"/>
      <c r="F1135" s="49"/>
      <c r="G1135" s="14"/>
      <c r="H1135" s="14"/>
      <c r="I1135" s="76"/>
      <c r="J1135" s="73"/>
      <c r="K1135" s="74"/>
      <c r="L1135" s="72"/>
      <c r="M1135" s="72"/>
      <c r="N1135" s="72" t="str">
        <f>IF(AND(C1135="",J1135=0,K1135=0,L1135=0,M1135=0),"",CADASTROS!$B$4+SUM($J$2:J1135)+SUM($M$2:M1135)-SUM($K$2:K1135)-SUM($L$2:L1135))</f>
        <v/>
      </c>
      <c r="O1135" s="72" t="str">
        <f>IF(A1135="","",SUMIF(RATEIOS!$A$2:$A$3142,$A1135,RATEIOS!$F$2:$F$3142))</f>
        <v/>
      </c>
      <c r="P1135" s="15" t="str">
        <f t="shared" si="36"/>
        <v/>
      </c>
      <c r="Q1135" s="49" t="str">
        <f>IF(AND(J1135=0,K1135=0,L1135=0,M1135=0),"",IF(O1135=0,"PENDENTE DE RATEIO",IF(ABS(P1135)&gt;0.005,"DIVERGÊNCIA",IF(COUNTIF(RATEIOS!$A$2:$A$3142,$A1135)-COUNTIFS(RATEIOS!$A$2:$A$3142,$A1135,RATEIOS!$D$2:$D$3142,"&lt;&gt;")&gt;0,"NÃO CLASSIFICADO","RATEIO OK"))))</f>
        <v/>
      </c>
      <c r="R1135" s="49"/>
      <c r="S1135" s="14"/>
    </row>
    <row r="1136" spans="1:19" ht="24.95" customHeight="1" x14ac:dyDescent="0.25">
      <c r="A1136" s="49" t="str">
        <f>IF(C1136="","","BAN-01135")</f>
        <v/>
      </c>
      <c r="B1136" s="98" t="str">
        <f>IF(C1136="","",1135)</f>
        <v/>
      </c>
      <c r="C1136" s="50"/>
      <c r="D1136" s="49" t="str">
        <f t="shared" si="35"/>
        <v/>
      </c>
      <c r="E1136" s="92"/>
      <c r="F1136" s="49"/>
      <c r="G1136" s="14"/>
      <c r="H1136" s="14"/>
      <c r="I1136" s="76"/>
      <c r="J1136" s="73"/>
      <c r="K1136" s="74"/>
      <c r="L1136" s="72"/>
      <c r="M1136" s="72"/>
      <c r="N1136" s="72" t="str">
        <f>IF(AND(C1136="",J1136=0,K1136=0,L1136=0,M1136=0),"",CADASTROS!$B$4+SUM($J$2:J1136)+SUM($M$2:M1136)-SUM($K$2:K1136)-SUM($L$2:L1136))</f>
        <v/>
      </c>
      <c r="O1136" s="72" t="str">
        <f>IF(A1136="","",SUMIF(RATEIOS!$A$2:$A$3142,$A1136,RATEIOS!$F$2:$F$3142))</f>
        <v/>
      </c>
      <c r="P1136" s="15" t="str">
        <f t="shared" si="36"/>
        <v/>
      </c>
      <c r="Q1136" s="49" t="str">
        <f>IF(AND(J1136=0,K1136=0,L1136=0,M1136=0),"",IF(O1136=0,"PENDENTE DE RATEIO",IF(ABS(P1136)&gt;0.005,"DIVERGÊNCIA",IF(COUNTIF(RATEIOS!$A$2:$A$3142,$A1136)-COUNTIFS(RATEIOS!$A$2:$A$3142,$A1136,RATEIOS!$D$2:$D$3142,"&lt;&gt;")&gt;0,"NÃO CLASSIFICADO","RATEIO OK"))))</f>
        <v/>
      </c>
      <c r="R1136" s="49"/>
      <c r="S1136" s="14"/>
    </row>
    <row r="1137" spans="1:19" ht="24.95" customHeight="1" x14ac:dyDescent="0.25">
      <c r="A1137" s="49" t="str">
        <f>IF(C1137="","","BAN-01136")</f>
        <v/>
      </c>
      <c r="B1137" s="98" t="str">
        <f>IF(C1137="","",1136)</f>
        <v/>
      </c>
      <c r="C1137" s="50"/>
      <c r="D1137" s="49" t="str">
        <f t="shared" si="35"/>
        <v/>
      </c>
      <c r="E1137" s="92"/>
      <c r="F1137" s="49"/>
      <c r="G1137" s="14"/>
      <c r="H1137" s="14"/>
      <c r="I1137" s="76"/>
      <c r="J1137" s="73"/>
      <c r="K1137" s="74"/>
      <c r="L1137" s="72"/>
      <c r="M1137" s="72"/>
      <c r="N1137" s="72" t="str">
        <f>IF(AND(C1137="",J1137=0,K1137=0,L1137=0,M1137=0),"",CADASTROS!$B$4+SUM($J$2:J1137)+SUM($M$2:M1137)-SUM($K$2:K1137)-SUM($L$2:L1137))</f>
        <v/>
      </c>
      <c r="O1137" s="72" t="str">
        <f>IF(A1137="","",SUMIF(RATEIOS!$A$2:$A$3142,$A1137,RATEIOS!$F$2:$F$3142))</f>
        <v/>
      </c>
      <c r="P1137" s="15" t="str">
        <f t="shared" si="36"/>
        <v/>
      </c>
      <c r="Q1137" s="49" t="str">
        <f>IF(AND(J1137=0,K1137=0,L1137=0,M1137=0),"",IF(O1137=0,"PENDENTE DE RATEIO",IF(ABS(P1137)&gt;0.005,"DIVERGÊNCIA",IF(COUNTIF(RATEIOS!$A$2:$A$3142,$A1137)-COUNTIFS(RATEIOS!$A$2:$A$3142,$A1137,RATEIOS!$D$2:$D$3142,"&lt;&gt;")&gt;0,"NÃO CLASSIFICADO","RATEIO OK"))))</f>
        <v/>
      </c>
      <c r="R1137" s="49"/>
      <c r="S1137" s="14"/>
    </row>
    <row r="1138" spans="1:19" ht="24.95" customHeight="1" x14ac:dyDescent="0.25">
      <c r="A1138" s="49" t="str">
        <f>IF(C1138="","","BAN-01137")</f>
        <v/>
      </c>
      <c r="B1138" s="98" t="str">
        <f>IF(C1138="","",1137)</f>
        <v/>
      </c>
      <c r="C1138" s="50"/>
      <c r="D1138" s="49" t="str">
        <f t="shared" si="35"/>
        <v/>
      </c>
      <c r="E1138" s="92"/>
      <c r="F1138" s="49"/>
      <c r="G1138" s="14"/>
      <c r="H1138" s="14"/>
      <c r="I1138" s="76"/>
      <c r="J1138" s="73"/>
      <c r="K1138" s="74"/>
      <c r="L1138" s="72"/>
      <c r="M1138" s="72"/>
      <c r="N1138" s="72" t="str">
        <f>IF(AND(C1138="",J1138=0,K1138=0,L1138=0,M1138=0),"",CADASTROS!$B$4+SUM($J$2:J1138)+SUM($M$2:M1138)-SUM($K$2:K1138)-SUM($L$2:L1138))</f>
        <v/>
      </c>
      <c r="O1138" s="72" t="str">
        <f>IF(A1138="","",SUMIF(RATEIOS!$A$2:$A$3142,$A1138,RATEIOS!$F$2:$F$3142))</f>
        <v/>
      </c>
      <c r="P1138" s="15" t="str">
        <f t="shared" si="36"/>
        <v/>
      </c>
      <c r="Q1138" s="49" t="str">
        <f>IF(AND(J1138=0,K1138=0,L1138=0,M1138=0),"",IF(O1138=0,"PENDENTE DE RATEIO",IF(ABS(P1138)&gt;0.005,"DIVERGÊNCIA",IF(COUNTIF(RATEIOS!$A$2:$A$3142,$A1138)-COUNTIFS(RATEIOS!$A$2:$A$3142,$A1138,RATEIOS!$D$2:$D$3142,"&lt;&gt;")&gt;0,"NÃO CLASSIFICADO","RATEIO OK"))))</f>
        <v/>
      </c>
      <c r="R1138" s="49"/>
      <c r="S1138" s="14"/>
    </row>
    <row r="1139" spans="1:19" ht="24.95" customHeight="1" x14ac:dyDescent="0.25">
      <c r="A1139" s="49" t="str">
        <f>IF(C1139="","","BAN-01138")</f>
        <v/>
      </c>
      <c r="B1139" s="98" t="str">
        <f>IF(C1139="","",1138)</f>
        <v/>
      </c>
      <c r="C1139" s="50"/>
      <c r="D1139" s="49" t="str">
        <f t="shared" si="35"/>
        <v/>
      </c>
      <c r="E1139" s="92"/>
      <c r="F1139" s="49"/>
      <c r="G1139" s="14"/>
      <c r="H1139" s="14"/>
      <c r="I1139" s="76"/>
      <c r="J1139" s="73"/>
      <c r="K1139" s="74"/>
      <c r="L1139" s="72"/>
      <c r="M1139" s="72"/>
      <c r="N1139" s="72" t="str">
        <f>IF(AND(C1139="",J1139=0,K1139=0,L1139=0,M1139=0),"",CADASTROS!$B$4+SUM($J$2:J1139)+SUM($M$2:M1139)-SUM($K$2:K1139)-SUM($L$2:L1139))</f>
        <v/>
      </c>
      <c r="O1139" s="72" t="str">
        <f>IF(A1139="","",SUMIF(RATEIOS!$A$2:$A$3142,$A1139,RATEIOS!$F$2:$F$3142))</f>
        <v/>
      </c>
      <c r="P1139" s="15" t="str">
        <f t="shared" si="36"/>
        <v/>
      </c>
      <c r="Q1139" s="49" t="str">
        <f>IF(AND(J1139=0,K1139=0,L1139=0,M1139=0),"",IF(O1139=0,"PENDENTE DE RATEIO",IF(ABS(P1139)&gt;0.005,"DIVERGÊNCIA",IF(COUNTIF(RATEIOS!$A$2:$A$3142,$A1139)-COUNTIFS(RATEIOS!$A$2:$A$3142,$A1139,RATEIOS!$D$2:$D$3142,"&lt;&gt;")&gt;0,"NÃO CLASSIFICADO","RATEIO OK"))))</f>
        <v/>
      </c>
      <c r="R1139" s="49"/>
      <c r="S1139" s="14"/>
    </row>
    <row r="1140" spans="1:19" ht="24.95" customHeight="1" x14ac:dyDescent="0.25">
      <c r="A1140" s="49" t="str">
        <f>IF(C1140="","","BAN-01139")</f>
        <v/>
      </c>
      <c r="B1140" s="98" t="str">
        <f>IF(C1140="","",1139)</f>
        <v/>
      </c>
      <c r="C1140" s="50"/>
      <c r="D1140" s="49" t="str">
        <f t="shared" si="35"/>
        <v/>
      </c>
      <c r="E1140" s="92"/>
      <c r="F1140" s="49"/>
      <c r="G1140" s="14"/>
      <c r="H1140" s="14"/>
      <c r="I1140" s="76"/>
      <c r="J1140" s="73"/>
      <c r="K1140" s="74"/>
      <c r="L1140" s="72"/>
      <c r="M1140" s="72"/>
      <c r="N1140" s="72" t="str">
        <f>IF(AND(C1140="",J1140=0,K1140=0,L1140=0,M1140=0),"",CADASTROS!$B$4+SUM($J$2:J1140)+SUM($M$2:M1140)-SUM($K$2:K1140)-SUM($L$2:L1140))</f>
        <v/>
      </c>
      <c r="O1140" s="72" t="str">
        <f>IF(A1140="","",SUMIF(RATEIOS!$A$2:$A$3142,$A1140,RATEIOS!$F$2:$F$3142))</f>
        <v/>
      </c>
      <c r="P1140" s="15" t="str">
        <f t="shared" si="36"/>
        <v/>
      </c>
      <c r="Q1140" s="49" t="str">
        <f>IF(AND(J1140=0,K1140=0,L1140=0,M1140=0),"",IF(O1140=0,"PENDENTE DE RATEIO",IF(ABS(P1140)&gt;0.005,"DIVERGÊNCIA",IF(COUNTIF(RATEIOS!$A$2:$A$3142,$A1140)-COUNTIFS(RATEIOS!$A$2:$A$3142,$A1140,RATEIOS!$D$2:$D$3142,"&lt;&gt;")&gt;0,"NÃO CLASSIFICADO","RATEIO OK"))))</f>
        <v/>
      </c>
      <c r="R1140" s="49"/>
      <c r="S1140" s="14"/>
    </row>
    <row r="1141" spans="1:19" ht="24.95" customHeight="1" x14ac:dyDescent="0.25">
      <c r="A1141" s="49" t="str">
        <f>IF(C1141="","","BAN-01140")</f>
        <v/>
      </c>
      <c r="B1141" s="98" t="str">
        <f>IF(C1141="","",1140)</f>
        <v/>
      </c>
      <c r="C1141" s="50"/>
      <c r="D1141" s="49" t="str">
        <f t="shared" si="35"/>
        <v/>
      </c>
      <c r="E1141" s="92"/>
      <c r="F1141" s="49"/>
      <c r="G1141" s="14"/>
      <c r="H1141" s="14"/>
      <c r="I1141" s="76"/>
      <c r="J1141" s="73"/>
      <c r="K1141" s="74"/>
      <c r="L1141" s="72"/>
      <c r="M1141" s="72"/>
      <c r="N1141" s="72" t="str">
        <f>IF(AND(C1141="",J1141=0,K1141=0,L1141=0,M1141=0),"",CADASTROS!$B$4+SUM($J$2:J1141)+SUM($M$2:M1141)-SUM($K$2:K1141)-SUM($L$2:L1141))</f>
        <v/>
      </c>
      <c r="O1141" s="72" t="str">
        <f>IF(A1141="","",SUMIF(RATEIOS!$A$2:$A$3142,$A1141,RATEIOS!$F$2:$F$3142))</f>
        <v/>
      </c>
      <c r="P1141" s="15" t="str">
        <f t="shared" si="36"/>
        <v/>
      </c>
      <c r="Q1141" s="49" t="str">
        <f>IF(AND(J1141=0,K1141=0,L1141=0,M1141=0),"",IF(O1141=0,"PENDENTE DE RATEIO",IF(ABS(P1141)&gt;0.005,"DIVERGÊNCIA",IF(COUNTIF(RATEIOS!$A$2:$A$3142,$A1141)-COUNTIFS(RATEIOS!$A$2:$A$3142,$A1141,RATEIOS!$D$2:$D$3142,"&lt;&gt;")&gt;0,"NÃO CLASSIFICADO","RATEIO OK"))))</f>
        <v/>
      </c>
      <c r="R1141" s="49"/>
      <c r="S1141" s="14"/>
    </row>
    <row r="1142" spans="1:19" ht="24.95" customHeight="1" x14ac:dyDescent="0.25">
      <c r="A1142" s="49" t="str">
        <f>IF(C1142="","","BAN-01141")</f>
        <v/>
      </c>
      <c r="B1142" s="98" t="str">
        <f>IF(C1142="","",1141)</f>
        <v/>
      </c>
      <c r="C1142" s="50"/>
      <c r="D1142" s="49" t="str">
        <f t="shared" si="35"/>
        <v/>
      </c>
      <c r="E1142" s="92"/>
      <c r="F1142" s="49"/>
      <c r="G1142" s="14"/>
      <c r="H1142" s="14"/>
      <c r="I1142" s="76"/>
      <c r="J1142" s="73"/>
      <c r="K1142" s="74"/>
      <c r="L1142" s="72"/>
      <c r="M1142" s="72"/>
      <c r="N1142" s="72" t="str">
        <f>IF(AND(C1142="",J1142=0,K1142=0,L1142=0,M1142=0),"",CADASTROS!$B$4+SUM($J$2:J1142)+SUM($M$2:M1142)-SUM($K$2:K1142)-SUM($L$2:L1142))</f>
        <v/>
      </c>
      <c r="O1142" s="72" t="str">
        <f>IF(A1142="","",SUMIF(RATEIOS!$A$2:$A$3142,$A1142,RATEIOS!$F$2:$F$3142))</f>
        <v/>
      </c>
      <c r="P1142" s="15" t="str">
        <f t="shared" si="36"/>
        <v/>
      </c>
      <c r="Q1142" s="49" t="str">
        <f>IF(AND(J1142=0,K1142=0,L1142=0,M1142=0),"",IF(O1142=0,"PENDENTE DE RATEIO",IF(ABS(P1142)&gt;0.005,"DIVERGÊNCIA",IF(COUNTIF(RATEIOS!$A$2:$A$3142,$A1142)-COUNTIFS(RATEIOS!$A$2:$A$3142,$A1142,RATEIOS!$D$2:$D$3142,"&lt;&gt;")&gt;0,"NÃO CLASSIFICADO","RATEIO OK"))))</f>
        <v/>
      </c>
      <c r="R1142" s="49"/>
      <c r="S1142" s="14"/>
    </row>
    <row r="1143" spans="1:19" ht="24.95" customHeight="1" x14ac:dyDescent="0.25">
      <c r="A1143" s="49" t="str">
        <f>IF(C1143="","","BAN-01142")</f>
        <v/>
      </c>
      <c r="B1143" s="98" t="str">
        <f>IF(C1143="","",1142)</f>
        <v/>
      </c>
      <c r="C1143" s="50"/>
      <c r="D1143" s="49" t="str">
        <f t="shared" si="35"/>
        <v/>
      </c>
      <c r="E1143" s="92"/>
      <c r="F1143" s="49"/>
      <c r="G1143" s="14"/>
      <c r="H1143" s="14"/>
      <c r="I1143" s="76"/>
      <c r="J1143" s="73"/>
      <c r="K1143" s="74"/>
      <c r="L1143" s="72"/>
      <c r="M1143" s="72"/>
      <c r="N1143" s="72" t="str">
        <f>IF(AND(C1143="",J1143=0,K1143=0,L1143=0,M1143=0),"",CADASTROS!$B$4+SUM($J$2:J1143)+SUM($M$2:M1143)-SUM($K$2:K1143)-SUM($L$2:L1143))</f>
        <v/>
      </c>
      <c r="O1143" s="72" t="str">
        <f>IF(A1143="","",SUMIF(RATEIOS!$A$2:$A$3142,$A1143,RATEIOS!$F$2:$F$3142))</f>
        <v/>
      </c>
      <c r="P1143" s="15" t="str">
        <f t="shared" si="36"/>
        <v/>
      </c>
      <c r="Q1143" s="49" t="str">
        <f>IF(AND(J1143=0,K1143=0,L1143=0,M1143=0),"",IF(O1143=0,"PENDENTE DE RATEIO",IF(ABS(P1143)&gt;0.005,"DIVERGÊNCIA",IF(COUNTIF(RATEIOS!$A$2:$A$3142,$A1143)-COUNTIFS(RATEIOS!$A$2:$A$3142,$A1143,RATEIOS!$D$2:$D$3142,"&lt;&gt;")&gt;0,"NÃO CLASSIFICADO","RATEIO OK"))))</f>
        <v/>
      </c>
      <c r="R1143" s="49"/>
      <c r="S1143" s="14"/>
    </row>
    <row r="1144" spans="1:19" ht="24.95" customHeight="1" x14ac:dyDescent="0.25">
      <c r="A1144" s="49" t="str">
        <f>IF(C1144="","","BAN-01143")</f>
        <v/>
      </c>
      <c r="B1144" s="98" t="str">
        <f>IF(C1144="","",1143)</f>
        <v/>
      </c>
      <c r="C1144" s="50"/>
      <c r="D1144" s="49" t="str">
        <f t="shared" si="35"/>
        <v/>
      </c>
      <c r="E1144" s="92"/>
      <c r="F1144" s="49"/>
      <c r="G1144" s="14"/>
      <c r="H1144" s="14"/>
      <c r="I1144" s="76"/>
      <c r="J1144" s="73"/>
      <c r="K1144" s="74"/>
      <c r="L1144" s="72"/>
      <c r="M1144" s="72"/>
      <c r="N1144" s="72" t="str">
        <f>IF(AND(C1144="",J1144=0,K1144=0,L1144=0,M1144=0),"",CADASTROS!$B$4+SUM($J$2:J1144)+SUM($M$2:M1144)-SUM($K$2:K1144)-SUM($L$2:L1144))</f>
        <v/>
      </c>
      <c r="O1144" s="72" t="str">
        <f>IF(A1144="","",SUMIF(RATEIOS!$A$2:$A$3142,$A1144,RATEIOS!$F$2:$F$3142))</f>
        <v/>
      </c>
      <c r="P1144" s="15" t="str">
        <f t="shared" si="36"/>
        <v/>
      </c>
      <c r="Q1144" s="49" t="str">
        <f>IF(AND(J1144=0,K1144=0,L1144=0,M1144=0),"",IF(O1144=0,"PENDENTE DE RATEIO",IF(ABS(P1144)&gt;0.005,"DIVERGÊNCIA",IF(COUNTIF(RATEIOS!$A$2:$A$3142,$A1144)-COUNTIFS(RATEIOS!$A$2:$A$3142,$A1144,RATEIOS!$D$2:$D$3142,"&lt;&gt;")&gt;0,"NÃO CLASSIFICADO","RATEIO OK"))))</f>
        <v/>
      </c>
      <c r="R1144" s="49"/>
      <c r="S1144" s="14"/>
    </row>
    <row r="1145" spans="1:19" ht="24.95" customHeight="1" x14ac:dyDescent="0.25">
      <c r="A1145" s="49" t="str">
        <f>IF(C1145="","","BAN-01144")</f>
        <v/>
      </c>
      <c r="B1145" s="98" t="str">
        <f>IF(C1145="","",1144)</f>
        <v/>
      </c>
      <c r="C1145" s="50"/>
      <c r="D1145" s="49" t="str">
        <f t="shared" si="35"/>
        <v/>
      </c>
      <c r="E1145" s="92"/>
      <c r="F1145" s="49"/>
      <c r="G1145" s="14"/>
      <c r="H1145" s="14"/>
      <c r="I1145" s="76"/>
      <c r="J1145" s="73"/>
      <c r="K1145" s="74"/>
      <c r="L1145" s="72"/>
      <c r="M1145" s="72"/>
      <c r="N1145" s="72" t="str">
        <f>IF(AND(C1145="",J1145=0,K1145=0,L1145=0,M1145=0),"",CADASTROS!$B$4+SUM($J$2:J1145)+SUM($M$2:M1145)-SUM($K$2:K1145)-SUM($L$2:L1145))</f>
        <v/>
      </c>
      <c r="O1145" s="72" t="str">
        <f>IF(A1145="","",SUMIF(RATEIOS!$A$2:$A$3142,$A1145,RATEIOS!$F$2:$F$3142))</f>
        <v/>
      </c>
      <c r="P1145" s="15" t="str">
        <f t="shared" si="36"/>
        <v/>
      </c>
      <c r="Q1145" s="49" t="str">
        <f>IF(AND(J1145=0,K1145=0,L1145=0,M1145=0),"",IF(O1145=0,"PENDENTE DE RATEIO",IF(ABS(P1145)&gt;0.005,"DIVERGÊNCIA",IF(COUNTIF(RATEIOS!$A$2:$A$3142,$A1145)-COUNTIFS(RATEIOS!$A$2:$A$3142,$A1145,RATEIOS!$D$2:$D$3142,"&lt;&gt;")&gt;0,"NÃO CLASSIFICADO","RATEIO OK"))))</f>
        <v/>
      </c>
      <c r="R1145" s="49"/>
      <c r="S1145" s="14"/>
    </row>
    <row r="1146" spans="1:19" ht="24.95" customHeight="1" x14ac:dyDescent="0.25">
      <c r="A1146" s="49" t="str">
        <f>IF(C1146="","","BAN-01145")</f>
        <v/>
      </c>
      <c r="B1146" s="98" t="str">
        <f>IF(C1146="","",1145)</f>
        <v/>
      </c>
      <c r="C1146" s="50"/>
      <c r="D1146" s="49" t="str">
        <f t="shared" si="35"/>
        <v/>
      </c>
      <c r="E1146" s="92"/>
      <c r="F1146" s="49"/>
      <c r="G1146" s="14"/>
      <c r="H1146" s="14"/>
      <c r="I1146" s="76"/>
      <c r="J1146" s="73"/>
      <c r="K1146" s="74"/>
      <c r="L1146" s="72"/>
      <c r="M1146" s="72"/>
      <c r="N1146" s="72" t="str">
        <f>IF(AND(C1146="",J1146=0,K1146=0,L1146=0,M1146=0),"",CADASTROS!$B$4+SUM($J$2:J1146)+SUM($M$2:M1146)-SUM($K$2:K1146)-SUM($L$2:L1146))</f>
        <v/>
      </c>
      <c r="O1146" s="72" t="str">
        <f>IF(A1146="","",SUMIF(RATEIOS!$A$2:$A$3142,$A1146,RATEIOS!$F$2:$F$3142))</f>
        <v/>
      </c>
      <c r="P1146" s="15" t="str">
        <f t="shared" si="36"/>
        <v/>
      </c>
      <c r="Q1146" s="49" t="str">
        <f>IF(AND(J1146=0,K1146=0,L1146=0,M1146=0),"",IF(O1146=0,"PENDENTE DE RATEIO",IF(ABS(P1146)&gt;0.005,"DIVERGÊNCIA",IF(COUNTIF(RATEIOS!$A$2:$A$3142,$A1146)-COUNTIFS(RATEIOS!$A$2:$A$3142,$A1146,RATEIOS!$D$2:$D$3142,"&lt;&gt;")&gt;0,"NÃO CLASSIFICADO","RATEIO OK"))))</f>
        <v/>
      </c>
      <c r="R1146" s="49"/>
      <c r="S1146" s="14"/>
    </row>
    <row r="1147" spans="1:19" ht="24.95" customHeight="1" x14ac:dyDescent="0.25">
      <c r="A1147" s="49" t="str">
        <f>IF(C1147="","","BAN-01146")</f>
        <v/>
      </c>
      <c r="B1147" s="98" t="str">
        <f>IF(C1147="","",1146)</f>
        <v/>
      </c>
      <c r="C1147" s="50"/>
      <c r="D1147" s="49" t="str">
        <f t="shared" si="35"/>
        <v/>
      </c>
      <c r="E1147" s="92"/>
      <c r="F1147" s="49"/>
      <c r="G1147" s="14"/>
      <c r="H1147" s="14"/>
      <c r="I1147" s="76"/>
      <c r="J1147" s="73"/>
      <c r="K1147" s="74"/>
      <c r="L1147" s="72"/>
      <c r="M1147" s="72"/>
      <c r="N1147" s="72" t="str">
        <f>IF(AND(C1147="",J1147=0,K1147=0,L1147=0,M1147=0),"",CADASTROS!$B$4+SUM($J$2:J1147)+SUM($M$2:M1147)-SUM($K$2:K1147)-SUM($L$2:L1147))</f>
        <v/>
      </c>
      <c r="O1147" s="72" t="str">
        <f>IF(A1147="","",SUMIF(RATEIOS!$A$2:$A$3142,$A1147,RATEIOS!$F$2:$F$3142))</f>
        <v/>
      </c>
      <c r="P1147" s="15" t="str">
        <f t="shared" si="36"/>
        <v/>
      </c>
      <c r="Q1147" s="49" t="str">
        <f>IF(AND(J1147=0,K1147=0,L1147=0,M1147=0),"",IF(O1147=0,"PENDENTE DE RATEIO",IF(ABS(P1147)&gt;0.005,"DIVERGÊNCIA",IF(COUNTIF(RATEIOS!$A$2:$A$3142,$A1147)-COUNTIFS(RATEIOS!$A$2:$A$3142,$A1147,RATEIOS!$D$2:$D$3142,"&lt;&gt;")&gt;0,"NÃO CLASSIFICADO","RATEIO OK"))))</f>
        <v/>
      </c>
      <c r="R1147" s="49"/>
      <c r="S1147" s="14"/>
    </row>
    <row r="1148" spans="1:19" ht="24.95" customHeight="1" x14ac:dyDescent="0.25">
      <c r="A1148" s="49" t="str">
        <f>IF(C1148="","","BAN-01147")</f>
        <v/>
      </c>
      <c r="B1148" s="98" t="str">
        <f>IF(C1148="","",1147)</f>
        <v/>
      </c>
      <c r="C1148" s="50"/>
      <c r="D1148" s="49" t="str">
        <f t="shared" si="35"/>
        <v/>
      </c>
      <c r="E1148" s="92"/>
      <c r="F1148" s="49"/>
      <c r="G1148" s="14"/>
      <c r="H1148" s="14"/>
      <c r="I1148" s="76"/>
      <c r="J1148" s="73"/>
      <c r="K1148" s="74"/>
      <c r="L1148" s="72"/>
      <c r="M1148" s="72"/>
      <c r="N1148" s="72" t="str">
        <f>IF(AND(C1148="",J1148=0,K1148=0,L1148=0,M1148=0),"",CADASTROS!$B$4+SUM($J$2:J1148)+SUM($M$2:M1148)-SUM($K$2:K1148)-SUM($L$2:L1148))</f>
        <v/>
      </c>
      <c r="O1148" s="72" t="str">
        <f>IF(A1148="","",SUMIF(RATEIOS!$A$2:$A$3142,$A1148,RATEIOS!$F$2:$F$3142))</f>
        <v/>
      </c>
      <c r="P1148" s="15" t="str">
        <f t="shared" si="36"/>
        <v/>
      </c>
      <c r="Q1148" s="49" t="str">
        <f>IF(AND(J1148=0,K1148=0,L1148=0,M1148=0),"",IF(O1148=0,"PENDENTE DE RATEIO",IF(ABS(P1148)&gt;0.005,"DIVERGÊNCIA",IF(COUNTIF(RATEIOS!$A$2:$A$3142,$A1148)-COUNTIFS(RATEIOS!$A$2:$A$3142,$A1148,RATEIOS!$D$2:$D$3142,"&lt;&gt;")&gt;0,"NÃO CLASSIFICADO","RATEIO OK"))))</f>
        <v/>
      </c>
      <c r="R1148" s="49"/>
      <c r="S1148" s="14"/>
    </row>
    <row r="1149" spans="1:19" ht="24.95" customHeight="1" x14ac:dyDescent="0.25">
      <c r="A1149" s="49" t="str">
        <f>IF(C1149="","","BAN-01148")</f>
        <v/>
      </c>
      <c r="B1149" s="98" t="str">
        <f>IF(C1149="","",1148)</f>
        <v/>
      </c>
      <c r="C1149" s="50"/>
      <c r="D1149" s="49" t="str">
        <f t="shared" si="35"/>
        <v/>
      </c>
      <c r="E1149" s="92"/>
      <c r="F1149" s="49"/>
      <c r="G1149" s="14"/>
      <c r="H1149" s="14"/>
      <c r="I1149" s="76"/>
      <c r="J1149" s="73"/>
      <c r="K1149" s="74"/>
      <c r="L1149" s="72"/>
      <c r="M1149" s="72"/>
      <c r="N1149" s="72" t="str">
        <f>IF(AND(C1149="",J1149=0,K1149=0,L1149=0,M1149=0),"",CADASTROS!$B$4+SUM($J$2:J1149)+SUM($M$2:M1149)-SUM($K$2:K1149)-SUM($L$2:L1149))</f>
        <v/>
      </c>
      <c r="O1149" s="72" t="str">
        <f>IF(A1149="","",SUMIF(RATEIOS!$A$2:$A$3142,$A1149,RATEIOS!$F$2:$F$3142))</f>
        <v/>
      </c>
      <c r="P1149" s="15" t="str">
        <f t="shared" si="36"/>
        <v/>
      </c>
      <c r="Q1149" s="49" t="str">
        <f>IF(AND(J1149=0,K1149=0,L1149=0,M1149=0),"",IF(O1149=0,"PENDENTE DE RATEIO",IF(ABS(P1149)&gt;0.005,"DIVERGÊNCIA",IF(COUNTIF(RATEIOS!$A$2:$A$3142,$A1149)-COUNTIFS(RATEIOS!$A$2:$A$3142,$A1149,RATEIOS!$D$2:$D$3142,"&lt;&gt;")&gt;0,"NÃO CLASSIFICADO","RATEIO OK"))))</f>
        <v/>
      </c>
      <c r="R1149" s="49"/>
      <c r="S1149" s="14"/>
    </row>
    <row r="1150" spans="1:19" ht="24.95" customHeight="1" x14ac:dyDescent="0.25">
      <c r="A1150" s="49" t="str">
        <f>IF(C1150="","","BAN-01149")</f>
        <v/>
      </c>
      <c r="B1150" s="98" t="str">
        <f>IF(C1150="","",1149)</f>
        <v/>
      </c>
      <c r="C1150" s="50"/>
      <c r="D1150" s="49" t="str">
        <f t="shared" si="35"/>
        <v/>
      </c>
      <c r="E1150" s="92"/>
      <c r="F1150" s="49"/>
      <c r="G1150" s="14"/>
      <c r="H1150" s="14"/>
      <c r="I1150" s="76"/>
      <c r="J1150" s="73"/>
      <c r="K1150" s="74"/>
      <c r="L1150" s="72"/>
      <c r="M1150" s="72"/>
      <c r="N1150" s="72" t="str">
        <f>IF(AND(C1150="",J1150=0,K1150=0,L1150=0,M1150=0),"",CADASTROS!$B$4+SUM($J$2:J1150)+SUM($M$2:M1150)-SUM($K$2:K1150)-SUM($L$2:L1150))</f>
        <v/>
      </c>
      <c r="O1150" s="72" t="str">
        <f>IF(A1150="","",SUMIF(RATEIOS!$A$2:$A$3142,$A1150,RATEIOS!$F$2:$F$3142))</f>
        <v/>
      </c>
      <c r="P1150" s="15" t="str">
        <f t="shared" si="36"/>
        <v/>
      </c>
      <c r="Q1150" s="49" t="str">
        <f>IF(AND(J1150=0,K1150=0,L1150=0,M1150=0),"",IF(O1150=0,"PENDENTE DE RATEIO",IF(ABS(P1150)&gt;0.005,"DIVERGÊNCIA",IF(COUNTIF(RATEIOS!$A$2:$A$3142,$A1150)-COUNTIFS(RATEIOS!$A$2:$A$3142,$A1150,RATEIOS!$D$2:$D$3142,"&lt;&gt;")&gt;0,"NÃO CLASSIFICADO","RATEIO OK"))))</f>
        <v/>
      </c>
      <c r="R1150" s="49"/>
      <c r="S1150" s="14"/>
    </row>
    <row r="1151" spans="1:19" ht="24.95" customHeight="1" x14ac:dyDescent="0.25">
      <c r="A1151" s="49" t="str">
        <f>IF(C1151="","","BAN-01150")</f>
        <v/>
      </c>
      <c r="B1151" s="98" t="str">
        <f>IF(C1151="","",1150)</f>
        <v/>
      </c>
      <c r="C1151" s="50"/>
      <c r="D1151" s="49" t="str">
        <f t="shared" si="35"/>
        <v/>
      </c>
      <c r="E1151" s="92"/>
      <c r="F1151" s="49"/>
      <c r="G1151" s="14"/>
      <c r="H1151" s="14"/>
      <c r="I1151" s="76"/>
      <c r="J1151" s="73"/>
      <c r="K1151" s="74"/>
      <c r="L1151" s="72"/>
      <c r="M1151" s="72"/>
      <c r="N1151" s="72" t="str">
        <f>IF(AND(C1151="",J1151=0,K1151=0,L1151=0,M1151=0),"",CADASTROS!$B$4+SUM($J$2:J1151)+SUM($M$2:M1151)-SUM($K$2:K1151)-SUM($L$2:L1151))</f>
        <v/>
      </c>
      <c r="O1151" s="72" t="str">
        <f>IF(A1151="","",SUMIF(RATEIOS!$A$2:$A$3142,$A1151,RATEIOS!$F$2:$F$3142))</f>
        <v/>
      </c>
      <c r="P1151" s="15" t="str">
        <f t="shared" si="36"/>
        <v/>
      </c>
      <c r="Q1151" s="49" t="str">
        <f>IF(AND(J1151=0,K1151=0,L1151=0,M1151=0),"",IF(O1151=0,"PENDENTE DE RATEIO",IF(ABS(P1151)&gt;0.005,"DIVERGÊNCIA",IF(COUNTIF(RATEIOS!$A$2:$A$3142,$A1151)-COUNTIFS(RATEIOS!$A$2:$A$3142,$A1151,RATEIOS!$D$2:$D$3142,"&lt;&gt;")&gt;0,"NÃO CLASSIFICADO","RATEIO OK"))))</f>
        <v/>
      </c>
      <c r="R1151" s="49"/>
      <c r="S1151" s="14"/>
    </row>
    <row r="1152" spans="1:19" ht="24.95" customHeight="1" x14ac:dyDescent="0.25">
      <c r="A1152" s="49" t="str">
        <f>IF(C1152="","","BAN-01151")</f>
        <v/>
      </c>
      <c r="B1152" s="98" t="str">
        <f>IF(C1152="","",1151)</f>
        <v/>
      </c>
      <c r="C1152" s="50"/>
      <c r="D1152" s="49" t="str">
        <f t="shared" si="35"/>
        <v/>
      </c>
      <c r="E1152" s="92"/>
      <c r="F1152" s="49"/>
      <c r="G1152" s="14"/>
      <c r="H1152" s="14"/>
      <c r="I1152" s="76"/>
      <c r="J1152" s="73"/>
      <c r="K1152" s="74"/>
      <c r="L1152" s="72"/>
      <c r="M1152" s="72"/>
      <c r="N1152" s="72" t="str">
        <f>IF(AND(C1152="",J1152=0,K1152=0,L1152=0,M1152=0),"",CADASTROS!$B$4+SUM($J$2:J1152)+SUM($M$2:M1152)-SUM($K$2:K1152)-SUM($L$2:L1152))</f>
        <v/>
      </c>
      <c r="O1152" s="72" t="str">
        <f>IF(A1152="","",SUMIF(RATEIOS!$A$2:$A$3142,$A1152,RATEIOS!$F$2:$F$3142))</f>
        <v/>
      </c>
      <c r="P1152" s="15" t="str">
        <f t="shared" si="36"/>
        <v/>
      </c>
      <c r="Q1152" s="49" t="str">
        <f>IF(AND(J1152=0,K1152=0,L1152=0,M1152=0),"",IF(O1152=0,"PENDENTE DE RATEIO",IF(ABS(P1152)&gt;0.005,"DIVERGÊNCIA",IF(COUNTIF(RATEIOS!$A$2:$A$3142,$A1152)-COUNTIFS(RATEIOS!$A$2:$A$3142,$A1152,RATEIOS!$D$2:$D$3142,"&lt;&gt;")&gt;0,"NÃO CLASSIFICADO","RATEIO OK"))))</f>
        <v/>
      </c>
      <c r="R1152" s="49"/>
      <c r="S1152" s="14"/>
    </row>
    <row r="1153" spans="1:19" ht="24.95" customHeight="1" x14ac:dyDescent="0.25">
      <c r="A1153" s="49" t="str">
        <f>IF(C1153="","","BAN-01152")</f>
        <v/>
      </c>
      <c r="B1153" s="98" t="str">
        <f>IF(C1153="","",1152)</f>
        <v/>
      </c>
      <c r="C1153" s="50"/>
      <c r="D1153" s="49" t="str">
        <f t="shared" si="35"/>
        <v/>
      </c>
      <c r="E1153" s="92"/>
      <c r="F1153" s="49"/>
      <c r="G1153" s="14"/>
      <c r="H1153" s="14"/>
      <c r="I1153" s="76"/>
      <c r="J1153" s="73"/>
      <c r="K1153" s="74"/>
      <c r="L1153" s="72"/>
      <c r="M1153" s="72"/>
      <c r="N1153" s="72" t="str">
        <f>IF(AND(C1153="",J1153=0,K1153=0,L1153=0,M1153=0),"",CADASTROS!$B$4+SUM($J$2:J1153)+SUM($M$2:M1153)-SUM($K$2:K1153)-SUM($L$2:L1153))</f>
        <v/>
      </c>
      <c r="O1153" s="72" t="str">
        <f>IF(A1153="","",SUMIF(RATEIOS!$A$2:$A$3142,$A1153,RATEIOS!$F$2:$F$3142))</f>
        <v/>
      </c>
      <c r="P1153" s="15" t="str">
        <f t="shared" si="36"/>
        <v/>
      </c>
      <c r="Q1153" s="49" t="str">
        <f>IF(AND(J1153=0,K1153=0,L1153=0,M1153=0),"",IF(O1153=0,"PENDENTE DE RATEIO",IF(ABS(P1153)&gt;0.005,"DIVERGÊNCIA",IF(COUNTIF(RATEIOS!$A$2:$A$3142,$A1153)-COUNTIFS(RATEIOS!$A$2:$A$3142,$A1153,RATEIOS!$D$2:$D$3142,"&lt;&gt;")&gt;0,"NÃO CLASSIFICADO","RATEIO OK"))))</f>
        <v/>
      </c>
      <c r="R1153" s="49"/>
      <c r="S1153" s="14"/>
    </row>
    <row r="1154" spans="1:19" ht="24.95" customHeight="1" x14ac:dyDescent="0.25">
      <c r="A1154" s="49" t="str">
        <f>IF(C1154="","","BAN-01153")</f>
        <v/>
      </c>
      <c r="B1154" s="98" t="str">
        <f>IF(C1154="","",1153)</f>
        <v/>
      </c>
      <c r="C1154" s="50"/>
      <c r="D1154" s="49" t="str">
        <f t="shared" ref="D1154:D1217" si="37">IF(C1154="","",MONTH(C1154))</f>
        <v/>
      </c>
      <c r="E1154" s="92"/>
      <c r="F1154" s="49"/>
      <c r="G1154" s="14"/>
      <c r="H1154" s="14"/>
      <c r="I1154" s="76"/>
      <c r="J1154" s="73"/>
      <c r="K1154" s="74"/>
      <c r="L1154" s="72"/>
      <c r="M1154" s="72"/>
      <c r="N1154" s="72" t="str">
        <f>IF(AND(C1154="",J1154=0,K1154=0,L1154=0,M1154=0),"",CADASTROS!$B$4+SUM($J$2:J1154)+SUM($M$2:M1154)-SUM($K$2:K1154)-SUM($L$2:L1154))</f>
        <v/>
      </c>
      <c r="O1154" s="72" t="str">
        <f>IF(A1154="","",SUMIF(RATEIOS!$A$2:$A$3142,$A1154,RATEIOS!$F$2:$F$3142))</f>
        <v/>
      </c>
      <c r="P1154" s="15" t="str">
        <f t="shared" ref="P1154:P1217" si="38">IF(A1154="","",(J1154+K1154+L1154+M1154)-O1154)</f>
        <v/>
      </c>
      <c r="Q1154" s="49" t="str">
        <f>IF(AND(J1154=0,K1154=0,L1154=0,M1154=0),"",IF(O1154=0,"PENDENTE DE RATEIO",IF(ABS(P1154)&gt;0.005,"DIVERGÊNCIA",IF(COUNTIF(RATEIOS!$A$2:$A$3142,$A1154)-COUNTIFS(RATEIOS!$A$2:$A$3142,$A1154,RATEIOS!$D$2:$D$3142,"&lt;&gt;")&gt;0,"NÃO CLASSIFICADO","RATEIO OK"))))</f>
        <v/>
      </c>
      <c r="R1154" s="49"/>
      <c r="S1154" s="14"/>
    </row>
    <row r="1155" spans="1:19" ht="24.95" customHeight="1" x14ac:dyDescent="0.25">
      <c r="A1155" s="49" t="str">
        <f>IF(C1155="","","BAN-01154")</f>
        <v/>
      </c>
      <c r="B1155" s="98" t="str">
        <f>IF(C1155="","",1154)</f>
        <v/>
      </c>
      <c r="C1155" s="50"/>
      <c r="D1155" s="49" t="str">
        <f t="shared" si="37"/>
        <v/>
      </c>
      <c r="E1155" s="92"/>
      <c r="F1155" s="49"/>
      <c r="G1155" s="14"/>
      <c r="H1155" s="14"/>
      <c r="I1155" s="76"/>
      <c r="J1155" s="73"/>
      <c r="K1155" s="74"/>
      <c r="L1155" s="72"/>
      <c r="M1155" s="72"/>
      <c r="N1155" s="72" t="str">
        <f>IF(AND(C1155="",J1155=0,K1155=0,L1155=0,M1155=0),"",CADASTROS!$B$4+SUM($J$2:J1155)+SUM($M$2:M1155)-SUM($K$2:K1155)-SUM($L$2:L1155))</f>
        <v/>
      </c>
      <c r="O1155" s="72" t="str">
        <f>IF(A1155="","",SUMIF(RATEIOS!$A$2:$A$3142,$A1155,RATEIOS!$F$2:$F$3142))</f>
        <v/>
      </c>
      <c r="P1155" s="15" t="str">
        <f t="shared" si="38"/>
        <v/>
      </c>
      <c r="Q1155" s="49" t="str">
        <f>IF(AND(J1155=0,K1155=0,L1155=0,M1155=0),"",IF(O1155=0,"PENDENTE DE RATEIO",IF(ABS(P1155)&gt;0.005,"DIVERGÊNCIA",IF(COUNTIF(RATEIOS!$A$2:$A$3142,$A1155)-COUNTIFS(RATEIOS!$A$2:$A$3142,$A1155,RATEIOS!$D$2:$D$3142,"&lt;&gt;")&gt;0,"NÃO CLASSIFICADO","RATEIO OK"))))</f>
        <v/>
      </c>
      <c r="R1155" s="49"/>
      <c r="S1155" s="14"/>
    </row>
    <row r="1156" spans="1:19" ht="24.95" customHeight="1" x14ac:dyDescent="0.25">
      <c r="A1156" s="49" t="str">
        <f>IF(C1156="","","BAN-01155")</f>
        <v/>
      </c>
      <c r="B1156" s="98" t="str">
        <f>IF(C1156="","",1155)</f>
        <v/>
      </c>
      <c r="C1156" s="50"/>
      <c r="D1156" s="49" t="str">
        <f t="shared" si="37"/>
        <v/>
      </c>
      <c r="E1156" s="92"/>
      <c r="F1156" s="49"/>
      <c r="G1156" s="14"/>
      <c r="H1156" s="14"/>
      <c r="I1156" s="76"/>
      <c r="J1156" s="73"/>
      <c r="K1156" s="74"/>
      <c r="L1156" s="72"/>
      <c r="M1156" s="72"/>
      <c r="N1156" s="72" t="str">
        <f>IF(AND(C1156="",J1156=0,K1156=0,L1156=0,M1156=0),"",CADASTROS!$B$4+SUM($J$2:J1156)+SUM($M$2:M1156)-SUM($K$2:K1156)-SUM($L$2:L1156))</f>
        <v/>
      </c>
      <c r="O1156" s="72" t="str">
        <f>IF(A1156="","",SUMIF(RATEIOS!$A$2:$A$3142,$A1156,RATEIOS!$F$2:$F$3142))</f>
        <v/>
      </c>
      <c r="P1156" s="15" t="str">
        <f t="shared" si="38"/>
        <v/>
      </c>
      <c r="Q1156" s="49" t="str">
        <f>IF(AND(J1156=0,K1156=0,L1156=0,M1156=0),"",IF(O1156=0,"PENDENTE DE RATEIO",IF(ABS(P1156)&gt;0.005,"DIVERGÊNCIA",IF(COUNTIF(RATEIOS!$A$2:$A$3142,$A1156)-COUNTIFS(RATEIOS!$A$2:$A$3142,$A1156,RATEIOS!$D$2:$D$3142,"&lt;&gt;")&gt;0,"NÃO CLASSIFICADO","RATEIO OK"))))</f>
        <v/>
      </c>
      <c r="R1156" s="49"/>
      <c r="S1156" s="14"/>
    </row>
    <row r="1157" spans="1:19" ht="24.95" customHeight="1" x14ac:dyDescent="0.25">
      <c r="A1157" s="49" t="str">
        <f>IF(C1157="","","BAN-01156")</f>
        <v/>
      </c>
      <c r="B1157" s="98" t="str">
        <f>IF(C1157="","",1156)</f>
        <v/>
      </c>
      <c r="C1157" s="50"/>
      <c r="D1157" s="49" t="str">
        <f t="shared" si="37"/>
        <v/>
      </c>
      <c r="E1157" s="92"/>
      <c r="F1157" s="49"/>
      <c r="G1157" s="14"/>
      <c r="H1157" s="14"/>
      <c r="I1157" s="76"/>
      <c r="J1157" s="73"/>
      <c r="K1157" s="74"/>
      <c r="L1157" s="72"/>
      <c r="M1157" s="72"/>
      <c r="N1157" s="72" t="str">
        <f>IF(AND(C1157="",J1157=0,K1157=0,L1157=0,M1157=0),"",CADASTROS!$B$4+SUM($J$2:J1157)+SUM($M$2:M1157)-SUM($K$2:K1157)-SUM($L$2:L1157))</f>
        <v/>
      </c>
      <c r="O1157" s="72" t="str">
        <f>IF(A1157="","",SUMIF(RATEIOS!$A$2:$A$3142,$A1157,RATEIOS!$F$2:$F$3142))</f>
        <v/>
      </c>
      <c r="P1157" s="15" t="str">
        <f t="shared" si="38"/>
        <v/>
      </c>
      <c r="Q1157" s="49" t="str">
        <f>IF(AND(J1157=0,K1157=0,L1157=0,M1157=0),"",IF(O1157=0,"PENDENTE DE RATEIO",IF(ABS(P1157)&gt;0.005,"DIVERGÊNCIA",IF(COUNTIF(RATEIOS!$A$2:$A$3142,$A1157)-COUNTIFS(RATEIOS!$A$2:$A$3142,$A1157,RATEIOS!$D$2:$D$3142,"&lt;&gt;")&gt;0,"NÃO CLASSIFICADO","RATEIO OK"))))</f>
        <v/>
      </c>
      <c r="R1157" s="49"/>
      <c r="S1157" s="14"/>
    </row>
    <row r="1158" spans="1:19" ht="24.95" customHeight="1" x14ac:dyDescent="0.25">
      <c r="A1158" s="49" t="str">
        <f>IF(C1158="","","BAN-01157")</f>
        <v/>
      </c>
      <c r="B1158" s="98" t="str">
        <f>IF(C1158="","",1157)</f>
        <v/>
      </c>
      <c r="C1158" s="50"/>
      <c r="D1158" s="49" t="str">
        <f t="shared" si="37"/>
        <v/>
      </c>
      <c r="E1158" s="92"/>
      <c r="F1158" s="49"/>
      <c r="G1158" s="14"/>
      <c r="H1158" s="14"/>
      <c r="I1158" s="76"/>
      <c r="J1158" s="73"/>
      <c r="K1158" s="74"/>
      <c r="L1158" s="72"/>
      <c r="M1158" s="72"/>
      <c r="N1158" s="72" t="str">
        <f>IF(AND(C1158="",J1158=0,K1158=0,L1158=0,M1158=0),"",CADASTROS!$B$4+SUM($J$2:J1158)+SUM($M$2:M1158)-SUM($K$2:K1158)-SUM($L$2:L1158))</f>
        <v/>
      </c>
      <c r="O1158" s="72" t="str">
        <f>IF(A1158="","",SUMIF(RATEIOS!$A$2:$A$3142,$A1158,RATEIOS!$F$2:$F$3142))</f>
        <v/>
      </c>
      <c r="P1158" s="15" t="str">
        <f t="shared" si="38"/>
        <v/>
      </c>
      <c r="Q1158" s="49" t="str">
        <f>IF(AND(J1158=0,K1158=0,L1158=0,M1158=0),"",IF(O1158=0,"PENDENTE DE RATEIO",IF(ABS(P1158)&gt;0.005,"DIVERGÊNCIA",IF(COUNTIF(RATEIOS!$A$2:$A$3142,$A1158)-COUNTIFS(RATEIOS!$A$2:$A$3142,$A1158,RATEIOS!$D$2:$D$3142,"&lt;&gt;")&gt;0,"NÃO CLASSIFICADO","RATEIO OK"))))</f>
        <v/>
      </c>
      <c r="R1158" s="49"/>
      <c r="S1158" s="14"/>
    </row>
    <row r="1159" spans="1:19" ht="24.95" customHeight="1" x14ac:dyDescent="0.25">
      <c r="A1159" s="49" t="str">
        <f>IF(C1159="","","BAN-01158")</f>
        <v/>
      </c>
      <c r="B1159" s="98" t="str">
        <f>IF(C1159="","",1158)</f>
        <v/>
      </c>
      <c r="C1159" s="50"/>
      <c r="D1159" s="49" t="str">
        <f t="shared" si="37"/>
        <v/>
      </c>
      <c r="E1159" s="92"/>
      <c r="F1159" s="49"/>
      <c r="G1159" s="14"/>
      <c r="H1159" s="14"/>
      <c r="I1159" s="76"/>
      <c r="J1159" s="73"/>
      <c r="K1159" s="74"/>
      <c r="L1159" s="72"/>
      <c r="M1159" s="72"/>
      <c r="N1159" s="72" t="str">
        <f>IF(AND(C1159="",J1159=0,K1159=0,L1159=0,M1159=0),"",CADASTROS!$B$4+SUM($J$2:J1159)+SUM($M$2:M1159)-SUM($K$2:K1159)-SUM($L$2:L1159))</f>
        <v/>
      </c>
      <c r="O1159" s="72" t="str">
        <f>IF(A1159="","",SUMIF(RATEIOS!$A$2:$A$3142,$A1159,RATEIOS!$F$2:$F$3142))</f>
        <v/>
      </c>
      <c r="P1159" s="15" t="str">
        <f t="shared" si="38"/>
        <v/>
      </c>
      <c r="Q1159" s="49" t="str">
        <f>IF(AND(J1159=0,K1159=0,L1159=0,M1159=0),"",IF(O1159=0,"PENDENTE DE RATEIO",IF(ABS(P1159)&gt;0.005,"DIVERGÊNCIA",IF(COUNTIF(RATEIOS!$A$2:$A$3142,$A1159)-COUNTIFS(RATEIOS!$A$2:$A$3142,$A1159,RATEIOS!$D$2:$D$3142,"&lt;&gt;")&gt;0,"NÃO CLASSIFICADO","RATEIO OK"))))</f>
        <v/>
      </c>
      <c r="R1159" s="49"/>
      <c r="S1159" s="14"/>
    </row>
    <row r="1160" spans="1:19" ht="24.95" customHeight="1" x14ac:dyDescent="0.25">
      <c r="A1160" s="49" t="str">
        <f>IF(C1160="","","BAN-01159")</f>
        <v/>
      </c>
      <c r="B1160" s="98" t="str">
        <f>IF(C1160="","",1159)</f>
        <v/>
      </c>
      <c r="C1160" s="50"/>
      <c r="D1160" s="49" t="str">
        <f t="shared" si="37"/>
        <v/>
      </c>
      <c r="E1160" s="92"/>
      <c r="F1160" s="49"/>
      <c r="G1160" s="14"/>
      <c r="H1160" s="14"/>
      <c r="I1160" s="76"/>
      <c r="J1160" s="73"/>
      <c r="K1160" s="74"/>
      <c r="L1160" s="72"/>
      <c r="M1160" s="72"/>
      <c r="N1160" s="72" t="str">
        <f>IF(AND(C1160="",J1160=0,K1160=0,L1160=0,M1160=0),"",CADASTROS!$B$4+SUM($J$2:J1160)+SUM($M$2:M1160)-SUM($K$2:K1160)-SUM($L$2:L1160))</f>
        <v/>
      </c>
      <c r="O1160" s="72" t="str">
        <f>IF(A1160="","",SUMIF(RATEIOS!$A$2:$A$3142,$A1160,RATEIOS!$F$2:$F$3142))</f>
        <v/>
      </c>
      <c r="P1160" s="15" t="str">
        <f t="shared" si="38"/>
        <v/>
      </c>
      <c r="Q1160" s="49" t="str">
        <f>IF(AND(J1160=0,K1160=0,L1160=0,M1160=0),"",IF(O1160=0,"PENDENTE DE RATEIO",IF(ABS(P1160)&gt;0.005,"DIVERGÊNCIA",IF(COUNTIF(RATEIOS!$A$2:$A$3142,$A1160)-COUNTIFS(RATEIOS!$A$2:$A$3142,$A1160,RATEIOS!$D$2:$D$3142,"&lt;&gt;")&gt;0,"NÃO CLASSIFICADO","RATEIO OK"))))</f>
        <v/>
      </c>
      <c r="R1160" s="49"/>
      <c r="S1160" s="14"/>
    </row>
    <row r="1161" spans="1:19" ht="24.95" customHeight="1" x14ac:dyDescent="0.25">
      <c r="A1161" s="49" t="str">
        <f>IF(C1161="","","BAN-01160")</f>
        <v/>
      </c>
      <c r="B1161" s="98" t="str">
        <f>IF(C1161="","",1160)</f>
        <v/>
      </c>
      <c r="C1161" s="50"/>
      <c r="D1161" s="49" t="str">
        <f t="shared" si="37"/>
        <v/>
      </c>
      <c r="E1161" s="92"/>
      <c r="F1161" s="49"/>
      <c r="G1161" s="14"/>
      <c r="H1161" s="14"/>
      <c r="I1161" s="76"/>
      <c r="J1161" s="73"/>
      <c r="K1161" s="74"/>
      <c r="L1161" s="72"/>
      <c r="M1161" s="72"/>
      <c r="N1161" s="72" t="str">
        <f>IF(AND(C1161="",J1161=0,K1161=0,L1161=0,M1161=0),"",CADASTROS!$B$4+SUM($J$2:J1161)+SUM($M$2:M1161)-SUM($K$2:K1161)-SUM($L$2:L1161))</f>
        <v/>
      </c>
      <c r="O1161" s="72" t="str">
        <f>IF(A1161="","",SUMIF(RATEIOS!$A$2:$A$3142,$A1161,RATEIOS!$F$2:$F$3142))</f>
        <v/>
      </c>
      <c r="P1161" s="15" t="str">
        <f t="shared" si="38"/>
        <v/>
      </c>
      <c r="Q1161" s="49" t="str">
        <f>IF(AND(J1161=0,K1161=0,L1161=0,M1161=0),"",IF(O1161=0,"PENDENTE DE RATEIO",IF(ABS(P1161)&gt;0.005,"DIVERGÊNCIA",IF(COUNTIF(RATEIOS!$A$2:$A$3142,$A1161)-COUNTIFS(RATEIOS!$A$2:$A$3142,$A1161,RATEIOS!$D$2:$D$3142,"&lt;&gt;")&gt;0,"NÃO CLASSIFICADO","RATEIO OK"))))</f>
        <v/>
      </c>
      <c r="R1161" s="49"/>
      <c r="S1161" s="14"/>
    </row>
    <row r="1162" spans="1:19" ht="24.95" customHeight="1" x14ac:dyDescent="0.25">
      <c r="A1162" s="49" t="str">
        <f>IF(C1162="","","BAN-01161")</f>
        <v/>
      </c>
      <c r="B1162" s="98" t="str">
        <f>IF(C1162="","",1161)</f>
        <v/>
      </c>
      <c r="C1162" s="50"/>
      <c r="D1162" s="49" t="str">
        <f t="shared" si="37"/>
        <v/>
      </c>
      <c r="E1162" s="92"/>
      <c r="F1162" s="49"/>
      <c r="G1162" s="14"/>
      <c r="H1162" s="14"/>
      <c r="I1162" s="76"/>
      <c r="J1162" s="73"/>
      <c r="K1162" s="74"/>
      <c r="L1162" s="72"/>
      <c r="M1162" s="72"/>
      <c r="N1162" s="72" t="str">
        <f>IF(AND(C1162="",J1162=0,K1162=0,L1162=0,M1162=0),"",CADASTROS!$B$4+SUM($J$2:J1162)+SUM($M$2:M1162)-SUM($K$2:K1162)-SUM($L$2:L1162))</f>
        <v/>
      </c>
      <c r="O1162" s="72" t="str">
        <f>IF(A1162="","",SUMIF(RATEIOS!$A$2:$A$3142,$A1162,RATEIOS!$F$2:$F$3142))</f>
        <v/>
      </c>
      <c r="P1162" s="15" t="str">
        <f t="shared" si="38"/>
        <v/>
      </c>
      <c r="Q1162" s="49" t="str">
        <f>IF(AND(J1162=0,K1162=0,L1162=0,M1162=0),"",IF(O1162=0,"PENDENTE DE RATEIO",IF(ABS(P1162)&gt;0.005,"DIVERGÊNCIA",IF(COUNTIF(RATEIOS!$A$2:$A$3142,$A1162)-COUNTIFS(RATEIOS!$A$2:$A$3142,$A1162,RATEIOS!$D$2:$D$3142,"&lt;&gt;")&gt;0,"NÃO CLASSIFICADO","RATEIO OK"))))</f>
        <v/>
      </c>
      <c r="R1162" s="49"/>
      <c r="S1162" s="14"/>
    </row>
    <row r="1163" spans="1:19" ht="24.95" customHeight="1" x14ac:dyDescent="0.25">
      <c r="A1163" s="49" t="str">
        <f>IF(C1163="","","BAN-01162")</f>
        <v/>
      </c>
      <c r="B1163" s="98" t="str">
        <f>IF(C1163="","",1162)</f>
        <v/>
      </c>
      <c r="C1163" s="50"/>
      <c r="D1163" s="49" t="str">
        <f t="shared" si="37"/>
        <v/>
      </c>
      <c r="E1163" s="92"/>
      <c r="F1163" s="49"/>
      <c r="G1163" s="14"/>
      <c r="H1163" s="14"/>
      <c r="I1163" s="76"/>
      <c r="J1163" s="73"/>
      <c r="K1163" s="74"/>
      <c r="L1163" s="72"/>
      <c r="M1163" s="72"/>
      <c r="N1163" s="72" t="str">
        <f>IF(AND(C1163="",J1163=0,K1163=0,L1163=0,M1163=0),"",CADASTROS!$B$4+SUM($J$2:J1163)+SUM($M$2:M1163)-SUM($K$2:K1163)-SUM($L$2:L1163))</f>
        <v/>
      </c>
      <c r="O1163" s="72" t="str">
        <f>IF(A1163="","",SUMIF(RATEIOS!$A$2:$A$3142,$A1163,RATEIOS!$F$2:$F$3142))</f>
        <v/>
      </c>
      <c r="P1163" s="15" t="str">
        <f t="shared" si="38"/>
        <v/>
      </c>
      <c r="Q1163" s="49" t="str">
        <f>IF(AND(J1163=0,K1163=0,L1163=0,M1163=0),"",IF(O1163=0,"PENDENTE DE RATEIO",IF(ABS(P1163)&gt;0.005,"DIVERGÊNCIA",IF(COUNTIF(RATEIOS!$A$2:$A$3142,$A1163)-COUNTIFS(RATEIOS!$A$2:$A$3142,$A1163,RATEIOS!$D$2:$D$3142,"&lt;&gt;")&gt;0,"NÃO CLASSIFICADO","RATEIO OK"))))</f>
        <v/>
      </c>
      <c r="R1163" s="49"/>
      <c r="S1163" s="14"/>
    </row>
    <row r="1164" spans="1:19" ht="24.95" customHeight="1" x14ac:dyDescent="0.25">
      <c r="A1164" s="49" t="str">
        <f>IF(C1164="","","BAN-01163")</f>
        <v/>
      </c>
      <c r="B1164" s="98" t="str">
        <f>IF(C1164="","",1163)</f>
        <v/>
      </c>
      <c r="C1164" s="50"/>
      <c r="D1164" s="49" t="str">
        <f t="shared" si="37"/>
        <v/>
      </c>
      <c r="E1164" s="92"/>
      <c r="F1164" s="49"/>
      <c r="G1164" s="14"/>
      <c r="H1164" s="14"/>
      <c r="I1164" s="76"/>
      <c r="J1164" s="73"/>
      <c r="K1164" s="74"/>
      <c r="L1164" s="72"/>
      <c r="M1164" s="72"/>
      <c r="N1164" s="72" t="str">
        <f>IF(AND(C1164="",J1164=0,K1164=0,L1164=0,M1164=0),"",CADASTROS!$B$4+SUM($J$2:J1164)+SUM($M$2:M1164)-SUM($K$2:K1164)-SUM($L$2:L1164))</f>
        <v/>
      </c>
      <c r="O1164" s="72" t="str">
        <f>IF(A1164="","",SUMIF(RATEIOS!$A$2:$A$3142,$A1164,RATEIOS!$F$2:$F$3142))</f>
        <v/>
      </c>
      <c r="P1164" s="15" t="str">
        <f t="shared" si="38"/>
        <v/>
      </c>
      <c r="Q1164" s="49" t="str">
        <f>IF(AND(J1164=0,K1164=0,L1164=0,M1164=0),"",IF(O1164=0,"PENDENTE DE RATEIO",IF(ABS(P1164)&gt;0.005,"DIVERGÊNCIA",IF(COUNTIF(RATEIOS!$A$2:$A$3142,$A1164)-COUNTIFS(RATEIOS!$A$2:$A$3142,$A1164,RATEIOS!$D$2:$D$3142,"&lt;&gt;")&gt;0,"NÃO CLASSIFICADO","RATEIO OK"))))</f>
        <v/>
      </c>
      <c r="R1164" s="49"/>
      <c r="S1164" s="14"/>
    </row>
    <row r="1165" spans="1:19" ht="24.95" customHeight="1" x14ac:dyDescent="0.25">
      <c r="A1165" s="49" t="str">
        <f>IF(C1165="","","BAN-01164")</f>
        <v/>
      </c>
      <c r="B1165" s="98" t="str">
        <f>IF(C1165="","",1164)</f>
        <v/>
      </c>
      <c r="C1165" s="50"/>
      <c r="D1165" s="49" t="str">
        <f t="shared" si="37"/>
        <v/>
      </c>
      <c r="E1165" s="92"/>
      <c r="F1165" s="49"/>
      <c r="G1165" s="14"/>
      <c r="H1165" s="14"/>
      <c r="I1165" s="76"/>
      <c r="J1165" s="73"/>
      <c r="K1165" s="74"/>
      <c r="L1165" s="72"/>
      <c r="M1165" s="72"/>
      <c r="N1165" s="72" t="str">
        <f>IF(AND(C1165="",J1165=0,K1165=0,L1165=0,M1165=0),"",CADASTROS!$B$4+SUM($J$2:J1165)+SUM($M$2:M1165)-SUM($K$2:K1165)-SUM($L$2:L1165))</f>
        <v/>
      </c>
      <c r="O1165" s="72" t="str">
        <f>IF(A1165="","",SUMIF(RATEIOS!$A$2:$A$3142,$A1165,RATEIOS!$F$2:$F$3142))</f>
        <v/>
      </c>
      <c r="P1165" s="15" t="str">
        <f t="shared" si="38"/>
        <v/>
      </c>
      <c r="Q1165" s="49" t="str">
        <f>IF(AND(J1165=0,K1165=0,L1165=0,M1165=0),"",IF(O1165=0,"PENDENTE DE RATEIO",IF(ABS(P1165)&gt;0.005,"DIVERGÊNCIA",IF(COUNTIF(RATEIOS!$A$2:$A$3142,$A1165)-COUNTIFS(RATEIOS!$A$2:$A$3142,$A1165,RATEIOS!$D$2:$D$3142,"&lt;&gt;")&gt;0,"NÃO CLASSIFICADO","RATEIO OK"))))</f>
        <v/>
      </c>
      <c r="R1165" s="49"/>
      <c r="S1165" s="14"/>
    </row>
    <row r="1166" spans="1:19" ht="24.95" customHeight="1" x14ac:dyDescent="0.25">
      <c r="A1166" s="49" t="str">
        <f>IF(C1166="","","BAN-01165")</f>
        <v/>
      </c>
      <c r="B1166" s="98" t="str">
        <f>IF(C1166="","",1165)</f>
        <v/>
      </c>
      <c r="C1166" s="50"/>
      <c r="D1166" s="49" t="str">
        <f t="shared" si="37"/>
        <v/>
      </c>
      <c r="E1166" s="92"/>
      <c r="F1166" s="49"/>
      <c r="G1166" s="14"/>
      <c r="H1166" s="14"/>
      <c r="I1166" s="76"/>
      <c r="J1166" s="73"/>
      <c r="K1166" s="74"/>
      <c r="L1166" s="72"/>
      <c r="M1166" s="72"/>
      <c r="N1166" s="72" t="str">
        <f>IF(AND(C1166="",J1166=0,K1166=0,L1166=0,M1166=0),"",CADASTROS!$B$4+SUM($J$2:J1166)+SUM($M$2:M1166)-SUM($K$2:K1166)-SUM($L$2:L1166))</f>
        <v/>
      </c>
      <c r="O1166" s="72" t="str">
        <f>IF(A1166="","",SUMIF(RATEIOS!$A$2:$A$3142,$A1166,RATEIOS!$F$2:$F$3142))</f>
        <v/>
      </c>
      <c r="P1166" s="15" t="str">
        <f t="shared" si="38"/>
        <v/>
      </c>
      <c r="Q1166" s="49" t="str">
        <f>IF(AND(J1166=0,K1166=0,L1166=0,M1166=0),"",IF(O1166=0,"PENDENTE DE RATEIO",IF(ABS(P1166)&gt;0.005,"DIVERGÊNCIA",IF(COUNTIF(RATEIOS!$A$2:$A$3142,$A1166)-COUNTIFS(RATEIOS!$A$2:$A$3142,$A1166,RATEIOS!$D$2:$D$3142,"&lt;&gt;")&gt;0,"NÃO CLASSIFICADO","RATEIO OK"))))</f>
        <v/>
      </c>
      <c r="R1166" s="49"/>
      <c r="S1166" s="14"/>
    </row>
    <row r="1167" spans="1:19" ht="24.95" customHeight="1" x14ac:dyDescent="0.25">
      <c r="A1167" s="49" t="str">
        <f>IF(C1167="","","BAN-01166")</f>
        <v/>
      </c>
      <c r="B1167" s="98" t="str">
        <f>IF(C1167="","",1166)</f>
        <v/>
      </c>
      <c r="C1167" s="50"/>
      <c r="D1167" s="49" t="str">
        <f t="shared" si="37"/>
        <v/>
      </c>
      <c r="E1167" s="92"/>
      <c r="F1167" s="49"/>
      <c r="G1167" s="14"/>
      <c r="H1167" s="14"/>
      <c r="I1167" s="76"/>
      <c r="J1167" s="73"/>
      <c r="K1167" s="74"/>
      <c r="L1167" s="72"/>
      <c r="M1167" s="72"/>
      <c r="N1167" s="72" t="str">
        <f>IF(AND(C1167="",J1167=0,K1167=0,L1167=0,M1167=0),"",CADASTROS!$B$4+SUM($J$2:J1167)+SUM($M$2:M1167)-SUM($K$2:K1167)-SUM($L$2:L1167))</f>
        <v/>
      </c>
      <c r="O1167" s="72" t="str">
        <f>IF(A1167="","",SUMIF(RATEIOS!$A$2:$A$3142,$A1167,RATEIOS!$F$2:$F$3142))</f>
        <v/>
      </c>
      <c r="P1167" s="15" t="str">
        <f t="shared" si="38"/>
        <v/>
      </c>
      <c r="Q1167" s="49" t="str">
        <f>IF(AND(J1167=0,K1167=0,L1167=0,M1167=0),"",IF(O1167=0,"PENDENTE DE RATEIO",IF(ABS(P1167)&gt;0.005,"DIVERGÊNCIA",IF(COUNTIF(RATEIOS!$A$2:$A$3142,$A1167)-COUNTIFS(RATEIOS!$A$2:$A$3142,$A1167,RATEIOS!$D$2:$D$3142,"&lt;&gt;")&gt;0,"NÃO CLASSIFICADO","RATEIO OK"))))</f>
        <v/>
      </c>
      <c r="R1167" s="49"/>
      <c r="S1167" s="14"/>
    </row>
    <row r="1168" spans="1:19" ht="24.95" customHeight="1" x14ac:dyDescent="0.25">
      <c r="A1168" s="49" t="str">
        <f>IF(C1168="","","BAN-01167")</f>
        <v/>
      </c>
      <c r="B1168" s="98" t="str">
        <f>IF(C1168="","",1167)</f>
        <v/>
      </c>
      <c r="C1168" s="50"/>
      <c r="D1168" s="49" t="str">
        <f t="shared" si="37"/>
        <v/>
      </c>
      <c r="E1168" s="92"/>
      <c r="F1168" s="49"/>
      <c r="G1168" s="14"/>
      <c r="H1168" s="14"/>
      <c r="I1168" s="76"/>
      <c r="J1168" s="73"/>
      <c r="K1168" s="74"/>
      <c r="L1168" s="72"/>
      <c r="M1168" s="72"/>
      <c r="N1168" s="72" t="str">
        <f>IF(AND(C1168="",J1168=0,K1168=0,L1168=0,M1168=0),"",CADASTROS!$B$4+SUM($J$2:J1168)+SUM($M$2:M1168)-SUM($K$2:K1168)-SUM($L$2:L1168))</f>
        <v/>
      </c>
      <c r="O1168" s="72" t="str">
        <f>IF(A1168="","",SUMIF(RATEIOS!$A$2:$A$3142,$A1168,RATEIOS!$F$2:$F$3142))</f>
        <v/>
      </c>
      <c r="P1168" s="15" t="str">
        <f t="shared" si="38"/>
        <v/>
      </c>
      <c r="Q1168" s="49" t="str">
        <f>IF(AND(J1168=0,K1168=0,L1168=0,M1168=0),"",IF(O1168=0,"PENDENTE DE RATEIO",IF(ABS(P1168)&gt;0.005,"DIVERGÊNCIA",IF(COUNTIF(RATEIOS!$A$2:$A$3142,$A1168)-COUNTIFS(RATEIOS!$A$2:$A$3142,$A1168,RATEIOS!$D$2:$D$3142,"&lt;&gt;")&gt;0,"NÃO CLASSIFICADO","RATEIO OK"))))</f>
        <v/>
      </c>
      <c r="R1168" s="49"/>
      <c r="S1168" s="14"/>
    </row>
    <row r="1169" spans="1:19" ht="24.95" customHeight="1" x14ac:dyDescent="0.25">
      <c r="A1169" s="49" t="str">
        <f>IF(C1169="","","BAN-01168")</f>
        <v/>
      </c>
      <c r="B1169" s="98" t="str">
        <f>IF(C1169="","",1168)</f>
        <v/>
      </c>
      <c r="C1169" s="50"/>
      <c r="D1169" s="49" t="str">
        <f t="shared" si="37"/>
        <v/>
      </c>
      <c r="E1169" s="92"/>
      <c r="F1169" s="49"/>
      <c r="G1169" s="14"/>
      <c r="H1169" s="14"/>
      <c r="I1169" s="76"/>
      <c r="J1169" s="73"/>
      <c r="K1169" s="74"/>
      <c r="L1169" s="72"/>
      <c r="M1169" s="72"/>
      <c r="N1169" s="72" t="str">
        <f>IF(AND(C1169="",J1169=0,K1169=0,L1169=0,M1169=0),"",CADASTROS!$B$4+SUM($J$2:J1169)+SUM($M$2:M1169)-SUM($K$2:K1169)-SUM($L$2:L1169))</f>
        <v/>
      </c>
      <c r="O1169" s="72" t="str">
        <f>IF(A1169="","",SUMIF(RATEIOS!$A$2:$A$3142,$A1169,RATEIOS!$F$2:$F$3142))</f>
        <v/>
      </c>
      <c r="P1169" s="15" t="str">
        <f t="shared" si="38"/>
        <v/>
      </c>
      <c r="Q1169" s="49" t="str">
        <f>IF(AND(J1169=0,K1169=0,L1169=0,M1169=0),"",IF(O1169=0,"PENDENTE DE RATEIO",IF(ABS(P1169)&gt;0.005,"DIVERGÊNCIA",IF(COUNTIF(RATEIOS!$A$2:$A$3142,$A1169)-COUNTIFS(RATEIOS!$A$2:$A$3142,$A1169,RATEIOS!$D$2:$D$3142,"&lt;&gt;")&gt;0,"NÃO CLASSIFICADO","RATEIO OK"))))</f>
        <v/>
      </c>
      <c r="R1169" s="49"/>
      <c r="S1169" s="14"/>
    </row>
    <row r="1170" spans="1:19" ht="24.95" customHeight="1" x14ac:dyDescent="0.25">
      <c r="A1170" s="49" t="str">
        <f>IF(C1170="","","BAN-01169")</f>
        <v/>
      </c>
      <c r="B1170" s="98" t="str">
        <f>IF(C1170="","",1169)</f>
        <v/>
      </c>
      <c r="C1170" s="50"/>
      <c r="D1170" s="49" t="str">
        <f t="shared" si="37"/>
        <v/>
      </c>
      <c r="E1170" s="92"/>
      <c r="F1170" s="49"/>
      <c r="G1170" s="14"/>
      <c r="H1170" s="14"/>
      <c r="I1170" s="76"/>
      <c r="J1170" s="73"/>
      <c r="K1170" s="74"/>
      <c r="L1170" s="72"/>
      <c r="M1170" s="72"/>
      <c r="N1170" s="72" t="str">
        <f>IF(AND(C1170="",J1170=0,K1170=0,L1170=0,M1170=0),"",CADASTROS!$B$4+SUM($J$2:J1170)+SUM($M$2:M1170)-SUM($K$2:K1170)-SUM($L$2:L1170))</f>
        <v/>
      </c>
      <c r="O1170" s="72" t="str">
        <f>IF(A1170="","",SUMIF(RATEIOS!$A$2:$A$3142,$A1170,RATEIOS!$F$2:$F$3142))</f>
        <v/>
      </c>
      <c r="P1170" s="15" t="str">
        <f t="shared" si="38"/>
        <v/>
      </c>
      <c r="Q1170" s="49" t="str">
        <f>IF(AND(J1170=0,K1170=0,L1170=0,M1170=0),"",IF(O1170=0,"PENDENTE DE RATEIO",IF(ABS(P1170)&gt;0.005,"DIVERGÊNCIA",IF(COUNTIF(RATEIOS!$A$2:$A$3142,$A1170)-COUNTIFS(RATEIOS!$A$2:$A$3142,$A1170,RATEIOS!$D$2:$D$3142,"&lt;&gt;")&gt;0,"NÃO CLASSIFICADO","RATEIO OK"))))</f>
        <v/>
      </c>
      <c r="R1170" s="49"/>
      <c r="S1170" s="14"/>
    </row>
    <row r="1171" spans="1:19" ht="24.95" customHeight="1" x14ac:dyDescent="0.25">
      <c r="A1171" s="49" t="str">
        <f>IF(C1171="","","BAN-01170")</f>
        <v/>
      </c>
      <c r="B1171" s="98" t="str">
        <f>IF(C1171="","",1170)</f>
        <v/>
      </c>
      <c r="C1171" s="50"/>
      <c r="D1171" s="49" t="str">
        <f t="shared" si="37"/>
        <v/>
      </c>
      <c r="E1171" s="92"/>
      <c r="F1171" s="49"/>
      <c r="G1171" s="14"/>
      <c r="H1171" s="14"/>
      <c r="I1171" s="76"/>
      <c r="J1171" s="73"/>
      <c r="K1171" s="74"/>
      <c r="L1171" s="72"/>
      <c r="M1171" s="72"/>
      <c r="N1171" s="72" t="str">
        <f>IF(AND(C1171="",J1171=0,K1171=0,L1171=0,M1171=0),"",CADASTROS!$B$4+SUM($J$2:J1171)+SUM($M$2:M1171)-SUM($K$2:K1171)-SUM($L$2:L1171))</f>
        <v/>
      </c>
      <c r="O1171" s="72" t="str">
        <f>IF(A1171="","",SUMIF(RATEIOS!$A$2:$A$3142,$A1171,RATEIOS!$F$2:$F$3142))</f>
        <v/>
      </c>
      <c r="P1171" s="15" t="str">
        <f t="shared" si="38"/>
        <v/>
      </c>
      <c r="Q1171" s="49" t="str">
        <f>IF(AND(J1171=0,K1171=0,L1171=0,M1171=0),"",IF(O1171=0,"PENDENTE DE RATEIO",IF(ABS(P1171)&gt;0.005,"DIVERGÊNCIA",IF(COUNTIF(RATEIOS!$A$2:$A$3142,$A1171)-COUNTIFS(RATEIOS!$A$2:$A$3142,$A1171,RATEIOS!$D$2:$D$3142,"&lt;&gt;")&gt;0,"NÃO CLASSIFICADO","RATEIO OK"))))</f>
        <v/>
      </c>
      <c r="R1171" s="49"/>
      <c r="S1171" s="14"/>
    </row>
    <row r="1172" spans="1:19" ht="24.95" customHeight="1" x14ac:dyDescent="0.25">
      <c r="A1172" s="49" t="str">
        <f>IF(C1172="","","BAN-01171")</f>
        <v/>
      </c>
      <c r="B1172" s="98" t="str">
        <f>IF(C1172="","",1171)</f>
        <v/>
      </c>
      <c r="C1172" s="50"/>
      <c r="D1172" s="49" t="str">
        <f t="shared" si="37"/>
        <v/>
      </c>
      <c r="E1172" s="92"/>
      <c r="F1172" s="49"/>
      <c r="G1172" s="14"/>
      <c r="H1172" s="14"/>
      <c r="I1172" s="76"/>
      <c r="J1172" s="73"/>
      <c r="K1172" s="74"/>
      <c r="L1172" s="72"/>
      <c r="M1172" s="72"/>
      <c r="N1172" s="72" t="str">
        <f>IF(AND(C1172="",J1172=0,K1172=0,L1172=0,M1172=0),"",CADASTROS!$B$4+SUM($J$2:J1172)+SUM($M$2:M1172)-SUM($K$2:K1172)-SUM($L$2:L1172))</f>
        <v/>
      </c>
      <c r="O1172" s="72" t="str">
        <f>IF(A1172="","",SUMIF(RATEIOS!$A$2:$A$3142,$A1172,RATEIOS!$F$2:$F$3142))</f>
        <v/>
      </c>
      <c r="P1172" s="15" t="str">
        <f t="shared" si="38"/>
        <v/>
      </c>
      <c r="Q1172" s="49" t="str">
        <f>IF(AND(J1172=0,K1172=0,L1172=0,M1172=0),"",IF(O1172=0,"PENDENTE DE RATEIO",IF(ABS(P1172)&gt;0.005,"DIVERGÊNCIA",IF(COUNTIF(RATEIOS!$A$2:$A$3142,$A1172)-COUNTIFS(RATEIOS!$A$2:$A$3142,$A1172,RATEIOS!$D$2:$D$3142,"&lt;&gt;")&gt;0,"NÃO CLASSIFICADO","RATEIO OK"))))</f>
        <v/>
      </c>
      <c r="R1172" s="49"/>
      <c r="S1172" s="14"/>
    </row>
    <row r="1173" spans="1:19" ht="24.95" customHeight="1" x14ac:dyDescent="0.25">
      <c r="A1173" s="49" t="str">
        <f>IF(C1173="","","BAN-01172")</f>
        <v/>
      </c>
      <c r="B1173" s="98" t="str">
        <f>IF(C1173="","",1172)</f>
        <v/>
      </c>
      <c r="C1173" s="50"/>
      <c r="D1173" s="49" t="str">
        <f t="shared" si="37"/>
        <v/>
      </c>
      <c r="E1173" s="92"/>
      <c r="F1173" s="49"/>
      <c r="G1173" s="14"/>
      <c r="H1173" s="14"/>
      <c r="I1173" s="76"/>
      <c r="J1173" s="73"/>
      <c r="K1173" s="74"/>
      <c r="L1173" s="72"/>
      <c r="M1173" s="72"/>
      <c r="N1173" s="72" t="str">
        <f>IF(AND(C1173="",J1173=0,K1173=0,L1173=0,M1173=0),"",CADASTROS!$B$4+SUM($J$2:J1173)+SUM($M$2:M1173)-SUM($K$2:K1173)-SUM($L$2:L1173))</f>
        <v/>
      </c>
      <c r="O1173" s="72" t="str">
        <f>IF(A1173="","",SUMIF(RATEIOS!$A$2:$A$3142,$A1173,RATEIOS!$F$2:$F$3142))</f>
        <v/>
      </c>
      <c r="P1173" s="15" t="str">
        <f t="shared" si="38"/>
        <v/>
      </c>
      <c r="Q1173" s="49" t="str">
        <f>IF(AND(J1173=0,K1173=0,L1173=0,M1173=0),"",IF(O1173=0,"PENDENTE DE RATEIO",IF(ABS(P1173)&gt;0.005,"DIVERGÊNCIA",IF(COUNTIF(RATEIOS!$A$2:$A$3142,$A1173)-COUNTIFS(RATEIOS!$A$2:$A$3142,$A1173,RATEIOS!$D$2:$D$3142,"&lt;&gt;")&gt;0,"NÃO CLASSIFICADO","RATEIO OK"))))</f>
        <v/>
      </c>
      <c r="R1173" s="49"/>
      <c r="S1173" s="14"/>
    </row>
    <row r="1174" spans="1:19" ht="24.95" customHeight="1" x14ac:dyDescent="0.25">
      <c r="A1174" s="49" t="str">
        <f>IF(C1174="","","BAN-01173")</f>
        <v/>
      </c>
      <c r="B1174" s="98" t="str">
        <f>IF(C1174="","",1173)</f>
        <v/>
      </c>
      <c r="C1174" s="50"/>
      <c r="D1174" s="49" t="str">
        <f t="shared" si="37"/>
        <v/>
      </c>
      <c r="E1174" s="92"/>
      <c r="F1174" s="49"/>
      <c r="G1174" s="14"/>
      <c r="H1174" s="14"/>
      <c r="I1174" s="76"/>
      <c r="J1174" s="73"/>
      <c r="K1174" s="74"/>
      <c r="L1174" s="72"/>
      <c r="M1174" s="72"/>
      <c r="N1174" s="72" t="str">
        <f>IF(AND(C1174="",J1174=0,K1174=0,L1174=0,M1174=0),"",CADASTROS!$B$4+SUM($J$2:J1174)+SUM($M$2:M1174)-SUM($K$2:K1174)-SUM($L$2:L1174))</f>
        <v/>
      </c>
      <c r="O1174" s="72" t="str">
        <f>IF(A1174="","",SUMIF(RATEIOS!$A$2:$A$3142,$A1174,RATEIOS!$F$2:$F$3142))</f>
        <v/>
      </c>
      <c r="P1174" s="15" t="str">
        <f t="shared" si="38"/>
        <v/>
      </c>
      <c r="Q1174" s="49" t="str">
        <f>IF(AND(J1174=0,K1174=0,L1174=0,M1174=0),"",IF(O1174=0,"PENDENTE DE RATEIO",IF(ABS(P1174)&gt;0.005,"DIVERGÊNCIA",IF(COUNTIF(RATEIOS!$A$2:$A$3142,$A1174)-COUNTIFS(RATEIOS!$A$2:$A$3142,$A1174,RATEIOS!$D$2:$D$3142,"&lt;&gt;")&gt;0,"NÃO CLASSIFICADO","RATEIO OK"))))</f>
        <v/>
      </c>
      <c r="R1174" s="49"/>
      <c r="S1174" s="14"/>
    </row>
    <row r="1175" spans="1:19" ht="24.95" customHeight="1" x14ac:dyDescent="0.25">
      <c r="A1175" s="49" t="str">
        <f>IF(C1175="","","BAN-01174")</f>
        <v/>
      </c>
      <c r="B1175" s="98" t="str">
        <f>IF(C1175="","",1174)</f>
        <v/>
      </c>
      <c r="C1175" s="50"/>
      <c r="D1175" s="49" t="str">
        <f t="shared" si="37"/>
        <v/>
      </c>
      <c r="E1175" s="92"/>
      <c r="F1175" s="49"/>
      <c r="G1175" s="14"/>
      <c r="H1175" s="14"/>
      <c r="I1175" s="76"/>
      <c r="J1175" s="73"/>
      <c r="K1175" s="74"/>
      <c r="L1175" s="72"/>
      <c r="M1175" s="72"/>
      <c r="N1175" s="72" t="str">
        <f>IF(AND(C1175="",J1175=0,K1175=0,L1175=0,M1175=0),"",CADASTROS!$B$4+SUM($J$2:J1175)+SUM($M$2:M1175)-SUM($K$2:K1175)-SUM($L$2:L1175))</f>
        <v/>
      </c>
      <c r="O1175" s="72" t="str">
        <f>IF(A1175="","",SUMIF(RATEIOS!$A$2:$A$3142,$A1175,RATEIOS!$F$2:$F$3142))</f>
        <v/>
      </c>
      <c r="P1175" s="15" t="str">
        <f t="shared" si="38"/>
        <v/>
      </c>
      <c r="Q1175" s="49" t="str">
        <f>IF(AND(J1175=0,K1175=0,L1175=0,M1175=0),"",IF(O1175=0,"PENDENTE DE RATEIO",IF(ABS(P1175)&gt;0.005,"DIVERGÊNCIA",IF(COUNTIF(RATEIOS!$A$2:$A$3142,$A1175)-COUNTIFS(RATEIOS!$A$2:$A$3142,$A1175,RATEIOS!$D$2:$D$3142,"&lt;&gt;")&gt;0,"NÃO CLASSIFICADO","RATEIO OK"))))</f>
        <v/>
      </c>
      <c r="R1175" s="49"/>
      <c r="S1175" s="14"/>
    </row>
    <row r="1176" spans="1:19" ht="24.95" customHeight="1" x14ac:dyDescent="0.25">
      <c r="A1176" s="49" t="str">
        <f>IF(C1176="","","BAN-01175")</f>
        <v/>
      </c>
      <c r="B1176" s="98" t="str">
        <f>IF(C1176="","",1175)</f>
        <v/>
      </c>
      <c r="C1176" s="50"/>
      <c r="D1176" s="49" t="str">
        <f t="shared" si="37"/>
        <v/>
      </c>
      <c r="E1176" s="92"/>
      <c r="F1176" s="49"/>
      <c r="G1176" s="14"/>
      <c r="H1176" s="14"/>
      <c r="I1176" s="76"/>
      <c r="J1176" s="73"/>
      <c r="K1176" s="74"/>
      <c r="L1176" s="72"/>
      <c r="M1176" s="72"/>
      <c r="N1176" s="72" t="str">
        <f>IF(AND(C1176="",J1176=0,K1176=0,L1176=0,M1176=0),"",CADASTROS!$B$4+SUM($J$2:J1176)+SUM($M$2:M1176)-SUM($K$2:K1176)-SUM($L$2:L1176))</f>
        <v/>
      </c>
      <c r="O1176" s="72" t="str">
        <f>IF(A1176="","",SUMIF(RATEIOS!$A$2:$A$3142,$A1176,RATEIOS!$F$2:$F$3142))</f>
        <v/>
      </c>
      <c r="P1176" s="15" t="str">
        <f t="shared" si="38"/>
        <v/>
      </c>
      <c r="Q1176" s="49" t="str">
        <f>IF(AND(J1176=0,K1176=0,L1176=0,M1176=0),"",IF(O1176=0,"PENDENTE DE RATEIO",IF(ABS(P1176)&gt;0.005,"DIVERGÊNCIA",IF(COUNTIF(RATEIOS!$A$2:$A$3142,$A1176)-COUNTIFS(RATEIOS!$A$2:$A$3142,$A1176,RATEIOS!$D$2:$D$3142,"&lt;&gt;")&gt;0,"NÃO CLASSIFICADO","RATEIO OK"))))</f>
        <v/>
      </c>
      <c r="R1176" s="49"/>
      <c r="S1176" s="14"/>
    </row>
    <row r="1177" spans="1:19" ht="24.95" customHeight="1" x14ac:dyDescent="0.25">
      <c r="A1177" s="49" t="str">
        <f>IF(C1177="","","BAN-01176")</f>
        <v/>
      </c>
      <c r="B1177" s="98" t="str">
        <f>IF(C1177="","",1176)</f>
        <v/>
      </c>
      <c r="C1177" s="50"/>
      <c r="D1177" s="49" t="str">
        <f t="shared" si="37"/>
        <v/>
      </c>
      <c r="E1177" s="92"/>
      <c r="F1177" s="49"/>
      <c r="G1177" s="14"/>
      <c r="H1177" s="14"/>
      <c r="I1177" s="76"/>
      <c r="J1177" s="73"/>
      <c r="K1177" s="74"/>
      <c r="L1177" s="72"/>
      <c r="M1177" s="72"/>
      <c r="N1177" s="72" t="str">
        <f>IF(AND(C1177="",J1177=0,K1177=0,L1177=0,M1177=0),"",CADASTROS!$B$4+SUM($J$2:J1177)+SUM($M$2:M1177)-SUM($K$2:K1177)-SUM($L$2:L1177))</f>
        <v/>
      </c>
      <c r="O1177" s="72" t="str">
        <f>IF(A1177="","",SUMIF(RATEIOS!$A$2:$A$3142,$A1177,RATEIOS!$F$2:$F$3142))</f>
        <v/>
      </c>
      <c r="P1177" s="15" t="str">
        <f t="shared" si="38"/>
        <v/>
      </c>
      <c r="Q1177" s="49" t="str">
        <f>IF(AND(J1177=0,K1177=0,L1177=0,M1177=0),"",IF(O1177=0,"PENDENTE DE RATEIO",IF(ABS(P1177)&gt;0.005,"DIVERGÊNCIA",IF(COUNTIF(RATEIOS!$A$2:$A$3142,$A1177)-COUNTIFS(RATEIOS!$A$2:$A$3142,$A1177,RATEIOS!$D$2:$D$3142,"&lt;&gt;")&gt;0,"NÃO CLASSIFICADO","RATEIO OK"))))</f>
        <v/>
      </c>
      <c r="R1177" s="49"/>
      <c r="S1177" s="14"/>
    </row>
    <row r="1178" spans="1:19" ht="24.95" customHeight="1" x14ac:dyDescent="0.25">
      <c r="A1178" s="49" t="str">
        <f>IF(C1178="","","BAN-01177")</f>
        <v/>
      </c>
      <c r="B1178" s="98" t="str">
        <f>IF(C1178="","",1177)</f>
        <v/>
      </c>
      <c r="C1178" s="50"/>
      <c r="D1178" s="49" t="str">
        <f t="shared" si="37"/>
        <v/>
      </c>
      <c r="E1178" s="92"/>
      <c r="F1178" s="49"/>
      <c r="G1178" s="14"/>
      <c r="H1178" s="14"/>
      <c r="I1178" s="76"/>
      <c r="J1178" s="73"/>
      <c r="K1178" s="74"/>
      <c r="L1178" s="72"/>
      <c r="M1178" s="72"/>
      <c r="N1178" s="72" t="str">
        <f>IF(AND(C1178="",J1178=0,K1178=0,L1178=0,M1178=0),"",CADASTROS!$B$4+SUM($J$2:J1178)+SUM($M$2:M1178)-SUM($K$2:K1178)-SUM($L$2:L1178))</f>
        <v/>
      </c>
      <c r="O1178" s="72" t="str">
        <f>IF(A1178="","",SUMIF(RATEIOS!$A$2:$A$3142,$A1178,RATEIOS!$F$2:$F$3142))</f>
        <v/>
      </c>
      <c r="P1178" s="15" t="str">
        <f t="shared" si="38"/>
        <v/>
      </c>
      <c r="Q1178" s="49" t="str">
        <f>IF(AND(J1178=0,K1178=0,L1178=0,M1178=0),"",IF(O1178=0,"PENDENTE DE RATEIO",IF(ABS(P1178)&gt;0.005,"DIVERGÊNCIA",IF(COUNTIF(RATEIOS!$A$2:$A$3142,$A1178)-COUNTIFS(RATEIOS!$A$2:$A$3142,$A1178,RATEIOS!$D$2:$D$3142,"&lt;&gt;")&gt;0,"NÃO CLASSIFICADO","RATEIO OK"))))</f>
        <v/>
      </c>
      <c r="R1178" s="49"/>
      <c r="S1178" s="14"/>
    </row>
    <row r="1179" spans="1:19" ht="24.95" customHeight="1" x14ac:dyDescent="0.25">
      <c r="A1179" s="49" t="str">
        <f>IF(C1179="","","BAN-01178")</f>
        <v/>
      </c>
      <c r="B1179" s="98" t="str">
        <f>IF(C1179="","",1178)</f>
        <v/>
      </c>
      <c r="C1179" s="50"/>
      <c r="D1179" s="49" t="str">
        <f t="shared" si="37"/>
        <v/>
      </c>
      <c r="E1179" s="92"/>
      <c r="F1179" s="49"/>
      <c r="G1179" s="14"/>
      <c r="H1179" s="14"/>
      <c r="I1179" s="76"/>
      <c r="J1179" s="73"/>
      <c r="K1179" s="74"/>
      <c r="L1179" s="72"/>
      <c r="M1179" s="72"/>
      <c r="N1179" s="72" t="str">
        <f>IF(AND(C1179="",J1179=0,K1179=0,L1179=0,M1179=0),"",CADASTROS!$B$4+SUM($J$2:J1179)+SUM($M$2:M1179)-SUM($K$2:K1179)-SUM($L$2:L1179))</f>
        <v/>
      </c>
      <c r="O1179" s="72" t="str">
        <f>IF(A1179="","",SUMIF(RATEIOS!$A$2:$A$3142,$A1179,RATEIOS!$F$2:$F$3142))</f>
        <v/>
      </c>
      <c r="P1179" s="15" t="str">
        <f t="shared" si="38"/>
        <v/>
      </c>
      <c r="Q1179" s="49" t="str">
        <f>IF(AND(J1179=0,K1179=0,L1179=0,M1179=0),"",IF(O1179=0,"PENDENTE DE RATEIO",IF(ABS(P1179)&gt;0.005,"DIVERGÊNCIA",IF(COUNTIF(RATEIOS!$A$2:$A$3142,$A1179)-COUNTIFS(RATEIOS!$A$2:$A$3142,$A1179,RATEIOS!$D$2:$D$3142,"&lt;&gt;")&gt;0,"NÃO CLASSIFICADO","RATEIO OK"))))</f>
        <v/>
      </c>
      <c r="R1179" s="49"/>
      <c r="S1179" s="14"/>
    </row>
    <row r="1180" spans="1:19" ht="24.95" customHeight="1" x14ac:dyDescent="0.25">
      <c r="A1180" s="49" t="str">
        <f>IF(C1180="","","BAN-01179")</f>
        <v/>
      </c>
      <c r="B1180" s="98" t="str">
        <f>IF(C1180="","",1179)</f>
        <v/>
      </c>
      <c r="C1180" s="50"/>
      <c r="D1180" s="49" t="str">
        <f t="shared" si="37"/>
        <v/>
      </c>
      <c r="E1180" s="92"/>
      <c r="F1180" s="49"/>
      <c r="G1180" s="14"/>
      <c r="H1180" s="14"/>
      <c r="I1180" s="76"/>
      <c r="J1180" s="73"/>
      <c r="K1180" s="74"/>
      <c r="L1180" s="72"/>
      <c r="M1180" s="72"/>
      <c r="N1180" s="72" t="str">
        <f>IF(AND(C1180="",J1180=0,K1180=0,L1180=0,M1180=0),"",CADASTROS!$B$4+SUM($J$2:J1180)+SUM($M$2:M1180)-SUM($K$2:K1180)-SUM($L$2:L1180))</f>
        <v/>
      </c>
      <c r="O1180" s="72" t="str">
        <f>IF(A1180="","",SUMIF(RATEIOS!$A$2:$A$3142,$A1180,RATEIOS!$F$2:$F$3142))</f>
        <v/>
      </c>
      <c r="P1180" s="15" t="str">
        <f t="shared" si="38"/>
        <v/>
      </c>
      <c r="Q1180" s="49" t="str">
        <f>IF(AND(J1180=0,K1180=0,L1180=0,M1180=0),"",IF(O1180=0,"PENDENTE DE RATEIO",IF(ABS(P1180)&gt;0.005,"DIVERGÊNCIA",IF(COUNTIF(RATEIOS!$A$2:$A$3142,$A1180)-COUNTIFS(RATEIOS!$A$2:$A$3142,$A1180,RATEIOS!$D$2:$D$3142,"&lt;&gt;")&gt;0,"NÃO CLASSIFICADO","RATEIO OK"))))</f>
        <v/>
      </c>
      <c r="R1180" s="49"/>
      <c r="S1180" s="14"/>
    </row>
    <row r="1181" spans="1:19" ht="24.95" customHeight="1" x14ac:dyDescent="0.25">
      <c r="A1181" s="49" t="str">
        <f>IF(C1181="","","BAN-01180")</f>
        <v/>
      </c>
      <c r="B1181" s="98" t="str">
        <f>IF(C1181="","",1180)</f>
        <v/>
      </c>
      <c r="C1181" s="50"/>
      <c r="D1181" s="49" t="str">
        <f t="shared" si="37"/>
        <v/>
      </c>
      <c r="E1181" s="92"/>
      <c r="F1181" s="49"/>
      <c r="G1181" s="14"/>
      <c r="H1181" s="14"/>
      <c r="I1181" s="76"/>
      <c r="J1181" s="73"/>
      <c r="K1181" s="74"/>
      <c r="L1181" s="72"/>
      <c r="M1181" s="72"/>
      <c r="N1181" s="72" t="str">
        <f>IF(AND(C1181="",J1181=0,K1181=0,L1181=0,M1181=0),"",CADASTROS!$B$4+SUM($J$2:J1181)+SUM($M$2:M1181)-SUM($K$2:K1181)-SUM($L$2:L1181))</f>
        <v/>
      </c>
      <c r="O1181" s="72" t="str">
        <f>IF(A1181="","",SUMIF(RATEIOS!$A$2:$A$3142,$A1181,RATEIOS!$F$2:$F$3142))</f>
        <v/>
      </c>
      <c r="P1181" s="15" t="str">
        <f t="shared" si="38"/>
        <v/>
      </c>
      <c r="Q1181" s="49" t="str">
        <f>IF(AND(J1181=0,K1181=0,L1181=0,M1181=0),"",IF(O1181=0,"PENDENTE DE RATEIO",IF(ABS(P1181)&gt;0.005,"DIVERGÊNCIA",IF(COUNTIF(RATEIOS!$A$2:$A$3142,$A1181)-COUNTIFS(RATEIOS!$A$2:$A$3142,$A1181,RATEIOS!$D$2:$D$3142,"&lt;&gt;")&gt;0,"NÃO CLASSIFICADO","RATEIO OK"))))</f>
        <v/>
      </c>
      <c r="R1181" s="49"/>
      <c r="S1181" s="14"/>
    </row>
    <row r="1182" spans="1:19" ht="24.95" customHeight="1" x14ac:dyDescent="0.25">
      <c r="A1182" s="49" t="str">
        <f>IF(C1182="","","BAN-01181")</f>
        <v/>
      </c>
      <c r="B1182" s="98" t="str">
        <f>IF(C1182="","",1181)</f>
        <v/>
      </c>
      <c r="C1182" s="50"/>
      <c r="D1182" s="49" t="str">
        <f t="shared" si="37"/>
        <v/>
      </c>
      <c r="E1182" s="92"/>
      <c r="F1182" s="49"/>
      <c r="G1182" s="14"/>
      <c r="H1182" s="14"/>
      <c r="I1182" s="76"/>
      <c r="J1182" s="73"/>
      <c r="K1182" s="74"/>
      <c r="L1182" s="72"/>
      <c r="M1182" s="72"/>
      <c r="N1182" s="72" t="str">
        <f>IF(AND(C1182="",J1182=0,K1182=0,L1182=0,M1182=0),"",CADASTROS!$B$4+SUM($J$2:J1182)+SUM($M$2:M1182)-SUM($K$2:K1182)-SUM($L$2:L1182))</f>
        <v/>
      </c>
      <c r="O1182" s="72" t="str">
        <f>IF(A1182="","",SUMIF(RATEIOS!$A$2:$A$3142,$A1182,RATEIOS!$F$2:$F$3142))</f>
        <v/>
      </c>
      <c r="P1182" s="15" t="str">
        <f t="shared" si="38"/>
        <v/>
      </c>
      <c r="Q1182" s="49" t="str">
        <f>IF(AND(J1182=0,K1182=0,L1182=0,M1182=0),"",IF(O1182=0,"PENDENTE DE RATEIO",IF(ABS(P1182)&gt;0.005,"DIVERGÊNCIA",IF(COUNTIF(RATEIOS!$A$2:$A$3142,$A1182)-COUNTIFS(RATEIOS!$A$2:$A$3142,$A1182,RATEIOS!$D$2:$D$3142,"&lt;&gt;")&gt;0,"NÃO CLASSIFICADO","RATEIO OK"))))</f>
        <v/>
      </c>
      <c r="R1182" s="49"/>
      <c r="S1182" s="14"/>
    </row>
    <row r="1183" spans="1:19" ht="24.95" customHeight="1" x14ac:dyDescent="0.25">
      <c r="A1183" s="49" t="str">
        <f>IF(C1183="","","BAN-01182")</f>
        <v/>
      </c>
      <c r="B1183" s="98" t="str">
        <f>IF(C1183="","",1182)</f>
        <v/>
      </c>
      <c r="C1183" s="50"/>
      <c r="D1183" s="49" t="str">
        <f t="shared" si="37"/>
        <v/>
      </c>
      <c r="E1183" s="92"/>
      <c r="F1183" s="49"/>
      <c r="G1183" s="14"/>
      <c r="H1183" s="14"/>
      <c r="I1183" s="76"/>
      <c r="J1183" s="73"/>
      <c r="K1183" s="74"/>
      <c r="L1183" s="72"/>
      <c r="M1183" s="72"/>
      <c r="N1183" s="72" t="str">
        <f>IF(AND(C1183="",J1183=0,K1183=0,L1183=0,M1183=0),"",CADASTROS!$B$4+SUM($J$2:J1183)+SUM($M$2:M1183)-SUM($K$2:K1183)-SUM($L$2:L1183))</f>
        <v/>
      </c>
      <c r="O1183" s="72" t="str">
        <f>IF(A1183="","",SUMIF(RATEIOS!$A$2:$A$3142,$A1183,RATEIOS!$F$2:$F$3142))</f>
        <v/>
      </c>
      <c r="P1183" s="15" t="str">
        <f t="shared" si="38"/>
        <v/>
      </c>
      <c r="Q1183" s="49" t="str">
        <f>IF(AND(J1183=0,K1183=0,L1183=0,M1183=0),"",IF(O1183=0,"PENDENTE DE RATEIO",IF(ABS(P1183)&gt;0.005,"DIVERGÊNCIA",IF(COUNTIF(RATEIOS!$A$2:$A$3142,$A1183)-COUNTIFS(RATEIOS!$A$2:$A$3142,$A1183,RATEIOS!$D$2:$D$3142,"&lt;&gt;")&gt;0,"NÃO CLASSIFICADO","RATEIO OK"))))</f>
        <v/>
      </c>
      <c r="R1183" s="49"/>
      <c r="S1183" s="14"/>
    </row>
    <row r="1184" spans="1:19" ht="24.95" customHeight="1" x14ac:dyDescent="0.25">
      <c r="A1184" s="49" t="str">
        <f>IF(C1184="","","BAN-01183")</f>
        <v/>
      </c>
      <c r="B1184" s="98" t="str">
        <f>IF(C1184="","",1183)</f>
        <v/>
      </c>
      <c r="C1184" s="50"/>
      <c r="D1184" s="49" t="str">
        <f t="shared" si="37"/>
        <v/>
      </c>
      <c r="E1184" s="92"/>
      <c r="F1184" s="49"/>
      <c r="G1184" s="14"/>
      <c r="H1184" s="14"/>
      <c r="I1184" s="76"/>
      <c r="J1184" s="73"/>
      <c r="K1184" s="74"/>
      <c r="L1184" s="72"/>
      <c r="M1184" s="72"/>
      <c r="N1184" s="72" t="str">
        <f>IF(AND(C1184="",J1184=0,K1184=0,L1184=0,M1184=0),"",CADASTROS!$B$4+SUM($J$2:J1184)+SUM($M$2:M1184)-SUM($K$2:K1184)-SUM($L$2:L1184))</f>
        <v/>
      </c>
      <c r="O1184" s="72" t="str">
        <f>IF(A1184="","",SUMIF(RATEIOS!$A$2:$A$3142,$A1184,RATEIOS!$F$2:$F$3142))</f>
        <v/>
      </c>
      <c r="P1184" s="15" t="str">
        <f t="shared" si="38"/>
        <v/>
      </c>
      <c r="Q1184" s="49" t="str">
        <f>IF(AND(J1184=0,K1184=0,L1184=0,M1184=0),"",IF(O1184=0,"PENDENTE DE RATEIO",IF(ABS(P1184)&gt;0.005,"DIVERGÊNCIA",IF(COUNTIF(RATEIOS!$A$2:$A$3142,$A1184)-COUNTIFS(RATEIOS!$A$2:$A$3142,$A1184,RATEIOS!$D$2:$D$3142,"&lt;&gt;")&gt;0,"NÃO CLASSIFICADO","RATEIO OK"))))</f>
        <v/>
      </c>
      <c r="R1184" s="49"/>
      <c r="S1184" s="14"/>
    </row>
    <row r="1185" spans="1:19" ht="24.95" customHeight="1" x14ac:dyDescent="0.25">
      <c r="A1185" s="49" t="str">
        <f>IF(C1185="","","BAN-01184")</f>
        <v/>
      </c>
      <c r="B1185" s="98" t="str">
        <f>IF(C1185="","",1184)</f>
        <v/>
      </c>
      <c r="C1185" s="50"/>
      <c r="D1185" s="49" t="str">
        <f t="shared" si="37"/>
        <v/>
      </c>
      <c r="E1185" s="92"/>
      <c r="F1185" s="49"/>
      <c r="G1185" s="14"/>
      <c r="H1185" s="14"/>
      <c r="I1185" s="76"/>
      <c r="J1185" s="73"/>
      <c r="K1185" s="74"/>
      <c r="L1185" s="72"/>
      <c r="M1185" s="72"/>
      <c r="N1185" s="72" t="str">
        <f>IF(AND(C1185="",J1185=0,K1185=0,L1185=0,M1185=0),"",CADASTROS!$B$4+SUM($J$2:J1185)+SUM($M$2:M1185)-SUM($K$2:K1185)-SUM($L$2:L1185))</f>
        <v/>
      </c>
      <c r="O1185" s="72" t="str">
        <f>IF(A1185="","",SUMIF(RATEIOS!$A$2:$A$3142,$A1185,RATEIOS!$F$2:$F$3142))</f>
        <v/>
      </c>
      <c r="P1185" s="15" t="str">
        <f t="shared" si="38"/>
        <v/>
      </c>
      <c r="Q1185" s="49" t="str">
        <f>IF(AND(J1185=0,K1185=0,L1185=0,M1185=0),"",IF(O1185=0,"PENDENTE DE RATEIO",IF(ABS(P1185)&gt;0.005,"DIVERGÊNCIA",IF(COUNTIF(RATEIOS!$A$2:$A$3142,$A1185)-COUNTIFS(RATEIOS!$A$2:$A$3142,$A1185,RATEIOS!$D$2:$D$3142,"&lt;&gt;")&gt;0,"NÃO CLASSIFICADO","RATEIO OK"))))</f>
        <v/>
      </c>
      <c r="R1185" s="49"/>
      <c r="S1185" s="14"/>
    </row>
    <row r="1186" spans="1:19" ht="24.95" customHeight="1" x14ac:dyDescent="0.25">
      <c r="A1186" s="49" t="str">
        <f>IF(C1186="","","BAN-01185")</f>
        <v/>
      </c>
      <c r="B1186" s="98" t="str">
        <f>IF(C1186="","",1185)</f>
        <v/>
      </c>
      <c r="C1186" s="50"/>
      <c r="D1186" s="49" t="str">
        <f t="shared" si="37"/>
        <v/>
      </c>
      <c r="E1186" s="92"/>
      <c r="F1186" s="49"/>
      <c r="G1186" s="14"/>
      <c r="H1186" s="14"/>
      <c r="I1186" s="76"/>
      <c r="J1186" s="73"/>
      <c r="K1186" s="74"/>
      <c r="L1186" s="72"/>
      <c r="M1186" s="72"/>
      <c r="N1186" s="72" t="str">
        <f>IF(AND(C1186="",J1186=0,K1186=0,L1186=0,M1186=0),"",CADASTROS!$B$4+SUM($J$2:J1186)+SUM($M$2:M1186)-SUM($K$2:K1186)-SUM($L$2:L1186))</f>
        <v/>
      </c>
      <c r="O1186" s="72" t="str">
        <f>IF(A1186="","",SUMIF(RATEIOS!$A$2:$A$3142,$A1186,RATEIOS!$F$2:$F$3142))</f>
        <v/>
      </c>
      <c r="P1186" s="15" t="str">
        <f t="shared" si="38"/>
        <v/>
      </c>
      <c r="Q1186" s="49" t="str">
        <f>IF(AND(J1186=0,K1186=0,L1186=0,M1186=0),"",IF(O1186=0,"PENDENTE DE RATEIO",IF(ABS(P1186)&gt;0.005,"DIVERGÊNCIA",IF(COUNTIF(RATEIOS!$A$2:$A$3142,$A1186)-COUNTIFS(RATEIOS!$A$2:$A$3142,$A1186,RATEIOS!$D$2:$D$3142,"&lt;&gt;")&gt;0,"NÃO CLASSIFICADO","RATEIO OK"))))</f>
        <v/>
      </c>
      <c r="R1186" s="49"/>
      <c r="S1186" s="14"/>
    </row>
    <row r="1187" spans="1:19" ht="24.95" customHeight="1" x14ac:dyDescent="0.25">
      <c r="A1187" s="49" t="str">
        <f>IF(C1187="","","BAN-01186")</f>
        <v/>
      </c>
      <c r="B1187" s="98" t="str">
        <f>IF(C1187="","",1186)</f>
        <v/>
      </c>
      <c r="C1187" s="50"/>
      <c r="D1187" s="49" t="str">
        <f t="shared" si="37"/>
        <v/>
      </c>
      <c r="E1187" s="92"/>
      <c r="F1187" s="49"/>
      <c r="G1187" s="14"/>
      <c r="H1187" s="14"/>
      <c r="I1187" s="76"/>
      <c r="J1187" s="73"/>
      <c r="K1187" s="74"/>
      <c r="L1187" s="72"/>
      <c r="M1187" s="72"/>
      <c r="N1187" s="72" t="str">
        <f>IF(AND(C1187="",J1187=0,K1187=0,L1187=0,M1187=0),"",CADASTROS!$B$4+SUM($J$2:J1187)+SUM($M$2:M1187)-SUM($K$2:K1187)-SUM($L$2:L1187))</f>
        <v/>
      </c>
      <c r="O1187" s="72" t="str">
        <f>IF(A1187="","",SUMIF(RATEIOS!$A$2:$A$3142,$A1187,RATEIOS!$F$2:$F$3142))</f>
        <v/>
      </c>
      <c r="P1187" s="15" t="str">
        <f t="shared" si="38"/>
        <v/>
      </c>
      <c r="Q1187" s="49" t="str">
        <f>IF(AND(J1187=0,K1187=0,L1187=0,M1187=0),"",IF(O1187=0,"PENDENTE DE RATEIO",IF(ABS(P1187)&gt;0.005,"DIVERGÊNCIA",IF(COUNTIF(RATEIOS!$A$2:$A$3142,$A1187)-COUNTIFS(RATEIOS!$A$2:$A$3142,$A1187,RATEIOS!$D$2:$D$3142,"&lt;&gt;")&gt;0,"NÃO CLASSIFICADO","RATEIO OK"))))</f>
        <v/>
      </c>
      <c r="R1187" s="49"/>
      <c r="S1187" s="14"/>
    </row>
    <row r="1188" spans="1:19" ht="24.95" customHeight="1" x14ac:dyDescent="0.25">
      <c r="A1188" s="49" t="str">
        <f>IF(C1188="","","BAN-01187")</f>
        <v/>
      </c>
      <c r="B1188" s="98" t="str">
        <f>IF(C1188="","",1187)</f>
        <v/>
      </c>
      <c r="C1188" s="50"/>
      <c r="D1188" s="49" t="str">
        <f t="shared" si="37"/>
        <v/>
      </c>
      <c r="E1188" s="92"/>
      <c r="F1188" s="49"/>
      <c r="G1188" s="14"/>
      <c r="H1188" s="14"/>
      <c r="I1188" s="76"/>
      <c r="J1188" s="73"/>
      <c r="K1188" s="74"/>
      <c r="L1188" s="72"/>
      <c r="M1188" s="72"/>
      <c r="N1188" s="72" t="str">
        <f>IF(AND(C1188="",J1188=0,K1188=0,L1188=0,M1188=0),"",CADASTROS!$B$4+SUM($J$2:J1188)+SUM($M$2:M1188)-SUM($K$2:K1188)-SUM($L$2:L1188))</f>
        <v/>
      </c>
      <c r="O1188" s="72" t="str">
        <f>IF(A1188="","",SUMIF(RATEIOS!$A$2:$A$3142,$A1188,RATEIOS!$F$2:$F$3142))</f>
        <v/>
      </c>
      <c r="P1188" s="15" t="str">
        <f t="shared" si="38"/>
        <v/>
      </c>
      <c r="Q1188" s="49" t="str">
        <f>IF(AND(J1188=0,K1188=0,L1188=0,M1188=0),"",IF(O1188=0,"PENDENTE DE RATEIO",IF(ABS(P1188)&gt;0.005,"DIVERGÊNCIA",IF(COUNTIF(RATEIOS!$A$2:$A$3142,$A1188)-COUNTIFS(RATEIOS!$A$2:$A$3142,$A1188,RATEIOS!$D$2:$D$3142,"&lt;&gt;")&gt;0,"NÃO CLASSIFICADO","RATEIO OK"))))</f>
        <v/>
      </c>
      <c r="R1188" s="49"/>
      <c r="S1188" s="14"/>
    </row>
    <row r="1189" spans="1:19" ht="24.95" customHeight="1" x14ac:dyDescent="0.25">
      <c r="A1189" s="49" t="str">
        <f>IF(C1189="","","BAN-01188")</f>
        <v/>
      </c>
      <c r="B1189" s="98" t="str">
        <f>IF(C1189="","",1188)</f>
        <v/>
      </c>
      <c r="C1189" s="50"/>
      <c r="D1189" s="49" t="str">
        <f t="shared" si="37"/>
        <v/>
      </c>
      <c r="E1189" s="92"/>
      <c r="F1189" s="49"/>
      <c r="G1189" s="14"/>
      <c r="H1189" s="14"/>
      <c r="I1189" s="76"/>
      <c r="J1189" s="73"/>
      <c r="K1189" s="74"/>
      <c r="L1189" s="72"/>
      <c r="M1189" s="72"/>
      <c r="N1189" s="72" t="str">
        <f>IF(AND(C1189="",J1189=0,K1189=0,L1189=0,M1189=0),"",CADASTROS!$B$4+SUM($J$2:J1189)+SUM($M$2:M1189)-SUM($K$2:K1189)-SUM($L$2:L1189))</f>
        <v/>
      </c>
      <c r="O1189" s="72" t="str">
        <f>IF(A1189="","",SUMIF(RATEIOS!$A$2:$A$3142,$A1189,RATEIOS!$F$2:$F$3142))</f>
        <v/>
      </c>
      <c r="P1189" s="15" t="str">
        <f t="shared" si="38"/>
        <v/>
      </c>
      <c r="Q1189" s="49" t="str">
        <f>IF(AND(J1189=0,K1189=0,L1189=0,M1189=0),"",IF(O1189=0,"PENDENTE DE RATEIO",IF(ABS(P1189)&gt;0.005,"DIVERGÊNCIA",IF(COUNTIF(RATEIOS!$A$2:$A$3142,$A1189)-COUNTIFS(RATEIOS!$A$2:$A$3142,$A1189,RATEIOS!$D$2:$D$3142,"&lt;&gt;")&gt;0,"NÃO CLASSIFICADO","RATEIO OK"))))</f>
        <v/>
      </c>
      <c r="R1189" s="49"/>
      <c r="S1189" s="14"/>
    </row>
    <row r="1190" spans="1:19" ht="24.95" customHeight="1" x14ac:dyDescent="0.25">
      <c r="A1190" s="49" t="str">
        <f>IF(C1190="","","BAN-01189")</f>
        <v/>
      </c>
      <c r="B1190" s="98" t="str">
        <f>IF(C1190="","",1189)</f>
        <v/>
      </c>
      <c r="C1190" s="50"/>
      <c r="D1190" s="49" t="str">
        <f t="shared" si="37"/>
        <v/>
      </c>
      <c r="E1190" s="92"/>
      <c r="F1190" s="49"/>
      <c r="G1190" s="14"/>
      <c r="H1190" s="14"/>
      <c r="I1190" s="76"/>
      <c r="J1190" s="73"/>
      <c r="K1190" s="74"/>
      <c r="L1190" s="72"/>
      <c r="M1190" s="72"/>
      <c r="N1190" s="72" t="str">
        <f>IF(AND(C1190="",J1190=0,K1190=0,L1190=0,M1190=0),"",CADASTROS!$B$4+SUM($J$2:J1190)+SUM($M$2:M1190)-SUM($K$2:K1190)-SUM($L$2:L1190))</f>
        <v/>
      </c>
      <c r="O1190" s="72" t="str">
        <f>IF(A1190="","",SUMIF(RATEIOS!$A$2:$A$3142,$A1190,RATEIOS!$F$2:$F$3142))</f>
        <v/>
      </c>
      <c r="P1190" s="15" t="str">
        <f t="shared" si="38"/>
        <v/>
      </c>
      <c r="Q1190" s="49" t="str">
        <f>IF(AND(J1190=0,K1190=0,L1190=0,M1190=0),"",IF(O1190=0,"PENDENTE DE RATEIO",IF(ABS(P1190)&gt;0.005,"DIVERGÊNCIA",IF(COUNTIF(RATEIOS!$A$2:$A$3142,$A1190)-COUNTIFS(RATEIOS!$A$2:$A$3142,$A1190,RATEIOS!$D$2:$D$3142,"&lt;&gt;")&gt;0,"NÃO CLASSIFICADO","RATEIO OK"))))</f>
        <v/>
      </c>
      <c r="R1190" s="49"/>
      <c r="S1190" s="14"/>
    </row>
    <row r="1191" spans="1:19" ht="24.95" customHeight="1" x14ac:dyDescent="0.25">
      <c r="A1191" s="49" t="str">
        <f>IF(C1191="","","BAN-01190")</f>
        <v/>
      </c>
      <c r="B1191" s="98" t="str">
        <f>IF(C1191="","",1190)</f>
        <v/>
      </c>
      <c r="C1191" s="50"/>
      <c r="D1191" s="49" t="str">
        <f t="shared" si="37"/>
        <v/>
      </c>
      <c r="E1191" s="92"/>
      <c r="F1191" s="49"/>
      <c r="G1191" s="14"/>
      <c r="H1191" s="14"/>
      <c r="I1191" s="76"/>
      <c r="J1191" s="73"/>
      <c r="K1191" s="74"/>
      <c r="L1191" s="72"/>
      <c r="M1191" s="72"/>
      <c r="N1191" s="72" t="str">
        <f>IF(AND(C1191="",J1191=0,K1191=0,L1191=0,M1191=0),"",CADASTROS!$B$4+SUM($J$2:J1191)+SUM($M$2:M1191)-SUM($K$2:K1191)-SUM($L$2:L1191))</f>
        <v/>
      </c>
      <c r="O1191" s="72" t="str">
        <f>IF(A1191="","",SUMIF(RATEIOS!$A$2:$A$3142,$A1191,RATEIOS!$F$2:$F$3142))</f>
        <v/>
      </c>
      <c r="P1191" s="15" t="str">
        <f t="shared" si="38"/>
        <v/>
      </c>
      <c r="Q1191" s="49" t="str">
        <f>IF(AND(J1191=0,K1191=0,L1191=0,M1191=0),"",IF(O1191=0,"PENDENTE DE RATEIO",IF(ABS(P1191)&gt;0.005,"DIVERGÊNCIA",IF(COUNTIF(RATEIOS!$A$2:$A$3142,$A1191)-COUNTIFS(RATEIOS!$A$2:$A$3142,$A1191,RATEIOS!$D$2:$D$3142,"&lt;&gt;")&gt;0,"NÃO CLASSIFICADO","RATEIO OK"))))</f>
        <v/>
      </c>
      <c r="R1191" s="49"/>
      <c r="S1191" s="14"/>
    </row>
    <row r="1192" spans="1:19" ht="24.95" customHeight="1" x14ac:dyDescent="0.25">
      <c r="A1192" s="49" t="str">
        <f>IF(C1192="","","BAN-01191")</f>
        <v/>
      </c>
      <c r="B1192" s="98" t="str">
        <f>IF(C1192="","",1191)</f>
        <v/>
      </c>
      <c r="C1192" s="50"/>
      <c r="D1192" s="49" t="str">
        <f t="shared" si="37"/>
        <v/>
      </c>
      <c r="E1192" s="92"/>
      <c r="F1192" s="49"/>
      <c r="G1192" s="14"/>
      <c r="H1192" s="14"/>
      <c r="I1192" s="76"/>
      <c r="J1192" s="73"/>
      <c r="K1192" s="74"/>
      <c r="L1192" s="72"/>
      <c r="M1192" s="72"/>
      <c r="N1192" s="72" t="str">
        <f>IF(AND(C1192="",J1192=0,K1192=0,L1192=0,M1192=0),"",CADASTROS!$B$4+SUM($J$2:J1192)+SUM($M$2:M1192)-SUM($K$2:K1192)-SUM($L$2:L1192))</f>
        <v/>
      </c>
      <c r="O1192" s="72" t="str">
        <f>IF(A1192="","",SUMIF(RATEIOS!$A$2:$A$3142,$A1192,RATEIOS!$F$2:$F$3142))</f>
        <v/>
      </c>
      <c r="P1192" s="15" t="str">
        <f t="shared" si="38"/>
        <v/>
      </c>
      <c r="Q1192" s="49" t="str">
        <f>IF(AND(J1192=0,K1192=0,L1192=0,M1192=0),"",IF(O1192=0,"PENDENTE DE RATEIO",IF(ABS(P1192)&gt;0.005,"DIVERGÊNCIA",IF(COUNTIF(RATEIOS!$A$2:$A$3142,$A1192)-COUNTIFS(RATEIOS!$A$2:$A$3142,$A1192,RATEIOS!$D$2:$D$3142,"&lt;&gt;")&gt;0,"NÃO CLASSIFICADO","RATEIO OK"))))</f>
        <v/>
      </c>
      <c r="R1192" s="49"/>
      <c r="S1192" s="14"/>
    </row>
    <row r="1193" spans="1:19" ht="24.95" customHeight="1" x14ac:dyDescent="0.25">
      <c r="A1193" s="49" t="str">
        <f>IF(C1193="","","BAN-01192")</f>
        <v/>
      </c>
      <c r="B1193" s="98" t="str">
        <f>IF(C1193="","",1192)</f>
        <v/>
      </c>
      <c r="C1193" s="50"/>
      <c r="D1193" s="49" t="str">
        <f t="shared" si="37"/>
        <v/>
      </c>
      <c r="E1193" s="92"/>
      <c r="F1193" s="49"/>
      <c r="G1193" s="14"/>
      <c r="H1193" s="14"/>
      <c r="I1193" s="76"/>
      <c r="J1193" s="73"/>
      <c r="K1193" s="74"/>
      <c r="L1193" s="72"/>
      <c r="M1193" s="72"/>
      <c r="N1193" s="72" t="str">
        <f>IF(AND(C1193="",J1193=0,K1193=0,L1193=0,M1193=0),"",CADASTROS!$B$4+SUM($J$2:J1193)+SUM($M$2:M1193)-SUM($K$2:K1193)-SUM($L$2:L1193))</f>
        <v/>
      </c>
      <c r="O1193" s="72" t="str">
        <f>IF(A1193="","",SUMIF(RATEIOS!$A$2:$A$3142,$A1193,RATEIOS!$F$2:$F$3142))</f>
        <v/>
      </c>
      <c r="P1193" s="15" t="str">
        <f t="shared" si="38"/>
        <v/>
      </c>
      <c r="Q1193" s="49" t="str">
        <f>IF(AND(J1193=0,K1193=0,L1193=0,M1193=0),"",IF(O1193=0,"PENDENTE DE RATEIO",IF(ABS(P1193)&gt;0.005,"DIVERGÊNCIA",IF(COUNTIF(RATEIOS!$A$2:$A$3142,$A1193)-COUNTIFS(RATEIOS!$A$2:$A$3142,$A1193,RATEIOS!$D$2:$D$3142,"&lt;&gt;")&gt;0,"NÃO CLASSIFICADO","RATEIO OK"))))</f>
        <v/>
      </c>
      <c r="R1193" s="49"/>
      <c r="S1193" s="14"/>
    </row>
    <row r="1194" spans="1:19" ht="24.95" customHeight="1" x14ac:dyDescent="0.25">
      <c r="A1194" s="49" t="str">
        <f>IF(C1194="","","BAN-01193")</f>
        <v/>
      </c>
      <c r="B1194" s="98" t="str">
        <f>IF(C1194="","",1193)</f>
        <v/>
      </c>
      <c r="C1194" s="50"/>
      <c r="D1194" s="49" t="str">
        <f t="shared" si="37"/>
        <v/>
      </c>
      <c r="E1194" s="92"/>
      <c r="F1194" s="49"/>
      <c r="G1194" s="14"/>
      <c r="H1194" s="14"/>
      <c r="I1194" s="76"/>
      <c r="J1194" s="73"/>
      <c r="K1194" s="74"/>
      <c r="L1194" s="72"/>
      <c r="M1194" s="72"/>
      <c r="N1194" s="72" t="str">
        <f>IF(AND(C1194="",J1194=0,K1194=0,L1194=0,M1194=0),"",CADASTROS!$B$4+SUM($J$2:J1194)+SUM($M$2:M1194)-SUM($K$2:K1194)-SUM($L$2:L1194))</f>
        <v/>
      </c>
      <c r="O1194" s="72" t="str">
        <f>IF(A1194="","",SUMIF(RATEIOS!$A$2:$A$3142,$A1194,RATEIOS!$F$2:$F$3142))</f>
        <v/>
      </c>
      <c r="P1194" s="15" t="str">
        <f t="shared" si="38"/>
        <v/>
      </c>
      <c r="Q1194" s="49" t="str">
        <f>IF(AND(J1194=0,K1194=0,L1194=0,M1194=0),"",IF(O1194=0,"PENDENTE DE RATEIO",IF(ABS(P1194)&gt;0.005,"DIVERGÊNCIA",IF(COUNTIF(RATEIOS!$A$2:$A$3142,$A1194)-COUNTIFS(RATEIOS!$A$2:$A$3142,$A1194,RATEIOS!$D$2:$D$3142,"&lt;&gt;")&gt;0,"NÃO CLASSIFICADO","RATEIO OK"))))</f>
        <v/>
      </c>
      <c r="R1194" s="49"/>
      <c r="S1194" s="14"/>
    </row>
    <row r="1195" spans="1:19" ht="24.95" customHeight="1" x14ac:dyDescent="0.25">
      <c r="A1195" s="49" t="str">
        <f>IF(C1195="","","BAN-01194")</f>
        <v/>
      </c>
      <c r="B1195" s="98" t="str">
        <f>IF(C1195="","",1194)</f>
        <v/>
      </c>
      <c r="C1195" s="50"/>
      <c r="D1195" s="49" t="str">
        <f t="shared" si="37"/>
        <v/>
      </c>
      <c r="E1195" s="92"/>
      <c r="F1195" s="49"/>
      <c r="G1195" s="14"/>
      <c r="H1195" s="14"/>
      <c r="I1195" s="76"/>
      <c r="J1195" s="73"/>
      <c r="K1195" s="74"/>
      <c r="L1195" s="72"/>
      <c r="M1195" s="72"/>
      <c r="N1195" s="72" t="str">
        <f>IF(AND(C1195="",J1195=0,K1195=0,L1195=0,M1195=0),"",CADASTROS!$B$4+SUM($J$2:J1195)+SUM($M$2:M1195)-SUM($K$2:K1195)-SUM($L$2:L1195))</f>
        <v/>
      </c>
      <c r="O1195" s="72" t="str">
        <f>IF(A1195="","",SUMIF(RATEIOS!$A$2:$A$3142,$A1195,RATEIOS!$F$2:$F$3142))</f>
        <v/>
      </c>
      <c r="P1195" s="15" t="str">
        <f t="shared" si="38"/>
        <v/>
      </c>
      <c r="Q1195" s="49" t="str">
        <f>IF(AND(J1195=0,K1195=0,L1195=0,M1195=0),"",IF(O1195=0,"PENDENTE DE RATEIO",IF(ABS(P1195)&gt;0.005,"DIVERGÊNCIA",IF(COUNTIF(RATEIOS!$A$2:$A$3142,$A1195)-COUNTIFS(RATEIOS!$A$2:$A$3142,$A1195,RATEIOS!$D$2:$D$3142,"&lt;&gt;")&gt;0,"NÃO CLASSIFICADO","RATEIO OK"))))</f>
        <v/>
      </c>
      <c r="R1195" s="49"/>
      <c r="S1195" s="14"/>
    </row>
    <row r="1196" spans="1:19" ht="24.95" customHeight="1" x14ac:dyDescent="0.25">
      <c r="A1196" s="49" t="str">
        <f>IF(C1196="","","BAN-01195")</f>
        <v/>
      </c>
      <c r="B1196" s="98" t="str">
        <f>IF(C1196="","",1195)</f>
        <v/>
      </c>
      <c r="C1196" s="50"/>
      <c r="D1196" s="49" t="str">
        <f t="shared" si="37"/>
        <v/>
      </c>
      <c r="E1196" s="92"/>
      <c r="F1196" s="49"/>
      <c r="G1196" s="14"/>
      <c r="H1196" s="14"/>
      <c r="I1196" s="76"/>
      <c r="J1196" s="73"/>
      <c r="K1196" s="74"/>
      <c r="L1196" s="72"/>
      <c r="M1196" s="72"/>
      <c r="N1196" s="72" t="str">
        <f>IF(AND(C1196="",J1196=0,K1196=0,L1196=0,M1196=0),"",CADASTROS!$B$4+SUM($J$2:J1196)+SUM($M$2:M1196)-SUM($K$2:K1196)-SUM($L$2:L1196))</f>
        <v/>
      </c>
      <c r="O1196" s="72" t="str">
        <f>IF(A1196="","",SUMIF(RATEIOS!$A$2:$A$3142,$A1196,RATEIOS!$F$2:$F$3142))</f>
        <v/>
      </c>
      <c r="P1196" s="15" t="str">
        <f t="shared" si="38"/>
        <v/>
      </c>
      <c r="Q1196" s="49" t="str">
        <f>IF(AND(J1196=0,K1196=0,L1196=0,M1196=0),"",IF(O1196=0,"PENDENTE DE RATEIO",IF(ABS(P1196)&gt;0.005,"DIVERGÊNCIA",IF(COUNTIF(RATEIOS!$A$2:$A$3142,$A1196)-COUNTIFS(RATEIOS!$A$2:$A$3142,$A1196,RATEIOS!$D$2:$D$3142,"&lt;&gt;")&gt;0,"NÃO CLASSIFICADO","RATEIO OK"))))</f>
        <v/>
      </c>
      <c r="R1196" s="49"/>
      <c r="S1196" s="14"/>
    </row>
    <row r="1197" spans="1:19" ht="24.95" customHeight="1" x14ac:dyDescent="0.25">
      <c r="A1197" s="49" t="str">
        <f>IF(C1197="","","BAN-01196")</f>
        <v/>
      </c>
      <c r="B1197" s="98" t="str">
        <f>IF(C1197="","",1196)</f>
        <v/>
      </c>
      <c r="C1197" s="50"/>
      <c r="D1197" s="49" t="str">
        <f t="shared" si="37"/>
        <v/>
      </c>
      <c r="E1197" s="92"/>
      <c r="F1197" s="49"/>
      <c r="G1197" s="14"/>
      <c r="H1197" s="14"/>
      <c r="I1197" s="76"/>
      <c r="J1197" s="73"/>
      <c r="K1197" s="74"/>
      <c r="L1197" s="72"/>
      <c r="M1197" s="72"/>
      <c r="N1197" s="72" t="str">
        <f>IF(AND(C1197="",J1197=0,K1197=0,L1197=0,M1197=0),"",CADASTROS!$B$4+SUM($J$2:J1197)+SUM($M$2:M1197)-SUM($K$2:K1197)-SUM($L$2:L1197))</f>
        <v/>
      </c>
      <c r="O1197" s="72" t="str">
        <f>IF(A1197="","",SUMIF(RATEIOS!$A$2:$A$3142,$A1197,RATEIOS!$F$2:$F$3142))</f>
        <v/>
      </c>
      <c r="P1197" s="15" t="str">
        <f t="shared" si="38"/>
        <v/>
      </c>
      <c r="Q1197" s="49" t="str">
        <f>IF(AND(J1197=0,K1197=0,L1197=0,M1197=0),"",IF(O1197=0,"PENDENTE DE RATEIO",IF(ABS(P1197)&gt;0.005,"DIVERGÊNCIA",IF(COUNTIF(RATEIOS!$A$2:$A$3142,$A1197)-COUNTIFS(RATEIOS!$A$2:$A$3142,$A1197,RATEIOS!$D$2:$D$3142,"&lt;&gt;")&gt;0,"NÃO CLASSIFICADO","RATEIO OK"))))</f>
        <v/>
      </c>
      <c r="R1197" s="49"/>
      <c r="S1197" s="14"/>
    </row>
    <row r="1198" spans="1:19" ht="24.95" customHeight="1" x14ac:dyDescent="0.25">
      <c r="A1198" s="49" t="str">
        <f>IF(C1198="","","BAN-01197")</f>
        <v/>
      </c>
      <c r="B1198" s="98" t="str">
        <f>IF(C1198="","",1197)</f>
        <v/>
      </c>
      <c r="C1198" s="50"/>
      <c r="D1198" s="49" t="str">
        <f t="shared" si="37"/>
        <v/>
      </c>
      <c r="E1198" s="92"/>
      <c r="F1198" s="49"/>
      <c r="G1198" s="14"/>
      <c r="H1198" s="14"/>
      <c r="I1198" s="76"/>
      <c r="J1198" s="73"/>
      <c r="K1198" s="74"/>
      <c r="L1198" s="72"/>
      <c r="M1198" s="72"/>
      <c r="N1198" s="72" t="str">
        <f>IF(AND(C1198="",J1198=0,K1198=0,L1198=0,M1198=0),"",CADASTROS!$B$4+SUM($J$2:J1198)+SUM($M$2:M1198)-SUM($K$2:K1198)-SUM($L$2:L1198))</f>
        <v/>
      </c>
      <c r="O1198" s="72" t="str">
        <f>IF(A1198="","",SUMIF(RATEIOS!$A$2:$A$3142,$A1198,RATEIOS!$F$2:$F$3142))</f>
        <v/>
      </c>
      <c r="P1198" s="15" t="str">
        <f t="shared" si="38"/>
        <v/>
      </c>
      <c r="Q1198" s="49" t="str">
        <f>IF(AND(J1198=0,K1198=0,L1198=0,M1198=0),"",IF(O1198=0,"PENDENTE DE RATEIO",IF(ABS(P1198)&gt;0.005,"DIVERGÊNCIA",IF(COUNTIF(RATEIOS!$A$2:$A$3142,$A1198)-COUNTIFS(RATEIOS!$A$2:$A$3142,$A1198,RATEIOS!$D$2:$D$3142,"&lt;&gt;")&gt;0,"NÃO CLASSIFICADO","RATEIO OK"))))</f>
        <v/>
      </c>
      <c r="R1198" s="49"/>
      <c r="S1198" s="14"/>
    </row>
    <row r="1199" spans="1:19" ht="24.95" customHeight="1" x14ac:dyDescent="0.25">
      <c r="A1199" s="49" t="str">
        <f>IF(C1199="","","BAN-01198")</f>
        <v/>
      </c>
      <c r="B1199" s="98" t="str">
        <f>IF(C1199="","",1198)</f>
        <v/>
      </c>
      <c r="C1199" s="50"/>
      <c r="D1199" s="49" t="str">
        <f t="shared" si="37"/>
        <v/>
      </c>
      <c r="E1199" s="92"/>
      <c r="F1199" s="49"/>
      <c r="G1199" s="14"/>
      <c r="H1199" s="14"/>
      <c r="I1199" s="76"/>
      <c r="J1199" s="73"/>
      <c r="K1199" s="74"/>
      <c r="L1199" s="72"/>
      <c r="M1199" s="72"/>
      <c r="N1199" s="72" t="str">
        <f>IF(AND(C1199="",J1199=0,K1199=0,L1199=0,M1199=0),"",CADASTROS!$B$4+SUM($J$2:J1199)+SUM($M$2:M1199)-SUM($K$2:K1199)-SUM($L$2:L1199))</f>
        <v/>
      </c>
      <c r="O1199" s="72" t="str">
        <f>IF(A1199="","",SUMIF(RATEIOS!$A$2:$A$3142,$A1199,RATEIOS!$F$2:$F$3142))</f>
        <v/>
      </c>
      <c r="P1199" s="15" t="str">
        <f t="shared" si="38"/>
        <v/>
      </c>
      <c r="Q1199" s="49" t="str">
        <f>IF(AND(J1199=0,K1199=0,L1199=0,M1199=0),"",IF(O1199=0,"PENDENTE DE RATEIO",IF(ABS(P1199)&gt;0.005,"DIVERGÊNCIA",IF(COUNTIF(RATEIOS!$A$2:$A$3142,$A1199)-COUNTIFS(RATEIOS!$A$2:$A$3142,$A1199,RATEIOS!$D$2:$D$3142,"&lt;&gt;")&gt;0,"NÃO CLASSIFICADO","RATEIO OK"))))</f>
        <v/>
      </c>
      <c r="R1199" s="49"/>
      <c r="S1199" s="14"/>
    </row>
    <row r="1200" spans="1:19" ht="24.95" customHeight="1" x14ac:dyDescent="0.25">
      <c r="A1200" s="49" t="str">
        <f>IF(C1200="","","BAN-01199")</f>
        <v/>
      </c>
      <c r="B1200" s="98" t="str">
        <f>IF(C1200="","",1199)</f>
        <v/>
      </c>
      <c r="C1200" s="50"/>
      <c r="D1200" s="49" t="str">
        <f t="shared" si="37"/>
        <v/>
      </c>
      <c r="E1200" s="92"/>
      <c r="F1200" s="49"/>
      <c r="G1200" s="14"/>
      <c r="H1200" s="14"/>
      <c r="I1200" s="76"/>
      <c r="J1200" s="73"/>
      <c r="K1200" s="74"/>
      <c r="L1200" s="72"/>
      <c r="M1200" s="72"/>
      <c r="N1200" s="72" t="str">
        <f>IF(AND(C1200="",J1200=0,K1200=0,L1200=0,M1200=0),"",CADASTROS!$B$4+SUM($J$2:J1200)+SUM($M$2:M1200)-SUM($K$2:K1200)-SUM($L$2:L1200))</f>
        <v/>
      </c>
      <c r="O1200" s="72" t="str">
        <f>IF(A1200="","",SUMIF(RATEIOS!$A$2:$A$3142,$A1200,RATEIOS!$F$2:$F$3142))</f>
        <v/>
      </c>
      <c r="P1200" s="15" t="str">
        <f t="shared" si="38"/>
        <v/>
      </c>
      <c r="Q1200" s="49" t="str">
        <f>IF(AND(J1200=0,K1200=0,L1200=0,M1200=0),"",IF(O1200=0,"PENDENTE DE RATEIO",IF(ABS(P1200)&gt;0.005,"DIVERGÊNCIA",IF(COUNTIF(RATEIOS!$A$2:$A$3142,$A1200)-COUNTIFS(RATEIOS!$A$2:$A$3142,$A1200,RATEIOS!$D$2:$D$3142,"&lt;&gt;")&gt;0,"NÃO CLASSIFICADO","RATEIO OK"))))</f>
        <v/>
      </c>
      <c r="R1200" s="49"/>
      <c r="S1200" s="14"/>
    </row>
    <row r="1201" spans="1:19" ht="24.95" customHeight="1" x14ac:dyDescent="0.25">
      <c r="A1201" s="49" t="str">
        <f>IF(C1201="","","BAN-01200")</f>
        <v/>
      </c>
      <c r="B1201" s="98" t="str">
        <f>IF(C1201="","",1200)</f>
        <v/>
      </c>
      <c r="C1201" s="50"/>
      <c r="D1201" s="49" t="str">
        <f t="shared" si="37"/>
        <v/>
      </c>
      <c r="E1201" s="92"/>
      <c r="F1201" s="49"/>
      <c r="G1201" s="14"/>
      <c r="H1201" s="14"/>
      <c r="I1201" s="76"/>
      <c r="J1201" s="73"/>
      <c r="K1201" s="74"/>
      <c r="L1201" s="72"/>
      <c r="M1201" s="72"/>
      <c r="N1201" s="72" t="str">
        <f>IF(AND(C1201="",J1201=0,K1201=0,L1201=0,M1201=0),"",CADASTROS!$B$4+SUM($J$2:J1201)+SUM($M$2:M1201)-SUM($K$2:K1201)-SUM($L$2:L1201))</f>
        <v/>
      </c>
      <c r="O1201" s="72" t="str">
        <f>IF(A1201="","",SUMIF(RATEIOS!$A$2:$A$3142,$A1201,RATEIOS!$F$2:$F$3142))</f>
        <v/>
      </c>
      <c r="P1201" s="15" t="str">
        <f t="shared" si="38"/>
        <v/>
      </c>
      <c r="Q1201" s="49" t="str">
        <f>IF(AND(J1201=0,K1201=0,L1201=0,M1201=0),"",IF(O1201=0,"PENDENTE DE RATEIO",IF(ABS(P1201)&gt;0.005,"DIVERGÊNCIA",IF(COUNTIF(RATEIOS!$A$2:$A$3142,$A1201)-COUNTIFS(RATEIOS!$A$2:$A$3142,$A1201,RATEIOS!$D$2:$D$3142,"&lt;&gt;")&gt;0,"NÃO CLASSIFICADO","RATEIO OK"))))</f>
        <v/>
      </c>
      <c r="R1201" s="49"/>
      <c r="S1201" s="14"/>
    </row>
    <row r="1202" spans="1:19" ht="24.95" customHeight="1" x14ac:dyDescent="0.25">
      <c r="A1202" s="49" t="str">
        <f>IF(C1202="","","BAN-01201")</f>
        <v/>
      </c>
      <c r="B1202" s="98" t="str">
        <f>IF(C1202="","",1201)</f>
        <v/>
      </c>
      <c r="C1202" s="50"/>
      <c r="D1202" s="49" t="str">
        <f t="shared" si="37"/>
        <v/>
      </c>
      <c r="E1202" s="92"/>
      <c r="F1202" s="49"/>
      <c r="G1202" s="14"/>
      <c r="H1202" s="14"/>
      <c r="I1202" s="76"/>
      <c r="J1202" s="73"/>
      <c r="K1202" s="74"/>
      <c r="L1202" s="72"/>
      <c r="M1202" s="72"/>
      <c r="N1202" s="72" t="str">
        <f>IF(AND(C1202="",J1202=0,K1202=0,L1202=0,M1202=0),"",CADASTROS!$B$4+SUM($J$2:J1202)+SUM($M$2:M1202)-SUM($K$2:K1202)-SUM($L$2:L1202))</f>
        <v/>
      </c>
      <c r="O1202" s="72" t="str">
        <f>IF(A1202="","",SUMIF(RATEIOS!$A$2:$A$3142,$A1202,RATEIOS!$F$2:$F$3142))</f>
        <v/>
      </c>
      <c r="P1202" s="15" t="str">
        <f t="shared" si="38"/>
        <v/>
      </c>
      <c r="Q1202" s="49" t="str">
        <f>IF(AND(J1202=0,K1202=0,L1202=0,M1202=0),"",IF(O1202=0,"PENDENTE DE RATEIO",IF(ABS(P1202)&gt;0.005,"DIVERGÊNCIA",IF(COUNTIF(RATEIOS!$A$2:$A$3142,$A1202)-COUNTIFS(RATEIOS!$A$2:$A$3142,$A1202,RATEIOS!$D$2:$D$3142,"&lt;&gt;")&gt;0,"NÃO CLASSIFICADO","RATEIO OK"))))</f>
        <v/>
      </c>
      <c r="R1202" s="49"/>
      <c r="S1202" s="14"/>
    </row>
    <row r="1203" spans="1:19" ht="24.95" customHeight="1" x14ac:dyDescent="0.25">
      <c r="A1203" s="49" t="str">
        <f>IF(C1203="","","BAN-01202")</f>
        <v/>
      </c>
      <c r="B1203" s="98" t="str">
        <f>IF(C1203="","",1202)</f>
        <v/>
      </c>
      <c r="C1203" s="50"/>
      <c r="D1203" s="49" t="str">
        <f t="shared" si="37"/>
        <v/>
      </c>
      <c r="E1203" s="92"/>
      <c r="F1203" s="49"/>
      <c r="G1203" s="14"/>
      <c r="H1203" s="14"/>
      <c r="I1203" s="76"/>
      <c r="J1203" s="73"/>
      <c r="K1203" s="74"/>
      <c r="L1203" s="72"/>
      <c r="M1203" s="72"/>
      <c r="N1203" s="72" t="str">
        <f>IF(AND(C1203="",J1203=0,K1203=0,L1203=0,M1203=0),"",CADASTROS!$B$4+SUM($J$2:J1203)+SUM($M$2:M1203)-SUM($K$2:K1203)-SUM($L$2:L1203))</f>
        <v/>
      </c>
      <c r="O1203" s="72" t="str">
        <f>IF(A1203="","",SUMIF(RATEIOS!$A$2:$A$3142,$A1203,RATEIOS!$F$2:$F$3142))</f>
        <v/>
      </c>
      <c r="P1203" s="15" t="str">
        <f t="shared" si="38"/>
        <v/>
      </c>
      <c r="Q1203" s="49" t="str">
        <f>IF(AND(J1203=0,K1203=0,L1203=0,M1203=0),"",IF(O1203=0,"PENDENTE DE RATEIO",IF(ABS(P1203)&gt;0.005,"DIVERGÊNCIA",IF(COUNTIF(RATEIOS!$A$2:$A$3142,$A1203)-COUNTIFS(RATEIOS!$A$2:$A$3142,$A1203,RATEIOS!$D$2:$D$3142,"&lt;&gt;")&gt;0,"NÃO CLASSIFICADO","RATEIO OK"))))</f>
        <v/>
      </c>
      <c r="R1203" s="49"/>
      <c r="S1203" s="14"/>
    </row>
    <row r="1204" spans="1:19" ht="24.95" customHeight="1" x14ac:dyDescent="0.25">
      <c r="A1204" s="49" t="str">
        <f>IF(C1204="","","BAN-01203")</f>
        <v/>
      </c>
      <c r="B1204" s="98" t="str">
        <f>IF(C1204="","",1203)</f>
        <v/>
      </c>
      <c r="C1204" s="50"/>
      <c r="D1204" s="49" t="str">
        <f t="shared" si="37"/>
        <v/>
      </c>
      <c r="E1204" s="92"/>
      <c r="F1204" s="49"/>
      <c r="G1204" s="14"/>
      <c r="H1204" s="14"/>
      <c r="I1204" s="76"/>
      <c r="J1204" s="73"/>
      <c r="K1204" s="74"/>
      <c r="L1204" s="72"/>
      <c r="M1204" s="72"/>
      <c r="N1204" s="72" t="str">
        <f>IF(AND(C1204="",J1204=0,K1204=0,L1204=0,M1204=0),"",CADASTROS!$B$4+SUM($J$2:J1204)+SUM($M$2:M1204)-SUM($K$2:K1204)-SUM($L$2:L1204))</f>
        <v/>
      </c>
      <c r="O1204" s="72" t="str">
        <f>IF(A1204="","",SUMIF(RATEIOS!$A$2:$A$3142,$A1204,RATEIOS!$F$2:$F$3142))</f>
        <v/>
      </c>
      <c r="P1204" s="15" t="str">
        <f t="shared" si="38"/>
        <v/>
      </c>
      <c r="Q1204" s="49" t="str">
        <f>IF(AND(J1204=0,K1204=0,L1204=0,M1204=0),"",IF(O1204=0,"PENDENTE DE RATEIO",IF(ABS(P1204)&gt;0.005,"DIVERGÊNCIA",IF(COUNTIF(RATEIOS!$A$2:$A$3142,$A1204)-COUNTIFS(RATEIOS!$A$2:$A$3142,$A1204,RATEIOS!$D$2:$D$3142,"&lt;&gt;")&gt;0,"NÃO CLASSIFICADO","RATEIO OK"))))</f>
        <v/>
      </c>
      <c r="R1204" s="49"/>
      <c r="S1204" s="14"/>
    </row>
    <row r="1205" spans="1:19" ht="24.95" customHeight="1" x14ac:dyDescent="0.25">
      <c r="A1205" s="49" t="str">
        <f>IF(C1205="","","BAN-01204")</f>
        <v/>
      </c>
      <c r="B1205" s="98" t="str">
        <f>IF(C1205="","",1204)</f>
        <v/>
      </c>
      <c r="C1205" s="50"/>
      <c r="D1205" s="49" t="str">
        <f t="shared" si="37"/>
        <v/>
      </c>
      <c r="E1205" s="92"/>
      <c r="F1205" s="49"/>
      <c r="G1205" s="14"/>
      <c r="H1205" s="14"/>
      <c r="I1205" s="76"/>
      <c r="J1205" s="73"/>
      <c r="K1205" s="74"/>
      <c r="L1205" s="72"/>
      <c r="M1205" s="72"/>
      <c r="N1205" s="72" t="str">
        <f>IF(AND(C1205="",J1205=0,K1205=0,L1205=0,M1205=0),"",CADASTROS!$B$4+SUM($J$2:J1205)+SUM($M$2:M1205)-SUM($K$2:K1205)-SUM($L$2:L1205))</f>
        <v/>
      </c>
      <c r="O1205" s="72" t="str">
        <f>IF(A1205="","",SUMIF(RATEIOS!$A$2:$A$3142,$A1205,RATEIOS!$F$2:$F$3142))</f>
        <v/>
      </c>
      <c r="P1205" s="15" t="str">
        <f t="shared" si="38"/>
        <v/>
      </c>
      <c r="Q1205" s="49" t="str">
        <f>IF(AND(J1205=0,K1205=0,L1205=0,M1205=0),"",IF(O1205=0,"PENDENTE DE RATEIO",IF(ABS(P1205)&gt;0.005,"DIVERGÊNCIA",IF(COUNTIF(RATEIOS!$A$2:$A$3142,$A1205)-COUNTIFS(RATEIOS!$A$2:$A$3142,$A1205,RATEIOS!$D$2:$D$3142,"&lt;&gt;")&gt;0,"NÃO CLASSIFICADO","RATEIO OK"))))</f>
        <v/>
      </c>
      <c r="R1205" s="49"/>
      <c r="S1205" s="14"/>
    </row>
    <row r="1206" spans="1:19" ht="24.95" customHeight="1" x14ac:dyDescent="0.25">
      <c r="A1206" s="49" t="str">
        <f>IF(C1206="","","BAN-01205")</f>
        <v/>
      </c>
      <c r="B1206" s="98" t="str">
        <f>IF(C1206="","",1205)</f>
        <v/>
      </c>
      <c r="C1206" s="50"/>
      <c r="D1206" s="49" t="str">
        <f t="shared" si="37"/>
        <v/>
      </c>
      <c r="E1206" s="92"/>
      <c r="F1206" s="49"/>
      <c r="G1206" s="14"/>
      <c r="H1206" s="14"/>
      <c r="I1206" s="76"/>
      <c r="J1206" s="73"/>
      <c r="K1206" s="74"/>
      <c r="L1206" s="72"/>
      <c r="M1206" s="72"/>
      <c r="N1206" s="72" t="str">
        <f>IF(AND(C1206="",J1206=0,K1206=0,L1206=0,M1206=0),"",CADASTROS!$B$4+SUM($J$2:J1206)+SUM($M$2:M1206)-SUM($K$2:K1206)-SUM($L$2:L1206))</f>
        <v/>
      </c>
      <c r="O1206" s="72" t="str">
        <f>IF(A1206="","",SUMIF(RATEIOS!$A$2:$A$3142,$A1206,RATEIOS!$F$2:$F$3142))</f>
        <v/>
      </c>
      <c r="P1206" s="15" t="str">
        <f t="shared" si="38"/>
        <v/>
      </c>
      <c r="Q1206" s="49" t="str">
        <f>IF(AND(J1206=0,K1206=0,L1206=0,M1206=0),"",IF(O1206=0,"PENDENTE DE RATEIO",IF(ABS(P1206)&gt;0.005,"DIVERGÊNCIA",IF(COUNTIF(RATEIOS!$A$2:$A$3142,$A1206)-COUNTIFS(RATEIOS!$A$2:$A$3142,$A1206,RATEIOS!$D$2:$D$3142,"&lt;&gt;")&gt;0,"NÃO CLASSIFICADO","RATEIO OK"))))</f>
        <v/>
      </c>
      <c r="R1206" s="49"/>
      <c r="S1206" s="14"/>
    </row>
    <row r="1207" spans="1:19" ht="24.95" customHeight="1" x14ac:dyDescent="0.25">
      <c r="A1207" s="49" t="str">
        <f>IF(C1207="","","BAN-01206")</f>
        <v/>
      </c>
      <c r="B1207" s="98" t="str">
        <f>IF(C1207="","",1206)</f>
        <v/>
      </c>
      <c r="C1207" s="50"/>
      <c r="D1207" s="49" t="str">
        <f t="shared" si="37"/>
        <v/>
      </c>
      <c r="E1207" s="92"/>
      <c r="F1207" s="49"/>
      <c r="G1207" s="14"/>
      <c r="H1207" s="14"/>
      <c r="I1207" s="76"/>
      <c r="J1207" s="73"/>
      <c r="K1207" s="74"/>
      <c r="L1207" s="72"/>
      <c r="M1207" s="72"/>
      <c r="N1207" s="72" t="str">
        <f>IF(AND(C1207="",J1207=0,K1207=0,L1207=0,M1207=0),"",CADASTROS!$B$4+SUM($J$2:J1207)+SUM($M$2:M1207)-SUM($K$2:K1207)-SUM($L$2:L1207))</f>
        <v/>
      </c>
      <c r="O1207" s="72" t="str">
        <f>IF(A1207="","",SUMIF(RATEIOS!$A$2:$A$3142,$A1207,RATEIOS!$F$2:$F$3142))</f>
        <v/>
      </c>
      <c r="P1207" s="15" t="str">
        <f t="shared" si="38"/>
        <v/>
      </c>
      <c r="Q1207" s="49" t="str">
        <f>IF(AND(J1207=0,K1207=0,L1207=0,M1207=0),"",IF(O1207=0,"PENDENTE DE RATEIO",IF(ABS(P1207)&gt;0.005,"DIVERGÊNCIA",IF(COUNTIF(RATEIOS!$A$2:$A$3142,$A1207)-COUNTIFS(RATEIOS!$A$2:$A$3142,$A1207,RATEIOS!$D$2:$D$3142,"&lt;&gt;")&gt;0,"NÃO CLASSIFICADO","RATEIO OK"))))</f>
        <v/>
      </c>
      <c r="R1207" s="49"/>
      <c r="S1207" s="14"/>
    </row>
    <row r="1208" spans="1:19" ht="24.95" customHeight="1" x14ac:dyDescent="0.25">
      <c r="A1208" s="49" t="str">
        <f>IF(C1208="","","BAN-01207")</f>
        <v/>
      </c>
      <c r="B1208" s="98" t="str">
        <f>IF(C1208="","",1207)</f>
        <v/>
      </c>
      <c r="C1208" s="50"/>
      <c r="D1208" s="49" t="str">
        <f t="shared" si="37"/>
        <v/>
      </c>
      <c r="E1208" s="92"/>
      <c r="F1208" s="49"/>
      <c r="G1208" s="14"/>
      <c r="H1208" s="14"/>
      <c r="I1208" s="76"/>
      <c r="J1208" s="73"/>
      <c r="K1208" s="74"/>
      <c r="L1208" s="72"/>
      <c r="M1208" s="72"/>
      <c r="N1208" s="72" t="str">
        <f>IF(AND(C1208="",J1208=0,K1208=0,L1208=0,M1208=0),"",CADASTROS!$B$4+SUM($J$2:J1208)+SUM($M$2:M1208)-SUM($K$2:K1208)-SUM($L$2:L1208))</f>
        <v/>
      </c>
      <c r="O1208" s="72" t="str">
        <f>IF(A1208="","",SUMIF(RATEIOS!$A$2:$A$3142,$A1208,RATEIOS!$F$2:$F$3142))</f>
        <v/>
      </c>
      <c r="P1208" s="15" t="str">
        <f t="shared" si="38"/>
        <v/>
      </c>
      <c r="Q1208" s="49" t="str">
        <f>IF(AND(J1208=0,K1208=0,L1208=0,M1208=0),"",IF(O1208=0,"PENDENTE DE RATEIO",IF(ABS(P1208)&gt;0.005,"DIVERGÊNCIA",IF(COUNTIF(RATEIOS!$A$2:$A$3142,$A1208)-COUNTIFS(RATEIOS!$A$2:$A$3142,$A1208,RATEIOS!$D$2:$D$3142,"&lt;&gt;")&gt;0,"NÃO CLASSIFICADO","RATEIO OK"))))</f>
        <v/>
      </c>
      <c r="R1208" s="49"/>
      <c r="S1208" s="14"/>
    </row>
    <row r="1209" spans="1:19" ht="24.95" customHeight="1" x14ac:dyDescent="0.25">
      <c r="A1209" s="49" t="str">
        <f>IF(C1209="","","BAN-01208")</f>
        <v/>
      </c>
      <c r="B1209" s="98" t="str">
        <f>IF(C1209="","",1208)</f>
        <v/>
      </c>
      <c r="C1209" s="50"/>
      <c r="D1209" s="49" t="str">
        <f t="shared" si="37"/>
        <v/>
      </c>
      <c r="E1209" s="92"/>
      <c r="F1209" s="49"/>
      <c r="G1209" s="14"/>
      <c r="H1209" s="14"/>
      <c r="I1209" s="76"/>
      <c r="J1209" s="73"/>
      <c r="K1209" s="74"/>
      <c r="L1209" s="72"/>
      <c r="M1209" s="72"/>
      <c r="N1209" s="72" t="str">
        <f>IF(AND(C1209="",J1209=0,K1209=0,L1209=0,M1209=0),"",CADASTROS!$B$4+SUM($J$2:J1209)+SUM($M$2:M1209)-SUM($K$2:K1209)-SUM($L$2:L1209))</f>
        <v/>
      </c>
      <c r="O1209" s="72" t="str">
        <f>IF(A1209="","",SUMIF(RATEIOS!$A$2:$A$3142,$A1209,RATEIOS!$F$2:$F$3142))</f>
        <v/>
      </c>
      <c r="P1209" s="15" t="str">
        <f t="shared" si="38"/>
        <v/>
      </c>
      <c r="Q1209" s="49" t="str">
        <f>IF(AND(J1209=0,K1209=0,L1209=0,M1209=0),"",IF(O1209=0,"PENDENTE DE RATEIO",IF(ABS(P1209)&gt;0.005,"DIVERGÊNCIA",IF(COUNTIF(RATEIOS!$A$2:$A$3142,$A1209)-COUNTIFS(RATEIOS!$A$2:$A$3142,$A1209,RATEIOS!$D$2:$D$3142,"&lt;&gt;")&gt;0,"NÃO CLASSIFICADO","RATEIO OK"))))</f>
        <v/>
      </c>
      <c r="R1209" s="49"/>
      <c r="S1209" s="14"/>
    </row>
    <row r="1210" spans="1:19" ht="24.95" customHeight="1" x14ac:dyDescent="0.25">
      <c r="A1210" s="49" t="str">
        <f>IF(C1210="","","BAN-01209")</f>
        <v/>
      </c>
      <c r="B1210" s="98" t="str">
        <f>IF(C1210="","",1209)</f>
        <v/>
      </c>
      <c r="C1210" s="50"/>
      <c r="D1210" s="49" t="str">
        <f t="shared" si="37"/>
        <v/>
      </c>
      <c r="E1210" s="92"/>
      <c r="F1210" s="49"/>
      <c r="G1210" s="14"/>
      <c r="H1210" s="14"/>
      <c r="I1210" s="76"/>
      <c r="J1210" s="73"/>
      <c r="K1210" s="74"/>
      <c r="L1210" s="72"/>
      <c r="M1210" s="72"/>
      <c r="N1210" s="72" t="str">
        <f>IF(AND(C1210="",J1210=0,K1210=0,L1210=0,M1210=0),"",CADASTROS!$B$4+SUM($J$2:J1210)+SUM($M$2:M1210)-SUM($K$2:K1210)-SUM($L$2:L1210))</f>
        <v/>
      </c>
      <c r="O1210" s="72" t="str">
        <f>IF(A1210="","",SUMIF(RATEIOS!$A$2:$A$3142,$A1210,RATEIOS!$F$2:$F$3142))</f>
        <v/>
      </c>
      <c r="P1210" s="15" t="str">
        <f t="shared" si="38"/>
        <v/>
      </c>
      <c r="Q1210" s="49" t="str">
        <f>IF(AND(J1210=0,K1210=0,L1210=0,M1210=0),"",IF(O1210=0,"PENDENTE DE RATEIO",IF(ABS(P1210)&gt;0.005,"DIVERGÊNCIA",IF(COUNTIF(RATEIOS!$A$2:$A$3142,$A1210)-COUNTIFS(RATEIOS!$A$2:$A$3142,$A1210,RATEIOS!$D$2:$D$3142,"&lt;&gt;")&gt;0,"NÃO CLASSIFICADO","RATEIO OK"))))</f>
        <v/>
      </c>
      <c r="R1210" s="49"/>
      <c r="S1210" s="14"/>
    </row>
    <row r="1211" spans="1:19" ht="24.95" customHeight="1" x14ac:dyDescent="0.25">
      <c r="A1211" s="49" t="str">
        <f>IF(C1211="","","BAN-01210")</f>
        <v/>
      </c>
      <c r="B1211" s="98" t="str">
        <f>IF(C1211="","",1210)</f>
        <v/>
      </c>
      <c r="C1211" s="50"/>
      <c r="D1211" s="49" t="str">
        <f t="shared" si="37"/>
        <v/>
      </c>
      <c r="E1211" s="92"/>
      <c r="F1211" s="49"/>
      <c r="G1211" s="14"/>
      <c r="H1211" s="14"/>
      <c r="I1211" s="76"/>
      <c r="J1211" s="73"/>
      <c r="K1211" s="74"/>
      <c r="L1211" s="72"/>
      <c r="M1211" s="72"/>
      <c r="N1211" s="72" t="str">
        <f>IF(AND(C1211="",J1211=0,K1211=0,L1211=0,M1211=0),"",CADASTROS!$B$4+SUM($J$2:J1211)+SUM($M$2:M1211)-SUM($K$2:K1211)-SUM($L$2:L1211))</f>
        <v/>
      </c>
      <c r="O1211" s="72" t="str">
        <f>IF(A1211="","",SUMIF(RATEIOS!$A$2:$A$3142,$A1211,RATEIOS!$F$2:$F$3142))</f>
        <v/>
      </c>
      <c r="P1211" s="15" t="str">
        <f t="shared" si="38"/>
        <v/>
      </c>
      <c r="Q1211" s="49" t="str">
        <f>IF(AND(J1211=0,K1211=0,L1211=0,M1211=0),"",IF(O1211=0,"PENDENTE DE RATEIO",IF(ABS(P1211)&gt;0.005,"DIVERGÊNCIA",IF(COUNTIF(RATEIOS!$A$2:$A$3142,$A1211)-COUNTIFS(RATEIOS!$A$2:$A$3142,$A1211,RATEIOS!$D$2:$D$3142,"&lt;&gt;")&gt;0,"NÃO CLASSIFICADO","RATEIO OK"))))</f>
        <v/>
      </c>
      <c r="R1211" s="49"/>
      <c r="S1211" s="14"/>
    </row>
    <row r="1212" spans="1:19" ht="24.95" customHeight="1" x14ac:dyDescent="0.25">
      <c r="A1212" s="49" t="str">
        <f>IF(C1212="","","BAN-01211")</f>
        <v/>
      </c>
      <c r="B1212" s="98" t="str">
        <f>IF(C1212="","",1211)</f>
        <v/>
      </c>
      <c r="C1212" s="50"/>
      <c r="D1212" s="49" t="str">
        <f t="shared" si="37"/>
        <v/>
      </c>
      <c r="E1212" s="92"/>
      <c r="F1212" s="49"/>
      <c r="G1212" s="14"/>
      <c r="H1212" s="14"/>
      <c r="I1212" s="76"/>
      <c r="J1212" s="73"/>
      <c r="K1212" s="74"/>
      <c r="L1212" s="72"/>
      <c r="M1212" s="72"/>
      <c r="N1212" s="72" t="str">
        <f>IF(AND(C1212="",J1212=0,K1212=0,L1212=0,M1212=0),"",CADASTROS!$B$4+SUM($J$2:J1212)+SUM($M$2:M1212)-SUM($K$2:K1212)-SUM($L$2:L1212))</f>
        <v/>
      </c>
      <c r="O1212" s="72" t="str">
        <f>IF(A1212="","",SUMIF(RATEIOS!$A$2:$A$3142,$A1212,RATEIOS!$F$2:$F$3142))</f>
        <v/>
      </c>
      <c r="P1212" s="15" t="str">
        <f t="shared" si="38"/>
        <v/>
      </c>
      <c r="Q1212" s="49" t="str">
        <f>IF(AND(J1212=0,K1212=0,L1212=0,M1212=0),"",IF(O1212=0,"PENDENTE DE RATEIO",IF(ABS(P1212)&gt;0.005,"DIVERGÊNCIA",IF(COUNTIF(RATEIOS!$A$2:$A$3142,$A1212)-COUNTIFS(RATEIOS!$A$2:$A$3142,$A1212,RATEIOS!$D$2:$D$3142,"&lt;&gt;")&gt;0,"NÃO CLASSIFICADO","RATEIO OK"))))</f>
        <v/>
      </c>
      <c r="R1212" s="49"/>
      <c r="S1212" s="14"/>
    </row>
    <row r="1213" spans="1:19" ht="24.95" customHeight="1" x14ac:dyDescent="0.25">
      <c r="A1213" s="49" t="str">
        <f>IF(C1213="","","BAN-01212")</f>
        <v/>
      </c>
      <c r="B1213" s="98" t="str">
        <f>IF(C1213="","",1212)</f>
        <v/>
      </c>
      <c r="C1213" s="50"/>
      <c r="D1213" s="49" t="str">
        <f t="shared" si="37"/>
        <v/>
      </c>
      <c r="E1213" s="92"/>
      <c r="F1213" s="49"/>
      <c r="G1213" s="14"/>
      <c r="H1213" s="14"/>
      <c r="I1213" s="76"/>
      <c r="J1213" s="73"/>
      <c r="K1213" s="74"/>
      <c r="L1213" s="72"/>
      <c r="M1213" s="72"/>
      <c r="N1213" s="72" t="str">
        <f>IF(AND(C1213="",J1213=0,K1213=0,L1213=0,M1213=0),"",CADASTROS!$B$4+SUM($J$2:J1213)+SUM($M$2:M1213)-SUM($K$2:K1213)-SUM($L$2:L1213))</f>
        <v/>
      </c>
      <c r="O1213" s="72" t="str">
        <f>IF(A1213="","",SUMIF(RATEIOS!$A$2:$A$3142,$A1213,RATEIOS!$F$2:$F$3142))</f>
        <v/>
      </c>
      <c r="P1213" s="15" t="str">
        <f t="shared" si="38"/>
        <v/>
      </c>
      <c r="Q1213" s="49" t="str">
        <f>IF(AND(J1213=0,K1213=0,L1213=0,M1213=0),"",IF(O1213=0,"PENDENTE DE RATEIO",IF(ABS(P1213)&gt;0.005,"DIVERGÊNCIA",IF(COUNTIF(RATEIOS!$A$2:$A$3142,$A1213)-COUNTIFS(RATEIOS!$A$2:$A$3142,$A1213,RATEIOS!$D$2:$D$3142,"&lt;&gt;")&gt;0,"NÃO CLASSIFICADO","RATEIO OK"))))</f>
        <v/>
      </c>
      <c r="R1213" s="49"/>
      <c r="S1213" s="14"/>
    </row>
    <row r="1214" spans="1:19" ht="24.95" customHeight="1" x14ac:dyDescent="0.25">
      <c r="A1214" s="49" t="str">
        <f>IF(C1214="","","BAN-01213")</f>
        <v/>
      </c>
      <c r="B1214" s="98" t="str">
        <f>IF(C1214="","",1213)</f>
        <v/>
      </c>
      <c r="C1214" s="50"/>
      <c r="D1214" s="49" t="str">
        <f t="shared" si="37"/>
        <v/>
      </c>
      <c r="E1214" s="92"/>
      <c r="F1214" s="49"/>
      <c r="G1214" s="14"/>
      <c r="H1214" s="14"/>
      <c r="I1214" s="76"/>
      <c r="J1214" s="73"/>
      <c r="K1214" s="74"/>
      <c r="L1214" s="72"/>
      <c r="M1214" s="72"/>
      <c r="N1214" s="72" t="str">
        <f>IF(AND(C1214="",J1214=0,K1214=0,L1214=0,M1214=0),"",CADASTROS!$B$4+SUM($J$2:J1214)+SUM($M$2:M1214)-SUM($K$2:K1214)-SUM($L$2:L1214))</f>
        <v/>
      </c>
      <c r="O1214" s="72" t="str">
        <f>IF(A1214="","",SUMIF(RATEIOS!$A$2:$A$3142,$A1214,RATEIOS!$F$2:$F$3142))</f>
        <v/>
      </c>
      <c r="P1214" s="15" t="str">
        <f t="shared" si="38"/>
        <v/>
      </c>
      <c r="Q1214" s="49" t="str">
        <f>IF(AND(J1214=0,K1214=0,L1214=0,M1214=0),"",IF(O1214=0,"PENDENTE DE RATEIO",IF(ABS(P1214)&gt;0.005,"DIVERGÊNCIA",IF(COUNTIF(RATEIOS!$A$2:$A$3142,$A1214)-COUNTIFS(RATEIOS!$A$2:$A$3142,$A1214,RATEIOS!$D$2:$D$3142,"&lt;&gt;")&gt;0,"NÃO CLASSIFICADO","RATEIO OK"))))</f>
        <v/>
      </c>
      <c r="R1214" s="49"/>
      <c r="S1214" s="14"/>
    </row>
    <row r="1215" spans="1:19" ht="24.95" customHeight="1" x14ac:dyDescent="0.25">
      <c r="A1215" s="49" t="str">
        <f>IF(C1215="","","BAN-01214")</f>
        <v/>
      </c>
      <c r="B1215" s="98" t="str">
        <f>IF(C1215="","",1214)</f>
        <v/>
      </c>
      <c r="C1215" s="50"/>
      <c r="D1215" s="49" t="str">
        <f t="shared" si="37"/>
        <v/>
      </c>
      <c r="E1215" s="92"/>
      <c r="F1215" s="49"/>
      <c r="G1215" s="14"/>
      <c r="H1215" s="14"/>
      <c r="I1215" s="76"/>
      <c r="J1215" s="73"/>
      <c r="K1215" s="74"/>
      <c r="L1215" s="72"/>
      <c r="M1215" s="72"/>
      <c r="N1215" s="72" t="str">
        <f>IF(AND(C1215="",J1215=0,K1215=0,L1215=0,M1215=0),"",CADASTROS!$B$4+SUM($J$2:J1215)+SUM($M$2:M1215)-SUM($K$2:K1215)-SUM($L$2:L1215))</f>
        <v/>
      </c>
      <c r="O1215" s="72" t="str">
        <f>IF(A1215="","",SUMIF(RATEIOS!$A$2:$A$3142,$A1215,RATEIOS!$F$2:$F$3142))</f>
        <v/>
      </c>
      <c r="P1215" s="15" t="str">
        <f t="shared" si="38"/>
        <v/>
      </c>
      <c r="Q1215" s="49" t="str">
        <f>IF(AND(J1215=0,K1215=0,L1215=0,M1215=0),"",IF(O1215=0,"PENDENTE DE RATEIO",IF(ABS(P1215)&gt;0.005,"DIVERGÊNCIA",IF(COUNTIF(RATEIOS!$A$2:$A$3142,$A1215)-COUNTIFS(RATEIOS!$A$2:$A$3142,$A1215,RATEIOS!$D$2:$D$3142,"&lt;&gt;")&gt;0,"NÃO CLASSIFICADO","RATEIO OK"))))</f>
        <v/>
      </c>
      <c r="R1215" s="49"/>
      <c r="S1215" s="14"/>
    </row>
    <row r="1216" spans="1:19" ht="24.95" customHeight="1" x14ac:dyDescent="0.25">
      <c r="A1216" s="49" t="str">
        <f>IF(C1216="","","BAN-01215")</f>
        <v/>
      </c>
      <c r="B1216" s="98" t="str">
        <f>IF(C1216="","",1215)</f>
        <v/>
      </c>
      <c r="C1216" s="50"/>
      <c r="D1216" s="49" t="str">
        <f t="shared" si="37"/>
        <v/>
      </c>
      <c r="E1216" s="92"/>
      <c r="F1216" s="49"/>
      <c r="G1216" s="14"/>
      <c r="H1216" s="14"/>
      <c r="I1216" s="76"/>
      <c r="J1216" s="73"/>
      <c r="K1216" s="74"/>
      <c r="L1216" s="72"/>
      <c r="M1216" s="72"/>
      <c r="N1216" s="72" t="str">
        <f>IF(AND(C1216="",J1216=0,K1216=0,L1216=0,M1216=0),"",CADASTROS!$B$4+SUM($J$2:J1216)+SUM($M$2:M1216)-SUM($K$2:K1216)-SUM($L$2:L1216))</f>
        <v/>
      </c>
      <c r="O1216" s="72" t="str">
        <f>IF(A1216="","",SUMIF(RATEIOS!$A$2:$A$3142,$A1216,RATEIOS!$F$2:$F$3142))</f>
        <v/>
      </c>
      <c r="P1216" s="15" t="str">
        <f t="shared" si="38"/>
        <v/>
      </c>
      <c r="Q1216" s="49" t="str">
        <f>IF(AND(J1216=0,K1216=0,L1216=0,M1216=0),"",IF(O1216=0,"PENDENTE DE RATEIO",IF(ABS(P1216)&gt;0.005,"DIVERGÊNCIA",IF(COUNTIF(RATEIOS!$A$2:$A$3142,$A1216)-COUNTIFS(RATEIOS!$A$2:$A$3142,$A1216,RATEIOS!$D$2:$D$3142,"&lt;&gt;")&gt;0,"NÃO CLASSIFICADO","RATEIO OK"))))</f>
        <v/>
      </c>
      <c r="R1216" s="49"/>
      <c r="S1216" s="14"/>
    </row>
    <row r="1217" spans="1:19" ht="24.95" customHeight="1" x14ac:dyDescent="0.25">
      <c r="A1217" s="49" t="str">
        <f>IF(C1217="","","BAN-01216")</f>
        <v/>
      </c>
      <c r="B1217" s="98" t="str">
        <f>IF(C1217="","",1216)</f>
        <v/>
      </c>
      <c r="C1217" s="50"/>
      <c r="D1217" s="49" t="str">
        <f t="shared" si="37"/>
        <v/>
      </c>
      <c r="E1217" s="92"/>
      <c r="F1217" s="49"/>
      <c r="G1217" s="14"/>
      <c r="H1217" s="14"/>
      <c r="I1217" s="76"/>
      <c r="J1217" s="73"/>
      <c r="K1217" s="74"/>
      <c r="L1217" s="72"/>
      <c r="M1217" s="72"/>
      <c r="N1217" s="72" t="str">
        <f>IF(AND(C1217="",J1217=0,K1217=0,L1217=0,M1217=0),"",CADASTROS!$B$4+SUM($J$2:J1217)+SUM($M$2:M1217)-SUM($K$2:K1217)-SUM($L$2:L1217))</f>
        <v/>
      </c>
      <c r="O1217" s="72" t="str">
        <f>IF(A1217="","",SUMIF(RATEIOS!$A$2:$A$3142,$A1217,RATEIOS!$F$2:$F$3142))</f>
        <v/>
      </c>
      <c r="P1217" s="15" t="str">
        <f t="shared" si="38"/>
        <v/>
      </c>
      <c r="Q1217" s="49" t="str">
        <f>IF(AND(J1217=0,K1217=0,L1217=0,M1217=0),"",IF(O1217=0,"PENDENTE DE RATEIO",IF(ABS(P1217)&gt;0.005,"DIVERGÊNCIA",IF(COUNTIF(RATEIOS!$A$2:$A$3142,$A1217)-COUNTIFS(RATEIOS!$A$2:$A$3142,$A1217,RATEIOS!$D$2:$D$3142,"&lt;&gt;")&gt;0,"NÃO CLASSIFICADO","RATEIO OK"))))</f>
        <v/>
      </c>
      <c r="R1217" s="49"/>
      <c r="S1217" s="14"/>
    </row>
    <row r="1218" spans="1:19" ht="24.95" customHeight="1" x14ac:dyDescent="0.25">
      <c r="A1218" s="49" t="str">
        <f>IF(C1218="","","BAN-01217")</f>
        <v/>
      </c>
      <c r="B1218" s="98" t="str">
        <f>IF(C1218="","",1217)</f>
        <v/>
      </c>
      <c r="C1218" s="50"/>
      <c r="D1218" s="49" t="str">
        <f t="shared" ref="D1218:D1281" si="39">IF(C1218="","",MONTH(C1218))</f>
        <v/>
      </c>
      <c r="E1218" s="92"/>
      <c r="F1218" s="49"/>
      <c r="G1218" s="14"/>
      <c r="H1218" s="14"/>
      <c r="I1218" s="76"/>
      <c r="J1218" s="73"/>
      <c r="K1218" s="74"/>
      <c r="L1218" s="72"/>
      <c r="M1218" s="72"/>
      <c r="N1218" s="72" t="str">
        <f>IF(AND(C1218="",J1218=0,K1218=0,L1218=0,M1218=0),"",CADASTROS!$B$4+SUM($J$2:J1218)+SUM($M$2:M1218)-SUM($K$2:K1218)-SUM($L$2:L1218))</f>
        <v/>
      </c>
      <c r="O1218" s="72" t="str">
        <f>IF(A1218="","",SUMIF(RATEIOS!$A$2:$A$3142,$A1218,RATEIOS!$F$2:$F$3142))</f>
        <v/>
      </c>
      <c r="P1218" s="15" t="str">
        <f t="shared" ref="P1218:P1281" si="40">IF(A1218="","",(J1218+K1218+L1218+M1218)-O1218)</f>
        <v/>
      </c>
      <c r="Q1218" s="49" t="str">
        <f>IF(AND(J1218=0,K1218=0,L1218=0,M1218=0),"",IF(O1218=0,"PENDENTE DE RATEIO",IF(ABS(P1218)&gt;0.005,"DIVERGÊNCIA",IF(COUNTIF(RATEIOS!$A$2:$A$3142,$A1218)-COUNTIFS(RATEIOS!$A$2:$A$3142,$A1218,RATEIOS!$D$2:$D$3142,"&lt;&gt;")&gt;0,"NÃO CLASSIFICADO","RATEIO OK"))))</f>
        <v/>
      </c>
      <c r="R1218" s="49"/>
      <c r="S1218" s="14"/>
    </row>
    <row r="1219" spans="1:19" ht="24.95" customHeight="1" x14ac:dyDescent="0.25">
      <c r="A1219" s="49" t="str">
        <f>IF(C1219="","","BAN-01218")</f>
        <v/>
      </c>
      <c r="B1219" s="98" t="str">
        <f>IF(C1219="","",1218)</f>
        <v/>
      </c>
      <c r="C1219" s="50"/>
      <c r="D1219" s="49" t="str">
        <f t="shared" si="39"/>
        <v/>
      </c>
      <c r="E1219" s="92"/>
      <c r="F1219" s="49"/>
      <c r="G1219" s="14"/>
      <c r="H1219" s="14"/>
      <c r="I1219" s="76"/>
      <c r="J1219" s="73"/>
      <c r="K1219" s="74"/>
      <c r="L1219" s="72"/>
      <c r="M1219" s="72"/>
      <c r="N1219" s="72" t="str">
        <f>IF(AND(C1219="",J1219=0,K1219=0,L1219=0,M1219=0),"",CADASTROS!$B$4+SUM($J$2:J1219)+SUM($M$2:M1219)-SUM($K$2:K1219)-SUM($L$2:L1219))</f>
        <v/>
      </c>
      <c r="O1219" s="72" t="str">
        <f>IF(A1219="","",SUMIF(RATEIOS!$A$2:$A$3142,$A1219,RATEIOS!$F$2:$F$3142))</f>
        <v/>
      </c>
      <c r="P1219" s="15" t="str">
        <f t="shared" si="40"/>
        <v/>
      </c>
      <c r="Q1219" s="49" t="str">
        <f>IF(AND(J1219=0,K1219=0,L1219=0,M1219=0),"",IF(O1219=0,"PENDENTE DE RATEIO",IF(ABS(P1219)&gt;0.005,"DIVERGÊNCIA",IF(COUNTIF(RATEIOS!$A$2:$A$3142,$A1219)-COUNTIFS(RATEIOS!$A$2:$A$3142,$A1219,RATEIOS!$D$2:$D$3142,"&lt;&gt;")&gt;0,"NÃO CLASSIFICADO","RATEIO OK"))))</f>
        <v/>
      </c>
      <c r="R1219" s="49"/>
      <c r="S1219" s="14"/>
    </row>
    <row r="1220" spans="1:19" ht="24.95" customHeight="1" x14ac:dyDescent="0.25">
      <c r="A1220" s="49" t="str">
        <f>IF(C1220="","","BAN-01219")</f>
        <v/>
      </c>
      <c r="B1220" s="98" t="str">
        <f>IF(C1220="","",1219)</f>
        <v/>
      </c>
      <c r="C1220" s="50"/>
      <c r="D1220" s="49" t="str">
        <f t="shared" si="39"/>
        <v/>
      </c>
      <c r="E1220" s="92"/>
      <c r="F1220" s="49"/>
      <c r="G1220" s="14"/>
      <c r="H1220" s="14"/>
      <c r="I1220" s="76"/>
      <c r="J1220" s="73"/>
      <c r="K1220" s="74"/>
      <c r="L1220" s="72"/>
      <c r="M1220" s="72"/>
      <c r="N1220" s="72" t="str">
        <f>IF(AND(C1220="",J1220=0,K1220=0,L1220=0,M1220=0),"",CADASTROS!$B$4+SUM($J$2:J1220)+SUM($M$2:M1220)-SUM($K$2:K1220)-SUM($L$2:L1220))</f>
        <v/>
      </c>
      <c r="O1220" s="72" t="str">
        <f>IF(A1220="","",SUMIF(RATEIOS!$A$2:$A$3142,$A1220,RATEIOS!$F$2:$F$3142))</f>
        <v/>
      </c>
      <c r="P1220" s="15" t="str">
        <f t="shared" si="40"/>
        <v/>
      </c>
      <c r="Q1220" s="49" t="str">
        <f>IF(AND(J1220=0,K1220=0,L1220=0,M1220=0),"",IF(O1220=0,"PENDENTE DE RATEIO",IF(ABS(P1220)&gt;0.005,"DIVERGÊNCIA",IF(COUNTIF(RATEIOS!$A$2:$A$3142,$A1220)-COUNTIFS(RATEIOS!$A$2:$A$3142,$A1220,RATEIOS!$D$2:$D$3142,"&lt;&gt;")&gt;0,"NÃO CLASSIFICADO","RATEIO OK"))))</f>
        <v/>
      </c>
      <c r="R1220" s="49"/>
      <c r="S1220" s="14"/>
    </row>
    <row r="1221" spans="1:19" ht="24.95" customHeight="1" x14ac:dyDescent="0.25">
      <c r="A1221" s="49" t="str">
        <f>IF(C1221="","","BAN-01220")</f>
        <v/>
      </c>
      <c r="B1221" s="98" t="str">
        <f>IF(C1221="","",1220)</f>
        <v/>
      </c>
      <c r="C1221" s="50"/>
      <c r="D1221" s="49" t="str">
        <f t="shared" si="39"/>
        <v/>
      </c>
      <c r="E1221" s="92"/>
      <c r="F1221" s="49"/>
      <c r="G1221" s="14"/>
      <c r="H1221" s="14"/>
      <c r="I1221" s="76"/>
      <c r="J1221" s="73"/>
      <c r="K1221" s="74"/>
      <c r="L1221" s="72"/>
      <c r="M1221" s="72"/>
      <c r="N1221" s="72" t="str">
        <f>IF(AND(C1221="",J1221=0,K1221=0,L1221=0,M1221=0),"",CADASTROS!$B$4+SUM($J$2:J1221)+SUM($M$2:M1221)-SUM($K$2:K1221)-SUM($L$2:L1221))</f>
        <v/>
      </c>
      <c r="O1221" s="72" t="str">
        <f>IF(A1221="","",SUMIF(RATEIOS!$A$2:$A$3142,$A1221,RATEIOS!$F$2:$F$3142))</f>
        <v/>
      </c>
      <c r="P1221" s="15" t="str">
        <f t="shared" si="40"/>
        <v/>
      </c>
      <c r="Q1221" s="49" t="str">
        <f>IF(AND(J1221=0,K1221=0,L1221=0,M1221=0),"",IF(O1221=0,"PENDENTE DE RATEIO",IF(ABS(P1221)&gt;0.005,"DIVERGÊNCIA",IF(COUNTIF(RATEIOS!$A$2:$A$3142,$A1221)-COUNTIFS(RATEIOS!$A$2:$A$3142,$A1221,RATEIOS!$D$2:$D$3142,"&lt;&gt;")&gt;0,"NÃO CLASSIFICADO","RATEIO OK"))))</f>
        <v/>
      </c>
      <c r="R1221" s="49"/>
      <c r="S1221" s="14"/>
    </row>
    <row r="1222" spans="1:19" ht="24.95" customHeight="1" x14ac:dyDescent="0.25">
      <c r="A1222" s="49" t="str">
        <f>IF(C1222="","","BAN-01221")</f>
        <v/>
      </c>
      <c r="B1222" s="98" t="str">
        <f>IF(C1222="","",1221)</f>
        <v/>
      </c>
      <c r="C1222" s="50"/>
      <c r="D1222" s="49" t="str">
        <f t="shared" si="39"/>
        <v/>
      </c>
      <c r="E1222" s="92"/>
      <c r="F1222" s="49"/>
      <c r="G1222" s="14"/>
      <c r="H1222" s="14"/>
      <c r="I1222" s="76"/>
      <c r="J1222" s="73"/>
      <c r="K1222" s="74"/>
      <c r="L1222" s="72"/>
      <c r="M1222" s="72"/>
      <c r="N1222" s="72" t="str">
        <f>IF(AND(C1222="",J1222=0,K1222=0,L1222=0,M1222=0),"",CADASTROS!$B$4+SUM($J$2:J1222)+SUM($M$2:M1222)-SUM($K$2:K1222)-SUM($L$2:L1222))</f>
        <v/>
      </c>
      <c r="O1222" s="72" t="str">
        <f>IF(A1222="","",SUMIF(RATEIOS!$A$2:$A$3142,$A1222,RATEIOS!$F$2:$F$3142))</f>
        <v/>
      </c>
      <c r="P1222" s="15" t="str">
        <f t="shared" si="40"/>
        <v/>
      </c>
      <c r="Q1222" s="49" t="str">
        <f>IF(AND(J1222=0,K1222=0,L1222=0,M1222=0),"",IF(O1222=0,"PENDENTE DE RATEIO",IF(ABS(P1222)&gt;0.005,"DIVERGÊNCIA",IF(COUNTIF(RATEIOS!$A$2:$A$3142,$A1222)-COUNTIFS(RATEIOS!$A$2:$A$3142,$A1222,RATEIOS!$D$2:$D$3142,"&lt;&gt;")&gt;0,"NÃO CLASSIFICADO","RATEIO OK"))))</f>
        <v/>
      </c>
      <c r="R1222" s="49"/>
      <c r="S1222" s="14"/>
    </row>
    <row r="1223" spans="1:19" ht="24.95" customHeight="1" x14ac:dyDescent="0.25">
      <c r="A1223" s="49" t="str">
        <f>IF(C1223="","","BAN-01222")</f>
        <v/>
      </c>
      <c r="B1223" s="98" t="str">
        <f>IF(C1223="","",1222)</f>
        <v/>
      </c>
      <c r="C1223" s="50"/>
      <c r="D1223" s="49" t="str">
        <f t="shared" si="39"/>
        <v/>
      </c>
      <c r="E1223" s="92"/>
      <c r="F1223" s="49"/>
      <c r="G1223" s="14"/>
      <c r="H1223" s="14"/>
      <c r="I1223" s="76"/>
      <c r="J1223" s="73"/>
      <c r="K1223" s="74"/>
      <c r="L1223" s="72"/>
      <c r="M1223" s="72"/>
      <c r="N1223" s="72" t="str">
        <f>IF(AND(C1223="",J1223=0,K1223=0,L1223=0,M1223=0),"",CADASTROS!$B$4+SUM($J$2:J1223)+SUM($M$2:M1223)-SUM($K$2:K1223)-SUM($L$2:L1223))</f>
        <v/>
      </c>
      <c r="O1223" s="72" t="str">
        <f>IF(A1223="","",SUMIF(RATEIOS!$A$2:$A$3142,$A1223,RATEIOS!$F$2:$F$3142))</f>
        <v/>
      </c>
      <c r="P1223" s="15" t="str">
        <f t="shared" si="40"/>
        <v/>
      </c>
      <c r="Q1223" s="49" t="str">
        <f>IF(AND(J1223=0,K1223=0,L1223=0,M1223=0),"",IF(O1223=0,"PENDENTE DE RATEIO",IF(ABS(P1223)&gt;0.005,"DIVERGÊNCIA",IF(COUNTIF(RATEIOS!$A$2:$A$3142,$A1223)-COUNTIFS(RATEIOS!$A$2:$A$3142,$A1223,RATEIOS!$D$2:$D$3142,"&lt;&gt;")&gt;0,"NÃO CLASSIFICADO","RATEIO OK"))))</f>
        <v/>
      </c>
      <c r="R1223" s="49"/>
      <c r="S1223" s="14"/>
    </row>
    <row r="1224" spans="1:19" ht="24.95" customHeight="1" x14ac:dyDescent="0.25">
      <c r="A1224" s="49" t="str">
        <f>IF(C1224="","","BAN-01223")</f>
        <v/>
      </c>
      <c r="B1224" s="98" t="str">
        <f>IF(C1224="","",1223)</f>
        <v/>
      </c>
      <c r="C1224" s="50"/>
      <c r="D1224" s="49" t="str">
        <f t="shared" si="39"/>
        <v/>
      </c>
      <c r="E1224" s="92"/>
      <c r="F1224" s="49"/>
      <c r="G1224" s="14"/>
      <c r="H1224" s="14"/>
      <c r="I1224" s="76"/>
      <c r="J1224" s="73"/>
      <c r="K1224" s="74"/>
      <c r="L1224" s="72"/>
      <c r="M1224" s="72"/>
      <c r="N1224" s="72" t="str">
        <f>IF(AND(C1224="",J1224=0,K1224=0,L1224=0,M1224=0),"",CADASTROS!$B$4+SUM($J$2:J1224)+SUM($M$2:M1224)-SUM($K$2:K1224)-SUM($L$2:L1224))</f>
        <v/>
      </c>
      <c r="O1224" s="72" t="str">
        <f>IF(A1224="","",SUMIF(RATEIOS!$A$2:$A$3142,$A1224,RATEIOS!$F$2:$F$3142))</f>
        <v/>
      </c>
      <c r="P1224" s="15" t="str">
        <f t="shared" si="40"/>
        <v/>
      </c>
      <c r="Q1224" s="49" t="str">
        <f>IF(AND(J1224=0,K1224=0,L1224=0,M1224=0),"",IF(O1224=0,"PENDENTE DE RATEIO",IF(ABS(P1224)&gt;0.005,"DIVERGÊNCIA",IF(COUNTIF(RATEIOS!$A$2:$A$3142,$A1224)-COUNTIFS(RATEIOS!$A$2:$A$3142,$A1224,RATEIOS!$D$2:$D$3142,"&lt;&gt;")&gt;0,"NÃO CLASSIFICADO","RATEIO OK"))))</f>
        <v/>
      </c>
      <c r="R1224" s="49"/>
      <c r="S1224" s="14"/>
    </row>
    <row r="1225" spans="1:19" ht="24.95" customHeight="1" x14ac:dyDescent="0.25">
      <c r="A1225" s="49" t="str">
        <f>IF(C1225="","","BAN-01224")</f>
        <v/>
      </c>
      <c r="B1225" s="98" t="str">
        <f>IF(C1225="","",1224)</f>
        <v/>
      </c>
      <c r="C1225" s="50"/>
      <c r="D1225" s="49" t="str">
        <f t="shared" si="39"/>
        <v/>
      </c>
      <c r="E1225" s="92"/>
      <c r="F1225" s="49"/>
      <c r="G1225" s="14"/>
      <c r="H1225" s="14"/>
      <c r="I1225" s="76"/>
      <c r="J1225" s="73"/>
      <c r="K1225" s="74"/>
      <c r="L1225" s="72"/>
      <c r="M1225" s="72"/>
      <c r="N1225" s="72" t="str">
        <f>IF(AND(C1225="",J1225=0,K1225=0,L1225=0,M1225=0),"",CADASTROS!$B$4+SUM($J$2:J1225)+SUM($M$2:M1225)-SUM($K$2:K1225)-SUM($L$2:L1225))</f>
        <v/>
      </c>
      <c r="O1225" s="72" t="str">
        <f>IF(A1225="","",SUMIF(RATEIOS!$A$2:$A$3142,$A1225,RATEIOS!$F$2:$F$3142))</f>
        <v/>
      </c>
      <c r="P1225" s="15" t="str">
        <f t="shared" si="40"/>
        <v/>
      </c>
      <c r="Q1225" s="49" t="str">
        <f>IF(AND(J1225=0,K1225=0,L1225=0,M1225=0),"",IF(O1225=0,"PENDENTE DE RATEIO",IF(ABS(P1225)&gt;0.005,"DIVERGÊNCIA",IF(COUNTIF(RATEIOS!$A$2:$A$3142,$A1225)-COUNTIFS(RATEIOS!$A$2:$A$3142,$A1225,RATEIOS!$D$2:$D$3142,"&lt;&gt;")&gt;0,"NÃO CLASSIFICADO","RATEIO OK"))))</f>
        <v/>
      </c>
      <c r="R1225" s="49"/>
      <c r="S1225" s="14"/>
    </row>
    <row r="1226" spans="1:19" ht="24.95" customHeight="1" x14ac:dyDescent="0.25">
      <c r="A1226" s="49" t="str">
        <f>IF(C1226="","","BAN-01225")</f>
        <v/>
      </c>
      <c r="B1226" s="98" t="str">
        <f>IF(C1226="","",1225)</f>
        <v/>
      </c>
      <c r="C1226" s="50"/>
      <c r="D1226" s="49" t="str">
        <f t="shared" si="39"/>
        <v/>
      </c>
      <c r="E1226" s="92"/>
      <c r="F1226" s="49"/>
      <c r="G1226" s="14"/>
      <c r="H1226" s="14"/>
      <c r="I1226" s="76"/>
      <c r="J1226" s="73"/>
      <c r="K1226" s="74"/>
      <c r="L1226" s="72"/>
      <c r="M1226" s="72"/>
      <c r="N1226" s="72" t="str">
        <f>IF(AND(C1226="",J1226=0,K1226=0,L1226=0,M1226=0),"",CADASTROS!$B$4+SUM($J$2:J1226)+SUM($M$2:M1226)-SUM($K$2:K1226)-SUM($L$2:L1226))</f>
        <v/>
      </c>
      <c r="O1226" s="72" t="str">
        <f>IF(A1226="","",SUMIF(RATEIOS!$A$2:$A$3142,$A1226,RATEIOS!$F$2:$F$3142))</f>
        <v/>
      </c>
      <c r="P1226" s="15" t="str">
        <f t="shared" si="40"/>
        <v/>
      </c>
      <c r="Q1226" s="49" t="str">
        <f>IF(AND(J1226=0,K1226=0,L1226=0,M1226=0),"",IF(O1226=0,"PENDENTE DE RATEIO",IF(ABS(P1226)&gt;0.005,"DIVERGÊNCIA",IF(COUNTIF(RATEIOS!$A$2:$A$3142,$A1226)-COUNTIFS(RATEIOS!$A$2:$A$3142,$A1226,RATEIOS!$D$2:$D$3142,"&lt;&gt;")&gt;0,"NÃO CLASSIFICADO","RATEIO OK"))))</f>
        <v/>
      </c>
      <c r="R1226" s="49"/>
      <c r="S1226" s="14"/>
    </row>
    <row r="1227" spans="1:19" ht="24.95" customHeight="1" x14ac:dyDescent="0.25">
      <c r="A1227" s="49" t="str">
        <f>IF(C1227="","","BAN-01226")</f>
        <v/>
      </c>
      <c r="B1227" s="98" t="str">
        <f>IF(C1227="","",1226)</f>
        <v/>
      </c>
      <c r="C1227" s="50"/>
      <c r="D1227" s="49" t="str">
        <f t="shared" si="39"/>
        <v/>
      </c>
      <c r="E1227" s="92"/>
      <c r="F1227" s="49"/>
      <c r="G1227" s="14"/>
      <c r="H1227" s="14"/>
      <c r="I1227" s="76"/>
      <c r="J1227" s="73"/>
      <c r="K1227" s="74"/>
      <c r="L1227" s="72"/>
      <c r="M1227" s="72"/>
      <c r="N1227" s="72" t="str">
        <f>IF(AND(C1227="",J1227=0,K1227=0,L1227=0,M1227=0),"",CADASTROS!$B$4+SUM($J$2:J1227)+SUM($M$2:M1227)-SUM($K$2:K1227)-SUM($L$2:L1227))</f>
        <v/>
      </c>
      <c r="O1227" s="72" t="str">
        <f>IF(A1227="","",SUMIF(RATEIOS!$A$2:$A$3142,$A1227,RATEIOS!$F$2:$F$3142))</f>
        <v/>
      </c>
      <c r="P1227" s="15" t="str">
        <f t="shared" si="40"/>
        <v/>
      </c>
      <c r="Q1227" s="49" t="str">
        <f>IF(AND(J1227=0,K1227=0,L1227=0,M1227=0),"",IF(O1227=0,"PENDENTE DE RATEIO",IF(ABS(P1227)&gt;0.005,"DIVERGÊNCIA",IF(COUNTIF(RATEIOS!$A$2:$A$3142,$A1227)-COUNTIFS(RATEIOS!$A$2:$A$3142,$A1227,RATEIOS!$D$2:$D$3142,"&lt;&gt;")&gt;0,"NÃO CLASSIFICADO","RATEIO OK"))))</f>
        <v/>
      </c>
      <c r="R1227" s="49"/>
      <c r="S1227" s="14"/>
    </row>
    <row r="1228" spans="1:19" ht="24.95" customHeight="1" x14ac:dyDescent="0.25">
      <c r="A1228" s="49" t="str">
        <f>IF(C1228="","","BAN-01227")</f>
        <v/>
      </c>
      <c r="B1228" s="98" t="str">
        <f>IF(C1228="","",1227)</f>
        <v/>
      </c>
      <c r="C1228" s="50"/>
      <c r="D1228" s="49" t="str">
        <f t="shared" si="39"/>
        <v/>
      </c>
      <c r="E1228" s="92"/>
      <c r="F1228" s="49"/>
      <c r="G1228" s="14"/>
      <c r="H1228" s="14"/>
      <c r="I1228" s="76"/>
      <c r="J1228" s="73"/>
      <c r="K1228" s="74"/>
      <c r="L1228" s="72"/>
      <c r="M1228" s="72"/>
      <c r="N1228" s="72" t="str">
        <f>IF(AND(C1228="",J1228=0,K1228=0,L1228=0,M1228=0),"",CADASTROS!$B$4+SUM($J$2:J1228)+SUM($M$2:M1228)-SUM($K$2:K1228)-SUM($L$2:L1228))</f>
        <v/>
      </c>
      <c r="O1228" s="72" t="str">
        <f>IF(A1228="","",SUMIF(RATEIOS!$A$2:$A$3142,$A1228,RATEIOS!$F$2:$F$3142))</f>
        <v/>
      </c>
      <c r="P1228" s="15" t="str">
        <f t="shared" si="40"/>
        <v/>
      </c>
      <c r="Q1228" s="49" t="str">
        <f>IF(AND(J1228=0,K1228=0,L1228=0,M1228=0),"",IF(O1228=0,"PENDENTE DE RATEIO",IF(ABS(P1228)&gt;0.005,"DIVERGÊNCIA",IF(COUNTIF(RATEIOS!$A$2:$A$3142,$A1228)-COUNTIFS(RATEIOS!$A$2:$A$3142,$A1228,RATEIOS!$D$2:$D$3142,"&lt;&gt;")&gt;0,"NÃO CLASSIFICADO","RATEIO OK"))))</f>
        <v/>
      </c>
      <c r="R1228" s="49"/>
      <c r="S1228" s="14"/>
    </row>
    <row r="1229" spans="1:19" ht="24.95" customHeight="1" x14ac:dyDescent="0.25">
      <c r="A1229" s="49" t="str">
        <f>IF(C1229="","","BAN-01228")</f>
        <v/>
      </c>
      <c r="B1229" s="98" t="str">
        <f>IF(C1229="","",1228)</f>
        <v/>
      </c>
      <c r="C1229" s="50"/>
      <c r="D1229" s="49" t="str">
        <f t="shared" si="39"/>
        <v/>
      </c>
      <c r="E1229" s="92"/>
      <c r="F1229" s="49"/>
      <c r="G1229" s="14"/>
      <c r="H1229" s="14"/>
      <c r="I1229" s="76"/>
      <c r="J1229" s="73"/>
      <c r="K1229" s="74"/>
      <c r="L1229" s="72"/>
      <c r="M1229" s="72"/>
      <c r="N1229" s="72" t="str">
        <f>IF(AND(C1229="",J1229=0,K1229=0,L1229=0,M1229=0),"",CADASTROS!$B$4+SUM($J$2:J1229)+SUM($M$2:M1229)-SUM($K$2:K1229)-SUM($L$2:L1229))</f>
        <v/>
      </c>
      <c r="O1229" s="72" t="str">
        <f>IF(A1229="","",SUMIF(RATEIOS!$A$2:$A$3142,$A1229,RATEIOS!$F$2:$F$3142))</f>
        <v/>
      </c>
      <c r="P1229" s="15" t="str">
        <f t="shared" si="40"/>
        <v/>
      </c>
      <c r="Q1229" s="49" t="str">
        <f>IF(AND(J1229=0,K1229=0,L1229=0,M1229=0),"",IF(O1229=0,"PENDENTE DE RATEIO",IF(ABS(P1229)&gt;0.005,"DIVERGÊNCIA",IF(COUNTIF(RATEIOS!$A$2:$A$3142,$A1229)-COUNTIFS(RATEIOS!$A$2:$A$3142,$A1229,RATEIOS!$D$2:$D$3142,"&lt;&gt;")&gt;0,"NÃO CLASSIFICADO","RATEIO OK"))))</f>
        <v/>
      </c>
      <c r="R1229" s="49"/>
      <c r="S1229" s="14"/>
    </row>
    <row r="1230" spans="1:19" ht="24.95" customHeight="1" x14ac:dyDescent="0.25">
      <c r="A1230" s="49" t="str">
        <f>IF(C1230="","","BAN-01229")</f>
        <v/>
      </c>
      <c r="B1230" s="98" t="str">
        <f>IF(C1230="","",1229)</f>
        <v/>
      </c>
      <c r="C1230" s="50"/>
      <c r="D1230" s="49" t="str">
        <f t="shared" si="39"/>
        <v/>
      </c>
      <c r="E1230" s="92"/>
      <c r="F1230" s="49"/>
      <c r="G1230" s="14"/>
      <c r="H1230" s="14"/>
      <c r="I1230" s="76"/>
      <c r="J1230" s="73"/>
      <c r="K1230" s="74"/>
      <c r="L1230" s="72"/>
      <c r="M1230" s="72"/>
      <c r="N1230" s="72" t="str">
        <f>IF(AND(C1230="",J1230=0,K1230=0,L1230=0,M1230=0),"",CADASTROS!$B$4+SUM($J$2:J1230)+SUM($M$2:M1230)-SUM($K$2:K1230)-SUM($L$2:L1230))</f>
        <v/>
      </c>
      <c r="O1230" s="72" t="str">
        <f>IF(A1230="","",SUMIF(RATEIOS!$A$2:$A$3142,$A1230,RATEIOS!$F$2:$F$3142))</f>
        <v/>
      </c>
      <c r="P1230" s="15" t="str">
        <f t="shared" si="40"/>
        <v/>
      </c>
      <c r="Q1230" s="49" t="str">
        <f>IF(AND(J1230=0,K1230=0,L1230=0,M1230=0),"",IF(O1230=0,"PENDENTE DE RATEIO",IF(ABS(P1230)&gt;0.005,"DIVERGÊNCIA",IF(COUNTIF(RATEIOS!$A$2:$A$3142,$A1230)-COUNTIFS(RATEIOS!$A$2:$A$3142,$A1230,RATEIOS!$D$2:$D$3142,"&lt;&gt;")&gt;0,"NÃO CLASSIFICADO","RATEIO OK"))))</f>
        <v/>
      </c>
      <c r="R1230" s="49"/>
      <c r="S1230" s="14"/>
    </row>
    <row r="1231" spans="1:19" ht="24.95" customHeight="1" x14ac:dyDescent="0.25">
      <c r="A1231" s="49" t="str">
        <f>IF(C1231="","","BAN-01230")</f>
        <v/>
      </c>
      <c r="B1231" s="98" t="str">
        <f>IF(C1231="","",1230)</f>
        <v/>
      </c>
      <c r="C1231" s="50"/>
      <c r="D1231" s="49" t="str">
        <f t="shared" si="39"/>
        <v/>
      </c>
      <c r="E1231" s="92"/>
      <c r="F1231" s="49"/>
      <c r="G1231" s="14"/>
      <c r="H1231" s="14"/>
      <c r="I1231" s="76"/>
      <c r="J1231" s="73"/>
      <c r="K1231" s="74"/>
      <c r="L1231" s="72"/>
      <c r="M1231" s="72"/>
      <c r="N1231" s="72" t="str">
        <f>IF(AND(C1231="",J1231=0,K1231=0,L1231=0,M1231=0),"",CADASTROS!$B$4+SUM($J$2:J1231)+SUM($M$2:M1231)-SUM($K$2:K1231)-SUM($L$2:L1231))</f>
        <v/>
      </c>
      <c r="O1231" s="72" t="str">
        <f>IF(A1231="","",SUMIF(RATEIOS!$A$2:$A$3142,$A1231,RATEIOS!$F$2:$F$3142))</f>
        <v/>
      </c>
      <c r="P1231" s="15" t="str">
        <f t="shared" si="40"/>
        <v/>
      </c>
      <c r="Q1231" s="49" t="str">
        <f>IF(AND(J1231=0,K1231=0,L1231=0,M1231=0),"",IF(O1231=0,"PENDENTE DE RATEIO",IF(ABS(P1231)&gt;0.005,"DIVERGÊNCIA",IF(COUNTIF(RATEIOS!$A$2:$A$3142,$A1231)-COUNTIFS(RATEIOS!$A$2:$A$3142,$A1231,RATEIOS!$D$2:$D$3142,"&lt;&gt;")&gt;0,"NÃO CLASSIFICADO","RATEIO OK"))))</f>
        <v/>
      </c>
      <c r="R1231" s="49"/>
      <c r="S1231" s="14"/>
    </row>
    <row r="1232" spans="1:19" ht="24.95" customHeight="1" x14ac:dyDescent="0.25">
      <c r="A1232" s="49" t="str">
        <f>IF(C1232="","","BAN-01231")</f>
        <v/>
      </c>
      <c r="B1232" s="98" t="str">
        <f>IF(C1232="","",1231)</f>
        <v/>
      </c>
      <c r="C1232" s="50"/>
      <c r="D1232" s="49" t="str">
        <f t="shared" si="39"/>
        <v/>
      </c>
      <c r="E1232" s="92"/>
      <c r="F1232" s="49"/>
      <c r="G1232" s="14"/>
      <c r="H1232" s="14"/>
      <c r="I1232" s="76"/>
      <c r="J1232" s="73"/>
      <c r="K1232" s="74"/>
      <c r="L1232" s="72"/>
      <c r="M1232" s="72"/>
      <c r="N1232" s="72" t="str">
        <f>IF(AND(C1232="",J1232=0,K1232=0,L1232=0,M1232=0),"",CADASTROS!$B$4+SUM($J$2:J1232)+SUM($M$2:M1232)-SUM($K$2:K1232)-SUM($L$2:L1232))</f>
        <v/>
      </c>
      <c r="O1232" s="72" t="str">
        <f>IF(A1232="","",SUMIF(RATEIOS!$A$2:$A$3142,$A1232,RATEIOS!$F$2:$F$3142))</f>
        <v/>
      </c>
      <c r="P1232" s="15" t="str">
        <f t="shared" si="40"/>
        <v/>
      </c>
      <c r="Q1232" s="49" t="str">
        <f>IF(AND(J1232=0,K1232=0,L1232=0,M1232=0),"",IF(O1232=0,"PENDENTE DE RATEIO",IF(ABS(P1232)&gt;0.005,"DIVERGÊNCIA",IF(COUNTIF(RATEIOS!$A$2:$A$3142,$A1232)-COUNTIFS(RATEIOS!$A$2:$A$3142,$A1232,RATEIOS!$D$2:$D$3142,"&lt;&gt;")&gt;0,"NÃO CLASSIFICADO","RATEIO OK"))))</f>
        <v/>
      </c>
      <c r="R1232" s="49"/>
      <c r="S1232" s="14"/>
    </row>
    <row r="1233" spans="1:19" ht="24.95" customHeight="1" x14ac:dyDescent="0.25">
      <c r="A1233" s="49" t="str">
        <f>IF(C1233="","","BAN-01232")</f>
        <v/>
      </c>
      <c r="B1233" s="98" t="str">
        <f>IF(C1233="","",1232)</f>
        <v/>
      </c>
      <c r="C1233" s="50"/>
      <c r="D1233" s="49" t="str">
        <f t="shared" si="39"/>
        <v/>
      </c>
      <c r="E1233" s="92"/>
      <c r="F1233" s="49"/>
      <c r="G1233" s="14"/>
      <c r="H1233" s="14"/>
      <c r="I1233" s="76"/>
      <c r="J1233" s="73"/>
      <c r="K1233" s="74"/>
      <c r="L1233" s="72"/>
      <c r="M1233" s="72"/>
      <c r="N1233" s="72" t="str">
        <f>IF(AND(C1233="",J1233=0,K1233=0,L1233=0,M1233=0),"",CADASTROS!$B$4+SUM($J$2:J1233)+SUM($M$2:M1233)-SUM($K$2:K1233)-SUM($L$2:L1233))</f>
        <v/>
      </c>
      <c r="O1233" s="72" t="str">
        <f>IF(A1233="","",SUMIF(RATEIOS!$A$2:$A$3142,$A1233,RATEIOS!$F$2:$F$3142))</f>
        <v/>
      </c>
      <c r="P1233" s="15" t="str">
        <f t="shared" si="40"/>
        <v/>
      </c>
      <c r="Q1233" s="49" t="str">
        <f>IF(AND(J1233=0,K1233=0,L1233=0,M1233=0),"",IF(O1233=0,"PENDENTE DE RATEIO",IF(ABS(P1233)&gt;0.005,"DIVERGÊNCIA",IF(COUNTIF(RATEIOS!$A$2:$A$3142,$A1233)-COUNTIFS(RATEIOS!$A$2:$A$3142,$A1233,RATEIOS!$D$2:$D$3142,"&lt;&gt;")&gt;0,"NÃO CLASSIFICADO","RATEIO OK"))))</f>
        <v/>
      </c>
      <c r="R1233" s="49"/>
      <c r="S1233" s="14"/>
    </row>
    <row r="1234" spans="1:19" ht="24.95" customHeight="1" x14ac:dyDescent="0.25">
      <c r="A1234" s="49" t="str">
        <f>IF(C1234="","","BAN-01233")</f>
        <v/>
      </c>
      <c r="B1234" s="98" t="str">
        <f>IF(C1234="","",1233)</f>
        <v/>
      </c>
      <c r="C1234" s="50"/>
      <c r="D1234" s="49" t="str">
        <f t="shared" si="39"/>
        <v/>
      </c>
      <c r="E1234" s="92"/>
      <c r="F1234" s="49"/>
      <c r="G1234" s="14"/>
      <c r="H1234" s="14"/>
      <c r="I1234" s="76"/>
      <c r="J1234" s="73"/>
      <c r="K1234" s="74"/>
      <c r="L1234" s="72"/>
      <c r="M1234" s="72"/>
      <c r="N1234" s="72" t="str">
        <f>IF(AND(C1234="",J1234=0,K1234=0,L1234=0,M1234=0),"",CADASTROS!$B$4+SUM($J$2:J1234)+SUM($M$2:M1234)-SUM($K$2:K1234)-SUM($L$2:L1234))</f>
        <v/>
      </c>
      <c r="O1234" s="72" t="str">
        <f>IF(A1234="","",SUMIF(RATEIOS!$A$2:$A$3142,$A1234,RATEIOS!$F$2:$F$3142))</f>
        <v/>
      </c>
      <c r="P1234" s="15" t="str">
        <f t="shared" si="40"/>
        <v/>
      </c>
      <c r="Q1234" s="49" t="str">
        <f>IF(AND(J1234=0,K1234=0,L1234=0,M1234=0),"",IF(O1234=0,"PENDENTE DE RATEIO",IF(ABS(P1234)&gt;0.005,"DIVERGÊNCIA",IF(COUNTIF(RATEIOS!$A$2:$A$3142,$A1234)-COUNTIFS(RATEIOS!$A$2:$A$3142,$A1234,RATEIOS!$D$2:$D$3142,"&lt;&gt;")&gt;0,"NÃO CLASSIFICADO","RATEIO OK"))))</f>
        <v/>
      </c>
      <c r="R1234" s="49"/>
      <c r="S1234" s="14"/>
    </row>
    <row r="1235" spans="1:19" ht="24.95" customHeight="1" x14ac:dyDescent="0.25">
      <c r="A1235" s="49" t="str">
        <f>IF(C1235="","","BAN-01234")</f>
        <v/>
      </c>
      <c r="B1235" s="98" t="str">
        <f>IF(C1235="","",1234)</f>
        <v/>
      </c>
      <c r="C1235" s="50"/>
      <c r="D1235" s="49" t="str">
        <f t="shared" si="39"/>
        <v/>
      </c>
      <c r="E1235" s="92"/>
      <c r="F1235" s="49"/>
      <c r="G1235" s="14"/>
      <c r="H1235" s="14"/>
      <c r="I1235" s="76"/>
      <c r="J1235" s="73"/>
      <c r="K1235" s="74"/>
      <c r="L1235" s="72"/>
      <c r="M1235" s="72"/>
      <c r="N1235" s="72" t="str">
        <f>IF(AND(C1235="",J1235=0,K1235=0,L1235=0,M1235=0),"",CADASTROS!$B$4+SUM($J$2:J1235)+SUM($M$2:M1235)-SUM($K$2:K1235)-SUM($L$2:L1235))</f>
        <v/>
      </c>
      <c r="O1235" s="72" t="str">
        <f>IF(A1235="","",SUMIF(RATEIOS!$A$2:$A$3142,$A1235,RATEIOS!$F$2:$F$3142))</f>
        <v/>
      </c>
      <c r="P1235" s="15" t="str">
        <f t="shared" si="40"/>
        <v/>
      </c>
      <c r="Q1235" s="49" t="str">
        <f>IF(AND(J1235=0,K1235=0,L1235=0,M1235=0),"",IF(O1235=0,"PENDENTE DE RATEIO",IF(ABS(P1235)&gt;0.005,"DIVERGÊNCIA",IF(COUNTIF(RATEIOS!$A$2:$A$3142,$A1235)-COUNTIFS(RATEIOS!$A$2:$A$3142,$A1235,RATEIOS!$D$2:$D$3142,"&lt;&gt;")&gt;0,"NÃO CLASSIFICADO","RATEIO OK"))))</f>
        <v/>
      </c>
      <c r="R1235" s="49"/>
      <c r="S1235" s="14"/>
    </row>
    <row r="1236" spans="1:19" ht="24.95" customHeight="1" x14ac:dyDescent="0.25">
      <c r="A1236" s="49" t="str">
        <f>IF(C1236="","","BAN-01235")</f>
        <v/>
      </c>
      <c r="B1236" s="98" t="str">
        <f>IF(C1236="","",1235)</f>
        <v/>
      </c>
      <c r="C1236" s="50"/>
      <c r="D1236" s="49" t="str">
        <f t="shared" si="39"/>
        <v/>
      </c>
      <c r="E1236" s="92"/>
      <c r="F1236" s="49"/>
      <c r="G1236" s="14"/>
      <c r="H1236" s="14"/>
      <c r="I1236" s="76"/>
      <c r="J1236" s="73"/>
      <c r="K1236" s="74"/>
      <c r="L1236" s="72"/>
      <c r="M1236" s="72"/>
      <c r="N1236" s="72" t="str">
        <f>IF(AND(C1236="",J1236=0,K1236=0,L1236=0,M1236=0),"",CADASTROS!$B$4+SUM($J$2:J1236)+SUM($M$2:M1236)-SUM($K$2:K1236)-SUM($L$2:L1236))</f>
        <v/>
      </c>
      <c r="O1236" s="72" t="str">
        <f>IF(A1236="","",SUMIF(RATEIOS!$A$2:$A$3142,$A1236,RATEIOS!$F$2:$F$3142))</f>
        <v/>
      </c>
      <c r="P1236" s="15" t="str">
        <f t="shared" si="40"/>
        <v/>
      </c>
      <c r="Q1236" s="49" t="str">
        <f>IF(AND(J1236=0,K1236=0,L1236=0,M1236=0),"",IF(O1236=0,"PENDENTE DE RATEIO",IF(ABS(P1236)&gt;0.005,"DIVERGÊNCIA",IF(COUNTIF(RATEIOS!$A$2:$A$3142,$A1236)-COUNTIFS(RATEIOS!$A$2:$A$3142,$A1236,RATEIOS!$D$2:$D$3142,"&lt;&gt;")&gt;0,"NÃO CLASSIFICADO","RATEIO OK"))))</f>
        <v/>
      </c>
      <c r="R1236" s="49"/>
      <c r="S1236" s="14"/>
    </row>
    <row r="1237" spans="1:19" ht="24.95" customHeight="1" x14ac:dyDescent="0.25">
      <c r="A1237" s="49" t="str">
        <f>IF(C1237="","","BAN-01236")</f>
        <v/>
      </c>
      <c r="B1237" s="98" t="str">
        <f>IF(C1237="","",1236)</f>
        <v/>
      </c>
      <c r="C1237" s="50"/>
      <c r="D1237" s="49" t="str">
        <f t="shared" si="39"/>
        <v/>
      </c>
      <c r="E1237" s="92"/>
      <c r="F1237" s="49"/>
      <c r="G1237" s="14"/>
      <c r="H1237" s="14"/>
      <c r="I1237" s="76"/>
      <c r="J1237" s="73"/>
      <c r="K1237" s="74"/>
      <c r="L1237" s="72"/>
      <c r="M1237" s="72"/>
      <c r="N1237" s="72" t="str">
        <f>IF(AND(C1237="",J1237=0,K1237=0,L1237=0,M1237=0),"",CADASTROS!$B$4+SUM($J$2:J1237)+SUM($M$2:M1237)-SUM($K$2:K1237)-SUM($L$2:L1237))</f>
        <v/>
      </c>
      <c r="O1237" s="72" t="str">
        <f>IF(A1237="","",SUMIF(RATEIOS!$A$2:$A$3142,$A1237,RATEIOS!$F$2:$F$3142))</f>
        <v/>
      </c>
      <c r="P1237" s="15" t="str">
        <f t="shared" si="40"/>
        <v/>
      </c>
      <c r="Q1237" s="49" t="str">
        <f>IF(AND(J1237=0,K1237=0,L1237=0,M1237=0),"",IF(O1237=0,"PENDENTE DE RATEIO",IF(ABS(P1237)&gt;0.005,"DIVERGÊNCIA",IF(COUNTIF(RATEIOS!$A$2:$A$3142,$A1237)-COUNTIFS(RATEIOS!$A$2:$A$3142,$A1237,RATEIOS!$D$2:$D$3142,"&lt;&gt;")&gt;0,"NÃO CLASSIFICADO","RATEIO OK"))))</f>
        <v/>
      </c>
      <c r="R1237" s="49"/>
      <c r="S1237" s="14"/>
    </row>
    <row r="1238" spans="1:19" ht="24.95" customHeight="1" x14ac:dyDescent="0.25">
      <c r="A1238" s="49" t="str">
        <f>IF(C1238="","","BAN-01237")</f>
        <v/>
      </c>
      <c r="B1238" s="98" t="str">
        <f>IF(C1238="","",1237)</f>
        <v/>
      </c>
      <c r="C1238" s="50"/>
      <c r="D1238" s="49" t="str">
        <f t="shared" si="39"/>
        <v/>
      </c>
      <c r="E1238" s="92"/>
      <c r="F1238" s="49"/>
      <c r="G1238" s="14"/>
      <c r="H1238" s="14"/>
      <c r="I1238" s="76"/>
      <c r="J1238" s="73"/>
      <c r="K1238" s="74"/>
      <c r="L1238" s="72"/>
      <c r="M1238" s="72"/>
      <c r="N1238" s="72" t="str">
        <f>IF(AND(C1238="",J1238=0,K1238=0,L1238=0,M1238=0),"",CADASTROS!$B$4+SUM($J$2:J1238)+SUM($M$2:M1238)-SUM($K$2:K1238)-SUM($L$2:L1238))</f>
        <v/>
      </c>
      <c r="O1238" s="72" t="str">
        <f>IF(A1238="","",SUMIF(RATEIOS!$A$2:$A$3142,$A1238,RATEIOS!$F$2:$F$3142))</f>
        <v/>
      </c>
      <c r="P1238" s="15" t="str">
        <f t="shared" si="40"/>
        <v/>
      </c>
      <c r="Q1238" s="49" t="str">
        <f>IF(AND(J1238=0,K1238=0,L1238=0,M1238=0),"",IF(O1238=0,"PENDENTE DE RATEIO",IF(ABS(P1238)&gt;0.005,"DIVERGÊNCIA",IF(COUNTIF(RATEIOS!$A$2:$A$3142,$A1238)-COUNTIFS(RATEIOS!$A$2:$A$3142,$A1238,RATEIOS!$D$2:$D$3142,"&lt;&gt;")&gt;0,"NÃO CLASSIFICADO","RATEIO OK"))))</f>
        <v/>
      </c>
      <c r="R1238" s="49"/>
      <c r="S1238" s="14"/>
    </row>
    <row r="1239" spans="1:19" ht="24.95" customHeight="1" x14ac:dyDescent="0.25">
      <c r="A1239" s="49" t="str">
        <f>IF(C1239="","","BAN-01238")</f>
        <v/>
      </c>
      <c r="B1239" s="98" t="str">
        <f>IF(C1239="","",1238)</f>
        <v/>
      </c>
      <c r="C1239" s="50"/>
      <c r="D1239" s="49" t="str">
        <f t="shared" si="39"/>
        <v/>
      </c>
      <c r="E1239" s="92"/>
      <c r="F1239" s="49"/>
      <c r="G1239" s="14"/>
      <c r="H1239" s="14"/>
      <c r="I1239" s="76"/>
      <c r="J1239" s="73"/>
      <c r="K1239" s="74"/>
      <c r="L1239" s="72"/>
      <c r="M1239" s="72"/>
      <c r="N1239" s="72" t="str">
        <f>IF(AND(C1239="",J1239=0,K1239=0,L1239=0,M1239=0),"",CADASTROS!$B$4+SUM($J$2:J1239)+SUM($M$2:M1239)-SUM($K$2:K1239)-SUM($L$2:L1239))</f>
        <v/>
      </c>
      <c r="O1239" s="72" t="str">
        <f>IF(A1239="","",SUMIF(RATEIOS!$A$2:$A$3142,$A1239,RATEIOS!$F$2:$F$3142))</f>
        <v/>
      </c>
      <c r="P1239" s="15" t="str">
        <f t="shared" si="40"/>
        <v/>
      </c>
      <c r="Q1239" s="49" t="str">
        <f>IF(AND(J1239=0,K1239=0,L1239=0,M1239=0),"",IF(O1239=0,"PENDENTE DE RATEIO",IF(ABS(P1239)&gt;0.005,"DIVERGÊNCIA",IF(COUNTIF(RATEIOS!$A$2:$A$3142,$A1239)-COUNTIFS(RATEIOS!$A$2:$A$3142,$A1239,RATEIOS!$D$2:$D$3142,"&lt;&gt;")&gt;0,"NÃO CLASSIFICADO","RATEIO OK"))))</f>
        <v/>
      </c>
      <c r="R1239" s="49"/>
      <c r="S1239" s="14"/>
    </row>
    <row r="1240" spans="1:19" ht="24.95" customHeight="1" x14ac:dyDescent="0.25">
      <c r="A1240" s="49" t="str">
        <f>IF(C1240="","","BAN-01239")</f>
        <v/>
      </c>
      <c r="B1240" s="98" t="str">
        <f>IF(C1240="","",1239)</f>
        <v/>
      </c>
      <c r="C1240" s="50"/>
      <c r="D1240" s="49" t="str">
        <f t="shared" si="39"/>
        <v/>
      </c>
      <c r="E1240" s="92"/>
      <c r="F1240" s="49"/>
      <c r="G1240" s="14"/>
      <c r="H1240" s="14"/>
      <c r="I1240" s="76"/>
      <c r="J1240" s="73"/>
      <c r="K1240" s="74"/>
      <c r="L1240" s="72"/>
      <c r="M1240" s="72"/>
      <c r="N1240" s="72" t="str">
        <f>IF(AND(C1240="",J1240=0,K1240=0,L1240=0,M1240=0),"",CADASTROS!$B$4+SUM($J$2:J1240)+SUM($M$2:M1240)-SUM($K$2:K1240)-SUM($L$2:L1240))</f>
        <v/>
      </c>
      <c r="O1240" s="72" t="str">
        <f>IF(A1240="","",SUMIF(RATEIOS!$A$2:$A$3142,$A1240,RATEIOS!$F$2:$F$3142))</f>
        <v/>
      </c>
      <c r="P1240" s="15" t="str">
        <f t="shared" si="40"/>
        <v/>
      </c>
      <c r="Q1240" s="49" t="str">
        <f>IF(AND(J1240=0,K1240=0,L1240=0,M1240=0),"",IF(O1240=0,"PENDENTE DE RATEIO",IF(ABS(P1240)&gt;0.005,"DIVERGÊNCIA",IF(COUNTIF(RATEIOS!$A$2:$A$3142,$A1240)-COUNTIFS(RATEIOS!$A$2:$A$3142,$A1240,RATEIOS!$D$2:$D$3142,"&lt;&gt;")&gt;0,"NÃO CLASSIFICADO","RATEIO OK"))))</f>
        <v/>
      </c>
      <c r="R1240" s="49"/>
      <c r="S1240" s="14"/>
    </row>
    <row r="1241" spans="1:19" ht="24.95" customHeight="1" x14ac:dyDescent="0.25">
      <c r="A1241" s="49" t="str">
        <f>IF(C1241="","","BAN-01240")</f>
        <v/>
      </c>
      <c r="B1241" s="98" t="str">
        <f>IF(C1241="","",1240)</f>
        <v/>
      </c>
      <c r="C1241" s="50"/>
      <c r="D1241" s="49" t="str">
        <f t="shared" si="39"/>
        <v/>
      </c>
      <c r="E1241" s="92"/>
      <c r="F1241" s="49"/>
      <c r="G1241" s="14"/>
      <c r="H1241" s="14"/>
      <c r="I1241" s="76"/>
      <c r="J1241" s="73"/>
      <c r="K1241" s="74"/>
      <c r="L1241" s="72"/>
      <c r="M1241" s="72"/>
      <c r="N1241" s="72" t="str">
        <f>IF(AND(C1241="",J1241=0,K1241=0,L1241=0,M1241=0),"",CADASTROS!$B$4+SUM($J$2:J1241)+SUM($M$2:M1241)-SUM($K$2:K1241)-SUM($L$2:L1241))</f>
        <v/>
      </c>
      <c r="O1241" s="72" t="str">
        <f>IF(A1241="","",SUMIF(RATEIOS!$A$2:$A$3142,$A1241,RATEIOS!$F$2:$F$3142))</f>
        <v/>
      </c>
      <c r="P1241" s="15" t="str">
        <f t="shared" si="40"/>
        <v/>
      </c>
      <c r="Q1241" s="49" t="str">
        <f>IF(AND(J1241=0,K1241=0,L1241=0,M1241=0),"",IF(O1241=0,"PENDENTE DE RATEIO",IF(ABS(P1241)&gt;0.005,"DIVERGÊNCIA",IF(COUNTIF(RATEIOS!$A$2:$A$3142,$A1241)-COUNTIFS(RATEIOS!$A$2:$A$3142,$A1241,RATEIOS!$D$2:$D$3142,"&lt;&gt;")&gt;0,"NÃO CLASSIFICADO","RATEIO OK"))))</f>
        <v/>
      </c>
      <c r="R1241" s="49"/>
      <c r="S1241" s="14"/>
    </row>
    <row r="1242" spans="1:19" ht="24.95" customHeight="1" x14ac:dyDescent="0.25">
      <c r="A1242" s="49" t="str">
        <f>IF(C1242="","","BAN-01241")</f>
        <v/>
      </c>
      <c r="B1242" s="98" t="str">
        <f>IF(C1242="","",1241)</f>
        <v/>
      </c>
      <c r="C1242" s="50"/>
      <c r="D1242" s="49" t="str">
        <f t="shared" si="39"/>
        <v/>
      </c>
      <c r="E1242" s="92"/>
      <c r="F1242" s="49"/>
      <c r="G1242" s="14"/>
      <c r="H1242" s="14"/>
      <c r="I1242" s="76"/>
      <c r="J1242" s="73"/>
      <c r="K1242" s="74"/>
      <c r="L1242" s="72"/>
      <c r="M1242" s="72"/>
      <c r="N1242" s="72" t="str">
        <f>IF(AND(C1242="",J1242=0,K1242=0,L1242=0,M1242=0),"",CADASTROS!$B$4+SUM($J$2:J1242)+SUM($M$2:M1242)-SUM($K$2:K1242)-SUM($L$2:L1242))</f>
        <v/>
      </c>
      <c r="O1242" s="72" t="str">
        <f>IF(A1242="","",SUMIF(RATEIOS!$A$2:$A$3142,$A1242,RATEIOS!$F$2:$F$3142))</f>
        <v/>
      </c>
      <c r="P1242" s="15" t="str">
        <f t="shared" si="40"/>
        <v/>
      </c>
      <c r="Q1242" s="49" t="str">
        <f>IF(AND(J1242=0,K1242=0,L1242=0,M1242=0),"",IF(O1242=0,"PENDENTE DE RATEIO",IF(ABS(P1242)&gt;0.005,"DIVERGÊNCIA",IF(COUNTIF(RATEIOS!$A$2:$A$3142,$A1242)-COUNTIFS(RATEIOS!$A$2:$A$3142,$A1242,RATEIOS!$D$2:$D$3142,"&lt;&gt;")&gt;0,"NÃO CLASSIFICADO","RATEIO OK"))))</f>
        <v/>
      </c>
      <c r="R1242" s="49"/>
      <c r="S1242" s="14"/>
    </row>
    <row r="1243" spans="1:19" ht="24.95" customHeight="1" x14ac:dyDescent="0.25">
      <c r="A1243" s="49" t="str">
        <f>IF(C1243="","","BAN-01242")</f>
        <v/>
      </c>
      <c r="B1243" s="98" t="str">
        <f>IF(C1243="","",1242)</f>
        <v/>
      </c>
      <c r="C1243" s="50"/>
      <c r="D1243" s="49" t="str">
        <f t="shared" si="39"/>
        <v/>
      </c>
      <c r="E1243" s="92"/>
      <c r="F1243" s="49"/>
      <c r="G1243" s="14"/>
      <c r="H1243" s="14"/>
      <c r="I1243" s="76"/>
      <c r="J1243" s="73"/>
      <c r="K1243" s="74"/>
      <c r="L1243" s="72"/>
      <c r="M1243" s="72"/>
      <c r="N1243" s="72" t="str">
        <f>IF(AND(C1243="",J1243=0,K1243=0,L1243=0,M1243=0),"",CADASTROS!$B$4+SUM($J$2:J1243)+SUM($M$2:M1243)-SUM($K$2:K1243)-SUM($L$2:L1243))</f>
        <v/>
      </c>
      <c r="O1243" s="72" t="str">
        <f>IF(A1243="","",SUMIF(RATEIOS!$A$2:$A$3142,$A1243,RATEIOS!$F$2:$F$3142))</f>
        <v/>
      </c>
      <c r="P1243" s="15" t="str">
        <f t="shared" si="40"/>
        <v/>
      </c>
      <c r="Q1243" s="49" t="str">
        <f>IF(AND(J1243=0,K1243=0,L1243=0,M1243=0),"",IF(O1243=0,"PENDENTE DE RATEIO",IF(ABS(P1243)&gt;0.005,"DIVERGÊNCIA",IF(COUNTIF(RATEIOS!$A$2:$A$3142,$A1243)-COUNTIFS(RATEIOS!$A$2:$A$3142,$A1243,RATEIOS!$D$2:$D$3142,"&lt;&gt;")&gt;0,"NÃO CLASSIFICADO","RATEIO OK"))))</f>
        <v/>
      </c>
      <c r="R1243" s="49"/>
      <c r="S1243" s="14"/>
    </row>
    <row r="1244" spans="1:19" ht="24.95" customHeight="1" x14ac:dyDescent="0.25">
      <c r="A1244" s="49" t="str">
        <f>IF(C1244="","","BAN-01243")</f>
        <v/>
      </c>
      <c r="B1244" s="98" t="str">
        <f>IF(C1244="","",1243)</f>
        <v/>
      </c>
      <c r="C1244" s="50"/>
      <c r="D1244" s="49" t="str">
        <f t="shared" si="39"/>
        <v/>
      </c>
      <c r="E1244" s="92"/>
      <c r="F1244" s="49"/>
      <c r="G1244" s="14"/>
      <c r="H1244" s="14"/>
      <c r="I1244" s="76"/>
      <c r="J1244" s="73"/>
      <c r="K1244" s="74"/>
      <c r="L1244" s="72"/>
      <c r="M1244" s="72"/>
      <c r="N1244" s="72" t="str">
        <f>IF(AND(C1244="",J1244=0,K1244=0,L1244=0,M1244=0),"",CADASTROS!$B$4+SUM($J$2:J1244)+SUM($M$2:M1244)-SUM($K$2:K1244)-SUM($L$2:L1244))</f>
        <v/>
      </c>
      <c r="O1244" s="72" t="str">
        <f>IF(A1244="","",SUMIF(RATEIOS!$A$2:$A$3142,$A1244,RATEIOS!$F$2:$F$3142))</f>
        <v/>
      </c>
      <c r="P1244" s="15" t="str">
        <f t="shared" si="40"/>
        <v/>
      </c>
      <c r="Q1244" s="49" t="str">
        <f>IF(AND(J1244=0,K1244=0,L1244=0,M1244=0),"",IF(O1244=0,"PENDENTE DE RATEIO",IF(ABS(P1244)&gt;0.005,"DIVERGÊNCIA",IF(COUNTIF(RATEIOS!$A$2:$A$3142,$A1244)-COUNTIFS(RATEIOS!$A$2:$A$3142,$A1244,RATEIOS!$D$2:$D$3142,"&lt;&gt;")&gt;0,"NÃO CLASSIFICADO","RATEIO OK"))))</f>
        <v/>
      </c>
      <c r="R1244" s="49"/>
      <c r="S1244" s="14"/>
    </row>
    <row r="1245" spans="1:19" ht="24.95" customHeight="1" x14ac:dyDescent="0.25">
      <c r="A1245" s="49" t="str">
        <f>IF(C1245="","","BAN-01244")</f>
        <v/>
      </c>
      <c r="B1245" s="98" t="str">
        <f>IF(C1245="","",1244)</f>
        <v/>
      </c>
      <c r="C1245" s="50"/>
      <c r="D1245" s="49" t="str">
        <f t="shared" si="39"/>
        <v/>
      </c>
      <c r="E1245" s="92"/>
      <c r="F1245" s="49"/>
      <c r="G1245" s="14"/>
      <c r="H1245" s="14"/>
      <c r="I1245" s="76"/>
      <c r="J1245" s="73"/>
      <c r="K1245" s="74"/>
      <c r="L1245" s="72"/>
      <c r="M1245" s="72"/>
      <c r="N1245" s="72" t="str">
        <f>IF(AND(C1245="",J1245=0,K1245=0,L1245=0,M1245=0),"",CADASTROS!$B$4+SUM($J$2:J1245)+SUM($M$2:M1245)-SUM($K$2:K1245)-SUM($L$2:L1245))</f>
        <v/>
      </c>
      <c r="O1245" s="72" t="str">
        <f>IF(A1245="","",SUMIF(RATEIOS!$A$2:$A$3142,$A1245,RATEIOS!$F$2:$F$3142))</f>
        <v/>
      </c>
      <c r="P1245" s="15" t="str">
        <f t="shared" si="40"/>
        <v/>
      </c>
      <c r="Q1245" s="49" t="str">
        <f>IF(AND(J1245=0,K1245=0,L1245=0,M1245=0),"",IF(O1245=0,"PENDENTE DE RATEIO",IF(ABS(P1245)&gt;0.005,"DIVERGÊNCIA",IF(COUNTIF(RATEIOS!$A$2:$A$3142,$A1245)-COUNTIFS(RATEIOS!$A$2:$A$3142,$A1245,RATEIOS!$D$2:$D$3142,"&lt;&gt;")&gt;0,"NÃO CLASSIFICADO","RATEIO OK"))))</f>
        <v/>
      </c>
      <c r="R1245" s="49"/>
      <c r="S1245" s="14"/>
    </row>
    <row r="1246" spans="1:19" ht="24.95" customHeight="1" x14ac:dyDescent="0.25">
      <c r="A1246" s="49" t="str">
        <f>IF(C1246="","","BAN-01245")</f>
        <v/>
      </c>
      <c r="B1246" s="98" t="str">
        <f>IF(C1246="","",1245)</f>
        <v/>
      </c>
      <c r="C1246" s="50"/>
      <c r="D1246" s="49" t="str">
        <f t="shared" si="39"/>
        <v/>
      </c>
      <c r="E1246" s="92"/>
      <c r="F1246" s="49"/>
      <c r="G1246" s="14"/>
      <c r="H1246" s="14"/>
      <c r="I1246" s="76"/>
      <c r="J1246" s="73"/>
      <c r="K1246" s="74"/>
      <c r="L1246" s="72"/>
      <c r="M1246" s="72"/>
      <c r="N1246" s="72" t="str">
        <f>IF(AND(C1246="",J1246=0,K1246=0,L1246=0,M1246=0),"",CADASTROS!$B$4+SUM($J$2:J1246)+SUM($M$2:M1246)-SUM($K$2:K1246)-SUM($L$2:L1246))</f>
        <v/>
      </c>
      <c r="O1246" s="72" t="str">
        <f>IF(A1246="","",SUMIF(RATEIOS!$A$2:$A$3142,$A1246,RATEIOS!$F$2:$F$3142))</f>
        <v/>
      </c>
      <c r="P1246" s="15" t="str">
        <f t="shared" si="40"/>
        <v/>
      </c>
      <c r="Q1246" s="49" t="str">
        <f>IF(AND(J1246=0,K1246=0,L1246=0,M1246=0),"",IF(O1246=0,"PENDENTE DE RATEIO",IF(ABS(P1246)&gt;0.005,"DIVERGÊNCIA",IF(COUNTIF(RATEIOS!$A$2:$A$3142,$A1246)-COUNTIFS(RATEIOS!$A$2:$A$3142,$A1246,RATEIOS!$D$2:$D$3142,"&lt;&gt;")&gt;0,"NÃO CLASSIFICADO","RATEIO OK"))))</f>
        <v/>
      </c>
      <c r="R1246" s="49"/>
      <c r="S1246" s="14"/>
    </row>
    <row r="1247" spans="1:19" ht="24.95" customHeight="1" x14ac:dyDescent="0.25">
      <c r="A1247" s="49" t="str">
        <f>IF(C1247="","","BAN-01246")</f>
        <v/>
      </c>
      <c r="B1247" s="98" t="str">
        <f>IF(C1247="","",1246)</f>
        <v/>
      </c>
      <c r="C1247" s="50"/>
      <c r="D1247" s="49" t="str">
        <f t="shared" si="39"/>
        <v/>
      </c>
      <c r="E1247" s="92"/>
      <c r="F1247" s="49"/>
      <c r="G1247" s="14"/>
      <c r="H1247" s="14"/>
      <c r="I1247" s="76"/>
      <c r="J1247" s="73"/>
      <c r="K1247" s="74"/>
      <c r="L1247" s="72"/>
      <c r="M1247" s="72"/>
      <c r="N1247" s="72" t="str">
        <f>IF(AND(C1247="",J1247=0,K1247=0,L1247=0,M1247=0),"",CADASTROS!$B$4+SUM($J$2:J1247)+SUM($M$2:M1247)-SUM($K$2:K1247)-SUM($L$2:L1247))</f>
        <v/>
      </c>
      <c r="O1247" s="72" t="str">
        <f>IF(A1247="","",SUMIF(RATEIOS!$A$2:$A$3142,$A1247,RATEIOS!$F$2:$F$3142))</f>
        <v/>
      </c>
      <c r="P1247" s="15" t="str">
        <f t="shared" si="40"/>
        <v/>
      </c>
      <c r="Q1247" s="49" t="str">
        <f>IF(AND(J1247=0,K1247=0,L1247=0,M1247=0),"",IF(O1247=0,"PENDENTE DE RATEIO",IF(ABS(P1247)&gt;0.005,"DIVERGÊNCIA",IF(COUNTIF(RATEIOS!$A$2:$A$3142,$A1247)-COUNTIFS(RATEIOS!$A$2:$A$3142,$A1247,RATEIOS!$D$2:$D$3142,"&lt;&gt;")&gt;0,"NÃO CLASSIFICADO","RATEIO OK"))))</f>
        <v/>
      </c>
      <c r="R1247" s="49"/>
      <c r="S1247" s="14"/>
    </row>
    <row r="1248" spans="1:19" ht="24.95" customHeight="1" x14ac:dyDescent="0.25">
      <c r="A1248" s="49" t="str">
        <f>IF(C1248="","","BAN-01247")</f>
        <v/>
      </c>
      <c r="B1248" s="98" t="str">
        <f>IF(C1248="","",1247)</f>
        <v/>
      </c>
      <c r="C1248" s="50"/>
      <c r="D1248" s="49" t="str">
        <f t="shared" si="39"/>
        <v/>
      </c>
      <c r="E1248" s="92"/>
      <c r="F1248" s="49"/>
      <c r="G1248" s="14"/>
      <c r="H1248" s="14"/>
      <c r="I1248" s="76"/>
      <c r="J1248" s="73"/>
      <c r="K1248" s="74"/>
      <c r="L1248" s="72"/>
      <c r="M1248" s="72"/>
      <c r="N1248" s="72" t="str">
        <f>IF(AND(C1248="",J1248=0,K1248=0,L1248=0,M1248=0),"",CADASTROS!$B$4+SUM($J$2:J1248)+SUM($M$2:M1248)-SUM($K$2:K1248)-SUM($L$2:L1248))</f>
        <v/>
      </c>
      <c r="O1248" s="72" t="str">
        <f>IF(A1248="","",SUMIF(RATEIOS!$A$2:$A$3142,$A1248,RATEIOS!$F$2:$F$3142))</f>
        <v/>
      </c>
      <c r="P1248" s="15" t="str">
        <f t="shared" si="40"/>
        <v/>
      </c>
      <c r="Q1248" s="49" t="str">
        <f>IF(AND(J1248=0,K1248=0,L1248=0,M1248=0),"",IF(O1248=0,"PENDENTE DE RATEIO",IF(ABS(P1248)&gt;0.005,"DIVERGÊNCIA",IF(COUNTIF(RATEIOS!$A$2:$A$3142,$A1248)-COUNTIFS(RATEIOS!$A$2:$A$3142,$A1248,RATEIOS!$D$2:$D$3142,"&lt;&gt;")&gt;0,"NÃO CLASSIFICADO","RATEIO OK"))))</f>
        <v/>
      </c>
      <c r="R1248" s="49"/>
      <c r="S1248" s="14"/>
    </row>
    <row r="1249" spans="1:19" ht="24.95" customHeight="1" x14ac:dyDescent="0.25">
      <c r="A1249" s="49" t="str">
        <f>IF(C1249="","","BAN-01248")</f>
        <v/>
      </c>
      <c r="B1249" s="98" t="str">
        <f>IF(C1249="","",1248)</f>
        <v/>
      </c>
      <c r="C1249" s="50"/>
      <c r="D1249" s="49" t="str">
        <f t="shared" si="39"/>
        <v/>
      </c>
      <c r="E1249" s="92"/>
      <c r="F1249" s="49"/>
      <c r="G1249" s="14"/>
      <c r="H1249" s="14"/>
      <c r="I1249" s="76"/>
      <c r="J1249" s="73"/>
      <c r="K1249" s="74"/>
      <c r="L1249" s="72"/>
      <c r="M1249" s="72"/>
      <c r="N1249" s="72" t="str">
        <f>IF(AND(C1249="",J1249=0,K1249=0,L1249=0,M1249=0),"",CADASTROS!$B$4+SUM($J$2:J1249)+SUM($M$2:M1249)-SUM($K$2:K1249)-SUM($L$2:L1249))</f>
        <v/>
      </c>
      <c r="O1249" s="72" t="str">
        <f>IF(A1249="","",SUMIF(RATEIOS!$A$2:$A$3142,$A1249,RATEIOS!$F$2:$F$3142))</f>
        <v/>
      </c>
      <c r="P1249" s="15" t="str">
        <f t="shared" si="40"/>
        <v/>
      </c>
      <c r="Q1249" s="49" t="str">
        <f>IF(AND(J1249=0,K1249=0,L1249=0,M1249=0),"",IF(O1249=0,"PENDENTE DE RATEIO",IF(ABS(P1249)&gt;0.005,"DIVERGÊNCIA",IF(COUNTIF(RATEIOS!$A$2:$A$3142,$A1249)-COUNTIFS(RATEIOS!$A$2:$A$3142,$A1249,RATEIOS!$D$2:$D$3142,"&lt;&gt;")&gt;0,"NÃO CLASSIFICADO","RATEIO OK"))))</f>
        <v/>
      </c>
      <c r="R1249" s="49"/>
      <c r="S1249" s="14"/>
    </row>
    <row r="1250" spans="1:19" ht="24.95" customHeight="1" x14ac:dyDescent="0.25">
      <c r="A1250" s="49" t="str">
        <f>IF(C1250="","","BAN-01249")</f>
        <v/>
      </c>
      <c r="B1250" s="98" t="str">
        <f>IF(C1250="","",1249)</f>
        <v/>
      </c>
      <c r="C1250" s="50"/>
      <c r="D1250" s="49" t="str">
        <f t="shared" si="39"/>
        <v/>
      </c>
      <c r="E1250" s="92"/>
      <c r="F1250" s="49"/>
      <c r="G1250" s="14"/>
      <c r="H1250" s="14"/>
      <c r="I1250" s="76"/>
      <c r="J1250" s="73"/>
      <c r="K1250" s="74"/>
      <c r="L1250" s="72"/>
      <c r="M1250" s="72"/>
      <c r="N1250" s="72" t="str">
        <f>IF(AND(C1250="",J1250=0,K1250=0,L1250=0,M1250=0),"",CADASTROS!$B$4+SUM($J$2:J1250)+SUM($M$2:M1250)-SUM($K$2:K1250)-SUM($L$2:L1250))</f>
        <v/>
      </c>
      <c r="O1250" s="72" t="str">
        <f>IF(A1250="","",SUMIF(RATEIOS!$A$2:$A$3142,$A1250,RATEIOS!$F$2:$F$3142))</f>
        <v/>
      </c>
      <c r="P1250" s="15" t="str">
        <f t="shared" si="40"/>
        <v/>
      </c>
      <c r="Q1250" s="49" t="str">
        <f>IF(AND(J1250=0,K1250=0,L1250=0,M1250=0),"",IF(O1250=0,"PENDENTE DE RATEIO",IF(ABS(P1250)&gt;0.005,"DIVERGÊNCIA",IF(COUNTIF(RATEIOS!$A$2:$A$3142,$A1250)-COUNTIFS(RATEIOS!$A$2:$A$3142,$A1250,RATEIOS!$D$2:$D$3142,"&lt;&gt;")&gt;0,"NÃO CLASSIFICADO","RATEIO OK"))))</f>
        <v/>
      </c>
      <c r="R1250" s="49"/>
      <c r="S1250" s="14"/>
    </row>
    <row r="1251" spans="1:19" ht="24.95" customHeight="1" x14ac:dyDescent="0.25">
      <c r="A1251" s="49" t="str">
        <f>IF(C1251="","","BAN-01250")</f>
        <v/>
      </c>
      <c r="B1251" s="98" t="str">
        <f>IF(C1251="","",1250)</f>
        <v/>
      </c>
      <c r="C1251" s="50"/>
      <c r="D1251" s="49" t="str">
        <f t="shared" si="39"/>
        <v/>
      </c>
      <c r="E1251" s="92"/>
      <c r="F1251" s="49"/>
      <c r="G1251" s="14"/>
      <c r="H1251" s="14"/>
      <c r="I1251" s="76"/>
      <c r="J1251" s="73"/>
      <c r="K1251" s="74"/>
      <c r="L1251" s="72"/>
      <c r="M1251" s="72"/>
      <c r="N1251" s="72" t="str">
        <f>IF(AND(C1251="",J1251=0,K1251=0,L1251=0,M1251=0),"",CADASTROS!$B$4+SUM($J$2:J1251)+SUM($M$2:M1251)-SUM($K$2:K1251)-SUM($L$2:L1251))</f>
        <v/>
      </c>
      <c r="O1251" s="72" t="str">
        <f>IF(A1251="","",SUMIF(RATEIOS!$A$2:$A$3142,$A1251,RATEIOS!$F$2:$F$3142))</f>
        <v/>
      </c>
      <c r="P1251" s="15" t="str">
        <f t="shared" si="40"/>
        <v/>
      </c>
      <c r="Q1251" s="49" t="str">
        <f>IF(AND(J1251=0,K1251=0,L1251=0,M1251=0),"",IF(O1251=0,"PENDENTE DE RATEIO",IF(ABS(P1251)&gt;0.005,"DIVERGÊNCIA",IF(COUNTIF(RATEIOS!$A$2:$A$3142,$A1251)-COUNTIFS(RATEIOS!$A$2:$A$3142,$A1251,RATEIOS!$D$2:$D$3142,"&lt;&gt;")&gt;0,"NÃO CLASSIFICADO","RATEIO OK"))))</f>
        <v/>
      </c>
      <c r="R1251" s="49"/>
      <c r="S1251" s="14"/>
    </row>
    <row r="1252" spans="1:19" ht="24.95" customHeight="1" x14ac:dyDescent="0.25">
      <c r="A1252" s="49" t="str">
        <f>IF(C1252="","","BAN-01251")</f>
        <v/>
      </c>
      <c r="B1252" s="98" t="str">
        <f>IF(C1252="","",1251)</f>
        <v/>
      </c>
      <c r="C1252" s="50"/>
      <c r="D1252" s="49" t="str">
        <f t="shared" si="39"/>
        <v/>
      </c>
      <c r="E1252" s="92"/>
      <c r="F1252" s="49"/>
      <c r="G1252" s="14"/>
      <c r="H1252" s="14"/>
      <c r="I1252" s="76"/>
      <c r="J1252" s="73"/>
      <c r="K1252" s="74"/>
      <c r="L1252" s="72"/>
      <c r="M1252" s="72"/>
      <c r="N1252" s="72" t="str">
        <f>IF(AND(C1252="",J1252=0,K1252=0,L1252=0,M1252=0),"",CADASTROS!$B$4+SUM($J$2:J1252)+SUM($M$2:M1252)-SUM($K$2:K1252)-SUM($L$2:L1252))</f>
        <v/>
      </c>
      <c r="O1252" s="72" t="str">
        <f>IF(A1252="","",SUMIF(RATEIOS!$A$2:$A$3142,$A1252,RATEIOS!$F$2:$F$3142))</f>
        <v/>
      </c>
      <c r="P1252" s="15" t="str">
        <f t="shared" si="40"/>
        <v/>
      </c>
      <c r="Q1252" s="49" t="str">
        <f>IF(AND(J1252=0,K1252=0,L1252=0,M1252=0),"",IF(O1252=0,"PENDENTE DE RATEIO",IF(ABS(P1252)&gt;0.005,"DIVERGÊNCIA",IF(COUNTIF(RATEIOS!$A$2:$A$3142,$A1252)-COUNTIFS(RATEIOS!$A$2:$A$3142,$A1252,RATEIOS!$D$2:$D$3142,"&lt;&gt;")&gt;0,"NÃO CLASSIFICADO","RATEIO OK"))))</f>
        <v/>
      </c>
      <c r="R1252" s="49"/>
      <c r="S1252" s="14"/>
    </row>
    <row r="1253" spans="1:19" ht="24.95" customHeight="1" x14ac:dyDescent="0.25">
      <c r="A1253" s="49" t="str">
        <f>IF(C1253="","","BAN-01252")</f>
        <v/>
      </c>
      <c r="B1253" s="98" t="str">
        <f>IF(C1253="","",1252)</f>
        <v/>
      </c>
      <c r="C1253" s="50"/>
      <c r="D1253" s="49" t="str">
        <f t="shared" si="39"/>
        <v/>
      </c>
      <c r="E1253" s="92"/>
      <c r="F1253" s="49"/>
      <c r="G1253" s="14"/>
      <c r="H1253" s="14"/>
      <c r="I1253" s="76"/>
      <c r="J1253" s="73"/>
      <c r="K1253" s="74"/>
      <c r="L1253" s="72"/>
      <c r="M1253" s="72"/>
      <c r="N1253" s="72" t="str">
        <f>IF(AND(C1253="",J1253=0,K1253=0,L1253=0,M1253=0),"",CADASTROS!$B$4+SUM($J$2:J1253)+SUM($M$2:M1253)-SUM($K$2:K1253)-SUM($L$2:L1253))</f>
        <v/>
      </c>
      <c r="O1253" s="72" t="str">
        <f>IF(A1253="","",SUMIF(RATEIOS!$A$2:$A$3142,$A1253,RATEIOS!$F$2:$F$3142))</f>
        <v/>
      </c>
      <c r="P1253" s="15" t="str">
        <f t="shared" si="40"/>
        <v/>
      </c>
      <c r="Q1253" s="49" t="str">
        <f>IF(AND(J1253=0,K1253=0,L1253=0,M1253=0),"",IF(O1253=0,"PENDENTE DE RATEIO",IF(ABS(P1253)&gt;0.005,"DIVERGÊNCIA",IF(COUNTIF(RATEIOS!$A$2:$A$3142,$A1253)-COUNTIFS(RATEIOS!$A$2:$A$3142,$A1253,RATEIOS!$D$2:$D$3142,"&lt;&gt;")&gt;0,"NÃO CLASSIFICADO","RATEIO OK"))))</f>
        <v/>
      </c>
      <c r="R1253" s="49"/>
      <c r="S1253" s="14"/>
    </row>
    <row r="1254" spans="1:19" ht="24.95" customHeight="1" x14ac:dyDescent="0.25">
      <c r="A1254" s="49" t="str">
        <f>IF(C1254="","","BAN-01253")</f>
        <v/>
      </c>
      <c r="B1254" s="98" t="str">
        <f>IF(C1254="","",1253)</f>
        <v/>
      </c>
      <c r="C1254" s="50"/>
      <c r="D1254" s="49" t="str">
        <f t="shared" si="39"/>
        <v/>
      </c>
      <c r="E1254" s="92"/>
      <c r="F1254" s="49"/>
      <c r="G1254" s="14"/>
      <c r="H1254" s="14"/>
      <c r="I1254" s="76"/>
      <c r="J1254" s="73"/>
      <c r="K1254" s="74"/>
      <c r="L1254" s="72"/>
      <c r="M1254" s="72"/>
      <c r="N1254" s="72" t="str">
        <f>IF(AND(C1254="",J1254=0,K1254=0,L1254=0,M1254=0),"",CADASTROS!$B$4+SUM($J$2:J1254)+SUM($M$2:M1254)-SUM($K$2:K1254)-SUM($L$2:L1254))</f>
        <v/>
      </c>
      <c r="O1254" s="72" t="str">
        <f>IF(A1254="","",SUMIF(RATEIOS!$A$2:$A$3142,$A1254,RATEIOS!$F$2:$F$3142))</f>
        <v/>
      </c>
      <c r="P1254" s="15" t="str">
        <f t="shared" si="40"/>
        <v/>
      </c>
      <c r="Q1254" s="49" t="str">
        <f>IF(AND(J1254=0,K1254=0,L1254=0,M1254=0),"",IF(O1254=0,"PENDENTE DE RATEIO",IF(ABS(P1254)&gt;0.005,"DIVERGÊNCIA",IF(COUNTIF(RATEIOS!$A$2:$A$3142,$A1254)-COUNTIFS(RATEIOS!$A$2:$A$3142,$A1254,RATEIOS!$D$2:$D$3142,"&lt;&gt;")&gt;0,"NÃO CLASSIFICADO","RATEIO OK"))))</f>
        <v/>
      </c>
      <c r="R1254" s="49"/>
      <c r="S1254" s="14"/>
    </row>
    <row r="1255" spans="1:19" ht="24.95" customHeight="1" x14ac:dyDescent="0.25">
      <c r="A1255" s="49" t="str">
        <f>IF(C1255="","","BAN-01254")</f>
        <v/>
      </c>
      <c r="B1255" s="98" t="str">
        <f>IF(C1255="","",1254)</f>
        <v/>
      </c>
      <c r="C1255" s="50"/>
      <c r="D1255" s="49" t="str">
        <f t="shared" si="39"/>
        <v/>
      </c>
      <c r="E1255" s="92"/>
      <c r="F1255" s="49"/>
      <c r="G1255" s="14"/>
      <c r="H1255" s="14"/>
      <c r="I1255" s="76"/>
      <c r="J1255" s="73"/>
      <c r="K1255" s="74"/>
      <c r="L1255" s="72"/>
      <c r="M1255" s="72"/>
      <c r="N1255" s="72" t="str">
        <f>IF(AND(C1255="",J1255=0,K1255=0,L1255=0,M1255=0),"",CADASTROS!$B$4+SUM($J$2:J1255)+SUM($M$2:M1255)-SUM($K$2:K1255)-SUM($L$2:L1255))</f>
        <v/>
      </c>
      <c r="O1255" s="72" t="str">
        <f>IF(A1255="","",SUMIF(RATEIOS!$A$2:$A$3142,$A1255,RATEIOS!$F$2:$F$3142))</f>
        <v/>
      </c>
      <c r="P1255" s="15" t="str">
        <f t="shared" si="40"/>
        <v/>
      </c>
      <c r="Q1255" s="49" t="str">
        <f>IF(AND(J1255=0,K1255=0,L1255=0,M1255=0),"",IF(O1255=0,"PENDENTE DE RATEIO",IF(ABS(P1255)&gt;0.005,"DIVERGÊNCIA",IF(COUNTIF(RATEIOS!$A$2:$A$3142,$A1255)-COUNTIFS(RATEIOS!$A$2:$A$3142,$A1255,RATEIOS!$D$2:$D$3142,"&lt;&gt;")&gt;0,"NÃO CLASSIFICADO","RATEIO OK"))))</f>
        <v/>
      </c>
      <c r="R1255" s="49"/>
      <c r="S1255" s="14"/>
    </row>
    <row r="1256" spans="1:19" ht="24.95" customHeight="1" x14ac:dyDescent="0.25">
      <c r="A1256" s="49" t="str">
        <f>IF(C1256="","","BAN-01255")</f>
        <v/>
      </c>
      <c r="B1256" s="98" t="str">
        <f>IF(C1256="","",1255)</f>
        <v/>
      </c>
      <c r="C1256" s="50"/>
      <c r="D1256" s="49" t="str">
        <f t="shared" si="39"/>
        <v/>
      </c>
      <c r="E1256" s="92"/>
      <c r="F1256" s="49"/>
      <c r="G1256" s="14"/>
      <c r="H1256" s="14"/>
      <c r="I1256" s="76"/>
      <c r="J1256" s="73"/>
      <c r="K1256" s="74"/>
      <c r="L1256" s="72"/>
      <c r="M1256" s="72"/>
      <c r="N1256" s="72" t="str">
        <f>IF(AND(C1256="",J1256=0,K1256=0,L1256=0,M1256=0),"",CADASTROS!$B$4+SUM($J$2:J1256)+SUM($M$2:M1256)-SUM($K$2:K1256)-SUM($L$2:L1256))</f>
        <v/>
      </c>
      <c r="O1256" s="72" t="str">
        <f>IF(A1256="","",SUMIF(RATEIOS!$A$2:$A$3142,$A1256,RATEIOS!$F$2:$F$3142))</f>
        <v/>
      </c>
      <c r="P1256" s="15" t="str">
        <f t="shared" si="40"/>
        <v/>
      </c>
      <c r="Q1256" s="49" t="str">
        <f>IF(AND(J1256=0,K1256=0,L1256=0,M1256=0),"",IF(O1256=0,"PENDENTE DE RATEIO",IF(ABS(P1256)&gt;0.005,"DIVERGÊNCIA",IF(COUNTIF(RATEIOS!$A$2:$A$3142,$A1256)-COUNTIFS(RATEIOS!$A$2:$A$3142,$A1256,RATEIOS!$D$2:$D$3142,"&lt;&gt;")&gt;0,"NÃO CLASSIFICADO","RATEIO OK"))))</f>
        <v/>
      </c>
      <c r="R1256" s="49"/>
      <c r="S1256" s="14"/>
    </row>
    <row r="1257" spans="1:19" ht="24.95" customHeight="1" x14ac:dyDescent="0.25">
      <c r="A1257" s="49" t="str">
        <f>IF(C1257="","","BAN-01256")</f>
        <v/>
      </c>
      <c r="B1257" s="98" t="str">
        <f>IF(C1257="","",1256)</f>
        <v/>
      </c>
      <c r="C1257" s="50"/>
      <c r="D1257" s="49" t="str">
        <f t="shared" si="39"/>
        <v/>
      </c>
      <c r="E1257" s="92"/>
      <c r="F1257" s="49"/>
      <c r="G1257" s="14"/>
      <c r="H1257" s="14"/>
      <c r="I1257" s="76"/>
      <c r="J1257" s="73"/>
      <c r="K1257" s="74"/>
      <c r="L1257" s="72"/>
      <c r="M1257" s="72"/>
      <c r="N1257" s="72" t="str">
        <f>IF(AND(C1257="",J1257=0,K1257=0,L1257=0,M1257=0),"",CADASTROS!$B$4+SUM($J$2:J1257)+SUM($M$2:M1257)-SUM($K$2:K1257)-SUM($L$2:L1257))</f>
        <v/>
      </c>
      <c r="O1257" s="72" t="str">
        <f>IF(A1257="","",SUMIF(RATEIOS!$A$2:$A$3142,$A1257,RATEIOS!$F$2:$F$3142))</f>
        <v/>
      </c>
      <c r="P1257" s="15" t="str">
        <f t="shared" si="40"/>
        <v/>
      </c>
      <c r="Q1257" s="49" t="str">
        <f>IF(AND(J1257=0,K1257=0,L1257=0,M1257=0),"",IF(O1257=0,"PENDENTE DE RATEIO",IF(ABS(P1257)&gt;0.005,"DIVERGÊNCIA",IF(COUNTIF(RATEIOS!$A$2:$A$3142,$A1257)-COUNTIFS(RATEIOS!$A$2:$A$3142,$A1257,RATEIOS!$D$2:$D$3142,"&lt;&gt;")&gt;0,"NÃO CLASSIFICADO","RATEIO OK"))))</f>
        <v/>
      </c>
      <c r="R1257" s="49"/>
      <c r="S1257" s="14"/>
    </row>
    <row r="1258" spans="1:19" ht="24.95" customHeight="1" x14ac:dyDescent="0.25">
      <c r="A1258" s="49" t="str">
        <f>IF(C1258="","","BAN-01257")</f>
        <v/>
      </c>
      <c r="B1258" s="98" t="str">
        <f>IF(C1258="","",1257)</f>
        <v/>
      </c>
      <c r="C1258" s="50"/>
      <c r="D1258" s="49" t="str">
        <f t="shared" si="39"/>
        <v/>
      </c>
      <c r="E1258" s="92"/>
      <c r="F1258" s="49"/>
      <c r="G1258" s="14"/>
      <c r="H1258" s="14"/>
      <c r="I1258" s="76"/>
      <c r="J1258" s="73"/>
      <c r="K1258" s="74"/>
      <c r="L1258" s="72"/>
      <c r="M1258" s="72"/>
      <c r="N1258" s="72" t="str">
        <f>IF(AND(C1258="",J1258=0,K1258=0,L1258=0,M1258=0),"",CADASTROS!$B$4+SUM($J$2:J1258)+SUM($M$2:M1258)-SUM($K$2:K1258)-SUM($L$2:L1258))</f>
        <v/>
      </c>
      <c r="O1258" s="72" t="str">
        <f>IF(A1258="","",SUMIF(RATEIOS!$A$2:$A$3142,$A1258,RATEIOS!$F$2:$F$3142))</f>
        <v/>
      </c>
      <c r="P1258" s="15" t="str">
        <f t="shared" si="40"/>
        <v/>
      </c>
      <c r="Q1258" s="49" t="str">
        <f>IF(AND(J1258=0,K1258=0,L1258=0,M1258=0),"",IF(O1258=0,"PENDENTE DE RATEIO",IF(ABS(P1258)&gt;0.005,"DIVERGÊNCIA",IF(COUNTIF(RATEIOS!$A$2:$A$3142,$A1258)-COUNTIFS(RATEIOS!$A$2:$A$3142,$A1258,RATEIOS!$D$2:$D$3142,"&lt;&gt;")&gt;0,"NÃO CLASSIFICADO","RATEIO OK"))))</f>
        <v/>
      </c>
      <c r="R1258" s="49"/>
      <c r="S1258" s="14"/>
    </row>
    <row r="1259" spans="1:19" ht="24.95" customHeight="1" x14ac:dyDescent="0.25">
      <c r="A1259" s="49" t="str">
        <f>IF(C1259="","","BAN-01258")</f>
        <v/>
      </c>
      <c r="B1259" s="98" t="str">
        <f>IF(C1259="","",1258)</f>
        <v/>
      </c>
      <c r="C1259" s="50"/>
      <c r="D1259" s="49" t="str">
        <f t="shared" si="39"/>
        <v/>
      </c>
      <c r="E1259" s="92"/>
      <c r="F1259" s="49"/>
      <c r="G1259" s="14"/>
      <c r="H1259" s="14"/>
      <c r="I1259" s="76"/>
      <c r="J1259" s="73"/>
      <c r="K1259" s="74"/>
      <c r="L1259" s="72"/>
      <c r="M1259" s="72"/>
      <c r="N1259" s="72" t="str">
        <f>IF(AND(C1259="",J1259=0,K1259=0,L1259=0,M1259=0),"",CADASTROS!$B$4+SUM($J$2:J1259)+SUM($M$2:M1259)-SUM($K$2:K1259)-SUM($L$2:L1259))</f>
        <v/>
      </c>
      <c r="O1259" s="72" t="str">
        <f>IF(A1259="","",SUMIF(RATEIOS!$A$2:$A$3142,$A1259,RATEIOS!$F$2:$F$3142))</f>
        <v/>
      </c>
      <c r="P1259" s="15" t="str">
        <f t="shared" si="40"/>
        <v/>
      </c>
      <c r="Q1259" s="49" t="str">
        <f>IF(AND(J1259=0,K1259=0,L1259=0,M1259=0),"",IF(O1259=0,"PENDENTE DE RATEIO",IF(ABS(P1259)&gt;0.005,"DIVERGÊNCIA",IF(COUNTIF(RATEIOS!$A$2:$A$3142,$A1259)-COUNTIFS(RATEIOS!$A$2:$A$3142,$A1259,RATEIOS!$D$2:$D$3142,"&lt;&gt;")&gt;0,"NÃO CLASSIFICADO","RATEIO OK"))))</f>
        <v/>
      </c>
      <c r="R1259" s="49"/>
      <c r="S1259" s="14"/>
    </row>
    <row r="1260" spans="1:19" ht="24.95" customHeight="1" x14ac:dyDescent="0.25">
      <c r="A1260" s="49" t="str">
        <f>IF(C1260="","","BAN-01259")</f>
        <v/>
      </c>
      <c r="B1260" s="98" t="str">
        <f>IF(C1260="","",1259)</f>
        <v/>
      </c>
      <c r="C1260" s="50"/>
      <c r="D1260" s="49" t="str">
        <f t="shared" si="39"/>
        <v/>
      </c>
      <c r="E1260" s="92"/>
      <c r="F1260" s="49"/>
      <c r="G1260" s="14"/>
      <c r="H1260" s="14"/>
      <c r="I1260" s="76"/>
      <c r="J1260" s="73"/>
      <c r="K1260" s="74"/>
      <c r="L1260" s="72"/>
      <c r="M1260" s="72"/>
      <c r="N1260" s="72" t="str">
        <f>IF(AND(C1260="",J1260=0,K1260=0,L1260=0,M1260=0),"",CADASTROS!$B$4+SUM($J$2:J1260)+SUM($M$2:M1260)-SUM($K$2:K1260)-SUM($L$2:L1260))</f>
        <v/>
      </c>
      <c r="O1260" s="72" t="str">
        <f>IF(A1260="","",SUMIF(RATEIOS!$A$2:$A$3142,$A1260,RATEIOS!$F$2:$F$3142))</f>
        <v/>
      </c>
      <c r="P1260" s="15" t="str">
        <f t="shared" si="40"/>
        <v/>
      </c>
      <c r="Q1260" s="49" t="str">
        <f>IF(AND(J1260=0,K1260=0,L1260=0,M1260=0),"",IF(O1260=0,"PENDENTE DE RATEIO",IF(ABS(P1260)&gt;0.005,"DIVERGÊNCIA",IF(COUNTIF(RATEIOS!$A$2:$A$3142,$A1260)-COUNTIFS(RATEIOS!$A$2:$A$3142,$A1260,RATEIOS!$D$2:$D$3142,"&lt;&gt;")&gt;0,"NÃO CLASSIFICADO","RATEIO OK"))))</f>
        <v/>
      </c>
      <c r="R1260" s="49"/>
      <c r="S1260" s="14"/>
    </row>
    <row r="1261" spans="1:19" ht="24.95" customHeight="1" x14ac:dyDescent="0.25">
      <c r="A1261" s="49" t="str">
        <f>IF(C1261="","","BAN-01260")</f>
        <v/>
      </c>
      <c r="B1261" s="98" t="str">
        <f>IF(C1261="","",1260)</f>
        <v/>
      </c>
      <c r="C1261" s="50"/>
      <c r="D1261" s="49" t="str">
        <f t="shared" si="39"/>
        <v/>
      </c>
      <c r="E1261" s="92"/>
      <c r="F1261" s="49"/>
      <c r="G1261" s="14"/>
      <c r="H1261" s="14"/>
      <c r="I1261" s="76"/>
      <c r="J1261" s="73"/>
      <c r="K1261" s="74"/>
      <c r="L1261" s="72"/>
      <c r="M1261" s="72"/>
      <c r="N1261" s="72" t="str">
        <f>IF(AND(C1261="",J1261=0,K1261=0,L1261=0,M1261=0),"",CADASTROS!$B$4+SUM($J$2:J1261)+SUM($M$2:M1261)-SUM($K$2:K1261)-SUM($L$2:L1261))</f>
        <v/>
      </c>
      <c r="O1261" s="72" t="str">
        <f>IF(A1261="","",SUMIF(RATEIOS!$A$2:$A$3142,$A1261,RATEIOS!$F$2:$F$3142))</f>
        <v/>
      </c>
      <c r="P1261" s="15" t="str">
        <f t="shared" si="40"/>
        <v/>
      </c>
      <c r="Q1261" s="49" t="str">
        <f>IF(AND(J1261=0,K1261=0,L1261=0,M1261=0),"",IF(O1261=0,"PENDENTE DE RATEIO",IF(ABS(P1261)&gt;0.005,"DIVERGÊNCIA",IF(COUNTIF(RATEIOS!$A$2:$A$3142,$A1261)-COUNTIFS(RATEIOS!$A$2:$A$3142,$A1261,RATEIOS!$D$2:$D$3142,"&lt;&gt;")&gt;0,"NÃO CLASSIFICADO","RATEIO OK"))))</f>
        <v/>
      </c>
      <c r="R1261" s="49"/>
      <c r="S1261" s="14"/>
    </row>
    <row r="1262" spans="1:19" ht="24.95" customHeight="1" x14ac:dyDescent="0.25">
      <c r="A1262" s="49" t="str">
        <f>IF(C1262="","","BAN-01261")</f>
        <v/>
      </c>
      <c r="B1262" s="98" t="str">
        <f>IF(C1262="","",1261)</f>
        <v/>
      </c>
      <c r="C1262" s="50"/>
      <c r="D1262" s="49" t="str">
        <f t="shared" si="39"/>
        <v/>
      </c>
      <c r="E1262" s="92"/>
      <c r="F1262" s="49"/>
      <c r="G1262" s="14"/>
      <c r="H1262" s="14"/>
      <c r="I1262" s="76"/>
      <c r="J1262" s="73"/>
      <c r="K1262" s="74"/>
      <c r="L1262" s="72"/>
      <c r="M1262" s="72"/>
      <c r="N1262" s="72" t="str">
        <f>IF(AND(C1262="",J1262=0,K1262=0,L1262=0,M1262=0),"",CADASTROS!$B$4+SUM($J$2:J1262)+SUM($M$2:M1262)-SUM($K$2:K1262)-SUM($L$2:L1262))</f>
        <v/>
      </c>
      <c r="O1262" s="72" t="str">
        <f>IF(A1262="","",SUMIF(RATEIOS!$A$2:$A$3142,$A1262,RATEIOS!$F$2:$F$3142))</f>
        <v/>
      </c>
      <c r="P1262" s="15" t="str">
        <f t="shared" si="40"/>
        <v/>
      </c>
      <c r="Q1262" s="49" t="str">
        <f>IF(AND(J1262=0,K1262=0,L1262=0,M1262=0),"",IF(O1262=0,"PENDENTE DE RATEIO",IF(ABS(P1262)&gt;0.005,"DIVERGÊNCIA",IF(COUNTIF(RATEIOS!$A$2:$A$3142,$A1262)-COUNTIFS(RATEIOS!$A$2:$A$3142,$A1262,RATEIOS!$D$2:$D$3142,"&lt;&gt;")&gt;0,"NÃO CLASSIFICADO","RATEIO OK"))))</f>
        <v/>
      </c>
      <c r="R1262" s="49"/>
      <c r="S1262" s="14"/>
    </row>
    <row r="1263" spans="1:19" ht="24.95" customHeight="1" x14ac:dyDescent="0.25">
      <c r="A1263" s="49" t="str">
        <f>IF(C1263="","","BAN-01262")</f>
        <v/>
      </c>
      <c r="B1263" s="98" t="str">
        <f>IF(C1263="","",1262)</f>
        <v/>
      </c>
      <c r="C1263" s="50"/>
      <c r="D1263" s="49" t="str">
        <f t="shared" si="39"/>
        <v/>
      </c>
      <c r="E1263" s="92"/>
      <c r="F1263" s="49"/>
      <c r="G1263" s="14"/>
      <c r="H1263" s="14"/>
      <c r="I1263" s="76"/>
      <c r="J1263" s="73"/>
      <c r="K1263" s="74"/>
      <c r="L1263" s="72"/>
      <c r="M1263" s="72"/>
      <c r="N1263" s="72" t="str">
        <f>IF(AND(C1263="",J1263=0,K1263=0,L1263=0,M1263=0),"",CADASTROS!$B$4+SUM($J$2:J1263)+SUM($M$2:M1263)-SUM($K$2:K1263)-SUM($L$2:L1263))</f>
        <v/>
      </c>
      <c r="O1263" s="72" t="str">
        <f>IF(A1263="","",SUMIF(RATEIOS!$A$2:$A$3142,$A1263,RATEIOS!$F$2:$F$3142))</f>
        <v/>
      </c>
      <c r="P1263" s="15" t="str">
        <f t="shared" si="40"/>
        <v/>
      </c>
      <c r="Q1263" s="49" t="str">
        <f>IF(AND(J1263=0,K1263=0,L1263=0,M1263=0),"",IF(O1263=0,"PENDENTE DE RATEIO",IF(ABS(P1263)&gt;0.005,"DIVERGÊNCIA",IF(COUNTIF(RATEIOS!$A$2:$A$3142,$A1263)-COUNTIFS(RATEIOS!$A$2:$A$3142,$A1263,RATEIOS!$D$2:$D$3142,"&lt;&gt;")&gt;0,"NÃO CLASSIFICADO","RATEIO OK"))))</f>
        <v/>
      </c>
      <c r="R1263" s="49"/>
      <c r="S1263" s="14"/>
    </row>
    <row r="1264" spans="1:19" ht="24.95" customHeight="1" x14ac:dyDescent="0.25">
      <c r="A1264" s="49" t="str">
        <f>IF(C1264="","","BAN-01263")</f>
        <v/>
      </c>
      <c r="B1264" s="98" t="str">
        <f>IF(C1264="","",1263)</f>
        <v/>
      </c>
      <c r="C1264" s="50"/>
      <c r="D1264" s="49" t="str">
        <f t="shared" si="39"/>
        <v/>
      </c>
      <c r="E1264" s="92"/>
      <c r="F1264" s="49"/>
      <c r="G1264" s="14"/>
      <c r="H1264" s="14"/>
      <c r="I1264" s="76"/>
      <c r="J1264" s="73"/>
      <c r="K1264" s="74"/>
      <c r="L1264" s="72"/>
      <c r="M1264" s="72"/>
      <c r="N1264" s="72" t="str">
        <f>IF(AND(C1264="",J1264=0,K1264=0,L1264=0,M1264=0),"",CADASTROS!$B$4+SUM($J$2:J1264)+SUM($M$2:M1264)-SUM($K$2:K1264)-SUM($L$2:L1264))</f>
        <v/>
      </c>
      <c r="O1264" s="72" t="str">
        <f>IF(A1264="","",SUMIF(RATEIOS!$A$2:$A$3142,$A1264,RATEIOS!$F$2:$F$3142))</f>
        <v/>
      </c>
      <c r="P1264" s="15" t="str">
        <f t="shared" si="40"/>
        <v/>
      </c>
      <c r="Q1264" s="49" t="str">
        <f>IF(AND(J1264=0,K1264=0,L1264=0,M1264=0),"",IF(O1264=0,"PENDENTE DE RATEIO",IF(ABS(P1264)&gt;0.005,"DIVERGÊNCIA",IF(COUNTIF(RATEIOS!$A$2:$A$3142,$A1264)-COUNTIFS(RATEIOS!$A$2:$A$3142,$A1264,RATEIOS!$D$2:$D$3142,"&lt;&gt;")&gt;0,"NÃO CLASSIFICADO","RATEIO OK"))))</f>
        <v/>
      </c>
      <c r="R1264" s="49"/>
      <c r="S1264" s="14"/>
    </row>
    <row r="1265" spans="1:19" ht="24.95" customHeight="1" x14ac:dyDescent="0.25">
      <c r="A1265" s="49" t="str">
        <f>IF(C1265="","","BAN-01264")</f>
        <v/>
      </c>
      <c r="B1265" s="98" t="str">
        <f>IF(C1265="","",1264)</f>
        <v/>
      </c>
      <c r="C1265" s="50"/>
      <c r="D1265" s="49" t="str">
        <f t="shared" si="39"/>
        <v/>
      </c>
      <c r="E1265" s="92"/>
      <c r="F1265" s="49"/>
      <c r="G1265" s="14"/>
      <c r="H1265" s="14"/>
      <c r="I1265" s="76"/>
      <c r="J1265" s="73"/>
      <c r="K1265" s="74"/>
      <c r="L1265" s="72"/>
      <c r="M1265" s="72"/>
      <c r="N1265" s="72" t="str">
        <f>IF(AND(C1265="",J1265=0,K1265=0,L1265=0,M1265=0),"",CADASTROS!$B$4+SUM($J$2:J1265)+SUM($M$2:M1265)-SUM($K$2:K1265)-SUM($L$2:L1265))</f>
        <v/>
      </c>
      <c r="O1265" s="72" t="str">
        <f>IF(A1265="","",SUMIF(RATEIOS!$A$2:$A$3142,$A1265,RATEIOS!$F$2:$F$3142))</f>
        <v/>
      </c>
      <c r="P1265" s="15" t="str">
        <f t="shared" si="40"/>
        <v/>
      </c>
      <c r="Q1265" s="49" t="str">
        <f>IF(AND(J1265=0,K1265=0,L1265=0,M1265=0),"",IF(O1265=0,"PENDENTE DE RATEIO",IF(ABS(P1265)&gt;0.005,"DIVERGÊNCIA",IF(COUNTIF(RATEIOS!$A$2:$A$3142,$A1265)-COUNTIFS(RATEIOS!$A$2:$A$3142,$A1265,RATEIOS!$D$2:$D$3142,"&lt;&gt;")&gt;0,"NÃO CLASSIFICADO","RATEIO OK"))))</f>
        <v/>
      </c>
      <c r="R1265" s="49"/>
      <c r="S1265" s="14"/>
    </row>
    <row r="1266" spans="1:19" ht="24.95" customHeight="1" x14ac:dyDescent="0.25">
      <c r="A1266" s="49" t="str">
        <f>IF(C1266="","","BAN-01265")</f>
        <v/>
      </c>
      <c r="B1266" s="98" t="str">
        <f>IF(C1266="","",1265)</f>
        <v/>
      </c>
      <c r="C1266" s="50"/>
      <c r="D1266" s="49" t="str">
        <f t="shared" si="39"/>
        <v/>
      </c>
      <c r="E1266" s="92"/>
      <c r="F1266" s="49"/>
      <c r="G1266" s="14"/>
      <c r="H1266" s="14"/>
      <c r="I1266" s="76"/>
      <c r="J1266" s="73"/>
      <c r="K1266" s="74"/>
      <c r="L1266" s="72"/>
      <c r="M1266" s="72"/>
      <c r="N1266" s="72" t="str">
        <f>IF(AND(C1266="",J1266=0,K1266=0,L1266=0,M1266=0),"",CADASTROS!$B$4+SUM($J$2:J1266)+SUM($M$2:M1266)-SUM($K$2:K1266)-SUM($L$2:L1266))</f>
        <v/>
      </c>
      <c r="O1266" s="72" t="str">
        <f>IF(A1266="","",SUMIF(RATEIOS!$A$2:$A$3142,$A1266,RATEIOS!$F$2:$F$3142))</f>
        <v/>
      </c>
      <c r="P1266" s="15" t="str">
        <f t="shared" si="40"/>
        <v/>
      </c>
      <c r="Q1266" s="49" t="str">
        <f>IF(AND(J1266=0,K1266=0,L1266=0,M1266=0),"",IF(O1266=0,"PENDENTE DE RATEIO",IF(ABS(P1266)&gt;0.005,"DIVERGÊNCIA",IF(COUNTIF(RATEIOS!$A$2:$A$3142,$A1266)-COUNTIFS(RATEIOS!$A$2:$A$3142,$A1266,RATEIOS!$D$2:$D$3142,"&lt;&gt;")&gt;0,"NÃO CLASSIFICADO","RATEIO OK"))))</f>
        <v/>
      </c>
      <c r="R1266" s="49"/>
      <c r="S1266" s="14"/>
    </row>
    <row r="1267" spans="1:19" ht="24.95" customHeight="1" x14ac:dyDescent="0.25">
      <c r="A1267" s="49" t="str">
        <f>IF(C1267="","","BAN-01266")</f>
        <v/>
      </c>
      <c r="B1267" s="98" t="str">
        <f>IF(C1267="","",1266)</f>
        <v/>
      </c>
      <c r="C1267" s="50"/>
      <c r="D1267" s="49" t="str">
        <f t="shared" si="39"/>
        <v/>
      </c>
      <c r="E1267" s="92"/>
      <c r="F1267" s="49"/>
      <c r="G1267" s="14"/>
      <c r="H1267" s="14"/>
      <c r="I1267" s="76"/>
      <c r="J1267" s="73"/>
      <c r="K1267" s="74"/>
      <c r="L1267" s="72"/>
      <c r="M1267" s="72"/>
      <c r="N1267" s="72" t="str">
        <f>IF(AND(C1267="",J1267=0,K1267=0,L1267=0,M1267=0),"",CADASTROS!$B$4+SUM($J$2:J1267)+SUM($M$2:M1267)-SUM($K$2:K1267)-SUM($L$2:L1267))</f>
        <v/>
      </c>
      <c r="O1267" s="72" t="str">
        <f>IF(A1267="","",SUMIF(RATEIOS!$A$2:$A$3142,$A1267,RATEIOS!$F$2:$F$3142))</f>
        <v/>
      </c>
      <c r="P1267" s="15" t="str">
        <f t="shared" si="40"/>
        <v/>
      </c>
      <c r="Q1267" s="49" t="str">
        <f>IF(AND(J1267=0,K1267=0,L1267=0,M1267=0),"",IF(O1267=0,"PENDENTE DE RATEIO",IF(ABS(P1267)&gt;0.005,"DIVERGÊNCIA",IF(COUNTIF(RATEIOS!$A$2:$A$3142,$A1267)-COUNTIFS(RATEIOS!$A$2:$A$3142,$A1267,RATEIOS!$D$2:$D$3142,"&lt;&gt;")&gt;0,"NÃO CLASSIFICADO","RATEIO OK"))))</f>
        <v/>
      </c>
      <c r="R1267" s="49"/>
      <c r="S1267" s="14"/>
    </row>
    <row r="1268" spans="1:19" ht="24.95" customHeight="1" x14ac:dyDescent="0.25">
      <c r="A1268" s="49" t="str">
        <f>IF(C1268="","","BAN-01267")</f>
        <v/>
      </c>
      <c r="B1268" s="98" t="str">
        <f>IF(C1268="","",1267)</f>
        <v/>
      </c>
      <c r="C1268" s="50"/>
      <c r="D1268" s="49" t="str">
        <f t="shared" si="39"/>
        <v/>
      </c>
      <c r="E1268" s="92"/>
      <c r="F1268" s="49"/>
      <c r="G1268" s="14"/>
      <c r="H1268" s="14"/>
      <c r="I1268" s="76"/>
      <c r="J1268" s="73"/>
      <c r="K1268" s="74"/>
      <c r="L1268" s="72"/>
      <c r="M1268" s="72"/>
      <c r="N1268" s="72" t="str">
        <f>IF(AND(C1268="",J1268=0,K1268=0,L1268=0,M1268=0),"",CADASTROS!$B$4+SUM($J$2:J1268)+SUM($M$2:M1268)-SUM($K$2:K1268)-SUM($L$2:L1268))</f>
        <v/>
      </c>
      <c r="O1268" s="72" t="str">
        <f>IF(A1268="","",SUMIF(RATEIOS!$A$2:$A$3142,$A1268,RATEIOS!$F$2:$F$3142))</f>
        <v/>
      </c>
      <c r="P1268" s="15" t="str">
        <f t="shared" si="40"/>
        <v/>
      </c>
      <c r="Q1268" s="49" t="str">
        <f>IF(AND(J1268=0,K1268=0,L1268=0,M1268=0),"",IF(O1268=0,"PENDENTE DE RATEIO",IF(ABS(P1268)&gt;0.005,"DIVERGÊNCIA",IF(COUNTIF(RATEIOS!$A$2:$A$3142,$A1268)-COUNTIFS(RATEIOS!$A$2:$A$3142,$A1268,RATEIOS!$D$2:$D$3142,"&lt;&gt;")&gt;0,"NÃO CLASSIFICADO","RATEIO OK"))))</f>
        <v/>
      </c>
      <c r="R1268" s="49"/>
      <c r="S1268" s="14"/>
    </row>
    <row r="1269" spans="1:19" ht="24.95" customHeight="1" x14ac:dyDescent="0.25">
      <c r="A1269" s="49" t="str">
        <f>IF(C1269="","","BAN-01268")</f>
        <v/>
      </c>
      <c r="B1269" s="98" t="str">
        <f>IF(C1269="","",1268)</f>
        <v/>
      </c>
      <c r="C1269" s="50"/>
      <c r="D1269" s="49" t="str">
        <f t="shared" si="39"/>
        <v/>
      </c>
      <c r="E1269" s="92"/>
      <c r="F1269" s="49"/>
      <c r="G1269" s="14"/>
      <c r="H1269" s="14"/>
      <c r="I1269" s="76"/>
      <c r="J1269" s="73"/>
      <c r="K1269" s="74"/>
      <c r="L1269" s="72"/>
      <c r="M1269" s="72"/>
      <c r="N1269" s="72" t="str">
        <f>IF(AND(C1269="",J1269=0,K1269=0,L1269=0,M1269=0),"",CADASTROS!$B$4+SUM($J$2:J1269)+SUM($M$2:M1269)-SUM($K$2:K1269)-SUM($L$2:L1269))</f>
        <v/>
      </c>
      <c r="O1269" s="72" t="str">
        <f>IF(A1269="","",SUMIF(RATEIOS!$A$2:$A$3142,$A1269,RATEIOS!$F$2:$F$3142))</f>
        <v/>
      </c>
      <c r="P1269" s="15" t="str">
        <f t="shared" si="40"/>
        <v/>
      </c>
      <c r="Q1269" s="49" t="str">
        <f>IF(AND(J1269=0,K1269=0,L1269=0,M1269=0),"",IF(O1269=0,"PENDENTE DE RATEIO",IF(ABS(P1269)&gt;0.005,"DIVERGÊNCIA",IF(COUNTIF(RATEIOS!$A$2:$A$3142,$A1269)-COUNTIFS(RATEIOS!$A$2:$A$3142,$A1269,RATEIOS!$D$2:$D$3142,"&lt;&gt;")&gt;0,"NÃO CLASSIFICADO","RATEIO OK"))))</f>
        <v/>
      </c>
      <c r="R1269" s="49"/>
      <c r="S1269" s="14"/>
    </row>
    <row r="1270" spans="1:19" ht="24.95" customHeight="1" x14ac:dyDescent="0.25">
      <c r="A1270" s="49" t="str">
        <f>IF(C1270="","","BAN-01269")</f>
        <v/>
      </c>
      <c r="B1270" s="98" t="str">
        <f>IF(C1270="","",1269)</f>
        <v/>
      </c>
      <c r="C1270" s="50"/>
      <c r="D1270" s="49" t="str">
        <f t="shared" si="39"/>
        <v/>
      </c>
      <c r="E1270" s="92"/>
      <c r="F1270" s="49"/>
      <c r="G1270" s="14"/>
      <c r="H1270" s="14"/>
      <c r="I1270" s="76"/>
      <c r="J1270" s="73"/>
      <c r="K1270" s="74"/>
      <c r="L1270" s="72"/>
      <c r="M1270" s="72"/>
      <c r="N1270" s="72" t="str">
        <f>IF(AND(C1270="",J1270=0,K1270=0,L1270=0,M1270=0),"",CADASTROS!$B$4+SUM($J$2:J1270)+SUM($M$2:M1270)-SUM($K$2:K1270)-SUM($L$2:L1270))</f>
        <v/>
      </c>
      <c r="O1270" s="72" t="str">
        <f>IF(A1270="","",SUMIF(RATEIOS!$A$2:$A$3142,$A1270,RATEIOS!$F$2:$F$3142))</f>
        <v/>
      </c>
      <c r="P1270" s="15" t="str">
        <f t="shared" si="40"/>
        <v/>
      </c>
      <c r="Q1270" s="49" t="str">
        <f>IF(AND(J1270=0,K1270=0,L1270=0,M1270=0),"",IF(O1270=0,"PENDENTE DE RATEIO",IF(ABS(P1270)&gt;0.005,"DIVERGÊNCIA",IF(COUNTIF(RATEIOS!$A$2:$A$3142,$A1270)-COUNTIFS(RATEIOS!$A$2:$A$3142,$A1270,RATEIOS!$D$2:$D$3142,"&lt;&gt;")&gt;0,"NÃO CLASSIFICADO","RATEIO OK"))))</f>
        <v/>
      </c>
      <c r="R1270" s="49"/>
      <c r="S1270" s="14"/>
    </row>
    <row r="1271" spans="1:19" ht="24.95" customHeight="1" x14ac:dyDescent="0.25">
      <c r="A1271" s="49" t="str">
        <f>IF(C1271="","","BAN-01270")</f>
        <v/>
      </c>
      <c r="B1271" s="98" t="str">
        <f>IF(C1271="","",1270)</f>
        <v/>
      </c>
      <c r="C1271" s="50"/>
      <c r="D1271" s="49" t="str">
        <f t="shared" si="39"/>
        <v/>
      </c>
      <c r="E1271" s="92"/>
      <c r="F1271" s="49"/>
      <c r="G1271" s="14"/>
      <c r="H1271" s="14"/>
      <c r="I1271" s="76"/>
      <c r="J1271" s="73"/>
      <c r="K1271" s="74"/>
      <c r="L1271" s="72"/>
      <c r="M1271" s="72"/>
      <c r="N1271" s="72" t="str">
        <f>IF(AND(C1271="",J1271=0,K1271=0,L1271=0,M1271=0),"",CADASTROS!$B$4+SUM($J$2:J1271)+SUM($M$2:M1271)-SUM($K$2:K1271)-SUM($L$2:L1271))</f>
        <v/>
      </c>
      <c r="O1271" s="72" t="str">
        <f>IF(A1271="","",SUMIF(RATEIOS!$A$2:$A$3142,$A1271,RATEIOS!$F$2:$F$3142))</f>
        <v/>
      </c>
      <c r="P1271" s="15" t="str">
        <f t="shared" si="40"/>
        <v/>
      </c>
      <c r="Q1271" s="49" t="str">
        <f>IF(AND(J1271=0,K1271=0,L1271=0,M1271=0),"",IF(O1271=0,"PENDENTE DE RATEIO",IF(ABS(P1271)&gt;0.005,"DIVERGÊNCIA",IF(COUNTIF(RATEIOS!$A$2:$A$3142,$A1271)-COUNTIFS(RATEIOS!$A$2:$A$3142,$A1271,RATEIOS!$D$2:$D$3142,"&lt;&gt;")&gt;0,"NÃO CLASSIFICADO","RATEIO OK"))))</f>
        <v/>
      </c>
      <c r="R1271" s="49"/>
      <c r="S1271" s="14"/>
    </row>
    <row r="1272" spans="1:19" ht="24.95" customHeight="1" x14ac:dyDescent="0.25">
      <c r="A1272" s="49" t="str">
        <f>IF(C1272="","","BAN-01271")</f>
        <v/>
      </c>
      <c r="B1272" s="98" t="str">
        <f>IF(C1272="","",1271)</f>
        <v/>
      </c>
      <c r="C1272" s="50"/>
      <c r="D1272" s="49" t="str">
        <f t="shared" si="39"/>
        <v/>
      </c>
      <c r="E1272" s="92"/>
      <c r="F1272" s="49"/>
      <c r="G1272" s="14"/>
      <c r="H1272" s="14"/>
      <c r="I1272" s="76"/>
      <c r="J1272" s="73"/>
      <c r="K1272" s="74"/>
      <c r="L1272" s="72"/>
      <c r="M1272" s="72"/>
      <c r="N1272" s="72" t="str">
        <f>IF(AND(C1272="",J1272=0,K1272=0,L1272=0,M1272=0),"",CADASTROS!$B$4+SUM($J$2:J1272)+SUM($M$2:M1272)-SUM($K$2:K1272)-SUM($L$2:L1272))</f>
        <v/>
      </c>
      <c r="O1272" s="72" t="str">
        <f>IF(A1272="","",SUMIF(RATEIOS!$A$2:$A$3142,$A1272,RATEIOS!$F$2:$F$3142))</f>
        <v/>
      </c>
      <c r="P1272" s="15" t="str">
        <f t="shared" si="40"/>
        <v/>
      </c>
      <c r="Q1272" s="49" t="str">
        <f>IF(AND(J1272=0,K1272=0,L1272=0,M1272=0),"",IF(O1272=0,"PENDENTE DE RATEIO",IF(ABS(P1272)&gt;0.005,"DIVERGÊNCIA",IF(COUNTIF(RATEIOS!$A$2:$A$3142,$A1272)-COUNTIFS(RATEIOS!$A$2:$A$3142,$A1272,RATEIOS!$D$2:$D$3142,"&lt;&gt;")&gt;0,"NÃO CLASSIFICADO","RATEIO OK"))))</f>
        <v/>
      </c>
      <c r="R1272" s="49"/>
      <c r="S1272" s="14"/>
    </row>
    <row r="1273" spans="1:19" ht="24.95" customHeight="1" x14ac:dyDescent="0.25">
      <c r="A1273" s="49" t="str">
        <f>IF(C1273="","","BAN-01272")</f>
        <v/>
      </c>
      <c r="B1273" s="98" t="str">
        <f>IF(C1273="","",1272)</f>
        <v/>
      </c>
      <c r="C1273" s="50"/>
      <c r="D1273" s="49" t="str">
        <f t="shared" si="39"/>
        <v/>
      </c>
      <c r="E1273" s="92"/>
      <c r="F1273" s="49"/>
      <c r="G1273" s="14"/>
      <c r="H1273" s="14"/>
      <c r="I1273" s="76"/>
      <c r="J1273" s="73"/>
      <c r="K1273" s="74"/>
      <c r="L1273" s="72"/>
      <c r="M1273" s="72"/>
      <c r="N1273" s="72" t="str">
        <f>IF(AND(C1273="",J1273=0,K1273=0,L1273=0,M1273=0),"",CADASTROS!$B$4+SUM($J$2:J1273)+SUM($M$2:M1273)-SUM($K$2:K1273)-SUM($L$2:L1273))</f>
        <v/>
      </c>
      <c r="O1273" s="72" t="str">
        <f>IF(A1273="","",SUMIF(RATEIOS!$A$2:$A$3142,$A1273,RATEIOS!$F$2:$F$3142))</f>
        <v/>
      </c>
      <c r="P1273" s="15" t="str">
        <f t="shared" si="40"/>
        <v/>
      </c>
      <c r="Q1273" s="49" t="str">
        <f>IF(AND(J1273=0,K1273=0,L1273=0,M1273=0),"",IF(O1273=0,"PENDENTE DE RATEIO",IF(ABS(P1273)&gt;0.005,"DIVERGÊNCIA",IF(COUNTIF(RATEIOS!$A$2:$A$3142,$A1273)-COUNTIFS(RATEIOS!$A$2:$A$3142,$A1273,RATEIOS!$D$2:$D$3142,"&lt;&gt;")&gt;0,"NÃO CLASSIFICADO","RATEIO OK"))))</f>
        <v/>
      </c>
      <c r="R1273" s="49"/>
      <c r="S1273" s="14"/>
    </row>
    <row r="1274" spans="1:19" ht="24.95" customHeight="1" x14ac:dyDescent="0.25">
      <c r="A1274" s="49" t="str">
        <f>IF(C1274="","","BAN-01273")</f>
        <v/>
      </c>
      <c r="B1274" s="98" t="str">
        <f>IF(C1274="","",1273)</f>
        <v/>
      </c>
      <c r="C1274" s="50"/>
      <c r="D1274" s="49" t="str">
        <f t="shared" si="39"/>
        <v/>
      </c>
      <c r="E1274" s="92"/>
      <c r="F1274" s="49"/>
      <c r="G1274" s="14"/>
      <c r="H1274" s="14"/>
      <c r="I1274" s="76"/>
      <c r="J1274" s="73"/>
      <c r="K1274" s="74"/>
      <c r="L1274" s="72"/>
      <c r="M1274" s="72"/>
      <c r="N1274" s="72" t="str">
        <f>IF(AND(C1274="",J1274=0,K1274=0,L1274=0,M1274=0),"",CADASTROS!$B$4+SUM($J$2:J1274)+SUM($M$2:M1274)-SUM($K$2:K1274)-SUM($L$2:L1274))</f>
        <v/>
      </c>
      <c r="O1274" s="72" t="str">
        <f>IF(A1274="","",SUMIF(RATEIOS!$A$2:$A$3142,$A1274,RATEIOS!$F$2:$F$3142))</f>
        <v/>
      </c>
      <c r="P1274" s="15" t="str">
        <f t="shared" si="40"/>
        <v/>
      </c>
      <c r="Q1274" s="49" t="str">
        <f>IF(AND(J1274=0,K1274=0,L1274=0,M1274=0),"",IF(O1274=0,"PENDENTE DE RATEIO",IF(ABS(P1274)&gt;0.005,"DIVERGÊNCIA",IF(COUNTIF(RATEIOS!$A$2:$A$3142,$A1274)-COUNTIFS(RATEIOS!$A$2:$A$3142,$A1274,RATEIOS!$D$2:$D$3142,"&lt;&gt;")&gt;0,"NÃO CLASSIFICADO","RATEIO OK"))))</f>
        <v/>
      </c>
      <c r="R1274" s="49"/>
      <c r="S1274" s="14"/>
    </row>
    <row r="1275" spans="1:19" ht="24.95" customHeight="1" x14ac:dyDescent="0.25">
      <c r="A1275" s="49" t="str">
        <f>IF(C1275="","","BAN-01274")</f>
        <v/>
      </c>
      <c r="B1275" s="98" t="str">
        <f>IF(C1275="","",1274)</f>
        <v/>
      </c>
      <c r="C1275" s="50"/>
      <c r="D1275" s="49" t="str">
        <f t="shared" si="39"/>
        <v/>
      </c>
      <c r="E1275" s="92"/>
      <c r="F1275" s="49"/>
      <c r="G1275" s="14"/>
      <c r="H1275" s="14"/>
      <c r="I1275" s="76"/>
      <c r="J1275" s="73"/>
      <c r="K1275" s="74"/>
      <c r="L1275" s="72"/>
      <c r="M1275" s="72"/>
      <c r="N1275" s="72" t="str">
        <f>IF(AND(C1275="",J1275=0,K1275=0,L1275=0,M1275=0),"",CADASTROS!$B$4+SUM($J$2:J1275)+SUM($M$2:M1275)-SUM($K$2:K1275)-SUM($L$2:L1275))</f>
        <v/>
      </c>
      <c r="O1275" s="72" t="str">
        <f>IF(A1275="","",SUMIF(RATEIOS!$A$2:$A$3142,$A1275,RATEIOS!$F$2:$F$3142))</f>
        <v/>
      </c>
      <c r="P1275" s="15" t="str">
        <f t="shared" si="40"/>
        <v/>
      </c>
      <c r="Q1275" s="49" t="str">
        <f>IF(AND(J1275=0,K1275=0,L1275=0,M1275=0),"",IF(O1275=0,"PENDENTE DE RATEIO",IF(ABS(P1275)&gt;0.005,"DIVERGÊNCIA",IF(COUNTIF(RATEIOS!$A$2:$A$3142,$A1275)-COUNTIFS(RATEIOS!$A$2:$A$3142,$A1275,RATEIOS!$D$2:$D$3142,"&lt;&gt;")&gt;0,"NÃO CLASSIFICADO","RATEIO OK"))))</f>
        <v/>
      </c>
      <c r="R1275" s="49"/>
      <c r="S1275" s="14"/>
    </row>
    <row r="1276" spans="1:19" ht="24.95" customHeight="1" x14ac:dyDescent="0.25">
      <c r="A1276" s="49" t="str">
        <f>IF(C1276="","","BAN-01275")</f>
        <v/>
      </c>
      <c r="B1276" s="98" t="str">
        <f>IF(C1276="","",1275)</f>
        <v/>
      </c>
      <c r="C1276" s="50"/>
      <c r="D1276" s="49" t="str">
        <f t="shared" si="39"/>
        <v/>
      </c>
      <c r="E1276" s="92"/>
      <c r="F1276" s="49"/>
      <c r="G1276" s="14"/>
      <c r="H1276" s="14"/>
      <c r="I1276" s="76"/>
      <c r="J1276" s="73"/>
      <c r="K1276" s="74"/>
      <c r="L1276" s="72"/>
      <c r="M1276" s="72"/>
      <c r="N1276" s="72" t="str">
        <f>IF(AND(C1276="",J1276=0,K1276=0,L1276=0,M1276=0),"",CADASTROS!$B$4+SUM($J$2:J1276)+SUM($M$2:M1276)-SUM($K$2:K1276)-SUM($L$2:L1276))</f>
        <v/>
      </c>
      <c r="O1276" s="72" t="str">
        <f>IF(A1276="","",SUMIF(RATEIOS!$A$2:$A$3142,$A1276,RATEIOS!$F$2:$F$3142))</f>
        <v/>
      </c>
      <c r="P1276" s="15" t="str">
        <f t="shared" si="40"/>
        <v/>
      </c>
      <c r="Q1276" s="49" t="str">
        <f>IF(AND(J1276=0,K1276=0,L1276=0,M1276=0),"",IF(O1276=0,"PENDENTE DE RATEIO",IF(ABS(P1276)&gt;0.005,"DIVERGÊNCIA",IF(COUNTIF(RATEIOS!$A$2:$A$3142,$A1276)-COUNTIFS(RATEIOS!$A$2:$A$3142,$A1276,RATEIOS!$D$2:$D$3142,"&lt;&gt;")&gt;0,"NÃO CLASSIFICADO","RATEIO OK"))))</f>
        <v/>
      </c>
      <c r="R1276" s="49"/>
      <c r="S1276" s="14"/>
    </row>
    <row r="1277" spans="1:19" ht="24.95" customHeight="1" x14ac:dyDescent="0.25">
      <c r="A1277" s="49" t="str">
        <f>IF(C1277="","","BAN-01276")</f>
        <v/>
      </c>
      <c r="B1277" s="98" t="str">
        <f>IF(C1277="","",1276)</f>
        <v/>
      </c>
      <c r="C1277" s="50"/>
      <c r="D1277" s="49" t="str">
        <f t="shared" si="39"/>
        <v/>
      </c>
      <c r="E1277" s="92"/>
      <c r="F1277" s="49"/>
      <c r="G1277" s="14"/>
      <c r="H1277" s="14"/>
      <c r="I1277" s="76"/>
      <c r="J1277" s="73"/>
      <c r="K1277" s="74"/>
      <c r="L1277" s="72"/>
      <c r="M1277" s="72"/>
      <c r="N1277" s="72" t="str">
        <f>IF(AND(C1277="",J1277=0,K1277=0,L1277=0,M1277=0),"",CADASTROS!$B$4+SUM($J$2:J1277)+SUM($M$2:M1277)-SUM($K$2:K1277)-SUM($L$2:L1277))</f>
        <v/>
      </c>
      <c r="O1277" s="72" t="str">
        <f>IF(A1277="","",SUMIF(RATEIOS!$A$2:$A$3142,$A1277,RATEIOS!$F$2:$F$3142))</f>
        <v/>
      </c>
      <c r="P1277" s="15" t="str">
        <f t="shared" si="40"/>
        <v/>
      </c>
      <c r="Q1277" s="49" t="str">
        <f>IF(AND(J1277=0,K1277=0,L1277=0,M1277=0),"",IF(O1277=0,"PENDENTE DE RATEIO",IF(ABS(P1277)&gt;0.005,"DIVERGÊNCIA",IF(COUNTIF(RATEIOS!$A$2:$A$3142,$A1277)-COUNTIFS(RATEIOS!$A$2:$A$3142,$A1277,RATEIOS!$D$2:$D$3142,"&lt;&gt;")&gt;0,"NÃO CLASSIFICADO","RATEIO OK"))))</f>
        <v/>
      </c>
      <c r="R1277" s="49"/>
      <c r="S1277" s="14"/>
    </row>
    <row r="1278" spans="1:19" ht="24.95" customHeight="1" x14ac:dyDescent="0.25">
      <c r="A1278" s="49" t="str">
        <f>IF(C1278="","","BAN-01277")</f>
        <v/>
      </c>
      <c r="B1278" s="98" t="str">
        <f>IF(C1278="","",1277)</f>
        <v/>
      </c>
      <c r="C1278" s="50"/>
      <c r="D1278" s="49" t="str">
        <f t="shared" si="39"/>
        <v/>
      </c>
      <c r="E1278" s="92"/>
      <c r="F1278" s="49"/>
      <c r="G1278" s="14"/>
      <c r="H1278" s="14"/>
      <c r="I1278" s="76"/>
      <c r="J1278" s="73"/>
      <c r="K1278" s="74"/>
      <c r="L1278" s="72"/>
      <c r="M1278" s="72"/>
      <c r="N1278" s="72" t="str">
        <f>IF(AND(C1278="",J1278=0,K1278=0,L1278=0,M1278=0),"",CADASTROS!$B$4+SUM($J$2:J1278)+SUM($M$2:M1278)-SUM($K$2:K1278)-SUM($L$2:L1278))</f>
        <v/>
      </c>
      <c r="O1278" s="72" t="str">
        <f>IF(A1278="","",SUMIF(RATEIOS!$A$2:$A$3142,$A1278,RATEIOS!$F$2:$F$3142))</f>
        <v/>
      </c>
      <c r="P1278" s="15" t="str">
        <f t="shared" si="40"/>
        <v/>
      </c>
      <c r="Q1278" s="49" t="str">
        <f>IF(AND(J1278=0,K1278=0,L1278=0,M1278=0),"",IF(O1278=0,"PENDENTE DE RATEIO",IF(ABS(P1278)&gt;0.005,"DIVERGÊNCIA",IF(COUNTIF(RATEIOS!$A$2:$A$3142,$A1278)-COUNTIFS(RATEIOS!$A$2:$A$3142,$A1278,RATEIOS!$D$2:$D$3142,"&lt;&gt;")&gt;0,"NÃO CLASSIFICADO","RATEIO OK"))))</f>
        <v/>
      </c>
      <c r="R1278" s="49"/>
      <c r="S1278" s="14"/>
    </row>
    <row r="1279" spans="1:19" ht="24.95" customHeight="1" x14ac:dyDescent="0.25">
      <c r="A1279" s="49" t="str">
        <f>IF(C1279="","","BAN-01278")</f>
        <v/>
      </c>
      <c r="B1279" s="98" t="str">
        <f>IF(C1279="","",1278)</f>
        <v/>
      </c>
      <c r="C1279" s="50"/>
      <c r="D1279" s="49" t="str">
        <f t="shared" si="39"/>
        <v/>
      </c>
      <c r="E1279" s="92"/>
      <c r="F1279" s="49"/>
      <c r="G1279" s="14"/>
      <c r="H1279" s="14"/>
      <c r="I1279" s="76"/>
      <c r="J1279" s="73"/>
      <c r="K1279" s="74"/>
      <c r="L1279" s="72"/>
      <c r="M1279" s="72"/>
      <c r="N1279" s="72" t="str">
        <f>IF(AND(C1279="",J1279=0,K1279=0,L1279=0,M1279=0),"",CADASTROS!$B$4+SUM($J$2:J1279)+SUM($M$2:M1279)-SUM($K$2:K1279)-SUM($L$2:L1279))</f>
        <v/>
      </c>
      <c r="O1279" s="72" t="str">
        <f>IF(A1279="","",SUMIF(RATEIOS!$A$2:$A$3142,$A1279,RATEIOS!$F$2:$F$3142))</f>
        <v/>
      </c>
      <c r="P1279" s="15" t="str">
        <f t="shared" si="40"/>
        <v/>
      </c>
      <c r="Q1279" s="49" t="str">
        <f>IF(AND(J1279=0,K1279=0,L1279=0,M1279=0),"",IF(O1279=0,"PENDENTE DE RATEIO",IF(ABS(P1279)&gt;0.005,"DIVERGÊNCIA",IF(COUNTIF(RATEIOS!$A$2:$A$3142,$A1279)-COUNTIFS(RATEIOS!$A$2:$A$3142,$A1279,RATEIOS!$D$2:$D$3142,"&lt;&gt;")&gt;0,"NÃO CLASSIFICADO","RATEIO OK"))))</f>
        <v/>
      </c>
      <c r="R1279" s="49"/>
      <c r="S1279" s="14"/>
    </row>
    <row r="1280" spans="1:19" ht="24.95" customHeight="1" x14ac:dyDescent="0.25">
      <c r="A1280" s="49" t="str">
        <f>IF(C1280="","","BAN-01279")</f>
        <v/>
      </c>
      <c r="B1280" s="98" t="str">
        <f>IF(C1280="","",1279)</f>
        <v/>
      </c>
      <c r="C1280" s="50"/>
      <c r="D1280" s="49" t="str">
        <f t="shared" si="39"/>
        <v/>
      </c>
      <c r="E1280" s="92"/>
      <c r="F1280" s="49"/>
      <c r="G1280" s="14"/>
      <c r="H1280" s="14"/>
      <c r="I1280" s="76"/>
      <c r="J1280" s="73"/>
      <c r="K1280" s="74"/>
      <c r="L1280" s="72"/>
      <c r="M1280" s="72"/>
      <c r="N1280" s="72" t="str">
        <f>IF(AND(C1280="",J1280=0,K1280=0,L1280=0,M1280=0),"",CADASTROS!$B$4+SUM($J$2:J1280)+SUM($M$2:M1280)-SUM($K$2:K1280)-SUM($L$2:L1280))</f>
        <v/>
      </c>
      <c r="O1280" s="72" t="str">
        <f>IF(A1280="","",SUMIF(RATEIOS!$A$2:$A$3142,$A1280,RATEIOS!$F$2:$F$3142))</f>
        <v/>
      </c>
      <c r="P1280" s="15" t="str">
        <f t="shared" si="40"/>
        <v/>
      </c>
      <c r="Q1280" s="49" t="str">
        <f>IF(AND(J1280=0,K1280=0,L1280=0,M1280=0),"",IF(O1280=0,"PENDENTE DE RATEIO",IF(ABS(P1280)&gt;0.005,"DIVERGÊNCIA",IF(COUNTIF(RATEIOS!$A$2:$A$3142,$A1280)-COUNTIFS(RATEIOS!$A$2:$A$3142,$A1280,RATEIOS!$D$2:$D$3142,"&lt;&gt;")&gt;0,"NÃO CLASSIFICADO","RATEIO OK"))))</f>
        <v/>
      </c>
      <c r="R1280" s="49"/>
      <c r="S1280" s="14"/>
    </row>
    <row r="1281" spans="1:19" ht="24.95" customHeight="1" x14ac:dyDescent="0.25">
      <c r="A1281" s="49" t="str">
        <f>IF(C1281="","","BAN-01280")</f>
        <v/>
      </c>
      <c r="B1281" s="98" t="str">
        <f>IF(C1281="","",1280)</f>
        <v/>
      </c>
      <c r="C1281" s="50"/>
      <c r="D1281" s="49" t="str">
        <f t="shared" si="39"/>
        <v/>
      </c>
      <c r="E1281" s="92"/>
      <c r="F1281" s="49"/>
      <c r="G1281" s="14"/>
      <c r="H1281" s="14"/>
      <c r="I1281" s="76"/>
      <c r="J1281" s="73"/>
      <c r="K1281" s="74"/>
      <c r="L1281" s="72"/>
      <c r="M1281" s="72"/>
      <c r="N1281" s="72" t="str">
        <f>IF(AND(C1281="",J1281=0,K1281=0,L1281=0,M1281=0),"",CADASTROS!$B$4+SUM($J$2:J1281)+SUM($M$2:M1281)-SUM($K$2:K1281)-SUM($L$2:L1281))</f>
        <v/>
      </c>
      <c r="O1281" s="72" t="str">
        <f>IF(A1281="","",SUMIF(RATEIOS!$A$2:$A$3142,$A1281,RATEIOS!$F$2:$F$3142))</f>
        <v/>
      </c>
      <c r="P1281" s="15" t="str">
        <f t="shared" si="40"/>
        <v/>
      </c>
      <c r="Q1281" s="49" t="str">
        <f>IF(AND(J1281=0,K1281=0,L1281=0,M1281=0),"",IF(O1281=0,"PENDENTE DE RATEIO",IF(ABS(P1281)&gt;0.005,"DIVERGÊNCIA",IF(COUNTIF(RATEIOS!$A$2:$A$3142,$A1281)-COUNTIFS(RATEIOS!$A$2:$A$3142,$A1281,RATEIOS!$D$2:$D$3142,"&lt;&gt;")&gt;0,"NÃO CLASSIFICADO","RATEIO OK"))))</f>
        <v/>
      </c>
      <c r="R1281" s="49"/>
      <c r="S1281" s="14"/>
    </row>
    <row r="1282" spans="1:19" ht="24.95" customHeight="1" x14ac:dyDescent="0.25">
      <c r="A1282" s="49" t="str">
        <f>IF(C1282="","","BAN-01281")</f>
        <v/>
      </c>
      <c r="B1282" s="98" t="str">
        <f>IF(C1282="","",1281)</f>
        <v/>
      </c>
      <c r="C1282" s="50"/>
      <c r="D1282" s="49" t="str">
        <f t="shared" ref="D1282:D1345" si="41">IF(C1282="","",MONTH(C1282))</f>
        <v/>
      </c>
      <c r="E1282" s="92"/>
      <c r="F1282" s="49"/>
      <c r="G1282" s="14"/>
      <c r="H1282" s="14"/>
      <c r="I1282" s="76"/>
      <c r="J1282" s="73"/>
      <c r="K1282" s="74"/>
      <c r="L1282" s="72"/>
      <c r="M1282" s="72"/>
      <c r="N1282" s="72" t="str">
        <f>IF(AND(C1282="",J1282=0,K1282=0,L1282=0,M1282=0),"",CADASTROS!$B$4+SUM($J$2:J1282)+SUM($M$2:M1282)-SUM($K$2:K1282)-SUM($L$2:L1282))</f>
        <v/>
      </c>
      <c r="O1282" s="72" t="str">
        <f>IF(A1282="","",SUMIF(RATEIOS!$A$2:$A$3142,$A1282,RATEIOS!$F$2:$F$3142))</f>
        <v/>
      </c>
      <c r="P1282" s="15" t="str">
        <f t="shared" ref="P1282:P1345" si="42">IF(A1282="","",(J1282+K1282+L1282+M1282)-O1282)</f>
        <v/>
      </c>
      <c r="Q1282" s="49" t="str">
        <f>IF(AND(J1282=0,K1282=0,L1282=0,M1282=0),"",IF(O1282=0,"PENDENTE DE RATEIO",IF(ABS(P1282)&gt;0.005,"DIVERGÊNCIA",IF(COUNTIF(RATEIOS!$A$2:$A$3142,$A1282)-COUNTIFS(RATEIOS!$A$2:$A$3142,$A1282,RATEIOS!$D$2:$D$3142,"&lt;&gt;")&gt;0,"NÃO CLASSIFICADO","RATEIO OK"))))</f>
        <v/>
      </c>
      <c r="R1282" s="49"/>
      <c r="S1282" s="14"/>
    </row>
    <row r="1283" spans="1:19" ht="24.95" customHeight="1" x14ac:dyDescent="0.25">
      <c r="A1283" s="49" t="str">
        <f>IF(C1283="","","BAN-01282")</f>
        <v/>
      </c>
      <c r="B1283" s="98" t="str">
        <f>IF(C1283="","",1282)</f>
        <v/>
      </c>
      <c r="C1283" s="50"/>
      <c r="D1283" s="49" t="str">
        <f t="shared" si="41"/>
        <v/>
      </c>
      <c r="E1283" s="92"/>
      <c r="F1283" s="49"/>
      <c r="G1283" s="14"/>
      <c r="H1283" s="14"/>
      <c r="I1283" s="76"/>
      <c r="J1283" s="73"/>
      <c r="K1283" s="74"/>
      <c r="L1283" s="72"/>
      <c r="M1283" s="72"/>
      <c r="N1283" s="72" t="str">
        <f>IF(AND(C1283="",J1283=0,K1283=0,L1283=0,M1283=0),"",CADASTROS!$B$4+SUM($J$2:J1283)+SUM($M$2:M1283)-SUM($K$2:K1283)-SUM($L$2:L1283))</f>
        <v/>
      </c>
      <c r="O1283" s="72" t="str">
        <f>IF(A1283="","",SUMIF(RATEIOS!$A$2:$A$3142,$A1283,RATEIOS!$F$2:$F$3142))</f>
        <v/>
      </c>
      <c r="P1283" s="15" t="str">
        <f t="shared" si="42"/>
        <v/>
      </c>
      <c r="Q1283" s="49" t="str">
        <f>IF(AND(J1283=0,K1283=0,L1283=0,M1283=0),"",IF(O1283=0,"PENDENTE DE RATEIO",IF(ABS(P1283)&gt;0.005,"DIVERGÊNCIA",IF(COUNTIF(RATEIOS!$A$2:$A$3142,$A1283)-COUNTIFS(RATEIOS!$A$2:$A$3142,$A1283,RATEIOS!$D$2:$D$3142,"&lt;&gt;")&gt;0,"NÃO CLASSIFICADO","RATEIO OK"))))</f>
        <v/>
      </c>
      <c r="R1283" s="49"/>
      <c r="S1283" s="14"/>
    </row>
    <row r="1284" spans="1:19" ht="24.95" customHeight="1" x14ac:dyDescent="0.25">
      <c r="A1284" s="49" t="str">
        <f>IF(C1284="","","BAN-01283")</f>
        <v/>
      </c>
      <c r="B1284" s="98" t="str">
        <f>IF(C1284="","",1283)</f>
        <v/>
      </c>
      <c r="C1284" s="50"/>
      <c r="D1284" s="49" t="str">
        <f t="shared" si="41"/>
        <v/>
      </c>
      <c r="E1284" s="92"/>
      <c r="F1284" s="49"/>
      <c r="G1284" s="14"/>
      <c r="H1284" s="14"/>
      <c r="I1284" s="76"/>
      <c r="J1284" s="73"/>
      <c r="K1284" s="74"/>
      <c r="L1284" s="72"/>
      <c r="M1284" s="72"/>
      <c r="N1284" s="72" t="str">
        <f>IF(AND(C1284="",J1284=0,K1284=0,L1284=0,M1284=0),"",CADASTROS!$B$4+SUM($J$2:J1284)+SUM($M$2:M1284)-SUM($K$2:K1284)-SUM($L$2:L1284))</f>
        <v/>
      </c>
      <c r="O1284" s="72" t="str">
        <f>IF(A1284="","",SUMIF(RATEIOS!$A$2:$A$3142,$A1284,RATEIOS!$F$2:$F$3142))</f>
        <v/>
      </c>
      <c r="P1284" s="15" t="str">
        <f t="shared" si="42"/>
        <v/>
      </c>
      <c r="Q1284" s="49" t="str">
        <f>IF(AND(J1284=0,K1284=0,L1284=0,M1284=0),"",IF(O1284=0,"PENDENTE DE RATEIO",IF(ABS(P1284)&gt;0.005,"DIVERGÊNCIA",IF(COUNTIF(RATEIOS!$A$2:$A$3142,$A1284)-COUNTIFS(RATEIOS!$A$2:$A$3142,$A1284,RATEIOS!$D$2:$D$3142,"&lt;&gt;")&gt;0,"NÃO CLASSIFICADO","RATEIO OK"))))</f>
        <v/>
      </c>
      <c r="R1284" s="49"/>
      <c r="S1284" s="14"/>
    </row>
    <row r="1285" spans="1:19" ht="24.95" customHeight="1" x14ac:dyDescent="0.25">
      <c r="A1285" s="49" t="str">
        <f>IF(C1285="","","BAN-01284")</f>
        <v/>
      </c>
      <c r="B1285" s="98" t="str">
        <f>IF(C1285="","",1284)</f>
        <v/>
      </c>
      <c r="C1285" s="50"/>
      <c r="D1285" s="49" t="str">
        <f t="shared" si="41"/>
        <v/>
      </c>
      <c r="E1285" s="92"/>
      <c r="F1285" s="49"/>
      <c r="G1285" s="14"/>
      <c r="H1285" s="14"/>
      <c r="I1285" s="76"/>
      <c r="J1285" s="73"/>
      <c r="K1285" s="74"/>
      <c r="L1285" s="72"/>
      <c r="M1285" s="72"/>
      <c r="N1285" s="72" t="str">
        <f>IF(AND(C1285="",J1285=0,K1285=0,L1285=0,M1285=0),"",CADASTROS!$B$4+SUM($J$2:J1285)+SUM($M$2:M1285)-SUM($K$2:K1285)-SUM($L$2:L1285))</f>
        <v/>
      </c>
      <c r="O1285" s="72" t="str">
        <f>IF(A1285="","",SUMIF(RATEIOS!$A$2:$A$3142,$A1285,RATEIOS!$F$2:$F$3142))</f>
        <v/>
      </c>
      <c r="P1285" s="15" t="str">
        <f t="shared" si="42"/>
        <v/>
      </c>
      <c r="Q1285" s="49" t="str">
        <f>IF(AND(J1285=0,K1285=0,L1285=0,M1285=0),"",IF(O1285=0,"PENDENTE DE RATEIO",IF(ABS(P1285)&gt;0.005,"DIVERGÊNCIA",IF(COUNTIF(RATEIOS!$A$2:$A$3142,$A1285)-COUNTIFS(RATEIOS!$A$2:$A$3142,$A1285,RATEIOS!$D$2:$D$3142,"&lt;&gt;")&gt;0,"NÃO CLASSIFICADO","RATEIO OK"))))</f>
        <v/>
      </c>
      <c r="R1285" s="49"/>
      <c r="S1285" s="14"/>
    </row>
    <row r="1286" spans="1:19" ht="24.95" customHeight="1" x14ac:dyDescent="0.25">
      <c r="A1286" s="49" t="str">
        <f>IF(C1286="","","BAN-01285")</f>
        <v/>
      </c>
      <c r="B1286" s="98" t="str">
        <f>IF(C1286="","",1285)</f>
        <v/>
      </c>
      <c r="C1286" s="50"/>
      <c r="D1286" s="49" t="str">
        <f t="shared" si="41"/>
        <v/>
      </c>
      <c r="E1286" s="92"/>
      <c r="F1286" s="49"/>
      <c r="G1286" s="14"/>
      <c r="H1286" s="14"/>
      <c r="I1286" s="76"/>
      <c r="J1286" s="73"/>
      <c r="K1286" s="74"/>
      <c r="L1286" s="72"/>
      <c r="M1286" s="72"/>
      <c r="N1286" s="72" t="str">
        <f>IF(AND(C1286="",J1286=0,K1286=0,L1286=0,M1286=0),"",CADASTROS!$B$4+SUM($J$2:J1286)+SUM($M$2:M1286)-SUM($K$2:K1286)-SUM($L$2:L1286))</f>
        <v/>
      </c>
      <c r="O1286" s="72" t="str">
        <f>IF(A1286="","",SUMIF(RATEIOS!$A$2:$A$3142,$A1286,RATEIOS!$F$2:$F$3142))</f>
        <v/>
      </c>
      <c r="P1286" s="15" t="str">
        <f t="shared" si="42"/>
        <v/>
      </c>
      <c r="Q1286" s="49" t="str">
        <f>IF(AND(J1286=0,K1286=0,L1286=0,M1286=0),"",IF(O1286=0,"PENDENTE DE RATEIO",IF(ABS(P1286)&gt;0.005,"DIVERGÊNCIA",IF(COUNTIF(RATEIOS!$A$2:$A$3142,$A1286)-COUNTIFS(RATEIOS!$A$2:$A$3142,$A1286,RATEIOS!$D$2:$D$3142,"&lt;&gt;")&gt;0,"NÃO CLASSIFICADO","RATEIO OK"))))</f>
        <v/>
      </c>
      <c r="R1286" s="49"/>
      <c r="S1286" s="14"/>
    </row>
    <row r="1287" spans="1:19" ht="24.95" customHeight="1" x14ac:dyDescent="0.25">
      <c r="A1287" s="49" t="str">
        <f>IF(C1287="","","BAN-01286")</f>
        <v/>
      </c>
      <c r="B1287" s="98" t="str">
        <f>IF(C1287="","",1286)</f>
        <v/>
      </c>
      <c r="C1287" s="50"/>
      <c r="D1287" s="49" t="str">
        <f t="shared" si="41"/>
        <v/>
      </c>
      <c r="E1287" s="92"/>
      <c r="F1287" s="49"/>
      <c r="G1287" s="14"/>
      <c r="H1287" s="14"/>
      <c r="I1287" s="76"/>
      <c r="J1287" s="73"/>
      <c r="K1287" s="74"/>
      <c r="L1287" s="72"/>
      <c r="M1287" s="72"/>
      <c r="N1287" s="72" t="str">
        <f>IF(AND(C1287="",J1287=0,K1287=0,L1287=0,M1287=0),"",CADASTROS!$B$4+SUM($J$2:J1287)+SUM($M$2:M1287)-SUM($K$2:K1287)-SUM($L$2:L1287))</f>
        <v/>
      </c>
      <c r="O1287" s="72" t="str">
        <f>IF(A1287="","",SUMIF(RATEIOS!$A$2:$A$3142,$A1287,RATEIOS!$F$2:$F$3142))</f>
        <v/>
      </c>
      <c r="P1287" s="15" t="str">
        <f t="shared" si="42"/>
        <v/>
      </c>
      <c r="Q1287" s="49" t="str">
        <f>IF(AND(J1287=0,K1287=0,L1287=0,M1287=0),"",IF(O1287=0,"PENDENTE DE RATEIO",IF(ABS(P1287)&gt;0.005,"DIVERGÊNCIA",IF(COUNTIF(RATEIOS!$A$2:$A$3142,$A1287)-COUNTIFS(RATEIOS!$A$2:$A$3142,$A1287,RATEIOS!$D$2:$D$3142,"&lt;&gt;")&gt;0,"NÃO CLASSIFICADO","RATEIO OK"))))</f>
        <v/>
      </c>
      <c r="R1287" s="49"/>
      <c r="S1287" s="14"/>
    </row>
    <row r="1288" spans="1:19" ht="24.95" customHeight="1" x14ac:dyDescent="0.25">
      <c r="A1288" s="49" t="str">
        <f>IF(C1288="","","BAN-01287")</f>
        <v/>
      </c>
      <c r="B1288" s="98" t="str">
        <f>IF(C1288="","",1287)</f>
        <v/>
      </c>
      <c r="C1288" s="50"/>
      <c r="D1288" s="49" t="str">
        <f t="shared" si="41"/>
        <v/>
      </c>
      <c r="E1288" s="92"/>
      <c r="F1288" s="49"/>
      <c r="G1288" s="14"/>
      <c r="H1288" s="14"/>
      <c r="I1288" s="76"/>
      <c r="J1288" s="73"/>
      <c r="K1288" s="74"/>
      <c r="L1288" s="72"/>
      <c r="M1288" s="72"/>
      <c r="N1288" s="72" t="str">
        <f>IF(AND(C1288="",J1288=0,K1288=0,L1288=0,M1288=0),"",CADASTROS!$B$4+SUM($J$2:J1288)+SUM($M$2:M1288)-SUM($K$2:K1288)-SUM($L$2:L1288))</f>
        <v/>
      </c>
      <c r="O1288" s="72" t="str">
        <f>IF(A1288="","",SUMIF(RATEIOS!$A$2:$A$3142,$A1288,RATEIOS!$F$2:$F$3142))</f>
        <v/>
      </c>
      <c r="P1288" s="15" t="str">
        <f t="shared" si="42"/>
        <v/>
      </c>
      <c r="Q1288" s="49" t="str">
        <f>IF(AND(J1288=0,K1288=0,L1288=0,M1288=0),"",IF(O1288=0,"PENDENTE DE RATEIO",IF(ABS(P1288)&gt;0.005,"DIVERGÊNCIA",IF(COUNTIF(RATEIOS!$A$2:$A$3142,$A1288)-COUNTIFS(RATEIOS!$A$2:$A$3142,$A1288,RATEIOS!$D$2:$D$3142,"&lt;&gt;")&gt;0,"NÃO CLASSIFICADO","RATEIO OK"))))</f>
        <v/>
      </c>
      <c r="R1288" s="49"/>
      <c r="S1288" s="14"/>
    </row>
    <row r="1289" spans="1:19" ht="24.95" customHeight="1" x14ac:dyDescent="0.25">
      <c r="A1289" s="49" t="str">
        <f>IF(C1289="","","BAN-01288")</f>
        <v/>
      </c>
      <c r="B1289" s="98" t="str">
        <f>IF(C1289="","",1288)</f>
        <v/>
      </c>
      <c r="C1289" s="50"/>
      <c r="D1289" s="49" t="str">
        <f t="shared" si="41"/>
        <v/>
      </c>
      <c r="E1289" s="92"/>
      <c r="F1289" s="49"/>
      <c r="G1289" s="14"/>
      <c r="H1289" s="14"/>
      <c r="I1289" s="76"/>
      <c r="J1289" s="73"/>
      <c r="K1289" s="74"/>
      <c r="L1289" s="72"/>
      <c r="M1289" s="72"/>
      <c r="N1289" s="72" t="str">
        <f>IF(AND(C1289="",J1289=0,K1289=0,L1289=0,M1289=0),"",CADASTROS!$B$4+SUM($J$2:J1289)+SUM($M$2:M1289)-SUM($K$2:K1289)-SUM($L$2:L1289))</f>
        <v/>
      </c>
      <c r="O1289" s="72" t="str">
        <f>IF(A1289="","",SUMIF(RATEIOS!$A$2:$A$3142,$A1289,RATEIOS!$F$2:$F$3142))</f>
        <v/>
      </c>
      <c r="P1289" s="15" t="str">
        <f t="shared" si="42"/>
        <v/>
      </c>
      <c r="Q1289" s="49" t="str">
        <f>IF(AND(J1289=0,K1289=0,L1289=0,M1289=0),"",IF(O1289=0,"PENDENTE DE RATEIO",IF(ABS(P1289)&gt;0.005,"DIVERGÊNCIA",IF(COUNTIF(RATEIOS!$A$2:$A$3142,$A1289)-COUNTIFS(RATEIOS!$A$2:$A$3142,$A1289,RATEIOS!$D$2:$D$3142,"&lt;&gt;")&gt;0,"NÃO CLASSIFICADO","RATEIO OK"))))</f>
        <v/>
      </c>
      <c r="R1289" s="49"/>
      <c r="S1289" s="14"/>
    </row>
    <row r="1290" spans="1:19" ht="24.95" customHeight="1" x14ac:dyDescent="0.25">
      <c r="A1290" s="49" t="str">
        <f>IF(C1290="","","BAN-01289")</f>
        <v/>
      </c>
      <c r="B1290" s="98" t="str">
        <f>IF(C1290="","",1289)</f>
        <v/>
      </c>
      <c r="C1290" s="50"/>
      <c r="D1290" s="49" t="str">
        <f t="shared" si="41"/>
        <v/>
      </c>
      <c r="E1290" s="92"/>
      <c r="F1290" s="49"/>
      <c r="G1290" s="14"/>
      <c r="H1290" s="14"/>
      <c r="I1290" s="76"/>
      <c r="J1290" s="73"/>
      <c r="K1290" s="74"/>
      <c r="L1290" s="72"/>
      <c r="M1290" s="72"/>
      <c r="N1290" s="72" t="str">
        <f>IF(AND(C1290="",J1290=0,K1290=0,L1290=0,M1290=0),"",CADASTROS!$B$4+SUM($J$2:J1290)+SUM($M$2:M1290)-SUM($K$2:K1290)-SUM($L$2:L1290))</f>
        <v/>
      </c>
      <c r="O1290" s="72" t="str">
        <f>IF(A1290="","",SUMIF(RATEIOS!$A$2:$A$3142,$A1290,RATEIOS!$F$2:$F$3142))</f>
        <v/>
      </c>
      <c r="P1290" s="15" t="str">
        <f t="shared" si="42"/>
        <v/>
      </c>
      <c r="Q1290" s="49" t="str">
        <f>IF(AND(J1290=0,K1290=0,L1290=0,M1290=0),"",IF(O1290=0,"PENDENTE DE RATEIO",IF(ABS(P1290)&gt;0.005,"DIVERGÊNCIA",IF(COUNTIF(RATEIOS!$A$2:$A$3142,$A1290)-COUNTIFS(RATEIOS!$A$2:$A$3142,$A1290,RATEIOS!$D$2:$D$3142,"&lt;&gt;")&gt;0,"NÃO CLASSIFICADO","RATEIO OK"))))</f>
        <v/>
      </c>
      <c r="R1290" s="49"/>
      <c r="S1290" s="14"/>
    </row>
    <row r="1291" spans="1:19" ht="24.95" customHeight="1" x14ac:dyDescent="0.25">
      <c r="A1291" s="49" t="str">
        <f>IF(C1291="","","BAN-01290")</f>
        <v/>
      </c>
      <c r="B1291" s="98" t="str">
        <f>IF(C1291="","",1290)</f>
        <v/>
      </c>
      <c r="C1291" s="50"/>
      <c r="D1291" s="49" t="str">
        <f t="shared" si="41"/>
        <v/>
      </c>
      <c r="E1291" s="92"/>
      <c r="F1291" s="49"/>
      <c r="G1291" s="14"/>
      <c r="H1291" s="14"/>
      <c r="I1291" s="76"/>
      <c r="J1291" s="73"/>
      <c r="K1291" s="74"/>
      <c r="L1291" s="72"/>
      <c r="M1291" s="72"/>
      <c r="N1291" s="72" t="str">
        <f>IF(AND(C1291="",J1291=0,K1291=0,L1291=0,M1291=0),"",CADASTROS!$B$4+SUM($J$2:J1291)+SUM($M$2:M1291)-SUM($K$2:K1291)-SUM($L$2:L1291))</f>
        <v/>
      </c>
      <c r="O1291" s="72" t="str">
        <f>IF(A1291="","",SUMIF(RATEIOS!$A$2:$A$3142,$A1291,RATEIOS!$F$2:$F$3142))</f>
        <v/>
      </c>
      <c r="P1291" s="15" t="str">
        <f t="shared" si="42"/>
        <v/>
      </c>
      <c r="Q1291" s="49" t="str">
        <f>IF(AND(J1291=0,K1291=0,L1291=0,M1291=0),"",IF(O1291=0,"PENDENTE DE RATEIO",IF(ABS(P1291)&gt;0.005,"DIVERGÊNCIA",IF(COUNTIF(RATEIOS!$A$2:$A$3142,$A1291)-COUNTIFS(RATEIOS!$A$2:$A$3142,$A1291,RATEIOS!$D$2:$D$3142,"&lt;&gt;")&gt;0,"NÃO CLASSIFICADO","RATEIO OK"))))</f>
        <v/>
      </c>
      <c r="R1291" s="49"/>
      <c r="S1291" s="14"/>
    </row>
    <row r="1292" spans="1:19" ht="24.95" customHeight="1" x14ac:dyDescent="0.25">
      <c r="A1292" s="49" t="str">
        <f>IF(C1292="","","BAN-01291")</f>
        <v/>
      </c>
      <c r="B1292" s="98" t="str">
        <f>IF(C1292="","",1291)</f>
        <v/>
      </c>
      <c r="C1292" s="50"/>
      <c r="D1292" s="49" t="str">
        <f t="shared" si="41"/>
        <v/>
      </c>
      <c r="E1292" s="92"/>
      <c r="F1292" s="49"/>
      <c r="G1292" s="14"/>
      <c r="H1292" s="14"/>
      <c r="I1292" s="76"/>
      <c r="J1292" s="73"/>
      <c r="K1292" s="74"/>
      <c r="L1292" s="72"/>
      <c r="M1292" s="72"/>
      <c r="N1292" s="72" t="str">
        <f>IF(AND(C1292="",J1292=0,K1292=0,L1292=0,M1292=0),"",CADASTROS!$B$4+SUM($J$2:J1292)+SUM($M$2:M1292)-SUM($K$2:K1292)-SUM($L$2:L1292))</f>
        <v/>
      </c>
      <c r="O1292" s="72" t="str">
        <f>IF(A1292="","",SUMIF(RATEIOS!$A$2:$A$3142,$A1292,RATEIOS!$F$2:$F$3142))</f>
        <v/>
      </c>
      <c r="P1292" s="15" t="str">
        <f t="shared" si="42"/>
        <v/>
      </c>
      <c r="Q1292" s="49" t="str">
        <f>IF(AND(J1292=0,K1292=0,L1292=0,M1292=0),"",IF(O1292=0,"PENDENTE DE RATEIO",IF(ABS(P1292)&gt;0.005,"DIVERGÊNCIA",IF(COUNTIF(RATEIOS!$A$2:$A$3142,$A1292)-COUNTIFS(RATEIOS!$A$2:$A$3142,$A1292,RATEIOS!$D$2:$D$3142,"&lt;&gt;")&gt;0,"NÃO CLASSIFICADO","RATEIO OK"))))</f>
        <v/>
      </c>
      <c r="R1292" s="49"/>
      <c r="S1292" s="14"/>
    </row>
    <row r="1293" spans="1:19" ht="24.95" customHeight="1" x14ac:dyDescent="0.25">
      <c r="A1293" s="49" t="str">
        <f>IF(C1293="","","BAN-01292")</f>
        <v/>
      </c>
      <c r="B1293" s="98" t="str">
        <f>IF(C1293="","",1292)</f>
        <v/>
      </c>
      <c r="C1293" s="50"/>
      <c r="D1293" s="49" t="str">
        <f t="shared" si="41"/>
        <v/>
      </c>
      <c r="E1293" s="92"/>
      <c r="F1293" s="49"/>
      <c r="G1293" s="14"/>
      <c r="H1293" s="14"/>
      <c r="I1293" s="76"/>
      <c r="J1293" s="73"/>
      <c r="K1293" s="74"/>
      <c r="L1293" s="72"/>
      <c r="M1293" s="72"/>
      <c r="N1293" s="72" t="str">
        <f>IF(AND(C1293="",J1293=0,K1293=0,L1293=0,M1293=0),"",CADASTROS!$B$4+SUM($J$2:J1293)+SUM($M$2:M1293)-SUM($K$2:K1293)-SUM($L$2:L1293))</f>
        <v/>
      </c>
      <c r="O1293" s="72" t="str">
        <f>IF(A1293="","",SUMIF(RATEIOS!$A$2:$A$3142,$A1293,RATEIOS!$F$2:$F$3142))</f>
        <v/>
      </c>
      <c r="P1293" s="15" t="str">
        <f t="shared" si="42"/>
        <v/>
      </c>
      <c r="Q1293" s="49" t="str">
        <f>IF(AND(J1293=0,K1293=0,L1293=0,M1293=0),"",IF(O1293=0,"PENDENTE DE RATEIO",IF(ABS(P1293)&gt;0.005,"DIVERGÊNCIA",IF(COUNTIF(RATEIOS!$A$2:$A$3142,$A1293)-COUNTIFS(RATEIOS!$A$2:$A$3142,$A1293,RATEIOS!$D$2:$D$3142,"&lt;&gt;")&gt;0,"NÃO CLASSIFICADO","RATEIO OK"))))</f>
        <v/>
      </c>
      <c r="R1293" s="49"/>
      <c r="S1293" s="14"/>
    </row>
    <row r="1294" spans="1:19" ht="24.95" customHeight="1" x14ac:dyDescent="0.25">
      <c r="A1294" s="49" t="str">
        <f>IF(C1294="","","BAN-01293")</f>
        <v/>
      </c>
      <c r="B1294" s="98" t="str">
        <f>IF(C1294="","",1293)</f>
        <v/>
      </c>
      <c r="C1294" s="50"/>
      <c r="D1294" s="49" t="str">
        <f t="shared" si="41"/>
        <v/>
      </c>
      <c r="E1294" s="92"/>
      <c r="F1294" s="49"/>
      <c r="G1294" s="14"/>
      <c r="H1294" s="14"/>
      <c r="I1294" s="76"/>
      <c r="J1294" s="73"/>
      <c r="K1294" s="74"/>
      <c r="L1294" s="72"/>
      <c r="M1294" s="72"/>
      <c r="N1294" s="72" t="str">
        <f>IF(AND(C1294="",J1294=0,K1294=0,L1294=0,M1294=0),"",CADASTROS!$B$4+SUM($J$2:J1294)+SUM($M$2:M1294)-SUM($K$2:K1294)-SUM($L$2:L1294))</f>
        <v/>
      </c>
      <c r="O1294" s="72" t="str">
        <f>IF(A1294="","",SUMIF(RATEIOS!$A$2:$A$3142,$A1294,RATEIOS!$F$2:$F$3142))</f>
        <v/>
      </c>
      <c r="P1294" s="15" t="str">
        <f t="shared" si="42"/>
        <v/>
      </c>
      <c r="Q1294" s="49" t="str">
        <f>IF(AND(J1294=0,K1294=0,L1294=0,M1294=0),"",IF(O1294=0,"PENDENTE DE RATEIO",IF(ABS(P1294)&gt;0.005,"DIVERGÊNCIA",IF(COUNTIF(RATEIOS!$A$2:$A$3142,$A1294)-COUNTIFS(RATEIOS!$A$2:$A$3142,$A1294,RATEIOS!$D$2:$D$3142,"&lt;&gt;")&gt;0,"NÃO CLASSIFICADO","RATEIO OK"))))</f>
        <v/>
      </c>
      <c r="R1294" s="49"/>
      <c r="S1294" s="14"/>
    </row>
    <row r="1295" spans="1:19" ht="24.95" customHeight="1" x14ac:dyDescent="0.25">
      <c r="A1295" s="49" t="str">
        <f>IF(C1295="","","BAN-01294")</f>
        <v/>
      </c>
      <c r="B1295" s="98" t="str">
        <f>IF(C1295="","",1294)</f>
        <v/>
      </c>
      <c r="C1295" s="50"/>
      <c r="D1295" s="49" t="str">
        <f t="shared" si="41"/>
        <v/>
      </c>
      <c r="E1295" s="92"/>
      <c r="F1295" s="49"/>
      <c r="G1295" s="14"/>
      <c r="H1295" s="14"/>
      <c r="I1295" s="76"/>
      <c r="J1295" s="73"/>
      <c r="K1295" s="74"/>
      <c r="L1295" s="72"/>
      <c r="M1295" s="72"/>
      <c r="N1295" s="72" t="str">
        <f>IF(AND(C1295="",J1295=0,K1295=0,L1295=0,M1295=0),"",CADASTROS!$B$4+SUM($J$2:J1295)+SUM($M$2:M1295)-SUM($K$2:K1295)-SUM($L$2:L1295))</f>
        <v/>
      </c>
      <c r="O1295" s="72" t="str">
        <f>IF(A1295="","",SUMIF(RATEIOS!$A$2:$A$3142,$A1295,RATEIOS!$F$2:$F$3142))</f>
        <v/>
      </c>
      <c r="P1295" s="15" t="str">
        <f t="shared" si="42"/>
        <v/>
      </c>
      <c r="Q1295" s="49" t="str">
        <f>IF(AND(J1295=0,K1295=0,L1295=0,M1295=0),"",IF(O1295=0,"PENDENTE DE RATEIO",IF(ABS(P1295)&gt;0.005,"DIVERGÊNCIA",IF(COUNTIF(RATEIOS!$A$2:$A$3142,$A1295)-COUNTIFS(RATEIOS!$A$2:$A$3142,$A1295,RATEIOS!$D$2:$D$3142,"&lt;&gt;")&gt;0,"NÃO CLASSIFICADO","RATEIO OK"))))</f>
        <v/>
      </c>
      <c r="R1295" s="49"/>
      <c r="S1295" s="14"/>
    </row>
    <row r="1296" spans="1:19" ht="24.95" customHeight="1" x14ac:dyDescent="0.25">
      <c r="A1296" s="49" t="str">
        <f>IF(C1296="","","BAN-01295")</f>
        <v/>
      </c>
      <c r="B1296" s="98" t="str">
        <f>IF(C1296="","",1295)</f>
        <v/>
      </c>
      <c r="C1296" s="50"/>
      <c r="D1296" s="49" t="str">
        <f t="shared" si="41"/>
        <v/>
      </c>
      <c r="E1296" s="92"/>
      <c r="F1296" s="49"/>
      <c r="G1296" s="14"/>
      <c r="H1296" s="14"/>
      <c r="I1296" s="76"/>
      <c r="J1296" s="73"/>
      <c r="K1296" s="74"/>
      <c r="L1296" s="72"/>
      <c r="M1296" s="72"/>
      <c r="N1296" s="72" t="str">
        <f>IF(AND(C1296="",J1296=0,K1296=0,L1296=0,M1296=0),"",CADASTROS!$B$4+SUM($J$2:J1296)+SUM($M$2:M1296)-SUM($K$2:K1296)-SUM($L$2:L1296))</f>
        <v/>
      </c>
      <c r="O1296" s="72" t="str">
        <f>IF(A1296="","",SUMIF(RATEIOS!$A$2:$A$3142,$A1296,RATEIOS!$F$2:$F$3142))</f>
        <v/>
      </c>
      <c r="P1296" s="15" t="str">
        <f t="shared" si="42"/>
        <v/>
      </c>
      <c r="Q1296" s="49" t="str">
        <f>IF(AND(J1296=0,K1296=0,L1296=0,M1296=0),"",IF(O1296=0,"PENDENTE DE RATEIO",IF(ABS(P1296)&gt;0.005,"DIVERGÊNCIA",IF(COUNTIF(RATEIOS!$A$2:$A$3142,$A1296)-COUNTIFS(RATEIOS!$A$2:$A$3142,$A1296,RATEIOS!$D$2:$D$3142,"&lt;&gt;")&gt;0,"NÃO CLASSIFICADO","RATEIO OK"))))</f>
        <v/>
      </c>
      <c r="R1296" s="49"/>
      <c r="S1296" s="14"/>
    </row>
    <row r="1297" spans="1:19" ht="24.95" customHeight="1" x14ac:dyDescent="0.25">
      <c r="A1297" s="49" t="str">
        <f>IF(C1297="","","BAN-01296")</f>
        <v/>
      </c>
      <c r="B1297" s="98" t="str">
        <f>IF(C1297="","",1296)</f>
        <v/>
      </c>
      <c r="C1297" s="50"/>
      <c r="D1297" s="49" t="str">
        <f t="shared" si="41"/>
        <v/>
      </c>
      <c r="E1297" s="92"/>
      <c r="F1297" s="49"/>
      <c r="G1297" s="14"/>
      <c r="H1297" s="14"/>
      <c r="I1297" s="76"/>
      <c r="J1297" s="73"/>
      <c r="K1297" s="74"/>
      <c r="L1297" s="72"/>
      <c r="M1297" s="72"/>
      <c r="N1297" s="72" t="str">
        <f>IF(AND(C1297="",J1297=0,K1297=0,L1297=0,M1297=0),"",CADASTROS!$B$4+SUM($J$2:J1297)+SUM($M$2:M1297)-SUM($K$2:K1297)-SUM($L$2:L1297))</f>
        <v/>
      </c>
      <c r="O1297" s="72" t="str">
        <f>IF(A1297="","",SUMIF(RATEIOS!$A$2:$A$3142,$A1297,RATEIOS!$F$2:$F$3142))</f>
        <v/>
      </c>
      <c r="P1297" s="15" t="str">
        <f t="shared" si="42"/>
        <v/>
      </c>
      <c r="Q1297" s="49" t="str">
        <f>IF(AND(J1297=0,K1297=0,L1297=0,M1297=0),"",IF(O1297=0,"PENDENTE DE RATEIO",IF(ABS(P1297)&gt;0.005,"DIVERGÊNCIA",IF(COUNTIF(RATEIOS!$A$2:$A$3142,$A1297)-COUNTIFS(RATEIOS!$A$2:$A$3142,$A1297,RATEIOS!$D$2:$D$3142,"&lt;&gt;")&gt;0,"NÃO CLASSIFICADO","RATEIO OK"))))</f>
        <v/>
      </c>
      <c r="R1297" s="49"/>
      <c r="S1297" s="14"/>
    </row>
    <row r="1298" spans="1:19" ht="24.95" customHeight="1" x14ac:dyDescent="0.25">
      <c r="A1298" s="49" t="str">
        <f>IF(C1298="","","BAN-01297")</f>
        <v/>
      </c>
      <c r="B1298" s="98" t="str">
        <f>IF(C1298="","",1297)</f>
        <v/>
      </c>
      <c r="C1298" s="50"/>
      <c r="D1298" s="49" t="str">
        <f t="shared" si="41"/>
        <v/>
      </c>
      <c r="E1298" s="92"/>
      <c r="F1298" s="49"/>
      <c r="G1298" s="14"/>
      <c r="H1298" s="14"/>
      <c r="I1298" s="76"/>
      <c r="J1298" s="73"/>
      <c r="K1298" s="74"/>
      <c r="L1298" s="72"/>
      <c r="M1298" s="72"/>
      <c r="N1298" s="72" t="str">
        <f>IF(AND(C1298="",J1298=0,K1298=0,L1298=0,M1298=0),"",CADASTROS!$B$4+SUM($J$2:J1298)+SUM($M$2:M1298)-SUM($K$2:K1298)-SUM($L$2:L1298))</f>
        <v/>
      </c>
      <c r="O1298" s="72" t="str">
        <f>IF(A1298="","",SUMIF(RATEIOS!$A$2:$A$3142,$A1298,RATEIOS!$F$2:$F$3142))</f>
        <v/>
      </c>
      <c r="P1298" s="15" t="str">
        <f t="shared" si="42"/>
        <v/>
      </c>
      <c r="Q1298" s="49" t="str">
        <f>IF(AND(J1298=0,K1298=0,L1298=0,M1298=0),"",IF(O1298=0,"PENDENTE DE RATEIO",IF(ABS(P1298)&gt;0.005,"DIVERGÊNCIA",IF(COUNTIF(RATEIOS!$A$2:$A$3142,$A1298)-COUNTIFS(RATEIOS!$A$2:$A$3142,$A1298,RATEIOS!$D$2:$D$3142,"&lt;&gt;")&gt;0,"NÃO CLASSIFICADO","RATEIO OK"))))</f>
        <v/>
      </c>
      <c r="R1298" s="49"/>
      <c r="S1298" s="14"/>
    </row>
    <row r="1299" spans="1:19" ht="24.95" customHeight="1" x14ac:dyDescent="0.25">
      <c r="A1299" s="49" t="str">
        <f>IF(C1299="","","BAN-01298")</f>
        <v/>
      </c>
      <c r="B1299" s="98" t="str">
        <f>IF(C1299="","",1298)</f>
        <v/>
      </c>
      <c r="C1299" s="50"/>
      <c r="D1299" s="49" t="str">
        <f t="shared" si="41"/>
        <v/>
      </c>
      <c r="E1299" s="92"/>
      <c r="F1299" s="49"/>
      <c r="G1299" s="14"/>
      <c r="H1299" s="14"/>
      <c r="I1299" s="76"/>
      <c r="J1299" s="73"/>
      <c r="K1299" s="74"/>
      <c r="L1299" s="72"/>
      <c r="M1299" s="72"/>
      <c r="N1299" s="72" t="str">
        <f>IF(AND(C1299="",J1299=0,K1299=0,L1299=0,M1299=0),"",CADASTROS!$B$4+SUM($J$2:J1299)+SUM($M$2:M1299)-SUM($K$2:K1299)-SUM($L$2:L1299))</f>
        <v/>
      </c>
      <c r="O1299" s="72" t="str">
        <f>IF(A1299="","",SUMIF(RATEIOS!$A$2:$A$3142,$A1299,RATEIOS!$F$2:$F$3142))</f>
        <v/>
      </c>
      <c r="P1299" s="15" t="str">
        <f t="shared" si="42"/>
        <v/>
      </c>
      <c r="Q1299" s="49" t="str">
        <f>IF(AND(J1299=0,K1299=0,L1299=0,M1299=0),"",IF(O1299=0,"PENDENTE DE RATEIO",IF(ABS(P1299)&gt;0.005,"DIVERGÊNCIA",IF(COUNTIF(RATEIOS!$A$2:$A$3142,$A1299)-COUNTIFS(RATEIOS!$A$2:$A$3142,$A1299,RATEIOS!$D$2:$D$3142,"&lt;&gt;")&gt;0,"NÃO CLASSIFICADO","RATEIO OK"))))</f>
        <v/>
      </c>
      <c r="R1299" s="49"/>
      <c r="S1299" s="14"/>
    </row>
    <row r="1300" spans="1:19" ht="24.95" customHeight="1" x14ac:dyDescent="0.25">
      <c r="A1300" s="49" t="str">
        <f>IF(C1300="","","BAN-01299")</f>
        <v/>
      </c>
      <c r="B1300" s="98" t="str">
        <f>IF(C1300="","",1299)</f>
        <v/>
      </c>
      <c r="C1300" s="50"/>
      <c r="D1300" s="49" t="str">
        <f t="shared" si="41"/>
        <v/>
      </c>
      <c r="E1300" s="92"/>
      <c r="F1300" s="49"/>
      <c r="G1300" s="14"/>
      <c r="H1300" s="14"/>
      <c r="I1300" s="76"/>
      <c r="J1300" s="73"/>
      <c r="K1300" s="74"/>
      <c r="L1300" s="72"/>
      <c r="M1300" s="72"/>
      <c r="N1300" s="72" t="str">
        <f>IF(AND(C1300="",J1300=0,K1300=0,L1300=0,M1300=0),"",CADASTROS!$B$4+SUM($J$2:J1300)+SUM($M$2:M1300)-SUM($K$2:K1300)-SUM($L$2:L1300))</f>
        <v/>
      </c>
      <c r="O1300" s="72" t="str">
        <f>IF(A1300="","",SUMIF(RATEIOS!$A$2:$A$3142,$A1300,RATEIOS!$F$2:$F$3142))</f>
        <v/>
      </c>
      <c r="P1300" s="15" t="str">
        <f t="shared" si="42"/>
        <v/>
      </c>
      <c r="Q1300" s="49" t="str">
        <f>IF(AND(J1300=0,K1300=0,L1300=0,M1300=0),"",IF(O1300=0,"PENDENTE DE RATEIO",IF(ABS(P1300)&gt;0.005,"DIVERGÊNCIA",IF(COUNTIF(RATEIOS!$A$2:$A$3142,$A1300)-COUNTIFS(RATEIOS!$A$2:$A$3142,$A1300,RATEIOS!$D$2:$D$3142,"&lt;&gt;")&gt;0,"NÃO CLASSIFICADO","RATEIO OK"))))</f>
        <v/>
      </c>
      <c r="R1300" s="49"/>
      <c r="S1300" s="14"/>
    </row>
    <row r="1301" spans="1:19" ht="30" customHeight="1" x14ac:dyDescent="0.25">
      <c r="A1301" s="49" t="str">
        <f>IF(C1301="","","BAN-01300")</f>
        <v/>
      </c>
      <c r="B1301" s="98" t="str">
        <f>IF(C1301="","",1300)</f>
        <v/>
      </c>
      <c r="C1301" s="50"/>
      <c r="D1301" s="49" t="str">
        <f t="shared" si="41"/>
        <v/>
      </c>
      <c r="E1301" s="92"/>
      <c r="F1301" s="49"/>
      <c r="G1301" s="14"/>
      <c r="H1301" s="14"/>
      <c r="I1301" s="76"/>
      <c r="J1301" s="73"/>
      <c r="K1301" s="74"/>
      <c r="L1301" s="72"/>
      <c r="M1301" s="72"/>
      <c r="N1301" s="72" t="str">
        <f>IF(AND(C1301="",J1301=0,K1301=0,L1301=0,M1301=0),"",CADASTROS!$B$4+SUM($J$2:J1301)+SUM($M$2:M1301)-SUM($K$2:K1301)-SUM($L$2:L1301))</f>
        <v/>
      </c>
      <c r="O1301" s="72" t="str">
        <f>IF(A1301="","",SUMIF(RATEIOS!$A$2:$A$3142,$A1301,RATEIOS!$F$2:$F$3142))</f>
        <v/>
      </c>
      <c r="P1301" s="15" t="str">
        <f t="shared" si="42"/>
        <v/>
      </c>
      <c r="Q1301" s="49" t="str">
        <f>IF(AND(J1301=0,K1301=0,L1301=0,M1301=0),"",IF(O1301=0,"PENDENTE DE RATEIO",IF(ABS(P1301)&gt;0.005,"DIVERGÊNCIA",IF(COUNTIF(RATEIOS!$A$2:$A$3142,$A1301)-COUNTIFS(RATEIOS!$A$2:$A$3142,$A1301,RATEIOS!$D$2:$D$3142,"&lt;&gt;")&gt;0,"NÃO CLASSIFICADO","RATEIO OK"))))</f>
        <v/>
      </c>
      <c r="R1301" s="49"/>
      <c r="S1301" s="14"/>
    </row>
    <row r="1302" spans="1:19" ht="30" customHeight="1" x14ac:dyDescent="0.25">
      <c r="A1302" s="49" t="str">
        <f>IF(C1302="","","BAN-01301")</f>
        <v/>
      </c>
      <c r="B1302" s="98" t="str">
        <f>IF(C1302="","",1301)</f>
        <v/>
      </c>
      <c r="C1302" s="50"/>
      <c r="D1302" s="49" t="str">
        <f t="shared" si="41"/>
        <v/>
      </c>
      <c r="E1302" s="92"/>
      <c r="F1302" s="49"/>
      <c r="G1302" s="14"/>
      <c r="H1302" s="14"/>
      <c r="I1302" s="76"/>
      <c r="J1302" s="73"/>
      <c r="K1302" s="74"/>
      <c r="L1302" s="72"/>
      <c r="M1302" s="72"/>
      <c r="N1302" s="72" t="str">
        <f>IF(AND(C1302="",J1302=0,K1302=0,L1302=0,M1302=0),"",CADASTROS!$B$4+SUM($J$2:J1302)+SUM($M$2:M1302)-SUM($K$2:K1302)-SUM($L$2:L1302))</f>
        <v/>
      </c>
      <c r="O1302" s="72" t="str">
        <f>IF(A1302="","",SUMIF(RATEIOS!$A$2:$A$3142,$A1302,RATEIOS!$F$2:$F$3142))</f>
        <v/>
      </c>
      <c r="P1302" s="15" t="str">
        <f t="shared" si="42"/>
        <v/>
      </c>
      <c r="Q1302" s="49" t="str">
        <f>IF(AND(J1302=0,K1302=0,L1302=0,M1302=0),"",IF(O1302=0,"PENDENTE DE RATEIO",IF(ABS(P1302)&gt;0.005,"DIVERGÊNCIA",IF(COUNTIF(RATEIOS!$A$2:$A$3142,$A1302)-COUNTIFS(RATEIOS!$A$2:$A$3142,$A1302,RATEIOS!$D$2:$D$3142,"&lt;&gt;")&gt;0,"NÃO CLASSIFICADO","RATEIO OK"))))</f>
        <v/>
      </c>
      <c r="R1302" s="49"/>
      <c r="S1302" s="14"/>
    </row>
    <row r="1303" spans="1:19" ht="30" customHeight="1" x14ac:dyDescent="0.25">
      <c r="A1303" s="49" t="str">
        <f>IF(C1303="","","BAN-01302")</f>
        <v/>
      </c>
      <c r="B1303" s="98" t="str">
        <f>IF(C1303="","",1302)</f>
        <v/>
      </c>
      <c r="C1303" s="50"/>
      <c r="D1303" s="49" t="str">
        <f t="shared" si="41"/>
        <v/>
      </c>
      <c r="E1303" s="92"/>
      <c r="F1303" s="49"/>
      <c r="G1303" s="14"/>
      <c r="H1303" s="14"/>
      <c r="I1303" s="76"/>
      <c r="J1303" s="73"/>
      <c r="K1303" s="74"/>
      <c r="L1303" s="72"/>
      <c r="M1303" s="72"/>
      <c r="N1303" s="72" t="str">
        <f>IF(AND(C1303="",J1303=0,K1303=0,L1303=0,M1303=0),"",CADASTROS!$B$4+SUM($J$2:J1303)+SUM($M$2:M1303)-SUM($K$2:K1303)-SUM($L$2:L1303))</f>
        <v/>
      </c>
      <c r="O1303" s="72" t="str">
        <f>IF(A1303="","",SUMIF(RATEIOS!$A$2:$A$3142,$A1303,RATEIOS!$F$2:$F$3142))</f>
        <v/>
      </c>
      <c r="P1303" s="15" t="str">
        <f t="shared" si="42"/>
        <v/>
      </c>
      <c r="Q1303" s="49" t="str">
        <f>IF(AND(J1303=0,K1303=0,L1303=0,M1303=0),"",IF(O1303=0,"PENDENTE DE RATEIO",IF(ABS(P1303)&gt;0.005,"DIVERGÊNCIA",IF(COUNTIF(RATEIOS!$A$2:$A$3142,$A1303)-COUNTIFS(RATEIOS!$A$2:$A$3142,$A1303,RATEIOS!$D$2:$D$3142,"&lt;&gt;")&gt;0,"NÃO CLASSIFICADO","RATEIO OK"))))</f>
        <v/>
      </c>
      <c r="R1303" s="49"/>
      <c r="S1303" s="14"/>
    </row>
    <row r="1304" spans="1:19" ht="30" customHeight="1" x14ac:dyDescent="0.25">
      <c r="A1304" s="49" t="str">
        <f>IF(C1304="","","BAN-01303")</f>
        <v/>
      </c>
      <c r="B1304" s="98" t="str">
        <f>IF(C1304="","",1303)</f>
        <v/>
      </c>
      <c r="C1304" s="50"/>
      <c r="D1304" s="49" t="str">
        <f t="shared" si="41"/>
        <v/>
      </c>
      <c r="E1304" s="92"/>
      <c r="F1304" s="49"/>
      <c r="G1304" s="14"/>
      <c r="H1304" s="14"/>
      <c r="I1304" s="76"/>
      <c r="J1304" s="73"/>
      <c r="K1304" s="74"/>
      <c r="L1304" s="72"/>
      <c r="M1304" s="72"/>
      <c r="N1304" s="72" t="str">
        <f>IF(AND(C1304="",J1304=0,K1304=0,L1304=0,M1304=0),"",CADASTROS!$B$4+SUM($J$2:J1304)+SUM($M$2:M1304)-SUM($K$2:K1304)-SUM($L$2:L1304))</f>
        <v/>
      </c>
      <c r="O1304" s="72" t="str">
        <f>IF(A1304="","",SUMIF(RATEIOS!$A$2:$A$3142,$A1304,RATEIOS!$F$2:$F$3142))</f>
        <v/>
      </c>
      <c r="P1304" s="15" t="str">
        <f t="shared" si="42"/>
        <v/>
      </c>
      <c r="Q1304" s="49" t="str">
        <f>IF(AND(J1304=0,K1304=0,L1304=0,M1304=0),"",IF(O1304=0,"PENDENTE DE RATEIO",IF(ABS(P1304)&gt;0.005,"DIVERGÊNCIA",IF(COUNTIF(RATEIOS!$A$2:$A$3142,$A1304)-COUNTIFS(RATEIOS!$A$2:$A$3142,$A1304,RATEIOS!$D$2:$D$3142,"&lt;&gt;")&gt;0,"NÃO CLASSIFICADO","RATEIO OK"))))</f>
        <v/>
      </c>
      <c r="R1304" s="49"/>
      <c r="S1304" s="14"/>
    </row>
    <row r="1305" spans="1:19" ht="30" customHeight="1" x14ac:dyDescent="0.25">
      <c r="A1305" s="49" t="str">
        <f>IF(C1305="","","BAN-01304")</f>
        <v/>
      </c>
      <c r="B1305" s="98" t="str">
        <f>IF(C1305="","",1304)</f>
        <v/>
      </c>
      <c r="C1305" s="50"/>
      <c r="D1305" s="49" t="str">
        <f t="shared" si="41"/>
        <v/>
      </c>
      <c r="E1305" s="92"/>
      <c r="F1305" s="49"/>
      <c r="G1305" s="14"/>
      <c r="H1305" s="14"/>
      <c r="I1305" s="76"/>
      <c r="J1305" s="73"/>
      <c r="K1305" s="74"/>
      <c r="L1305" s="72"/>
      <c r="M1305" s="72"/>
      <c r="N1305" s="72" t="str">
        <f>IF(AND(C1305="",J1305=0,K1305=0,L1305=0,M1305=0),"",CADASTROS!$B$4+SUM($J$2:J1305)+SUM($M$2:M1305)-SUM($K$2:K1305)-SUM($L$2:L1305))</f>
        <v/>
      </c>
      <c r="O1305" s="72" t="str">
        <f>IF(A1305="","",SUMIF(RATEIOS!$A$2:$A$3142,$A1305,RATEIOS!$F$2:$F$3142))</f>
        <v/>
      </c>
      <c r="P1305" s="15" t="str">
        <f t="shared" si="42"/>
        <v/>
      </c>
      <c r="Q1305" s="49" t="str">
        <f>IF(AND(J1305=0,K1305=0,L1305=0,M1305=0),"",IF(O1305=0,"PENDENTE DE RATEIO",IF(ABS(P1305)&gt;0.005,"DIVERGÊNCIA",IF(COUNTIF(RATEIOS!$A$2:$A$3142,$A1305)-COUNTIFS(RATEIOS!$A$2:$A$3142,$A1305,RATEIOS!$D$2:$D$3142,"&lt;&gt;")&gt;0,"NÃO CLASSIFICADO","RATEIO OK"))))</f>
        <v/>
      </c>
      <c r="R1305" s="49"/>
      <c r="S1305" s="14"/>
    </row>
    <row r="1306" spans="1:19" ht="30" customHeight="1" x14ac:dyDescent="0.25">
      <c r="A1306" s="49" t="str">
        <f>IF(C1306="","","BAN-01305")</f>
        <v/>
      </c>
      <c r="B1306" s="98" t="str">
        <f>IF(C1306="","",1305)</f>
        <v/>
      </c>
      <c r="C1306" s="50"/>
      <c r="D1306" s="49" t="str">
        <f t="shared" si="41"/>
        <v/>
      </c>
      <c r="E1306" s="92"/>
      <c r="F1306" s="49"/>
      <c r="G1306" s="14"/>
      <c r="H1306" s="14"/>
      <c r="I1306" s="76"/>
      <c r="J1306" s="73"/>
      <c r="K1306" s="74"/>
      <c r="L1306" s="72"/>
      <c r="M1306" s="72"/>
      <c r="N1306" s="72" t="str">
        <f>IF(AND(C1306="",J1306=0,K1306=0,L1306=0,M1306=0),"",CADASTROS!$B$4+SUM($J$2:J1306)+SUM($M$2:M1306)-SUM($K$2:K1306)-SUM($L$2:L1306))</f>
        <v/>
      </c>
      <c r="O1306" s="72" t="str">
        <f>IF(A1306="","",SUMIF(RATEIOS!$A$2:$A$3142,$A1306,RATEIOS!$F$2:$F$3142))</f>
        <v/>
      </c>
      <c r="P1306" s="15" t="str">
        <f t="shared" si="42"/>
        <v/>
      </c>
      <c r="Q1306" s="49" t="str">
        <f>IF(AND(J1306=0,K1306=0,L1306=0,M1306=0),"",IF(O1306=0,"PENDENTE DE RATEIO",IF(ABS(P1306)&gt;0.005,"DIVERGÊNCIA",IF(COUNTIF(RATEIOS!$A$2:$A$3142,$A1306)-COUNTIFS(RATEIOS!$A$2:$A$3142,$A1306,RATEIOS!$D$2:$D$3142,"&lt;&gt;")&gt;0,"NÃO CLASSIFICADO","RATEIO OK"))))</f>
        <v/>
      </c>
      <c r="R1306" s="49"/>
      <c r="S1306" s="14"/>
    </row>
    <row r="1307" spans="1:19" ht="30" customHeight="1" x14ac:dyDescent="0.25">
      <c r="A1307" s="49" t="str">
        <f>IF(C1307="","","BAN-01306")</f>
        <v/>
      </c>
      <c r="B1307" s="98" t="str">
        <f>IF(C1307="","",1306)</f>
        <v/>
      </c>
      <c r="C1307" s="50"/>
      <c r="D1307" s="49" t="str">
        <f t="shared" si="41"/>
        <v/>
      </c>
      <c r="E1307" s="92"/>
      <c r="F1307" s="49"/>
      <c r="G1307" s="14"/>
      <c r="H1307" s="14"/>
      <c r="I1307" s="76"/>
      <c r="J1307" s="73"/>
      <c r="K1307" s="74"/>
      <c r="L1307" s="72"/>
      <c r="M1307" s="72"/>
      <c r="N1307" s="72" t="str">
        <f>IF(AND(C1307="",J1307=0,K1307=0,L1307=0,M1307=0),"",CADASTROS!$B$4+SUM($J$2:J1307)+SUM($M$2:M1307)-SUM($K$2:K1307)-SUM($L$2:L1307))</f>
        <v/>
      </c>
      <c r="O1307" s="72" t="str">
        <f>IF(A1307="","",SUMIF(RATEIOS!$A$2:$A$3142,$A1307,RATEIOS!$F$2:$F$3142))</f>
        <v/>
      </c>
      <c r="P1307" s="15" t="str">
        <f t="shared" si="42"/>
        <v/>
      </c>
      <c r="Q1307" s="49" t="str">
        <f>IF(AND(J1307=0,K1307=0,L1307=0,M1307=0),"",IF(O1307=0,"PENDENTE DE RATEIO",IF(ABS(P1307)&gt;0.005,"DIVERGÊNCIA",IF(COUNTIF(RATEIOS!$A$2:$A$3142,$A1307)-COUNTIFS(RATEIOS!$A$2:$A$3142,$A1307,RATEIOS!$D$2:$D$3142,"&lt;&gt;")&gt;0,"NÃO CLASSIFICADO","RATEIO OK"))))</f>
        <v/>
      </c>
      <c r="R1307" s="49"/>
      <c r="S1307" s="14"/>
    </row>
    <row r="1308" spans="1:19" ht="30" customHeight="1" x14ac:dyDescent="0.25">
      <c r="A1308" s="49" t="str">
        <f>IF(C1308="","","BAN-01307")</f>
        <v/>
      </c>
      <c r="B1308" s="98" t="str">
        <f>IF(C1308="","",1307)</f>
        <v/>
      </c>
      <c r="C1308" s="50"/>
      <c r="D1308" s="49" t="str">
        <f t="shared" si="41"/>
        <v/>
      </c>
      <c r="E1308" s="92"/>
      <c r="F1308" s="49"/>
      <c r="G1308" s="14"/>
      <c r="H1308" s="14"/>
      <c r="I1308" s="76"/>
      <c r="J1308" s="73"/>
      <c r="K1308" s="74"/>
      <c r="L1308" s="72"/>
      <c r="M1308" s="72"/>
      <c r="N1308" s="72" t="str">
        <f>IF(AND(C1308="",J1308=0,K1308=0,L1308=0,M1308=0),"",CADASTROS!$B$4+SUM($J$2:J1308)+SUM($M$2:M1308)-SUM($K$2:K1308)-SUM($L$2:L1308))</f>
        <v/>
      </c>
      <c r="O1308" s="72" t="str">
        <f>IF(A1308="","",SUMIF(RATEIOS!$A$2:$A$3142,$A1308,RATEIOS!$F$2:$F$3142))</f>
        <v/>
      </c>
      <c r="P1308" s="15" t="str">
        <f t="shared" si="42"/>
        <v/>
      </c>
      <c r="Q1308" s="49" t="str">
        <f>IF(AND(J1308=0,K1308=0,L1308=0,M1308=0),"",IF(O1308=0,"PENDENTE DE RATEIO",IF(ABS(P1308)&gt;0.005,"DIVERGÊNCIA",IF(COUNTIF(RATEIOS!$A$2:$A$3142,$A1308)-COUNTIFS(RATEIOS!$A$2:$A$3142,$A1308,RATEIOS!$D$2:$D$3142,"&lt;&gt;")&gt;0,"NÃO CLASSIFICADO","RATEIO OK"))))</f>
        <v/>
      </c>
      <c r="R1308" s="49"/>
      <c r="S1308" s="14"/>
    </row>
    <row r="1309" spans="1:19" ht="30" customHeight="1" x14ac:dyDescent="0.25">
      <c r="A1309" s="49" t="str">
        <f>IF(C1309="","","BAN-01308")</f>
        <v/>
      </c>
      <c r="B1309" s="98" t="str">
        <f>IF(C1309="","",1308)</f>
        <v/>
      </c>
      <c r="C1309" s="50"/>
      <c r="D1309" s="49" t="str">
        <f t="shared" si="41"/>
        <v/>
      </c>
      <c r="E1309" s="92"/>
      <c r="F1309" s="49"/>
      <c r="G1309" s="14"/>
      <c r="H1309" s="14"/>
      <c r="I1309" s="76"/>
      <c r="J1309" s="73"/>
      <c r="K1309" s="74"/>
      <c r="L1309" s="72"/>
      <c r="M1309" s="72"/>
      <c r="N1309" s="72" t="str">
        <f>IF(AND(C1309="",J1309=0,K1309=0,L1309=0,M1309=0),"",CADASTROS!$B$4+SUM($J$2:J1309)+SUM($M$2:M1309)-SUM($K$2:K1309)-SUM($L$2:L1309))</f>
        <v/>
      </c>
      <c r="O1309" s="72" t="str">
        <f>IF(A1309="","",SUMIF(RATEIOS!$A$2:$A$3142,$A1309,RATEIOS!$F$2:$F$3142))</f>
        <v/>
      </c>
      <c r="P1309" s="15" t="str">
        <f t="shared" si="42"/>
        <v/>
      </c>
      <c r="Q1309" s="49" t="str">
        <f>IF(AND(J1309=0,K1309=0,L1309=0,M1309=0),"",IF(O1309=0,"PENDENTE DE RATEIO",IF(ABS(P1309)&gt;0.005,"DIVERGÊNCIA",IF(COUNTIF(RATEIOS!$A$2:$A$3142,$A1309)-COUNTIFS(RATEIOS!$A$2:$A$3142,$A1309,RATEIOS!$D$2:$D$3142,"&lt;&gt;")&gt;0,"NÃO CLASSIFICADO","RATEIO OK"))))</f>
        <v/>
      </c>
      <c r="R1309" s="49"/>
      <c r="S1309" s="14"/>
    </row>
    <row r="1310" spans="1:19" ht="30" customHeight="1" x14ac:dyDescent="0.25">
      <c r="A1310" s="49" t="str">
        <f>IF(C1310="","","BAN-01309")</f>
        <v/>
      </c>
      <c r="B1310" s="98" t="str">
        <f>IF(C1310="","",1309)</f>
        <v/>
      </c>
      <c r="C1310" s="50"/>
      <c r="D1310" s="49" t="str">
        <f t="shared" si="41"/>
        <v/>
      </c>
      <c r="E1310" s="92"/>
      <c r="F1310" s="49"/>
      <c r="G1310" s="14"/>
      <c r="H1310" s="14"/>
      <c r="I1310" s="76"/>
      <c r="J1310" s="73"/>
      <c r="K1310" s="74"/>
      <c r="L1310" s="72"/>
      <c r="M1310" s="72"/>
      <c r="N1310" s="72" t="str">
        <f>IF(AND(C1310="",J1310=0,K1310=0,L1310=0,M1310=0),"",CADASTROS!$B$4+SUM($J$2:J1310)+SUM($M$2:M1310)-SUM($K$2:K1310)-SUM($L$2:L1310))</f>
        <v/>
      </c>
      <c r="O1310" s="72" t="str">
        <f>IF(A1310="","",SUMIF(RATEIOS!$A$2:$A$3142,$A1310,RATEIOS!$F$2:$F$3142))</f>
        <v/>
      </c>
      <c r="P1310" s="15" t="str">
        <f t="shared" si="42"/>
        <v/>
      </c>
      <c r="Q1310" s="49" t="str">
        <f>IF(AND(J1310=0,K1310=0,L1310=0,M1310=0),"",IF(O1310=0,"PENDENTE DE RATEIO",IF(ABS(P1310)&gt;0.005,"DIVERGÊNCIA",IF(COUNTIF(RATEIOS!$A$2:$A$3142,$A1310)-COUNTIFS(RATEIOS!$A$2:$A$3142,$A1310,RATEIOS!$D$2:$D$3142,"&lt;&gt;")&gt;0,"NÃO CLASSIFICADO","RATEIO OK"))))</f>
        <v/>
      </c>
      <c r="R1310" s="49"/>
      <c r="S1310" s="14"/>
    </row>
    <row r="1311" spans="1:19" ht="30" customHeight="1" x14ac:dyDescent="0.25">
      <c r="A1311" s="49" t="str">
        <f>IF(C1311="","","BAN-01310")</f>
        <v/>
      </c>
      <c r="B1311" s="98" t="str">
        <f>IF(C1311="","",1310)</f>
        <v/>
      </c>
      <c r="C1311" s="50"/>
      <c r="D1311" s="49" t="str">
        <f t="shared" si="41"/>
        <v/>
      </c>
      <c r="E1311" s="92"/>
      <c r="F1311" s="49"/>
      <c r="G1311" s="14"/>
      <c r="H1311" s="14"/>
      <c r="I1311" s="76"/>
      <c r="J1311" s="73"/>
      <c r="K1311" s="74"/>
      <c r="L1311" s="72"/>
      <c r="M1311" s="72"/>
      <c r="N1311" s="72" t="str">
        <f>IF(AND(C1311="",J1311=0,K1311=0,L1311=0,M1311=0),"",CADASTROS!$B$4+SUM($J$2:J1311)+SUM($M$2:M1311)-SUM($K$2:K1311)-SUM($L$2:L1311))</f>
        <v/>
      </c>
      <c r="O1311" s="72" t="str">
        <f>IF(A1311="","",SUMIF(RATEIOS!$A$2:$A$3142,$A1311,RATEIOS!$F$2:$F$3142))</f>
        <v/>
      </c>
      <c r="P1311" s="15" t="str">
        <f t="shared" si="42"/>
        <v/>
      </c>
      <c r="Q1311" s="49" t="str">
        <f>IF(AND(J1311=0,K1311=0,L1311=0,M1311=0),"",IF(O1311=0,"PENDENTE DE RATEIO",IF(ABS(P1311)&gt;0.005,"DIVERGÊNCIA",IF(COUNTIF(RATEIOS!$A$2:$A$3142,$A1311)-COUNTIFS(RATEIOS!$A$2:$A$3142,$A1311,RATEIOS!$D$2:$D$3142,"&lt;&gt;")&gt;0,"NÃO CLASSIFICADO","RATEIO OK"))))</f>
        <v/>
      </c>
      <c r="R1311" s="49"/>
      <c r="S1311" s="14"/>
    </row>
    <row r="1312" spans="1:19" ht="30" customHeight="1" x14ac:dyDescent="0.25">
      <c r="A1312" s="49" t="str">
        <f>IF(C1312="","","BAN-01311")</f>
        <v/>
      </c>
      <c r="B1312" s="98" t="str">
        <f>IF(C1312="","",1311)</f>
        <v/>
      </c>
      <c r="C1312" s="50"/>
      <c r="D1312" s="49" t="str">
        <f t="shared" si="41"/>
        <v/>
      </c>
      <c r="E1312" s="92"/>
      <c r="F1312" s="49"/>
      <c r="G1312" s="14"/>
      <c r="H1312" s="14"/>
      <c r="I1312" s="76"/>
      <c r="J1312" s="73"/>
      <c r="K1312" s="74"/>
      <c r="L1312" s="72"/>
      <c r="M1312" s="72"/>
      <c r="N1312" s="72" t="str">
        <f>IF(AND(C1312="",J1312=0,K1312=0,L1312=0,M1312=0),"",CADASTROS!$B$4+SUM($J$2:J1312)+SUM($M$2:M1312)-SUM($K$2:K1312)-SUM($L$2:L1312))</f>
        <v/>
      </c>
      <c r="O1312" s="72" t="str">
        <f>IF(A1312="","",SUMIF(RATEIOS!$A$2:$A$3142,$A1312,RATEIOS!$F$2:$F$3142))</f>
        <v/>
      </c>
      <c r="P1312" s="15" t="str">
        <f t="shared" si="42"/>
        <v/>
      </c>
      <c r="Q1312" s="49" t="str">
        <f>IF(AND(J1312=0,K1312=0,L1312=0,M1312=0),"",IF(O1312=0,"PENDENTE DE RATEIO",IF(ABS(P1312)&gt;0.005,"DIVERGÊNCIA",IF(COUNTIF(RATEIOS!$A$2:$A$3142,$A1312)-COUNTIFS(RATEIOS!$A$2:$A$3142,$A1312,RATEIOS!$D$2:$D$3142,"&lt;&gt;")&gt;0,"NÃO CLASSIFICADO","RATEIO OK"))))</f>
        <v/>
      </c>
      <c r="R1312" s="49"/>
      <c r="S1312" s="14"/>
    </row>
    <row r="1313" spans="1:19" ht="30" customHeight="1" x14ac:dyDescent="0.25">
      <c r="A1313" s="49" t="str">
        <f>IF(C1313="","","BAN-01312")</f>
        <v/>
      </c>
      <c r="B1313" s="98" t="str">
        <f>IF(C1313="","",1312)</f>
        <v/>
      </c>
      <c r="C1313" s="50"/>
      <c r="D1313" s="49" t="str">
        <f t="shared" si="41"/>
        <v/>
      </c>
      <c r="E1313" s="92"/>
      <c r="F1313" s="49"/>
      <c r="G1313" s="14"/>
      <c r="H1313" s="14"/>
      <c r="I1313" s="76"/>
      <c r="J1313" s="73"/>
      <c r="K1313" s="74"/>
      <c r="L1313" s="72"/>
      <c r="M1313" s="72"/>
      <c r="N1313" s="72" t="str">
        <f>IF(AND(C1313="",J1313=0,K1313=0,L1313=0,M1313=0),"",CADASTROS!$B$4+SUM($J$2:J1313)+SUM($M$2:M1313)-SUM($K$2:K1313)-SUM($L$2:L1313))</f>
        <v/>
      </c>
      <c r="O1313" s="72" t="str">
        <f>IF(A1313="","",SUMIF(RATEIOS!$A$2:$A$3142,$A1313,RATEIOS!$F$2:$F$3142))</f>
        <v/>
      </c>
      <c r="P1313" s="15" t="str">
        <f t="shared" si="42"/>
        <v/>
      </c>
      <c r="Q1313" s="49" t="str">
        <f>IF(AND(J1313=0,K1313=0,L1313=0,M1313=0),"",IF(O1313=0,"PENDENTE DE RATEIO",IF(ABS(P1313)&gt;0.005,"DIVERGÊNCIA",IF(COUNTIF(RATEIOS!$A$2:$A$3142,$A1313)-COUNTIFS(RATEIOS!$A$2:$A$3142,$A1313,RATEIOS!$D$2:$D$3142,"&lt;&gt;")&gt;0,"NÃO CLASSIFICADO","RATEIO OK"))))</f>
        <v/>
      </c>
      <c r="R1313" s="49"/>
      <c r="S1313" s="14"/>
    </row>
    <row r="1314" spans="1:19" ht="30" customHeight="1" x14ac:dyDescent="0.25">
      <c r="A1314" s="49" t="str">
        <f>IF(C1314="","","BAN-01313")</f>
        <v/>
      </c>
      <c r="B1314" s="98" t="str">
        <f>IF(C1314="","",1313)</f>
        <v/>
      </c>
      <c r="C1314" s="50"/>
      <c r="D1314" s="49" t="str">
        <f t="shared" si="41"/>
        <v/>
      </c>
      <c r="E1314" s="92"/>
      <c r="F1314" s="49"/>
      <c r="G1314" s="14"/>
      <c r="H1314" s="14"/>
      <c r="I1314" s="76"/>
      <c r="J1314" s="73"/>
      <c r="K1314" s="74"/>
      <c r="L1314" s="72"/>
      <c r="M1314" s="72"/>
      <c r="N1314" s="72" t="str">
        <f>IF(AND(C1314="",J1314=0,K1314=0,L1314=0,M1314=0),"",CADASTROS!$B$4+SUM($J$2:J1314)+SUM($M$2:M1314)-SUM($K$2:K1314)-SUM($L$2:L1314))</f>
        <v/>
      </c>
      <c r="O1314" s="72" t="str">
        <f>IF(A1314="","",SUMIF(RATEIOS!$A$2:$A$3142,$A1314,RATEIOS!$F$2:$F$3142))</f>
        <v/>
      </c>
      <c r="P1314" s="15" t="str">
        <f t="shared" si="42"/>
        <v/>
      </c>
      <c r="Q1314" s="49" t="str">
        <f>IF(AND(J1314=0,K1314=0,L1314=0,M1314=0),"",IF(O1314=0,"PENDENTE DE RATEIO",IF(ABS(P1314)&gt;0.005,"DIVERGÊNCIA",IF(COUNTIF(RATEIOS!$A$2:$A$3142,$A1314)-COUNTIFS(RATEIOS!$A$2:$A$3142,$A1314,RATEIOS!$D$2:$D$3142,"&lt;&gt;")&gt;0,"NÃO CLASSIFICADO","RATEIO OK"))))</f>
        <v/>
      </c>
      <c r="R1314" s="49"/>
      <c r="S1314" s="14"/>
    </row>
    <row r="1315" spans="1:19" ht="30" customHeight="1" x14ac:dyDescent="0.25">
      <c r="A1315" s="49" t="str">
        <f>IF(C1315="","","BAN-01314")</f>
        <v/>
      </c>
      <c r="B1315" s="98" t="str">
        <f>IF(C1315="","",1314)</f>
        <v/>
      </c>
      <c r="C1315" s="50"/>
      <c r="D1315" s="49" t="str">
        <f t="shared" si="41"/>
        <v/>
      </c>
      <c r="E1315" s="92"/>
      <c r="F1315" s="49"/>
      <c r="G1315" s="14"/>
      <c r="H1315" s="14"/>
      <c r="I1315" s="76"/>
      <c r="J1315" s="73"/>
      <c r="K1315" s="74"/>
      <c r="L1315" s="72"/>
      <c r="M1315" s="72"/>
      <c r="N1315" s="72" t="str">
        <f>IF(AND(C1315="",J1315=0,K1315=0,L1315=0,M1315=0),"",CADASTROS!$B$4+SUM($J$2:J1315)+SUM($M$2:M1315)-SUM($K$2:K1315)-SUM($L$2:L1315))</f>
        <v/>
      </c>
      <c r="O1315" s="72" t="str">
        <f>IF(A1315="","",SUMIF(RATEIOS!$A$2:$A$3142,$A1315,RATEIOS!$F$2:$F$3142))</f>
        <v/>
      </c>
      <c r="P1315" s="15" t="str">
        <f t="shared" si="42"/>
        <v/>
      </c>
      <c r="Q1315" s="49" t="str">
        <f>IF(AND(J1315=0,K1315=0,L1315=0,M1315=0),"",IF(O1315=0,"PENDENTE DE RATEIO",IF(ABS(P1315)&gt;0.005,"DIVERGÊNCIA",IF(COUNTIF(RATEIOS!$A$2:$A$3142,$A1315)-COUNTIFS(RATEIOS!$A$2:$A$3142,$A1315,RATEIOS!$D$2:$D$3142,"&lt;&gt;")&gt;0,"NÃO CLASSIFICADO","RATEIO OK"))))</f>
        <v/>
      </c>
      <c r="R1315" s="49"/>
      <c r="S1315" s="14"/>
    </row>
    <row r="1316" spans="1:19" ht="30" customHeight="1" x14ac:dyDescent="0.25">
      <c r="A1316" s="49" t="str">
        <f>IF(C1316="","","BAN-01315")</f>
        <v/>
      </c>
      <c r="B1316" s="98" t="str">
        <f>IF(C1316="","",1315)</f>
        <v/>
      </c>
      <c r="C1316" s="50"/>
      <c r="D1316" s="49" t="str">
        <f t="shared" si="41"/>
        <v/>
      </c>
      <c r="E1316" s="92"/>
      <c r="F1316" s="49"/>
      <c r="G1316" s="14"/>
      <c r="H1316" s="14"/>
      <c r="I1316" s="76"/>
      <c r="J1316" s="73"/>
      <c r="K1316" s="74"/>
      <c r="L1316" s="72"/>
      <c r="M1316" s="72"/>
      <c r="N1316" s="72" t="str">
        <f>IF(AND(C1316="",J1316=0,K1316=0,L1316=0,M1316=0),"",CADASTROS!$B$4+SUM($J$2:J1316)+SUM($M$2:M1316)-SUM($K$2:K1316)-SUM($L$2:L1316))</f>
        <v/>
      </c>
      <c r="O1316" s="72" t="str">
        <f>IF(A1316="","",SUMIF(RATEIOS!$A$2:$A$3142,$A1316,RATEIOS!$F$2:$F$3142))</f>
        <v/>
      </c>
      <c r="P1316" s="15" t="str">
        <f t="shared" si="42"/>
        <v/>
      </c>
      <c r="Q1316" s="49" t="str">
        <f>IF(AND(J1316=0,K1316=0,L1316=0,M1316=0),"",IF(O1316=0,"PENDENTE DE RATEIO",IF(ABS(P1316)&gt;0.005,"DIVERGÊNCIA",IF(COUNTIF(RATEIOS!$A$2:$A$3142,$A1316)-COUNTIFS(RATEIOS!$A$2:$A$3142,$A1316,RATEIOS!$D$2:$D$3142,"&lt;&gt;")&gt;0,"NÃO CLASSIFICADO","RATEIO OK"))))</f>
        <v/>
      </c>
      <c r="R1316" s="49"/>
      <c r="S1316" s="14"/>
    </row>
    <row r="1317" spans="1:19" ht="30" customHeight="1" x14ac:dyDescent="0.25">
      <c r="A1317" s="49" t="str">
        <f>IF(C1317="","","BAN-01316")</f>
        <v/>
      </c>
      <c r="B1317" s="98" t="str">
        <f>IF(C1317="","",1316)</f>
        <v/>
      </c>
      <c r="C1317" s="50"/>
      <c r="D1317" s="49" t="str">
        <f t="shared" si="41"/>
        <v/>
      </c>
      <c r="E1317" s="92"/>
      <c r="F1317" s="49"/>
      <c r="G1317" s="14"/>
      <c r="H1317" s="14"/>
      <c r="I1317" s="76"/>
      <c r="J1317" s="73"/>
      <c r="K1317" s="74"/>
      <c r="L1317" s="72"/>
      <c r="M1317" s="72"/>
      <c r="N1317" s="72" t="str">
        <f>IF(AND(C1317="",J1317=0,K1317=0,L1317=0,M1317=0),"",CADASTROS!$B$4+SUM($J$2:J1317)+SUM($M$2:M1317)-SUM($K$2:K1317)-SUM($L$2:L1317))</f>
        <v/>
      </c>
      <c r="O1317" s="72" t="str">
        <f>IF(A1317="","",SUMIF(RATEIOS!$A$2:$A$3142,$A1317,RATEIOS!$F$2:$F$3142))</f>
        <v/>
      </c>
      <c r="P1317" s="15" t="str">
        <f t="shared" si="42"/>
        <v/>
      </c>
      <c r="Q1317" s="49" t="str">
        <f>IF(AND(J1317=0,K1317=0,L1317=0,M1317=0),"",IF(O1317=0,"PENDENTE DE RATEIO",IF(ABS(P1317)&gt;0.005,"DIVERGÊNCIA",IF(COUNTIF(RATEIOS!$A$2:$A$3142,$A1317)-COUNTIFS(RATEIOS!$A$2:$A$3142,$A1317,RATEIOS!$D$2:$D$3142,"&lt;&gt;")&gt;0,"NÃO CLASSIFICADO","RATEIO OK"))))</f>
        <v/>
      </c>
      <c r="R1317" s="49"/>
      <c r="S1317" s="14"/>
    </row>
    <row r="1318" spans="1:19" ht="30" customHeight="1" x14ac:dyDescent="0.25">
      <c r="A1318" s="49" t="str">
        <f>IF(C1318="","","BAN-01317")</f>
        <v/>
      </c>
      <c r="B1318" s="98" t="str">
        <f>IF(C1318="","",1317)</f>
        <v/>
      </c>
      <c r="C1318" s="50"/>
      <c r="D1318" s="49" t="str">
        <f t="shared" si="41"/>
        <v/>
      </c>
      <c r="E1318" s="92"/>
      <c r="F1318" s="49"/>
      <c r="G1318" s="14"/>
      <c r="H1318" s="14"/>
      <c r="I1318" s="76"/>
      <c r="J1318" s="73"/>
      <c r="K1318" s="74"/>
      <c r="L1318" s="72"/>
      <c r="M1318" s="72"/>
      <c r="N1318" s="72" t="str">
        <f>IF(AND(C1318="",J1318=0,K1318=0,L1318=0,M1318=0),"",CADASTROS!$B$4+SUM($J$2:J1318)+SUM($M$2:M1318)-SUM($K$2:K1318)-SUM($L$2:L1318))</f>
        <v/>
      </c>
      <c r="O1318" s="72" t="str">
        <f>IF(A1318="","",SUMIF(RATEIOS!$A$2:$A$3142,$A1318,RATEIOS!$F$2:$F$3142))</f>
        <v/>
      </c>
      <c r="P1318" s="15" t="str">
        <f t="shared" si="42"/>
        <v/>
      </c>
      <c r="Q1318" s="49" t="str">
        <f>IF(AND(J1318=0,K1318=0,L1318=0,M1318=0),"",IF(O1318=0,"PENDENTE DE RATEIO",IF(ABS(P1318)&gt;0.005,"DIVERGÊNCIA",IF(COUNTIF(RATEIOS!$A$2:$A$3142,$A1318)-COUNTIFS(RATEIOS!$A$2:$A$3142,$A1318,RATEIOS!$D$2:$D$3142,"&lt;&gt;")&gt;0,"NÃO CLASSIFICADO","RATEIO OK"))))</f>
        <v/>
      </c>
      <c r="R1318" s="49"/>
      <c r="S1318" s="14"/>
    </row>
    <row r="1319" spans="1:19" ht="30" customHeight="1" x14ac:dyDescent="0.25">
      <c r="A1319" s="49" t="str">
        <f>IF(C1319="","","BAN-01318")</f>
        <v/>
      </c>
      <c r="B1319" s="98" t="str">
        <f>IF(C1319="","",1318)</f>
        <v/>
      </c>
      <c r="C1319" s="50"/>
      <c r="D1319" s="49" t="str">
        <f t="shared" si="41"/>
        <v/>
      </c>
      <c r="E1319" s="92"/>
      <c r="F1319" s="49"/>
      <c r="G1319" s="14"/>
      <c r="H1319" s="14"/>
      <c r="I1319" s="76"/>
      <c r="J1319" s="73"/>
      <c r="K1319" s="74"/>
      <c r="L1319" s="72"/>
      <c r="M1319" s="72"/>
      <c r="N1319" s="72" t="str">
        <f>IF(AND(C1319="",J1319=0,K1319=0,L1319=0,M1319=0),"",CADASTROS!$B$4+SUM($J$2:J1319)+SUM($M$2:M1319)-SUM($K$2:K1319)-SUM($L$2:L1319))</f>
        <v/>
      </c>
      <c r="O1319" s="72" t="str">
        <f>IF(A1319="","",SUMIF(RATEIOS!$A$2:$A$3142,$A1319,RATEIOS!$F$2:$F$3142))</f>
        <v/>
      </c>
      <c r="P1319" s="15" t="str">
        <f t="shared" si="42"/>
        <v/>
      </c>
      <c r="Q1319" s="49" t="str">
        <f>IF(AND(J1319=0,K1319=0,L1319=0,M1319=0),"",IF(O1319=0,"PENDENTE DE RATEIO",IF(ABS(P1319)&gt;0.005,"DIVERGÊNCIA",IF(COUNTIF(RATEIOS!$A$2:$A$3142,$A1319)-COUNTIFS(RATEIOS!$A$2:$A$3142,$A1319,RATEIOS!$D$2:$D$3142,"&lt;&gt;")&gt;0,"NÃO CLASSIFICADO","RATEIO OK"))))</f>
        <v/>
      </c>
      <c r="R1319" s="49"/>
      <c r="S1319" s="14"/>
    </row>
    <row r="1320" spans="1:19" ht="30" customHeight="1" x14ac:dyDescent="0.25">
      <c r="A1320" s="49" t="str">
        <f>IF(C1320="","","BAN-01319")</f>
        <v/>
      </c>
      <c r="B1320" s="98" t="str">
        <f>IF(C1320="","",1319)</f>
        <v/>
      </c>
      <c r="C1320" s="50"/>
      <c r="D1320" s="49" t="str">
        <f t="shared" si="41"/>
        <v/>
      </c>
      <c r="E1320" s="92"/>
      <c r="F1320" s="49"/>
      <c r="G1320" s="14"/>
      <c r="H1320" s="14"/>
      <c r="I1320" s="76"/>
      <c r="J1320" s="73"/>
      <c r="K1320" s="74"/>
      <c r="L1320" s="72"/>
      <c r="M1320" s="72"/>
      <c r="N1320" s="72" t="str">
        <f>IF(AND(C1320="",J1320=0,K1320=0,L1320=0,M1320=0),"",CADASTROS!$B$4+SUM($J$2:J1320)+SUM($M$2:M1320)-SUM($K$2:K1320)-SUM($L$2:L1320))</f>
        <v/>
      </c>
      <c r="O1320" s="72" t="str">
        <f>IF(A1320="","",SUMIF(RATEIOS!$A$2:$A$3142,$A1320,RATEIOS!$F$2:$F$3142))</f>
        <v/>
      </c>
      <c r="P1320" s="15" t="str">
        <f t="shared" si="42"/>
        <v/>
      </c>
      <c r="Q1320" s="49" t="str">
        <f>IF(AND(J1320=0,K1320=0,L1320=0,M1320=0),"",IF(O1320=0,"PENDENTE DE RATEIO",IF(ABS(P1320)&gt;0.005,"DIVERGÊNCIA",IF(COUNTIF(RATEIOS!$A$2:$A$3142,$A1320)-COUNTIFS(RATEIOS!$A$2:$A$3142,$A1320,RATEIOS!$D$2:$D$3142,"&lt;&gt;")&gt;0,"NÃO CLASSIFICADO","RATEIO OK"))))</f>
        <v/>
      </c>
      <c r="R1320" s="49"/>
      <c r="S1320" s="14"/>
    </row>
    <row r="1321" spans="1:19" ht="30" customHeight="1" x14ac:dyDescent="0.25">
      <c r="A1321" s="49" t="str">
        <f>IF(C1321="","","BAN-01320")</f>
        <v/>
      </c>
      <c r="B1321" s="98" t="str">
        <f>IF(C1321="","",1320)</f>
        <v/>
      </c>
      <c r="C1321" s="50"/>
      <c r="D1321" s="49" t="str">
        <f t="shared" si="41"/>
        <v/>
      </c>
      <c r="E1321" s="92"/>
      <c r="F1321" s="49"/>
      <c r="G1321" s="14"/>
      <c r="H1321" s="14"/>
      <c r="I1321" s="76"/>
      <c r="J1321" s="73"/>
      <c r="K1321" s="74"/>
      <c r="L1321" s="72"/>
      <c r="M1321" s="72"/>
      <c r="N1321" s="72" t="str">
        <f>IF(AND(C1321="",J1321=0,K1321=0,L1321=0,M1321=0),"",CADASTROS!$B$4+SUM($J$2:J1321)+SUM($M$2:M1321)-SUM($K$2:K1321)-SUM($L$2:L1321))</f>
        <v/>
      </c>
      <c r="O1321" s="72" t="str">
        <f>IF(A1321="","",SUMIF(RATEIOS!$A$2:$A$3142,$A1321,RATEIOS!$F$2:$F$3142))</f>
        <v/>
      </c>
      <c r="P1321" s="15" t="str">
        <f t="shared" si="42"/>
        <v/>
      </c>
      <c r="Q1321" s="49" t="str">
        <f>IF(AND(J1321=0,K1321=0,L1321=0,M1321=0),"",IF(O1321=0,"PENDENTE DE RATEIO",IF(ABS(P1321)&gt;0.005,"DIVERGÊNCIA",IF(COUNTIF(RATEIOS!$A$2:$A$3142,$A1321)-COUNTIFS(RATEIOS!$A$2:$A$3142,$A1321,RATEIOS!$D$2:$D$3142,"&lt;&gt;")&gt;0,"NÃO CLASSIFICADO","RATEIO OK"))))</f>
        <v/>
      </c>
      <c r="R1321" s="49"/>
      <c r="S1321" s="14"/>
    </row>
    <row r="1322" spans="1:19" ht="30" customHeight="1" x14ac:dyDescent="0.25">
      <c r="A1322" s="49" t="str">
        <f>IF(C1322="","","BAN-01321")</f>
        <v/>
      </c>
      <c r="B1322" s="98" t="str">
        <f>IF(C1322="","",1321)</f>
        <v/>
      </c>
      <c r="C1322" s="50"/>
      <c r="D1322" s="49" t="str">
        <f t="shared" si="41"/>
        <v/>
      </c>
      <c r="E1322" s="92"/>
      <c r="F1322" s="49"/>
      <c r="G1322" s="14"/>
      <c r="H1322" s="14"/>
      <c r="I1322" s="76"/>
      <c r="J1322" s="73"/>
      <c r="K1322" s="74"/>
      <c r="L1322" s="72"/>
      <c r="M1322" s="72"/>
      <c r="N1322" s="72" t="str">
        <f>IF(AND(C1322="",J1322=0,K1322=0,L1322=0,M1322=0),"",CADASTROS!$B$4+SUM($J$2:J1322)+SUM($M$2:M1322)-SUM($K$2:K1322)-SUM($L$2:L1322))</f>
        <v/>
      </c>
      <c r="O1322" s="72" t="str">
        <f>IF(A1322="","",SUMIF(RATEIOS!$A$2:$A$3142,$A1322,RATEIOS!$F$2:$F$3142))</f>
        <v/>
      </c>
      <c r="P1322" s="15" t="str">
        <f t="shared" si="42"/>
        <v/>
      </c>
      <c r="Q1322" s="49" t="str">
        <f>IF(AND(J1322=0,K1322=0,L1322=0,M1322=0),"",IF(O1322=0,"PENDENTE DE RATEIO",IF(ABS(P1322)&gt;0.005,"DIVERGÊNCIA",IF(COUNTIF(RATEIOS!$A$2:$A$3142,$A1322)-COUNTIFS(RATEIOS!$A$2:$A$3142,$A1322,RATEIOS!$D$2:$D$3142,"&lt;&gt;")&gt;0,"NÃO CLASSIFICADO","RATEIO OK"))))</f>
        <v/>
      </c>
      <c r="R1322" s="49"/>
      <c r="S1322" s="14"/>
    </row>
    <row r="1323" spans="1:19" ht="30" customHeight="1" x14ac:dyDescent="0.25">
      <c r="A1323" s="49" t="str">
        <f>IF(C1323="","","BAN-01322")</f>
        <v/>
      </c>
      <c r="B1323" s="98" t="str">
        <f>IF(C1323="","",1322)</f>
        <v/>
      </c>
      <c r="C1323" s="50"/>
      <c r="D1323" s="49" t="str">
        <f t="shared" si="41"/>
        <v/>
      </c>
      <c r="E1323" s="92"/>
      <c r="F1323" s="49"/>
      <c r="G1323" s="14"/>
      <c r="H1323" s="14"/>
      <c r="I1323" s="76"/>
      <c r="J1323" s="73"/>
      <c r="K1323" s="74"/>
      <c r="L1323" s="72"/>
      <c r="M1323" s="72"/>
      <c r="N1323" s="72" t="str">
        <f>IF(AND(C1323="",J1323=0,K1323=0,L1323=0,M1323=0),"",CADASTROS!$B$4+SUM($J$2:J1323)+SUM($M$2:M1323)-SUM($K$2:K1323)-SUM($L$2:L1323))</f>
        <v/>
      </c>
      <c r="O1323" s="72" t="str">
        <f>IF(A1323="","",SUMIF(RATEIOS!$A$2:$A$3142,$A1323,RATEIOS!$F$2:$F$3142))</f>
        <v/>
      </c>
      <c r="P1323" s="15" t="str">
        <f t="shared" si="42"/>
        <v/>
      </c>
      <c r="Q1323" s="49" t="str">
        <f>IF(AND(J1323=0,K1323=0,L1323=0,M1323=0),"",IF(O1323=0,"PENDENTE DE RATEIO",IF(ABS(P1323)&gt;0.005,"DIVERGÊNCIA",IF(COUNTIF(RATEIOS!$A$2:$A$3142,$A1323)-COUNTIFS(RATEIOS!$A$2:$A$3142,$A1323,RATEIOS!$D$2:$D$3142,"&lt;&gt;")&gt;0,"NÃO CLASSIFICADO","RATEIO OK"))))</f>
        <v/>
      </c>
      <c r="R1323" s="49"/>
      <c r="S1323" s="14"/>
    </row>
    <row r="1324" spans="1:19" ht="30" customHeight="1" x14ac:dyDescent="0.25">
      <c r="A1324" s="49" t="str">
        <f>IF(C1324="","","BAN-01323")</f>
        <v/>
      </c>
      <c r="B1324" s="98" t="str">
        <f>IF(C1324="","",1323)</f>
        <v/>
      </c>
      <c r="C1324" s="50"/>
      <c r="D1324" s="49" t="str">
        <f t="shared" si="41"/>
        <v/>
      </c>
      <c r="E1324" s="92"/>
      <c r="F1324" s="49"/>
      <c r="G1324" s="14"/>
      <c r="H1324" s="14"/>
      <c r="I1324" s="76"/>
      <c r="J1324" s="73"/>
      <c r="K1324" s="74"/>
      <c r="L1324" s="72"/>
      <c r="M1324" s="72"/>
      <c r="N1324" s="72" t="str">
        <f>IF(AND(C1324="",J1324=0,K1324=0,L1324=0,M1324=0),"",CADASTROS!$B$4+SUM($J$2:J1324)+SUM($M$2:M1324)-SUM($K$2:K1324)-SUM($L$2:L1324))</f>
        <v/>
      </c>
      <c r="O1324" s="72" t="str">
        <f>IF(A1324="","",SUMIF(RATEIOS!$A$2:$A$3142,$A1324,RATEIOS!$F$2:$F$3142))</f>
        <v/>
      </c>
      <c r="P1324" s="15" t="str">
        <f t="shared" si="42"/>
        <v/>
      </c>
      <c r="Q1324" s="49" t="str">
        <f>IF(AND(J1324=0,K1324=0,L1324=0,M1324=0),"",IF(O1324=0,"PENDENTE DE RATEIO",IF(ABS(P1324)&gt;0.005,"DIVERGÊNCIA",IF(COUNTIF(RATEIOS!$A$2:$A$3142,$A1324)-COUNTIFS(RATEIOS!$A$2:$A$3142,$A1324,RATEIOS!$D$2:$D$3142,"&lt;&gt;")&gt;0,"NÃO CLASSIFICADO","RATEIO OK"))))</f>
        <v/>
      </c>
      <c r="R1324" s="49"/>
      <c r="S1324" s="14"/>
    </row>
    <row r="1325" spans="1:19" ht="30" customHeight="1" x14ac:dyDescent="0.25">
      <c r="A1325" s="49" t="str">
        <f>IF(C1325="","","BAN-01324")</f>
        <v/>
      </c>
      <c r="B1325" s="98" t="str">
        <f>IF(C1325="","",1324)</f>
        <v/>
      </c>
      <c r="C1325" s="50"/>
      <c r="D1325" s="49" t="str">
        <f t="shared" si="41"/>
        <v/>
      </c>
      <c r="E1325" s="92"/>
      <c r="F1325" s="49"/>
      <c r="G1325" s="14"/>
      <c r="H1325" s="14"/>
      <c r="I1325" s="76"/>
      <c r="J1325" s="73"/>
      <c r="K1325" s="74"/>
      <c r="L1325" s="72"/>
      <c r="M1325" s="72"/>
      <c r="N1325" s="72" t="str">
        <f>IF(AND(C1325="",J1325=0,K1325=0,L1325=0,M1325=0),"",CADASTROS!$B$4+SUM($J$2:J1325)+SUM($M$2:M1325)-SUM($K$2:K1325)-SUM($L$2:L1325))</f>
        <v/>
      </c>
      <c r="O1325" s="72" t="str">
        <f>IF(A1325="","",SUMIF(RATEIOS!$A$2:$A$3142,$A1325,RATEIOS!$F$2:$F$3142))</f>
        <v/>
      </c>
      <c r="P1325" s="15" t="str">
        <f t="shared" si="42"/>
        <v/>
      </c>
      <c r="Q1325" s="49" t="str">
        <f>IF(AND(J1325=0,K1325=0,L1325=0,M1325=0),"",IF(O1325=0,"PENDENTE DE RATEIO",IF(ABS(P1325)&gt;0.005,"DIVERGÊNCIA",IF(COUNTIF(RATEIOS!$A$2:$A$3142,$A1325)-COUNTIFS(RATEIOS!$A$2:$A$3142,$A1325,RATEIOS!$D$2:$D$3142,"&lt;&gt;")&gt;0,"NÃO CLASSIFICADO","RATEIO OK"))))</f>
        <v/>
      </c>
      <c r="R1325" s="49"/>
      <c r="S1325" s="14"/>
    </row>
    <row r="1326" spans="1:19" ht="30" customHeight="1" x14ac:dyDescent="0.25">
      <c r="A1326" s="49" t="str">
        <f>IF(C1326="","","BAN-01325")</f>
        <v/>
      </c>
      <c r="B1326" s="98" t="str">
        <f>IF(C1326="","",1325)</f>
        <v/>
      </c>
      <c r="C1326" s="50"/>
      <c r="D1326" s="49" t="str">
        <f t="shared" si="41"/>
        <v/>
      </c>
      <c r="E1326" s="92"/>
      <c r="F1326" s="49"/>
      <c r="G1326" s="14"/>
      <c r="H1326" s="14"/>
      <c r="I1326" s="76"/>
      <c r="J1326" s="73"/>
      <c r="K1326" s="74"/>
      <c r="L1326" s="72"/>
      <c r="M1326" s="72"/>
      <c r="N1326" s="72" t="str">
        <f>IF(AND(C1326="",J1326=0,K1326=0,L1326=0,M1326=0),"",CADASTROS!$B$4+SUM($J$2:J1326)+SUM($M$2:M1326)-SUM($K$2:K1326)-SUM($L$2:L1326))</f>
        <v/>
      </c>
      <c r="O1326" s="72" t="str">
        <f>IF(A1326="","",SUMIF(RATEIOS!$A$2:$A$3142,$A1326,RATEIOS!$F$2:$F$3142))</f>
        <v/>
      </c>
      <c r="P1326" s="15" t="str">
        <f t="shared" si="42"/>
        <v/>
      </c>
      <c r="Q1326" s="49" t="str">
        <f>IF(AND(J1326=0,K1326=0,L1326=0,M1326=0),"",IF(O1326=0,"PENDENTE DE RATEIO",IF(ABS(P1326)&gt;0.005,"DIVERGÊNCIA",IF(COUNTIF(RATEIOS!$A$2:$A$3142,$A1326)-COUNTIFS(RATEIOS!$A$2:$A$3142,$A1326,RATEIOS!$D$2:$D$3142,"&lt;&gt;")&gt;0,"NÃO CLASSIFICADO","RATEIO OK"))))</f>
        <v/>
      </c>
      <c r="R1326" s="49"/>
      <c r="S1326" s="14"/>
    </row>
    <row r="1327" spans="1:19" ht="30" customHeight="1" x14ac:dyDescent="0.25">
      <c r="A1327" s="49" t="str">
        <f>IF(C1327="","","BAN-01326")</f>
        <v/>
      </c>
      <c r="B1327" s="98" t="str">
        <f>IF(C1327="","",1326)</f>
        <v/>
      </c>
      <c r="C1327" s="50"/>
      <c r="D1327" s="49" t="str">
        <f t="shared" si="41"/>
        <v/>
      </c>
      <c r="E1327" s="92"/>
      <c r="F1327" s="49"/>
      <c r="G1327" s="14"/>
      <c r="H1327" s="14"/>
      <c r="I1327" s="76"/>
      <c r="J1327" s="73"/>
      <c r="K1327" s="74"/>
      <c r="L1327" s="72"/>
      <c r="M1327" s="72"/>
      <c r="N1327" s="72" t="str">
        <f>IF(AND(C1327="",J1327=0,K1327=0,L1327=0,M1327=0),"",CADASTROS!$B$4+SUM($J$2:J1327)+SUM($M$2:M1327)-SUM($K$2:K1327)-SUM($L$2:L1327))</f>
        <v/>
      </c>
      <c r="O1327" s="72" t="str">
        <f>IF(A1327="","",SUMIF(RATEIOS!$A$2:$A$3142,$A1327,RATEIOS!$F$2:$F$3142))</f>
        <v/>
      </c>
      <c r="P1327" s="15" t="str">
        <f t="shared" si="42"/>
        <v/>
      </c>
      <c r="Q1327" s="49" t="str">
        <f>IF(AND(J1327=0,K1327=0,L1327=0,M1327=0),"",IF(O1327=0,"PENDENTE DE RATEIO",IF(ABS(P1327)&gt;0.005,"DIVERGÊNCIA",IF(COUNTIF(RATEIOS!$A$2:$A$3142,$A1327)-COUNTIFS(RATEIOS!$A$2:$A$3142,$A1327,RATEIOS!$D$2:$D$3142,"&lt;&gt;")&gt;0,"NÃO CLASSIFICADO","RATEIO OK"))))</f>
        <v/>
      </c>
      <c r="R1327" s="49"/>
      <c r="S1327" s="14"/>
    </row>
    <row r="1328" spans="1:19" ht="30" customHeight="1" x14ac:dyDescent="0.25">
      <c r="A1328" s="49" t="str">
        <f>IF(C1328="","","BAN-01327")</f>
        <v/>
      </c>
      <c r="B1328" s="98" t="str">
        <f>IF(C1328="","",1327)</f>
        <v/>
      </c>
      <c r="C1328" s="50"/>
      <c r="D1328" s="49" t="str">
        <f t="shared" si="41"/>
        <v/>
      </c>
      <c r="E1328" s="92"/>
      <c r="F1328" s="49"/>
      <c r="G1328" s="14"/>
      <c r="H1328" s="14"/>
      <c r="I1328" s="76"/>
      <c r="J1328" s="73"/>
      <c r="K1328" s="74"/>
      <c r="L1328" s="72"/>
      <c r="M1328" s="72"/>
      <c r="N1328" s="72" t="str">
        <f>IF(AND(C1328="",J1328=0,K1328=0,L1328=0,M1328=0),"",CADASTROS!$B$4+SUM($J$2:J1328)+SUM($M$2:M1328)-SUM($K$2:K1328)-SUM($L$2:L1328))</f>
        <v/>
      </c>
      <c r="O1328" s="72" t="str">
        <f>IF(A1328="","",SUMIF(RATEIOS!$A$2:$A$3142,$A1328,RATEIOS!$F$2:$F$3142))</f>
        <v/>
      </c>
      <c r="P1328" s="15" t="str">
        <f t="shared" si="42"/>
        <v/>
      </c>
      <c r="Q1328" s="49" t="str">
        <f>IF(AND(J1328=0,K1328=0,L1328=0,M1328=0),"",IF(O1328=0,"PENDENTE DE RATEIO",IF(ABS(P1328)&gt;0.005,"DIVERGÊNCIA",IF(COUNTIF(RATEIOS!$A$2:$A$3142,$A1328)-COUNTIFS(RATEIOS!$A$2:$A$3142,$A1328,RATEIOS!$D$2:$D$3142,"&lt;&gt;")&gt;0,"NÃO CLASSIFICADO","RATEIO OK"))))</f>
        <v/>
      </c>
      <c r="R1328" s="49"/>
      <c r="S1328" s="14"/>
    </row>
    <row r="1329" spans="1:19" ht="30" customHeight="1" x14ac:dyDescent="0.25">
      <c r="A1329" s="49" t="str">
        <f>IF(C1329="","","BAN-01328")</f>
        <v/>
      </c>
      <c r="B1329" s="98" t="str">
        <f>IF(C1329="","",1328)</f>
        <v/>
      </c>
      <c r="C1329" s="50"/>
      <c r="D1329" s="49" t="str">
        <f t="shared" si="41"/>
        <v/>
      </c>
      <c r="E1329" s="92"/>
      <c r="F1329" s="49"/>
      <c r="G1329" s="14"/>
      <c r="H1329" s="14"/>
      <c r="I1329" s="76"/>
      <c r="J1329" s="73"/>
      <c r="K1329" s="74"/>
      <c r="L1329" s="72"/>
      <c r="M1329" s="72"/>
      <c r="N1329" s="72" t="str">
        <f>IF(AND(C1329="",J1329=0,K1329=0,L1329=0,M1329=0),"",CADASTROS!$B$4+SUM($J$2:J1329)+SUM($M$2:M1329)-SUM($K$2:K1329)-SUM($L$2:L1329))</f>
        <v/>
      </c>
      <c r="O1329" s="72" t="str">
        <f>IF(A1329="","",SUMIF(RATEIOS!$A$2:$A$3142,$A1329,RATEIOS!$F$2:$F$3142))</f>
        <v/>
      </c>
      <c r="P1329" s="15" t="str">
        <f t="shared" si="42"/>
        <v/>
      </c>
      <c r="Q1329" s="49" t="str">
        <f>IF(AND(J1329=0,K1329=0,L1329=0,M1329=0),"",IF(O1329=0,"PENDENTE DE RATEIO",IF(ABS(P1329)&gt;0.005,"DIVERGÊNCIA",IF(COUNTIF(RATEIOS!$A$2:$A$3142,$A1329)-COUNTIFS(RATEIOS!$A$2:$A$3142,$A1329,RATEIOS!$D$2:$D$3142,"&lt;&gt;")&gt;0,"NÃO CLASSIFICADO","RATEIO OK"))))</f>
        <v/>
      </c>
      <c r="R1329" s="49"/>
      <c r="S1329" s="14"/>
    </row>
    <row r="1330" spans="1:19" ht="30" customHeight="1" x14ac:dyDescent="0.25">
      <c r="A1330" s="49" t="str">
        <f>IF(C1330="","","BAN-01329")</f>
        <v/>
      </c>
      <c r="B1330" s="98" t="str">
        <f>IF(C1330="","",1329)</f>
        <v/>
      </c>
      <c r="C1330" s="50"/>
      <c r="D1330" s="49" t="str">
        <f t="shared" si="41"/>
        <v/>
      </c>
      <c r="E1330" s="92"/>
      <c r="F1330" s="49"/>
      <c r="G1330" s="14"/>
      <c r="H1330" s="14"/>
      <c r="I1330" s="76"/>
      <c r="J1330" s="73"/>
      <c r="K1330" s="74"/>
      <c r="L1330" s="72"/>
      <c r="M1330" s="72"/>
      <c r="N1330" s="72" t="str">
        <f>IF(AND(C1330="",J1330=0,K1330=0,L1330=0,M1330=0),"",CADASTROS!$B$4+SUM($J$2:J1330)+SUM($M$2:M1330)-SUM($K$2:K1330)-SUM($L$2:L1330))</f>
        <v/>
      </c>
      <c r="O1330" s="72" t="str">
        <f>IF(A1330="","",SUMIF(RATEIOS!$A$2:$A$3142,$A1330,RATEIOS!$F$2:$F$3142))</f>
        <v/>
      </c>
      <c r="P1330" s="15" t="str">
        <f t="shared" si="42"/>
        <v/>
      </c>
      <c r="Q1330" s="49" t="str">
        <f>IF(AND(J1330=0,K1330=0,L1330=0,M1330=0),"",IF(O1330=0,"PENDENTE DE RATEIO",IF(ABS(P1330)&gt;0.005,"DIVERGÊNCIA",IF(COUNTIF(RATEIOS!$A$2:$A$3142,$A1330)-COUNTIFS(RATEIOS!$A$2:$A$3142,$A1330,RATEIOS!$D$2:$D$3142,"&lt;&gt;")&gt;0,"NÃO CLASSIFICADO","RATEIO OK"))))</f>
        <v/>
      </c>
      <c r="R1330" s="49"/>
      <c r="S1330" s="14"/>
    </row>
    <row r="1331" spans="1:19" ht="30" customHeight="1" x14ac:dyDescent="0.25">
      <c r="A1331" s="49" t="str">
        <f>IF(C1331="","","BAN-01330")</f>
        <v/>
      </c>
      <c r="B1331" s="98" t="str">
        <f>IF(C1331="","",1330)</f>
        <v/>
      </c>
      <c r="C1331" s="50"/>
      <c r="D1331" s="49" t="str">
        <f t="shared" si="41"/>
        <v/>
      </c>
      <c r="E1331" s="92"/>
      <c r="F1331" s="49"/>
      <c r="G1331" s="14"/>
      <c r="H1331" s="14"/>
      <c r="I1331" s="76"/>
      <c r="J1331" s="73"/>
      <c r="K1331" s="74"/>
      <c r="L1331" s="72"/>
      <c r="M1331" s="72"/>
      <c r="N1331" s="72" t="str">
        <f>IF(AND(C1331="",J1331=0,K1331=0,L1331=0,M1331=0),"",CADASTROS!$B$4+SUM($J$2:J1331)+SUM($M$2:M1331)-SUM($K$2:K1331)-SUM($L$2:L1331))</f>
        <v/>
      </c>
      <c r="O1331" s="72" t="str">
        <f>IF(A1331="","",SUMIF(RATEIOS!$A$2:$A$3142,$A1331,RATEIOS!$F$2:$F$3142))</f>
        <v/>
      </c>
      <c r="P1331" s="15" t="str">
        <f t="shared" si="42"/>
        <v/>
      </c>
      <c r="Q1331" s="49" t="str">
        <f>IF(AND(J1331=0,K1331=0,L1331=0,M1331=0),"",IF(O1331=0,"PENDENTE DE RATEIO",IF(ABS(P1331)&gt;0.005,"DIVERGÊNCIA",IF(COUNTIF(RATEIOS!$A$2:$A$3142,$A1331)-COUNTIFS(RATEIOS!$A$2:$A$3142,$A1331,RATEIOS!$D$2:$D$3142,"&lt;&gt;")&gt;0,"NÃO CLASSIFICADO","RATEIO OK"))))</f>
        <v/>
      </c>
      <c r="R1331" s="49"/>
      <c r="S1331" s="14"/>
    </row>
    <row r="1332" spans="1:19" ht="30" customHeight="1" x14ac:dyDescent="0.25">
      <c r="A1332" s="49" t="str">
        <f>IF(C1332="","","BAN-01331")</f>
        <v/>
      </c>
      <c r="B1332" s="98" t="str">
        <f>IF(C1332="","",1331)</f>
        <v/>
      </c>
      <c r="C1332" s="50"/>
      <c r="D1332" s="49" t="str">
        <f t="shared" si="41"/>
        <v/>
      </c>
      <c r="E1332" s="92"/>
      <c r="F1332" s="49"/>
      <c r="G1332" s="14"/>
      <c r="H1332" s="14"/>
      <c r="I1332" s="76"/>
      <c r="J1332" s="73"/>
      <c r="K1332" s="74"/>
      <c r="L1332" s="72"/>
      <c r="M1332" s="72"/>
      <c r="N1332" s="72" t="str">
        <f>IF(AND(C1332="",J1332=0,K1332=0,L1332=0,M1332=0),"",CADASTROS!$B$4+SUM($J$2:J1332)+SUM($M$2:M1332)-SUM($K$2:K1332)-SUM($L$2:L1332))</f>
        <v/>
      </c>
      <c r="O1332" s="72" t="str">
        <f>IF(A1332="","",SUMIF(RATEIOS!$A$2:$A$3142,$A1332,RATEIOS!$F$2:$F$3142))</f>
        <v/>
      </c>
      <c r="P1332" s="15" t="str">
        <f t="shared" si="42"/>
        <v/>
      </c>
      <c r="Q1332" s="49" t="str">
        <f>IF(AND(J1332=0,K1332=0,L1332=0,M1332=0),"",IF(O1332=0,"PENDENTE DE RATEIO",IF(ABS(P1332)&gt;0.005,"DIVERGÊNCIA",IF(COUNTIF(RATEIOS!$A$2:$A$3142,$A1332)-COUNTIFS(RATEIOS!$A$2:$A$3142,$A1332,RATEIOS!$D$2:$D$3142,"&lt;&gt;")&gt;0,"NÃO CLASSIFICADO","RATEIO OK"))))</f>
        <v/>
      </c>
      <c r="R1332" s="49"/>
      <c r="S1332" s="14"/>
    </row>
    <row r="1333" spans="1:19" ht="30" customHeight="1" x14ac:dyDescent="0.25">
      <c r="A1333" s="49" t="str">
        <f>IF(C1333="","","BAN-01332")</f>
        <v/>
      </c>
      <c r="B1333" s="98" t="str">
        <f>IF(C1333="","",1332)</f>
        <v/>
      </c>
      <c r="C1333" s="50"/>
      <c r="D1333" s="49" t="str">
        <f t="shared" si="41"/>
        <v/>
      </c>
      <c r="E1333" s="92"/>
      <c r="F1333" s="49"/>
      <c r="G1333" s="14"/>
      <c r="H1333" s="14"/>
      <c r="I1333" s="76"/>
      <c r="J1333" s="73"/>
      <c r="K1333" s="74"/>
      <c r="L1333" s="72"/>
      <c r="M1333" s="72"/>
      <c r="N1333" s="72" t="str">
        <f>IF(AND(C1333="",J1333=0,K1333=0,L1333=0,M1333=0),"",CADASTROS!$B$4+SUM($J$2:J1333)+SUM($M$2:M1333)-SUM($K$2:K1333)-SUM($L$2:L1333))</f>
        <v/>
      </c>
      <c r="O1333" s="72" t="str">
        <f>IF(A1333="","",SUMIF(RATEIOS!$A$2:$A$3142,$A1333,RATEIOS!$F$2:$F$3142))</f>
        <v/>
      </c>
      <c r="P1333" s="15" t="str">
        <f t="shared" si="42"/>
        <v/>
      </c>
      <c r="Q1333" s="49" t="str">
        <f>IF(AND(J1333=0,K1333=0,L1333=0,M1333=0),"",IF(O1333=0,"PENDENTE DE RATEIO",IF(ABS(P1333)&gt;0.005,"DIVERGÊNCIA",IF(COUNTIF(RATEIOS!$A$2:$A$3142,$A1333)-COUNTIFS(RATEIOS!$A$2:$A$3142,$A1333,RATEIOS!$D$2:$D$3142,"&lt;&gt;")&gt;0,"NÃO CLASSIFICADO","RATEIO OK"))))</f>
        <v/>
      </c>
      <c r="R1333" s="49"/>
      <c r="S1333" s="14"/>
    </row>
    <row r="1334" spans="1:19" ht="30" customHeight="1" x14ac:dyDescent="0.25">
      <c r="A1334" s="49" t="str">
        <f>IF(C1334="","","BAN-01333")</f>
        <v/>
      </c>
      <c r="B1334" s="98" t="str">
        <f>IF(C1334="","",1333)</f>
        <v/>
      </c>
      <c r="C1334" s="50"/>
      <c r="D1334" s="49" t="str">
        <f t="shared" si="41"/>
        <v/>
      </c>
      <c r="E1334" s="92"/>
      <c r="F1334" s="49"/>
      <c r="G1334" s="14"/>
      <c r="H1334" s="14"/>
      <c r="I1334" s="76"/>
      <c r="J1334" s="73"/>
      <c r="K1334" s="74"/>
      <c r="L1334" s="72"/>
      <c r="M1334" s="72"/>
      <c r="N1334" s="72" t="str">
        <f>IF(AND(C1334="",J1334=0,K1334=0,L1334=0,M1334=0),"",CADASTROS!$B$4+SUM($J$2:J1334)+SUM($M$2:M1334)-SUM($K$2:K1334)-SUM($L$2:L1334))</f>
        <v/>
      </c>
      <c r="O1334" s="72" t="str">
        <f>IF(A1334="","",SUMIF(RATEIOS!$A$2:$A$3142,$A1334,RATEIOS!$F$2:$F$3142))</f>
        <v/>
      </c>
      <c r="P1334" s="15" t="str">
        <f t="shared" si="42"/>
        <v/>
      </c>
      <c r="Q1334" s="49" t="str">
        <f>IF(AND(J1334=0,K1334=0,L1334=0,M1334=0),"",IF(O1334=0,"PENDENTE DE RATEIO",IF(ABS(P1334)&gt;0.005,"DIVERGÊNCIA",IF(COUNTIF(RATEIOS!$A$2:$A$3142,$A1334)-COUNTIFS(RATEIOS!$A$2:$A$3142,$A1334,RATEIOS!$D$2:$D$3142,"&lt;&gt;")&gt;0,"NÃO CLASSIFICADO","RATEIO OK"))))</f>
        <v/>
      </c>
      <c r="R1334" s="49"/>
      <c r="S1334" s="14"/>
    </row>
    <row r="1335" spans="1:19" ht="30" customHeight="1" x14ac:dyDescent="0.25">
      <c r="A1335" s="49" t="str">
        <f>IF(C1335="","","BAN-01334")</f>
        <v/>
      </c>
      <c r="B1335" s="98" t="str">
        <f>IF(C1335="","",1334)</f>
        <v/>
      </c>
      <c r="C1335" s="50"/>
      <c r="D1335" s="49" t="str">
        <f t="shared" si="41"/>
        <v/>
      </c>
      <c r="E1335" s="92"/>
      <c r="F1335" s="49"/>
      <c r="G1335" s="14"/>
      <c r="H1335" s="14"/>
      <c r="I1335" s="76"/>
      <c r="J1335" s="73"/>
      <c r="K1335" s="74"/>
      <c r="L1335" s="72"/>
      <c r="M1335" s="72"/>
      <c r="N1335" s="72" t="str">
        <f>IF(AND(C1335="",J1335=0,K1335=0,L1335=0,M1335=0),"",CADASTROS!$B$4+SUM($J$2:J1335)+SUM($M$2:M1335)-SUM($K$2:K1335)-SUM($L$2:L1335))</f>
        <v/>
      </c>
      <c r="O1335" s="72" t="str">
        <f>IF(A1335="","",SUMIF(RATEIOS!$A$2:$A$3142,$A1335,RATEIOS!$F$2:$F$3142))</f>
        <v/>
      </c>
      <c r="P1335" s="15" t="str">
        <f t="shared" si="42"/>
        <v/>
      </c>
      <c r="Q1335" s="49" t="str">
        <f>IF(AND(J1335=0,K1335=0,L1335=0,M1335=0),"",IF(O1335=0,"PENDENTE DE RATEIO",IF(ABS(P1335)&gt;0.005,"DIVERGÊNCIA",IF(COUNTIF(RATEIOS!$A$2:$A$3142,$A1335)-COUNTIFS(RATEIOS!$A$2:$A$3142,$A1335,RATEIOS!$D$2:$D$3142,"&lt;&gt;")&gt;0,"NÃO CLASSIFICADO","RATEIO OK"))))</f>
        <v/>
      </c>
      <c r="R1335" s="49"/>
      <c r="S1335" s="14"/>
    </row>
    <row r="1336" spans="1:19" ht="30" customHeight="1" x14ac:dyDescent="0.25">
      <c r="A1336" s="49" t="str">
        <f>IF(C1336="","","BAN-01335")</f>
        <v/>
      </c>
      <c r="B1336" s="98" t="str">
        <f>IF(C1336="","",1335)</f>
        <v/>
      </c>
      <c r="C1336" s="50"/>
      <c r="D1336" s="49" t="str">
        <f t="shared" si="41"/>
        <v/>
      </c>
      <c r="E1336" s="92"/>
      <c r="F1336" s="49"/>
      <c r="G1336" s="14"/>
      <c r="H1336" s="14"/>
      <c r="I1336" s="76"/>
      <c r="J1336" s="73"/>
      <c r="K1336" s="74"/>
      <c r="L1336" s="72"/>
      <c r="M1336" s="72"/>
      <c r="N1336" s="72" t="str">
        <f>IF(AND(C1336="",J1336=0,K1336=0,L1336=0,M1336=0),"",CADASTROS!$B$4+SUM($J$2:J1336)+SUM($M$2:M1336)-SUM($K$2:K1336)-SUM($L$2:L1336))</f>
        <v/>
      </c>
      <c r="O1336" s="72" t="str">
        <f>IF(A1336="","",SUMIF(RATEIOS!$A$2:$A$3142,$A1336,RATEIOS!$F$2:$F$3142))</f>
        <v/>
      </c>
      <c r="P1336" s="15" t="str">
        <f t="shared" si="42"/>
        <v/>
      </c>
      <c r="Q1336" s="49" t="str">
        <f>IF(AND(J1336=0,K1336=0,L1336=0,M1336=0),"",IF(O1336=0,"PENDENTE DE RATEIO",IF(ABS(P1336)&gt;0.005,"DIVERGÊNCIA",IF(COUNTIF(RATEIOS!$A$2:$A$3142,$A1336)-COUNTIFS(RATEIOS!$A$2:$A$3142,$A1336,RATEIOS!$D$2:$D$3142,"&lt;&gt;")&gt;0,"NÃO CLASSIFICADO","RATEIO OK"))))</f>
        <v/>
      </c>
      <c r="R1336" s="49"/>
      <c r="S1336" s="14"/>
    </row>
    <row r="1337" spans="1:19" ht="30" customHeight="1" x14ac:dyDescent="0.25">
      <c r="A1337" s="49" t="str">
        <f>IF(C1337="","","BAN-01336")</f>
        <v/>
      </c>
      <c r="B1337" s="98" t="str">
        <f>IF(C1337="","",1336)</f>
        <v/>
      </c>
      <c r="C1337" s="50"/>
      <c r="D1337" s="49" t="str">
        <f t="shared" si="41"/>
        <v/>
      </c>
      <c r="E1337" s="92"/>
      <c r="F1337" s="49"/>
      <c r="G1337" s="14"/>
      <c r="H1337" s="14"/>
      <c r="I1337" s="76"/>
      <c r="J1337" s="73"/>
      <c r="K1337" s="74"/>
      <c r="L1337" s="72"/>
      <c r="M1337" s="72"/>
      <c r="N1337" s="72" t="str">
        <f>IF(AND(C1337="",J1337=0,K1337=0,L1337=0,M1337=0),"",CADASTROS!$B$4+SUM($J$2:J1337)+SUM($M$2:M1337)-SUM($K$2:K1337)-SUM($L$2:L1337))</f>
        <v/>
      </c>
      <c r="O1337" s="72" t="str">
        <f>IF(A1337="","",SUMIF(RATEIOS!$A$2:$A$3142,$A1337,RATEIOS!$F$2:$F$3142))</f>
        <v/>
      </c>
      <c r="P1337" s="15" t="str">
        <f t="shared" si="42"/>
        <v/>
      </c>
      <c r="Q1337" s="49" t="str">
        <f>IF(AND(J1337=0,K1337=0,L1337=0,M1337=0),"",IF(O1337=0,"PENDENTE DE RATEIO",IF(ABS(P1337)&gt;0.005,"DIVERGÊNCIA",IF(COUNTIF(RATEIOS!$A$2:$A$3142,$A1337)-COUNTIFS(RATEIOS!$A$2:$A$3142,$A1337,RATEIOS!$D$2:$D$3142,"&lt;&gt;")&gt;0,"NÃO CLASSIFICADO","RATEIO OK"))))</f>
        <v/>
      </c>
      <c r="R1337" s="49"/>
      <c r="S1337" s="14"/>
    </row>
    <row r="1338" spans="1:19" ht="30" customHeight="1" x14ac:dyDescent="0.25">
      <c r="A1338" s="49" t="str">
        <f>IF(C1338="","","BAN-01337")</f>
        <v/>
      </c>
      <c r="B1338" s="98" t="str">
        <f>IF(C1338="","",1337)</f>
        <v/>
      </c>
      <c r="C1338" s="50"/>
      <c r="D1338" s="49" t="str">
        <f t="shared" si="41"/>
        <v/>
      </c>
      <c r="E1338" s="92"/>
      <c r="F1338" s="49"/>
      <c r="G1338" s="14"/>
      <c r="H1338" s="14"/>
      <c r="I1338" s="76"/>
      <c r="J1338" s="73"/>
      <c r="K1338" s="74"/>
      <c r="L1338" s="72"/>
      <c r="M1338" s="72"/>
      <c r="N1338" s="72" t="str">
        <f>IF(AND(C1338="",J1338=0,K1338=0,L1338=0,M1338=0),"",CADASTROS!$B$4+SUM($J$2:J1338)+SUM($M$2:M1338)-SUM($K$2:K1338)-SUM($L$2:L1338))</f>
        <v/>
      </c>
      <c r="O1338" s="72" t="str">
        <f>IF(A1338="","",SUMIF(RATEIOS!$A$2:$A$3142,$A1338,RATEIOS!$F$2:$F$3142))</f>
        <v/>
      </c>
      <c r="P1338" s="15" t="str">
        <f t="shared" si="42"/>
        <v/>
      </c>
      <c r="Q1338" s="49" t="str">
        <f>IF(AND(J1338=0,K1338=0,L1338=0,M1338=0),"",IF(O1338=0,"PENDENTE DE RATEIO",IF(ABS(P1338)&gt;0.005,"DIVERGÊNCIA",IF(COUNTIF(RATEIOS!$A$2:$A$3142,$A1338)-COUNTIFS(RATEIOS!$A$2:$A$3142,$A1338,RATEIOS!$D$2:$D$3142,"&lt;&gt;")&gt;0,"NÃO CLASSIFICADO","RATEIO OK"))))</f>
        <v/>
      </c>
      <c r="R1338" s="49"/>
      <c r="S1338" s="14"/>
    </row>
    <row r="1339" spans="1:19" ht="30" customHeight="1" x14ac:dyDescent="0.25">
      <c r="A1339" s="49" t="str">
        <f>IF(C1339="","","BAN-01338")</f>
        <v/>
      </c>
      <c r="B1339" s="98" t="str">
        <f>IF(C1339="","",1338)</f>
        <v/>
      </c>
      <c r="C1339" s="50"/>
      <c r="D1339" s="49" t="str">
        <f t="shared" si="41"/>
        <v/>
      </c>
      <c r="E1339" s="92"/>
      <c r="F1339" s="49"/>
      <c r="G1339" s="14"/>
      <c r="H1339" s="14"/>
      <c r="I1339" s="76"/>
      <c r="J1339" s="73"/>
      <c r="K1339" s="74"/>
      <c r="L1339" s="72"/>
      <c r="M1339" s="72"/>
      <c r="N1339" s="72" t="str">
        <f>IF(AND(C1339="",J1339=0,K1339=0,L1339=0,M1339=0),"",CADASTROS!$B$4+SUM($J$2:J1339)+SUM($M$2:M1339)-SUM($K$2:K1339)-SUM($L$2:L1339))</f>
        <v/>
      </c>
      <c r="O1339" s="72" t="str">
        <f>IF(A1339="","",SUMIF(RATEIOS!$A$2:$A$3142,$A1339,RATEIOS!$F$2:$F$3142))</f>
        <v/>
      </c>
      <c r="P1339" s="15" t="str">
        <f t="shared" si="42"/>
        <v/>
      </c>
      <c r="Q1339" s="49" t="str">
        <f>IF(AND(J1339=0,K1339=0,L1339=0,M1339=0),"",IF(O1339=0,"PENDENTE DE RATEIO",IF(ABS(P1339)&gt;0.005,"DIVERGÊNCIA",IF(COUNTIF(RATEIOS!$A$2:$A$3142,$A1339)-COUNTIFS(RATEIOS!$A$2:$A$3142,$A1339,RATEIOS!$D$2:$D$3142,"&lt;&gt;")&gt;0,"NÃO CLASSIFICADO","RATEIO OK"))))</f>
        <v/>
      </c>
      <c r="R1339" s="49"/>
      <c r="S1339" s="14"/>
    </row>
    <row r="1340" spans="1:19" ht="30" customHeight="1" x14ac:dyDescent="0.25">
      <c r="A1340" s="49" t="str">
        <f>IF(C1340="","","BAN-01339")</f>
        <v/>
      </c>
      <c r="B1340" s="98" t="str">
        <f>IF(C1340="","",1339)</f>
        <v/>
      </c>
      <c r="C1340" s="50"/>
      <c r="D1340" s="49" t="str">
        <f t="shared" si="41"/>
        <v/>
      </c>
      <c r="E1340" s="92"/>
      <c r="F1340" s="49"/>
      <c r="G1340" s="14"/>
      <c r="H1340" s="14"/>
      <c r="I1340" s="76"/>
      <c r="J1340" s="73"/>
      <c r="K1340" s="74"/>
      <c r="L1340" s="72"/>
      <c r="M1340" s="72"/>
      <c r="N1340" s="72" t="str">
        <f>IF(AND(C1340="",J1340=0,K1340=0,L1340=0,M1340=0),"",CADASTROS!$B$4+SUM($J$2:J1340)+SUM($M$2:M1340)-SUM($K$2:K1340)-SUM($L$2:L1340))</f>
        <v/>
      </c>
      <c r="O1340" s="72" t="str">
        <f>IF(A1340="","",SUMIF(RATEIOS!$A$2:$A$3142,$A1340,RATEIOS!$F$2:$F$3142))</f>
        <v/>
      </c>
      <c r="P1340" s="15" t="str">
        <f t="shared" si="42"/>
        <v/>
      </c>
      <c r="Q1340" s="49" t="str">
        <f>IF(AND(J1340=0,K1340=0,L1340=0,M1340=0),"",IF(O1340=0,"PENDENTE DE RATEIO",IF(ABS(P1340)&gt;0.005,"DIVERGÊNCIA",IF(COUNTIF(RATEIOS!$A$2:$A$3142,$A1340)-COUNTIFS(RATEIOS!$A$2:$A$3142,$A1340,RATEIOS!$D$2:$D$3142,"&lt;&gt;")&gt;0,"NÃO CLASSIFICADO","RATEIO OK"))))</f>
        <v/>
      </c>
      <c r="R1340" s="49"/>
      <c r="S1340" s="14"/>
    </row>
    <row r="1341" spans="1:19" ht="30" customHeight="1" x14ac:dyDescent="0.25">
      <c r="A1341" s="49" t="str">
        <f>IF(C1341="","","BAN-01340")</f>
        <v/>
      </c>
      <c r="B1341" s="98" t="str">
        <f>IF(C1341="","",1340)</f>
        <v/>
      </c>
      <c r="C1341" s="50"/>
      <c r="D1341" s="49" t="str">
        <f t="shared" si="41"/>
        <v/>
      </c>
      <c r="E1341" s="92"/>
      <c r="F1341" s="49"/>
      <c r="G1341" s="14"/>
      <c r="H1341" s="14"/>
      <c r="I1341" s="76"/>
      <c r="J1341" s="73"/>
      <c r="K1341" s="74"/>
      <c r="L1341" s="72"/>
      <c r="M1341" s="72"/>
      <c r="N1341" s="72" t="str">
        <f>IF(AND(C1341="",J1341=0,K1341=0,L1341=0,M1341=0),"",CADASTROS!$B$4+SUM($J$2:J1341)+SUM($M$2:M1341)-SUM($K$2:K1341)-SUM($L$2:L1341))</f>
        <v/>
      </c>
      <c r="O1341" s="72" t="str">
        <f>IF(A1341="","",SUMIF(RATEIOS!$A$2:$A$3142,$A1341,RATEIOS!$F$2:$F$3142))</f>
        <v/>
      </c>
      <c r="P1341" s="15" t="str">
        <f t="shared" si="42"/>
        <v/>
      </c>
      <c r="Q1341" s="49" t="str">
        <f>IF(AND(J1341=0,K1341=0,L1341=0,M1341=0),"",IF(O1341=0,"PENDENTE DE RATEIO",IF(ABS(P1341)&gt;0.005,"DIVERGÊNCIA",IF(COUNTIF(RATEIOS!$A$2:$A$3142,$A1341)-COUNTIFS(RATEIOS!$A$2:$A$3142,$A1341,RATEIOS!$D$2:$D$3142,"&lt;&gt;")&gt;0,"NÃO CLASSIFICADO","RATEIO OK"))))</f>
        <v/>
      </c>
      <c r="R1341" s="49"/>
      <c r="S1341" s="14"/>
    </row>
    <row r="1342" spans="1:19" ht="30" customHeight="1" x14ac:dyDescent="0.25">
      <c r="A1342" s="49" t="str">
        <f>IF(C1342="","","BAN-01341")</f>
        <v/>
      </c>
      <c r="B1342" s="98" t="str">
        <f>IF(C1342="","",1341)</f>
        <v/>
      </c>
      <c r="C1342" s="50"/>
      <c r="D1342" s="49" t="str">
        <f t="shared" si="41"/>
        <v/>
      </c>
      <c r="E1342" s="92"/>
      <c r="F1342" s="49"/>
      <c r="G1342" s="14"/>
      <c r="H1342" s="14"/>
      <c r="I1342" s="76"/>
      <c r="J1342" s="73"/>
      <c r="K1342" s="74"/>
      <c r="L1342" s="72"/>
      <c r="M1342" s="72"/>
      <c r="N1342" s="72" t="str">
        <f>IF(AND(C1342="",J1342=0,K1342=0,L1342=0,M1342=0),"",CADASTROS!$B$4+SUM($J$2:J1342)+SUM($M$2:M1342)-SUM($K$2:K1342)-SUM($L$2:L1342))</f>
        <v/>
      </c>
      <c r="O1342" s="72" t="str">
        <f>IF(A1342="","",SUMIF(RATEIOS!$A$2:$A$3142,$A1342,RATEIOS!$F$2:$F$3142))</f>
        <v/>
      </c>
      <c r="P1342" s="15" t="str">
        <f t="shared" si="42"/>
        <v/>
      </c>
      <c r="Q1342" s="49" t="str">
        <f>IF(AND(J1342=0,K1342=0,L1342=0,M1342=0),"",IF(O1342=0,"PENDENTE DE RATEIO",IF(ABS(P1342)&gt;0.005,"DIVERGÊNCIA",IF(COUNTIF(RATEIOS!$A$2:$A$3142,$A1342)-COUNTIFS(RATEIOS!$A$2:$A$3142,$A1342,RATEIOS!$D$2:$D$3142,"&lt;&gt;")&gt;0,"NÃO CLASSIFICADO","RATEIO OK"))))</f>
        <v/>
      </c>
      <c r="R1342" s="49"/>
      <c r="S1342" s="14"/>
    </row>
    <row r="1343" spans="1:19" ht="30" customHeight="1" x14ac:dyDescent="0.25">
      <c r="A1343" s="49" t="str">
        <f>IF(C1343="","","BAN-01342")</f>
        <v/>
      </c>
      <c r="B1343" s="98" t="str">
        <f>IF(C1343="","",1342)</f>
        <v/>
      </c>
      <c r="C1343" s="50"/>
      <c r="D1343" s="49" t="str">
        <f t="shared" si="41"/>
        <v/>
      </c>
      <c r="E1343" s="92"/>
      <c r="F1343" s="49"/>
      <c r="G1343" s="14"/>
      <c r="H1343" s="14"/>
      <c r="I1343" s="76"/>
      <c r="J1343" s="73"/>
      <c r="K1343" s="74"/>
      <c r="L1343" s="72"/>
      <c r="M1343" s="72"/>
      <c r="N1343" s="72" t="str">
        <f>IF(AND(C1343="",J1343=0,K1343=0,L1343=0,M1343=0),"",CADASTROS!$B$4+SUM($J$2:J1343)+SUM($M$2:M1343)-SUM($K$2:K1343)-SUM($L$2:L1343))</f>
        <v/>
      </c>
      <c r="O1343" s="72" t="str">
        <f>IF(A1343="","",SUMIF(RATEIOS!$A$2:$A$3142,$A1343,RATEIOS!$F$2:$F$3142))</f>
        <v/>
      </c>
      <c r="P1343" s="15" t="str">
        <f t="shared" si="42"/>
        <v/>
      </c>
      <c r="Q1343" s="49" t="str">
        <f>IF(AND(J1343=0,K1343=0,L1343=0,M1343=0),"",IF(O1343=0,"PENDENTE DE RATEIO",IF(ABS(P1343)&gt;0.005,"DIVERGÊNCIA",IF(COUNTIF(RATEIOS!$A$2:$A$3142,$A1343)-COUNTIFS(RATEIOS!$A$2:$A$3142,$A1343,RATEIOS!$D$2:$D$3142,"&lt;&gt;")&gt;0,"NÃO CLASSIFICADO","RATEIO OK"))))</f>
        <v/>
      </c>
      <c r="R1343" s="49"/>
      <c r="S1343" s="14"/>
    </row>
    <row r="1344" spans="1:19" ht="30" customHeight="1" x14ac:dyDescent="0.25">
      <c r="A1344" s="49" t="str">
        <f>IF(C1344="","","BAN-01343")</f>
        <v/>
      </c>
      <c r="B1344" s="98" t="str">
        <f>IF(C1344="","",1343)</f>
        <v/>
      </c>
      <c r="C1344" s="50"/>
      <c r="D1344" s="49" t="str">
        <f t="shared" si="41"/>
        <v/>
      </c>
      <c r="E1344" s="92"/>
      <c r="F1344" s="49"/>
      <c r="G1344" s="14"/>
      <c r="H1344" s="14"/>
      <c r="I1344" s="76"/>
      <c r="J1344" s="73"/>
      <c r="K1344" s="74"/>
      <c r="L1344" s="72"/>
      <c r="M1344" s="72"/>
      <c r="N1344" s="72" t="str">
        <f>IF(AND(C1344="",J1344=0,K1344=0,L1344=0,M1344=0),"",CADASTROS!$B$4+SUM($J$2:J1344)+SUM($M$2:M1344)-SUM($K$2:K1344)-SUM($L$2:L1344))</f>
        <v/>
      </c>
      <c r="O1344" s="72" t="str">
        <f>IF(A1344="","",SUMIF(RATEIOS!$A$2:$A$3142,$A1344,RATEIOS!$F$2:$F$3142))</f>
        <v/>
      </c>
      <c r="P1344" s="15" t="str">
        <f t="shared" si="42"/>
        <v/>
      </c>
      <c r="Q1344" s="49" t="str">
        <f>IF(AND(J1344=0,K1344=0,L1344=0,M1344=0),"",IF(O1344=0,"PENDENTE DE RATEIO",IF(ABS(P1344)&gt;0.005,"DIVERGÊNCIA",IF(COUNTIF(RATEIOS!$A$2:$A$3142,$A1344)-COUNTIFS(RATEIOS!$A$2:$A$3142,$A1344,RATEIOS!$D$2:$D$3142,"&lt;&gt;")&gt;0,"NÃO CLASSIFICADO","RATEIO OK"))))</f>
        <v/>
      </c>
      <c r="R1344" s="49"/>
      <c r="S1344" s="14"/>
    </row>
    <row r="1345" spans="1:19" ht="30" customHeight="1" x14ac:dyDescent="0.25">
      <c r="A1345" s="49" t="str">
        <f>IF(C1345="","","BAN-01344")</f>
        <v/>
      </c>
      <c r="B1345" s="98" t="str">
        <f>IF(C1345="","",1344)</f>
        <v/>
      </c>
      <c r="C1345" s="50"/>
      <c r="D1345" s="49" t="str">
        <f t="shared" si="41"/>
        <v/>
      </c>
      <c r="E1345" s="92"/>
      <c r="F1345" s="49"/>
      <c r="G1345" s="14"/>
      <c r="H1345" s="14"/>
      <c r="I1345" s="76"/>
      <c r="J1345" s="73"/>
      <c r="K1345" s="74"/>
      <c r="L1345" s="72"/>
      <c r="M1345" s="72"/>
      <c r="N1345" s="72" t="str">
        <f>IF(AND(C1345="",J1345=0,K1345=0,L1345=0,M1345=0),"",CADASTROS!$B$4+SUM($J$2:J1345)+SUM($M$2:M1345)-SUM($K$2:K1345)-SUM($L$2:L1345))</f>
        <v/>
      </c>
      <c r="O1345" s="72" t="str">
        <f>IF(A1345="","",SUMIF(RATEIOS!$A$2:$A$3142,$A1345,RATEIOS!$F$2:$F$3142))</f>
        <v/>
      </c>
      <c r="P1345" s="15" t="str">
        <f t="shared" si="42"/>
        <v/>
      </c>
      <c r="Q1345" s="49" t="str">
        <f>IF(AND(J1345=0,K1345=0,L1345=0,M1345=0),"",IF(O1345=0,"PENDENTE DE RATEIO",IF(ABS(P1345)&gt;0.005,"DIVERGÊNCIA",IF(COUNTIF(RATEIOS!$A$2:$A$3142,$A1345)-COUNTIFS(RATEIOS!$A$2:$A$3142,$A1345,RATEIOS!$D$2:$D$3142,"&lt;&gt;")&gt;0,"NÃO CLASSIFICADO","RATEIO OK"))))</f>
        <v/>
      </c>
      <c r="R1345" s="49"/>
      <c r="S1345" s="14"/>
    </row>
    <row r="1346" spans="1:19" ht="30" customHeight="1" x14ac:dyDescent="0.25">
      <c r="A1346" s="49" t="str">
        <f>IF(C1346="","","BAN-01345")</f>
        <v/>
      </c>
      <c r="B1346" s="98" t="str">
        <f>IF(C1346="","",1345)</f>
        <v/>
      </c>
      <c r="C1346" s="50"/>
      <c r="D1346" s="49" t="str">
        <f t="shared" ref="D1346:D1409" si="43">IF(C1346="","",MONTH(C1346))</f>
        <v/>
      </c>
      <c r="E1346" s="92"/>
      <c r="F1346" s="49"/>
      <c r="G1346" s="14"/>
      <c r="H1346" s="14"/>
      <c r="I1346" s="76"/>
      <c r="J1346" s="73"/>
      <c r="K1346" s="74"/>
      <c r="L1346" s="72"/>
      <c r="M1346" s="72"/>
      <c r="N1346" s="72" t="str">
        <f>IF(AND(C1346="",J1346=0,K1346=0,L1346=0,M1346=0),"",CADASTROS!$B$4+SUM($J$2:J1346)+SUM($M$2:M1346)-SUM($K$2:K1346)-SUM($L$2:L1346))</f>
        <v/>
      </c>
      <c r="O1346" s="72" t="str">
        <f>IF(A1346="","",SUMIF(RATEIOS!$A$2:$A$3142,$A1346,RATEIOS!$F$2:$F$3142))</f>
        <v/>
      </c>
      <c r="P1346" s="15" t="str">
        <f t="shared" ref="P1346:P1409" si="44">IF(A1346="","",(J1346+K1346+L1346+M1346)-O1346)</f>
        <v/>
      </c>
      <c r="Q1346" s="49" t="str">
        <f>IF(AND(J1346=0,K1346=0,L1346=0,M1346=0),"",IF(O1346=0,"PENDENTE DE RATEIO",IF(ABS(P1346)&gt;0.005,"DIVERGÊNCIA",IF(COUNTIF(RATEIOS!$A$2:$A$3142,$A1346)-COUNTIFS(RATEIOS!$A$2:$A$3142,$A1346,RATEIOS!$D$2:$D$3142,"&lt;&gt;")&gt;0,"NÃO CLASSIFICADO","RATEIO OK"))))</f>
        <v/>
      </c>
      <c r="R1346" s="49"/>
      <c r="S1346" s="14"/>
    </row>
    <row r="1347" spans="1:19" ht="30" customHeight="1" x14ac:dyDescent="0.25">
      <c r="A1347" s="49" t="str">
        <f>IF(C1347="","","BAN-01346")</f>
        <v/>
      </c>
      <c r="B1347" s="98" t="str">
        <f>IF(C1347="","",1346)</f>
        <v/>
      </c>
      <c r="C1347" s="50"/>
      <c r="D1347" s="49" t="str">
        <f t="shared" si="43"/>
        <v/>
      </c>
      <c r="E1347" s="92"/>
      <c r="F1347" s="49"/>
      <c r="G1347" s="14"/>
      <c r="H1347" s="14"/>
      <c r="I1347" s="76"/>
      <c r="J1347" s="73"/>
      <c r="K1347" s="74"/>
      <c r="L1347" s="72"/>
      <c r="M1347" s="72"/>
      <c r="N1347" s="72" t="str">
        <f>IF(AND(C1347="",J1347=0,K1347=0,L1347=0,M1347=0),"",CADASTROS!$B$4+SUM($J$2:J1347)+SUM($M$2:M1347)-SUM($K$2:K1347)-SUM($L$2:L1347))</f>
        <v/>
      </c>
      <c r="O1347" s="72" t="str">
        <f>IF(A1347="","",SUMIF(RATEIOS!$A$2:$A$3142,$A1347,RATEIOS!$F$2:$F$3142))</f>
        <v/>
      </c>
      <c r="P1347" s="15" t="str">
        <f t="shared" si="44"/>
        <v/>
      </c>
      <c r="Q1347" s="49" t="str">
        <f>IF(AND(J1347=0,K1347=0,L1347=0,M1347=0),"",IF(O1347=0,"PENDENTE DE RATEIO",IF(ABS(P1347)&gt;0.005,"DIVERGÊNCIA",IF(COUNTIF(RATEIOS!$A$2:$A$3142,$A1347)-COUNTIFS(RATEIOS!$A$2:$A$3142,$A1347,RATEIOS!$D$2:$D$3142,"&lt;&gt;")&gt;0,"NÃO CLASSIFICADO","RATEIO OK"))))</f>
        <v/>
      </c>
      <c r="R1347" s="49"/>
      <c r="S1347" s="14"/>
    </row>
    <row r="1348" spans="1:19" ht="30" customHeight="1" x14ac:dyDescent="0.25">
      <c r="A1348" s="49" t="str">
        <f>IF(C1348="","","BAN-01347")</f>
        <v/>
      </c>
      <c r="B1348" s="98" t="str">
        <f>IF(C1348="","",1347)</f>
        <v/>
      </c>
      <c r="C1348" s="50"/>
      <c r="D1348" s="49" t="str">
        <f t="shared" si="43"/>
        <v/>
      </c>
      <c r="E1348" s="92"/>
      <c r="F1348" s="49"/>
      <c r="G1348" s="14"/>
      <c r="H1348" s="14"/>
      <c r="I1348" s="76"/>
      <c r="J1348" s="73"/>
      <c r="K1348" s="74"/>
      <c r="L1348" s="72"/>
      <c r="M1348" s="72"/>
      <c r="N1348" s="72" t="str">
        <f>IF(AND(C1348="",J1348=0,K1348=0,L1348=0,M1348=0),"",CADASTROS!$B$4+SUM($J$2:J1348)+SUM($M$2:M1348)-SUM($K$2:K1348)-SUM($L$2:L1348))</f>
        <v/>
      </c>
      <c r="O1348" s="72" t="str">
        <f>IF(A1348="","",SUMIF(RATEIOS!$A$2:$A$3142,$A1348,RATEIOS!$F$2:$F$3142))</f>
        <v/>
      </c>
      <c r="P1348" s="15" t="str">
        <f t="shared" si="44"/>
        <v/>
      </c>
      <c r="Q1348" s="49" t="str">
        <f>IF(AND(J1348=0,K1348=0,L1348=0,M1348=0),"",IF(O1348=0,"PENDENTE DE RATEIO",IF(ABS(P1348)&gt;0.005,"DIVERGÊNCIA",IF(COUNTIF(RATEIOS!$A$2:$A$3142,$A1348)-COUNTIFS(RATEIOS!$A$2:$A$3142,$A1348,RATEIOS!$D$2:$D$3142,"&lt;&gt;")&gt;0,"NÃO CLASSIFICADO","RATEIO OK"))))</f>
        <v/>
      </c>
      <c r="R1348" s="49"/>
      <c r="S1348" s="14"/>
    </row>
    <row r="1349" spans="1:19" ht="30" customHeight="1" x14ac:dyDescent="0.25">
      <c r="A1349" s="49" t="str">
        <f>IF(C1349="","","BAN-01348")</f>
        <v/>
      </c>
      <c r="B1349" s="98" t="str">
        <f>IF(C1349="","",1348)</f>
        <v/>
      </c>
      <c r="C1349" s="50"/>
      <c r="D1349" s="49" t="str">
        <f t="shared" si="43"/>
        <v/>
      </c>
      <c r="E1349" s="92"/>
      <c r="F1349" s="49"/>
      <c r="G1349" s="14"/>
      <c r="H1349" s="14"/>
      <c r="I1349" s="76"/>
      <c r="J1349" s="73"/>
      <c r="K1349" s="74"/>
      <c r="L1349" s="72"/>
      <c r="M1349" s="72"/>
      <c r="N1349" s="72" t="str">
        <f>IF(AND(C1349="",J1349=0,K1349=0,L1349=0,M1349=0),"",CADASTROS!$B$4+SUM($J$2:J1349)+SUM($M$2:M1349)-SUM($K$2:K1349)-SUM($L$2:L1349))</f>
        <v/>
      </c>
      <c r="O1349" s="72" t="str">
        <f>IF(A1349="","",SUMIF(RATEIOS!$A$2:$A$3142,$A1349,RATEIOS!$F$2:$F$3142))</f>
        <v/>
      </c>
      <c r="P1349" s="15" t="str">
        <f t="shared" si="44"/>
        <v/>
      </c>
      <c r="Q1349" s="49" t="str">
        <f>IF(AND(J1349=0,K1349=0,L1349=0,M1349=0),"",IF(O1349=0,"PENDENTE DE RATEIO",IF(ABS(P1349)&gt;0.005,"DIVERGÊNCIA",IF(COUNTIF(RATEIOS!$A$2:$A$3142,$A1349)-COUNTIFS(RATEIOS!$A$2:$A$3142,$A1349,RATEIOS!$D$2:$D$3142,"&lt;&gt;")&gt;0,"NÃO CLASSIFICADO","RATEIO OK"))))</f>
        <v/>
      </c>
      <c r="R1349" s="49"/>
      <c r="S1349" s="14"/>
    </row>
    <row r="1350" spans="1:19" ht="30" customHeight="1" x14ac:dyDescent="0.25">
      <c r="A1350" s="49" t="str">
        <f>IF(C1350="","","BAN-01349")</f>
        <v/>
      </c>
      <c r="B1350" s="98" t="str">
        <f>IF(C1350="","",1349)</f>
        <v/>
      </c>
      <c r="C1350" s="50"/>
      <c r="D1350" s="49" t="str">
        <f t="shared" si="43"/>
        <v/>
      </c>
      <c r="E1350" s="92"/>
      <c r="F1350" s="49"/>
      <c r="G1350" s="14"/>
      <c r="H1350" s="14"/>
      <c r="I1350" s="76"/>
      <c r="J1350" s="73"/>
      <c r="K1350" s="74"/>
      <c r="L1350" s="72"/>
      <c r="M1350" s="72"/>
      <c r="N1350" s="72" t="str">
        <f>IF(AND(C1350="",J1350=0,K1350=0,L1350=0,M1350=0),"",CADASTROS!$B$4+SUM($J$2:J1350)+SUM($M$2:M1350)-SUM($K$2:K1350)-SUM($L$2:L1350))</f>
        <v/>
      </c>
      <c r="O1350" s="72" t="str">
        <f>IF(A1350="","",SUMIF(RATEIOS!$A$2:$A$3142,$A1350,RATEIOS!$F$2:$F$3142))</f>
        <v/>
      </c>
      <c r="P1350" s="15" t="str">
        <f t="shared" si="44"/>
        <v/>
      </c>
      <c r="Q1350" s="49" t="str">
        <f>IF(AND(J1350=0,K1350=0,L1350=0,M1350=0),"",IF(O1350=0,"PENDENTE DE RATEIO",IF(ABS(P1350)&gt;0.005,"DIVERGÊNCIA",IF(COUNTIF(RATEIOS!$A$2:$A$3142,$A1350)-COUNTIFS(RATEIOS!$A$2:$A$3142,$A1350,RATEIOS!$D$2:$D$3142,"&lt;&gt;")&gt;0,"NÃO CLASSIFICADO","RATEIO OK"))))</f>
        <v/>
      </c>
      <c r="R1350" s="49"/>
      <c r="S1350" s="14"/>
    </row>
    <row r="1351" spans="1:19" ht="30" customHeight="1" x14ac:dyDescent="0.25">
      <c r="A1351" s="49" t="str">
        <f>IF(C1351="","","BAN-01350")</f>
        <v/>
      </c>
      <c r="B1351" s="98" t="str">
        <f>IF(C1351="","",1350)</f>
        <v/>
      </c>
      <c r="C1351" s="50"/>
      <c r="D1351" s="49" t="str">
        <f t="shared" si="43"/>
        <v/>
      </c>
      <c r="E1351" s="92"/>
      <c r="F1351" s="49"/>
      <c r="G1351" s="14"/>
      <c r="H1351" s="14"/>
      <c r="I1351" s="76"/>
      <c r="J1351" s="73"/>
      <c r="K1351" s="74"/>
      <c r="L1351" s="72"/>
      <c r="M1351" s="72"/>
      <c r="N1351" s="72" t="str">
        <f>IF(AND(C1351="",J1351=0,K1351=0,L1351=0,M1351=0),"",CADASTROS!$B$4+SUM($J$2:J1351)+SUM($M$2:M1351)-SUM($K$2:K1351)-SUM($L$2:L1351))</f>
        <v/>
      </c>
      <c r="O1351" s="72" t="str">
        <f>IF(A1351="","",SUMIF(RATEIOS!$A$2:$A$3142,$A1351,RATEIOS!$F$2:$F$3142))</f>
        <v/>
      </c>
      <c r="P1351" s="15" t="str">
        <f t="shared" si="44"/>
        <v/>
      </c>
      <c r="Q1351" s="49" t="str">
        <f>IF(AND(J1351=0,K1351=0,L1351=0,M1351=0),"",IF(O1351=0,"PENDENTE DE RATEIO",IF(ABS(P1351)&gt;0.005,"DIVERGÊNCIA",IF(COUNTIF(RATEIOS!$A$2:$A$3142,$A1351)-COUNTIFS(RATEIOS!$A$2:$A$3142,$A1351,RATEIOS!$D$2:$D$3142,"&lt;&gt;")&gt;0,"NÃO CLASSIFICADO","RATEIO OK"))))</f>
        <v/>
      </c>
      <c r="R1351" s="49"/>
      <c r="S1351" s="14"/>
    </row>
    <row r="1352" spans="1:19" ht="30" customHeight="1" x14ac:dyDescent="0.25">
      <c r="A1352" s="49" t="str">
        <f>IF(C1352="","","BAN-01351")</f>
        <v/>
      </c>
      <c r="B1352" s="98" t="str">
        <f>IF(C1352="","",1351)</f>
        <v/>
      </c>
      <c r="C1352" s="50"/>
      <c r="D1352" s="49" t="str">
        <f t="shared" si="43"/>
        <v/>
      </c>
      <c r="E1352" s="92"/>
      <c r="F1352" s="49"/>
      <c r="G1352" s="14"/>
      <c r="H1352" s="14"/>
      <c r="I1352" s="76"/>
      <c r="J1352" s="73"/>
      <c r="K1352" s="74"/>
      <c r="L1352" s="72"/>
      <c r="M1352" s="72"/>
      <c r="N1352" s="72" t="str">
        <f>IF(AND(C1352="",J1352=0,K1352=0,L1352=0,M1352=0),"",CADASTROS!$B$4+SUM($J$2:J1352)+SUM($M$2:M1352)-SUM($K$2:K1352)-SUM($L$2:L1352))</f>
        <v/>
      </c>
      <c r="O1352" s="72" t="str">
        <f>IF(A1352="","",SUMIF(RATEIOS!$A$2:$A$3142,$A1352,RATEIOS!$F$2:$F$3142))</f>
        <v/>
      </c>
      <c r="P1352" s="15" t="str">
        <f t="shared" si="44"/>
        <v/>
      </c>
      <c r="Q1352" s="49" t="str">
        <f>IF(AND(J1352=0,K1352=0,L1352=0,M1352=0),"",IF(O1352=0,"PENDENTE DE RATEIO",IF(ABS(P1352)&gt;0.005,"DIVERGÊNCIA",IF(COUNTIF(RATEIOS!$A$2:$A$3142,$A1352)-COUNTIFS(RATEIOS!$A$2:$A$3142,$A1352,RATEIOS!$D$2:$D$3142,"&lt;&gt;")&gt;0,"NÃO CLASSIFICADO","RATEIO OK"))))</f>
        <v/>
      </c>
      <c r="R1352" s="49"/>
      <c r="S1352" s="14"/>
    </row>
    <row r="1353" spans="1:19" ht="30" customHeight="1" x14ac:dyDescent="0.25">
      <c r="A1353" s="49" t="str">
        <f>IF(C1353="","","BAN-01352")</f>
        <v/>
      </c>
      <c r="B1353" s="98" t="str">
        <f>IF(C1353="","",1352)</f>
        <v/>
      </c>
      <c r="C1353" s="50"/>
      <c r="D1353" s="49" t="str">
        <f t="shared" si="43"/>
        <v/>
      </c>
      <c r="E1353" s="92"/>
      <c r="F1353" s="49"/>
      <c r="G1353" s="14"/>
      <c r="H1353" s="14"/>
      <c r="I1353" s="76"/>
      <c r="J1353" s="73"/>
      <c r="K1353" s="74"/>
      <c r="L1353" s="72"/>
      <c r="M1353" s="72"/>
      <c r="N1353" s="72" t="str">
        <f>IF(AND(C1353="",J1353=0,K1353=0,L1353=0,M1353=0),"",CADASTROS!$B$4+SUM($J$2:J1353)+SUM($M$2:M1353)-SUM($K$2:K1353)-SUM($L$2:L1353))</f>
        <v/>
      </c>
      <c r="O1353" s="72" t="str">
        <f>IF(A1353="","",SUMIF(RATEIOS!$A$2:$A$3142,$A1353,RATEIOS!$F$2:$F$3142))</f>
        <v/>
      </c>
      <c r="P1353" s="15" t="str">
        <f t="shared" si="44"/>
        <v/>
      </c>
      <c r="Q1353" s="49" t="str">
        <f>IF(AND(J1353=0,K1353=0,L1353=0,M1353=0),"",IF(O1353=0,"PENDENTE DE RATEIO",IF(ABS(P1353)&gt;0.005,"DIVERGÊNCIA",IF(COUNTIF(RATEIOS!$A$2:$A$3142,$A1353)-COUNTIFS(RATEIOS!$A$2:$A$3142,$A1353,RATEIOS!$D$2:$D$3142,"&lt;&gt;")&gt;0,"NÃO CLASSIFICADO","RATEIO OK"))))</f>
        <v/>
      </c>
      <c r="R1353" s="49"/>
      <c r="S1353" s="14"/>
    </row>
    <row r="1354" spans="1:19" ht="30" customHeight="1" x14ac:dyDescent="0.25">
      <c r="A1354" s="49" t="str">
        <f>IF(C1354="","","BAN-01353")</f>
        <v/>
      </c>
      <c r="B1354" s="98" t="str">
        <f>IF(C1354="","",1353)</f>
        <v/>
      </c>
      <c r="C1354" s="50"/>
      <c r="D1354" s="49" t="str">
        <f t="shared" si="43"/>
        <v/>
      </c>
      <c r="E1354" s="92"/>
      <c r="F1354" s="49"/>
      <c r="G1354" s="14"/>
      <c r="H1354" s="14"/>
      <c r="I1354" s="76"/>
      <c r="J1354" s="73"/>
      <c r="K1354" s="74"/>
      <c r="L1354" s="72"/>
      <c r="M1354" s="72"/>
      <c r="N1354" s="72" t="str">
        <f>IF(AND(C1354="",J1354=0,K1354=0,L1354=0,M1354=0),"",CADASTROS!$B$4+SUM($J$2:J1354)+SUM($M$2:M1354)-SUM($K$2:K1354)-SUM($L$2:L1354))</f>
        <v/>
      </c>
      <c r="O1354" s="72" t="str">
        <f>IF(A1354="","",SUMIF(RATEIOS!$A$2:$A$3142,$A1354,RATEIOS!$F$2:$F$3142))</f>
        <v/>
      </c>
      <c r="P1354" s="15" t="str">
        <f t="shared" si="44"/>
        <v/>
      </c>
      <c r="Q1354" s="49" t="str">
        <f>IF(AND(J1354=0,K1354=0,L1354=0,M1354=0),"",IF(O1354=0,"PENDENTE DE RATEIO",IF(ABS(P1354)&gt;0.005,"DIVERGÊNCIA",IF(COUNTIF(RATEIOS!$A$2:$A$3142,$A1354)-COUNTIFS(RATEIOS!$A$2:$A$3142,$A1354,RATEIOS!$D$2:$D$3142,"&lt;&gt;")&gt;0,"NÃO CLASSIFICADO","RATEIO OK"))))</f>
        <v/>
      </c>
      <c r="R1354" s="49"/>
      <c r="S1354" s="14"/>
    </row>
    <row r="1355" spans="1:19" ht="30" customHeight="1" x14ac:dyDescent="0.25">
      <c r="A1355" s="49" t="str">
        <f>IF(C1355="","","BAN-01354")</f>
        <v/>
      </c>
      <c r="B1355" s="98" t="str">
        <f>IF(C1355="","",1354)</f>
        <v/>
      </c>
      <c r="C1355" s="50"/>
      <c r="D1355" s="49" t="str">
        <f t="shared" si="43"/>
        <v/>
      </c>
      <c r="E1355" s="92"/>
      <c r="F1355" s="49"/>
      <c r="G1355" s="14"/>
      <c r="H1355" s="14"/>
      <c r="I1355" s="76"/>
      <c r="J1355" s="73"/>
      <c r="K1355" s="74"/>
      <c r="L1355" s="72"/>
      <c r="M1355" s="72"/>
      <c r="N1355" s="72" t="str">
        <f>IF(AND(C1355="",J1355=0,K1355=0,L1355=0,M1355=0),"",CADASTROS!$B$4+SUM($J$2:J1355)+SUM($M$2:M1355)-SUM($K$2:K1355)-SUM($L$2:L1355))</f>
        <v/>
      </c>
      <c r="O1355" s="72" t="str">
        <f>IF(A1355="","",SUMIF(RATEIOS!$A$2:$A$3142,$A1355,RATEIOS!$F$2:$F$3142))</f>
        <v/>
      </c>
      <c r="P1355" s="15" t="str">
        <f t="shared" si="44"/>
        <v/>
      </c>
      <c r="Q1355" s="49" t="str">
        <f>IF(AND(J1355=0,K1355=0,L1355=0,M1355=0),"",IF(O1355=0,"PENDENTE DE RATEIO",IF(ABS(P1355)&gt;0.005,"DIVERGÊNCIA",IF(COUNTIF(RATEIOS!$A$2:$A$3142,$A1355)-COUNTIFS(RATEIOS!$A$2:$A$3142,$A1355,RATEIOS!$D$2:$D$3142,"&lt;&gt;")&gt;0,"NÃO CLASSIFICADO","RATEIO OK"))))</f>
        <v/>
      </c>
      <c r="R1355" s="49"/>
      <c r="S1355" s="14"/>
    </row>
    <row r="1356" spans="1:19" ht="30" customHeight="1" x14ac:dyDescent="0.25">
      <c r="A1356" s="49" t="str">
        <f>IF(C1356="","","BAN-01355")</f>
        <v/>
      </c>
      <c r="B1356" s="98" t="str">
        <f>IF(C1356="","",1355)</f>
        <v/>
      </c>
      <c r="C1356" s="50"/>
      <c r="D1356" s="49" t="str">
        <f t="shared" si="43"/>
        <v/>
      </c>
      <c r="E1356" s="92"/>
      <c r="F1356" s="49"/>
      <c r="G1356" s="14"/>
      <c r="H1356" s="14"/>
      <c r="I1356" s="76"/>
      <c r="J1356" s="73"/>
      <c r="K1356" s="74"/>
      <c r="L1356" s="72"/>
      <c r="M1356" s="72"/>
      <c r="N1356" s="72" t="str">
        <f>IF(AND(C1356="",J1356=0,K1356=0,L1356=0,M1356=0),"",CADASTROS!$B$4+SUM($J$2:J1356)+SUM($M$2:M1356)-SUM($K$2:K1356)-SUM($L$2:L1356))</f>
        <v/>
      </c>
      <c r="O1356" s="72" t="str">
        <f>IF(A1356="","",SUMIF(RATEIOS!$A$2:$A$3142,$A1356,RATEIOS!$F$2:$F$3142))</f>
        <v/>
      </c>
      <c r="P1356" s="15" t="str">
        <f t="shared" si="44"/>
        <v/>
      </c>
      <c r="Q1356" s="49" t="str">
        <f>IF(AND(J1356=0,K1356=0,L1356=0,M1356=0),"",IF(O1356=0,"PENDENTE DE RATEIO",IF(ABS(P1356)&gt;0.005,"DIVERGÊNCIA",IF(COUNTIF(RATEIOS!$A$2:$A$3142,$A1356)-COUNTIFS(RATEIOS!$A$2:$A$3142,$A1356,RATEIOS!$D$2:$D$3142,"&lt;&gt;")&gt;0,"NÃO CLASSIFICADO","RATEIO OK"))))</f>
        <v/>
      </c>
      <c r="R1356" s="49"/>
      <c r="S1356" s="14"/>
    </row>
    <row r="1357" spans="1:19" ht="30" customHeight="1" x14ac:dyDescent="0.25">
      <c r="A1357" s="49" t="str">
        <f>IF(C1357="","","BAN-01356")</f>
        <v/>
      </c>
      <c r="B1357" s="98" t="str">
        <f>IF(C1357="","",1356)</f>
        <v/>
      </c>
      <c r="C1357" s="50"/>
      <c r="D1357" s="49" t="str">
        <f t="shared" si="43"/>
        <v/>
      </c>
      <c r="E1357" s="92"/>
      <c r="F1357" s="49"/>
      <c r="G1357" s="14"/>
      <c r="H1357" s="14"/>
      <c r="I1357" s="76"/>
      <c r="J1357" s="73"/>
      <c r="K1357" s="74"/>
      <c r="L1357" s="72"/>
      <c r="M1357" s="72"/>
      <c r="N1357" s="72" t="str">
        <f>IF(AND(C1357="",J1357=0,K1357=0,L1357=0,M1357=0),"",CADASTROS!$B$4+SUM($J$2:J1357)+SUM($M$2:M1357)-SUM($K$2:K1357)-SUM($L$2:L1357))</f>
        <v/>
      </c>
      <c r="O1357" s="72" t="str">
        <f>IF(A1357="","",SUMIF(RATEIOS!$A$2:$A$3142,$A1357,RATEIOS!$F$2:$F$3142))</f>
        <v/>
      </c>
      <c r="P1357" s="15" t="str">
        <f t="shared" si="44"/>
        <v/>
      </c>
      <c r="Q1357" s="49" t="str">
        <f>IF(AND(J1357=0,K1357=0,L1357=0,M1357=0),"",IF(O1357=0,"PENDENTE DE RATEIO",IF(ABS(P1357)&gt;0.005,"DIVERGÊNCIA",IF(COUNTIF(RATEIOS!$A$2:$A$3142,$A1357)-COUNTIFS(RATEIOS!$A$2:$A$3142,$A1357,RATEIOS!$D$2:$D$3142,"&lt;&gt;")&gt;0,"NÃO CLASSIFICADO","RATEIO OK"))))</f>
        <v/>
      </c>
      <c r="R1357" s="49"/>
      <c r="S1357" s="14"/>
    </row>
    <row r="1358" spans="1:19" ht="30" customHeight="1" x14ac:dyDescent="0.25">
      <c r="A1358" s="49" t="str">
        <f>IF(C1358="","","BAN-01357")</f>
        <v/>
      </c>
      <c r="B1358" s="98" t="str">
        <f>IF(C1358="","",1357)</f>
        <v/>
      </c>
      <c r="C1358" s="50"/>
      <c r="D1358" s="49" t="str">
        <f t="shared" si="43"/>
        <v/>
      </c>
      <c r="E1358" s="92"/>
      <c r="F1358" s="49"/>
      <c r="G1358" s="14"/>
      <c r="H1358" s="14"/>
      <c r="I1358" s="76"/>
      <c r="J1358" s="73"/>
      <c r="K1358" s="74"/>
      <c r="L1358" s="72"/>
      <c r="M1358" s="72"/>
      <c r="N1358" s="72" t="str">
        <f>IF(AND(C1358="",J1358=0,K1358=0,L1358=0,M1358=0),"",CADASTROS!$B$4+SUM($J$2:J1358)+SUM($M$2:M1358)-SUM($K$2:K1358)-SUM($L$2:L1358))</f>
        <v/>
      </c>
      <c r="O1358" s="72" t="str">
        <f>IF(A1358="","",SUMIF(RATEIOS!$A$2:$A$3142,$A1358,RATEIOS!$F$2:$F$3142))</f>
        <v/>
      </c>
      <c r="P1358" s="15" t="str">
        <f t="shared" si="44"/>
        <v/>
      </c>
      <c r="Q1358" s="49" t="str">
        <f>IF(AND(J1358=0,K1358=0,L1358=0,M1358=0),"",IF(O1358=0,"PENDENTE DE RATEIO",IF(ABS(P1358)&gt;0.005,"DIVERGÊNCIA",IF(COUNTIF(RATEIOS!$A$2:$A$3142,$A1358)-COUNTIFS(RATEIOS!$A$2:$A$3142,$A1358,RATEIOS!$D$2:$D$3142,"&lt;&gt;")&gt;0,"NÃO CLASSIFICADO","RATEIO OK"))))</f>
        <v/>
      </c>
      <c r="R1358" s="49"/>
      <c r="S1358" s="14"/>
    </row>
    <row r="1359" spans="1:19" ht="30" customHeight="1" x14ac:dyDescent="0.25">
      <c r="A1359" s="49" t="str">
        <f>IF(C1359="","","BAN-01358")</f>
        <v/>
      </c>
      <c r="B1359" s="98" t="str">
        <f>IF(C1359="","",1358)</f>
        <v/>
      </c>
      <c r="C1359" s="50"/>
      <c r="D1359" s="49" t="str">
        <f t="shared" si="43"/>
        <v/>
      </c>
      <c r="E1359" s="92"/>
      <c r="F1359" s="49"/>
      <c r="G1359" s="14"/>
      <c r="H1359" s="14"/>
      <c r="I1359" s="76"/>
      <c r="J1359" s="73"/>
      <c r="K1359" s="74"/>
      <c r="L1359" s="72"/>
      <c r="M1359" s="72"/>
      <c r="N1359" s="72" t="str">
        <f>IF(AND(C1359="",J1359=0,K1359=0,L1359=0,M1359=0),"",CADASTROS!$B$4+SUM($J$2:J1359)+SUM($M$2:M1359)-SUM($K$2:K1359)-SUM($L$2:L1359))</f>
        <v/>
      </c>
      <c r="O1359" s="72" t="str">
        <f>IF(A1359="","",SUMIF(RATEIOS!$A$2:$A$3142,$A1359,RATEIOS!$F$2:$F$3142))</f>
        <v/>
      </c>
      <c r="P1359" s="15" t="str">
        <f t="shared" si="44"/>
        <v/>
      </c>
      <c r="Q1359" s="49" t="str">
        <f>IF(AND(J1359=0,K1359=0,L1359=0,M1359=0),"",IF(O1359=0,"PENDENTE DE RATEIO",IF(ABS(P1359)&gt;0.005,"DIVERGÊNCIA",IF(COUNTIF(RATEIOS!$A$2:$A$3142,$A1359)-COUNTIFS(RATEIOS!$A$2:$A$3142,$A1359,RATEIOS!$D$2:$D$3142,"&lt;&gt;")&gt;0,"NÃO CLASSIFICADO","RATEIO OK"))))</f>
        <v/>
      </c>
      <c r="R1359" s="49"/>
      <c r="S1359" s="14"/>
    </row>
    <row r="1360" spans="1:19" ht="30" customHeight="1" x14ac:dyDescent="0.25">
      <c r="A1360" s="49" t="str">
        <f>IF(C1360="","","BAN-01359")</f>
        <v/>
      </c>
      <c r="B1360" s="98" t="str">
        <f>IF(C1360="","",1359)</f>
        <v/>
      </c>
      <c r="C1360" s="50"/>
      <c r="D1360" s="49" t="str">
        <f t="shared" si="43"/>
        <v/>
      </c>
      <c r="E1360" s="92"/>
      <c r="F1360" s="49"/>
      <c r="G1360" s="14"/>
      <c r="H1360" s="14"/>
      <c r="I1360" s="76"/>
      <c r="J1360" s="73"/>
      <c r="K1360" s="74"/>
      <c r="L1360" s="72"/>
      <c r="M1360" s="72"/>
      <c r="N1360" s="72" t="str">
        <f>IF(AND(C1360="",J1360=0,K1360=0,L1360=0,M1360=0),"",CADASTROS!$B$4+SUM($J$2:J1360)+SUM($M$2:M1360)-SUM($K$2:K1360)-SUM($L$2:L1360))</f>
        <v/>
      </c>
      <c r="O1360" s="72" t="str">
        <f>IF(A1360="","",SUMIF(RATEIOS!$A$2:$A$3142,$A1360,RATEIOS!$F$2:$F$3142))</f>
        <v/>
      </c>
      <c r="P1360" s="15" t="str">
        <f t="shared" si="44"/>
        <v/>
      </c>
      <c r="Q1360" s="49" t="str">
        <f>IF(AND(J1360=0,K1360=0,L1360=0,M1360=0),"",IF(O1360=0,"PENDENTE DE RATEIO",IF(ABS(P1360)&gt;0.005,"DIVERGÊNCIA",IF(COUNTIF(RATEIOS!$A$2:$A$3142,$A1360)-COUNTIFS(RATEIOS!$A$2:$A$3142,$A1360,RATEIOS!$D$2:$D$3142,"&lt;&gt;")&gt;0,"NÃO CLASSIFICADO","RATEIO OK"))))</f>
        <v/>
      </c>
      <c r="R1360" s="49"/>
      <c r="S1360" s="14"/>
    </row>
    <row r="1361" spans="1:19" ht="30" customHeight="1" x14ac:dyDescent="0.25">
      <c r="A1361" s="49" t="str">
        <f>IF(C1361="","","BAN-01360")</f>
        <v/>
      </c>
      <c r="B1361" s="98" t="str">
        <f>IF(C1361="","",1360)</f>
        <v/>
      </c>
      <c r="C1361" s="50"/>
      <c r="D1361" s="49" t="str">
        <f t="shared" si="43"/>
        <v/>
      </c>
      <c r="E1361" s="92"/>
      <c r="F1361" s="49"/>
      <c r="G1361" s="14"/>
      <c r="H1361" s="14"/>
      <c r="I1361" s="76"/>
      <c r="J1361" s="73"/>
      <c r="K1361" s="74"/>
      <c r="L1361" s="72"/>
      <c r="M1361" s="72"/>
      <c r="N1361" s="72" t="str">
        <f>IF(AND(C1361="",J1361=0,K1361=0,L1361=0,M1361=0),"",CADASTROS!$B$4+SUM($J$2:J1361)+SUM($M$2:M1361)-SUM($K$2:K1361)-SUM($L$2:L1361))</f>
        <v/>
      </c>
      <c r="O1361" s="72" t="str">
        <f>IF(A1361="","",SUMIF(RATEIOS!$A$2:$A$3142,$A1361,RATEIOS!$F$2:$F$3142))</f>
        <v/>
      </c>
      <c r="P1361" s="15" t="str">
        <f t="shared" si="44"/>
        <v/>
      </c>
      <c r="Q1361" s="49" t="str">
        <f>IF(AND(J1361=0,K1361=0,L1361=0,M1361=0),"",IF(O1361=0,"PENDENTE DE RATEIO",IF(ABS(P1361)&gt;0.005,"DIVERGÊNCIA",IF(COUNTIF(RATEIOS!$A$2:$A$3142,$A1361)-COUNTIFS(RATEIOS!$A$2:$A$3142,$A1361,RATEIOS!$D$2:$D$3142,"&lt;&gt;")&gt;0,"NÃO CLASSIFICADO","RATEIO OK"))))</f>
        <v/>
      </c>
      <c r="R1361" s="49"/>
      <c r="S1361" s="14"/>
    </row>
    <row r="1362" spans="1:19" ht="30" customHeight="1" x14ac:dyDescent="0.25">
      <c r="A1362" s="49" t="str">
        <f>IF(C1362="","","BAN-01361")</f>
        <v/>
      </c>
      <c r="B1362" s="98" t="str">
        <f>IF(C1362="","",1361)</f>
        <v/>
      </c>
      <c r="C1362" s="50"/>
      <c r="D1362" s="49" t="str">
        <f t="shared" si="43"/>
        <v/>
      </c>
      <c r="E1362" s="92"/>
      <c r="F1362" s="49"/>
      <c r="G1362" s="14"/>
      <c r="H1362" s="14"/>
      <c r="I1362" s="76"/>
      <c r="J1362" s="73"/>
      <c r="K1362" s="74"/>
      <c r="L1362" s="72"/>
      <c r="M1362" s="72"/>
      <c r="N1362" s="72" t="str">
        <f>IF(AND(C1362="",J1362=0,K1362=0,L1362=0,M1362=0),"",CADASTROS!$B$4+SUM($J$2:J1362)+SUM($M$2:M1362)-SUM($K$2:K1362)-SUM($L$2:L1362))</f>
        <v/>
      </c>
      <c r="O1362" s="72" t="str">
        <f>IF(A1362="","",SUMIF(RATEIOS!$A$2:$A$3142,$A1362,RATEIOS!$F$2:$F$3142))</f>
        <v/>
      </c>
      <c r="P1362" s="15" t="str">
        <f t="shared" si="44"/>
        <v/>
      </c>
      <c r="Q1362" s="49" t="str">
        <f>IF(AND(J1362=0,K1362=0,L1362=0,M1362=0),"",IF(O1362=0,"PENDENTE DE RATEIO",IF(ABS(P1362)&gt;0.005,"DIVERGÊNCIA",IF(COUNTIF(RATEIOS!$A$2:$A$3142,$A1362)-COUNTIFS(RATEIOS!$A$2:$A$3142,$A1362,RATEIOS!$D$2:$D$3142,"&lt;&gt;")&gt;0,"NÃO CLASSIFICADO","RATEIO OK"))))</f>
        <v/>
      </c>
      <c r="R1362" s="49"/>
      <c r="S1362" s="14"/>
    </row>
    <row r="1363" spans="1:19" ht="30" customHeight="1" x14ac:dyDescent="0.25">
      <c r="A1363" s="49" t="str">
        <f>IF(C1363="","","BAN-01362")</f>
        <v/>
      </c>
      <c r="B1363" s="98" t="str">
        <f>IF(C1363="","",1362)</f>
        <v/>
      </c>
      <c r="C1363" s="50"/>
      <c r="D1363" s="49" t="str">
        <f t="shared" si="43"/>
        <v/>
      </c>
      <c r="E1363" s="92"/>
      <c r="F1363" s="49"/>
      <c r="G1363" s="14"/>
      <c r="H1363" s="14"/>
      <c r="I1363" s="76"/>
      <c r="J1363" s="73"/>
      <c r="K1363" s="74"/>
      <c r="L1363" s="72"/>
      <c r="M1363" s="72"/>
      <c r="N1363" s="72" t="str">
        <f>IF(AND(C1363="",J1363=0,K1363=0,L1363=0,M1363=0),"",CADASTROS!$B$4+SUM($J$2:J1363)+SUM($M$2:M1363)-SUM($K$2:K1363)-SUM($L$2:L1363))</f>
        <v/>
      </c>
      <c r="O1363" s="72" t="str">
        <f>IF(A1363="","",SUMIF(RATEIOS!$A$2:$A$3142,$A1363,RATEIOS!$F$2:$F$3142))</f>
        <v/>
      </c>
      <c r="P1363" s="15" t="str">
        <f t="shared" si="44"/>
        <v/>
      </c>
      <c r="Q1363" s="49" t="str">
        <f>IF(AND(J1363=0,K1363=0,L1363=0,M1363=0),"",IF(O1363=0,"PENDENTE DE RATEIO",IF(ABS(P1363)&gt;0.005,"DIVERGÊNCIA",IF(COUNTIF(RATEIOS!$A$2:$A$3142,$A1363)-COUNTIFS(RATEIOS!$A$2:$A$3142,$A1363,RATEIOS!$D$2:$D$3142,"&lt;&gt;")&gt;0,"NÃO CLASSIFICADO","RATEIO OK"))))</f>
        <v/>
      </c>
      <c r="R1363" s="49"/>
      <c r="S1363" s="14"/>
    </row>
    <row r="1364" spans="1:19" ht="30" customHeight="1" x14ac:dyDescent="0.25">
      <c r="A1364" s="49" t="str">
        <f>IF(C1364="","","BAN-01363")</f>
        <v/>
      </c>
      <c r="B1364" s="98" t="str">
        <f>IF(C1364="","",1363)</f>
        <v/>
      </c>
      <c r="C1364" s="50"/>
      <c r="D1364" s="49" t="str">
        <f t="shared" si="43"/>
        <v/>
      </c>
      <c r="E1364" s="92"/>
      <c r="F1364" s="49"/>
      <c r="G1364" s="14"/>
      <c r="H1364" s="14"/>
      <c r="I1364" s="76"/>
      <c r="J1364" s="73"/>
      <c r="K1364" s="74"/>
      <c r="L1364" s="72"/>
      <c r="M1364" s="72"/>
      <c r="N1364" s="72" t="str">
        <f>IF(AND(C1364="",J1364=0,K1364=0,L1364=0,M1364=0),"",CADASTROS!$B$4+SUM($J$2:J1364)+SUM($M$2:M1364)-SUM($K$2:K1364)-SUM($L$2:L1364))</f>
        <v/>
      </c>
      <c r="O1364" s="72" t="str">
        <f>IF(A1364="","",SUMIF(RATEIOS!$A$2:$A$3142,$A1364,RATEIOS!$F$2:$F$3142))</f>
        <v/>
      </c>
      <c r="P1364" s="15" t="str">
        <f t="shared" si="44"/>
        <v/>
      </c>
      <c r="Q1364" s="49" t="str">
        <f>IF(AND(J1364=0,K1364=0,L1364=0,M1364=0),"",IF(O1364=0,"PENDENTE DE RATEIO",IF(ABS(P1364)&gt;0.005,"DIVERGÊNCIA",IF(COUNTIF(RATEIOS!$A$2:$A$3142,$A1364)-COUNTIFS(RATEIOS!$A$2:$A$3142,$A1364,RATEIOS!$D$2:$D$3142,"&lt;&gt;")&gt;0,"NÃO CLASSIFICADO","RATEIO OK"))))</f>
        <v/>
      </c>
      <c r="R1364" s="49"/>
      <c r="S1364" s="14"/>
    </row>
    <row r="1365" spans="1:19" ht="30" customHeight="1" x14ac:dyDescent="0.25">
      <c r="A1365" s="49" t="str">
        <f>IF(C1365="","","BAN-01364")</f>
        <v/>
      </c>
      <c r="B1365" s="98" t="str">
        <f>IF(C1365="","",1364)</f>
        <v/>
      </c>
      <c r="C1365" s="50"/>
      <c r="D1365" s="49" t="str">
        <f t="shared" si="43"/>
        <v/>
      </c>
      <c r="E1365" s="92"/>
      <c r="F1365" s="49"/>
      <c r="G1365" s="14"/>
      <c r="H1365" s="14"/>
      <c r="I1365" s="76"/>
      <c r="J1365" s="73"/>
      <c r="K1365" s="74"/>
      <c r="L1365" s="72"/>
      <c r="M1365" s="72"/>
      <c r="N1365" s="72" t="str">
        <f>IF(AND(C1365="",J1365=0,K1365=0,L1365=0,M1365=0),"",CADASTROS!$B$4+SUM($J$2:J1365)+SUM($M$2:M1365)-SUM($K$2:K1365)-SUM($L$2:L1365))</f>
        <v/>
      </c>
      <c r="O1365" s="72" t="str">
        <f>IF(A1365="","",SUMIF(RATEIOS!$A$2:$A$3142,$A1365,RATEIOS!$F$2:$F$3142))</f>
        <v/>
      </c>
      <c r="P1365" s="15" t="str">
        <f t="shared" si="44"/>
        <v/>
      </c>
      <c r="Q1365" s="49" t="str">
        <f>IF(AND(J1365=0,K1365=0,L1365=0,M1365=0),"",IF(O1365=0,"PENDENTE DE RATEIO",IF(ABS(P1365)&gt;0.005,"DIVERGÊNCIA",IF(COUNTIF(RATEIOS!$A$2:$A$3142,$A1365)-COUNTIFS(RATEIOS!$A$2:$A$3142,$A1365,RATEIOS!$D$2:$D$3142,"&lt;&gt;")&gt;0,"NÃO CLASSIFICADO","RATEIO OK"))))</f>
        <v/>
      </c>
      <c r="R1365" s="49"/>
      <c r="S1365" s="14"/>
    </row>
    <row r="1366" spans="1:19" ht="30" customHeight="1" x14ac:dyDescent="0.25">
      <c r="A1366" s="49" t="str">
        <f>IF(C1366="","","BAN-01365")</f>
        <v/>
      </c>
      <c r="B1366" s="98" t="str">
        <f>IF(C1366="","",1365)</f>
        <v/>
      </c>
      <c r="C1366" s="50"/>
      <c r="D1366" s="49" t="str">
        <f t="shared" si="43"/>
        <v/>
      </c>
      <c r="E1366" s="92"/>
      <c r="F1366" s="49"/>
      <c r="G1366" s="14"/>
      <c r="H1366" s="14"/>
      <c r="I1366" s="76"/>
      <c r="J1366" s="73"/>
      <c r="K1366" s="74"/>
      <c r="L1366" s="72"/>
      <c r="M1366" s="72"/>
      <c r="N1366" s="72" t="str">
        <f>IF(AND(C1366="",J1366=0,K1366=0,L1366=0,M1366=0),"",CADASTROS!$B$4+SUM($J$2:J1366)+SUM($M$2:M1366)-SUM($K$2:K1366)-SUM($L$2:L1366))</f>
        <v/>
      </c>
      <c r="O1366" s="72" t="str">
        <f>IF(A1366="","",SUMIF(RATEIOS!$A$2:$A$3142,$A1366,RATEIOS!$F$2:$F$3142))</f>
        <v/>
      </c>
      <c r="P1366" s="15" t="str">
        <f t="shared" si="44"/>
        <v/>
      </c>
      <c r="Q1366" s="49" t="str">
        <f>IF(AND(J1366=0,K1366=0,L1366=0,M1366=0),"",IF(O1366=0,"PENDENTE DE RATEIO",IF(ABS(P1366)&gt;0.005,"DIVERGÊNCIA",IF(COUNTIF(RATEIOS!$A$2:$A$3142,$A1366)-COUNTIFS(RATEIOS!$A$2:$A$3142,$A1366,RATEIOS!$D$2:$D$3142,"&lt;&gt;")&gt;0,"NÃO CLASSIFICADO","RATEIO OK"))))</f>
        <v/>
      </c>
      <c r="R1366" s="49"/>
      <c r="S1366" s="14"/>
    </row>
    <row r="1367" spans="1:19" ht="30" customHeight="1" x14ac:dyDescent="0.25">
      <c r="A1367" s="49" t="str">
        <f>IF(C1367="","","BAN-01366")</f>
        <v/>
      </c>
      <c r="B1367" s="98" t="str">
        <f>IF(C1367="","",1366)</f>
        <v/>
      </c>
      <c r="C1367" s="50"/>
      <c r="D1367" s="49" t="str">
        <f t="shared" si="43"/>
        <v/>
      </c>
      <c r="E1367" s="92"/>
      <c r="F1367" s="49"/>
      <c r="G1367" s="14"/>
      <c r="H1367" s="14"/>
      <c r="I1367" s="76"/>
      <c r="J1367" s="73"/>
      <c r="K1367" s="74"/>
      <c r="L1367" s="72"/>
      <c r="M1367" s="72"/>
      <c r="N1367" s="72" t="str">
        <f>IF(AND(C1367="",J1367=0,K1367=0,L1367=0,M1367=0),"",CADASTROS!$B$4+SUM($J$2:J1367)+SUM($M$2:M1367)-SUM($K$2:K1367)-SUM($L$2:L1367))</f>
        <v/>
      </c>
      <c r="O1367" s="72" t="str">
        <f>IF(A1367="","",SUMIF(RATEIOS!$A$2:$A$3142,$A1367,RATEIOS!$F$2:$F$3142))</f>
        <v/>
      </c>
      <c r="P1367" s="15" t="str">
        <f t="shared" si="44"/>
        <v/>
      </c>
      <c r="Q1367" s="49" t="str">
        <f>IF(AND(J1367=0,K1367=0,L1367=0,M1367=0),"",IF(O1367=0,"PENDENTE DE RATEIO",IF(ABS(P1367)&gt;0.005,"DIVERGÊNCIA",IF(COUNTIF(RATEIOS!$A$2:$A$3142,$A1367)-COUNTIFS(RATEIOS!$A$2:$A$3142,$A1367,RATEIOS!$D$2:$D$3142,"&lt;&gt;")&gt;0,"NÃO CLASSIFICADO","RATEIO OK"))))</f>
        <v/>
      </c>
      <c r="R1367" s="49"/>
      <c r="S1367" s="14"/>
    </row>
    <row r="1368" spans="1:19" ht="30" customHeight="1" x14ac:dyDescent="0.25">
      <c r="A1368" s="49" t="str">
        <f>IF(C1368="","","BAN-01367")</f>
        <v/>
      </c>
      <c r="B1368" s="98" t="str">
        <f>IF(C1368="","",1367)</f>
        <v/>
      </c>
      <c r="C1368" s="50"/>
      <c r="D1368" s="49" t="str">
        <f t="shared" si="43"/>
        <v/>
      </c>
      <c r="E1368" s="92"/>
      <c r="F1368" s="49"/>
      <c r="G1368" s="14"/>
      <c r="H1368" s="14"/>
      <c r="I1368" s="76"/>
      <c r="J1368" s="73"/>
      <c r="K1368" s="74"/>
      <c r="L1368" s="72"/>
      <c r="M1368" s="72"/>
      <c r="N1368" s="72" t="str">
        <f>IF(AND(C1368="",J1368=0,K1368=0,L1368=0,M1368=0),"",CADASTROS!$B$4+SUM($J$2:J1368)+SUM($M$2:M1368)-SUM($K$2:K1368)-SUM($L$2:L1368))</f>
        <v/>
      </c>
      <c r="O1368" s="72" t="str">
        <f>IF(A1368="","",SUMIF(RATEIOS!$A$2:$A$3142,$A1368,RATEIOS!$F$2:$F$3142))</f>
        <v/>
      </c>
      <c r="P1368" s="15" t="str">
        <f t="shared" si="44"/>
        <v/>
      </c>
      <c r="Q1368" s="49" t="str">
        <f>IF(AND(J1368=0,K1368=0,L1368=0,M1368=0),"",IF(O1368=0,"PENDENTE DE RATEIO",IF(ABS(P1368)&gt;0.005,"DIVERGÊNCIA",IF(COUNTIF(RATEIOS!$A$2:$A$3142,$A1368)-COUNTIFS(RATEIOS!$A$2:$A$3142,$A1368,RATEIOS!$D$2:$D$3142,"&lt;&gt;")&gt;0,"NÃO CLASSIFICADO","RATEIO OK"))))</f>
        <v/>
      </c>
      <c r="R1368" s="49"/>
      <c r="S1368" s="14"/>
    </row>
    <row r="1369" spans="1:19" ht="30" customHeight="1" x14ac:dyDescent="0.25">
      <c r="A1369" s="49" t="str">
        <f>IF(C1369="","","BAN-01368")</f>
        <v/>
      </c>
      <c r="B1369" s="98" t="str">
        <f>IF(C1369="","",1368)</f>
        <v/>
      </c>
      <c r="C1369" s="50"/>
      <c r="D1369" s="49" t="str">
        <f t="shared" si="43"/>
        <v/>
      </c>
      <c r="E1369" s="92"/>
      <c r="F1369" s="49"/>
      <c r="G1369" s="14"/>
      <c r="H1369" s="14"/>
      <c r="I1369" s="76"/>
      <c r="J1369" s="73"/>
      <c r="K1369" s="74"/>
      <c r="L1369" s="72"/>
      <c r="M1369" s="72"/>
      <c r="N1369" s="72" t="str">
        <f>IF(AND(C1369="",J1369=0,K1369=0,L1369=0,M1369=0),"",CADASTROS!$B$4+SUM($J$2:J1369)+SUM($M$2:M1369)-SUM($K$2:K1369)-SUM($L$2:L1369))</f>
        <v/>
      </c>
      <c r="O1369" s="72" t="str">
        <f>IF(A1369="","",SUMIF(RATEIOS!$A$2:$A$3142,$A1369,RATEIOS!$F$2:$F$3142))</f>
        <v/>
      </c>
      <c r="P1369" s="15" t="str">
        <f t="shared" si="44"/>
        <v/>
      </c>
      <c r="Q1369" s="49" t="str">
        <f>IF(AND(J1369=0,K1369=0,L1369=0,M1369=0),"",IF(O1369=0,"PENDENTE DE RATEIO",IF(ABS(P1369)&gt;0.005,"DIVERGÊNCIA",IF(COUNTIF(RATEIOS!$A$2:$A$3142,$A1369)-COUNTIFS(RATEIOS!$A$2:$A$3142,$A1369,RATEIOS!$D$2:$D$3142,"&lt;&gt;")&gt;0,"NÃO CLASSIFICADO","RATEIO OK"))))</f>
        <v/>
      </c>
      <c r="R1369" s="49"/>
      <c r="S1369" s="14"/>
    </row>
    <row r="1370" spans="1:19" ht="30" customHeight="1" x14ac:dyDescent="0.25">
      <c r="A1370" s="49" t="str">
        <f>IF(C1370="","","BAN-01369")</f>
        <v/>
      </c>
      <c r="B1370" s="98" t="str">
        <f>IF(C1370="","",1369)</f>
        <v/>
      </c>
      <c r="C1370" s="50"/>
      <c r="D1370" s="49" t="str">
        <f t="shared" si="43"/>
        <v/>
      </c>
      <c r="E1370" s="92"/>
      <c r="F1370" s="49"/>
      <c r="G1370" s="14"/>
      <c r="H1370" s="14"/>
      <c r="I1370" s="76"/>
      <c r="J1370" s="73"/>
      <c r="K1370" s="74"/>
      <c r="L1370" s="72"/>
      <c r="M1370" s="72"/>
      <c r="N1370" s="72" t="str">
        <f>IF(AND(C1370="",J1370=0,K1370=0,L1370=0,M1370=0),"",CADASTROS!$B$4+SUM($J$2:J1370)+SUM($M$2:M1370)-SUM($K$2:K1370)-SUM($L$2:L1370))</f>
        <v/>
      </c>
      <c r="O1370" s="72" t="str">
        <f>IF(A1370="","",SUMIF(RATEIOS!$A$2:$A$3142,$A1370,RATEIOS!$F$2:$F$3142))</f>
        <v/>
      </c>
      <c r="P1370" s="15" t="str">
        <f t="shared" si="44"/>
        <v/>
      </c>
      <c r="Q1370" s="49" t="str">
        <f>IF(AND(J1370=0,K1370=0,L1370=0,M1370=0),"",IF(O1370=0,"PENDENTE DE RATEIO",IF(ABS(P1370)&gt;0.005,"DIVERGÊNCIA",IF(COUNTIF(RATEIOS!$A$2:$A$3142,$A1370)-COUNTIFS(RATEIOS!$A$2:$A$3142,$A1370,RATEIOS!$D$2:$D$3142,"&lt;&gt;")&gt;0,"NÃO CLASSIFICADO","RATEIO OK"))))</f>
        <v/>
      </c>
      <c r="R1370" s="49"/>
      <c r="S1370" s="14"/>
    </row>
    <row r="1371" spans="1:19" ht="30" customHeight="1" x14ac:dyDescent="0.25">
      <c r="A1371" s="49" t="str">
        <f>IF(C1371="","","BAN-01370")</f>
        <v/>
      </c>
      <c r="B1371" s="98" t="str">
        <f>IF(C1371="","",1370)</f>
        <v/>
      </c>
      <c r="C1371" s="50"/>
      <c r="D1371" s="49" t="str">
        <f t="shared" si="43"/>
        <v/>
      </c>
      <c r="E1371" s="92"/>
      <c r="F1371" s="49"/>
      <c r="G1371" s="14"/>
      <c r="H1371" s="14"/>
      <c r="I1371" s="76"/>
      <c r="J1371" s="73"/>
      <c r="K1371" s="74"/>
      <c r="L1371" s="72"/>
      <c r="M1371" s="72"/>
      <c r="N1371" s="72" t="str">
        <f>IF(AND(C1371="",J1371=0,K1371=0,L1371=0,M1371=0),"",CADASTROS!$B$4+SUM($J$2:J1371)+SUM($M$2:M1371)-SUM($K$2:K1371)-SUM($L$2:L1371))</f>
        <v/>
      </c>
      <c r="O1371" s="72" t="str">
        <f>IF(A1371="","",SUMIF(RATEIOS!$A$2:$A$3142,$A1371,RATEIOS!$F$2:$F$3142))</f>
        <v/>
      </c>
      <c r="P1371" s="15" t="str">
        <f t="shared" si="44"/>
        <v/>
      </c>
      <c r="Q1371" s="49" t="str">
        <f>IF(AND(J1371=0,K1371=0,L1371=0,M1371=0),"",IF(O1371=0,"PENDENTE DE RATEIO",IF(ABS(P1371)&gt;0.005,"DIVERGÊNCIA",IF(COUNTIF(RATEIOS!$A$2:$A$3142,$A1371)-COUNTIFS(RATEIOS!$A$2:$A$3142,$A1371,RATEIOS!$D$2:$D$3142,"&lt;&gt;")&gt;0,"NÃO CLASSIFICADO","RATEIO OK"))))</f>
        <v/>
      </c>
      <c r="R1371" s="49"/>
      <c r="S1371" s="14"/>
    </row>
    <row r="1372" spans="1:19" ht="30" customHeight="1" x14ac:dyDescent="0.25">
      <c r="A1372" s="49" t="str">
        <f>IF(C1372="","","BAN-01371")</f>
        <v/>
      </c>
      <c r="B1372" s="98" t="str">
        <f>IF(C1372="","",1371)</f>
        <v/>
      </c>
      <c r="C1372" s="50"/>
      <c r="D1372" s="49" t="str">
        <f t="shared" si="43"/>
        <v/>
      </c>
      <c r="E1372" s="92"/>
      <c r="F1372" s="49"/>
      <c r="G1372" s="14"/>
      <c r="H1372" s="14"/>
      <c r="I1372" s="76"/>
      <c r="J1372" s="73"/>
      <c r="K1372" s="74"/>
      <c r="L1372" s="72"/>
      <c r="M1372" s="72"/>
      <c r="N1372" s="72" t="str">
        <f>IF(AND(C1372="",J1372=0,K1372=0,L1372=0,M1372=0),"",CADASTROS!$B$4+SUM($J$2:J1372)+SUM($M$2:M1372)-SUM($K$2:K1372)-SUM($L$2:L1372))</f>
        <v/>
      </c>
      <c r="O1372" s="72" t="str">
        <f>IF(A1372="","",SUMIF(RATEIOS!$A$2:$A$3142,$A1372,RATEIOS!$F$2:$F$3142))</f>
        <v/>
      </c>
      <c r="P1372" s="15" t="str">
        <f t="shared" si="44"/>
        <v/>
      </c>
      <c r="Q1372" s="49" t="str">
        <f>IF(AND(J1372=0,K1372=0,L1372=0,M1372=0),"",IF(O1372=0,"PENDENTE DE RATEIO",IF(ABS(P1372)&gt;0.005,"DIVERGÊNCIA",IF(COUNTIF(RATEIOS!$A$2:$A$3142,$A1372)-COUNTIFS(RATEIOS!$A$2:$A$3142,$A1372,RATEIOS!$D$2:$D$3142,"&lt;&gt;")&gt;0,"NÃO CLASSIFICADO","RATEIO OK"))))</f>
        <v/>
      </c>
      <c r="R1372" s="49"/>
      <c r="S1372" s="14"/>
    </row>
    <row r="1373" spans="1:19" ht="30" customHeight="1" x14ac:dyDescent="0.25">
      <c r="A1373" s="49" t="str">
        <f>IF(C1373="","","BAN-01372")</f>
        <v/>
      </c>
      <c r="B1373" s="98" t="str">
        <f>IF(C1373="","",1372)</f>
        <v/>
      </c>
      <c r="C1373" s="50"/>
      <c r="D1373" s="49" t="str">
        <f t="shared" si="43"/>
        <v/>
      </c>
      <c r="E1373" s="92"/>
      <c r="F1373" s="49"/>
      <c r="G1373" s="14"/>
      <c r="H1373" s="14"/>
      <c r="I1373" s="76"/>
      <c r="J1373" s="73"/>
      <c r="K1373" s="74"/>
      <c r="L1373" s="72"/>
      <c r="M1373" s="72"/>
      <c r="N1373" s="72" t="str">
        <f>IF(AND(C1373="",J1373=0,K1373=0,L1373=0,M1373=0),"",CADASTROS!$B$4+SUM($J$2:J1373)+SUM($M$2:M1373)-SUM($K$2:K1373)-SUM($L$2:L1373))</f>
        <v/>
      </c>
      <c r="O1373" s="72" t="str">
        <f>IF(A1373="","",SUMIF(RATEIOS!$A$2:$A$3142,$A1373,RATEIOS!$F$2:$F$3142))</f>
        <v/>
      </c>
      <c r="P1373" s="15" t="str">
        <f t="shared" si="44"/>
        <v/>
      </c>
      <c r="Q1373" s="49" t="str">
        <f>IF(AND(J1373=0,K1373=0,L1373=0,M1373=0),"",IF(O1373=0,"PENDENTE DE RATEIO",IF(ABS(P1373)&gt;0.005,"DIVERGÊNCIA",IF(COUNTIF(RATEIOS!$A$2:$A$3142,$A1373)-COUNTIFS(RATEIOS!$A$2:$A$3142,$A1373,RATEIOS!$D$2:$D$3142,"&lt;&gt;")&gt;0,"NÃO CLASSIFICADO","RATEIO OK"))))</f>
        <v/>
      </c>
      <c r="R1373" s="49"/>
      <c r="S1373" s="14"/>
    </row>
    <row r="1374" spans="1:19" ht="30" customHeight="1" x14ac:dyDescent="0.25">
      <c r="A1374" s="49" t="str">
        <f>IF(C1374="","","BAN-01373")</f>
        <v/>
      </c>
      <c r="B1374" s="98" t="str">
        <f>IF(C1374="","",1373)</f>
        <v/>
      </c>
      <c r="C1374" s="50"/>
      <c r="D1374" s="49" t="str">
        <f t="shared" si="43"/>
        <v/>
      </c>
      <c r="E1374" s="92"/>
      <c r="F1374" s="49"/>
      <c r="G1374" s="14"/>
      <c r="H1374" s="14"/>
      <c r="I1374" s="76"/>
      <c r="J1374" s="73"/>
      <c r="K1374" s="74"/>
      <c r="L1374" s="72"/>
      <c r="M1374" s="72"/>
      <c r="N1374" s="72" t="str">
        <f>IF(AND(C1374="",J1374=0,K1374=0,L1374=0,M1374=0),"",CADASTROS!$B$4+SUM($J$2:J1374)+SUM($M$2:M1374)-SUM($K$2:K1374)-SUM($L$2:L1374))</f>
        <v/>
      </c>
      <c r="O1374" s="72" t="str">
        <f>IF(A1374="","",SUMIF(RATEIOS!$A$2:$A$3142,$A1374,RATEIOS!$F$2:$F$3142))</f>
        <v/>
      </c>
      <c r="P1374" s="15" t="str">
        <f t="shared" si="44"/>
        <v/>
      </c>
      <c r="Q1374" s="49" t="str">
        <f>IF(AND(J1374=0,K1374=0,L1374=0,M1374=0),"",IF(O1374=0,"PENDENTE DE RATEIO",IF(ABS(P1374)&gt;0.005,"DIVERGÊNCIA",IF(COUNTIF(RATEIOS!$A$2:$A$3142,$A1374)-COUNTIFS(RATEIOS!$A$2:$A$3142,$A1374,RATEIOS!$D$2:$D$3142,"&lt;&gt;")&gt;0,"NÃO CLASSIFICADO","RATEIO OK"))))</f>
        <v/>
      </c>
      <c r="R1374" s="49"/>
      <c r="S1374" s="14"/>
    </row>
    <row r="1375" spans="1:19" ht="30" customHeight="1" x14ac:dyDescent="0.25">
      <c r="A1375" s="49" t="str">
        <f>IF(C1375="","","BAN-01374")</f>
        <v/>
      </c>
      <c r="B1375" s="98" t="str">
        <f>IF(C1375="","",1374)</f>
        <v/>
      </c>
      <c r="C1375" s="50"/>
      <c r="D1375" s="49" t="str">
        <f t="shared" si="43"/>
        <v/>
      </c>
      <c r="E1375" s="92"/>
      <c r="F1375" s="49"/>
      <c r="G1375" s="14"/>
      <c r="H1375" s="14"/>
      <c r="I1375" s="76"/>
      <c r="J1375" s="73"/>
      <c r="K1375" s="74"/>
      <c r="L1375" s="72"/>
      <c r="M1375" s="72"/>
      <c r="N1375" s="72" t="str">
        <f>IF(AND(C1375="",J1375=0,K1375=0,L1375=0,M1375=0),"",CADASTROS!$B$4+SUM($J$2:J1375)+SUM($M$2:M1375)-SUM($K$2:K1375)-SUM($L$2:L1375))</f>
        <v/>
      </c>
      <c r="O1375" s="72" t="str">
        <f>IF(A1375="","",SUMIF(RATEIOS!$A$2:$A$3142,$A1375,RATEIOS!$F$2:$F$3142))</f>
        <v/>
      </c>
      <c r="P1375" s="15" t="str">
        <f t="shared" si="44"/>
        <v/>
      </c>
      <c r="Q1375" s="49" t="str">
        <f>IF(AND(J1375=0,K1375=0,L1375=0,M1375=0),"",IF(O1375=0,"PENDENTE DE RATEIO",IF(ABS(P1375)&gt;0.005,"DIVERGÊNCIA",IF(COUNTIF(RATEIOS!$A$2:$A$3142,$A1375)-COUNTIFS(RATEIOS!$A$2:$A$3142,$A1375,RATEIOS!$D$2:$D$3142,"&lt;&gt;")&gt;0,"NÃO CLASSIFICADO","RATEIO OK"))))</f>
        <v/>
      </c>
      <c r="R1375" s="49"/>
      <c r="S1375" s="14"/>
    </row>
    <row r="1376" spans="1:19" ht="30" customHeight="1" x14ac:dyDescent="0.25">
      <c r="A1376" s="49" t="str">
        <f>IF(C1376="","","BAN-01375")</f>
        <v/>
      </c>
      <c r="B1376" s="98" t="str">
        <f>IF(C1376="","",1375)</f>
        <v/>
      </c>
      <c r="C1376" s="50"/>
      <c r="D1376" s="49" t="str">
        <f t="shared" si="43"/>
        <v/>
      </c>
      <c r="E1376" s="92"/>
      <c r="F1376" s="49"/>
      <c r="G1376" s="14"/>
      <c r="H1376" s="14"/>
      <c r="I1376" s="76"/>
      <c r="J1376" s="73"/>
      <c r="K1376" s="74"/>
      <c r="L1376" s="72"/>
      <c r="M1376" s="72"/>
      <c r="N1376" s="72" t="str">
        <f>IF(AND(C1376="",J1376=0,K1376=0,L1376=0,M1376=0),"",CADASTROS!$B$4+SUM($J$2:J1376)+SUM($M$2:M1376)-SUM($K$2:K1376)-SUM($L$2:L1376))</f>
        <v/>
      </c>
      <c r="O1376" s="72" t="str">
        <f>IF(A1376="","",SUMIF(RATEIOS!$A$2:$A$3142,$A1376,RATEIOS!$F$2:$F$3142))</f>
        <v/>
      </c>
      <c r="P1376" s="15" t="str">
        <f t="shared" si="44"/>
        <v/>
      </c>
      <c r="Q1376" s="49" t="str">
        <f>IF(AND(J1376=0,K1376=0,L1376=0,M1376=0),"",IF(O1376=0,"PENDENTE DE RATEIO",IF(ABS(P1376)&gt;0.005,"DIVERGÊNCIA",IF(COUNTIF(RATEIOS!$A$2:$A$3142,$A1376)-COUNTIFS(RATEIOS!$A$2:$A$3142,$A1376,RATEIOS!$D$2:$D$3142,"&lt;&gt;")&gt;0,"NÃO CLASSIFICADO","RATEIO OK"))))</f>
        <v/>
      </c>
      <c r="R1376" s="49"/>
      <c r="S1376" s="14"/>
    </row>
    <row r="1377" spans="1:19" ht="30" customHeight="1" x14ac:dyDescent="0.25">
      <c r="A1377" s="49" t="str">
        <f>IF(C1377="","","BAN-01376")</f>
        <v/>
      </c>
      <c r="B1377" s="98" t="str">
        <f>IF(C1377="","",1376)</f>
        <v/>
      </c>
      <c r="C1377" s="50"/>
      <c r="D1377" s="49" t="str">
        <f t="shared" si="43"/>
        <v/>
      </c>
      <c r="E1377" s="92"/>
      <c r="F1377" s="49"/>
      <c r="G1377" s="14"/>
      <c r="H1377" s="14"/>
      <c r="I1377" s="76"/>
      <c r="J1377" s="73"/>
      <c r="K1377" s="74"/>
      <c r="L1377" s="72"/>
      <c r="M1377" s="72"/>
      <c r="N1377" s="72" t="str">
        <f>IF(AND(C1377="",J1377=0,K1377=0,L1377=0,M1377=0),"",CADASTROS!$B$4+SUM($J$2:J1377)+SUM($M$2:M1377)-SUM($K$2:K1377)-SUM($L$2:L1377))</f>
        <v/>
      </c>
      <c r="O1377" s="72" t="str">
        <f>IF(A1377="","",SUMIF(RATEIOS!$A$2:$A$3142,$A1377,RATEIOS!$F$2:$F$3142))</f>
        <v/>
      </c>
      <c r="P1377" s="15" t="str">
        <f t="shared" si="44"/>
        <v/>
      </c>
      <c r="Q1377" s="49" t="str">
        <f>IF(AND(J1377=0,K1377=0,L1377=0,M1377=0),"",IF(O1377=0,"PENDENTE DE RATEIO",IF(ABS(P1377)&gt;0.005,"DIVERGÊNCIA",IF(COUNTIF(RATEIOS!$A$2:$A$3142,$A1377)-COUNTIFS(RATEIOS!$A$2:$A$3142,$A1377,RATEIOS!$D$2:$D$3142,"&lt;&gt;")&gt;0,"NÃO CLASSIFICADO","RATEIO OK"))))</f>
        <v/>
      </c>
      <c r="R1377" s="49"/>
      <c r="S1377" s="14"/>
    </row>
    <row r="1378" spans="1:19" ht="30" customHeight="1" x14ac:dyDescent="0.25">
      <c r="A1378" s="49" t="str">
        <f>IF(C1378="","","BAN-01377")</f>
        <v/>
      </c>
      <c r="B1378" s="98" t="str">
        <f>IF(C1378="","",1377)</f>
        <v/>
      </c>
      <c r="C1378" s="50"/>
      <c r="D1378" s="49" t="str">
        <f t="shared" si="43"/>
        <v/>
      </c>
      <c r="E1378" s="92"/>
      <c r="F1378" s="49"/>
      <c r="G1378" s="14"/>
      <c r="H1378" s="14"/>
      <c r="I1378" s="76"/>
      <c r="J1378" s="73"/>
      <c r="K1378" s="74"/>
      <c r="L1378" s="72"/>
      <c r="M1378" s="72"/>
      <c r="N1378" s="72" t="str">
        <f>IF(AND(C1378="",J1378=0,K1378=0,L1378=0,M1378=0),"",CADASTROS!$B$4+SUM($J$2:J1378)+SUM($M$2:M1378)-SUM($K$2:K1378)-SUM($L$2:L1378))</f>
        <v/>
      </c>
      <c r="O1378" s="72" t="str">
        <f>IF(A1378="","",SUMIF(RATEIOS!$A$2:$A$3142,$A1378,RATEIOS!$F$2:$F$3142))</f>
        <v/>
      </c>
      <c r="P1378" s="15" t="str">
        <f t="shared" si="44"/>
        <v/>
      </c>
      <c r="Q1378" s="49" t="str">
        <f>IF(AND(J1378=0,K1378=0,L1378=0,M1378=0),"",IF(O1378=0,"PENDENTE DE RATEIO",IF(ABS(P1378)&gt;0.005,"DIVERGÊNCIA",IF(COUNTIF(RATEIOS!$A$2:$A$3142,$A1378)-COUNTIFS(RATEIOS!$A$2:$A$3142,$A1378,RATEIOS!$D$2:$D$3142,"&lt;&gt;")&gt;0,"NÃO CLASSIFICADO","RATEIO OK"))))</f>
        <v/>
      </c>
      <c r="R1378" s="49"/>
      <c r="S1378" s="14"/>
    </row>
    <row r="1379" spans="1:19" ht="30" customHeight="1" x14ac:dyDescent="0.25">
      <c r="A1379" s="49" t="str">
        <f>IF(C1379="","","BAN-01378")</f>
        <v/>
      </c>
      <c r="B1379" s="98" t="str">
        <f>IF(C1379="","",1378)</f>
        <v/>
      </c>
      <c r="C1379" s="50"/>
      <c r="D1379" s="49" t="str">
        <f t="shared" si="43"/>
        <v/>
      </c>
      <c r="E1379" s="92"/>
      <c r="F1379" s="49"/>
      <c r="G1379" s="14"/>
      <c r="H1379" s="14"/>
      <c r="I1379" s="76"/>
      <c r="J1379" s="73"/>
      <c r="K1379" s="74"/>
      <c r="L1379" s="72"/>
      <c r="M1379" s="72"/>
      <c r="N1379" s="72" t="str">
        <f>IF(AND(C1379="",J1379=0,K1379=0,L1379=0,M1379=0),"",CADASTROS!$B$4+SUM($J$2:J1379)+SUM($M$2:M1379)-SUM($K$2:K1379)-SUM($L$2:L1379))</f>
        <v/>
      </c>
      <c r="O1379" s="72" t="str">
        <f>IF(A1379="","",SUMIF(RATEIOS!$A$2:$A$3142,$A1379,RATEIOS!$F$2:$F$3142))</f>
        <v/>
      </c>
      <c r="P1379" s="15" t="str">
        <f t="shared" si="44"/>
        <v/>
      </c>
      <c r="Q1379" s="49" t="str">
        <f>IF(AND(J1379=0,K1379=0,L1379=0,M1379=0),"",IF(O1379=0,"PENDENTE DE RATEIO",IF(ABS(P1379)&gt;0.005,"DIVERGÊNCIA",IF(COUNTIF(RATEIOS!$A$2:$A$3142,$A1379)-COUNTIFS(RATEIOS!$A$2:$A$3142,$A1379,RATEIOS!$D$2:$D$3142,"&lt;&gt;")&gt;0,"NÃO CLASSIFICADO","RATEIO OK"))))</f>
        <v/>
      </c>
      <c r="R1379" s="49"/>
      <c r="S1379" s="14"/>
    </row>
    <row r="1380" spans="1:19" ht="30" customHeight="1" x14ac:dyDescent="0.25">
      <c r="A1380" s="49" t="str">
        <f>IF(C1380="","","BAN-01379")</f>
        <v/>
      </c>
      <c r="B1380" s="98" t="str">
        <f>IF(C1380="","",1379)</f>
        <v/>
      </c>
      <c r="C1380" s="50"/>
      <c r="D1380" s="49" t="str">
        <f t="shared" si="43"/>
        <v/>
      </c>
      <c r="E1380" s="92"/>
      <c r="F1380" s="49"/>
      <c r="G1380" s="14"/>
      <c r="H1380" s="14"/>
      <c r="I1380" s="76"/>
      <c r="J1380" s="73"/>
      <c r="K1380" s="74"/>
      <c r="L1380" s="72"/>
      <c r="M1380" s="72"/>
      <c r="N1380" s="72" t="str">
        <f>IF(AND(C1380="",J1380=0,K1380=0,L1380=0,M1380=0),"",CADASTROS!$B$4+SUM($J$2:J1380)+SUM($M$2:M1380)-SUM($K$2:K1380)-SUM($L$2:L1380))</f>
        <v/>
      </c>
      <c r="O1380" s="72" t="str">
        <f>IF(A1380="","",SUMIF(RATEIOS!$A$2:$A$3142,$A1380,RATEIOS!$F$2:$F$3142))</f>
        <v/>
      </c>
      <c r="P1380" s="15" t="str">
        <f t="shared" si="44"/>
        <v/>
      </c>
      <c r="Q1380" s="49" t="str">
        <f>IF(AND(J1380=0,K1380=0,L1380=0,M1380=0),"",IF(O1380=0,"PENDENTE DE RATEIO",IF(ABS(P1380)&gt;0.005,"DIVERGÊNCIA",IF(COUNTIF(RATEIOS!$A$2:$A$3142,$A1380)-COUNTIFS(RATEIOS!$A$2:$A$3142,$A1380,RATEIOS!$D$2:$D$3142,"&lt;&gt;")&gt;0,"NÃO CLASSIFICADO","RATEIO OK"))))</f>
        <v/>
      </c>
      <c r="R1380" s="49"/>
      <c r="S1380" s="14"/>
    </row>
    <row r="1381" spans="1:19" ht="30" customHeight="1" x14ac:dyDescent="0.25">
      <c r="A1381" s="49" t="str">
        <f>IF(C1381="","","BAN-01380")</f>
        <v/>
      </c>
      <c r="B1381" s="98" t="str">
        <f>IF(C1381="","",1380)</f>
        <v/>
      </c>
      <c r="C1381" s="50"/>
      <c r="D1381" s="49" t="str">
        <f t="shared" si="43"/>
        <v/>
      </c>
      <c r="E1381" s="92"/>
      <c r="F1381" s="49"/>
      <c r="G1381" s="14"/>
      <c r="H1381" s="14"/>
      <c r="I1381" s="76"/>
      <c r="J1381" s="73"/>
      <c r="K1381" s="74"/>
      <c r="L1381" s="72"/>
      <c r="M1381" s="72"/>
      <c r="N1381" s="72" t="str">
        <f>IF(AND(C1381="",J1381=0,K1381=0,L1381=0,M1381=0),"",CADASTROS!$B$4+SUM($J$2:J1381)+SUM($M$2:M1381)-SUM($K$2:K1381)-SUM($L$2:L1381))</f>
        <v/>
      </c>
      <c r="O1381" s="72" t="str">
        <f>IF(A1381="","",SUMIF(RATEIOS!$A$2:$A$3142,$A1381,RATEIOS!$F$2:$F$3142))</f>
        <v/>
      </c>
      <c r="P1381" s="15" t="str">
        <f t="shared" si="44"/>
        <v/>
      </c>
      <c r="Q1381" s="49" t="str">
        <f>IF(AND(J1381=0,K1381=0,L1381=0,M1381=0),"",IF(O1381=0,"PENDENTE DE RATEIO",IF(ABS(P1381)&gt;0.005,"DIVERGÊNCIA",IF(COUNTIF(RATEIOS!$A$2:$A$3142,$A1381)-COUNTIFS(RATEIOS!$A$2:$A$3142,$A1381,RATEIOS!$D$2:$D$3142,"&lt;&gt;")&gt;0,"NÃO CLASSIFICADO","RATEIO OK"))))</f>
        <v/>
      </c>
      <c r="R1381" s="49"/>
      <c r="S1381" s="14"/>
    </row>
    <row r="1382" spans="1:19" ht="30" customHeight="1" x14ac:dyDescent="0.25">
      <c r="A1382" s="49" t="str">
        <f>IF(C1382="","","BAN-01381")</f>
        <v/>
      </c>
      <c r="B1382" s="98" t="str">
        <f>IF(C1382="","",1381)</f>
        <v/>
      </c>
      <c r="C1382" s="50"/>
      <c r="D1382" s="49" t="str">
        <f t="shared" si="43"/>
        <v/>
      </c>
      <c r="E1382" s="92"/>
      <c r="F1382" s="49"/>
      <c r="G1382" s="14"/>
      <c r="H1382" s="14"/>
      <c r="I1382" s="76"/>
      <c r="J1382" s="73"/>
      <c r="K1382" s="74"/>
      <c r="L1382" s="72"/>
      <c r="M1382" s="72"/>
      <c r="N1382" s="72" t="str">
        <f>IF(AND(C1382="",J1382=0,K1382=0,L1382=0,M1382=0),"",CADASTROS!$B$4+SUM($J$2:J1382)+SUM($M$2:M1382)-SUM($K$2:K1382)-SUM($L$2:L1382))</f>
        <v/>
      </c>
      <c r="O1382" s="72" t="str">
        <f>IF(A1382="","",SUMIF(RATEIOS!$A$2:$A$3142,$A1382,RATEIOS!$F$2:$F$3142))</f>
        <v/>
      </c>
      <c r="P1382" s="15" t="str">
        <f t="shared" si="44"/>
        <v/>
      </c>
      <c r="Q1382" s="49" t="str">
        <f>IF(AND(J1382=0,K1382=0,L1382=0,M1382=0),"",IF(O1382=0,"PENDENTE DE RATEIO",IF(ABS(P1382)&gt;0.005,"DIVERGÊNCIA",IF(COUNTIF(RATEIOS!$A$2:$A$3142,$A1382)-COUNTIFS(RATEIOS!$A$2:$A$3142,$A1382,RATEIOS!$D$2:$D$3142,"&lt;&gt;")&gt;0,"NÃO CLASSIFICADO","RATEIO OK"))))</f>
        <v/>
      </c>
      <c r="R1382" s="49"/>
      <c r="S1382" s="14"/>
    </row>
    <row r="1383" spans="1:19" ht="30" customHeight="1" x14ac:dyDescent="0.25">
      <c r="A1383" s="49" t="str">
        <f>IF(C1383="","","BAN-01382")</f>
        <v/>
      </c>
      <c r="B1383" s="98" t="str">
        <f>IF(C1383="","",1382)</f>
        <v/>
      </c>
      <c r="C1383" s="50"/>
      <c r="D1383" s="49" t="str">
        <f t="shared" si="43"/>
        <v/>
      </c>
      <c r="E1383" s="92"/>
      <c r="F1383" s="49"/>
      <c r="G1383" s="14"/>
      <c r="H1383" s="14"/>
      <c r="I1383" s="76"/>
      <c r="J1383" s="73"/>
      <c r="K1383" s="74"/>
      <c r="L1383" s="72"/>
      <c r="M1383" s="72"/>
      <c r="N1383" s="72" t="str">
        <f>IF(AND(C1383="",J1383=0,K1383=0,L1383=0,M1383=0),"",CADASTROS!$B$4+SUM($J$2:J1383)+SUM($M$2:M1383)-SUM($K$2:K1383)-SUM($L$2:L1383))</f>
        <v/>
      </c>
      <c r="O1383" s="72" t="str">
        <f>IF(A1383="","",SUMIF(RATEIOS!$A$2:$A$3142,$A1383,RATEIOS!$F$2:$F$3142))</f>
        <v/>
      </c>
      <c r="P1383" s="15" t="str">
        <f t="shared" si="44"/>
        <v/>
      </c>
      <c r="Q1383" s="49" t="str">
        <f>IF(AND(J1383=0,K1383=0,L1383=0,M1383=0),"",IF(O1383=0,"PENDENTE DE RATEIO",IF(ABS(P1383)&gt;0.005,"DIVERGÊNCIA",IF(COUNTIF(RATEIOS!$A$2:$A$3142,$A1383)-COUNTIFS(RATEIOS!$A$2:$A$3142,$A1383,RATEIOS!$D$2:$D$3142,"&lt;&gt;")&gt;0,"NÃO CLASSIFICADO","RATEIO OK"))))</f>
        <v/>
      </c>
      <c r="R1383" s="49"/>
      <c r="S1383" s="14"/>
    </row>
    <row r="1384" spans="1:19" ht="30" customHeight="1" x14ac:dyDescent="0.25">
      <c r="A1384" s="49" t="str">
        <f>IF(C1384="","","BAN-01383")</f>
        <v/>
      </c>
      <c r="B1384" s="98" t="str">
        <f>IF(C1384="","",1383)</f>
        <v/>
      </c>
      <c r="C1384" s="50"/>
      <c r="D1384" s="49" t="str">
        <f t="shared" si="43"/>
        <v/>
      </c>
      <c r="E1384" s="92"/>
      <c r="F1384" s="49"/>
      <c r="G1384" s="14"/>
      <c r="H1384" s="14"/>
      <c r="I1384" s="76"/>
      <c r="J1384" s="73"/>
      <c r="K1384" s="74"/>
      <c r="L1384" s="72"/>
      <c r="M1384" s="72"/>
      <c r="N1384" s="72" t="str">
        <f>IF(AND(C1384="",J1384=0,K1384=0,L1384=0,M1384=0),"",CADASTROS!$B$4+SUM($J$2:J1384)+SUM($M$2:M1384)-SUM($K$2:K1384)-SUM($L$2:L1384))</f>
        <v/>
      </c>
      <c r="O1384" s="72" t="str">
        <f>IF(A1384="","",SUMIF(RATEIOS!$A$2:$A$3142,$A1384,RATEIOS!$F$2:$F$3142))</f>
        <v/>
      </c>
      <c r="P1384" s="15" t="str">
        <f t="shared" si="44"/>
        <v/>
      </c>
      <c r="Q1384" s="49" t="str">
        <f>IF(AND(J1384=0,K1384=0,L1384=0,M1384=0),"",IF(O1384=0,"PENDENTE DE RATEIO",IF(ABS(P1384)&gt;0.005,"DIVERGÊNCIA",IF(COUNTIF(RATEIOS!$A$2:$A$3142,$A1384)-COUNTIFS(RATEIOS!$A$2:$A$3142,$A1384,RATEIOS!$D$2:$D$3142,"&lt;&gt;")&gt;0,"NÃO CLASSIFICADO","RATEIO OK"))))</f>
        <v/>
      </c>
      <c r="R1384" s="49"/>
      <c r="S1384" s="14"/>
    </row>
    <row r="1385" spans="1:19" ht="30" customHeight="1" x14ac:dyDescent="0.25">
      <c r="A1385" s="49" t="str">
        <f>IF(C1385="","","BAN-01384")</f>
        <v/>
      </c>
      <c r="B1385" s="98" t="str">
        <f>IF(C1385="","",1384)</f>
        <v/>
      </c>
      <c r="C1385" s="50"/>
      <c r="D1385" s="49" t="str">
        <f t="shared" si="43"/>
        <v/>
      </c>
      <c r="E1385" s="92"/>
      <c r="F1385" s="49"/>
      <c r="G1385" s="14"/>
      <c r="H1385" s="14"/>
      <c r="I1385" s="76"/>
      <c r="J1385" s="73"/>
      <c r="K1385" s="74"/>
      <c r="L1385" s="72"/>
      <c r="M1385" s="72"/>
      <c r="N1385" s="72" t="str">
        <f>IF(AND(C1385="",J1385=0,K1385=0,L1385=0,M1385=0),"",CADASTROS!$B$4+SUM($J$2:J1385)+SUM($M$2:M1385)-SUM($K$2:K1385)-SUM($L$2:L1385))</f>
        <v/>
      </c>
      <c r="O1385" s="72" t="str">
        <f>IF(A1385="","",SUMIF(RATEIOS!$A$2:$A$3142,$A1385,RATEIOS!$F$2:$F$3142))</f>
        <v/>
      </c>
      <c r="P1385" s="15" t="str">
        <f t="shared" si="44"/>
        <v/>
      </c>
      <c r="Q1385" s="49" t="str">
        <f>IF(AND(J1385=0,K1385=0,L1385=0,M1385=0),"",IF(O1385=0,"PENDENTE DE RATEIO",IF(ABS(P1385)&gt;0.005,"DIVERGÊNCIA",IF(COUNTIF(RATEIOS!$A$2:$A$3142,$A1385)-COUNTIFS(RATEIOS!$A$2:$A$3142,$A1385,RATEIOS!$D$2:$D$3142,"&lt;&gt;")&gt;0,"NÃO CLASSIFICADO","RATEIO OK"))))</f>
        <v/>
      </c>
      <c r="R1385" s="49"/>
      <c r="S1385" s="14"/>
    </row>
    <row r="1386" spans="1:19" ht="30" customHeight="1" x14ac:dyDescent="0.25">
      <c r="A1386" s="49" t="str">
        <f>IF(C1386="","","BAN-01385")</f>
        <v/>
      </c>
      <c r="B1386" s="98" t="str">
        <f>IF(C1386="","",1385)</f>
        <v/>
      </c>
      <c r="C1386" s="50"/>
      <c r="D1386" s="49" t="str">
        <f t="shared" si="43"/>
        <v/>
      </c>
      <c r="E1386" s="92"/>
      <c r="F1386" s="49"/>
      <c r="G1386" s="14"/>
      <c r="H1386" s="14"/>
      <c r="I1386" s="76"/>
      <c r="J1386" s="73"/>
      <c r="K1386" s="74"/>
      <c r="L1386" s="72"/>
      <c r="M1386" s="72"/>
      <c r="N1386" s="72" t="str">
        <f>IF(AND(C1386="",J1386=0,K1386=0,L1386=0,M1386=0),"",CADASTROS!$B$4+SUM($J$2:J1386)+SUM($M$2:M1386)-SUM($K$2:K1386)-SUM($L$2:L1386))</f>
        <v/>
      </c>
      <c r="O1386" s="72" t="str">
        <f>IF(A1386="","",SUMIF(RATEIOS!$A$2:$A$3142,$A1386,RATEIOS!$F$2:$F$3142))</f>
        <v/>
      </c>
      <c r="P1386" s="15" t="str">
        <f t="shared" si="44"/>
        <v/>
      </c>
      <c r="Q1386" s="49" t="str">
        <f>IF(AND(J1386=0,K1386=0,L1386=0,M1386=0),"",IF(O1386=0,"PENDENTE DE RATEIO",IF(ABS(P1386)&gt;0.005,"DIVERGÊNCIA",IF(COUNTIF(RATEIOS!$A$2:$A$3142,$A1386)-COUNTIFS(RATEIOS!$A$2:$A$3142,$A1386,RATEIOS!$D$2:$D$3142,"&lt;&gt;")&gt;0,"NÃO CLASSIFICADO","RATEIO OK"))))</f>
        <v/>
      </c>
      <c r="R1386" s="49"/>
      <c r="S1386" s="14"/>
    </row>
    <row r="1387" spans="1:19" ht="30" customHeight="1" x14ac:dyDescent="0.25">
      <c r="A1387" s="49" t="str">
        <f>IF(C1387="","","BAN-01386")</f>
        <v/>
      </c>
      <c r="B1387" s="98" t="str">
        <f>IF(C1387="","",1386)</f>
        <v/>
      </c>
      <c r="C1387" s="50"/>
      <c r="D1387" s="49" t="str">
        <f t="shared" si="43"/>
        <v/>
      </c>
      <c r="E1387" s="92"/>
      <c r="F1387" s="49"/>
      <c r="G1387" s="14"/>
      <c r="H1387" s="14"/>
      <c r="I1387" s="76"/>
      <c r="J1387" s="73"/>
      <c r="K1387" s="74"/>
      <c r="L1387" s="72"/>
      <c r="M1387" s="72"/>
      <c r="N1387" s="72" t="str">
        <f>IF(AND(C1387="",J1387=0,K1387=0,L1387=0,M1387=0),"",CADASTROS!$B$4+SUM($J$2:J1387)+SUM($M$2:M1387)-SUM($K$2:K1387)-SUM($L$2:L1387))</f>
        <v/>
      </c>
      <c r="O1387" s="72" t="str">
        <f>IF(A1387="","",SUMIF(RATEIOS!$A$2:$A$3142,$A1387,RATEIOS!$F$2:$F$3142))</f>
        <v/>
      </c>
      <c r="P1387" s="15" t="str">
        <f t="shared" si="44"/>
        <v/>
      </c>
      <c r="Q1387" s="49" t="str">
        <f>IF(AND(J1387=0,K1387=0,L1387=0,M1387=0),"",IF(O1387=0,"PENDENTE DE RATEIO",IF(ABS(P1387)&gt;0.005,"DIVERGÊNCIA",IF(COUNTIF(RATEIOS!$A$2:$A$3142,$A1387)-COUNTIFS(RATEIOS!$A$2:$A$3142,$A1387,RATEIOS!$D$2:$D$3142,"&lt;&gt;")&gt;0,"NÃO CLASSIFICADO","RATEIO OK"))))</f>
        <v/>
      </c>
      <c r="R1387" s="49"/>
      <c r="S1387" s="14"/>
    </row>
    <row r="1388" spans="1:19" ht="30" customHeight="1" x14ac:dyDescent="0.25">
      <c r="A1388" s="49" t="str">
        <f>IF(C1388="","","BAN-01387")</f>
        <v/>
      </c>
      <c r="B1388" s="98" t="str">
        <f>IF(C1388="","",1387)</f>
        <v/>
      </c>
      <c r="C1388" s="50"/>
      <c r="D1388" s="49" t="str">
        <f t="shared" si="43"/>
        <v/>
      </c>
      <c r="E1388" s="92"/>
      <c r="F1388" s="49"/>
      <c r="G1388" s="14"/>
      <c r="H1388" s="14"/>
      <c r="I1388" s="76"/>
      <c r="J1388" s="73"/>
      <c r="K1388" s="74"/>
      <c r="L1388" s="72"/>
      <c r="M1388" s="72"/>
      <c r="N1388" s="72" t="str">
        <f>IF(AND(C1388="",J1388=0,K1388=0,L1388=0,M1388=0),"",CADASTROS!$B$4+SUM($J$2:J1388)+SUM($M$2:M1388)-SUM($K$2:K1388)-SUM($L$2:L1388))</f>
        <v/>
      </c>
      <c r="O1388" s="72" t="str">
        <f>IF(A1388="","",SUMIF(RATEIOS!$A$2:$A$3142,$A1388,RATEIOS!$F$2:$F$3142))</f>
        <v/>
      </c>
      <c r="P1388" s="15" t="str">
        <f t="shared" si="44"/>
        <v/>
      </c>
      <c r="Q1388" s="49" t="str">
        <f>IF(AND(J1388=0,K1388=0,L1388=0,M1388=0),"",IF(O1388=0,"PENDENTE DE RATEIO",IF(ABS(P1388)&gt;0.005,"DIVERGÊNCIA",IF(COUNTIF(RATEIOS!$A$2:$A$3142,$A1388)-COUNTIFS(RATEIOS!$A$2:$A$3142,$A1388,RATEIOS!$D$2:$D$3142,"&lt;&gt;")&gt;0,"NÃO CLASSIFICADO","RATEIO OK"))))</f>
        <v/>
      </c>
      <c r="R1388" s="49"/>
      <c r="S1388" s="14"/>
    </row>
    <row r="1389" spans="1:19" ht="30" customHeight="1" x14ac:dyDescent="0.25">
      <c r="A1389" s="49" t="str">
        <f>IF(C1389="","","BAN-01388")</f>
        <v/>
      </c>
      <c r="B1389" s="98" t="str">
        <f>IF(C1389="","",1388)</f>
        <v/>
      </c>
      <c r="C1389" s="50"/>
      <c r="D1389" s="49" t="str">
        <f t="shared" si="43"/>
        <v/>
      </c>
      <c r="E1389" s="92"/>
      <c r="F1389" s="49"/>
      <c r="G1389" s="14"/>
      <c r="H1389" s="14"/>
      <c r="I1389" s="76"/>
      <c r="J1389" s="73"/>
      <c r="K1389" s="74"/>
      <c r="L1389" s="72"/>
      <c r="M1389" s="72"/>
      <c r="N1389" s="72" t="str">
        <f>IF(AND(C1389="",J1389=0,K1389=0,L1389=0,M1389=0),"",CADASTROS!$B$4+SUM($J$2:J1389)+SUM($M$2:M1389)-SUM($K$2:K1389)-SUM($L$2:L1389))</f>
        <v/>
      </c>
      <c r="O1389" s="72" t="str">
        <f>IF(A1389="","",SUMIF(RATEIOS!$A$2:$A$3142,$A1389,RATEIOS!$F$2:$F$3142))</f>
        <v/>
      </c>
      <c r="P1389" s="15" t="str">
        <f t="shared" si="44"/>
        <v/>
      </c>
      <c r="Q1389" s="49" t="str">
        <f>IF(AND(J1389=0,K1389=0,L1389=0,M1389=0),"",IF(O1389=0,"PENDENTE DE RATEIO",IF(ABS(P1389)&gt;0.005,"DIVERGÊNCIA",IF(COUNTIF(RATEIOS!$A$2:$A$3142,$A1389)-COUNTIFS(RATEIOS!$A$2:$A$3142,$A1389,RATEIOS!$D$2:$D$3142,"&lt;&gt;")&gt;0,"NÃO CLASSIFICADO","RATEIO OK"))))</f>
        <v/>
      </c>
      <c r="R1389" s="49"/>
      <c r="S1389" s="14"/>
    </row>
    <row r="1390" spans="1:19" ht="30" customHeight="1" x14ac:dyDescent="0.25">
      <c r="A1390" s="49" t="str">
        <f>IF(C1390="","","BAN-01389")</f>
        <v/>
      </c>
      <c r="B1390" s="98" t="str">
        <f>IF(C1390="","",1389)</f>
        <v/>
      </c>
      <c r="C1390" s="50"/>
      <c r="D1390" s="49" t="str">
        <f t="shared" si="43"/>
        <v/>
      </c>
      <c r="E1390" s="92"/>
      <c r="F1390" s="49"/>
      <c r="G1390" s="14"/>
      <c r="H1390" s="14"/>
      <c r="I1390" s="76"/>
      <c r="J1390" s="73"/>
      <c r="K1390" s="74"/>
      <c r="L1390" s="72"/>
      <c r="M1390" s="72"/>
      <c r="N1390" s="72" t="str">
        <f>IF(AND(C1390="",J1390=0,K1390=0,L1390=0,M1390=0),"",CADASTROS!$B$4+SUM($J$2:J1390)+SUM($M$2:M1390)-SUM($K$2:K1390)-SUM($L$2:L1390))</f>
        <v/>
      </c>
      <c r="O1390" s="72" t="str">
        <f>IF(A1390="","",SUMIF(RATEIOS!$A$2:$A$3142,$A1390,RATEIOS!$F$2:$F$3142))</f>
        <v/>
      </c>
      <c r="P1390" s="15" t="str">
        <f t="shared" si="44"/>
        <v/>
      </c>
      <c r="Q1390" s="49" t="str">
        <f>IF(AND(J1390=0,K1390=0,L1390=0,M1390=0),"",IF(O1390=0,"PENDENTE DE RATEIO",IF(ABS(P1390)&gt;0.005,"DIVERGÊNCIA",IF(COUNTIF(RATEIOS!$A$2:$A$3142,$A1390)-COUNTIFS(RATEIOS!$A$2:$A$3142,$A1390,RATEIOS!$D$2:$D$3142,"&lt;&gt;")&gt;0,"NÃO CLASSIFICADO","RATEIO OK"))))</f>
        <v/>
      </c>
      <c r="R1390" s="49"/>
      <c r="S1390" s="14"/>
    </row>
    <row r="1391" spans="1:19" ht="30" customHeight="1" x14ac:dyDescent="0.25">
      <c r="A1391" s="49" t="str">
        <f>IF(C1391="","","BAN-01390")</f>
        <v/>
      </c>
      <c r="B1391" s="98" t="str">
        <f>IF(C1391="","",1390)</f>
        <v/>
      </c>
      <c r="C1391" s="50"/>
      <c r="D1391" s="49" t="str">
        <f t="shared" si="43"/>
        <v/>
      </c>
      <c r="E1391" s="92"/>
      <c r="F1391" s="49"/>
      <c r="G1391" s="14"/>
      <c r="H1391" s="14"/>
      <c r="I1391" s="76"/>
      <c r="J1391" s="73"/>
      <c r="K1391" s="74"/>
      <c r="L1391" s="72"/>
      <c r="M1391" s="72"/>
      <c r="N1391" s="72" t="str">
        <f>IF(AND(C1391="",J1391=0,K1391=0,L1391=0,M1391=0),"",CADASTROS!$B$4+SUM($J$2:J1391)+SUM($M$2:M1391)-SUM($K$2:K1391)-SUM($L$2:L1391))</f>
        <v/>
      </c>
      <c r="O1391" s="72" t="str">
        <f>IF(A1391="","",SUMIF(RATEIOS!$A$2:$A$3142,$A1391,RATEIOS!$F$2:$F$3142))</f>
        <v/>
      </c>
      <c r="P1391" s="15" t="str">
        <f t="shared" si="44"/>
        <v/>
      </c>
      <c r="Q1391" s="49" t="str">
        <f>IF(AND(J1391=0,K1391=0,L1391=0,M1391=0),"",IF(O1391=0,"PENDENTE DE RATEIO",IF(ABS(P1391)&gt;0.005,"DIVERGÊNCIA",IF(COUNTIF(RATEIOS!$A$2:$A$3142,$A1391)-COUNTIFS(RATEIOS!$A$2:$A$3142,$A1391,RATEIOS!$D$2:$D$3142,"&lt;&gt;")&gt;0,"NÃO CLASSIFICADO","RATEIO OK"))))</f>
        <v/>
      </c>
      <c r="R1391" s="49"/>
      <c r="S1391" s="14"/>
    </row>
    <row r="1392" spans="1:19" ht="30" customHeight="1" x14ac:dyDescent="0.25">
      <c r="A1392" s="49" t="str">
        <f>IF(C1392="","","BAN-01391")</f>
        <v/>
      </c>
      <c r="B1392" s="98" t="str">
        <f>IF(C1392="","",1391)</f>
        <v/>
      </c>
      <c r="C1392" s="50"/>
      <c r="D1392" s="49" t="str">
        <f t="shared" si="43"/>
        <v/>
      </c>
      <c r="E1392" s="92"/>
      <c r="F1392" s="49"/>
      <c r="G1392" s="14"/>
      <c r="H1392" s="14"/>
      <c r="I1392" s="76"/>
      <c r="J1392" s="73"/>
      <c r="K1392" s="74"/>
      <c r="L1392" s="72"/>
      <c r="M1392" s="72"/>
      <c r="N1392" s="72" t="str">
        <f>IF(AND(C1392="",J1392=0,K1392=0,L1392=0,M1392=0),"",CADASTROS!$B$4+SUM($J$2:J1392)+SUM($M$2:M1392)-SUM($K$2:K1392)-SUM($L$2:L1392))</f>
        <v/>
      </c>
      <c r="O1392" s="72" t="str">
        <f>IF(A1392="","",SUMIF(RATEIOS!$A$2:$A$3142,$A1392,RATEIOS!$F$2:$F$3142))</f>
        <v/>
      </c>
      <c r="P1392" s="15" t="str">
        <f t="shared" si="44"/>
        <v/>
      </c>
      <c r="Q1392" s="49" t="str">
        <f>IF(AND(J1392=0,K1392=0,L1392=0,M1392=0),"",IF(O1392=0,"PENDENTE DE RATEIO",IF(ABS(P1392)&gt;0.005,"DIVERGÊNCIA",IF(COUNTIF(RATEIOS!$A$2:$A$3142,$A1392)-COUNTIFS(RATEIOS!$A$2:$A$3142,$A1392,RATEIOS!$D$2:$D$3142,"&lt;&gt;")&gt;0,"NÃO CLASSIFICADO","RATEIO OK"))))</f>
        <v/>
      </c>
      <c r="R1392" s="49"/>
      <c r="S1392" s="14"/>
    </row>
    <row r="1393" spans="1:19" ht="30" customHeight="1" x14ac:dyDescent="0.25">
      <c r="A1393" s="49" t="str">
        <f>IF(C1393="","","BAN-01392")</f>
        <v/>
      </c>
      <c r="B1393" s="98" t="str">
        <f>IF(C1393="","",1392)</f>
        <v/>
      </c>
      <c r="C1393" s="50"/>
      <c r="D1393" s="49" t="str">
        <f t="shared" si="43"/>
        <v/>
      </c>
      <c r="E1393" s="92"/>
      <c r="F1393" s="49"/>
      <c r="G1393" s="14"/>
      <c r="H1393" s="14"/>
      <c r="I1393" s="76"/>
      <c r="J1393" s="73"/>
      <c r="K1393" s="74"/>
      <c r="L1393" s="72"/>
      <c r="M1393" s="72"/>
      <c r="N1393" s="72" t="str">
        <f>IF(AND(C1393="",J1393=0,K1393=0,L1393=0,M1393=0),"",CADASTROS!$B$4+SUM($J$2:J1393)+SUM($M$2:M1393)-SUM($K$2:K1393)-SUM($L$2:L1393))</f>
        <v/>
      </c>
      <c r="O1393" s="72" t="str">
        <f>IF(A1393="","",SUMIF(RATEIOS!$A$2:$A$3142,$A1393,RATEIOS!$F$2:$F$3142))</f>
        <v/>
      </c>
      <c r="P1393" s="15" t="str">
        <f t="shared" si="44"/>
        <v/>
      </c>
      <c r="Q1393" s="49" t="str">
        <f>IF(AND(J1393=0,K1393=0,L1393=0,M1393=0),"",IF(O1393=0,"PENDENTE DE RATEIO",IF(ABS(P1393)&gt;0.005,"DIVERGÊNCIA",IF(COUNTIF(RATEIOS!$A$2:$A$3142,$A1393)-COUNTIFS(RATEIOS!$A$2:$A$3142,$A1393,RATEIOS!$D$2:$D$3142,"&lt;&gt;")&gt;0,"NÃO CLASSIFICADO","RATEIO OK"))))</f>
        <v/>
      </c>
      <c r="R1393" s="49"/>
      <c r="S1393" s="14"/>
    </row>
    <row r="1394" spans="1:19" ht="30" customHeight="1" x14ac:dyDescent="0.25">
      <c r="A1394" s="49" t="str">
        <f>IF(C1394="","","BAN-01393")</f>
        <v/>
      </c>
      <c r="B1394" s="98" t="str">
        <f>IF(C1394="","",1393)</f>
        <v/>
      </c>
      <c r="C1394" s="50"/>
      <c r="D1394" s="49" t="str">
        <f t="shared" si="43"/>
        <v/>
      </c>
      <c r="E1394" s="92"/>
      <c r="F1394" s="49"/>
      <c r="G1394" s="14"/>
      <c r="H1394" s="14"/>
      <c r="I1394" s="76"/>
      <c r="J1394" s="73"/>
      <c r="K1394" s="74"/>
      <c r="L1394" s="72"/>
      <c r="M1394" s="72"/>
      <c r="N1394" s="72" t="str">
        <f>IF(AND(C1394="",J1394=0,K1394=0,L1394=0,M1394=0),"",CADASTROS!$B$4+SUM($J$2:J1394)+SUM($M$2:M1394)-SUM($K$2:K1394)-SUM($L$2:L1394))</f>
        <v/>
      </c>
      <c r="O1394" s="72" t="str">
        <f>IF(A1394="","",SUMIF(RATEIOS!$A$2:$A$3142,$A1394,RATEIOS!$F$2:$F$3142))</f>
        <v/>
      </c>
      <c r="P1394" s="15" t="str">
        <f t="shared" si="44"/>
        <v/>
      </c>
      <c r="Q1394" s="49" t="str">
        <f>IF(AND(J1394=0,K1394=0,L1394=0,M1394=0),"",IF(O1394=0,"PENDENTE DE RATEIO",IF(ABS(P1394)&gt;0.005,"DIVERGÊNCIA",IF(COUNTIF(RATEIOS!$A$2:$A$3142,$A1394)-COUNTIFS(RATEIOS!$A$2:$A$3142,$A1394,RATEIOS!$D$2:$D$3142,"&lt;&gt;")&gt;0,"NÃO CLASSIFICADO","RATEIO OK"))))</f>
        <v/>
      </c>
      <c r="R1394" s="49"/>
      <c r="S1394" s="14"/>
    </row>
    <row r="1395" spans="1:19" ht="30" customHeight="1" x14ac:dyDescent="0.25">
      <c r="A1395" s="49" t="str">
        <f>IF(C1395="","","BAN-01394")</f>
        <v/>
      </c>
      <c r="B1395" s="98" t="str">
        <f>IF(C1395="","",1394)</f>
        <v/>
      </c>
      <c r="C1395" s="50"/>
      <c r="D1395" s="49" t="str">
        <f t="shared" si="43"/>
        <v/>
      </c>
      <c r="E1395" s="92"/>
      <c r="F1395" s="49"/>
      <c r="G1395" s="14"/>
      <c r="H1395" s="14"/>
      <c r="I1395" s="76"/>
      <c r="J1395" s="73"/>
      <c r="K1395" s="74"/>
      <c r="L1395" s="72"/>
      <c r="M1395" s="72"/>
      <c r="N1395" s="72" t="str">
        <f>IF(AND(C1395="",J1395=0,K1395=0,L1395=0,M1395=0),"",CADASTROS!$B$4+SUM($J$2:J1395)+SUM($M$2:M1395)-SUM($K$2:K1395)-SUM($L$2:L1395))</f>
        <v/>
      </c>
      <c r="O1395" s="72" t="str">
        <f>IF(A1395="","",SUMIF(RATEIOS!$A$2:$A$3142,$A1395,RATEIOS!$F$2:$F$3142))</f>
        <v/>
      </c>
      <c r="P1395" s="15" t="str">
        <f t="shared" si="44"/>
        <v/>
      </c>
      <c r="Q1395" s="49" t="str">
        <f>IF(AND(J1395=0,K1395=0,L1395=0,M1395=0),"",IF(O1395=0,"PENDENTE DE RATEIO",IF(ABS(P1395)&gt;0.005,"DIVERGÊNCIA",IF(COUNTIF(RATEIOS!$A$2:$A$3142,$A1395)-COUNTIFS(RATEIOS!$A$2:$A$3142,$A1395,RATEIOS!$D$2:$D$3142,"&lt;&gt;")&gt;0,"NÃO CLASSIFICADO","RATEIO OK"))))</f>
        <v/>
      </c>
      <c r="R1395" s="49"/>
      <c r="S1395" s="14"/>
    </row>
    <row r="1396" spans="1:19" ht="30" customHeight="1" x14ac:dyDescent="0.25">
      <c r="A1396" s="49" t="str">
        <f>IF(C1396="","","BAN-01395")</f>
        <v/>
      </c>
      <c r="B1396" s="98" t="str">
        <f>IF(C1396="","",1395)</f>
        <v/>
      </c>
      <c r="C1396" s="50"/>
      <c r="D1396" s="49" t="str">
        <f t="shared" si="43"/>
        <v/>
      </c>
      <c r="E1396" s="92"/>
      <c r="F1396" s="49"/>
      <c r="G1396" s="14"/>
      <c r="H1396" s="14"/>
      <c r="I1396" s="76"/>
      <c r="J1396" s="73"/>
      <c r="K1396" s="74"/>
      <c r="L1396" s="72"/>
      <c r="M1396" s="72"/>
      <c r="N1396" s="72" t="str">
        <f>IF(AND(C1396="",J1396=0,K1396=0,L1396=0,M1396=0),"",CADASTROS!$B$4+SUM($J$2:J1396)+SUM($M$2:M1396)-SUM($K$2:K1396)-SUM($L$2:L1396))</f>
        <v/>
      </c>
      <c r="O1396" s="72" t="str">
        <f>IF(A1396="","",SUMIF(RATEIOS!$A$2:$A$3142,$A1396,RATEIOS!$F$2:$F$3142))</f>
        <v/>
      </c>
      <c r="P1396" s="15" t="str">
        <f t="shared" si="44"/>
        <v/>
      </c>
      <c r="Q1396" s="49" t="str">
        <f>IF(AND(J1396=0,K1396=0,L1396=0,M1396=0),"",IF(O1396=0,"PENDENTE DE RATEIO",IF(ABS(P1396)&gt;0.005,"DIVERGÊNCIA",IF(COUNTIF(RATEIOS!$A$2:$A$3142,$A1396)-COUNTIFS(RATEIOS!$A$2:$A$3142,$A1396,RATEIOS!$D$2:$D$3142,"&lt;&gt;")&gt;0,"NÃO CLASSIFICADO","RATEIO OK"))))</f>
        <v/>
      </c>
      <c r="R1396" s="49"/>
      <c r="S1396" s="14"/>
    </row>
    <row r="1397" spans="1:19" ht="30" customHeight="1" x14ac:dyDescent="0.25">
      <c r="A1397" s="49" t="str">
        <f>IF(C1397="","","BAN-01396")</f>
        <v/>
      </c>
      <c r="B1397" s="98" t="str">
        <f>IF(C1397="","",1396)</f>
        <v/>
      </c>
      <c r="C1397" s="50"/>
      <c r="D1397" s="49" t="str">
        <f t="shared" si="43"/>
        <v/>
      </c>
      <c r="E1397" s="92"/>
      <c r="F1397" s="49"/>
      <c r="G1397" s="14"/>
      <c r="H1397" s="14"/>
      <c r="I1397" s="76"/>
      <c r="J1397" s="73"/>
      <c r="K1397" s="74"/>
      <c r="L1397" s="72"/>
      <c r="M1397" s="72"/>
      <c r="N1397" s="72" t="str">
        <f>IF(AND(C1397="",J1397=0,K1397=0,L1397=0,M1397=0),"",CADASTROS!$B$4+SUM($J$2:J1397)+SUM($M$2:M1397)-SUM($K$2:K1397)-SUM($L$2:L1397))</f>
        <v/>
      </c>
      <c r="O1397" s="72" t="str">
        <f>IF(A1397="","",SUMIF(RATEIOS!$A$2:$A$3142,$A1397,RATEIOS!$F$2:$F$3142))</f>
        <v/>
      </c>
      <c r="P1397" s="15" t="str">
        <f t="shared" si="44"/>
        <v/>
      </c>
      <c r="Q1397" s="49" t="str">
        <f>IF(AND(J1397=0,K1397=0,L1397=0,M1397=0),"",IF(O1397=0,"PENDENTE DE RATEIO",IF(ABS(P1397)&gt;0.005,"DIVERGÊNCIA",IF(COUNTIF(RATEIOS!$A$2:$A$3142,$A1397)-COUNTIFS(RATEIOS!$A$2:$A$3142,$A1397,RATEIOS!$D$2:$D$3142,"&lt;&gt;")&gt;0,"NÃO CLASSIFICADO","RATEIO OK"))))</f>
        <v/>
      </c>
      <c r="R1397" s="49"/>
      <c r="S1397" s="14"/>
    </row>
    <row r="1398" spans="1:19" ht="30" customHeight="1" x14ac:dyDescent="0.25">
      <c r="A1398" s="49" t="str">
        <f>IF(C1398="","","BAN-01397")</f>
        <v/>
      </c>
      <c r="B1398" s="98" t="str">
        <f>IF(C1398="","",1397)</f>
        <v/>
      </c>
      <c r="C1398" s="50"/>
      <c r="D1398" s="49" t="str">
        <f t="shared" si="43"/>
        <v/>
      </c>
      <c r="E1398" s="92"/>
      <c r="F1398" s="49"/>
      <c r="G1398" s="14"/>
      <c r="H1398" s="14"/>
      <c r="I1398" s="76"/>
      <c r="J1398" s="73"/>
      <c r="K1398" s="74"/>
      <c r="L1398" s="72"/>
      <c r="M1398" s="72"/>
      <c r="N1398" s="72" t="str">
        <f>IF(AND(C1398="",J1398=0,K1398=0,L1398=0,M1398=0),"",CADASTROS!$B$4+SUM($J$2:J1398)+SUM($M$2:M1398)-SUM($K$2:K1398)-SUM($L$2:L1398))</f>
        <v/>
      </c>
      <c r="O1398" s="72" t="str">
        <f>IF(A1398="","",SUMIF(RATEIOS!$A$2:$A$3142,$A1398,RATEIOS!$F$2:$F$3142))</f>
        <v/>
      </c>
      <c r="P1398" s="15" t="str">
        <f t="shared" si="44"/>
        <v/>
      </c>
      <c r="Q1398" s="49" t="str">
        <f>IF(AND(J1398=0,K1398=0,L1398=0,M1398=0),"",IF(O1398=0,"PENDENTE DE RATEIO",IF(ABS(P1398)&gt;0.005,"DIVERGÊNCIA",IF(COUNTIF(RATEIOS!$A$2:$A$3142,$A1398)-COUNTIFS(RATEIOS!$A$2:$A$3142,$A1398,RATEIOS!$D$2:$D$3142,"&lt;&gt;")&gt;0,"NÃO CLASSIFICADO","RATEIO OK"))))</f>
        <v/>
      </c>
      <c r="R1398" s="49"/>
      <c r="S1398" s="14"/>
    </row>
    <row r="1399" spans="1:19" ht="30" customHeight="1" x14ac:dyDescent="0.25">
      <c r="A1399" s="49" t="str">
        <f>IF(C1399="","","BAN-01398")</f>
        <v/>
      </c>
      <c r="B1399" s="98" t="str">
        <f>IF(C1399="","",1398)</f>
        <v/>
      </c>
      <c r="C1399" s="50"/>
      <c r="D1399" s="49" t="str">
        <f t="shared" si="43"/>
        <v/>
      </c>
      <c r="E1399" s="92"/>
      <c r="F1399" s="49"/>
      <c r="G1399" s="14"/>
      <c r="H1399" s="14"/>
      <c r="I1399" s="76"/>
      <c r="J1399" s="73"/>
      <c r="K1399" s="74"/>
      <c r="L1399" s="72"/>
      <c r="M1399" s="72"/>
      <c r="N1399" s="72" t="str">
        <f>IF(AND(C1399="",J1399=0,K1399=0,L1399=0,M1399=0),"",CADASTROS!$B$4+SUM($J$2:J1399)+SUM($M$2:M1399)-SUM($K$2:K1399)-SUM($L$2:L1399))</f>
        <v/>
      </c>
      <c r="O1399" s="72" t="str">
        <f>IF(A1399="","",SUMIF(RATEIOS!$A$2:$A$3142,$A1399,RATEIOS!$F$2:$F$3142))</f>
        <v/>
      </c>
      <c r="P1399" s="15" t="str">
        <f t="shared" si="44"/>
        <v/>
      </c>
      <c r="Q1399" s="49" t="str">
        <f>IF(AND(J1399=0,K1399=0,L1399=0,M1399=0),"",IF(O1399=0,"PENDENTE DE RATEIO",IF(ABS(P1399)&gt;0.005,"DIVERGÊNCIA",IF(COUNTIF(RATEIOS!$A$2:$A$3142,$A1399)-COUNTIFS(RATEIOS!$A$2:$A$3142,$A1399,RATEIOS!$D$2:$D$3142,"&lt;&gt;")&gt;0,"NÃO CLASSIFICADO","RATEIO OK"))))</f>
        <v/>
      </c>
      <c r="R1399" s="49"/>
      <c r="S1399" s="14"/>
    </row>
    <row r="1400" spans="1:19" ht="30" customHeight="1" x14ac:dyDescent="0.25">
      <c r="A1400" s="49" t="str">
        <f>IF(C1400="","","BAN-01399")</f>
        <v/>
      </c>
      <c r="B1400" s="98" t="str">
        <f>IF(C1400="","",1399)</f>
        <v/>
      </c>
      <c r="C1400" s="50"/>
      <c r="D1400" s="49" t="str">
        <f t="shared" si="43"/>
        <v/>
      </c>
      <c r="E1400" s="92"/>
      <c r="F1400" s="49"/>
      <c r="G1400" s="14"/>
      <c r="H1400" s="14"/>
      <c r="I1400" s="76"/>
      <c r="J1400" s="73"/>
      <c r="K1400" s="74"/>
      <c r="L1400" s="72"/>
      <c r="M1400" s="72"/>
      <c r="N1400" s="72" t="str">
        <f>IF(AND(C1400="",J1400=0,K1400=0,L1400=0,M1400=0),"",CADASTROS!$B$4+SUM($J$2:J1400)+SUM($M$2:M1400)-SUM($K$2:K1400)-SUM($L$2:L1400))</f>
        <v/>
      </c>
      <c r="O1400" s="72" t="str">
        <f>IF(A1400="","",SUMIF(RATEIOS!$A$2:$A$3142,$A1400,RATEIOS!$F$2:$F$3142))</f>
        <v/>
      </c>
      <c r="P1400" s="15" t="str">
        <f t="shared" si="44"/>
        <v/>
      </c>
      <c r="Q1400" s="49" t="str">
        <f>IF(AND(J1400=0,K1400=0,L1400=0,M1400=0),"",IF(O1400=0,"PENDENTE DE RATEIO",IF(ABS(P1400)&gt;0.005,"DIVERGÊNCIA",IF(COUNTIF(RATEIOS!$A$2:$A$3142,$A1400)-COUNTIFS(RATEIOS!$A$2:$A$3142,$A1400,RATEIOS!$D$2:$D$3142,"&lt;&gt;")&gt;0,"NÃO CLASSIFICADO","RATEIO OK"))))</f>
        <v/>
      </c>
      <c r="R1400" s="49"/>
      <c r="S1400" s="14"/>
    </row>
    <row r="1401" spans="1:19" ht="30" customHeight="1" x14ac:dyDescent="0.25">
      <c r="A1401" s="49" t="str">
        <f>IF(C1401="","","BAN-01400")</f>
        <v/>
      </c>
      <c r="B1401" s="98" t="str">
        <f>IF(C1401="","",1400)</f>
        <v/>
      </c>
      <c r="C1401" s="50"/>
      <c r="D1401" s="49" t="str">
        <f t="shared" si="43"/>
        <v/>
      </c>
      <c r="E1401" s="92"/>
      <c r="F1401" s="49"/>
      <c r="G1401" s="14"/>
      <c r="H1401" s="14"/>
      <c r="I1401" s="76"/>
      <c r="J1401" s="73"/>
      <c r="K1401" s="74"/>
      <c r="L1401" s="72"/>
      <c r="M1401" s="72"/>
      <c r="N1401" s="72" t="str">
        <f>IF(AND(C1401="",J1401=0,K1401=0,L1401=0,M1401=0),"",CADASTROS!$B$4+SUM($J$2:J1401)+SUM($M$2:M1401)-SUM($K$2:K1401)-SUM($L$2:L1401))</f>
        <v/>
      </c>
      <c r="O1401" s="72" t="str">
        <f>IF(A1401="","",SUMIF(RATEIOS!$A$2:$A$3142,$A1401,RATEIOS!$F$2:$F$3142))</f>
        <v/>
      </c>
      <c r="P1401" s="15" t="str">
        <f t="shared" si="44"/>
        <v/>
      </c>
      <c r="Q1401" s="49" t="str">
        <f>IF(AND(J1401=0,K1401=0,L1401=0,M1401=0),"",IF(O1401=0,"PENDENTE DE RATEIO",IF(ABS(P1401)&gt;0.005,"DIVERGÊNCIA",IF(COUNTIF(RATEIOS!$A$2:$A$3142,$A1401)-COUNTIFS(RATEIOS!$A$2:$A$3142,$A1401,RATEIOS!$D$2:$D$3142,"&lt;&gt;")&gt;0,"NÃO CLASSIFICADO","RATEIO OK"))))</f>
        <v/>
      </c>
      <c r="R1401" s="49"/>
      <c r="S1401" s="14"/>
    </row>
    <row r="1402" spans="1:19" ht="30" customHeight="1" x14ac:dyDescent="0.25">
      <c r="A1402" s="49" t="str">
        <f>IF(C1402="","","BAN-01401")</f>
        <v/>
      </c>
      <c r="B1402" s="98" t="str">
        <f>IF(C1402="","",1401)</f>
        <v/>
      </c>
      <c r="C1402" s="50"/>
      <c r="D1402" s="49" t="str">
        <f t="shared" si="43"/>
        <v/>
      </c>
      <c r="E1402" s="92"/>
      <c r="F1402" s="49"/>
      <c r="G1402" s="14"/>
      <c r="H1402" s="14"/>
      <c r="I1402" s="76"/>
      <c r="J1402" s="73"/>
      <c r="K1402" s="74"/>
      <c r="L1402" s="72"/>
      <c r="M1402" s="72"/>
      <c r="N1402" s="72" t="str">
        <f>IF(AND(C1402="",J1402=0,K1402=0,L1402=0,M1402=0),"",CADASTROS!$B$4+SUM($J$2:J1402)+SUM($M$2:M1402)-SUM($K$2:K1402)-SUM($L$2:L1402))</f>
        <v/>
      </c>
      <c r="O1402" s="72" t="str">
        <f>IF(A1402="","",SUMIF(RATEIOS!$A$2:$A$3142,$A1402,RATEIOS!$F$2:$F$3142))</f>
        <v/>
      </c>
      <c r="P1402" s="15" t="str">
        <f t="shared" si="44"/>
        <v/>
      </c>
      <c r="Q1402" s="49" t="str">
        <f>IF(AND(J1402=0,K1402=0,L1402=0,M1402=0),"",IF(O1402=0,"PENDENTE DE RATEIO",IF(ABS(P1402)&gt;0.005,"DIVERGÊNCIA",IF(COUNTIF(RATEIOS!$A$2:$A$3142,$A1402)-COUNTIFS(RATEIOS!$A$2:$A$3142,$A1402,RATEIOS!$D$2:$D$3142,"&lt;&gt;")&gt;0,"NÃO CLASSIFICADO","RATEIO OK"))))</f>
        <v/>
      </c>
      <c r="R1402" s="49"/>
      <c r="S1402" s="14"/>
    </row>
    <row r="1403" spans="1:19" ht="30" customHeight="1" x14ac:dyDescent="0.25">
      <c r="A1403" s="49" t="str">
        <f>IF(C1403="","","BAN-01402")</f>
        <v/>
      </c>
      <c r="B1403" s="98" t="str">
        <f>IF(C1403="","",1402)</f>
        <v/>
      </c>
      <c r="C1403" s="50"/>
      <c r="D1403" s="49" t="str">
        <f t="shared" si="43"/>
        <v/>
      </c>
      <c r="E1403" s="92"/>
      <c r="F1403" s="49"/>
      <c r="G1403" s="14"/>
      <c r="H1403" s="14"/>
      <c r="I1403" s="76"/>
      <c r="J1403" s="73"/>
      <c r="K1403" s="74"/>
      <c r="L1403" s="72"/>
      <c r="M1403" s="72"/>
      <c r="N1403" s="72" t="str">
        <f>IF(AND(C1403="",J1403=0,K1403=0,L1403=0,M1403=0),"",CADASTROS!$B$4+SUM($J$2:J1403)+SUM($M$2:M1403)-SUM($K$2:K1403)-SUM($L$2:L1403))</f>
        <v/>
      </c>
      <c r="O1403" s="72" t="str">
        <f>IF(A1403="","",SUMIF(RATEIOS!$A$2:$A$3142,$A1403,RATEIOS!$F$2:$F$3142))</f>
        <v/>
      </c>
      <c r="P1403" s="15" t="str">
        <f t="shared" si="44"/>
        <v/>
      </c>
      <c r="Q1403" s="49" t="str">
        <f>IF(AND(J1403=0,K1403=0,L1403=0,M1403=0),"",IF(O1403=0,"PENDENTE DE RATEIO",IF(ABS(P1403)&gt;0.005,"DIVERGÊNCIA",IF(COUNTIF(RATEIOS!$A$2:$A$3142,$A1403)-COUNTIFS(RATEIOS!$A$2:$A$3142,$A1403,RATEIOS!$D$2:$D$3142,"&lt;&gt;")&gt;0,"NÃO CLASSIFICADO","RATEIO OK"))))</f>
        <v/>
      </c>
      <c r="R1403" s="49"/>
      <c r="S1403" s="14"/>
    </row>
    <row r="1404" spans="1:19" ht="30" customHeight="1" x14ac:dyDescent="0.25">
      <c r="A1404" s="49" t="str">
        <f>IF(C1404="","","BAN-01403")</f>
        <v/>
      </c>
      <c r="B1404" s="98" t="str">
        <f>IF(C1404="","",1403)</f>
        <v/>
      </c>
      <c r="C1404" s="50"/>
      <c r="D1404" s="49" t="str">
        <f t="shared" si="43"/>
        <v/>
      </c>
      <c r="E1404" s="92"/>
      <c r="F1404" s="49"/>
      <c r="G1404" s="14"/>
      <c r="H1404" s="14"/>
      <c r="I1404" s="76"/>
      <c r="J1404" s="73"/>
      <c r="K1404" s="74"/>
      <c r="L1404" s="72"/>
      <c r="M1404" s="72"/>
      <c r="N1404" s="72" t="str">
        <f>IF(AND(C1404="",J1404=0,K1404=0,L1404=0,M1404=0),"",CADASTROS!$B$4+SUM($J$2:J1404)+SUM($M$2:M1404)-SUM($K$2:K1404)-SUM($L$2:L1404))</f>
        <v/>
      </c>
      <c r="O1404" s="72" t="str">
        <f>IF(A1404="","",SUMIF(RATEIOS!$A$2:$A$3142,$A1404,RATEIOS!$F$2:$F$3142))</f>
        <v/>
      </c>
      <c r="P1404" s="15" t="str">
        <f t="shared" si="44"/>
        <v/>
      </c>
      <c r="Q1404" s="49" t="str">
        <f>IF(AND(J1404=0,K1404=0,L1404=0,M1404=0),"",IF(O1404=0,"PENDENTE DE RATEIO",IF(ABS(P1404)&gt;0.005,"DIVERGÊNCIA",IF(COUNTIF(RATEIOS!$A$2:$A$3142,$A1404)-COUNTIFS(RATEIOS!$A$2:$A$3142,$A1404,RATEIOS!$D$2:$D$3142,"&lt;&gt;")&gt;0,"NÃO CLASSIFICADO","RATEIO OK"))))</f>
        <v/>
      </c>
      <c r="R1404" s="49"/>
      <c r="S1404" s="14"/>
    </row>
    <row r="1405" spans="1:19" ht="30" customHeight="1" x14ac:dyDescent="0.25">
      <c r="A1405" s="49" t="str">
        <f>IF(C1405="","","BAN-01404")</f>
        <v/>
      </c>
      <c r="B1405" s="98" t="str">
        <f>IF(C1405="","",1404)</f>
        <v/>
      </c>
      <c r="C1405" s="50"/>
      <c r="D1405" s="49" t="str">
        <f t="shared" si="43"/>
        <v/>
      </c>
      <c r="E1405" s="92"/>
      <c r="F1405" s="49"/>
      <c r="G1405" s="14"/>
      <c r="H1405" s="14"/>
      <c r="I1405" s="76"/>
      <c r="J1405" s="73"/>
      <c r="K1405" s="74"/>
      <c r="L1405" s="72"/>
      <c r="M1405" s="72"/>
      <c r="N1405" s="72" t="str">
        <f>IF(AND(C1405="",J1405=0,K1405=0,L1405=0,M1405=0),"",CADASTROS!$B$4+SUM($J$2:J1405)+SUM($M$2:M1405)-SUM($K$2:K1405)-SUM($L$2:L1405))</f>
        <v/>
      </c>
      <c r="O1405" s="72" t="str">
        <f>IF(A1405="","",SUMIF(RATEIOS!$A$2:$A$3142,$A1405,RATEIOS!$F$2:$F$3142))</f>
        <v/>
      </c>
      <c r="P1405" s="15" t="str">
        <f t="shared" si="44"/>
        <v/>
      </c>
      <c r="Q1405" s="49" t="str">
        <f>IF(AND(J1405=0,K1405=0,L1405=0,M1405=0),"",IF(O1405=0,"PENDENTE DE RATEIO",IF(ABS(P1405)&gt;0.005,"DIVERGÊNCIA",IF(COUNTIF(RATEIOS!$A$2:$A$3142,$A1405)-COUNTIFS(RATEIOS!$A$2:$A$3142,$A1405,RATEIOS!$D$2:$D$3142,"&lt;&gt;")&gt;0,"NÃO CLASSIFICADO","RATEIO OK"))))</f>
        <v/>
      </c>
      <c r="R1405" s="49"/>
      <c r="S1405" s="14"/>
    </row>
    <row r="1406" spans="1:19" ht="30" customHeight="1" x14ac:dyDescent="0.25">
      <c r="A1406" s="49" t="str">
        <f>IF(C1406="","","BAN-01405")</f>
        <v/>
      </c>
      <c r="B1406" s="98" t="str">
        <f>IF(C1406="","",1405)</f>
        <v/>
      </c>
      <c r="C1406" s="50"/>
      <c r="D1406" s="49" t="str">
        <f t="shared" si="43"/>
        <v/>
      </c>
      <c r="E1406" s="92"/>
      <c r="F1406" s="49"/>
      <c r="G1406" s="14"/>
      <c r="H1406" s="14"/>
      <c r="I1406" s="76"/>
      <c r="J1406" s="73"/>
      <c r="K1406" s="74"/>
      <c r="L1406" s="72"/>
      <c r="M1406" s="72"/>
      <c r="N1406" s="72" t="str">
        <f>IF(AND(C1406="",J1406=0,K1406=0,L1406=0,M1406=0),"",CADASTROS!$B$4+SUM($J$2:J1406)+SUM($M$2:M1406)-SUM($K$2:K1406)-SUM($L$2:L1406))</f>
        <v/>
      </c>
      <c r="O1406" s="72" t="str">
        <f>IF(A1406="","",SUMIF(RATEIOS!$A$2:$A$3142,$A1406,RATEIOS!$F$2:$F$3142))</f>
        <v/>
      </c>
      <c r="P1406" s="15" t="str">
        <f t="shared" si="44"/>
        <v/>
      </c>
      <c r="Q1406" s="49" t="str">
        <f>IF(AND(J1406=0,K1406=0,L1406=0,M1406=0),"",IF(O1406=0,"PENDENTE DE RATEIO",IF(ABS(P1406)&gt;0.005,"DIVERGÊNCIA",IF(COUNTIF(RATEIOS!$A$2:$A$3142,$A1406)-COUNTIFS(RATEIOS!$A$2:$A$3142,$A1406,RATEIOS!$D$2:$D$3142,"&lt;&gt;")&gt;0,"NÃO CLASSIFICADO","RATEIO OK"))))</f>
        <v/>
      </c>
      <c r="R1406" s="49"/>
      <c r="S1406" s="14"/>
    </row>
    <row r="1407" spans="1:19" ht="30" customHeight="1" x14ac:dyDescent="0.25">
      <c r="A1407" s="49" t="str">
        <f>IF(C1407="","","BAN-01406")</f>
        <v/>
      </c>
      <c r="B1407" s="98" t="str">
        <f>IF(C1407="","",1406)</f>
        <v/>
      </c>
      <c r="C1407" s="50"/>
      <c r="D1407" s="49" t="str">
        <f t="shared" si="43"/>
        <v/>
      </c>
      <c r="E1407" s="92"/>
      <c r="F1407" s="49"/>
      <c r="G1407" s="14"/>
      <c r="H1407" s="14"/>
      <c r="I1407" s="76"/>
      <c r="J1407" s="73"/>
      <c r="K1407" s="74"/>
      <c r="L1407" s="72"/>
      <c r="M1407" s="72"/>
      <c r="N1407" s="72" t="str">
        <f>IF(AND(C1407="",J1407=0,K1407=0,L1407=0,M1407=0),"",CADASTROS!$B$4+SUM($J$2:J1407)+SUM($M$2:M1407)-SUM($K$2:K1407)-SUM($L$2:L1407))</f>
        <v/>
      </c>
      <c r="O1407" s="72" t="str">
        <f>IF(A1407="","",SUMIF(RATEIOS!$A$2:$A$3142,$A1407,RATEIOS!$F$2:$F$3142))</f>
        <v/>
      </c>
      <c r="P1407" s="15" t="str">
        <f t="shared" si="44"/>
        <v/>
      </c>
      <c r="Q1407" s="49" t="str">
        <f>IF(AND(J1407=0,K1407=0,L1407=0,M1407=0),"",IF(O1407=0,"PENDENTE DE RATEIO",IF(ABS(P1407)&gt;0.005,"DIVERGÊNCIA",IF(COUNTIF(RATEIOS!$A$2:$A$3142,$A1407)-COUNTIFS(RATEIOS!$A$2:$A$3142,$A1407,RATEIOS!$D$2:$D$3142,"&lt;&gt;")&gt;0,"NÃO CLASSIFICADO","RATEIO OK"))))</f>
        <v/>
      </c>
      <c r="R1407" s="49"/>
      <c r="S1407" s="14"/>
    </row>
    <row r="1408" spans="1:19" ht="30" customHeight="1" x14ac:dyDescent="0.25">
      <c r="A1408" s="49" t="str">
        <f>IF(C1408="","","BAN-01407")</f>
        <v/>
      </c>
      <c r="B1408" s="98" t="str">
        <f>IF(C1408="","",1407)</f>
        <v/>
      </c>
      <c r="C1408" s="50"/>
      <c r="D1408" s="49" t="str">
        <f t="shared" si="43"/>
        <v/>
      </c>
      <c r="E1408" s="92"/>
      <c r="F1408" s="49"/>
      <c r="G1408" s="14"/>
      <c r="H1408" s="14"/>
      <c r="I1408" s="76"/>
      <c r="J1408" s="73"/>
      <c r="K1408" s="74"/>
      <c r="L1408" s="72"/>
      <c r="M1408" s="72"/>
      <c r="N1408" s="72" t="str">
        <f>IF(AND(C1408="",J1408=0,K1408=0,L1408=0,M1408=0),"",CADASTROS!$B$4+SUM($J$2:J1408)+SUM($M$2:M1408)-SUM($K$2:K1408)-SUM($L$2:L1408))</f>
        <v/>
      </c>
      <c r="O1408" s="72" t="str">
        <f>IF(A1408="","",SUMIF(RATEIOS!$A$2:$A$3142,$A1408,RATEIOS!$F$2:$F$3142))</f>
        <v/>
      </c>
      <c r="P1408" s="15" t="str">
        <f t="shared" si="44"/>
        <v/>
      </c>
      <c r="Q1408" s="49" t="str">
        <f>IF(AND(J1408=0,K1408=0,L1408=0,M1408=0),"",IF(O1408=0,"PENDENTE DE RATEIO",IF(ABS(P1408)&gt;0.005,"DIVERGÊNCIA",IF(COUNTIF(RATEIOS!$A$2:$A$3142,$A1408)-COUNTIFS(RATEIOS!$A$2:$A$3142,$A1408,RATEIOS!$D$2:$D$3142,"&lt;&gt;")&gt;0,"NÃO CLASSIFICADO","RATEIO OK"))))</f>
        <v/>
      </c>
      <c r="R1408" s="49"/>
      <c r="S1408" s="14"/>
    </row>
    <row r="1409" spans="1:19" ht="30" customHeight="1" x14ac:dyDescent="0.25">
      <c r="A1409" s="49" t="str">
        <f>IF(C1409="","","BAN-01408")</f>
        <v/>
      </c>
      <c r="B1409" s="98" t="str">
        <f>IF(C1409="","",1408)</f>
        <v/>
      </c>
      <c r="C1409" s="50"/>
      <c r="D1409" s="49" t="str">
        <f t="shared" si="43"/>
        <v/>
      </c>
      <c r="E1409" s="92"/>
      <c r="F1409" s="49"/>
      <c r="G1409" s="14"/>
      <c r="H1409" s="14"/>
      <c r="I1409" s="76"/>
      <c r="J1409" s="73"/>
      <c r="K1409" s="74"/>
      <c r="L1409" s="72"/>
      <c r="M1409" s="72"/>
      <c r="N1409" s="72" t="str">
        <f>IF(AND(C1409="",J1409=0,K1409=0,L1409=0,M1409=0),"",CADASTROS!$B$4+SUM($J$2:J1409)+SUM($M$2:M1409)-SUM($K$2:K1409)-SUM($L$2:L1409))</f>
        <v/>
      </c>
      <c r="O1409" s="72" t="str">
        <f>IF(A1409="","",SUMIF(RATEIOS!$A$2:$A$3142,$A1409,RATEIOS!$F$2:$F$3142))</f>
        <v/>
      </c>
      <c r="P1409" s="15" t="str">
        <f t="shared" si="44"/>
        <v/>
      </c>
      <c r="Q1409" s="49" t="str">
        <f>IF(AND(J1409=0,K1409=0,L1409=0,M1409=0),"",IF(O1409=0,"PENDENTE DE RATEIO",IF(ABS(P1409)&gt;0.005,"DIVERGÊNCIA",IF(COUNTIF(RATEIOS!$A$2:$A$3142,$A1409)-COUNTIFS(RATEIOS!$A$2:$A$3142,$A1409,RATEIOS!$D$2:$D$3142,"&lt;&gt;")&gt;0,"NÃO CLASSIFICADO","RATEIO OK"))))</f>
        <v/>
      </c>
      <c r="R1409" s="49"/>
      <c r="S1409" s="14"/>
    </row>
    <row r="1410" spans="1:19" ht="30" customHeight="1" x14ac:dyDescent="0.25">
      <c r="A1410" s="49" t="str">
        <f>IF(C1410="","","BAN-01409")</f>
        <v/>
      </c>
      <c r="B1410" s="98" t="str">
        <f>IF(C1410="","",1409)</f>
        <v/>
      </c>
      <c r="C1410" s="50"/>
      <c r="D1410" s="49" t="str">
        <f t="shared" ref="D1410:D1473" si="45">IF(C1410="","",MONTH(C1410))</f>
        <v/>
      </c>
      <c r="E1410" s="92"/>
      <c r="F1410" s="49"/>
      <c r="G1410" s="14"/>
      <c r="H1410" s="14"/>
      <c r="I1410" s="76"/>
      <c r="J1410" s="73"/>
      <c r="K1410" s="74"/>
      <c r="L1410" s="72"/>
      <c r="M1410" s="72"/>
      <c r="N1410" s="72" t="str">
        <f>IF(AND(C1410="",J1410=0,K1410=0,L1410=0,M1410=0),"",CADASTROS!$B$4+SUM($J$2:J1410)+SUM($M$2:M1410)-SUM($K$2:K1410)-SUM($L$2:L1410))</f>
        <v/>
      </c>
      <c r="O1410" s="72" t="str">
        <f>IF(A1410="","",SUMIF(RATEIOS!$A$2:$A$3142,$A1410,RATEIOS!$F$2:$F$3142))</f>
        <v/>
      </c>
      <c r="P1410" s="15" t="str">
        <f t="shared" ref="P1410:P1473" si="46">IF(A1410="","",(J1410+K1410+L1410+M1410)-O1410)</f>
        <v/>
      </c>
      <c r="Q1410" s="49" t="str">
        <f>IF(AND(J1410=0,K1410=0,L1410=0,M1410=0),"",IF(O1410=0,"PENDENTE DE RATEIO",IF(ABS(P1410)&gt;0.005,"DIVERGÊNCIA",IF(COUNTIF(RATEIOS!$A$2:$A$3142,$A1410)-COUNTIFS(RATEIOS!$A$2:$A$3142,$A1410,RATEIOS!$D$2:$D$3142,"&lt;&gt;")&gt;0,"NÃO CLASSIFICADO","RATEIO OK"))))</f>
        <v/>
      </c>
      <c r="R1410" s="49"/>
      <c r="S1410" s="14"/>
    </row>
    <row r="1411" spans="1:19" ht="30" customHeight="1" x14ac:dyDescent="0.25">
      <c r="A1411" s="49" t="str">
        <f>IF(C1411="","","BAN-01410")</f>
        <v/>
      </c>
      <c r="B1411" s="98" t="str">
        <f>IF(C1411="","",1410)</f>
        <v/>
      </c>
      <c r="C1411" s="50"/>
      <c r="D1411" s="49" t="str">
        <f t="shared" si="45"/>
        <v/>
      </c>
      <c r="E1411" s="92"/>
      <c r="F1411" s="49"/>
      <c r="G1411" s="14"/>
      <c r="H1411" s="14"/>
      <c r="I1411" s="76"/>
      <c r="J1411" s="73"/>
      <c r="K1411" s="74"/>
      <c r="L1411" s="72"/>
      <c r="M1411" s="72"/>
      <c r="N1411" s="72" t="str">
        <f>IF(AND(C1411="",J1411=0,K1411=0,L1411=0,M1411=0),"",CADASTROS!$B$4+SUM($J$2:J1411)+SUM($M$2:M1411)-SUM($K$2:K1411)-SUM($L$2:L1411))</f>
        <v/>
      </c>
      <c r="O1411" s="72" t="str">
        <f>IF(A1411="","",SUMIF(RATEIOS!$A$2:$A$3142,$A1411,RATEIOS!$F$2:$F$3142))</f>
        <v/>
      </c>
      <c r="P1411" s="15" t="str">
        <f t="shared" si="46"/>
        <v/>
      </c>
      <c r="Q1411" s="49" t="str">
        <f>IF(AND(J1411=0,K1411=0,L1411=0,M1411=0),"",IF(O1411=0,"PENDENTE DE RATEIO",IF(ABS(P1411)&gt;0.005,"DIVERGÊNCIA",IF(COUNTIF(RATEIOS!$A$2:$A$3142,$A1411)-COUNTIFS(RATEIOS!$A$2:$A$3142,$A1411,RATEIOS!$D$2:$D$3142,"&lt;&gt;")&gt;0,"NÃO CLASSIFICADO","RATEIO OK"))))</f>
        <v/>
      </c>
      <c r="R1411" s="49"/>
      <c r="S1411" s="14"/>
    </row>
    <row r="1412" spans="1:19" ht="30" customHeight="1" x14ac:dyDescent="0.25">
      <c r="A1412" s="49" t="str">
        <f>IF(C1412="","","BAN-01411")</f>
        <v/>
      </c>
      <c r="B1412" s="98" t="str">
        <f>IF(C1412="","",1411)</f>
        <v/>
      </c>
      <c r="C1412" s="50"/>
      <c r="D1412" s="49" t="str">
        <f t="shared" si="45"/>
        <v/>
      </c>
      <c r="E1412" s="92"/>
      <c r="F1412" s="49"/>
      <c r="G1412" s="14"/>
      <c r="H1412" s="14"/>
      <c r="I1412" s="76"/>
      <c r="J1412" s="73"/>
      <c r="K1412" s="74"/>
      <c r="L1412" s="72"/>
      <c r="M1412" s="72"/>
      <c r="N1412" s="72" t="str">
        <f>IF(AND(C1412="",J1412=0,K1412=0,L1412=0,M1412=0),"",CADASTROS!$B$4+SUM($J$2:J1412)+SUM($M$2:M1412)-SUM($K$2:K1412)-SUM($L$2:L1412))</f>
        <v/>
      </c>
      <c r="O1412" s="72" t="str">
        <f>IF(A1412="","",SUMIF(RATEIOS!$A$2:$A$3142,$A1412,RATEIOS!$F$2:$F$3142))</f>
        <v/>
      </c>
      <c r="P1412" s="15" t="str">
        <f t="shared" si="46"/>
        <v/>
      </c>
      <c r="Q1412" s="49" t="str">
        <f>IF(AND(J1412=0,K1412=0,L1412=0,M1412=0),"",IF(O1412=0,"PENDENTE DE RATEIO",IF(ABS(P1412)&gt;0.005,"DIVERGÊNCIA",IF(COUNTIF(RATEIOS!$A$2:$A$3142,$A1412)-COUNTIFS(RATEIOS!$A$2:$A$3142,$A1412,RATEIOS!$D$2:$D$3142,"&lt;&gt;")&gt;0,"NÃO CLASSIFICADO","RATEIO OK"))))</f>
        <v/>
      </c>
      <c r="R1412" s="49"/>
      <c r="S1412" s="14"/>
    </row>
    <row r="1413" spans="1:19" ht="30" customHeight="1" x14ac:dyDescent="0.25">
      <c r="A1413" s="49" t="str">
        <f>IF(C1413="","","BAN-01412")</f>
        <v/>
      </c>
      <c r="B1413" s="98" t="str">
        <f>IF(C1413="","",1412)</f>
        <v/>
      </c>
      <c r="C1413" s="50"/>
      <c r="D1413" s="49" t="str">
        <f t="shared" si="45"/>
        <v/>
      </c>
      <c r="E1413" s="92"/>
      <c r="F1413" s="49"/>
      <c r="G1413" s="14"/>
      <c r="H1413" s="14"/>
      <c r="I1413" s="76"/>
      <c r="J1413" s="73"/>
      <c r="K1413" s="74"/>
      <c r="L1413" s="72"/>
      <c r="M1413" s="72"/>
      <c r="N1413" s="72" t="str">
        <f>IF(AND(C1413="",J1413=0,K1413=0,L1413=0,M1413=0),"",CADASTROS!$B$4+SUM($J$2:J1413)+SUM($M$2:M1413)-SUM($K$2:K1413)-SUM($L$2:L1413))</f>
        <v/>
      </c>
      <c r="O1413" s="72" t="str">
        <f>IF(A1413="","",SUMIF(RATEIOS!$A$2:$A$3142,$A1413,RATEIOS!$F$2:$F$3142))</f>
        <v/>
      </c>
      <c r="P1413" s="15" t="str">
        <f t="shared" si="46"/>
        <v/>
      </c>
      <c r="Q1413" s="49" t="str">
        <f>IF(AND(J1413=0,K1413=0,L1413=0,M1413=0),"",IF(O1413=0,"PENDENTE DE RATEIO",IF(ABS(P1413)&gt;0.005,"DIVERGÊNCIA",IF(COUNTIF(RATEIOS!$A$2:$A$3142,$A1413)-COUNTIFS(RATEIOS!$A$2:$A$3142,$A1413,RATEIOS!$D$2:$D$3142,"&lt;&gt;")&gt;0,"NÃO CLASSIFICADO","RATEIO OK"))))</f>
        <v/>
      </c>
      <c r="R1413" s="49"/>
      <c r="S1413" s="14"/>
    </row>
    <row r="1414" spans="1:19" ht="30" customHeight="1" x14ac:dyDescent="0.25">
      <c r="A1414" s="49" t="str">
        <f>IF(C1414="","","BAN-01413")</f>
        <v/>
      </c>
      <c r="B1414" s="98" t="str">
        <f>IF(C1414="","",1413)</f>
        <v/>
      </c>
      <c r="C1414" s="50"/>
      <c r="D1414" s="49" t="str">
        <f t="shared" si="45"/>
        <v/>
      </c>
      <c r="E1414" s="92"/>
      <c r="F1414" s="49"/>
      <c r="G1414" s="14"/>
      <c r="H1414" s="14"/>
      <c r="I1414" s="76"/>
      <c r="J1414" s="73"/>
      <c r="K1414" s="74"/>
      <c r="L1414" s="72"/>
      <c r="M1414" s="72"/>
      <c r="N1414" s="72" t="str">
        <f>IF(AND(C1414="",J1414=0,K1414=0,L1414=0,M1414=0),"",CADASTROS!$B$4+SUM($J$2:J1414)+SUM($M$2:M1414)-SUM($K$2:K1414)-SUM($L$2:L1414))</f>
        <v/>
      </c>
      <c r="O1414" s="72" t="str">
        <f>IF(A1414="","",SUMIF(RATEIOS!$A$2:$A$3142,$A1414,RATEIOS!$F$2:$F$3142))</f>
        <v/>
      </c>
      <c r="P1414" s="15" t="str">
        <f t="shared" si="46"/>
        <v/>
      </c>
      <c r="Q1414" s="49" t="str">
        <f>IF(AND(J1414=0,K1414=0,L1414=0,M1414=0),"",IF(O1414=0,"PENDENTE DE RATEIO",IF(ABS(P1414)&gt;0.005,"DIVERGÊNCIA",IF(COUNTIF(RATEIOS!$A$2:$A$3142,$A1414)-COUNTIFS(RATEIOS!$A$2:$A$3142,$A1414,RATEIOS!$D$2:$D$3142,"&lt;&gt;")&gt;0,"NÃO CLASSIFICADO","RATEIO OK"))))</f>
        <v/>
      </c>
      <c r="R1414" s="49"/>
      <c r="S1414" s="14"/>
    </row>
    <row r="1415" spans="1:19" ht="30" customHeight="1" x14ac:dyDescent="0.25">
      <c r="A1415" s="49" t="str">
        <f>IF(C1415="","","BAN-01414")</f>
        <v/>
      </c>
      <c r="B1415" s="98" t="str">
        <f>IF(C1415="","",1414)</f>
        <v/>
      </c>
      <c r="C1415" s="50"/>
      <c r="D1415" s="49" t="str">
        <f t="shared" si="45"/>
        <v/>
      </c>
      <c r="E1415" s="92"/>
      <c r="F1415" s="49"/>
      <c r="G1415" s="14"/>
      <c r="H1415" s="14"/>
      <c r="I1415" s="76"/>
      <c r="J1415" s="73"/>
      <c r="K1415" s="74"/>
      <c r="L1415" s="72"/>
      <c r="M1415" s="72"/>
      <c r="N1415" s="72" t="str">
        <f>IF(AND(C1415="",J1415=0,K1415=0,L1415=0,M1415=0),"",CADASTROS!$B$4+SUM($J$2:J1415)+SUM($M$2:M1415)-SUM($K$2:K1415)-SUM($L$2:L1415))</f>
        <v/>
      </c>
      <c r="O1415" s="72" t="str">
        <f>IF(A1415="","",SUMIF(RATEIOS!$A$2:$A$3142,$A1415,RATEIOS!$F$2:$F$3142))</f>
        <v/>
      </c>
      <c r="P1415" s="15" t="str">
        <f t="shared" si="46"/>
        <v/>
      </c>
      <c r="Q1415" s="49" t="str">
        <f>IF(AND(J1415=0,K1415=0,L1415=0,M1415=0),"",IF(O1415=0,"PENDENTE DE RATEIO",IF(ABS(P1415)&gt;0.005,"DIVERGÊNCIA",IF(COUNTIF(RATEIOS!$A$2:$A$3142,$A1415)-COUNTIFS(RATEIOS!$A$2:$A$3142,$A1415,RATEIOS!$D$2:$D$3142,"&lt;&gt;")&gt;0,"NÃO CLASSIFICADO","RATEIO OK"))))</f>
        <v/>
      </c>
      <c r="R1415" s="49"/>
      <c r="S1415" s="14"/>
    </row>
    <row r="1416" spans="1:19" ht="30" customHeight="1" x14ac:dyDescent="0.25">
      <c r="A1416" s="49" t="str">
        <f>IF(C1416="","","BAN-01415")</f>
        <v/>
      </c>
      <c r="B1416" s="98" t="str">
        <f>IF(C1416="","",1415)</f>
        <v/>
      </c>
      <c r="C1416" s="50"/>
      <c r="D1416" s="49" t="str">
        <f t="shared" si="45"/>
        <v/>
      </c>
      <c r="E1416" s="92"/>
      <c r="F1416" s="49"/>
      <c r="G1416" s="14"/>
      <c r="H1416" s="14"/>
      <c r="I1416" s="76"/>
      <c r="J1416" s="73"/>
      <c r="K1416" s="74"/>
      <c r="L1416" s="72"/>
      <c r="M1416" s="72"/>
      <c r="N1416" s="72" t="str">
        <f>IF(AND(C1416="",J1416=0,K1416=0,L1416=0,M1416=0),"",CADASTROS!$B$4+SUM($J$2:J1416)+SUM($M$2:M1416)-SUM($K$2:K1416)-SUM($L$2:L1416))</f>
        <v/>
      </c>
      <c r="O1416" s="72" t="str">
        <f>IF(A1416="","",SUMIF(RATEIOS!$A$2:$A$3142,$A1416,RATEIOS!$F$2:$F$3142))</f>
        <v/>
      </c>
      <c r="P1416" s="15" t="str">
        <f t="shared" si="46"/>
        <v/>
      </c>
      <c r="Q1416" s="49" t="str">
        <f>IF(AND(J1416=0,K1416=0,L1416=0,M1416=0),"",IF(O1416=0,"PENDENTE DE RATEIO",IF(ABS(P1416)&gt;0.005,"DIVERGÊNCIA",IF(COUNTIF(RATEIOS!$A$2:$A$3142,$A1416)-COUNTIFS(RATEIOS!$A$2:$A$3142,$A1416,RATEIOS!$D$2:$D$3142,"&lt;&gt;")&gt;0,"NÃO CLASSIFICADO","RATEIO OK"))))</f>
        <v/>
      </c>
      <c r="R1416" s="49"/>
      <c r="S1416" s="14"/>
    </row>
    <row r="1417" spans="1:19" ht="30" customHeight="1" x14ac:dyDescent="0.25">
      <c r="A1417" s="49" t="str">
        <f>IF(C1417="","","BAN-01416")</f>
        <v/>
      </c>
      <c r="B1417" s="98" t="str">
        <f>IF(C1417="","",1416)</f>
        <v/>
      </c>
      <c r="C1417" s="50"/>
      <c r="D1417" s="49" t="str">
        <f t="shared" si="45"/>
        <v/>
      </c>
      <c r="E1417" s="92"/>
      <c r="F1417" s="49"/>
      <c r="G1417" s="14"/>
      <c r="H1417" s="14"/>
      <c r="I1417" s="76"/>
      <c r="J1417" s="73"/>
      <c r="K1417" s="74"/>
      <c r="L1417" s="72"/>
      <c r="M1417" s="72"/>
      <c r="N1417" s="72" t="str">
        <f>IF(AND(C1417="",J1417=0,K1417=0,L1417=0,M1417=0),"",CADASTROS!$B$4+SUM($J$2:J1417)+SUM($M$2:M1417)-SUM($K$2:K1417)-SUM($L$2:L1417))</f>
        <v/>
      </c>
      <c r="O1417" s="72" t="str">
        <f>IF(A1417="","",SUMIF(RATEIOS!$A$2:$A$3142,$A1417,RATEIOS!$F$2:$F$3142))</f>
        <v/>
      </c>
      <c r="P1417" s="15" t="str">
        <f t="shared" si="46"/>
        <v/>
      </c>
      <c r="Q1417" s="49" t="str">
        <f>IF(AND(J1417=0,K1417=0,L1417=0,M1417=0),"",IF(O1417=0,"PENDENTE DE RATEIO",IF(ABS(P1417)&gt;0.005,"DIVERGÊNCIA",IF(COUNTIF(RATEIOS!$A$2:$A$3142,$A1417)-COUNTIFS(RATEIOS!$A$2:$A$3142,$A1417,RATEIOS!$D$2:$D$3142,"&lt;&gt;")&gt;0,"NÃO CLASSIFICADO","RATEIO OK"))))</f>
        <v/>
      </c>
      <c r="R1417" s="49"/>
      <c r="S1417" s="14"/>
    </row>
    <row r="1418" spans="1:19" ht="30" customHeight="1" x14ac:dyDescent="0.25">
      <c r="A1418" s="49" t="str">
        <f>IF(C1418="","","BAN-01417")</f>
        <v/>
      </c>
      <c r="B1418" s="98" t="str">
        <f>IF(C1418="","",1417)</f>
        <v/>
      </c>
      <c r="C1418" s="50"/>
      <c r="D1418" s="49" t="str">
        <f t="shared" si="45"/>
        <v/>
      </c>
      <c r="E1418" s="92"/>
      <c r="F1418" s="49"/>
      <c r="G1418" s="14"/>
      <c r="H1418" s="14"/>
      <c r="I1418" s="76"/>
      <c r="J1418" s="73"/>
      <c r="K1418" s="74"/>
      <c r="L1418" s="72"/>
      <c r="M1418" s="72"/>
      <c r="N1418" s="72" t="str">
        <f>IF(AND(C1418="",J1418=0,K1418=0,L1418=0,M1418=0),"",CADASTROS!$B$4+SUM($J$2:J1418)+SUM($M$2:M1418)-SUM($K$2:K1418)-SUM($L$2:L1418))</f>
        <v/>
      </c>
      <c r="O1418" s="72" t="str">
        <f>IF(A1418="","",SUMIF(RATEIOS!$A$2:$A$3142,$A1418,RATEIOS!$F$2:$F$3142))</f>
        <v/>
      </c>
      <c r="P1418" s="15" t="str">
        <f t="shared" si="46"/>
        <v/>
      </c>
      <c r="Q1418" s="49" t="str">
        <f>IF(AND(J1418=0,K1418=0,L1418=0,M1418=0),"",IF(O1418=0,"PENDENTE DE RATEIO",IF(ABS(P1418)&gt;0.005,"DIVERGÊNCIA",IF(COUNTIF(RATEIOS!$A$2:$A$3142,$A1418)-COUNTIFS(RATEIOS!$A$2:$A$3142,$A1418,RATEIOS!$D$2:$D$3142,"&lt;&gt;")&gt;0,"NÃO CLASSIFICADO","RATEIO OK"))))</f>
        <v/>
      </c>
      <c r="R1418" s="49"/>
      <c r="S1418" s="14"/>
    </row>
    <row r="1419" spans="1:19" ht="30" customHeight="1" x14ac:dyDescent="0.25">
      <c r="A1419" s="49" t="str">
        <f>IF(C1419="","","BAN-01418")</f>
        <v/>
      </c>
      <c r="B1419" s="98" t="str">
        <f>IF(C1419="","",1418)</f>
        <v/>
      </c>
      <c r="C1419" s="50"/>
      <c r="D1419" s="49" t="str">
        <f t="shared" si="45"/>
        <v/>
      </c>
      <c r="E1419" s="92"/>
      <c r="F1419" s="49"/>
      <c r="G1419" s="14"/>
      <c r="H1419" s="14"/>
      <c r="I1419" s="76"/>
      <c r="J1419" s="73"/>
      <c r="K1419" s="74"/>
      <c r="L1419" s="72"/>
      <c r="M1419" s="72"/>
      <c r="N1419" s="72" t="str">
        <f>IF(AND(C1419="",J1419=0,K1419=0,L1419=0,M1419=0),"",CADASTROS!$B$4+SUM($J$2:J1419)+SUM($M$2:M1419)-SUM($K$2:K1419)-SUM($L$2:L1419))</f>
        <v/>
      </c>
      <c r="O1419" s="72" t="str">
        <f>IF(A1419="","",SUMIF(RATEIOS!$A$2:$A$3142,$A1419,RATEIOS!$F$2:$F$3142))</f>
        <v/>
      </c>
      <c r="P1419" s="15" t="str">
        <f t="shared" si="46"/>
        <v/>
      </c>
      <c r="Q1419" s="49" t="str">
        <f>IF(AND(J1419=0,K1419=0,L1419=0,M1419=0),"",IF(O1419=0,"PENDENTE DE RATEIO",IF(ABS(P1419)&gt;0.005,"DIVERGÊNCIA",IF(COUNTIF(RATEIOS!$A$2:$A$3142,$A1419)-COUNTIFS(RATEIOS!$A$2:$A$3142,$A1419,RATEIOS!$D$2:$D$3142,"&lt;&gt;")&gt;0,"NÃO CLASSIFICADO","RATEIO OK"))))</f>
        <v/>
      </c>
      <c r="R1419" s="49"/>
      <c r="S1419" s="14"/>
    </row>
    <row r="1420" spans="1:19" ht="30" customHeight="1" x14ac:dyDescent="0.25">
      <c r="A1420" s="49" t="str">
        <f>IF(C1420="","","BAN-01419")</f>
        <v/>
      </c>
      <c r="B1420" s="98" t="str">
        <f>IF(C1420="","",1419)</f>
        <v/>
      </c>
      <c r="C1420" s="50"/>
      <c r="D1420" s="49" t="str">
        <f t="shared" si="45"/>
        <v/>
      </c>
      <c r="E1420" s="92"/>
      <c r="F1420" s="49"/>
      <c r="G1420" s="14"/>
      <c r="H1420" s="14"/>
      <c r="I1420" s="76"/>
      <c r="J1420" s="73"/>
      <c r="K1420" s="74"/>
      <c r="L1420" s="72"/>
      <c r="M1420" s="72"/>
      <c r="N1420" s="72" t="str">
        <f>IF(AND(C1420="",J1420=0,K1420=0,L1420=0,M1420=0),"",CADASTROS!$B$4+SUM($J$2:J1420)+SUM($M$2:M1420)-SUM($K$2:K1420)-SUM($L$2:L1420))</f>
        <v/>
      </c>
      <c r="O1420" s="72" t="str">
        <f>IF(A1420="","",SUMIF(RATEIOS!$A$2:$A$3142,$A1420,RATEIOS!$F$2:$F$3142))</f>
        <v/>
      </c>
      <c r="P1420" s="15" t="str">
        <f t="shared" si="46"/>
        <v/>
      </c>
      <c r="Q1420" s="49" t="str">
        <f>IF(AND(J1420=0,K1420=0,L1420=0,M1420=0),"",IF(O1420=0,"PENDENTE DE RATEIO",IF(ABS(P1420)&gt;0.005,"DIVERGÊNCIA",IF(COUNTIF(RATEIOS!$A$2:$A$3142,$A1420)-COUNTIFS(RATEIOS!$A$2:$A$3142,$A1420,RATEIOS!$D$2:$D$3142,"&lt;&gt;")&gt;0,"NÃO CLASSIFICADO","RATEIO OK"))))</f>
        <v/>
      </c>
      <c r="R1420" s="49"/>
      <c r="S1420" s="14"/>
    </row>
    <row r="1421" spans="1:19" ht="30" customHeight="1" x14ac:dyDescent="0.25">
      <c r="A1421" s="49" t="str">
        <f>IF(C1421="","","BAN-01420")</f>
        <v/>
      </c>
      <c r="B1421" s="98" t="str">
        <f>IF(C1421="","",1420)</f>
        <v/>
      </c>
      <c r="C1421" s="50"/>
      <c r="D1421" s="49" t="str">
        <f t="shared" si="45"/>
        <v/>
      </c>
      <c r="E1421" s="92"/>
      <c r="F1421" s="49"/>
      <c r="G1421" s="14"/>
      <c r="H1421" s="14"/>
      <c r="I1421" s="76"/>
      <c r="J1421" s="73"/>
      <c r="K1421" s="74"/>
      <c r="L1421" s="72"/>
      <c r="M1421" s="72"/>
      <c r="N1421" s="72" t="str">
        <f>IF(AND(C1421="",J1421=0,K1421=0,L1421=0,M1421=0),"",CADASTROS!$B$4+SUM($J$2:J1421)+SUM($M$2:M1421)-SUM($K$2:K1421)-SUM($L$2:L1421))</f>
        <v/>
      </c>
      <c r="O1421" s="72" t="str">
        <f>IF(A1421="","",SUMIF(RATEIOS!$A$2:$A$3142,$A1421,RATEIOS!$F$2:$F$3142))</f>
        <v/>
      </c>
      <c r="P1421" s="15" t="str">
        <f t="shared" si="46"/>
        <v/>
      </c>
      <c r="Q1421" s="49" t="str">
        <f>IF(AND(J1421=0,K1421=0,L1421=0,M1421=0),"",IF(O1421=0,"PENDENTE DE RATEIO",IF(ABS(P1421)&gt;0.005,"DIVERGÊNCIA",IF(COUNTIF(RATEIOS!$A$2:$A$3142,$A1421)-COUNTIFS(RATEIOS!$A$2:$A$3142,$A1421,RATEIOS!$D$2:$D$3142,"&lt;&gt;")&gt;0,"NÃO CLASSIFICADO","RATEIO OK"))))</f>
        <v/>
      </c>
      <c r="R1421" s="49"/>
      <c r="S1421" s="14"/>
    </row>
    <row r="1422" spans="1:19" ht="30" customHeight="1" x14ac:dyDescent="0.25">
      <c r="A1422" s="49" t="str">
        <f>IF(C1422="","","BAN-01421")</f>
        <v/>
      </c>
      <c r="B1422" s="98" t="str">
        <f>IF(C1422="","",1421)</f>
        <v/>
      </c>
      <c r="C1422" s="50"/>
      <c r="D1422" s="49" t="str">
        <f t="shared" si="45"/>
        <v/>
      </c>
      <c r="E1422" s="92"/>
      <c r="F1422" s="49"/>
      <c r="G1422" s="14"/>
      <c r="H1422" s="14"/>
      <c r="I1422" s="76"/>
      <c r="J1422" s="73"/>
      <c r="K1422" s="74"/>
      <c r="L1422" s="72"/>
      <c r="M1422" s="72"/>
      <c r="N1422" s="72" t="str">
        <f>IF(AND(C1422="",J1422=0,K1422=0,L1422=0,M1422=0),"",CADASTROS!$B$4+SUM($J$2:J1422)+SUM($M$2:M1422)-SUM($K$2:K1422)-SUM($L$2:L1422))</f>
        <v/>
      </c>
      <c r="O1422" s="72" t="str">
        <f>IF(A1422="","",SUMIF(RATEIOS!$A$2:$A$3142,$A1422,RATEIOS!$F$2:$F$3142))</f>
        <v/>
      </c>
      <c r="P1422" s="15" t="str">
        <f t="shared" si="46"/>
        <v/>
      </c>
      <c r="Q1422" s="49" t="str">
        <f>IF(AND(J1422=0,K1422=0,L1422=0,M1422=0),"",IF(O1422=0,"PENDENTE DE RATEIO",IF(ABS(P1422)&gt;0.005,"DIVERGÊNCIA",IF(COUNTIF(RATEIOS!$A$2:$A$3142,$A1422)-COUNTIFS(RATEIOS!$A$2:$A$3142,$A1422,RATEIOS!$D$2:$D$3142,"&lt;&gt;")&gt;0,"NÃO CLASSIFICADO","RATEIO OK"))))</f>
        <v/>
      </c>
      <c r="R1422" s="49"/>
      <c r="S1422" s="14"/>
    </row>
    <row r="1423" spans="1:19" ht="30" customHeight="1" x14ac:dyDescent="0.25">
      <c r="A1423" s="49" t="str">
        <f>IF(C1423="","","BAN-01422")</f>
        <v/>
      </c>
      <c r="B1423" s="98" t="str">
        <f>IF(C1423="","",1422)</f>
        <v/>
      </c>
      <c r="C1423" s="50"/>
      <c r="D1423" s="49" t="str">
        <f t="shared" si="45"/>
        <v/>
      </c>
      <c r="E1423" s="92"/>
      <c r="F1423" s="49"/>
      <c r="G1423" s="14"/>
      <c r="H1423" s="14"/>
      <c r="I1423" s="76"/>
      <c r="J1423" s="73"/>
      <c r="K1423" s="74"/>
      <c r="L1423" s="72"/>
      <c r="M1423" s="72"/>
      <c r="N1423" s="72" t="str">
        <f>IF(AND(C1423="",J1423=0,K1423=0,L1423=0,M1423=0),"",CADASTROS!$B$4+SUM($J$2:J1423)+SUM($M$2:M1423)-SUM($K$2:K1423)-SUM($L$2:L1423))</f>
        <v/>
      </c>
      <c r="O1423" s="72" t="str">
        <f>IF(A1423="","",SUMIF(RATEIOS!$A$2:$A$3142,$A1423,RATEIOS!$F$2:$F$3142))</f>
        <v/>
      </c>
      <c r="P1423" s="15" t="str">
        <f t="shared" si="46"/>
        <v/>
      </c>
      <c r="Q1423" s="49" t="str">
        <f>IF(AND(J1423=0,K1423=0,L1423=0,M1423=0),"",IF(O1423=0,"PENDENTE DE RATEIO",IF(ABS(P1423)&gt;0.005,"DIVERGÊNCIA",IF(COUNTIF(RATEIOS!$A$2:$A$3142,$A1423)-COUNTIFS(RATEIOS!$A$2:$A$3142,$A1423,RATEIOS!$D$2:$D$3142,"&lt;&gt;")&gt;0,"NÃO CLASSIFICADO","RATEIO OK"))))</f>
        <v/>
      </c>
      <c r="R1423" s="49"/>
      <c r="S1423" s="14"/>
    </row>
    <row r="1424" spans="1:19" ht="30" customHeight="1" x14ac:dyDescent="0.25">
      <c r="A1424" s="49" t="str">
        <f>IF(C1424="","","BAN-01423")</f>
        <v/>
      </c>
      <c r="B1424" s="98" t="str">
        <f>IF(C1424="","",1423)</f>
        <v/>
      </c>
      <c r="C1424" s="50"/>
      <c r="D1424" s="49" t="str">
        <f t="shared" si="45"/>
        <v/>
      </c>
      <c r="E1424" s="92"/>
      <c r="F1424" s="49"/>
      <c r="G1424" s="14"/>
      <c r="H1424" s="14"/>
      <c r="I1424" s="76"/>
      <c r="J1424" s="73"/>
      <c r="K1424" s="74"/>
      <c r="L1424" s="72"/>
      <c r="M1424" s="72"/>
      <c r="N1424" s="72" t="str">
        <f>IF(AND(C1424="",J1424=0,K1424=0,L1424=0,M1424=0),"",CADASTROS!$B$4+SUM($J$2:J1424)+SUM($M$2:M1424)-SUM($K$2:K1424)-SUM($L$2:L1424))</f>
        <v/>
      </c>
      <c r="O1424" s="72" t="str">
        <f>IF(A1424="","",SUMIF(RATEIOS!$A$2:$A$3142,$A1424,RATEIOS!$F$2:$F$3142))</f>
        <v/>
      </c>
      <c r="P1424" s="15" t="str">
        <f t="shared" si="46"/>
        <v/>
      </c>
      <c r="Q1424" s="49" t="str">
        <f>IF(AND(J1424=0,K1424=0,L1424=0,M1424=0),"",IF(O1424=0,"PENDENTE DE RATEIO",IF(ABS(P1424)&gt;0.005,"DIVERGÊNCIA",IF(COUNTIF(RATEIOS!$A$2:$A$3142,$A1424)-COUNTIFS(RATEIOS!$A$2:$A$3142,$A1424,RATEIOS!$D$2:$D$3142,"&lt;&gt;")&gt;0,"NÃO CLASSIFICADO","RATEIO OK"))))</f>
        <v/>
      </c>
      <c r="R1424" s="49"/>
      <c r="S1424" s="14"/>
    </row>
    <row r="1425" spans="1:19" ht="30" customHeight="1" x14ac:dyDescent="0.25">
      <c r="A1425" s="49" t="str">
        <f>IF(C1425="","","BAN-01424")</f>
        <v/>
      </c>
      <c r="B1425" s="98" t="str">
        <f>IF(C1425="","",1424)</f>
        <v/>
      </c>
      <c r="C1425" s="50"/>
      <c r="D1425" s="49" t="str">
        <f t="shared" si="45"/>
        <v/>
      </c>
      <c r="E1425" s="92"/>
      <c r="F1425" s="49"/>
      <c r="G1425" s="14"/>
      <c r="H1425" s="14"/>
      <c r="I1425" s="76"/>
      <c r="J1425" s="73"/>
      <c r="K1425" s="74"/>
      <c r="L1425" s="72"/>
      <c r="M1425" s="72"/>
      <c r="N1425" s="72" t="str">
        <f>IF(AND(C1425="",J1425=0,K1425=0,L1425=0,M1425=0),"",CADASTROS!$B$4+SUM($J$2:J1425)+SUM($M$2:M1425)-SUM($K$2:K1425)-SUM($L$2:L1425))</f>
        <v/>
      </c>
      <c r="O1425" s="72" t="str">
        <f>IF(A1425="","",SUMIF(RATEIOS!$A$2:$A$3142,$A1425,RATEIOS!$F$2:$F$3142))</f>
        <v/>
      </c>
      <c r="P1425" s="15" t="str">
        <f t="shared" si="46"/>
        <v/>
      </c>
      <c r="Q1425" s="49" t="str">
        <f>IF(AND(J1425=0,K1425=0,L1425=0,M1425=0),"",IF(O1425=0,"PENDENTE DE RATEIO",IF(ABS(P1425)&gt;0.005,"DIVERGÊNCIA",IF(COUNTIF(RATEIOS!$A$2:$A$3142,$A1425)-COUNTIFS(RATEIOS!$A$2:$A$3142,$A1425,RATEIOS!$D$2:$D$3142,"&lt;&gt;")&gt;0,"NÃO CLASSIFICADO","RATEIO OK"))))</f>
        <v/>
      </c>
      <c r="R1425" s="49"/>
      <c r="S1425" s="14"/>
    </row>
    <row r="1426" spans="1:19" ht="30" customHeight="1" x14ac:dyDescent="0.25">
      <c r="A1426" s="49" t="str">
        <f>IF(C1426="","","BAN-01425")</f>
        <v/>
      </c>
      <c r="B1426" s="98" t="str">
        <f>IF(C1426="","",1425)</f>
        <v/>
      </c>
      <c r="C1426" s="50"/>
      <c r="D1426" s="49" t="str">
        <f t="shared" si="45"/>
        <v/>
      </c>
      <c r="E1426" s="92"/>
      <c r="F1426" s="49"/>
      <c r="G1426" s="14"/>
      <c r="H1426" s="14"/>
      <c r="I1426" s="76"/>
      <c r="J1426" s="73"/>
      <c r="K1426" s="74"/>
      <c r="L1426" s="72"/>
      <c r="M1426" s="72"/>
      <c r="N1426" s="72" t="str">
        <f>IF(AND(C1426="",J1426=0,K1426=0,L1426=0,M1426=0),"",CADASTROS!$B$4+SUM($J$2:J1426)+SUM($M$2:M1426)-SUM($K$2:K1426)-SUM($L$2:L1426))</f>
        <v/>
      </c>
      <c r="O1426" s="72" t="str">
        <f>IF(A1426="","",SUMIF(RATEIOS!$A$2:$A$3142,$A1426,RATEIOS!$F$2:$F$3142))</f>
        <v/>
      </c>
      <c r="P1426" s="15" t="str">
        <f t="shared" si="46"/>
        <v/>
      </c>
      <c r="Q1426" s="49" t="str">
        <f>IF(AND(J1426=0,K1426=0,L1426=0,M1426=0),"",IF(O1426=0,"PENDENTE DE RATEIO",IF(ABS(P1426)&gt;0.005,"DIVERGÊNCIA",IF(COUNTIF(RATEIOS!$A$2:$A$3142,$A1426)-COUNTIFS(RATEIOS!$A$2:$A$3142,$A1426,RATEIOS!$D$2:$D$3142,"&lt;&gt;")&gt;0,"NÃO CLASSIFICADO","RATEIO OK"))))</f>
        <v/>
      </c>
      <c r="R1426" s="49"/>
      <c r="S1426" s="14"/>
    </row>
    <row r="1427" spans="1:19" ht="30" customHeight="1" x14ac:dyDescent="0.25">
      <c r="A1427" s="49" t="str">
        <f>IF(C1427="","","BAN-01426")</f>
        <v/>
      </c>
      <c r="B1427" s="98" t="str">
        <f>IF(C1427="","",1426)</f>
        <v/>
      </c>
      <c r="C1427" s="50"/>
      <c r="D1427" s="49" t="str">
        <f t="shared" si="45"/>
        <v/>
      </c>
      <c r="E1427" s="92"/>
      <c r="F1427" s="49"/>
      <c r="G1427" s="14"/>
      <c r="H1427" s="14"/>
      <c r="I1427" s="76"/>
      <c r="J1427" s="73"/>
      <c r="K1427" s="74"/>
      <c r="L1427" s="72"/>
      <c r="M1427" s="72"/>
      <c r="N1427" s="72" t="str">
        <f>IF(AND(C1427="",J1427=0,K1427=0,L1427=0,M1427=0),"",CADASTROS!$B$4+SUM($J$2:J1427)+SUM($M$2:M1427)-SUM($K$2:K1427)-SUM($L$2:L1427))</f>
        <v/>
      </c>
      <c r="O1427" s="72" t="str">
        <f>IF(A1427="","",SUMIF(RATEIOS!$A$2:$A$3142,$A1427,RATEIOS!$F$2:$F$3142))</f>
        <v/>
      </c>
      <c r="P1427" s="15" t="str">
        <f t="shared" si="46"/>
        <v/>
      </c>
      <c r="Q1427" s="49" t="str">
        <f>IF(AND(J1427=0,K1427=0,L1427=0,M1427=0),"",IF(O1427=0,"PENDENTE DE RATEIO",IF(ABS(P1427)&gt;0.005,"DIVERGÊNCIA",IF(COUNTIF(RATEIOS!$A$2:$A$3142,$A1427)-COUNTIFS(RATEIOS!$A$2:$A$3142,$A1427,RATEIOS!$D$2:$D$3142,"&lt;&gt;")&gt;0,"NÃO CLASSIFICADO","RATEIO OK"))))</f>
        <v/>
      </c>
      <c r="R1427" s="49"/>
      <c r="S1427" s="14"/>
    </row>
    <row r="1428" spans="1:19" ht="30" customHeight="1" x14ac:dyDescent="0.25">
      <c r="A1428" s="49" t="str">
        <f>IF(C1428="","","BAN-01427")</f>
        <v/>
      </c>
      <c r="B1428" s="98" t="str">
        <f>IF(C1428="","",1427)</f>
        <v/>
      </c>
      <c r="C1428" s="50"/>
      <c r="D1428" s="49" t="str">
        <f t="shared" si="45"/>
        <v/>
      </c>
      <c r="E1428" s="92"/>
      <c r="F1428" s="49"/>
      <c r="G1428" s="14"/>
      <c r="H1428" s="14"/>
      <c r="I1428" s="76"/>
      <c r="J1428" s="73"/>
      <c r="K1428" s="74"/>
      <c r="L1428" s="72"/>
      <c r="M1428" s="72"/>
      <c r="N1428" s="72" t="str">
        <f>IF(AND(C1428="",J1428=0,K1428=0,L1428=0,M1428=0),"",CADASTROS!$B$4+SUM($J$2:J1428)+SUM($M$2:M1428)-SUM($K$2:K1428)-SUM($L$2:L1428))</f>
        <v/>
      </c>
      <c r="O1428" s="72" t="str">
        <f>IF(A1428="","",SUMIF(RATEIOS!$A$2:$A$3142,$A1428,RATEIOS!$F$2:$F$3142))</f>
        <v/>
      </c>
      <c r="P1428" s="15" t="str">
        <f t="shared" si="46"/>
        <v/>
      </c>
      <c r="Q1428" s="49" t="str">
        <f>IF(AND(J1428=0,K1428=0,L1428=0,M1428=0),"",IF(O1428=0,"PENDENTE DE RATEIO",IF(ABS(P1428)&gt;0.005,"DIVERGÊNCIA",IF(COUNTIF(RATEIOS!$A$2:$A$3142,$A1428)-COUNTIFS(RATEIOS!$A$2:$A$3142,$A1428,RATEIOS!$D$2:$D$3142,"&lt;&gt;")&gt;0,"NÃO CLASSIFICADO","RATEIO OK"))))</f>
        <v/>
      </c>
      <c r="R1428" s="49"/>
      <c r="S1428" s="14"/>
    </row>
    <row r="1429" spans="1:19" ht="30" customHeight="1" x14ac:dyDescent="0.25">
      <c r="A1429" s="49" t="str">
        <f>IF(C1429="","","BAN-01428")</f>
        <v/>
      </c>
      <c r="B1429" s="98" t="str">
        <f>IF(C1429="","",1428)</f>
        <v/>
      </c>
      <c r="C1429" s="50"/>
      <c r="D1429" s="49" t="str">
        <f t="shared" si="45"/>
        <v/>
      </c>
      <c r="E1429" s="92"/>
      <c r="F1429" s="49"/>
      <c r="G1429" s="14"/>
      <c r="H1429" s="14"/>
      <c r="I1429" s="76"/>
      <c r="J1429" s="73"/>
      <c r="K1429" s="74"/>
      <c r="L1429" s="72"/>
      <c r="M1429" s="72"/>
      <c r="N1429" s="72" t="str">
        <f>IF(AND(C1429="",J1429=0,K1429=0,L1429=0,M1429=0),"",CADASTROS!$B$4+SUM($J$2:J1429)+SUM($M$2:M1429)-SUM($K$2:K1429)-SUM($L$2:L1429))</f>
        <v/>
      </c>
      <c r="O1429" s="72" t="str">
        <f>IF(A1429="","",SUMIF(RATEIOS!$A$2:$A$3142,$A1429,RATEIOS!$F$2:$F$3142))</f>
        <v/>
      </c>
      <c r="P1429" s="15" t="str">
        <f t="shared" si="46"/>
        <v/>
      </c>
      <c r="Q1429" s="49" t="str">
        <f>IF(AND(J1429=0,K1429=0,L1429=0,M1429=0),"",IF(O1429=0,"PENDENTE DE RATEIO",IF(ABS(P1429)&gt;0.005,"DIVERGÊNCIA",IF(COUNTIF(RATEIOS!$A$2:$A$3142,$A1429)-COUNTIFS(RATEIOS!$A$2:$A$3142,$A1429,RATEIOS!$D$2:$D$3142,"&lt;&gt;")&gt;0,"NÃO CLASSIFICADO","RATEIO OK"))))</f>
        <v/>
      </c>
      <c r="R1429" s="49"/>
      <c r="S1429" s="14"/>
    </row>
    <row r="1430" spans="1:19" ht="30" customHeight="1" x14ac:dyDescent="0.25">
      <c r="A1430" s="49" t="str">
        <f>IF(C1430="","","BAN-01429")</f>
        <v/>
      </c>
      <c r="B1430" s="98" t="str">
        <f>IF(C1430="","",1429)</f>
        <v/>
      </c>
      <c r="C1430" s="50"/>
      <c r="D1430" s="49" t="str">
        <f t="shared" si="45"/>
        <v/>
      </c>
      <c r="E1430" s="92"/>
      <c r="F1430" s="49"/>
      <c r="G1430" s="14"/>
      <c r="H1430" s="14"/>
      <c r="I1430" s="76"/>
      <c r="J1430" s="73"/>
      <c r="K1430" s="74"/>
      <c r="L1430" s="72"/>
      <c r="M1430" s="72"/>
      <c r="N1430" s="72" t="str">
        <f>IF(AND(C1430="",J1430=0,K1430=0,L1430=0,M1430=0),"",CADASTROS!$B$4+SUM($J$2:J1430)+SUM($M$2:M1430)-SUM($K$2:K1430)-SUM($L$2:L1430))</f>
        <v/>
      </c>
      <c r="O1430" s="72" t="str">
        <f>IF(A1430="","",SUMIF(RATEIOS!$A$2:$A$3142,$A1430,RATEIOS!$F$2:$F$3142))</f>
        <v/>
      </c>
      <c r="P1430" s="15" t="str">
        <f t="shared" si="46"/>
        <v/>
      </c>
      <c r="Q1430" s="49" t="str">
        <f>IF(AND(J1430=0,K1430=0,L1430=0,M1430=0),"",IF(O1430=0,"PENDENTE DE RATEIO",IF(ABS(P1430)&gt;0.005,"DIVERGÊNCIA",IF(COUNTIF(RATEIOS!$A$2:$A$3142,$A1430)-COUNTIFS(RATEIOS!$A$2:$A$3142,$A1430,RATEIOS!$D$2:$D$3142,"&lt;&gt;")&gt;0,"NÃO CLASSIFICADO","RATEIO OK"))))</f>
        <v/>
      </c>
      <c r="R1430" s="49"/>
      <c r="S1430" s="14"/>
    </row>
    <row r="1431" spans="1:19" ht="30" customHeight="1" x14ac:dyDescent="0.25">
      <c r="A1431" s="49" t="str">
        <f>IF(C1431="","","BAN-01430")</f>
        <v/>
      </c>
      <c r="B1431" s="98" t="str">
        <f>IF(C1431="","",1430)</f>
        <v/>
      </c>
      <c r="C1431" s="50"/>
      <c r="D1431" s="49" t="str">
        <f t="shared" si="45"/>
        <v/>
      </c>
      <c r="E1431" s="92"/>
      <c r="F1431" s="49"/>
      <c r="G1431" s="14"/>
      <c r="H1431" s="14"/>
      <c r="I1431" s="76"/>
      <c r="J1431" s="73"/>
      <c r="K1431" s="74"/>
      <c r="L1431" s="72"/>
      <c r="M1431" s="72"/>
      <c r="N1431" s="72" t="str">
        <f>IF(AND(C1431="",J1431=0,K1431=0,L1431=0,M1431=0),"",CADASTROS!$B$4+SUM($J$2:J1431)+SUM($M$2:M1431)-SUM($K$2:K1431)-SUM($L$2:L1431))</f>
        <v/>
      </c>
      <c r="O1431" s="72" t="str">
        <f>IF(A1431="","",SUMIF(RATEIOS!$A$2:$A$3142,$A1431,RATEIOS!$F$2:$F$3142))</f>
        <v/>
      </c>
      <c r="P1431" s="15" t="str">
        <f t="shared" si="46"/>
        <v/>
      </c>
      <c r="Q1431" s="49" t="str">
        <f>IF(AND(J1431=0,K1431=0,L1431=0,M1431=0),"",IF(O1431=0,"PENDENTE DE RATEIO",IF(ABS(P1431)&gt;0.005,"DIVERGÊNCIA",IF(COUNTIF(RATEIOS!$A$2:$A$3142,$A1431)-COUNTIFS(RATEIOS!$A$2:$A$3142,$A1431,RATEIOS!$D$2:$D$3142,"&lt;&gt;")&gt;0,"NÃO CLASSIFICADO","RATEIO OK"))))</f>
        <v/>
      </c>
      <c r="R1431" s="49"/>
      <c r="S1431" s="14"/>
    </row>
    <row r="1432" spans="1:19" ht="30" customHeight="1" x14ac:dyDescent="0.25">
      <c r="A1432" s="49" t="str">
        <f>IF(C1432="","","BAN-01431")</f>
        <v/>
      </c>
      <c r="B1432" s="98" t="str">
        <f>IF(C1432="","",1431)</f>
        <v/>
      </c>
      <c r="C1432" s="50"/>
      <c r="D1432" s="49" t="str">
        <f t="shared" si="45"/>
        <v/>
      </c>
      <c r="E1432" s="92"/>
      <c r="F1432" s="49"/>
      <c r="G1432" s="14"/>
      <c r="H1432" s="14"/>
      <c r="I1432" s="76"/>
      <c r="J1432" s="73"/>
      <c r="K1432" s="74"/>
      <c r="L1432" s="72"/>
      <c r="M1432" s="72"/>
      <c r="N1432" s="72" t="str">
        <f>IF(AND(C1432="",J1432=0,K1432=0,L1432=0,M1432=0),"",CADASTROS!$B$4+SUM($J$2:J1432)+SUM($M$2:M1432)-SUM($K$2:K1432)-SUM($L$2:L1432))</f>
        <v/>
      </c>
      <c r="O1432" s="72" t="str">
        <f>IF(A1432="","",SUMIF(RATEIOS!$A$2:$A$3142,$A1432,RATEIOS!$F$2:$F$3142))</f>
        <v/>
      </c>
      <c r="P1432" s="15" t="str">
        <f t="shared" si="46"/>
        <v/>
      </c>
      <c r="Q1432" s="49" t="str">
        <f>IF(AND(J1432=0,K1432=0,L1432=0,M1432=0),"",IF(O1432=0,"PENDENTE DE RATEIO",IF(ABS(P1432)&gt;0.005,"DIVERGÊNCIA",IF(COUNTIF(RATEIOS!$A$2:$A$3142,$A1432)-COUNTIFS(RATEIOS!$A$2:$A$3142,$A1432,RATEIOS!$D$2:$D$3142,"&lt;&gt;")&gt;0,"NÃO CLASSIFICADO","RATEIO OK"))))</f>
        <v/>
      </c>
      <c r="R1432" s="49"/>
      <c r="S1432" s="14"/>
    </row>
    <row r="1433" spans="1:19" ht="30" customHeight="1" x14ac:dyDescent="0.25">
      <c r="A1433" s="49" t="str">
        <f>IF(C1433="","","BAN-01432")</f>
        <v/>
      </c>
      <c r="B1433" s="98" t="str">
        <f>IF(C1433="","",1432)</f>
        <v/>
      </c>
      <c r="C1433" s="50"/>
      <c r="D1433" s="49" t="str">
        <f t="shared" si="45"/>
        <v/>
      </c>
      <c r="E1433" s="92"/>
      <c r="F1433" s="49"/>
      <c r="G1433" s="14"/>
      <c r="H1433" s="14"/>
      <c r="I1433" s="76"/>
      <c r="J1433" s="73"/>
      <c r="K1433" s="74"/>
      <c r="L1433" s="72"/>
      <c r="M1433" s="72"/>
      <c r="N1433" s="72" t="str">
        <f>IF(AND(C1433="",J1433=0,K1433=0,L1433=0,M1433=0),"",CADASTROS!$B$4+SUM($J$2:J1433)+SUM($M$2:M1433)-SUM($K$2:K1433)-SUM($L$2:L1433))</f>
        <v/>
      </c>
      <c r="O1433" s="72" t="str">
        <f>IF(A1433="","",SUMIF(RATEIOS!$A$2:$A$3142,$A1433,RATEIOS!$F$2:$F$3142))</f>
        <v/>
      </c>
      <c r="P1433" s="15" t="str">
        <f t="shared" si="46"/>
        <v/>
      </c>
      <c r="Q1433" s="49" t="str">
        <f>IF(AND(J1433=0,K1433=0,L1433=0,M1433=0),"",IF(O1433=0,"PENDENTE DE RATEIO",IF(ABS(P1433)&gt;0.005,"DIVERGÊNCIA",IF(COUNTIF(RATEIOS!$A$2:$A$3142,$A1433)-COUNTIFS(RATEIOS!$A$2:$A$3142,$A1433,RATEIOS!$D$2:$D$3142,"&lt;&gt;")&gt;0,"NÃO CLASSIFICADO","RATEIO OK"))))</f>
        <v/>
      </c>
      <c r="R1433" s="49"/>
      <c r="S1433" s="14"/>
    </row>
    <row r="1434" spans="1:19" ht="30" customHeight="1" x14ac:dyDescent="0.25">
      <c r="A1434" s="49" t="str">
        <f>IF(C1434="","","BAN-01433")</f>
        <v/>
      </c>
      <c r="B1434" s="98" t="str">
        <f>IF(C1434="","",1433)</f>
        <v/>
      </c>
      <c r="C1434" s="50"/>
      <c r="D1434" s="49" t="str">
        <f t="shared" si="45"/>
        <v/>
      </c>
      <c r="E1434" s="92"/>
      <c r="F1434" s="49"/>
      <c r="G1434" s="14"/>
      <c r="H1434" s="14"/>
      <c r="I1434" s="76"/>
      <c r="J1434" s="73"/>
      <c r="K1434" s="74"/>
      <c r="L1434" s="72"/>
      <c r="M1434" s="72"/>
      <c r="N1434" s="72" t="str">
        <f>IF(AND(C1434="",J1434=0,K1434=0,L1434=0,M1434=0),"",CADASTROS!$B$4+SUM($J$2:J1434)+SUM($M$2:M1434)-SUM($K$2:K1434)-SUM($L$2:L1434))</f>
        <v/>
      </c>
      <c r="O1434" s="72" t="str">
        <f>IF(A1434="","",SUMIF(RATEIOS!$A$2:$A$3142,$A1434,RATEIOS!$F$2:$F$3142))</f>
        <v/>
      </c>
      <c r="P1434" s="15" t="str">
        <f t="shared" si="46"/>
        <v/>
      </c>
      <c r="Q1434" s="49" t="str">
        <f>IF(AND(J1434=0,K1434=0,L1434=0,M1434=0),"",IF(O1434=0,"PENDENTE DE RATEIO",IF(ABS(P1434)&gt;0.005,"DIVERGÊNCIA",IF(COUNTIF(RATEIOS!$A$2:$A$3142,$A1434)-COUNTIFS(RATEIOS!$A$2:$A$3142,$A1434,RATEIOS!$D$2:$D$3142,"&lt;&gt;")&gt;0,"NÃO CLASSIFICADO","RATEIO OK"))))</f>
        <v/>
      </c>
      <c r="R1434" s="49"/>
      <c r="S1434" s="14"/>
    </row>
    <row r="1435" spans="1:19" ht="30" customHeight="1" x14ac:dyDescent="0.25">
      <c r="A1435" s="49" t="str">
        <f>IF(C1435="","","BAN-01434")</f>
        <v/>
      </c>
      <c r="B1435" s="98" t="str">
        <f>IF(C1435="","",1434)</f>
        <v/>
      </c>
      <c r="C1435" s="50"/>
      <c r="D1435" s="49" t="str">
        <f t="shared" si="45"/>
        <v/>
      </c>
      <c r="E1435" s="92"/>
      <c r="F1435" s="49"/>
      <c r="G1435" s="14"/>
      <c r="H1435" s="14"/>
      <c r="I1435" s="76"/>
      <c r="J1435" s="73"/>
      <c r="K1435" s="74"/>
      <c r="L1435" s="72"/>
      <c r="M1435" s="72"/>
      <c r="N1435" s="72" t="str">
        <f>IF(AND(C1435="",J1435=0,K1435=0,L1435=0,M1435=0),"",CADASTROS!$B$4+SUM($J$2:J1435)+SUM($M$2:M1435)-SUM($K$2:K1435)-SUM($L$2:L1435))</f>
        <v/>
      </c>
      <c r="O1435" s="72" t="str">
        <f>IF(A1435="","",SUMIF(RATEIOS!$A$2:$A$3142,$A1435,RATEIOS!$F$2:$F$3142))</f>
        <v/>
      </c>
      <c r="P1435" s="15" t="str">
        <f t="shared" si="46"/>
        <v/>
      </c>
      <c r="Q1435" s="49" t="str">
        <f>IF(AND(J1435=0,K1435=0,L1435=0,M1435=0),"",IF(O1435=0,"PENDENTE DE RATEIO",IF(ABS(P1435)&gt;0.005,"DIVERGÊNCIA",IF(COUNTIF(RATEIOS!$A$2:$A$3142,$A1435)-COUNTIFS(RATEIOS!$A$2:$A$3142,$A1435,RATEIOS!$D$2:$D$3142,"&lt;&gt;")&gt;0,"NÃO CLASSIFICADO","RATEIO OK"))))</f>
        <v/>
      </c>
      <c r="R1435" s="49"/>
      <c r="S1435" s="14"/>
    </row>
    <row r="1436" spans="1:19" ht="30" customHeight="1" x14ac:dyDescent="0.25">
      <c r="A1436" s="49" t="str">
        <f>IF(C1436="","","BAN-01435")</f>
        <v/>
      </c>
      <c r="B1436" s="98" t="str">
        <f>IF(C1436="","",1435)</f>
        <v/>
      </c>
      <c r="C1436" s="50"/>
      <c r="D1436" s="49" t="str">
        <f t="shared" si="45"/>
        <v/>
      </c>
      <c r="E1436" s="92"/>
      <c r="F1436" s="49"/>
      <c r="G1436" s="14"/>
      <c r="H1436" s="14"/>
      <c r="I1436" s="76"/>
      <c r="J1436" s="73"/>
      <c r="K1436" s="74"/>
      <c r="L1436" s="72"/>
      <c r="M1436" s="72"/>
      <c r="N1436" s="72" t="str">
        <f>IF(AND(C1436="",J1436=0,K1436=0,L1436=0,M1436=0),"",CADASTROS!$B$4+SUM($J$2:J1436)+SUM($M$2:M1436)-SUM($K$2:K1436)-SUM($L$2:L1436))</f>
        <v/>
      </c>
      <c r="O1436" s="72" t="str">
        <f>IF(A1436="","",SUMIF(RATEIOS!$A$2:$A$3142,$A1436,RATEIOS!$F$2:$F$3142))</f>
        <v/>
      </c>
      <c r="P1436" s="15" t="str">
        <f t="shared" si="46"/>
        <v/>
      </c>
      <c r="Q1436" s="49" t="str">
        <f>IF(AND(J1436=0,K1436=0,L1436=0,M1436=0),"",IF(O1436=0,"PENDENTE DE RATEIO",IF(ABS(P1436)&gt;0.005,"DIVERGÊNCIA",IF(COUNTIF(RATEIOS!$A$2:$A$3142,$A1436)-COUNTIFS(RATEIOS!$A$2:$A$3142,$A1436,RATEIOS!$D$2:$D$3142,"&lt;&gt;")&gt;0,"NÃO CLASSIFICADO","RATEIO OK"))))</f>
        <v/>
      </c>
      <c r="R1436" s="49"/>
      <c r="S1436" s="14"/>
    </row>
    <row r="1437" spans="1:19" ht="30" customHeight="1" x14ac:dyDescent="0.25">
      <c r="A1437" s="49" t="str">
        <f>IF(C1437="","","BAN-01436")</f>
        <v/>
      </c>
      <c r="B1437" s="98" t="str">
        <f>IF(C1437="","",1436)</f>
        <v/>
      </c>
      <c r="C1437" s="50"/>
      <c r="D1437" s="49" t="str">
        <f t="shared" si="45"/>
        <v/>
      </c>
      <c r="E1437" s="92"/>
      <c r="F1437" s="49"/>
      <c r="G1437" s="14"/>
      <c r="H1437" s="14"/>
      <c r="I1437" s="76"/>
      <c r="J1437" s="73"/>
      <c r="K1437" s="74"/>
      <c r="L1437" s="72"/>
      <c r="M1437" s="72"/>
      <c r="N1437" s="72" t="str">
        <f>IF(AND(C1437="",J1437=0,K1437=0,L1437=0,M1437=0),"",CADASTROS!$B$4+SUM($J$2:J1437)+SUM($M$2:M1437)-SUM($K$2:K1437)-SUM($L$2:L1437))</f>
        <v/>
      </c>
      <c r="O1437" s="72" t="str">
        <f>IF(A1437="","",SUMIF(RATEIOS!$A$2:$A$3142,$A1437,RATEIOS!$F$2:$F$3142))</f>
        <v/>
      </c>
      <c r="P1437" s="15" t="str">
        <f t="shared" si="46"/>
        <v/>
      </c>
      <c r="Q1437" s="49" t="str">
        <f>IF(AND(J1437=0,K1437=0,L1437=0,M1437=0),"",IF(O1437=0,"PENDENTE DE RATEIO",IF(ABS(P1437)&gt;0.005,"DIVERGÊNCIA",IF(COUNTIF(RATEIOS!$A$2:$A$3142,$A1437)-COUNTIFS(RATEIOS!$A$2:$A$3142,$A1437,RATEIOS!$D$2:$D$3142,"&lt;&gt;")&gt;0,"NÃO CLASSIFICADO","RATEIO OK"))))</f>
        <v/>
      </c>
      <c r="R1437" s="49"/>
      <c r="S1437" s="14"/>
    </row>
    <row r="1438" spans="1:19" ht="30" customHeight="1" x14ac:dyDescent="0.25">
      <c r="A1438" s="49" t="str">
        <f>IF(C1438="","","BAN-01437")</f>
        <v/>
      </c>
      <c r="B1438" s="98" t="str">
        <f>IF(C1438="","",1437)</f>
        <v/>
      </c>
      <c r="C1438" s="50"/>
      <c r="D1438" s="49" t="str">
        <f t="shared" si="45"/>
        <v/>
      </c>
      <c r="E1438" s="92"/>
      <c r="F1438" s="49"/>
      <c r="G1438" s="14"/>
      <c r="H1438" s="14"/>
      <c r="I1438" s="76"/>
      <c r="J1438" s="73"/>
      <c r="K1438" s="74"/>
      <c r="L1438" s="72"/>
      <c r="M1438" s="72"/>
      <c r="N1438" s="72" t="str">
        <f>IF(AND(C1438="",J1438=0,K1438=0,L1438=0,M1438=0),"",CADASTROS!$B$4+SUM($J$2:J1438)+SUM($M$2:M1438)-SUM($K$2:K1438)-SUM($L$2:L1438))</f>
        <v/>
      </c>
      <c r="O1438" s="72" t="str">
        <f>IF(A1438="","",SUMIF(RATEIOS!$A$2:$A$3142,$A1438,RATEIOS!$F$2:$F$3142))</f>
        <v/>
      </c>
      <c r="P1438" s="15" t="str">
        <f t="shared" si="46"/>
        <v/>
      </c>
      <c r="Q1438" s="49" t="str">
        <f>IF(AND(J1438=0,K1438=0,L1438=0,M1438=0),"",IF(O1438=0,"PENDENTE DE RATEIO",IF(ABS(P1438)&gt;0.005,"DIVERGÊNCIA",IF(COUNTIF(RATEIOS!$A$2:$A$3142,$A1438)-COUNTIFS(RATEIOS!$A$2:$A$3142,$A1438,RATEIOS!$D$2:$D$3142,"&lt;&gt;")&gt;0,"NÃO CLASSIFICADO","RATEIO OK"))))</f>
        <v/>
      </c>
      <c r="R1438" s="49"/>
      <c r="S1438" s="14"/>
    </row>
    <row r="1439" spans="1:19" ht="30" customHeight="1" x14ac:dyDescent="0.25">
      <c r="A1439" s="49" t="str">
        <f>IF(C1439="","","BAN-01438")</f>
        <v/>
      </c>
      <c r="B1439" s="98" t="str">
        <f>IF(C1439="","",1438)</f>
        <v/>
      </c>
      <c r="C1439" s="50"/>
      <c r="D1439" s="49" t="str">
        <f t="shared" si="45"/>
        <v/>
      </c>
      <c r="E1439" s="92"/>
      <c r="F1439" s="49"/>
      <c r="G1439" s="14"/>
      <c r="H1439" s="14"/>
      <c r="I1439" s="76"/>
      <c r="J1439" s="73"/>
      <c r="K1439" s="74"/>
      <c r="L1439" s="72"/>
      <c r="M1439" s="72"/>
      <c r="N1439" s="72" t="str">
        <f>IF(AND(C1439="",J1439=0,K1439=0,L1439=0,M1439=0),"",CADASTROS!$B$4+SUM($J$2:J1439)+SUM($M$2:M1439)-SUM($K$2:K1439)-SUM($L$2:L1439))</f>
        <v/>
      </c>
      <c r="O1439" s="72" t="str">
        <f>IF(A1439="","",SUMIF(RATEIOS!$A$2:$A$3142,$A1439,RATEIOS!$F$2:$F$3142))</f>
        <v/>
      </c>
      <c r="P1439" s="15" t="str">
        <f t="shared" si="46"/>
        <v/>
      </c>
      <c r="Q1439" s="49" t="str">
        <f>IF(AND(J1439=0,K1439=0,L1439=0,M1439=0),"",IF(O1439=0,"PENDENTE DE RATEIO",IF(ABS(P1439)&gt;0.005,"DIVERGÊNCIA",IF(COUNTIF(RATEIOS!$A$2:$A$3142,$A1439)-COUNTIFS(RATEIOS!$A$2:$A$3142,$A1439,RATEIOS!$D$2:$D$3142,"&lt;&gt;")&gt;0,"NÃO CLASSIFICADO","RATEIO OK"))))</f>
        <v/>
      </c>
      <c r="R1439" s="49"/>
      <c r="S1439" s="14"/>
    </row>
    <row r="1440" spans="1:19" ht="30" customHeight="1" x14ac:dyDescent="0.25">
      <c r="A1440" s="49" t="str">
        <f>IF(C1440="","","BAN-01439")</f>
        <v/>
      </c>
      <c r="B1440" s="98" t="str">
        <f>IF(C1440="","",1439)</f>
        <v/>
      </c>
      <c r="C1440" s="50"/>
      <c r="D1440" s="49" t="str">
        <f t="shared" si="45"/>
        <v/>
      </c>
      <c r="E1440" s="92"/>
      <c r="F1440" s="49"/>
      <c r="G1440" s="14"/>
      <c r="H1440" s="14"/>
      <c r="I1440" s="76"/>
      <c r="J1440" s="73"/>
      <c r="K1440" s="74"/>
      <c r="L1440" s="72"/>
      <c r="M1440" s="72"/>
      <c r="N1440" s="72" t="str">
        <f>IF(AND(C1440="",J1440=0,K1440=0,L1440=0,M1440=0),"",CADASTROS!$B$4+SUM($J$2:J1440)+SUM($M$2:M1440)-SUM($K$2:K1440)-SUM($L$2:L1440))</f>
        <v/>
      </c>
      <c r="O1440" s="72" t="str">
        <f>IF(A1440="","",SUMIF(RATEIOS!$A$2:$A$3142,$A1440,RATEIOS!$F$2:$F$3142))</f>
        <v/>
      </c>
      <c r="P1440" s="15" t="str">
        <f t="shared" si="46"/>
        <v/>
      </c>
      <c r="Q1440" s="49" t="str">
        <f>IF(AND(J1440=0,K1440=0,L1440=0,M1440=0),"",IF(O1440=0,"PENDENTE DE RATEIO",IF(ABS(P1440)&gt;0.005,"DIVERGÊNCIA",IF(COUNTIF(RATEIOS!$A$2:$A$3142,$A1440)-COUNTIFS(RATEIOS!$A$2:$A$3142,$A1440,RATEIOS!$D$2:$D$3142,"&lt;&gt;")&gt;0,"NÃO CLASSIFICADO","RATEIO OK"))))</f>
        <v/>
      </c>
      <c r="R1440" s="49"/>
      <c r="S1440" s="14"/>
    </row>
    <row r="1441" spans="1:19" ht="30" customHeight="1" x14ac:dyDescent="0.25">
      <c r="A1441" s="49" t="str">
        <f>IF(C1441="","","BAN-01440")</f>
        <v/>
      </c>
      <c r="B1441" s="98" t="str">
        <f>IF(C1441="","",1440)</f>
        <v/>
      </c>
      <c r="C1441" s="50"/>
      <c r="D1441" s="49" t="str">
        <f t="shared" si="45"/>
        <v/>
      </c>
      <c r="E1441" s="92"/>
      <c r="F1441" s="49"/>
      <c r="G1441" s="14"/>
      <c r="H1441" s="14"/>
      <c r="I1441" s="76"/>
      <c r="J1441" s="73"/>
      <c r="K1441" s="74"/>
      <c r="L1441" s="72"/>
      <c r="M1441" s="72"/>
      <c r="N1441" s="72" t="str">
        <f>IF(AND(C1441="",J1441=0,K1441=0,L1441=0,M1441=0),"",CADASTROS!$B$4+SUM($J$2:J1441)+SUM($M$2:M1441)-SUM($K$2:K1441)-SUM($L$2:L1441))</f>
        <v/>
      </c>
      <c r="O1441" s="72" t="str">
        <f>IF(A1441="","",SUMIF(RATEIOS!$A$2:$A$3142,$A1441,RATEIOS!$F$2:$F$3142))</f>
        <v/>
      </c>
      <c r="P1441" s="15" t="str">
        <f t="shared" si="46"/>
        <v/>
      </c>
      <c r="Q1441" s="49" t="str">
        <f>IF(AND(J1441=0,K1441=0,L1441=0,M1441=0),"",IF(O1441=0,"PENDENTE DE RATEIO",IF(ABS(P1441)&gt;0.005,"DIVERGÊNCIA",IF(COUNTIF(RATEIOS!$A$2:$A$3142,$A1441)-COUNTIFS(RATEIOS!$A$2:$A$3142,$A1441,RATEIOS!$D$2:$D$3142,"&lt;&gt;")&gt;0,"NÃO CLASSIFICADO","RATEIO OK"))))</f>
        <v/>
      </c>
      <c r="R1441" s="49"/>
      <c r="S1441" s="14"/>
    </row>
    <row r="1442" spans="1:19" ht="30" customHeight="1" x14ac:dyDescent="0.25">
      <c r="A1442" s="49" t="str">
        <f>IF(C1442="","","BAN-01441")</f>
        <v/>
      </c>
      <c r="B1442" s="98" t="str">
        <f>IF(C1442="","",1441)</f>
        <v/>
      </c>
      <c r="C1442" s="50"/>
      <c r="D1442" s="49" t="str">
        <f t="shared" si="45"/>
        <v/>
      </c>
      <c r="E1442" s="92"/>
      <c r="F1442" s="49"/>
      <c r="G1442" s="14"/>
      <c r="H1442" s="14"/>
      <c r="I1442" s="76"/>
      <c r="J1442" s="73"/>
      <c r="K1442" s="74"/>
      <c r="L1442" s="72"/>
      <c r="M1442" s="72"/>
      <c r="N1442" s="72" t="str">
        <f>IF(AND(C1442="",J1442=0,K1442=0,L1442=0,M1442=0),"",CADASTROS!$B$4+SUM($J$2:J1442)+SUM($M$2:M1442)-SUM($K$2:K1442)-SUM($L$2:L1442))</f>
        <v/>
      </c>
      <c r="O1442" s="72" t="str">
        <f>IF(A1442="","",SUMIF(RATEIOS!$A$2:$A$3142,$A1442,RATEIOS!$F$2:$F$3142))</f>
        <v/>
      </c>
      <c r="P1442" s="15" t="str">
        <f t="shared" si="46"/>
        <v/>
      </c>
      <c r="Q1442" s="49" t="str">
        <f>IF(AND(J1442=0,K1442=0,L1442=0,M1442=0),"",IF(O1442=0,"PENDENTE DE RATEIO",IF(ABS(P1442)&gt;0.005,"DIVERGÊNCIA",IF(COUNTIF(RATEIOS!$A$2:$A$3142,$A1442)-COUNTIFS(RATEIOS!$A$2:$A$3142,$A1442,RATEIOS!$D$2:$D$3142,"&lt;&gt;")&gt;0,"NÃO CLASSIFICADO","RATEIO OK"))))</f>
        <v/>
      </c>
      <c r="R1442" s="49"/>
      <c r="S1442" s="14"/>
    </row>
    <row r="1443" spans="1:19" ht="30" customHeight="1" x14ac:dyDescent="0.25">
      <c r="A1443" s="49" t="str">
        <f>IF(C1443="","","BAN-01442")</f>
        <v/>
      </c>
      <c r="B1443" s="98" t="str">
        <f>IF(C1443="","",1442)</f>
        <v/>
      </c>
      <c r="C1443" s="50"/>
      <c r="D1443" s="49" t="str">
        <f t="shared" si="45"/>
        <v/>
      </c>
      <c r="E1443" s="92"/>
      <c r="F1443" s="49"/>
      <c r="G1443" s="14"/>
      <c r="H1443" s="14"/>
      <c r="I1443" s="76"/>
      <c r="J1443" s="73"/>
      <c r="K1443" s="74"/>
      <c r="L1443" s="72"/>
      <c r="M1443" s="72"/>
      <c r="N1443" s="72" t="str">
        <f>IF(AND(C1443="",J1443=0,K1443=0,L1443=0,M1443=0),"",CADASTROS!$B$4+SUM($J$2:J1443)+SUM($M$2:M1443)-SUM($K$2:K1443)-SUM($L$2:L1443))</f>
        <v/>
      </c>
      <c r="O1443" s="72" t="str">
        <f>IF(A1443="","",SUMIF(RATEIOS!$A$2:$A$3142,$A1443,RATEIOS!$F$2:$F$3142))</f>
        <v/>
      </c>
      <c r="P1443" s="15" t="str">
        <f t="shared" si="46"/>
        <v/>
      </c>
      <c r="Q1443" s="49" t="str">
        <f>IF(AND(J1443=0,K1443=0,L1443=0,M1443=0),"",IF(O1443=0,"PENDENTE DE RATEIO",IF(ABS(P1443)&gt;0.005,"DIVERGÊNCIA",IF(COUNTIF(RATEIOS!$A$2:$A$3142,$A1443)-COUNTIFS(RATEIOS!$A$2:$A$3142,$A1443,RATEIOS!$D$2:$D$3142,"&lt;&gt;")&gt;0,"NÃO CLASSIFICADO","RATEIO OK"))))</f>
        <v/>
      </c>
      <c r="R1443" s="49"/>
      <c r="S1443" s="14"/>
    </row>
    <row r="1444" spans="1:19" ht="30" customHeight="1" x14ac:dyDescent="0.25">
      <c r="A1444" s="49" t="str">
        <f>IF(C1444="","","BAN-01443")</f>
        <v/>
      </c>
      <c r="B1444" s="98" t="str">
        <f>IF(C1444="","",1443)</f>
        <v/>
      </c>
      <c r="C1444" s="50"/>
      <c r="D1444" s="49" t="str">
        <f t="shared" si="45"/>
        <v/>
      </c>
      <c r="E1444" s="92"/>
      <c r="F1444" s="49"/>
      <c r="G1444" s="14"/>
      <c r="H1444" s="14"/>
      <c r="I1444" s="76"/>
      <c r="J1444" s="73"/>
      <c r="K1444" s="74"/>
      <c r="L1444" s="72"/>
      <c r="M1444" s="72"/>
      <c r="N1444" s="72" t="str">
        <f>IF(AND(C1444="",J1444=0,K1444=0,L1444=0,M1444=0),"",CADASTROS!$B$4+SUM($J$2:J1444)+SUM($M$2:M1444)-SUM($K$2:K1444)-SUM($L$2:L1444))</f>
        <v/>
      </c>
      <c r="O1444" s="72" t="str">
        <f>IF(A1444="","",SUMIF(RATEIOS!$A$2:$A$3142,$A1444,RATEIOS!$F$2:$F$3142))</f>
        <v/>
      </c>
      <c r="P1444" s="15" t="str">
        <f t="shared" si="46"/>
        <v/>
      </c>
      <c r="Q1444" s="49" t="str">
        <f>IF(AND(J1444=0,K1444=0,L1444=0,M1444=0),"",IF(O1444=0,"PENDENTE DE RATEIO",IF(ABS(P1444)&gt;0.005,"DIVERGÊNCIA",IF(COUNTIF(RATEIOS!$A$2:$A$3142,$A1444)-COUNTIFS(RATEIOS!$A$2:$A$3142,$A1444,RATEIOS!$D$2:$D$3142,"&lt;&gt;")&gt;0,"NÃO CLASSIFICADO","RATEIO OK"))))</f>
        <v/>
      </c>
      <c r="R1444" s="49"/>
      <c r="S1444" s="14"/>
    </row>
    <row r="1445" spans="1:19" ht="30" customHeight="1" x14ac:dyDescent="0.25">
      <c r="A1445" s="49" t="str">
        <f>IF(C1445="","","BAN-01444")</f>
        <v/>
      </c>
      <c r="B1445" s="98" t="str">
        <f>IF(C1445="","",1444)</f>
        <v/>
      </c>
      <c r="C1445" s="50"/>
      <c r="D1445" s="49" t="str">
        <f t="shared" si="45"/>
        <v/>
      </c>
      <c r="E1445" s="92"/>
      <c r="F1445" s="49"/>
      <c r="G1445" s="14"/>
      <c r="H1445" s="14"/>
      <c r="I1445" s="76"/>
      <c r="J1445" s="73"/>
      <c r="K1445" s="74"/>
      <c r="L1445" s="72"/>
      <c r="M1445" s="72"/>
      <c r="N1445" s="72" t="str">
        <f>IF(AND(C1445="",J1445=0,K1445=0,L1445=0,M1445=0),"",CADASTROS!$B$4+SUM($J$2:J1445)+SUM($M$2:M1445)-SUM($K$2:K1445)-SUM($L$2:L1445))</f>
        <v/>
      </c>
      <c r="O1445" s="72" t="str">
        <f>IF(A1445="","",SUMIF(RATEIOS!$A$2:$A$3142,$A1445,RATEIOS!$F$2:$F$3142))</f>
        <v/>
      </c>
      <c r="P1445" s="15" t="str">
        <f t="shared" si="46"/>
        <v/>
      </c>
      <c r="Q1445" s="49" t="str">
        <f>IF(AND(J1445=0,K1445=0,L1445=0,M1445=0),"",IF(O1445=0,"PENDENTE DE RATEIO",IF(ABS(P1445)&gt;0.005,"DIVERGÊNCIA",IF(COUNTIF(RATEIOS!$A$2:$A$3142,$A1445)-COUNTIFS(RATEIOS!$A$2:$A$3142,$A1445,RATEIOS!$D$2:$D$3142,"&lt;&gt;")&gt;0,"NÃO CLASSIFICADO","RATEIO OK"))))</f>
        <v/>
      </c>
      <c r="R1445" s="49"/>
      <c r="S1445" s="14"/>
    </row>
    <row r="1446" spans="1:19" ht="30" customHeight="1" x14ac:dyDescent="0.25">
      <c r="A1446" s="49" t="str">
        <f>IF(C1446="","","BAN-01445")</f>
        <v/>
      </c>
      <c r="B1446" s="98" t="str">
        <f>IF(C1446="","",1445)</f>
        <v/>
      </c>
      <c r="C1446" s="50"/>
      <c r="D1446" s="49" t="str">
        <f t="shared" si="45"/>
        <v/>
      </c>
      <c r="E1446" s="92"/>
      <c r="F1446" s="49"/>
      <c r="G1446" s="14"/>
      <c r="H1446" s="14"/>
      <c r="I1446" s="76"/>
      <c r="J1446" s="73"/>
      <c r="K1446" s="74"/>
      <c r="L1446" s="72"/>
      <c r="M1446" s="72"/>
      <c r="N1446" s="72" t="str">
        <f>IF(AND(C1446="",J1446=0,K1446=0,L1446=0,M1446=0),"",CADASTROS!$B$4+SUM($J$2:J1446)+SUM($M$2:M1446)-SUM($K$2:K1446)-SUM($L$2:L1446))</f>
        <v/>
      </c>
      <c r="O1446" s="72" t="str">
        <f>IF(A1446="","",SUMIF(RATEIOS!$A$2:$A$3142,$A1446,RATEIOS!$F$2:$F$3142))</f>
        <v/>
      </c>
      <c r="P1446" s="15" t="str">
        <f t="shared" si="46"/>
        <v/>
      </c>
      <c r="Q1446" s="49" t="str">
        <f>IF(AND(J1446=0,K1446=0,L1446=0,M1446=0),"",IF(O1446=0,"PENDENTE DE RATEIO",IF(ABS(P1446)&gt;0.005,"DIVERGÊNCIA",IF(COUNTIF(RATEIOS!$A$2:$A$3142,$A1446)-COUNTIFS(RATEIOS!$A$2:$A$3142,$A1446,RATEIOS!$D$2:$D$3142,"&lt;&gt;")&gt;0,"NÃO CLASSIFICADO","RATEIO OK"))))</f>
        <v/>
      </c>
      <c r="R1446" s="49"/>
      <c r="S1446" s="14"/>
    </row>
    <row r="1447" spans="1:19" ht="30" customHeight="1" x14ac:dyDescent="0.25">
      <c r="A1447" s="49" t="str">
        <f>IF(C1447="","","BAN-01446")</f>
        <v/>
      </c>
      <c r="B1447" s="98" t="str">
        <f>IF(C1447="","",1446)</f>
        <v/>
      </c>
      <c r="C1447" s="50"/>
      <c r="D1447" s="49" t="str">
        <f t="shared" si="45"/>
        <v/>
      </c>
      <c r="E1447" s="92"/>
      <c r="F1447" s="49"/>
      <c r="G1447" s="14"/>
      <c r="H1447" s="14"/>
      <c r="I1447" s="76"/>
      <c r="J1447" s="73"/>
      <c r="K1447" s="74"/>
      <c r="L1447" s="72"/>
      <c r="M1447" s="72"/>
      <c r="N1447" s="72" t="str">
        <f>IF(AND(C1447="",J1447=0,K1447=0,L1447=0,M1447=0),"",CADASTROS!$B$4+SUM($J$2:J1447)+SUM($M$2:M1447)-SUM($K$2:K1447)-SUM($L$2:L1447))</f>
        <v/>
      </c>
      <c r="O1447" s="72" t="str">
        <f>IF(A1447="","",SUMIF(RATEIOS!$A$2:$A$3142,$A1447,RATEIOS!$F$2:$F$3142))</f>
        <v/>
      </c>
      <c r="P1447" s="15" t="str">
        <f t="shared" si="46"/>
        <v/>
      </c>
      <c r="Q1447" s="49" t="str">
        <f>IF(AND(J1447=0,K1447=0,L1447=0,M1447=0),"",IF(O1447=0,"PENDENTE DE RATEIO",IF(ABS(P1447)&gt;0.005,"DIVERGÊNCIA",IF(COUNTIF(RATEIOS!$A$2:$A$3142,$A1447)-COUNTIFS(RATEIOS!$A$2:$A$3142,$A1447,RATEIOS!$D$2:$D$3142,"&lt;&gt;")&gt;0,"NÃO CLASSIFICADO","RATEIO OK"))))</f>
        <v/>
      </c>
      <c r="R1447" s="49"/>
      <c r="S1447" s="14"/>
    </row>
    <row r="1448" spans="1:19" ht="30" customHeight="1" x14ac:dyDescent="0.25">
      <c r="A1448" s="49" t="str">
        <f>IF(C1448="","","BAN-01447")</f>
        <v/>
      </c>
      <c r="B1448" s="98" t="str">
        <f>IF(C1448="","",1447)</f>
        <v/>
      </c>
      <c r="C1448" s="50"/>
      <c r="D1448" s="49" t="str">
        <f t="shared" si="45"/>
        <v/>
      </c>
      <c r="E1448" s="92"/>
      <c r="F1448" s="49"/>
      <c r="G1448" s="14"/>
      <c r="H1448" s="14"/>
      <c r="I1448" s="76"/>
      <c r="J1448" s="73"/>
      <c r="K1448" s="74"/>
      <c r="L1448" s="72"/>
      <c r="M1448" s="72"/>
      <c r="N1448" s="72" t="str">
        <f>IF(AND(C1448="",J1448=0,K1448=0,L1448=0,M1448=0),"",CADASTROS!$B$4+SUM($J$2:J1448)+SUM($M$2:M1448)-SUM($K$2:K1448)-SUM($L$2:L1448))</f>
        <v/>
      </c>
      <c r="O1448" s="72" t="str">
        <f>IF(A1448="","",SUMIF(RATEIOS!$A$2:$A$3142,$A1448,RATEIOS!$F$2:$F$3142))</f>
        <v/>
      </c>
      <c r="P1448" s="15" t="str">
        <f t="shared" si="46"/>
        <v/>
      </c>
      <c r="Q1448" s="49" t="str">
        <f>IF(AND(J1448=0,K1448=0,L1448=0,M1448=0),"",IF(O1448=0,"PENDENTE DE RATEIO",IF(ABS(P1448)&gt;0.005,"DIVERGÊNCIA",IF(COUNTIF(RATEIOS!$A$2:$A$3142,$A1448)-COUNTIFS(RATEIOS!$A$2:$A$3142,$A1448,RATEIOS!$D$2:$D$3142,"&lt;&gt;")&gt;0,"NÃO CLASSIFICADO","RATEIO OK"))))</f>
        <v/>
      </c>
      <c r="R1448" s="49"/>
      <c r="S1448" s="14"/>
    </row>
    <row r="1449" spans="1:19" ht="30" customHeight="1" x14ac:dyDescent="0.25">
      <c r="A1449" s="49" t="str">
        <f>IF(C1449="","","BAN-01448")</f>
        <v/>
      </c>
      <c r="B1449" s="98" t="str">
        <f>IF(C1449="","",1448)</f>
        <v/>
      </c>
      <c r="C1449" s="50"/>
      <c r="D1449" s="49" t="str">
        <f t="shared" si="45"/>
        <v/>
      </c>
      <c r="E1449" s="92"/>
      <c r="F1449" s="49"/>
      <c r="G1449" s="14"/>
      <c r="H1449" s="14"/>
      <c r="I1449" s="76"/>
      <c r="J1449" s="73"/>
      <c r="K1449" s="74"/>
      <c r="L1449" s="72"/>
      <c r="M1449" s="72"/>
      <c r="N1449" s="72" t="str">
        <f>IF(AND(C1449="",J1449=0,K1449=0,L1449=0,M1449=0),"",CADASTROS!$B$4+SUM($J$2:J1449)+SUM($M$2:M1449)-SUM($K$2:K1449)-SUM($L$2:L1449))</f>
        <v/>
      </c>
      <c r="O1449" s="72" t="str">
        <f>IF(A1449="","",SUMIF(RATEIOS!$A$2:$A$3142,$A1449,RATEIOS!$F$2:$F$3142))</f>
        <v/>
      </c>
      <c r="P1449" s="15" t="str">
        <f t="shared" si="46"/>
        <v/>
      </c>
      <c r="Q1449" s="49" t="str">
        <f>IF(AND(J1449=0,K1449=0,L1449=0,M1449=0),"",IF(O1449=0,"PENDENTE DE RATEIO",IF(ABS(P1449)&gt;0.005,"DIVERGÊNCIA",IF(COUNTIF(RATEIOS!$A$2:$A$3142,$A1449)-COUNTIFS(RATEIOS!$A$2:$A$3142,$A1449,RATEIOS!$D$2:$D$3142,"&lt;&gt;")&gt;0,"NÃO CLASSIFICADO","RATEIO OK"))))</f>
        <v/>
      </c>
      <c r="R1449" s="49"/>
      <c r="S1449" s="14"/>
    </row>
    <row r="1450" spans="1:19" ht="30" customHeight="1" x14ac:dyDescent="0.25">
      <c r="A1450" s="49" t="str">
        <f>IF(C1450="","","BAN-01449")</f>
        <v/>
      </c>
      <c r="B1450" s="98" t="str">
        <f>IF(C1450="","",1449)</f>
        <v/>
      </c>
      <c r="C1450" s="50"/>
      <c r="D1450" s="49" t="str">
        <f t="shared" si="45"/>
        <v/>
      </c>
      <c r="E1450" s="92"/>
      <c r="F1450" s="49"/>
      <c r="G1450" s="14"/>
      <c r="H1450" s="14"/>
      <c r="I1450" s="76"/>
      <c r="J1450" s="73"/>
      <c r="K1450" s="74"/>
      <c r="L1450" s="72"/>
      <c r="M1450" s="72"/>
      <c r="N1450" s="72" t="str">
        <f>IF(AND(C1450="",J1450=0,K1450=0,L1450=0,M1450=0),"",CADASTROS!$B$4+SUM($J$2:J1450)+SUM($M$2:M1450)-SUM($K$2:K1450)-SUM($L$2:L1450))</f>
        <v/>
      </c>
      <c r="O1450" s="72" t="str">
        <f>IF(A1450="","",SUMIF(RATEIOS!$A$2:$A$3142,$A1450,RATEIOS!$F$2:$F$3142))</f>
        <v/>
      </c>
      <c r="P1450" s="15" t="str">
        <f t="shared" si="46"/>
        <v/>
      </c>
      <c r="Q1450" s="49" t="str">
        <f>IF(AND(J1450=0,K1450=0,L1450=0,M1450=0),"",IF(O1450=0,"PENDENTE DE RATEIO",IF(ABS(P1450)&gt;0.005,"DIVERGÊNCIA",IF(COUNTIF(RATEIOS!$A$2:$A$3142,$A1450)-COUNTIFS(RATEIOS!$A$2:$A$3142,$A1450,RATEIOS!$D$2:$D$3142,"&lt;&gt;")&gt;0,"NÃO CLASSIFICADO","RATEIO OK"))))</f>
        <v/>
      </c>
      <c r="R1450" s="49"/>
      <c r="S1450" s="14"/>
    </row>
    <row r="1451" spans="1:19" ht="30" customHeight="1" x14ac:dyDescent="0.25">
      <c r="A1451" s="49" t="str">
        <f>IF(C1451="","","BAN-01450")</f>
        <v/>
      </c>
      <c r="B1451" s="98" t="str">
        <f>IF(C1451="","",1450)</f>
        <v/>
      </c>
      <c r="C1451" s="50"/>
      <c r="D1451" s="49" t="str">
        <f t="shared" si="45"/>
        <v/>
      </c>
      <c r="E1451" s="92"/>
      <c r="F1451" s="49"/>
      <c r="G1451" s="14"/>
      <c r="H1451" s="14"/>
      <c r="I1451" s="76"/>
      <c r="J1451" s="73"/>
      <c r="K1451" s="74"/>
      <c r="L1451" s="72"/>
      <c r="M1451" s="72"/>
      <c r="N1451" s="72" t="str">
        <f>IF(AND(C1451="",J1451=0,K1451=0,L1451=0,M1451=0),"",CADASTROS!$B$4+SUM($J$2:J1451)+SUM($M$2:M1451)-SUM($K$2:K1451)-SUM($L$2:L1451))</f>
        <v/>
      </c>
      <c r="O1451" s="72" t="str">
        <f>IF(A1451="","",SUMIF(RATEIOS!$A$2:$A$3142,$A1451,RATEIOS!$F$2:$F$3142))</f>
        <v/>
      </c>
      <c r="P1451" s="15" t="str">
        <f t="shared" si="46"/>
        <v/>
      </c>
      <c r="Q1451" s="49" t="str">
        <f>IF(AND(J1451=0,K1451=0,L1451=0,M1451=0),"",IF(O1451=0,"PENDENTE DE RATEIO",IF(ABS(P1451)&gt;0.005,"DIVERGÊNCIA",IF(COUNTIF(RATEIOS!$A$2:$A$3142,$A1451)-COUNTIFS(RATEIOS!$A$2:$A$3142,$A1451,RATEIOS!$D$2:$D$3142,"&lt;&gt;")&gt;0,"NÃO CLASSIFICADO","RATEIO OK"))))</f>
        <v/>
      </c>
      <c r="R1451" s="49"/>
      <c r="S1451" s="14"/>
    </row>
    <row r="1452" spans="1:19" ht="30" customHeight="1" x14ac:dyDescent="0.25">
      <c r="A1452" s="49" t="str">
        <f>IF(C1452="","","BAN-01451")</f>
        <v/>
      </c>
      <c r="B1452" s="98" t="str">
        <f>IF(C1452="","",1451)</f>
        <v/>
      </c>
      <c r="C1452" s="50"/>
      <c r="D1452" s="49" t="str">
        <f t="shared" si="45"/>
        <v/>
      </c>
      <c r="E1452" s="92"/>
      <c r="F1452" s="49"/>
      <c r="G1452" s="14"/>
      <c r="H1452" s="14"/>
      <c r="I1452" s="76"/>
      <c r="J1452" s="73"/>
      <c r="K1452" s="74"/>
      <c r="L1452" s="72"/>
      <c r="M1452" s="72"/>
      <c r="N1452" s="72" t="str">
        <f>IF(AND(C1452="",J1452=0,K1452=0,L1452=0,M1452=0),"",CADASTROS!$B$4+SUM($J$2:J1452)+SUM($M$2:M1452)-SUM($K$2:K1452)-SUM($L$2:L1452))</f>
        <v/>
      </c>
      <c r="O1452" s="72" t="str">
        <f>IF(A1452="","",SUMIF(RATEIOS!$A$2:$A$3142,$A1452,RATEIOS!$F$2:$F$3142))</f>
        <v/>
      </c>
      <c r="P1452" s="15" t="str">
        <f t="shared" si="46"/>
        <v/>
      </c>
      <c r="Q1452" s="49" t="str">
        <f>IF(AND(J1452=0,K1452=0,L1452=0,M1452=0),"",IF(O1452=0,"PENDENTE DE RATEIO",IF(ABS(P1452)&gt;0.005,"DIVERGÊNCIA",IF(COUNTIF(RATEIOS!$A$2:$A$3142,$A1452)-COUNTIFS(RATEIOS!$A$2:$A$3142,$A1452,RATEIOS!$D$2:$D$3142,"&lt;&gt;")&gt;0,"NÃO CLASSIFICADO","RATEIO OK"))))</f>
        <v/>
      </c>
      <c r="R1452" s="49"/>
      <c r="S1452" s="14"/>
    </row>
    <row r="1453" spans="1:19" ht="30" customHeight="1" x14ac:dyDescent="0.25">
      <c r="A1453" s="49" t="str">
        <f>IF(C1453="","","BAN-01452")</f>
        <v/>
      </c>
      <c r="B1453" s="98" t="str">
        <f>IF(C1453="","",1452)</f>
        <v/>
      </c>
      <c r="C1453" s="50"/>
      <c r="D1453" s="49" t="str">
        <f t="shared" si="45"/>
        <v/>
      </c>
      <c r="E1453" s="92"/>
      <c r="F1453" s="49"/>
      <c r="G1453" s="14"/>
      <c r="H1453" s="14"/>
      <c r="I1453" s="76"/>
      <c r="J1453" s="73"/>
      <c r="K1453" s="74"/>
      <c r="L1453" s="72"/>
      <c r="M1453" s="72"/>
      <c r="N1453" s="72" t="str">
        <f>IF(AND(C1453="",J1453=0,K1453=0,L1453=0,M1453=0),"",CADASTROS!$B$4+SUM($J$2:J1453)+SUM($M$2:M1453)-SUM($K$2:K1453)-SUM($L$2:L1453))</f>
        <v/>
      </c>
      <c r="O1453" s="72" t="str">
        <f>IF(A1453="","",SUMIF(RATEIOS!$A$2:$A$3142,$A1453,RATEIOS!$F$2:$F$3142))</f>
        <v/>
      </c>
      <c r="P1453" s="15" t="str">
        <f t="shared" si="46"/>
        <v/>
      </c>
      <c r="Q1453" s="49" t="str">
        <f>IF(AND(J1453=0,K1453=0,L1453=0,M1453=0),"",IF(O1453=0,"PENDENTE DE RATEIO",IF(ABS(P1453)&gt;0.005,"DIVERGÊNCIA",IF(COUNTIF(RATEIOS!$A$2:$A$3142,$A1453)-COUNTIFS(RATEIOS!$A$2:$A$3142,$A1453,RATEIOS!$D$2:$D$3142,"&lt;&gt;")&gt;0,"NÃO CLASSIFICADO","RATEIO OK"))))</f>
        <v/>
      </c>
      <c r="R1453" s="49"/>
      <c r="S1453" s="14"/>
    </row>
    <row r="1454" spans="1:19" ht="30" customHeight="1" x14ac:dyDescent="0.25">
      <c r="A1454" s="49" t="str">
        <f>IF(C1454="","","BAN-01453")</f>
        <v/>
      </c>
      <c r="B1454" s="98" t="str">
        <f>IF(C1454="","",1453)</f>
        <v/>
      </c>
      <c r="C1454" s="50"/>
      <c r="D1454" s="49" t="str">
        <f t="shared" si="45"/>
        <v/>
      </c>
      <c r="E1454" s="92"/>
      <c r="F1454" s="49"/>
      <c r="G1454" s="14"/>
      <c r="H1454" s="14"/>
      <c r="I1454" s="76"/>
      <c r="J1454" s="73"/>
      <c r="K1454" s="74"/>
      <c r="L1454" s="72"/>
      <c r="M1454" s="72"/>
      <c r="N1454" s="72" t="str">
        <f>IF(AND(C1454="",J1454=0,K1454=0,L1454=0,M1454=0),"",CADASTROS!$B$4+SUM($J$2:J1454)+SUM($M$2:M1454)-SUM($K$2:K1454)-SUM($L$2:L1454))</f>
        <v/>
      </c>
      <c r="O1454" s="72" t="str">
        <f>IF(A1454="","",SUMIF(RATEIOS!$A$2:$A$3142,$A1454,RATEIOS!$F$2:$F$3142))</f>
        <v/>
      </c>
      <c r="P1454" s="15" t="str">
        <f t="shared" si="46"/>
        <v/>
      </c>
      <c r="Q1454" s="49" t="str">
        <f>IF(AND(J1454=0,K1454=0,L1454=0,M1454=0),"",IF(O1454=0,"PENDENTE DE RATEIO",IF(ABS(P1454)&gt;0.005,"DIVERGÊNCIA",IF(COUNTIF(RATEIOS!$A$2:$A$3142,$A1454)-COUNTIFS(RATEIOS!$A$2:$A$3142,$A1454,RATEIOS!$D$2:$D$3142,"&lt;&gt;")&gt;0,"NÃO CLASSIFICADO","RATEIO OK"))))</f>
        <v/>
      </c>
      <c r="R1454" s="49"/>
      <c r="S1454" s="14"/>
    </row>
    <row r="1455" spans="1:19" ht="30" customHeight="1" x14ac:dyDescent="0.25">
      <c r="A1455" s="49" t="str">
        <f>IF(C1455="","","BAN-01454")</f>
        <v/>
      </c>
      <c r="B1455" s="98" t="str">
        <f>IF(C1455="","",1454)</f>
        <v/>
      </c>
      <c r="C1455" s="50"/>
      <c r="D1455" s="49" t="str">
        <f t="shared" si="45"/>
        <v/>
      </c>
      <c r="E1455" s="92"/>
      <c r="F1455" s="49"/>
      <c r="G1455" s="14"/>
      <c r="H1455" s="14"/>
      <c r="I1455" s="76"/>
      <c r="J1455" s="73"/>
      <c r="K1455" s="74"/>
      <c r="L1455" s="72"/>
      <c r="M1455" s="72"/>
      <c r="N1455" s="72" t="str">
        <f>IF(AND(C1455="",J1455=0,K1455=0,L1455=0,M1455=0),"",CADASTROS!$B$4+SUM($J$2:J1455)+SUM($M$2:M1455)-SUM($K$2:K1455)-SUM($L$2:L1455))</f>
        <v/>
      </c>
      <c r="O1455" s="72" t="str">
        <f>IF(A1455="","",SUMIF(RATEIOS!$A$2:$A$3142,$A1455,RATEIOS!$F$2:$F$3142))</f>
        <v/>
      </c>
      <c r="P1455" s="15" t="str">
        <f t="shared" si="46"/>
        <v/>
      </c>
      <c r="Q1455" s="49" t="str">
        <f>IF(AND(J1455=0,K1455=0,L1455=0,M1455=0),"",IF(O1455=0,"PENDENTE DE RATEIO",IF(ABS(P1455)&gt;0.005,"DIVERGÊNCIA",IF(COUNTIF(RATEIOS!$A$2:$A$3142,$A1455)-COUNTIFS(RATEIOS!$A$2:$A$3142,$A1455,RATEIOS!$D$2:$D$3142,"&lt;&gt;")&gt;0,"NÃO CLASSIFICADO","RATEIO OK"))))</f>
        <v/>
      </c>
      <c r="R1455" s="49"/>
      <c r="S1455" s="14"/>
    </row>
    <row r="1456" spans="1:19" ht="30" customHeight="1" x14ac:dyDescent="0.25">
      <c r="A1456" s="49" t="str">
        <f>IF(C1456="","","BAN-01455")</f>
        <v/>
      </c>
      <c r="B1456" s="98" t="str">
        <f>IF(C1456="","",1455)</f>
        <v/>
      </c>
      <c r="C1456" s="50"/>
      <c r="D1456" s="49" t="str">
        <f t="shared" si="45"/>
        <v/>
      </c>
      <c r="E1456" s="92"/>
      <c r="F1456" s="49"/>
      <c r="G1456" s="14"/>
      <c r="H1456" s="14"/>
      <c r="I1456" s="76"/>
      <c r="J1456" s="73"/>
      <c r="K1456" s="74"/>
      <c r="L1456" s="72"/>
      <c r="M1456" s="72"/>
      <c r="N1456" s="72" t="str">
        <f>IF(AND(C1456="",J1456=0,K1456=0,L1456=0,M1456=0),"",CADASTROS!$B$4+SUM($J$2:J1456)+SUM($M$2:M1456)-SUM($K$2:K1456)-SUM($L$2:L1456))</f>
        <v/>
      </c>
      <c r="O1456" s="72" t="str">
        <f>IF(A1456="","",SUMIF(RATEIOS!$A$2:$A$3142,$A1456,RATEIOS!$F$2:$F$3142))</f>
        <v/>
      </c>
      <c r="P1456" s="15" t="str">
        <f t="shared" si="46"/>
        <v/>
      </c>
      <c r="Q1456" s="49" t="str">
        <f>IF(AND(J1456=0,K1456=0,L1456=0,M1456=0),"",IF(O1456=0,"PENDENTE DE RATEIO",IF(ABS(P1456)&gt;0.005,"DIVERGÊNCIA",IF(COUNTIF(RATEIOS!$A$2:$A$3142,$A1456)-COUNTIFS(RATEIOS!$A$2:$A$3142,$A1456,RATEIOS!$D$2:$D$3142,"&lt;&gt;")&gt;0,"NÃO CLASSIFICADO","RATEIO OK"))))</f>
        <v/>
      </c>
      <c r="R1456" s="49"/>
      <c r="S1456" s="14"/>
    </row>
    <row r="1457" spans="1:19" ht="30" customHeight="1" x14ac:dyDescent="0.25">
      <c r="A1457" s="49" t="str">
        <f>IF(C1457="","","BAN-01456")</f>
        <v/>
      </c>
      <c r="B1457" s="98" t="str">
        <f>IF(C1457="","",1456)</f>
        <v/>
      </c>
      <c r="C1457" s="50"/>
      <c r="D1457" s="49" t="str">
        <f t="shared" si="45"/>
        <v/>
      </c>
      <c r="E1457" s="92"/>
      <c r="F1457" s="49"/>
      <c r="G1457" s="14"/>
      <c r="H1457" s="14"/>
      <c r="I1457" s="76"/>
      <c r="J1457" s="73"/>
      <c r="K1457" s="74"/>
      <c r="L1457" s="72"/>
      <c r="M1457" s="72"/>
      <c r="N1457" s="72" t="str">
        <f>IF(AND(C1457="",J1457=0,K1457=0,L1457=0,M1457=0),"",CADASTROS!$B$4+SUM($J$2:J1457)+SUM($M$2:M1457)-SUM($K$2:K1457)-SUM($L$2:L1457))</f>
        <v/>
      </c>
      <c r="O1457" s="72" t="str">
        <f>IF(A1457="","",SUMIF(RATEIOS!$A$2:$A$3142,$A1457,RATEIOS!$F$2:$F$3142))</f>
        <v/>
      </c>
      <c r="P1457" s="15" t="str">
        <f t="shared" si="46"/>
        <v/>
      </c>
      <c r="Q1457" s="49" t="str">
        <f>IF(AND(J1457=0,K1457=0,L1457=0,M1457=0),"",IF(O1457=0,"PENDENTE DE RATEIO",IF(ABS(P1457)&gt;0.005,"DIVERGÊNCIA",IF(COUNTIF(RATEIOS!$A$2:$A$3142,$A1457)-COUNTIFS(RATEIOS!$A$2:$A$3142,$A1457,RATEIOS!$D$2:$D$3142,"&lt;&gt;")&gt;0,"NÃO CLASSIFICADO","RATEIO OK"))))</f>
        <v/>
      </c>
      <c r="R1457" s="49"/>
      <c r="S1457" s="14"/>
    </row>
    <row r="1458" spans="1:19" ht="30" customHeight="1" x14ac:dyDescent="0.25">
      <c r="A1458" s="49" t="str">
        <f>IF(C1458="","","BAN-01457")</f>
        <v/>
      </c>
      <c r="B1458" s="98" t="str">
        <f>IF(C1458="","",1457)</f>
        <v/>
      </c>
      <c r="C1458" s="50"/>
      <c r="D1458" s="49" t="str">
        <f t="shared" si="45"/>
        <v/>
      </c>
      <c r="E1458" s="92"/>
      <c r="F1458" s="49"/>
      <c r="G1458" s="14"/>
      <c r="H1458" s="14"/>
      <c r="I1458" s="76"/>
      <c r="J1458" s="73"/>
      <c r="K1458" s="74"/>
      <c r="L1458" s="72"/>
      <c r="M1458" s="72"/>
      <c r="N1458" s="72" t="str">
        <f>IF(AND(C1458="",J1458=0,K1458=0,L1458=0,M1458=0),"",CADASTROS!$B$4+SUM($J$2:J1458)+SUM($M$2:M1458)-SUM($K$2:K1458)-SUM($L$2:L1458))</f>
        <v/>
      </c>
      <c r="O1458" s="72" t="str">
        <f>IF(A1458="","",SUMIF(RATEIOS!$A$2:$A$3142,$A1458,RATEIOS!$F$2:$F$3142))</f>
        <v/>
      </c>
      <c r="P1458" s="15" t="str">
        <f t="shared" si="46"/>
        <v/>
      </c>
      <c r="Q1458" s="49" t="str">
        <f>IF(AND(J1458=0,K1458=0,L1458=0,M1458=0),"",IF(O1458=0,"PENDENTE DE RATEIO",IF(ABS(P1458)&gt;0.005,"DIVERGÊNCIA",IF(COUNTIF(RATEIOS!$A$2:$A$3142,$A1458)-COUNTIFS(RATEIOS!$A$2:$A$3142,$A1458,RATEIOS!$D$2:$D$3142,"&lt;&gt;")&gt;0,"NÃO CLASSIFICADO","RATEIO OK"))))</f>
        <v/>
      </c>
      <c r="R1458" s="49"/>
      <c r="S1458" s="14"/>
    </row>
    <row r="1459" spans="1:19" ht="30" customHeight="1" x14ac:dyDescent="0.25">
      <c r="A1459" s="49" t="str">
        <f>IF(C1459="","","BAN-01458")</f>
        <v/>
      </c>
      <c r="B1459" s="98" t="str">
        <f>IF(C1459="","",1458)</f>
        <v/>
      </c>
      <c r="C1459" s="50"/>
      <c r="D1459" s="49" t="str">
        <f t="shared" si="45"/>
        <v/>
      </c>
      <c r="E1459" s="92"/>
      <c r="F1459" s="49"/>
      <c r="G1459" s="14"/>
      <c r="H1459" s="14"/>
      <c r="I1459" s="76"/>
      <c r="J1459" s="73"/>
      <c r="K1459" s="74"/>
      <c r="L1459" s="72"/>
      <c r="M1459" s="72"/>
      <c r="N1459" s="72" t="str">
        <f>IF(AND(C1459="",J1459=0,K1459=0,L1459=0,M1459=0),"",CADASTROS!$B$4+SUM($J$2:J1459)+SUM($M$2:M1459)-SUM($K$2:K1459)-SUM($L$2:L1459))</f>
        <v/>
      </c>
      <c r="O1459" s="72" t="str">
        <f>IF(A1459="","",SUMIF(RATEIOS!$A$2:$A$3142,$A1459,RATEIOS!$F$2:$F$3142))</f>
        <v/>
      </c>
      <c r="P1459" s="15" t="str">
        <f t="shared" si="46"/>
        <v/>
      </c>
      <c r="Q1459" s="49" t="str">
        <f>IF(AND(J1459=0,K1459=0,L1459=0,M1459=0),"",IF(O1459=0,"PENDENTE DE RATEIO",IF(ABS(P1459)&gt;0.005,"DIVERGÊNCIA",IF(COUNTIF(RATEIOS!$A$2:$A$3142,$A1459)-COUNTIFS(RATEIOS!$A$2:$A$3142,$A1459,RATEIOS!$D$2:$D$3142,"&lt;&gt;")&gt;0,"NÃO CLASSIFICADO","RATEIO OK"))))</f>
        <v/>
      </c>
      <c r="R1459" s="49"/>
      <c r="S1459" s="14"/>
    </row>
    <row r="1460" spans="1:19" ht="30" customHeight="1" x14ac:dyDescent="0.25">
      <c r="A1460" s="49" t="str">
        <f>IF(C1460="","","BAN-01459")</f>
        <v/>
      </c>
      <c r="B1460" s="98" t="str">
        <f>IF(C1460="","",1459)</f>
        <v/>
      </c>
      <c r="C1460" s="50"/>
      <c r="D1460" s="49" t="str">
        <f t="shared" si="45"/>
        <v/>
      </c>
      <c r="E1460" s="92"/>
      <c r="F1460" s="49"/>
      <c r="G1460" s="14"/>
      <c r="H1460" s="14"/>
      <c r="I1460" s="76"/>
      <c r="J1460" s="73"/>
      <c r="K1460" s="74"/>
      <c r="L1460" s="72"/>
      <c r="M1460" s="72"/>
      <c r="N1460" s="72" t="str">
        <f>IF(AND(C1460="",J1460=0,K1460=0,L1460=0,M1460=0),"",CADASTROS!$B$4+SUM($J$2:J1460)+SUM($M$2:M1460)-SUM($K$2:K1460)-SUM($L$2:L1460))</f>
        <v/>
      </c>
      <c r="O1460" s="72" t="str">
        <f>IF(A1460="","",SUMIF(RATEIOS!$A$2:$A$3142,$A1460,RATEIOS!$F$2:$F$3142))</f>
        <v/>
      </c>
      <c r="P1460" s="15" t="str">
        <f t="shared" si="46"/>
        <v/>
      </c>
      <c r="Q1460" s="49" t="str">
        <f>IF(AND(J1460=0,K1460=0,L1460=0,M1460=0),"",IF(O1460=0,"PENDENTE DE RATEIO",IF(ABS(P1460)&gt;0.005,"DIVERGÊNCIA",IF(COUNTIF(RATEIOS!$A$2:$A$3142,$A1460)-COUNTIFS(RATEIOS!$A$2:$A$3142,$A1460,RATEIOS!$D$2:$D$3142,"&lt;&gt;")&gt;0,"NÃO CLASSIFICADO","RATEIO OK"))))</f>
        <v/>
      </c>
      <c r="R1460" s="49"/>
      <c r="S1460" s="14"/>
    </row>
    <row r="1461" spans="1:19" ht="30" customHeight="1" x14ac:dyDescent="0.25">
      <c r="A1461" s="49" t="str">
        <f>IF(C1461="","","BAN-01460")</f>
        <v/>
      </c>
      <c r="B1461" s="98" t="str">
        <f>IF(C1461="","",1460)</f>
        <v/>
      </c>
      <c r="C1461" s="50"/>
      <c r="D1461" s="49" t="str">
        <f t="shared" si="45"/>
        <v/>
      </c>
      <c r="E1461" s="92"/>
      <c r="F1461" s="49"/>
      <c r="G1461" s="14"/>
      <c r="H1461" s="14"/>
      <c r="I1461" s="76"/>
      <c r="J1461" s="73"/>
      <c r="K1461" s="74"/>
      <c r="L1461" s="72"/>
      <c r="M1461" s="72"/>
      <c r="N1461" s="72" t="str">
        <f>IF(AND(C1461="",J1461=0,K1461=0,L1461=0,M1461=0),"",CADASTROS!$B$4+SUM($J$2:J1461)+SUM($M$2:M1461)-SUM($K$2:K1461)-SUM($L$2:L1461))</f>
        <v/>
      </c>
      <c r="O1461" s="72" t="str">
        <f>IF(A1461="","",SUMIF(RATEIOS!$A$2:$A$3142,$A1461,RATEIOS!$F$2:$F$3142))</f>
        <v/>
      </c>
      <c r="P1461" s="15" t="str">
        <f t="shared" si="46"/>
        <v/>
      </c>
      <c r="Q1461" s="49" t="str">
        <f>IF(AND(J1461=0,K1461=0,L1461=0,M1461=0),"",IF(O1461=0,"PENDENTE DE RATEIO",IF(ABS(P1461)&gt;0.005,"DIVERGÊNCIA",IF(COUNTIF(RATEIOS!$A$2:$A$3142,$A1461)-COUNTIFS(RATEIOS!$A$2:$A$3142,$A1461,RATEIOS!$D$2:$D$3142,"&lt;&gt;")&gt;0,"NÃO CLASSIFICADO","RATEIO OK"))))</f>
        <v/>
      </c>
      <c r="R1461" s="49"/>
      <c r="S1461" s="14"/>
    </row>
    <row r="1462" spans="1:19" ht="30" customHeight="1" x14ac:dyDescent="0.25">
      <c r="A1462" s="49" t="str">
        <f>IF(C1462="","","BAN-01461")</f>
        <v/>
      </c>
      <c r="B1462" s="98" t="str">
        <f>IF(C1462="","",1461)</f>
        <v/>
      </c>
      <c r="C1462" s="50"/>
      <c r="D1462" s="49" t="str">
        <f t="shared" si="45"/>
        <v/>
      </c>
      <c r="E1462" s="92"/>
      <c r="F1462" s="49"/>
      <c r="G1462" s="14"/>
      <c r="H1462" s="14"/>
      <c r="I1462" s="76"/>
      <c r="J1462" s="73"/>
      <c r="K1462" s="74"/>
      <c r="L1462" s="72"/>
      <c r="M1462" s="72"/>
      <c r="N1462" s="72" t="str">
        <f>IF(AND(C1462="",J1462=0,K1462=0,L1462=0,M1462=0),"",CADASTROS!$B$4+SUM($J$2:J1462)+SUM($M$2:M1462)-SUM($K$2:K1462)-SUM($L$2:L1462))</f>
        <v/>
      </c>
      <c r="O1462" s="72" t="str">
        <f>IF(A1462="","",SUMIF(RATEIOS!$A$2:$A$3142,$A1462,RATEIOS!$F$2:$F$3142))</f>
        <v/>
      </c>
      <c r="P1462" s="15" t="str">
        <f t="shared" si="46"/>
        <v/>
      </c>
      <c r="Q1462" s="49" t="str">
        <f>IF(AND(J1462=0,K1462=0,L1462=0,M1462=0),"",IF(O1462=0,"PENDENTE DE RATEIO",IF(ABS(P1462)&gt;0.005,"DIVERGÊNCIA",IF(COUNTIF(RATEIOS!$A$2:$A$3142,$A1462)-COUNTIFS(RATEIOS!$A$2:$A$3142,$A1462,RATEIOS!$D$2:$D$3142,"&lt;&gt;")&gt;0,"NÃO CLASSIFICADO","RATEIO OK"))))</f>
        <v/>
      </c>
      <c r="R1462" s="49"/>
      <c r="S1462" s="14"/>
    </row>
    <row r="1463" spans="1:19" ht="30" customHeight="1" x14ac:dyDescent="0.25">
      <c r="A1463" s="49" t="str">
        <f>IF(C1463="","","BAN-01462")</f>
        <v/>
      </c>
      <c r="B1463" s="98" t="str">
        <f>IF(C1463="","",1462)</f>
        <v/>
      </c>
      <c r="C1463" s="50"/>
      <c r="D1463" s="49" t="str">
        <f t="shared" si="45"/>
        <v/>
      </c>
      <c r="E1463" s="92"/>
      <c r="F1463" s="49"/>
      <c r="G1463" s="14"/>
      <c r="H1463" s="14"/>
      <c r="I1463" s="76"/>
      <c r="J1463" s="73"/>
      <c r="K1463" s="74"/>
      <c r="L1463" s="72"/>
      <c r="M1463" s="72"/>
      <c r="N1463" s="72" t="str">
        <f>IF(AND(C1463="",J1463=0,K1463=0,L1463=0,M1463=0),"",CADASTROS!$B$4+SUM($J$2:J1463)+SUM($M$2:M1463)-SUM($K$2:K1463)-SUM($L$2:L1463))</f>
        <v/>
      </c>
      <c r="O1463" s="72" t="str">
        <f>IF(A1463="","",SUMIF(RATEIOS!$A$2:$A$3142,$A1463,RATEIOS!$F$2:$F$3142))</f>
        <v/>
      </c>
      <c r="P1463" s="15" t="str">
        <f t="shared" si="46"/>
        <v/>
      </c>
      <c r="Q1463" s="49" t="str">
        <f>IF(AND(J1463=0,K1463=0,L1463=0,M1463=0),"",IF(O1463=0,"PENDENTE DE RATEIO",IF(ABS(P1463)&gt;0.005,"DIVERGÊNCIA",IF(COUNTIF(RATEIOS!$A$2:$A$3142,$A1463)-COUNTIFS(RATEIOS!$A$2:$A$3142,$A1463,RATEIOS!$D$2:$D$3142,"&lt;&gt;")&gt;0,"NÃO CLASSIFICADO","RATEIO OK"))))</f>
        <v/>
      </c>
      <c r="R1463" s="49"/>
      <c r="S1463" s="14"/>
    </row>
    <row r="1464" spans="1:19" ht="30" customHeight="1" x14ac:dyDescent="0.25">
      <c r="A1464" s="49" t="str">
        <f>IF(C1464="","","BAN-01463")</f>
        <v/>
      </c>
      <c r="B1464" s="98" t="str">
        <f>IF(C1464="","",1463)</f>
        <v/>
      </c>
      <c r="C1464" s="50"/>
      <c r="D1464" s="49" t="str">
        <f t="shared" si="45"/>
        <v/>
      </c>
      <c r="E1464" s="92"/>
      <c r="F1464" s="49"/>
      <c r="G1464" s="14"/>
      <c r="H1464" s="14"/>
      <c r="I1464" s="76"/>
      <c r="J1464" s="73"/>
      <c r="K1464" s="74"/>
      <c r="L1464" s="72"/>
      <c r="M1464" s="72"/>
      <c r="N1464" s="72" t="str">
        <f>IF(AND(C1464="",J1464=0,K1464=0,L1464=0,M1464=0),"",CADASTROS!$B$4+SUM($J$2:J1464)+SUM($M$2:M1464)-SUM($K$2:K1464)-SUM($L$2:L1464))</f>
        <v/>
      </c>
      <c r="O1464" s="72" t="str">
        <f>IF(A1464="","",SUMIF(RATEIOS!$A$2:$A$3142,$A1464,RATEIOS!$F$2:$F$3142))</f>
        <v/>
      </c>
      <c r="P1464" s="15" t="str">
        <f t="shared" si="46"/>
        <v/>
      </c>
      <c r="Q1464" s="49" t="str">
        <f>IF(AND(J1464=0,K1464=0,L1464=0,M1464=0),"",IF(O1464=0,"PENDENTE DE RATEIO",IF(ABS(P1464)&gt;0.005,"DIVERGÊNCIA",IF(COUNTIF(RATEIOS!$A$2:$A$3142,$A1464)-COUNTIFS(RATEIOS!$A$2:$A$3142,$A1464,RATEIOS!$D$2:$D$3142,"&lt;&gt;")&gt;0,"NÃO CLASSIFICADO","RATEIO OK"))))</f>
        <v/>
      </c>
      <c r="R1464" s="49"/>
      <c r="S1464" s="14"/>
    </row>
    <row r="1465" spans="1:19" ht="30" customHeight="1" x14ac:dyDescent="0.25">
      <c r="A1465" s="49" t="str">
        <f>IF(C1465="","","BAN-01464")</f>
        <v/>
      </c>
      <c r="B1465" s="98" t="str">
        <f>IF(C1465="","",1464)</f>
        <v/>
      </c>
      <c r="C1465" s="50"/>
      <c r="D1465" s="49" t="str">
        <f t="shared" si="45"/>
        <v/>
      </c>
      <c r="E1465" s="92"/>
      <c r="F1465" s="49"/>
      <c r="G1465" s="14"/>
      <c r="H1465" s="14"/>
      <c r="I1465" s="76"/>
      <c r="J1465" s="73"/>
      <c r="K1465" s="74"/>
      <c r="L1465" s="72"/>
      <c r="M1465" s="72"/>
      <c r="N1465" s="72" t="str">
        <f>IF(AND(C1465="",J1465=0,K1465=0,L1465=0,M1465=0),"",CADASTROS!$B$4+SUM($J$2:J1465)+SUM($M$2:M1465)-SUM($K$2:K1465)-SUM($L$2:L1465))</f>
        <v/>
      </c>
      <c r="O1465" s="72" t="str">
        <f>IF(A1465="","",SUMIF(RATEIOS!$A$2:$A$3142,$A1465,RATEIOS!$F$2:$F$3142))</f>
        <v/>
      </c>
      <c r="P1465" s="15" t="str">
        <f t="shared" si="46"/>
        <v/>
      </c>
      <c r="Q1465" s="49" t="str">
        <f>IF(AND(J1465=0,K1465=0,L1465=0,M1465=0),"",IF(O1465=0,"PENDENTE DE RATEIO",IF(ABS(P1465)&gt;0.005,"DIVERGÊNCIA",IF(COUNTIF(RATEIOS!$A$2:$A$3142,$A1465)-COUNTIFS(RATEIOS!$A$2:$A$3142,$A1465,RATEIOS!$D$2:$D$3142,"&lt;&gt;")&gt;0,"NÃO CLASSIFICADO","RATEIO OK"))))</f>
        <v/>
      </c>
      <c r="R1465" s="49"/>
      <c r="S1465" s="14"/>
    </row>
    <row r="1466" spans="1:19" ht="30" customHeight="1" x14ac:dyDescent="0.25">
      <c r="A1466" s="49" t="str">
        <f>IF(C1466="","","BAN-01465")</f>
        <v/>
      </c>
      <c r="B1466" s="98" t="str">
        <f>IF(C1466="","",1465)</f>
        <v/>
      </c>
      <c r="C1466" s="50"/>
      <c r="D1466" s="49" t="str">
        <f t="shared" si="45"/>
        <v/>
      </c>
      <c r="E1466" s="92"/>
      <c r="F1466" s="49"/>
      <c r="G1466" s="14"/>
      <c r="H1466" s="14"/>
      <c r="I1466" s="76"/>
      <c r="J1466" s="73"/>
      <c r="K1466" s="74"/>
      <c r="L1466" s="72"/>
      <c r="M1466" s="72"/>
      <c r="N1466" s="72" t="str">
        <f>IF(AND(C1466="",J1466=0,K1466=0,L1466=0,M1466=0),"",CADASTROS!$B$4+SUM($J$2:J1466)+SUM($M$2:M1466)-SUM($K$2:K1466)-SUM($L$2:L1466))</f>
        <v/>
      </c>
      <c r="O1466" s="72" t="str">
        <f>IF(A1466="","",SUMIF(RATEIOS!$A$2:$A$3142,$A1466,RATEIOS!$F$2:$F$3142))</f>
        <v/>
      </c>
      <c r="P1466" s="15" t="str">
        <f t="shared" si="46"/>
        <v/>
      </c>
      <c r="Q1466" s="49" t="str">
        <f>IF(AND(J1466=0,K1466=0,L1466=0,M1466=0),"",IF(O1466=0,"PENDENTE DE RATEIO",IF(ABS(P1466)&gt;0.005,"DIVERGÊNCIA",IF(COUNTIF(RATEIOS!$A$2:$A$3142,$A1466)-COUNTIFS(RATEIOS!$A$2:$A$3142,$A1466,RATEIOS!$D$2:$D$3142,"&lt;&gt;")&gt;0,"NÃO CLASSIFICADO","RATEIO OK"))))</f>
        <v/>
      </c>
      <c r="R1466" s="49"/>
      <c r="S1466" s="14"/>
    </row>
    <row r="1467" spans="1:19" ht="30" customHeight="1" x14ac:dyDescent="0.25">
      <c r="A1467" s="49" t="str">
        <f>IF(C1467="","","BAN-01466")</f>
        <v/>
      </c>
      <c r="B1467" s="98" t="str">
        <f>IF(C1467="","",1466)</f>
        <v/>
      </c>
      <c r="C1467" s="50"/>
      <c r="D1467" s="49" t="str">
        <f t="shared" si="45"/>
        <v/>
      </c>
      <c r="E1467" s="92"/>
      <c r="F1467" s="49"/>
      <c r="G1467" s="14"/>
      <c r="H1467" s="14"/>
      <c r="I1467" s="76"/>
      <c r="J1467" s="73"/>
      <c r="K1467" s="74"/>
      <c r="L1467" s="72"/>
      <c r="M1467" s="72"/>
      <c r="N1467" s="72" t="str">
        <f>IF(AND(C1467="",J1467=0,K1467=0,L1467=0,M1467=0),"",CADASTROS!$B$4+SUM($J$2:J1467)+SUM($M$2:M1467)-SUM($K$2:K1467)-SUM($L$2:L1467))</f>
        <v/>
      </c>
      <c r="O1467" s="72" t="str">
        <f>IF(A1467="","",SUMIF(RATEIOS!$A$2:$A$3142,$A1467,RATEIOS!$F$2:$F$3142))</f>
        <v/>
      </c>
      <c r="P1467" s="15" t="str">
        <f t="shared" si="46"/>
        <v/>
      </c>
      <c r="Q1467" s="49" t="str">
        <f>IF(AND(J1467=0,K1467=0,L1467=0,M1467=0),"",IF(O1467=0,"PENDENTE DE RATEIO",IF(ABS(P1467)&gt;0.005,"DIVERGÊNCIA",IF(COUNTIF(RATEIOS!$A$2:$A$3142,$A1467)-COUNTIFS(RATEIOS!$A$2:$A$3142,$A1467,RATEIOS!$D$2:$D$3142,"&lt;&gt;")&gt;0,"NÃO CLASSIFICADO","RATEIO OK"))))</f>
        <v/>
      </c>
      <c r="R1467" s="49"/>
      <c r="S1467" s="14"/>
    </row>
    <row r="1468" spans="1:19" ht="30" customHeight="1" x14ac:dyDescent="0.25">
      <c r="A1468" s="49" t="str">
        <f>IF(C1468="","","BAN-01467")</f>
        <v/>
      </c>
      <c r="B1468" s="98" t="str">
        <f>IF(C1468="","",1467)</f>
        <v/>
      </c>
      <c r="C1468" s="50"/>
      <c r="D1468" s="49" t="str">
        <f t="shared" si="45"/>
        <v/>
      </c>
      <c r="E1468" s="92"/>
      <c r="F1468" s="49"/>
      <c r="G1468" s="14"/>
      <c r="H1468" s="14"/>
      <c r="I1468" s="76"/>
      <c r="J1468" s="73"/>
      <c r="K1468" s="74"/>
      <c r="L1468" s="72"/>
      <c r="M1468" s="72"/>
      <c r="N1468" s="72" t="str">
        <f>IF(AND(C1468="",J1468=0,K1468=0,L1468=0,M1468=0),"",CADASTROS!$B$4+SUM($J$2:J1468)+SUM($M$2:M1468)-SUM($K$2:K1468)-SUM($L$2:L1468))</f>
        <v/>
      </c>
      <c r="O1468" s="72" t="str">
        <f>IF(A1468="","",SUMIF(RATEIOS!$A$2:$A$3142,$A1468,RATEIOS!$F$2:$F$3142))</f>
        <v/>
      </c>
      <c r="P1468" s="15" t="str">
        <f t="shared" si="46"/>
        <v/>
      </c>
      <c r="Q1468" s="49" t="str">
        <f>IF(AND(J1468=0,K1468=0,L1468=0,M1468=0),"",IF(O1468=0,"PENDENTE DE RATEIO",IF(ABS(P1468)&gt;0.005,"DIVERGÊNCIA",IF(COUNTIF(RATEIOS!$A$2:$A$3142,$A1468)-COUNTIFS(RATEIOS!$A$2:$A$3142,$A1468,RATEIOS!$D$2:$D$3142,"&lt;&gt;")&gt;0,"NÃO CLASSIFICADO","RATEIO OK"))))</f>
        <v/>
      </c>
      <c r="R1468" s="49"/>
      <c r="S1468" s="14"/>
    </row>
    <row r="1469" spans="1:19" ht="30" customHeight="1" x14ac:dyDescent="0.25">
      <c r="A1469" s="49" t="str">
        <f>IF(C1469="","","BAN-01468")</f>
        <v/>
      </c>
      <c r="B1469" s="98" t="str">
        <f>IF(C1469="","",1468)</f>
        <v/>
      </c>
      <c r="C1469" s="50"/>
      <c r="D1469" s="49" t="str">
        <f t="shared" si="45"/>
        <v/>
      </c>
      <c r="E1469" s="92"/>
      <c r="F1469" s="49"/>
      <c r="G1469" s="14"/>
      <c r="H1469" s="14"/>
      <c r="I1469" s="76"/>
      <c r="J1469" s="73"/>
      <c r="K1469" s="74"/>
      <c r="L1469" s="72"/>
      <c r="M1469" s="72"/>
      <c r="N1469" s="72" t="str">
        <f>IF(AND(C1469="",J1469=0,K1469=0,L1469=0,M1469=0),"",CADASTROS!$B$4+SUM($J$2:J1469)+SUM($M$2:M1469)-SUM($K$2:K1469)-SUM($L$2:L1469))</f>
        <v/>
      </c>
      <c r="O1469" s="72" t="str">
        <f>IF(A1469="","",SUMIF(RATEIOS!$A$2:$A$3142,$A1469,RATEIOS!$F$2:$F$3142))</f>
        <v/>
      </c>
      <c r="P1469" s="15" t="str">
        <f t="shared" si="46"/>
        <v/>
      </c>
      <c r="Q1469" s="49" t="str">
        <f>IF(AND(J1469=0,K1469=0,L1469=0,M1469=0),"",IF(O1469=0,"PENDENTE DE RATEIO",IF(ABS(P1469)&gt;0.005,"DIVERGÊNCIA",IF(COUNTIF(RATEIOS!$A$2:$A$3142,$A1469)-COUNTIFS(RATEIOS!$A$2:$A$3142,$A1469,RATEIOS!$D$2:$D$3142,"&lt;&gt;")&gt;0,"NÃO CLASSIFICADO","RATEIO OK"))))</f>
        <v/>
      </c>
      <c r="R1469" s="49"/>
      <c r="S1469" s="14"/>
    </row>
    <row r="1470" spans="1:19" ht="30" customHeight="1" x14ac:dyDescent="0.25">
      <c r="A1470" s="49" t="str">
        <f>IF(C1470="","","BAN-01469")</f>
        <v/>
      </c>
      <c r="B1470" s="98" t="str">
        <f>IF(C1470="","",1469)</f>
        <v/>
      </c>
      <c r="C1470" s="50"/>
      <c r="D1470" s="49" t="str">
        <f t="shared" si="45"/>
        <v/>
      </c>
      <c r="E1470" s="92"/>
      <c r="F1470" s="49"/>
      <c r="G1470" s="14"/>
      <c r="H1470" s="14"/>
      <c r="I1470" s="76"/>
      <c r="J1470" s="73"/>
      <c r="K1470" s="74"/>
      <c r="L1470" s="72"/>
      <c r="M1470" s="72"/>
      <c r="N1470" s="72" t="str">
        <f>IF(AND(C1470="",J1470=0,K1470=0,L1470=0,M1470=0),"",CADASTROS!$B$4+SUM($J$2:J1470)+SUM($M$2:M1470)-SUM($K$2:K1470)-SUM($L$2:L1470))</f>
        <v/>
      </c>
      <c r="O1470" s="72" t="str">
        <f>IF(A1470="","",SUMIF(RATEIOS!$A$2:$A$3142,$A1470,RATEIOS!$F$2:$F$3142))</f>
        <v/>
      </c>
      <c r="P1470" s="15" t="str">
        <f t="shared" si="46"/>
        <v/>
      </c>
      <c r="Q1470" s="49" t="str">
        <f>IF(AND(J1470=0,K1470=0,L1470=0,M1470=0),"",IF(O1470=0,"PENDENTE DE RATEIO",IF(ABS(P1470)&gt;0.005,"DIVERGÊNCIA",IF(COUNTIF(RATEIOS!$A$2:$A$3142,$A1470)-COUNTIFS(RATEIOS!$A$2:$A$3142,$A1470,RATEIOS!$D$2:$D$3142,"&lt;&gt;")&gt;0,"NÃO CLASSIFICADO","RATEIO OK"))))</f>
        <v/>
      </c>
      <c r="R1470" s="49"/>
      <c r="S1470" s="14"/>
    </row>
    <row r="1471" spans="1:19" ht="30" customHeight="1" x14ac:dyDescent="0.25">
      <c r="A1471" s="49" t="str">
        <f>IF(C1471="","","BAN-01470")</f>
        <v/>
      </c>
      <c r="B1471" s="98" t="str">
        <f>IF(C1471="","",1470)</f>
        <v/>
      </c>
      <c r="C1471" s="50"/>
      <c r="D1471" s="49" t="str">
        <f t="shared" si="45"/>
        <v/>
      </c>
      <c r="E1471" s="92"/>
      <c r="F1471" s="49"/>
      <c r="G1471" s="14"/>
      <c r="H1471" s="14"/>
      <c r="I1471" s="76"/>
      <c r="J1471" s="73"/>
      <c r="K1471" s="74"/>
      <c r="L1471" s="72"/>
      <c r="M1471" s="72"/>
      <c r="N1471" s="72" t="str">
        <f>IF(AND(C1471="",J1471=0,K1471=0,L1471=0,M1471=0),"",CADASTROS!$B$4+SUM($J$2:J1471)+SUM($M$2:M1471)-SUM($K$2:K1471)-SUM($L$2:L1471))</f>
        <v/>
      </c>
      <c r="O1471" s="72" t="str">
        <f>IF(A1471="","",SUMIF(RATEIOS!$A$2:$A$3142,$A1471,RATEIOS!$F$2:$F$3142))</f>
        <v/>
      </c>
      <c r="P1471" s="15" t="str">
        <f t="shared" si="46"/>
        <v/>
      </c>
      <c r="Q1471" s="49" t="str">
        <f>IF(AND(J1471=0,K1471=0,L1471=0,M1471=0),"",IF(O1471=0,"PENDENTE DE RATEIO",IF(ABS(P1471)&gt;0.005,"DIVERGÊNCIA",IF(COUNTIF(RATEIOS!$A$2:$A$3142,$A1471)-COUNTIFS(RATEIOS!$A$2:$A$3142,$A1471,RATEIOS!$D$2:$D$3142,"&lt;&gt;")&gt;0,"NÃO CLASSIFICADO","RATEIO OK"))))</f>
        <v/>
      </c>
      <c r="R1471" s="49"/>
      <c r="S1471" s="14"/>
    </row>
    <row r="1472" spans="1:19" ht="30" customHeight="1" x14ac:dyDescent="0.25">
      <c r="A1472" s="49" t="str">
        <f>IF(C1472="","","BAN-01471")</f>
        <v/>
      </c>
      <c r="B1472" s="98" t="str">
        <f>IF(C1472="","",1471)</f>
        <v/>
      </c>
      <c r="C1472" s="50"/>
      <c r="D1472" s="49" t="str">
        <f t="shared" si="45"/>
        <v/>
      </c>
      <c r="E1472" s="92"/>
      <c r="F1472" s="49"/>
      <c r="G1472" s="14"/>
      <c r="H1472" s="14"/>
      <c r="I1472" s="76"/>
      <c r="J1472" s="73"/>
      <c r="K1472" s="74"/>
      <c r="L1472" s="72"/>
      <c r="M1472" s="72"/>
      <c r="N1472" s="72" t="str">
        <f>IF(AND(C1472="",J1472=0,K1472=0,L1472=0,M1472=0),"",CADASTROS!$B$4+SUM($J$2:J1472)+SUM($M$2:M1472)-SUM($K$2:K1472)-SUM($L$2:L1472))</f>
        <v/>
      </c>
      <c r="O1472" s="72" t="str">
        <f>IF(A1472="","",SUMIF(RATEIOS!$A$2:$A$3142,$A1472,RATEIOS!$F$2:$F$3142))</f>
        <v/>
      </c>
      <c r="P1472" s="15" t="str">
        <f t="shared" si="46"/>
        <v/>
      </c>
      <c r="Q1472" s="49" t="str">
        <f>IF(AND(J1472=0,K1472=0,L1472=0,M1472=0),"",IF(O1472=0,"PENDENTE DE RATEIO",IF(ABS(P1472)&gt;0.005,"DIVERGÊNCIA",IF(COUNTIF(RATEIOS!$A$2:$A$3142,$A1472)-COUNTIFS(RATEIOS!$A$2:$A$3142,$A1472,RATEIOS!$D$2:$D$3142,"&lt;&gt;")&gt;0,"NÃO CLASSIFICADO","RATEIO OK"))))</f>
        <v/>
      </c>
      <c r="R1472" s="49"/>
      <c r="S1472" s="14"/>
    </row>
    <row r="1473" spans="1:19" ht="30" customHeight="1" x14ac:dyDescent="0.25">
      <c r="A1473" s="49" t="str">
        <f>IF(C1473="","","BAN-01472")</f>
        <v/>
      </c>
      <c r="B1473" s="98" t="str">
        <f>IF(C1473="","",1472)</f>
        <v/>
      </c>
      <c r="C1473" s="50"/>
      <c r="D1473" s="49" t="str">
        <f t="shared" si="45"/>
        <v/>
      </c>
      <c r="E1473" s="92"/>
      <c r="F1473" s="49"/>
      <c r="G1473" s="14"/>
      <c r="H1473" s="14"/>
      <c r="I1473" s="76"/>
      <c r="J1473" s="73"/>
      <c r="K1473" s="74"/>
      <c r="L1473" s="72"/>
      <c r="M1473" s="72"/>
      <c r="N1473" s="72" t="str">
        <f>IF(AND(C1473="",J1473=0,K1473=0,L1473=0,M1473=0),"",CADASTROS!$B$4+SUM($J$2:J1473)+SUM($M$2:M1473)-SUM($K$2:K1473)-SUM($L$2:L1473))</f>
        <v/>
      </c>
      <c r="O1473" s="72" t="str">
        <f>IF(A1473="","",SUMIF(RATEIOS!$A$2:$A$3142,$A1473,RATEIOS!$F$2:$F$3142))</f>
        <v/>
      </c>
      <c r="P1473" s="15" t="str">
        <f t="shared" si="46"/>
        <v/>
      </c>
      <c r="Q1473" s="49" t="str">
        <f>IF(AND(J1473=0,K1473=0,L1473=0,M1473=0),"",IF(O1473=0,"PENDENTE DE RATEIO",IF(ABS(P1473)&gt;0.005,"DIVERGÊNCIA",IF(COUNTIF(RATEIOS!$A$2:$A$3142,$A1473)-COUNTIFS(RATEIOS!$A$2:$A$3142,$A1473,RATEIOS!$D$2:$D$3142,"&lt;&gt;")&gt;0,"NÃO CLASSIFICADO","RATEIO OK"))))</f>
        <v/>
      </c>
      <c r="R1473" s="49"/>
      <c r="S1473" s="14"/>
    </row>
    <row r="1474" spans="1:19" ht="30" customHeight="1" x14ac:dyDescent="0.25">
      <c r="A1474" s="49" t="str">
        <f>IF(C1474="","","BAN-01473")</f>
        <v/>
      </c>
      <c r="B1474" s="98" t="str">
        <f>IF(C1474="","",1473)</f>
        <v/>
      </c>
      <c r="C1474" s="50"/>
      <c r="D1474" s="49" t="str">
        <f t="shared" ref="D1474:D1537" si="47">IF(C1474="","",MONTH(C1474))</f>
        <v/>
      </c>
      <c r="E1474" s="92"/>
      <c r="F1474" s="49"/>
      <c r="G1474" s="14"/>
      <c r="H1474" s="14"/>
      <c r="I1474" s="76"/>
      <c r="J1474" s="73"/>
      <c r="K1474" s="74"/>
      <c r="L1474" s="72"/>
      <c r="M1474" s="72"/>
      <c r="N1474" s="72" t="str">
        <f>IF(AND(C1474="",J1474=0,K1474=0,L1474=0,M1474=0),"",CADASTROS!$B$4+SUM($J$2:J1474)+SUM($M$2:M1474)-SUM($K$2:K1474)-SUM($L$2:L1474))</f>
        <v/>
      </c>
      <c r="O1474" s="72" t="str">
        <f>IF(A1474="","",SUMIF(RATEIOS!$A$2:$A$3142,$A1474,RATEIOS!$F$2:$F$3142))</f>
        <v/>
      </c>
      <c r="P1474" s="15" t="str">
        <f t="shared" ref="P1474:P1537" si="48">IF(A1474="","",(J1474+K1474+L1474+M1474)-O1474)</f>
        <v/>
      </c>
      <c r="Q1474" s="49" t="str">
        <f>IF(AND(J1474=0,K1474=0,L1474=0,M1474=0),"",IF(O1474=0,"PENDENTE DE RATEIO",IF(ABS(P1474)&gt;0.005,"DIVERGÊNCIA",IF(COUNTIF(RATEIOS!$A$2:$A$3142,$A1474)-COUNTIFS(RATEIOS!$A$2:$A$3142,$A1474,RATEIOS!$D$2:$D$3142,"&lt;&gt;")&gt;0,"NÃO CLASSIFICADO","RATEIO OK"))))</f>
        <v/>
      </c>
      <c r="R1474" s="49"/>
      <c r="S1474" s="14"/>
    </row>
    <row r="1475" spans="1:19" ht="30" customHeight="1" x14ac:dyDescent="0.25">
      <c r="A1475" s="49" t="str">
        <f>IF(C1475="","","BAN-01474")</f>
        <v/>
      </c>
      <c r="B1475" s="98" t="str">
        <f>IF(C1475="","",1474)</f>
        <v/>
      </c>
      <c r="C1475" s="50"/>
      <c r="D1475" s="49" t="str">
        <f t="shared" si="47"/>
        <v/>
      </c>
      <c r="E1475" s="92"/>
      <c r="F1475" s="49"/>
      <c r="G1475" s="14"/>
      <c r="H1475" s="14"/>
      <c r="I1475" s="76"/>
      <c r="J1475" s="73"/>
      <c r="K1475" s="74"/>
      <c r="L1475" s="72"/>
      <c r="M1475" s="72"/>
      <c r="N1475" s="72" t="str">
        <f>IF(AND(C1475="",J1475=0,K1475=0,L1475=0,M1475=0),"",CADASTROS!$B$4+SUM($J$2:J1475)+SUM($M$2:M1475)-SUM($K$2:K1475)-SUM($L$2:L1475))</f>
        <v/>
      </c>
      <c r="O1475" s="72" t="str">
        <f>IF(A1475="","",SUMIF(RATEIOS!$A$2:$A$3142,$A1475,RATEIOS!$F$2:$F$3142))</f>
        <v/>
      </c>
      <c r="P1475" s="15" t="str">
        <f t="shared" si="48"/>
        <v/>
      </c>
      <c r="Q1475" s="49" t="str">
        <f>IF(AND(J1475=0,K1475=0,L1475=0,M1475=0),"",IF(O1475=0,"PENDENTE DE RATEIO",IF(ABS(P1475)&gt;0.005,"DIVERGÊNCIA",IF(COUNTIF(RATEIOS!$A$2:$A$3142,$A1475)-COUNTIFS(RATEIOS!$A$2:$A$3142,$A1475,RATEIOS!$D$2:$D$3142,"&lt;&gt;")&gt;0,"NÃO CLASSIFICADO","RATEIO OK"))))</f>
        <v/>
      </c>
      <c r="R1475" s="49"/>
      <c r="S1475" s="14"/>
    </row>
    <row r="1476" spans="1:19" ht="30" customHeight="1" x14ac:dyDescent="0.25">
      <c r="A1476" s="49" t="str">
        <f>IF(C1476="","","BAN-01475")</f>
        <v/>
      </c>
      <c r="B1476" s="98" t="str">
        <f>IF(C1476="","",1475)</f>
        <v/>
      </c>
      <c r="C1476" s="50"/>
      <c r="D1476" s="49" t="str">
        <f t="shared" si="47"/>
        <v/>
      </c>
      <c r="E1476" s="92"/>
      <c r="F1476" s="49"/>
      <c r="G1476" s="14"/>
      <c r="H1476" s="14"/>
      <c r="I1476" s="76"/>
      <c r="J1476" s="73"/>
      <c r="K1476" s="74"/>
      <c r="L1476" s="72"/>
      <c r="M1476" s="72"/>
      <c r="N1476" s="72" t="str">
        <f>IF(AND(C1476="",J1476=0,K1476=0,L1476=0,M1476=0),"",CADASTROS!$B$4+SUM($J$2:J1476)+SUM($M$2:M1476)-SUM($K$2:K1476)-SUM($L$2:L1476))</f>
        <v/>
      </c>
      <c r="O1476" s="72" t="str">
        <f>IF(A1476="","",SUMIF(RATEIOS!$A$2:$A$3142,$A1476,RATEIOS!$F$2:$F$3142))</f>
        <v/>
      </c>
      <c r="P1476" s="15" t="str">
        <f t="shared" si="48"/>
        <v/>
      </c>
      <c r="Q1476" s="49" t="str">
        <f>IF(AND(J1476=0,K1476=0,L1476=0,M1476=0),"",IF(O1476=0,"PENDENTE DE RATEIO",IF(ABS(P1476)&gt;0.005,"DIVERGÊNCIA",IF(COUNTIF(RATEIOS!$A$2:$A$3142,$A1476)-COUNTIFS(RATEIOS!$A$2:$A$3142,$A1476,RATEIOS!$D$2:$D$3142,"&lt;&gt;")&gt;0,"NÃO CLASSIFICADO","RATEIO OK"))))</f>
        <v/>
      </c>
      <c r="R1476" s="49"/>
      <c r="S1476" s="14"/>
    </row>
    <row r="1477" spans="1:19" ht="30" customHeight="1" x14ac:dyDescent="0.25">
      <c r="A1477" s="49" t="str">
        <f>IF(C1477="","","BAN-01476")</f>
        <v/>
      </c>
      <c r="B1477" s="98" t="str">
        <f>IF(C1477="","",1476)</f>
        <v/>
      </c>
      <c r="C1477" s="50"/>
      <c r="D1477" s="49" t="str">
        <f t="shared" si="47"/>
        <v/>
      </c>
      <c r="E1477" s="92"/>
      <c r="F1477" s="49"/>
      <c r="G1477" s="14"/>
      <c r="H1477" s="14"/>
      <c r="I1477" s="76"/>
      <c r="J1477" s="73"/>
      <c r="K1477" s="74"/>
      <c r="L1477" s="72"/>
      <c r="M1477" s="72"/>
      <c r="N1477" s="72" t="str">
        <f>IF(AND(C1477="",J1477=0,K1477=0,L1477=0,M1477=0),"",CADASTROS!$B$4+SUM($J$2:J1477)+SUM($M$2:M1477)-SUM($K$2:K1477)-SUM($L$2:L1477))</f>
        <v/>
      </c>
      <c r="O1477" s="72" t="str">
        <f>IF(A1477="","",SUMIF(RATEIOS!$A$2:$A$3142,$A1477,RATEIOS!$F$2:$F$3142))</f>
        <v/>
      </c>
      <c r="P1477" s="15" t="str">
        <f t="shared" si="48"/>
        <v/>
      </c>
      <c r="Q1477" s="49" t="str">
        <f>IF(AND(J1477=0,K1477=0,L1477=0,M1477=0),"",IF(O1477=0,"PENDENTE DE RATEIO",IF(ABS(P1477)&gt;0.005,"DIVERGÊNCIA",IF(COUNTIF(RATEIOS!$A$2:$A$3142,$A1477)-COUNTIFS(RATEIOS!$A$2:$A$3142,$A1477,RATEIOS!$D$2:$D$3142,"&lt;&gt;")&gt;0,"NÃO CLASSIFICADO","RATEIO OK"))))</f>
        <v/>
      </c>
      <c r="R1477" s="49"/>
      <c r="S1477" s="14"/>
    </row>
    <row r="1478" spans="1:19" ht="30" customHeight="1" x14ac:dyDescent="0.25">
      <c r="A1478" s="49" t="str">
        <f>IF(C1478="","","BAN-01477")</f>
        <v/>
      </c>
      <c r="B1478" s="98" t="str">
        <f>IF(C1478="","",1477)</f>
        <v/>
      </c>
      <c r="C1478" s="50"/>
      <c r="D1478" s="49" t="str">
        <f t="shared" si="47"/>
        <v/>
      </c>
      <c r="E1478" s="92"/>
      <c r="F1478" s="49"/>
      <c r="G1478" s="14"/>
      <c r="H1478" s="14"/>
      <c r="I1478" s="76"/>
      <c r="J1478" s="73"/>
      <c r="K1478" s="74"/>
      <c r="L1478" s="72"/>
      <c r="M1478" s="72"/>
      <c r="N1478" s="72" t="str">
        <f>IF(AND(C1478="",J1478=0,K1478=0,L1478=0,M1478=0),"",CADASTROS!$B$4+SUM($J$2:J1478)+SUM($M$2:M1478)-SUM($K$2:K1478)-SUM($L$2:L1478))</f>
        <v/>
      </c>
      <c r="O1478" s="72" t="str">
        <f>IF(A1478="","",SUMIF(RATEIOS!$A$2:$A$3142,$A1478,RATEIOS!$F$2:$F$3142))</f>
        <v/>
      </c>
      <c r="P1478" s="15" t="str">
        <f t="shared" si="48"/>
        <v/>
      </c>
      <c r="Q1478" s="49" t="str">
        <f>IF(AND(J1478=0,K1478=0,L1478=0,M1478=0),"",IF(O1478=0,"PENDENTE DE RATEIO",IF(ABS(P1478)&gt;0.005,"DIVERGÊNCIA",IF(COUNTIF(RATEIOS!$A$2:$A$3142,$A1478)-COUNTIFS(RATEIOS!$A$2:$A$3142,$A1478,RATEIOS!$D$2:$D$3142,"&lt;&gt;")&gt;0,"NÃO CLASSIFICADO","RATEIO OK"))))</f>
        <v/>
      </c>
      <c r="R1478" s="49"/>
      <c r="S1478" s="14"/>
    </row>
    <row r="1479" spans="1:19" ht="30" customHeight="1" x14ac:dyDescent="0.25">
      <c r="A1479" s="49" t="str">
        <f>IF(C1479="","","BAN-01478")</f>
        <v/>
      </c>
      <c r="B1479" s="98" t="str">
        <f>IF(C1479="","",1478)</f>
        <v/>
      </c>
      <c r="C1479" s="50"/>
      <c r="D1479" s="49" t="str">
        <f t="shared" si="47"/>
        <v/>
      </c>
      <c r="E1479" s="92"/>
      <c r="F1479" s="49"/>
      <c r="G1479" s="14"/>
      <c r="H1479" s="14"/>
      <c r="I1479" s="76"/>
      <c r="J1479" s="73"/>
      <c r="K1479" s="74"/>
      <c r="L1479" s="72"/>
      <c r="M1479" s="72"/>
      <c r="N1479" s="72" t="str">
        <f>IF(AND(C1479="",J1479=0,K1479=0,L1479=0,M1479=0),"",CADASTROS!$B$4+SUM($J$2:J1479)+SUM($M$2:M1479)-SUM($K$2:K1479)-SUM($L$2:L1479))</f>
        <v/>
      </c>
      <c r="O1479" s="72" t="str">
        <f>IF(A1479="","",SUMIF(RATEIOS!$A$2:$A$3142,$A1479,RATEIOS!$F$2:$F$3142))</f>
        <v/>
      </c>
      <c r="P1479" s="15" t="str">
        <f t="shared" si="48"/>
        <v/>
      </c>
      <c r="Q1479" s="49" t="str">
        <f>IF(AND(J1479=0,K1479=0,L1479=0,M1479=0),"",IF(O1479=0,"PENDENTE DE RATEIO",IF(ABS(P1479)&gt;0.005,"DIVERGÊNCIA",IF(COUNTIF(RATEIOS!$A$2:$A$3142,$A1479)-COUNTIFS(RATEIOS!$A$2:$A$3142,$A1479,RATEIOS!$D$2:$D$3142,"&lt;&gt;")&gt;0,"NÃO CLASSIFICADO","RATEIO OK"))))</f>
        <v/>
      </c>
      <c r="R1479" s="49"/>
      <c r="S1479" s="14"/>
    </row>
    <row r="1480" spans="1:19" ht="30" customHeight="1" x14ac:dyDescent="0.25">
      <c r="A1480" s="49" t="str">
        <f>IF(C1480="","","BAN-01479")</f>
        <v/>
      </c>
      <c r="B1480" s="98" t="str">
        <f>IF(C1480="","",1479)</f>
        <v/>
      </c>
      <c r="C1480" s="50"/>
      <c r="D1480" s="49" t="str">
        <f t="shared" si="47"/>
        <v/>
      </c>
      <c r="E1480" s="92"/>
      <c r="F1480" s="49"/>
      <c r="G1480" s="14"/>
      <c r="H1480" s="14"/>
      <c r="I1480" s="76"/>
      <c r="J1480" s="73"/>
      <c r="K1480" s="74"/>
      <c r="L1480" s="72"/>
      <c r="M1480" s="72"/>
      <c r="N1480" s="72" t="str">
        <f>IF(AND(C1480="",J1480=0,K1480=0,L1480=0,M1480=0),"",CADASTROS!$B$4+SUM($J$2:J1480)+SUM($M$2:M1480)-SUM($K$2:K1480)-SUM($L$2:L1480))</f>
        <v/>
      </c>
      <c r="O1480" s="72" t="str">
        <f>IF(A1480="","",SUMIF(RATEIOS!$A$2:$A$3142,$A1480,RATEIOS!$F$2:$F$3142))</f>
        <v/>
      </c>
      <c r="P1480" s="15" t="str">
        <f t="shared" si="48"/>
        <v/>
      </c>
      <c r="Q1480" s="49" t="str">
        <f>IF(AND(J1480=0,K1480=0,L1480=0,M1480=0),"",IF(O1480=0,"PENDENTE DE RATEIO",IF(ABS(P1480)&gt;0.005,"DIVERGÊNCIA",IF(COUNTIF(RATEIOS!$A$2:$A$3142,$A1480)-COUNTIFS(RATEIOS!$A$2:$A$3142,$A1480,RATEIOS!$D$2:$D$3142,"&lt;&gt;")&gt;0,"NÃO CLASSIFICADO","RATEIO OK"))))</f>
        <v/>
      </c>
      <c r="R1480" s="49"/>
      <c r="S1480" s="14"/>
    </row>
    <row r="1481" spans="1:19" ht="30" customHeight="1" x14ac:dyDescent="0.25">
      <c r="A1481" s="49" t="str">
        <f>IF(C1481="","","BAN-01480")</f>
        <v/>
      </c>
      <c r="B1481" s="98" t="str">
        <f>IF(C1481="","",1480)</f>
        <v/>
      </c>
      <c r="C1481" s="50"/>
      <c r="D1481" s="49" t="str">
        <f t="shared" si="47"/>
        <v/>
      </c>
      <c r="E1481" s="92"/>
      <c r="F1481" s="49"/>
      <c r="G1481" s="14"/>
      <c r="H1481" s="14"/>
      <c r="I1481" s="76"/>
      <c r="J1481" s="73"/>
      <c r="K1481" s="74"/>
      <c r="L1481" s="72"/>
      <c r="M1481" s="72"/>
      <c r="N1481" s="72" t="str">
        <f>IF(AND(C1481="",J1481=0,K1481=0,L1481=0,M1481=0),"",CADASTROS!$B$4+SUM($J$2:J1481)+SUM($M$2:M1481)-SUM($K$2:K1481)-SUM($L$2:L1481))</f>
        <v/>
      </c>
      <c r="O1481" s="72" t="str">
        <f>IF(A1481="","",SUMIF(RATEIOS!$A$2:$A$3142,$A1481,RATEIOS!$F$2:$F$3142))</f>
        <v/>
      </c>
      <c r="P1481" s="15" t="str">
        <f t="shared" si="48"/>
        <v/>
      </c>
      <c r="Q1481" s="49" t="str">
        <f>IF(AND(J1481=0,K1481=0,L1481=0,M1481=0),"",IF(O1481=0,"PENDENTE DE RATEIO",IF(ABS(P1481)&gt;0.005,"DIVERGÊNCIA",IF(COUNTIF(RATEIOS!$A$2:$A$3142,$A1481)-COUNTIFS(RATEIOS!$A$2:$A$3142,$A1481,RATEIOS!$D$2:$D$3142,"&lt;&gt;")&gt;0,"NÃO CLASSIFICADO","RATEIO OK"))))</f>
        <v/>
      </c>
      <c r="R1481" s="49"/>
      <c r="S1481" s="14"/>
    </row>
    <row r="1482" spans="1:19" ht="30" customHeight="1" x14ac:dyDescent="0.25">
      <c r="A1482" s="49" t="str">
        <f>IF(C1482="","","BAN-01481")</f>
        <v/>
      </c>
      <c r="B1482" s="98" t="str">
        <f>IF(C1482="","",1481)</f>
        <v/>
      </c>
      <c r="C1482" s="50"/>
      <c r="D1482" s="49" t="str">
        <f t="shared" si="47"/>
        <v/>
      </c>
      <c r="E1482" s="92"/>
      <c r="F1482" s="49"/>
      <c r="G1482" s="14"/>
      <c r="H1482" s="14"/>
      <c r="I1482" s="76"/>
      <c r="J1482" s="73"/>
      <c r="K1482" s="74"/>
      <c r="L1482" s="72"/>
      <c r="M1482" s="72"/>
      <c r="N1482" s="72" t="str">
        <f>IF(AND(C1482="",J1482=0,K1482=0,L1482=0,M1482=0),"",CADASTROS!$B$4+SUM($J$2:J1482)+SUM($M$2:M1482)-SUM($K$2:K1482)-SUM($L$2:L1482))</f>
        <v/>
      </c>
      <c r="O1482" s="72" t="str">
        <f>IF(A1482="","",SUMIF(RATEIOS!$A$2:$A$3142,$A1482,RATEIOS!$F$2:$F$3142))</f>
        <v/>
      </c>
      <c r="P1482" s="15" t="str">
        <f t="shared" si="48"/>
        <v/>
      </c>
      <c r="Q1482" s="49" t="str">
        <f>IF(AND(J1482=0,K1482=0,L1482=0,M1482=0),"",IF(O1482=0,"PENDENTE DE RATEIO",IF(ABS(P1482)&gt;0.005,"DIVERGÊNCIA",IF(COUNTIF(RATEIOS!$A$2:$A$3142,$A1482)-COUNTIFS(RATEIOS!$A$2:$A$3142,$A1482,RATEIOS!$D$2:$D$3142,"&lt;&gt;")&gt;0,"NÃO CLASSIFICADO","RATEIO OK"))))</f>
        <v/>
      </c>
      <c r="R1482" s="49"/>
      <c r="S1482" s="14"/>
    </row>
    <row r="1483" spans="1:19" ht="30" customHeight="1" x14ac:dyDescent="0.25">
      <c r="A1483" s="49" t="str">
        <f>IF(C1483="","","BAN-01482")</f>
        <v/>
      </c>
      <c r="B1483" s="98" t="str">
        <f>IF(C1483="","",1482)</f>
        <v/>
      </c>
      <c r="C1483" s="50"/>
      <c r="D1483" s="49" t="str">
        <f t="shared" si="47"/>
        <v/>
      </c>
      <c r="E1483" s="92"/>
      <c r="F1483" s="49"/>
      <c r="G1483" s="14"/>
      <c r="H1483" s="14"/>
      <c r="I1483" s="76"/>
      <c r="J1483" s="73"/>
      <c r="K1483" s="74"/>
      <c r="L1483" s="72"/>
      <c r="M1483" s="72"/>
      <c r="N1483" s="72" t="str">
        <f>IF(AND(C1483="",J1483=0,K1483=0,L1483=0,M1483=0),"",CADASTROS!$B$4+SUM($J$2:J1483)+SUM($M$2:M1483)-SUM($K$2:K1483)-SUM($L$2:L1483))</f>
        <v/>
      </c>
      <c r="O1483" s="72" t="str">
        <f>IF(A1483="","",SUMIF(RATEIOS!$A$2:$A$3142,$A1483,RATEIOS!$F$2:$F$3142))</f>
        <v/>
      </c>
      <c r="P1483" s="15" t="str">
        <f t="shared" si="48"/>
        <v/>
      </c>
      <c r="Q1483" s="49" t="str">
        <f>IF(AND(J1483=0,K1483=0,L1483=0,M1483=0),"",IF(O1483=0,"PENDENTE DE RATEIO",IF(ABS(P1483)&gt;0.005,"DIVERGÊNCIA",IF(COUNTIF(RATEIOS!$A$2:$A$3142,$A1483)-COUNTIFS(RATEIOS!$A$2:$A$3142,$A1483,RATEIOS!$D$2:$D$3142,"&lt;&gt;")&gt;0,"NÃO CLASSIFICADO","RATEIO OK"))))</f>
        <v/>
      </c>
      <c r="R1483" s="49"/>
      <c r="S1483" s="14"/>
    </row>
    <row r="1484" spans="1:19" ht="30" customHeight="1" x14ac:dyDescent="0.25">
      <c r="A1484" s="49" t="str">
        <f>IF(C1484="","","BAN-01483")</f>
        <v/>
      </c>
      <c r="B1484" s="98" t="str">
        <f>IF(C1484="","",1483)</f>
        <v/>
      </c>
      <c r="C1484" s="50"/>
      <c r="D1484" s="49" t="str">
        <f t="shared" si="47"/>
        <v/>
      </c>
      <c r="E1484" s="92"/>
      <c r="F1484" s="49"/>
      <c r="G1484" s="14"/>
      <c r="H1484" s="14"/>
      <c r="I1484" s="76"/>
      <c r="J1484" s="73"/>
      <c r="K1484" s="74"/>
      <c r="L1484" s="72"/>
      <c r="M1484" s="72"/>
      <c r="N1484" s="72" t="str">
        <f>IF(AND(C1484="",J1484=0,K1484=0,L1484=0,M1484=0),"",CADASTROS!$B$4+SUM($J$2:J1484)+SUM($M$2:M1484)-SUM($K$2:K1484)-SUM($L$2:L1484))</f>
        <v/>
      </c>
      <c r="O1484" s="72" t="str">
        <f>IF(A1484="","",SUMIF(RATEIOS!$A$2:$A$3142,$A1484,RATEIOS!$F$2:$F$3142))</f>
        <v/>
      </c>
      <c r="P1484" s="15" t="str">
        <f t="shared" si="48"/>
        <v/>
      </c>
      <c r="Q1484" s="49" t="str">
        <f>IF(AND(J1484=0,K1484=0,L1484=0,M1484=0),"",IF(O1484=0,"PENDENTE DE RATEIO",IF(ABS(P1484)&gt;0.005,"DIVERGÊNCIA",IF(COUNTIF(RATEIOS!$A$2:$A$3142,$A1484)-COUNTIFS(RATEIOS!$A$2:$A$3142,$A1484,RATEIOS!$D$2:$D$3142,"&lt;&gt;")&gt;0,"NÃO CLASSIFICADO","RATEIO OK"))))</f>
        <v/>
      </c>
      <c r="R1484" s="49"/>
      <c r="S1484" s="14"/>
    </row>
    <row r="1485" spans="1:19" ht="30" customHeight="1" x14ac:dyDescent="0.25">
      <c r="A1485" s="49" t="str">
        <f>IF(C1485="","","BAN-01484")</f>
        <v/>
      </c>
      <c r="B1485" s="98" t="str">
        <f>IF(C1485="","",1484)</f>
        <v/>
      </c>
      <c r="C1485" s="50"/>
      <c r="D1485" s="49" t="str">
        <f t="shared" si="47"/>
        <v/>
      </c>
      <c r="E1485" s="92"/>
      <c r="F1485" s="49"/>
      <c r="G1485" s="14"/>
      <c r="H1485" s="14"/>
      <c r="I1485" s="76"/>
      <c r="J1485" s="73"/>
      <c r="K1485" s="74"/>
      <c r="L1485" s="72"/>
      <c r="M1485" s="72"/>
      <c r="N1485" s="72" t="str">
        <f>IF(AND(C1485="",J1485=0,K1485=0,L1485=0,M1485=0),"",CADASTROS!$B$4+SUM($J$2:J1485)+SUM($M$2:M1485)-SUM($K$2:K1485)-SUM($L$2:L1485))</f>
        <v/>
      </c>
      <c r="O1485" s="72" t="str">
        <f>IF(A1485="","",SUMIF(RATEIOS!$A$2:$A$3142,$A1485,RATEIOS!$F$2:$F$3142))</f>
        <v/>
      </c>
      <c r="P1485" s="15" t="str">
        <f t="shared" si="48"/>
        <v/>
      </c>
      <c r="Q1485" s="49" t="str">
        <f>IF(AND(J1485=0,K1485=0,L1485=0,M1485=0),"",IF(O1485=0,"PENDENTE DE RATEIO",IF(ABS(P1485)&gt;0.005,"DIVERGÊNCIA",IF(COUNTIF(RATEIOS!$A$2:$A$3142,$A1485)-COUNTIFS(RATEIOS!$A$2:$A$3142,$A1485,RATEIOS!$D$2:$D$3142,"&lt;&gt;")&gt;0,"NÃO CLASSIFICADO","RATEIO OK"))))</f>
        <v/>
      </c>
      <c r="R1485" s="49"/>
      <c r="S1485" s="14"/>
    </row>
    <row r="1486" spans="1:19" ht="30" customHeight="1" x14ac:dyDescent="0.25">
      <c r="A1486" s="49" t="str">
        <f>IF(C1486="","","BAN-01485")</f>
        <v/>
      </c>
      <c r="B1486" s="98" t="str">
        <f>IF(C1486="","",1485)</f>
        <v/>
      </c>
      <c r="C1486" s="50"/>
      <c r="D1486" s="49" t="str">
        <f t="shared" si="47"/>
        <v/>
      </c>
      <c r="E1486" s="92"/>
      <c r="F1486" s="49"/>
      <c r="G1486" s="14"/>
      <c r="H1486" s="14"/>
      <c r="I1486" s="76"/>
      <c r="J1486" s="73"/>
      <c r="K1486" s="74"/>
      <c r="L1486" s="72"/>
      <c r="M1486" s="72"/>
      <c r="N1486" s="72" t="str">
        <f>IF(AND(C1486="",J1486=0,K1486=0,L1486=0,M1486=0),"",CADASTROS!$B$4+SUM($J$2:J1486)+SUM($M$2:M1486)-SUM($K$2:K1486)-SUM($L$2:L1486))</f>
        <v/>
      </c>
      <c r="O1486" s="72" t="str">
        <f>IF(A1486="","",SUMIF(RATEIOS!$A$2:$A$3142,$A1486,RATEIOS!$F$2:$F$3142))</f>
        <v/>
      </c>
      <c r="P1486" s="15" t="str">
        <f t="shared" si="48"/>
        <v/>
      </c>
      <c r="Q1486" s="49" t="str">
        <f>IF(AND(J1486=0,K1486=0,L1486=0,M1486=0),"",IF(O1486=0,"PENDENTE DE RATEIO",IF(ABS(P1486)&gt;0.005,"DIVERGÊNCIA",IF(COUNTIF(RATEIOS!$A$2:$A$3142,$A1486)-COUNTIFS(RATEIOS!$A$2:$A$3142,$A1486,RATEIOS!$D$2:$D$3142,"&lt;&gt;")&gt;0,"NÃO CLASSIFICADO","RATEIO OK"))))</f>
        <v/>
      </c>
      <c r="R1486" s="49"/>
      <c r="S1486" s="14"/>
    </row>
    <row r="1487" spans="1:19" ht="30" customHeight="1" x14ac:dyDescent="0.25">
      <c r="A1487" s="49" t="str">
        <f>IF(C1487="","","BAN-01486")</f>
        <v/>
      </c>
      <c r="B1487" s="98" t="str">
        <f>IF(C1487="","",1486)</f>
        <v/>
      </c>
      <c r="C1487" s="50"/>
      <c r="D1487" s="49" t="str">
        <f t="shared" si="47"/>
        <v/>
      </c>
      <c r="E1487" s="92"/>
      <c r="F1487" s="49"/>
      <c r="G1487" s="14"/>
      <c r="H1487" s="14"/>
      <c r="I1487" s="76"/>
      <c r="J1487" s="73"/>
      <c r="K1487" s="74"/>
      <c r="L1487" s="72"/>
      <c r="M1487" s="72"/>
      <c r="N1487" s="72" t="str">
        <f>IF(AND(C1487="",J1487=0,K1487=0,L1487=0,M1487=0),"",CADASTROS!$B$4+SUM($J$2:J1487)+SUM($M$2:M1487)-SUM($K$2:K1487)-SUM($L$2:L1487))</f>
        <v/>
      </c>
      <c r="O1487" s="72" t="str">
        <f>IF(A1487="","",SUMIF(RATEIOS!$A$2:$A$3142,$A1487,RATEIOS!$F$2:$F$3142))</f>
        <v/>
      </c>
      <c r="P1487" s="15" t="str">
        <f t="shared" si="48"/>
        <v/>
      </c>
      <c r="Q1487" s="49" t="str">
        <f>IF(AND(J1487=0,K1487=0,L1487=0,M1487=0),"",IF(O1487=0,"PENDENTE DE RATEIO",IF(ABS(P1487)&gt;0.005,"DIVERGÊNCIA",IF(COUNTIF(RATEIOS!$A$2:$A$3142,$A1487)-COUNTIFS(RATEIOS!$A$2:$A$3142,$A1487,RATEIOS!$D$2:$D$3142,"&lt;&gt;")&gt;0,"NÃO CLASSIFICADO","RATEIO OK"))))</f>
        <v/>
      </c>
      <c r="R1487" s="49"/>
      <c r="S1487" s="14"/>
    </row>
    <row r="1488" spans="1:19" ht="30" customHeight="1" x14ac:dyDescent="0.25">
      <c r="A1488" s="49" t="str">
        <f>IF(C1488="","","BAN-01487")</f>
        <v/>
      </c>
      <c r="B1488" s="98" t="str">
        <f>IF(C1488="","",1487)</f>
        <v/>
      </c>
      <c r="C1488" s="50"/>
      <c r="D1488" s="49" t="str">
        <f t="shared" si="47"/>
        <v/>
      </c>
      <c r="E1488" s="92"/>
      <c r="F1488" s="49"/>
      <c r="G1488" s="14"/>
      <c r="H1488" s="14"/>
      <c r="I1488" s="76"/>
      <c r="J1488" s="73"/>
      <c r="K1488" s="74"/>
      <c r="L1488" s="72"/>
      <c r="M1488" s="72"/>
      <c r="N1488" s="72" t="str">
        <f>IF(AND(C1488="",J1488=0,K1488=0,L1488=0,M1488=0),"",CADASTROS!$B$4+SUM($J$2:J1488)+SUM($M$2:M1488)-SUM($K$2:K1488)-SUM($L$2:L1488))</f>
        <v/>
      </c>
      <c r="O1488" s="72" t="str">
        <f>IF(A1488="","",SUMIF(RATEIOS!$A$2:$A$3142,$A1488,RATEIOS!$F$2:$F$3142))</f>
        <v/>
      </c>
      <c r="P1488" s="15" t="str">
        <f t="shared" si="48"/>
        <v/>
      </c>
      <c r="Q1488" s="49" t="str">
        <f>IF(AND(J1488=0,K1488=0,L1488=0,M1488=0),"",IF(O1488=0,"PENDENTE DE RATEIO",IF(ABS(P1488)&gt;0.005,"DIVERGÊNCIA",IF(COUNTIF(RATEIOS!$A$2:$A$3142,$A1488)-COUNTIFS(RATEIOS!$A$2:$A$3142,$A1488,RATEIOS!$D$2:$D$3142,"&lt;&gt;")&gt;0,"NÃO CLASSIFICADO","RATEIO OK"))))</f>
        <v/>
      </c>
      <c r="R1488" s="49"/>
      <c r="S1488" s="14"/>
    </row>
    <row r="1489" spans="1:19" ht="30" customHeight="1" x14ac:dyDescent="0.25">
      <c r="A1489" s="49" t="str">
        <f>IF(C1489="","","BAN-01488")</f>
        <v/>
      </c>
      <c r="B1489" s="98" t="str">
        <f>IF(C1489="","",1488)</f>
        <v/>
      </c>
      <c r="C1489" s="50"/>
      <c r="D1489" s="49" t="str">
        <f t="shared" si="47"/>
        <v/>
      </c>
      <c r="E1489" s="92"/>
      <c r="F1489" s="49"/>
      <c r="G1489" s="14"/>
      <c r="H1489" s="14"/>
      <c r="I1489" s="76"/>
      <c r="J1489" s="73"/>
      <c r="K1489" s="74"/>
      <c r="L1489" s="72"/>
      <c r="M1489" s="72"/>
      <c r="N1489" s="72" t="str">
        <f>IF(AND(C1489="",J1489=0,K1489=0,L1489=0,M1489=0),"",CADASTROS!$B$4+SUM($J$2:J1489)+SUM($M$2:M1489)-SUM($K$2:K1489)-SUM($L$2:L1489))</f>
        <v/>
      </c>
      <c r="O1489" s="72" t="str">
        <f>IF(A1489="","",SUMIF(RATEIOS!$A$2:$A$3142,$A1489,RATEIOS!$F$2:$F$3142))</f>
        <v/>
      </c>
      <c r="P1489" s="15" t="str">
        <f t="shared" si="48"/>
        <v/>
      </c>
      <c r="Q1489" s="49" t="str">
        <f>IF(AND(J1489=0,K1489=0,L1489=0,M1489=0),"",IF(O1489=0,"PENDENTE DE RATEIO",IF(ABS(P1489)&gt;0.005,"DIVERGÊNCIA",IF(COUNTIF(RATEIOS!$A$2:$A$3142,$A1489)-COUNTIFS(RATEIOS!$A$2:$A$3142,$A1489,RATEIOS!$D$2:$D$3142,"&lt;&gt;")&gt;0,"NÃO CLASSIFICADO","RATEIO OK"))))</f>
        <v/>
      </c>
      <c r="R1489" s="49"/>
      <c r="S1489" s="14"/>
    </row>
    <row r="1490" spans="1:19" ht="30" customHeight="1" x14ac:dyDescent="0.25">
      <c r="A1490" s="49" t="str">
        <f>IF(C1490="","","BAN-01489")</f>
        <v/>
      </c>
      <c r="B1490" s="98" t="str">
        <f>IF(C1490="","",1489)</f>
        <v/>
      </c>
      <c r="C1490" s="50"/>
      <c r="D1490" s="49" t="str">
        <f t="shared" si="47"/>
        <v/>
      </c>
      <c r="E1490" s="92"/>
      <c r="F1490" s="49"/>
      <c r="G1490" s="14"/>
      <c r="H1490" s="14"/>
      <c r="I1490" s="76"/>
      <c r="J1490" s="73"/>
      <c r="K1490" s="74"/>
      <c r="L1490" s="72"/>
      <c r="M1490" s="72"/>
      <c r="N1490" s="72" t="str">
        <f>IF(AND(C1490="",J1490=0,K1490=0,L1490=0,M1490=0),"",CADASTROS!$B$4+SUM($J$2:J1490)+SUM($M$2:M1490)-SUM($K$2:K1490)-SUM($L$2:L1490))</f>
        <v/>
      </c>
      <c r="O1490" s="72" t="str">
        <f>IF(A1490="","",SUMIF(RATEIOS!$A$2:$A$3142,$A1490,RATEIOS!$F$2:$F$3142))</f>
        <v/>
      </c>
      <c r="P1490" s="15" t="str">
        <f t="shared" si="48"/>
        <v/>
      </c>
      <c r="Q1490" s="49" t="str">
        <f>IF(AND(J1490=0,K1490=0,L1490=0,M1490=0),"",IF(O1490=0,"PENDENTE DE RATEIO",IF(ABS(P1490)&gt;0.005,"DIVERGÊNCIA",IF(COUNTIF(RATEIOS!$A$2:$A$3142,$A1490)-COUNTIFS(RATEIOS!$A$2:$A$3142,$A1490,RATEIOS!$D$2:$D$3142,"&lt;&gt;")&gt;0,"NÃO CLASSIFICADO","RATEIO OK"))))</f>
        <v/>
      </c>
      <c r="R1490" s="49"/>
      <c r="S1490" s="14"/>
    </row>
    <row r="1491" spans="1:19" ht="30" customHeight="1" x14ac:dyDescent="0.25">
      <c r="A1491" s="49" t="str">
        <f>IF(C1491="","","BAN-01490")</f>
        <v/>
      </c>
      <c r="B1491" s="98" t="str">
        <f>IF(C1491="","",1490)</f>
        <v/>
      </c>
      <c r="C1491" s="50"/>
      <c r="D1491" s="49" t="str">
        <f t="shared" si="47"/>
        <v/>
      </c>
      <c r="E1491" s="92"/>
      <c r="F1491" s="49"/>
      <c r="G1491" s="14"/>
      <c r="H1491" s="14"/>
      <c r="I1491" s="76"/>
      <c r="J1491" s="73"/>
      <c r="K1491" s="74"/>
      <c r="L1491" s="72"/>
      <c r="M1491" s="72"/>
      <c r="N1491" s="72" t="str">
        <f>IF(AND(C1491="",J1491=0,K1491=0,L1491=0,M1491=0),"",CADASTROS!$B$4+SUM($J$2:J1491)+SUM($M$2:M1491)-SUM($K$2:K1491)-SUM($L$2:L1491))</f>
        <v/>
      </c>
      <c r="O1491" s="72" t="str">
        <f>IF(A1491="","",SUMIF(RATEIOS!$A$2:$A$3142,$A1491,RATEIOS!$F$2:$F$3142))</f>
        <v/>
      </c>
      <c r="P1491" s="15" t="str">
        <f t="shared" si="48"/>
        <v/>
      </c>
      <c r="Q1491" s="49" t="str">
        <f>IF(AND(J1491=0,K1491=0,L1491=0,M1491=0),"",IF(O1491=0,"PENDENTE DE RATEIO",IF(ABS(P1491)&gt;0.005,"DIVERGÊNCIA",IF(COUNTIF(RATEIOS!$A$2:$A$3142,$A1491)-COUNTIFS(RATEIOS!$A$2:$A$3142,$A1491,RATEIOS!$D$2:$D$3142,"&lt;&gt;")&gt;0,"NÃO CLASSIFICADO","RATEIO OK"))))</f>
        <v/>
      </c>
      <c r="R1491" s="49"/>
      <c r="S1491" s="14"/>
    </row>
    <row r="1492" spans="1:19" ht="30" customHeight="1" x14ac:dyDescent="0.25">
      <c r="A1492" s="49" t="str">
        <f>IF(C1492="","","BAN-01491")</f>
        <v/>
      </c>
      <c r="B1492" s="98" t="str">
        <f>IF(C1492="","",1491)</f>
        <v/>
      </c>
      <c r="C1492" s="50"/>
      <c r="D1492" s="49" t="str">
        <f t="shared" si="47"/>
        <v/>
      </c>
      <c r="E1492" s="92"/>
      <c r="F1492" s="49"/>
      <c r="G1492" s="14"/>
      <c r="H1492" s="14"/>
      <c r="I1492" s="76"/>
      <c r="J1492" s="73"/>
      <c r="K1492" s="74"/>
      <c r="L1492" s="72"/>
      <c r="M1492" s="72"/>
      <c r="N1492" s="72" t="str">
        <f>IF(AND(C1492="",J1492=0,K1492=0,L1492=0,M1492=0),"",CADASTROS!$B$4+SUM($J$2:J1492)+SUM($M$2:M1492)-SUM($K$2:K1492)-SUM($L$2:L1492))</f>
        <v/>
      </c>
      <c r="O1492" s="72" t="str">
        <f>IF(A1492="","",SUMIF(RATEIOS!$A$2:$A$3142,$A1492,RATEIOS!$F$2:$F$3142))</f>
        <v/>
      </c>
      <c r="P1492" s="15" t="str">
        <f t="shared" si="48"/>
        <v/>
      </c>
      <c r="Q1492" s="49" t="str">
        <f>IF(AND(J1492=0,K1492=0,L1492=0,M1492=0),"",IF(O1492=0,"PENDENTE DE RATEIO",IF(ABS(P1492)&gt;0.005,"DIVERGÊNCIA",IF(COUNTIF(RATEIOS!$A$2:$A$3142,$A1492)-COUNTIFS(RATEIOS!$A$2:$A$3142,$A1492,RATEIOS!$D$2:$D$3142,"&lt;&gt;")&gt;0,"NÃO CLASSIFICADO","RATEIO OK"))))</f>
        <v/>
      </c>
      <c r="R1492" s="49"/>
      <c r="S1492" s="14"/>
    </row>
    <row r="1493" spans="1:19" ht="30" customHeight="1" x14ac:dyDescent="0.25">
      <c r="A1493" s="49" t="str">
        <f>IF(C1493="","","BAN-01492")</f>
        <v/>
      </c>
      <c r="B1493" s="98" t="str">
        <f>IF(C1493="","",1492)</f>
        <v/>
      </c>
      <c r="C1493" s="50"/>
      <c r="D1493" s="49" t="str">
        <f t="shared" si="47"/>
        <v/>
      </c>
      <c r="E1493" s="92"/>
      <c r="F1493" s="49"/>
      <c r="G1493" s="14"/>
      <c r="H1493" s="14"/>
      <c r="I1493" s="76"/>
      <c r="J1493" s="73"/>
      <c r="K1493" s="74"/>
      <c r="L1493" s="72"/>
      <c r="M1493" s="72"/>
      <c r="N1493" s="72" t="str">
        <f>IF(AND(C1493="",J1493=0,K1493=0,L1493=0,M1493=0),"",CADASTROS!$B$4+SUM($J$2:J1493)+SUM($M$2:M1493)-SUM($K$2:K1493)-SUM($L$2:L1493))</f>
        <v/>
      </c>
      <c r="O1493" s="72" t="str">
        <f>IF(A1493="","",SUMIF(RATEIOS!$A$2:$A$3142,$A1493,RATEIOS!$F$2:$F$3142))</f>
        <v/>
      </c>
      <c r="P1493" s="15" t="str">
        <f t="shared" si="48"/>
        <v/>
      </c>
      <c r="Q1493" s="49" t="str">
        <f>IF(AND(J1493=0,K1493=0,L1493=0,M1493=0),"",IF(O1493=0,"PENDENTE DE RATEIO",IF(ABS(P1493)&gt;0.005,"DIVERGÊNCIA",IF(COUNTIF(RATEIOS!$A$2:$A$3142,$A1493)-COUNTIFS(RATEIOS!$A$2:$A$3142,$A1493,RATEIOS!$D$2:$D$3142,"&lt;&gt;")&gt;0,"NÃO CLASSIFICADO","RATEIO OK"))))</f>
        <v/>
      </c>
      <c r="R1493" s="49"/>
      <c r="S1493" s="14"/>
    </row>
    <row r="1494" spans="1:19" ht="30" customHeight="1" x14ac:dyDescent="0.25">
      <c r="A1494" s="49" t="str">
        <f>IF(C1494="","","BAN-01493")</f>
        <v/>
      </c>
      <c r="B1494" s="98" t="str">
        <f>IF(C1494="","",1493)</f>
        <v/>
      </c>
      <c r="C1494" s="50"/>
      <c r="D1494" s="49" t="str">
        <f t="shared" si="47"/>
        <v/>
      </c>
      <c r="E1494" s="92"/>
      <c r="F1494" s="49"/>
      <c r="G1494" s="14"/>
      <c r="H1494" s="14"/>
      <c r="I1494" s="76"/>
      <c r="J1494" s="73"/>
      <c r="K1494" s="74"/>
      <c r="L1494" s="72"/>
      <c r="M1494" s="72"/>
      <c r="N1494" s="72" t="str">
        <f>IF(AND(C1494="",J1494=0,K1494=0,L1494=0,M1494=0),"",CADASTROS!$B$4+SUM($J$2:J1494)+SUM($M$2:M1494)-SUM($K$2:K1494)-SUM($L$2:L1494))</f>
        <v/>
      </c>
      <c r="O1494" s="72" t="str">
        <f>IF(A1494="","",SUMIF(RATEIOS!$A$2:$A$3142,$A1494,RATEIOS!$F$2:$F$3142))</f>
        <v/>
      </c>
      <c r="P1494" s="15" t="str">
        <f t="shared" si="48"/>
        <v/>
      </c>
      <c r="Q1494" s="49" t="str">
        <f>IF(AND(J1494=0,K1494=0,L1494=0,M1494=0),"",IF(O1494=0,"PENDENTE DE RATEIO",IF(ABS(P1494)&gt;0.005,"DIVERGÊNCIA",IF(COUNTIF(RATEIOS!$A$2:$A$3142,$A1494)-COUNTIFS(RATEIOS!$A$2:$A$3142,$A1494,RATEIOS!$D$2:$D$3142,"&lt;&gt;")&gt;0,"NÃO CLASSIFICADO","RATEIO OK"))))</f>
        <v/>
      </c>
      <c r="R1494" s="49"/>
      <c r="S1494" s="14"/>
    </row>
    <row r="1495" spans="1:19" ht="30" customHeight="1" x14ac:dyDescent="0.25">
      <c r="A1495" s="49" t="str">
        <f>IF(C1495="","","BAN-01494")</f>
        <v/>
      </c>
      <c r="B1495" s="98" t="str">
        <f>IF(C1495="","",1494)</f>
        <v/>
      </c>
      <c r="C1495" s="50"/>
      <c r="D1495" s="49" t="str">
        <f t="shared" si="47"/>
        <v/>
      </c>
      <c r="E1495" s="92"/>
      <c r="F1495" s="49"/>
      <c r="G1495" s="14"/>
      <c r="H1495" s="14"/>
      <c r="I1495" s="76"/>
      <c r="J1495" s="73"/>
      <c r="K1495" s="74"/>
      <c r="L1495" s="72"/>
      <c r="M1495" s="72"/>
      <c r="N1495" s="72" t="str">
        <f>IF(AND(C1495="",J1495=0,K1495=0,L1495=0,M1495=0),"",CADASTROS!$B$4+SUM($J$2:J1495)+SUM($M$2:M1495)-SUM($K$2:K1495)-SUM($L$2:L1495))</f>
        <v/>
      </c>
      <c r="O1495" s="72" t="str">
        <f>IF(A1495="","",SUMIF(RATEIOS!$A$2:$A$3142,$A1495,RATEIOS!$F$2:$F$3142))</f>
        <v/>
      </c>
      <c r="P1495" s="15" t="str">
        <f t="shared" si="48"/>
        <v/>
      </c>
      <c r="Q1495" s="49" t="str">
        <f>IF(AND(J1495=0,K1495=0,L1495=0,M1495=0),"",IF(O1495=0,"PENDENTE DE RATEIO",IF(ABS(P1495)&gt;0.005,"DIVERGÊNCIA",IF(COUNTIF(RATEIOS!$A$2:$A$3142,$A1495)-COUNTIFS(RATEIOS!$A$2:$A$3142,$A1495,RATEIOS!$D$2:$D$3142,"&lt;&gt;")&gt;0,"NÃO CLASSIFICADO","RATEIO OK"))))</f>
        <v/>
      </c>
      <c r="R1495" s="49"/>
      <c r="S1495" s="14"/>
    </row>
    <row r="1496" spans="1:19" ht="30" customHeight="1" x14ac:dyDescent="0.25">
      <c r="A1496" s="49" t="str">
        <f>IF(C1496="","","BAN-01495")</f>
        <v/>
      </c>
      <c r="B1496" s="98" t="str">
        <f>IF(C1496="","",1495)</f>
        <v/>
      </c>
      <c r="C1496" s="50"/>
      <c r="D1496" s="49" t="str">
        <f t="shared" si="47"/>
        <v/>
      </c>
      <c r="E1496" s="92"/>
      <c r="F1496" s="49"/>
      <c r="G1496" s="14"/>
      <c r="H1496" s="14"/>
      <c r="I1496" s="76"/>
      <c r="J1496" s="73"/>
      <c r="K1496" s="74"/>
      <c r="L1496" s="72"/>
      <c r="M1496" s="72"/>
      <c r="N1496" s="72" t="str">
        <f>IF(AND(C1496="",J1496=0,K1496=0,L1496=0,M1496=0),"",CADASTROS!$B$4+SUM($J$2:J1496)+SUM($M$2:M1496)-SUM($K$2:K1496)-SUM($L$2:L1496))</f>
        <v/>
      </c>
      <c r="O1496" s="72" t="str">
        <f>IF(A1496="","",SUMIF(RATEIOS!$A$2:$A$3142,$A1496,RATEIOS!$F$2:$F$3142))</f>
        <v/>
      </c>
      <c r="P1496" s="15" t="str">
        <f t="shared" si="48"/>
        <v/>
      </c>
      <c r="Q1496" s="49" t="str">
        <f>IF(AND(J1496=0,K1496=0,L1496=0,M1496=0),"",IF(O1496=0,"PENDENTE DE RATEIO",IF(ABS(P1496)&gt;0.005,"DIVERGÊNCIA",IF(COUNTIF(RATEIOS!$A$2:$A$3142,$A1496)-COUNTIFS(RATEIOS!$A$2:$A$3142,$A1496,RATEIOS!$D$2:$D$3142,"&lt;&gt;")&gt;0,"NÃO CLASSIFICADO","RATEIO OK"))))</f>
        <v/>
      </c>
      <c r="R1496" s="49"/>
      <c r="S1496" s="14"/>
    </row>
    <row r="1497" spans="1:19" ht="30" customHeight="1" x14ac:dyDescent="0.25">
      <c r="A1497" s="49" t="str">
        <f>IF(C1497="","","BAN-01496")</f>
        <v/>
      </c>
      <c r="B1497" s="98" t="str">
        <f>IF(C1497="","",1496)</f>
        <v/>
      </c>
      <c r="C1497" s="50"/>
      <c r="D1497" s="49" t="str">
        <f t="shared" si="47"/>
        <v/>
      </c>
      <c r="E1497" s="92"/>
      <c r="F1497" s="49"/>
      <c r="G1497" s="14"/>
      <c r="H1497" s="14"/>
      <c r="I1497" s="76"/>
      <c r="J1497" s="73"/>
      <c r="K1497" s="74"/>
      <c r="L1497" s="72"/>
      <c r="M1497" s="72"/>
      <c r="N1497" s="72" t="str">
        <f>IF(AND(C1497="",J1497=0,K1497=0,L1497=0,M1497=0),"",CADASTROS!$B$4+SUM($J$2:J1497)+SUM($M$2:M1497)-SUM($K$2:K1497)-SUM($L$2:L1497))</f>
        <v/>
      </c>
      <c r="O1497" s="72" t="str">
        <f>IF(A1497="","",SUMIF(RATEIOS!$A$2:$A$3142,$A1497,RATEIOS!$F$2:$F$3142))</f>
        <v/>
      </c>
      <c r="P1497" s="15" t="str">
        <f t="shared" si="48"/>
        <v/>
      </c>
      <c r="Q1497" s="49" t="str">
        <f>IF(AND(J1497=0,K1497=0,L1497=0,M1497=0),"",IF(O1497=0,"PENDENTE DE RATEIO",IF(ABS(P1497)&gt;0.005,"DIVERGÊNCIA",IF(COUNTIF(RATEIOS!$A$2:$A$3142,$A1497)-COUNTIFS(RATEIOS!$A$2:$A$3142,$A1497,RATEIOS!$D$2:$D$3142,"&lt;&gt;")&gt;0,"NÃO CLASSIFICADO","RATEIO OK"))))</f>
        <v/>
      </c>
      <c r="R1497" s="49"/>
      <c r="S1497" s="14"/>
    </row>
    <row r="1498" spans="1:19" ht="30" customHeight="1" x14ac:dyDescent="0.25">
      <c r="A1498" s="49" t="str">
        <f>IF(C1498="","","BAN-01497")</f>
        <v/>
      </c>
      <c r="B1498" s="98" t="str">
        <f>IF(C1498="","",1497)</f>
        <v/>
      </c>
      <c r="C1498" s="50"/>
      <c r="D1498" s="49" t="str">
        <f t="shared" si="47"/>
        <v/>
      </c>
      <c r="E1498" s="92"/>
      <c r="F1498" s="49"/>
      <c r="G1498" s="14"/>
      <c r="H1498" s="14"/>
      <c r="I1498" s="76"/>
      <c r="J1498" s="73"/>
      <c r="K1498" s="74"/>
      <c r="L1498" s="72"/>
      <c r="M1498" s="72"/>
      <c r="N1498" s="72" t="str">
        <f>IF(AND(C1498="",J1498=0,K1498=0,L1498=0,M1498=0),"",CADASTROS!$B$4+SUM($J$2:J1498)+SUM($M$2:M1498)-SUM($K$2:K1498)-SUM($L$2:L1498))</f>
        <v/>
      </c>
      <c r="O1498" s="72" t="str">
        <f>IF(A1498="","",SUMIF(RATEIOS!$A$2:$A$3142,$A1498,RATEIOS!$F$2:$F$3142))</f>
        <v/>
      </c>
      <c r="P1498" s="15" t="str">
        <f t="shared" si="48"/>
        <v/>
      </c>
      <c r="Q1498" s="49" t="str">
        <f>IF(AND(J1498=0,K1498=0,L1498=0,M1498=0),"",IF(O1498=0,"PENDENTE DE RATEIO",IF(ABS(P1498)&gt;0.005,"DIVERGÊNCIA",IF(COUNTIF(RATEIOS!$A$2:$A$3142,$A1498)-COUNTIFS(RATEIOS!$A$2:$A$3142,$A1498,RATEIOS!$D$2:$D$3142,"&lt;&gt;")&gt;0,"NÃO CLASSIFICADO","RATEIO OK"))))</f>
        <v/>
      </c>
      <c r="R1498" s="49"/>
      <c r="S1498" s="14"/>
    </row>
    <row r="1499" spans="1:19" ht="30" customHeight="1" x14ac:dyDescent="0.25">
      <c r="A1499" s="49" t="str">
        <f>IF(C1499="","","BAN-01498")</f>
        <v/>
      </c>
      <c r="B1499" s="98" t="str">
        <f>IF(C1499="","",1498)</f>
        <v/>
      </c>
      <c r="C1499" s="50"/>
      <c r="D1499" s="49" t="str">
        <f t="shared" si="47"/>
        <v/>
      </c>
      <c r="E1499" s="92"/>
      <c r="F1499" s="49"/>
      <c r="G1499" s="14"/>
      <c r="H1499" s="14"/>
      <c r="I1499" s="76"/>
      <c r="J1499" s="73"/>
      <c r="K1499" s="74"/>
      <c r="L1499" s="72"/>
      <c r="M1499" s="72"/>
      <c r="N1499" s="72" t="str">
        <f>IF(AND(C1499="",J1499=0,K1499=0,L1499=0,M1499=0),"",CADASTROS!$B$4+SUM($J$2:J1499)+SUM($M$2:M1499)-SUM($K$2:K1499)-SUM($L$2:L1499))</f>
        <v/>
      </c>
      <c r="O1499" s="72" t="str">
        <f>IF(A1499="","",SUMIF(RATEIOS!$A$2:$A$3142,$A1499,RATEIOS!$F$2:$F$3142))</f>
        <v/>
      </c>
      <c r="P1499" s="15" t="str">
        <f t="shared" si="48"/>
        <v/>
      </c>
      <c r="Q1499" s="49" t="str">
        <f>IF(AND(J1499=0,K1499=0,L1499=0,M1499=0),"",IF(O1499=0,"PENDENTE DE RATEIO",IF(ABS(P1499)&gt;0.005,"DIVERGÊNCIA",IF(COUNTIF(RATEIOS!$A$2:$A$3142,$A1499)-COUNTIFS(RATEIOS!$A$2:$A$3142,$A1499,RATEIOS!$D$2:$D$3142,"&lt;&gt;")&gt;0,"NÃO CLASSIFICADO","RATEIO OK"))))</f>
        <v/>
      </c>
      <c r="R1499" s="49"/>
      <c r="S1499" s="14"/>
    </row>
    <row r="1500" spans="1:19" ht="30" customHeight="1" x14ac:dyDescent="0.25">
      <c r="A1500" s="49" t="str">
        <f>IF(C1500="","","BAN-01499")</f>
        <v/>
      </c>
      <c r="B1500" s="98" t="str">
        <f>IF(C1500="","",1499)</f>
        <v/>
      </c>
      <c r="C1500" s="50"/>
      <c r="D1500" s="49" t="str">
        <f t="shared" si="47"/>
        <v/>
      </c>
      <c r="E1500" s="92"/>
      <c r="F1500" s="49"/>
      <c r="G1500" s="14"/>
      <c r="H1500" s="14"/>
      <c r="I1500" s="76"/>
      <c r="J1500" s="73"/>
      <c r="K1500" s="74"/>
      <c r="L1500" s="72"/>
      <c r="M1500" s="72"/>
      <c r="N1500" s="72" t="str">
        <f>IF(AND(C1500="",J1500=0,K1500=0,L1500=0,M1500=0),"",CADASTROS!$B$4+SUM($J$2:J1500)+SUM($M$2:M1500)-SUM($K$2:K1500)-SUM($L$2:L1500))</f>
        <v/>
      </c>
      <c r="O1500" s="72" t="str">
        <f>IF(A1500="","",SUMIF(RATEIOS!$A$2:$A$3142,$A1500,RATEIOS!$F$2:$F$3142))</f>
        <v/>
      </c>
      <c r="P1500" s="15" t="str">
        <f t="shared" si="48"/>
        <v/>
      </c>
      <c r="Q1500" s="49" t="str">
        <f>IF(AND(J1500=0,K1500=0,L1500=0,M1500=0),"",IF(O1500=0,"PENDENTE DE RATEIO",IF(ABS(P1500)&gt;0.005,"DIVERGÊNCIA",IF(COUNTIF(RATEIOS!$A$2:$A$3142,$A1500)-COUNTIFS(RATEIOS!$A$2:$A$3142,$A1500,RATEIOS!$D$2:$D$3142,"&lt;&gt;")&gt;0,"NÃO CLASSIFICADO","RATEIO OK"))))</f>
        <v/>
      </c>
      <c r="R1500" s="49"/>
      <c r="S1500" s="14"/>
    </row>
    <row r="1501" spans="1:19" ht="30" customHeight="1" x14ac:dyDescent="0.25">
      <c r="A1501" s="49" t="str">
        <f>IF(C1501="","","BAN-01500")</f>
        <v/>
      </c>
      <c r="B1501" s="98" t="str">
        <f>IF(C1501="","",1500)</f>
        <v/>
      </c>
      <c r="C1501" s="50"/>
      <c r="D1501" s="49" t="str">
        <f t="shared" si="47"/>
        <v/>
      </c>
      <c r="E1501" s="92"/>
      <c r="F1501" s="49"/>
      <c r="G1501" s="14"/>
      <c r="H1501" s="14"/>
      <c r="I1501" s="76"/>
      <c r="J1501" s="73"/>
      <c r="K1501" s="74"/>
      <c r="L1501" s="72"/>
      <c r="M1501" s="72"/>
      <c r="N1501" s="72" t="str">
        <f>IF(AND(C1501="",J1501=0,K1501=0,L1501=0,M1501=0),"",CADASTROS!$B$4+SUM($J$2:J1501)+SUM($M$2:M1501)-SUM($K$2:K1501)-SUM($L$2:L1501))</f>
        <v/>
      </c>
      <c r="O1501" s="72" t="str">
        <f>IF(A1501="","",SUMIF(RATEIOS!$A$2:$A$3142,$A1501,RATEIOS!$F$2:$F$3142))</f>
        <v/>
      </c>
      <c r="P1501" s="15" t="str">
        <f t="shared" si="48"/>
        <v/>
      </c>
      <c r="Q1501" s="49" t="str">
        <f>IF(AND(J1501=0,K1501=0,L1501=0,M1501=0),"",IF(O1501=0,"PENDENTE DE RATEIO",IF(ABS(P1501)&gt;0.005,"DIVERGÊNCIA",IF(COUNTIF(RATEIOS!$A$2:$A$3142,$A1501)-COUNTIFS(RATEIOS!$A$2:$A$3142,$A1501,RATEIOS!$D$2:$D$3142,"&lt;&gt;")&gt;0,"NÃO CLASSIFICADO","RATEIO OK"))))</f>
        <v/>
      </c>
      <c r="R1501" s="49"/>
      <c r="S1501" s="14"/>
    </row>
    <row r="1502" spans="1:19" ht="30" customHeight="1" x14ac:dyDescent="0.25">
      <c r="A1502" s="49" t="str">
        <f>IF(C1502="","","BAN-01501")</f>
        <v/>
      </c>
      <c r="B1502" s="98" t="str">
        <f>IF(C1502="","",1501)</f>
        <v/>
      </c>
      <c r="C1502" s="50"/>
      <c r="D1502" s="49" t="str">
        <f t="shared" si="47"/>
        <v/>
      </c>
      <c r="E1502" s="92"/>
      <c r="F1502" s="49"/>
      <c r="G1502" s="14"/>
      <c r="H1502" s="14"/>
      <c r="I1502" s="76"/>
      <c r="J1502" s="73"/>
      <c r="K1502" s="74"/>
      <c r="L1502" s="72"/>
      <c r="M1502" s="72"/>
      <c r="N1502" s="72" t="str">
        <f>IF(AND(C1502="",J1502=0,K1502=0,L1502=0,M1502=0),"",CADASTROS!$B$4+SUM($J$2:J1502)+SUM($M$2:M1502)-SUM($K$2:K1502)-SUM($L$2:L1502))</f>
        <v/>
      </c>
      <c r="O1502" s="72" t="str">
        <f>IF(A1502="","",SUMIF(RATEIOS!$A$2:$A$3142,$A1502,RATEIOS!$F$2:$F$3142))</f>
        <v/>
      </c>
      <c r="P1502" s="15" t="str">
        <f t="shared" si="48"/>
        <v/>
      </c>
      <c r="Q1502" s="49" t="str">
        <f>IF(AND(J1502=0,K1502=0,L1502=0,M1502=0),"",IF(O1502=0,"PENDENTE DE RATEIO",IF(ABS(P1502)&gt;0.005,"DIVERGÊNCIA",IF(COUNTIF(RATEIOS!$A$2:$A$3142,$A1502)-COUNTIFS(RATEIOS!$A$2:$A$3142,$A1502,RATEIOS!$D$2:$D$3142,"&lt;&gt;")&gt;0,"NÃO CLASSIFICADO","RATEIO OK"))))</f>
        <v/>
      </c>
      <c r="R1502" s="49"/>
      <c r="S1502" s="14"/>
    </row>
    <row r="1503" spans="1:19" ht="30" customHeight="1" x14ac:dyDescent="0.25">
      <c r="A1503" s="49" t="str">
        <f>IF(C1503="","","BAN-01502")</f>
        <v/>
      </c>
      <c r="B1503" s="98" t="str">
        <f>IF(C1503="","",1502)</f>
        <v/>
      </c>
      <c r="C1503" s="50"/>
      <c r="D1503" s="49" t="str">
        <f t="shared" si="47"/>
        <v/>
      </c>
      <c r="E1503" s="92"/>
      <c r="F1503" s="49"/>
      <c r="G1503" s="14"/>
      <c r="H1503" s="14"/>
      <c r="I1503" s="76"/>
      <c r="J1503" s="73"/>
      <c r="K1503" s="74"/>
      <c r="L1503" s="72"/>
      <c r="M1503" s="72"/>
      <c r="N1503" s="72" t="str">
        <f>IF(AND(C1503="",J1503=0,K1503=0,L1503=0,M1503=0),"",CADASTROS!$B$4+SUM($J$2:J1503)+SUM($M$2:M1503)-SUM($K$2:K1503)-SUM($L$2:L1503))</f>
        <v/>
      </c>
      <c r="O1503" s="72" t="str">
        <f>IF(A1503="","",SUMIF(RATEIOS!$A$2:$A$3142,$A1503,RATEIOS!$F$2:$F$3142))</f>
        <v/>
      </c>
      <c r="P1503" s="15" t="str">
        <f t="shared" si="48"/>
        <v/>
      </c>
      <c r="Q1503" s="49" t="str">
        <f>IF(AND(J1503=0,K1503=0,L1503=0,M1503=0),"",IF(O1503=0,"PENDENTE DE RATEIO",IF(ABS(P1503)&gt;0.005,"DIVERGÊNCIA",IF(COUNTIF(RATEIOS!$A$2:$A$3142,$A1503)-COUNTIFS(RATEIOS!$A$2:$A$3142,$A1503,RATEIOS!$D$2:$D$3142,"&lt;&gt;")&gt;0,"NÃO CLASSIFICADO","RATEIO OK"))))</f>
        <v/>
      </c>
      <c r="R1503" s="49"/>
      <c r="S1503" s="14"/>
    </row>
    <row r="1504" spans="1:19" ht="30" customHeight="1" x14ac:dyDescent="0.25">
      <c r="A1504" s="49" t="str">
        <f>IF(C1504="","","BAN-01503")</f>
        <v/>
      </c>
      <c r="B1504" s="98" t="str">
        <f>IF(C1504="","",1503)</f>
        <v/>
      </c>
      <c r="C1504" s="50"/>
      <c r="D1504" s="49" t="str">
        <f t="shared" si="47"/>
        <v/>
      </c>
      <c r="E1504" s="92"/>
      <c r="F1504" s="49"/>
      <c r="G1504" s="14"/>
      <c r="H1504" s="14"/>
      <c r="I1504" s="76"/>
      <c r="J1504" s="73"/>
      <c r="K1504" s="74"/>
      <c r="L1504" s="72"/>
      <c r="M1504" s="72"/>
      <c r="N1504" s="72" t="str">
        <f>IF(AND(C1504="",J1504=0,K1504=0,L1504=0,M1504=0),"",CADASTROS!$B$4+SUM($J$2:J1504)+SUM($M$2:M1504)-SUM($K$2:K1504)-SUM($L$2:L1504))</f>
        <v/>
      </c>
      <c r="O1504" s="72" t="str">
        <f>IF(A1504="","",SUMIF(RATEIOS!$A$2:$A$3142,$A1504,RATEIOS!$F$2:$F$3142))</f>
        <v/>
      </c>
      <c r="P1504" s="15" t="str">
        <f t="shared" si="48"/>
        <v/>
      </c>
      <c r="Q1504" s="49" t="str">
        <f>IF(AND(J1504=0,K1504=0,L1504=0,M1504=0),"",IF(O1504=0,"PENDENTE DE RATEIO",IF(ABS(P1504)&gt;0.005,"DIVERGÊNCIA",IF(COUNTIF(RATEIOS!$A$2:$A$3142,$A1504)-COUNTIFS(RATEIOS!$A$2:$A$3142,$A1504,RATEIOS!$D$2:$D$3142,"&lt;&gt;")&gt;0,"NÃO CLASSIFICADO","RATEIO OK"))))</f>
        <v/>
      </c>
      <c r="R1504" s="49"/>
      <c r="S1504" s="14"/>
    </row>
    <row r="1505" spans="1:19" ht="30" customHeight="1" x14ac:dyDescent="0.25">
      <c r="A1505" s="49" t="str">
        <f>IF(C1505="","","BAN-01504")</f>
        <v/>
      </c>
      <c r="B1505" s="98" t="str">
        <f>IF(C1505="","",1504)</f>
        <v/>
      </c>
      <c r="C1505" s="50"/>
      <c r="D1505" s="49" t="str">
        <f t="shared" si="47"/>
        <v/>
      </c>
      <c r="E1505" s="92"/>
      <c r="F1505" s="49"/>
      <c r="G1505" s="14"/>
      <c r="H1505" s="14"/>
      <c r="I1505" s="76"/>
      <c r="J1505" s="73"/>
      <c r="K1505" s="74"/>
      <c r="L1505" s="72"/>
      <c r="M1505" s="72"/>
      <c r="N1505" s="72" t="str">
        <f>IF(AND(C1505="",J1505=0,K1505=0,L1505=0,M1505=0),"",CADASTROS!$B$4+SUM($J$2:J1505)+SUM($M$2:M1505)-SUM($K$2:K1505)-SUM($L$2:L1505))</f>
        <v/>
      </c>
      <c r="O1505" s="72" t="str">
        <f>IF(A1505="","",SUMIF(RATEIOS!$A$2:$A$3142,$A1505,RATEIOS!$F$2:$F$3142))</f>
        <v/>
      </c>
      <c r="P1505" s="15" t="str">
        <f t="shared" si="48"/>
        <v/>
      </c>
      <c r="Q1505" s="49" t="str">
        <f>IF(AND(J1505=0,K1505=0,L1505=0,M1505=0),"",IF(O1505=0,"PENDENTE DE RATEIO",IF(ABS(P1505)&gt;0.005,"DIVERGÊNCIA",IF(COUNTIF(RATEIOS!$A$2:$A$3142,$A1505)-COUNTIFS(RATEIOS!$A$2:$A$3142,$A1505,RATEIOS!$D$2:$D$3142,"&lt;&gt;")&gt;0,"NÃO CLASSIFICADO","RATEIO OK"))))</f>
        <v/>
      </c>
      <c r="R1505" s="49"/>
      <c r="S1505" s="14"/>
    </row>
    <row r="1506" spans="1:19" ht="30" customHeight="1" x14ac:dyDescent="0.25">
      <c r="A1506" s="49" t="str">
        <f>IF(C1506="","","BAN-01505")</f>
        <v/>
      </c>
      <c r="B1506" s="98" t="str">
        <f>IF(C1506="","",1505)</f>
        <v/>
      </c>
      <c r="C1506" s="50"/>
      <c r="D1506" s="49" t="str">
        <f t="shared" si="47"/>
        <v/>
      </c>
      <c r="E1506" s="92"/>
      <c r="F1506" s="49"/>
      <c r="G1506" s="14"/>
      <c r="H1506" s="14"/>
      <c r="I1506" s="76"/>
      <c r="J1506" s="73"/>
      <c r="K1506" s="74"/>
      <c r="L1506" s="72"/>
      <c r="M1506" s="72"/>
      <c r="N1506" s="72" t="str">
        <f>IF(AND(C1506="",J1506=0,K1506=0,L1506=0,M1506=0),"",CADASTROS!$B$4+SUM($J$2:J1506)+SUM($M$2:M1506)-SUM($K$2:K1506)-SUM($L$2:L1506))</f>
        <v/>
      </c>
      <c r="O1506" s="72" t="str">
        <f>IF(A1506="","",SUMIF(RATEIOS!$A$2:$A$3142,$A1506,RATEIOS!$F$2:$F$3142))</f>
        <v/>
      </c>
      <c r="P1506" s="15" t="str">
        <f t="shared" si="48"/>
        <v/>
      </c>
      <c r="Q1506" s="49" t="str">
        <f>IF(AND(J1506=0,K1506=0,L1506=0,M1506=0),"",IF(O1506=0,"PENDENTE DE RATEIO",IF(ABS(P1506)&gt;0.005,"DIVERGÊNCIA",IF(COUNTIF(RATEIOS!$A$2:$A$3142,$A1506)-COUNTIFS(RATEIOS!$A$2:$A$3142,$A1506,RATEIOS!$D$2:$D$3142,"&lt;&gt;")&gt;0,"NÃO CLASSIFICADO","RATEIO OK"))))</f>
        <v/>
      </c>
      <c r="R1506" s="49"/>
      <c r="S1506" s="14"/>
    </row>
    <row r="1507" spans="1:19" ht="30" customHeight="1" x14ac:dyDescent="0.25">
      <c r="A1507" s="49" t="str">
        <f>IF(C1507="","","BAN-01506")</f>
        <v/>
      </c>
      <c r="B1507" s="98" t="str">
        <f>IF(C1507="","",1506)</f>
        <v/>
      </c>
      <c r="C1507" s="50"/>
      <c r="D1507" s="49" t="str">
        <f t="shared" si="47"/>
        <v/>
      </c>
      <c r="E1507" s="92"/>
      <c r="F1507" s="49"/>
      <c r="G1507" s="14"/>
      <c r="H1507" s="14"/>
      <c r="I1507" s="76"/>
      <c r="J1507" s="73"/>
      <c r="K1507" s="74"/>
      <c r="L1507" s="72"/>
      <c r="M1507" s="72"/>
      <c r="N1507" s="72" t="str">
        <f>IF(AND(C1507="",J1507=0,K1507=0,L1507=0,M1507=0),"",CADASTROS!$B$4+SUM($J$2:J1507)+SUM($M$2:M1507)-SUM($K$2:K1507)-SUM($L$2:L1507))</f>
        <v/>
      </c>
      <c r="O1507" s="72" t="str">
        <f>IF(A1507="","",SUMIF(RATEIOS!$A$2:$A$3142,$A1507,RATEIOS!$F$2:$F$3142))</f>
        <v/>
      </c>
      <c r="P1507" s="15" t="str">
        <f t="shared" si="48"/>
        <v/>
      </c>
      <c r="Q1507" s="49" t="str">
        <f>IF(AND(J1507=0,K1507=0,L1507=0,M1507=0),"",IF(O1507=0,"PENDENTE DE RATEIO",IF(ABS(P1507)&gt;0.005,"DIVERGÊNCIA",IF(COUNTIF(RATEIOS!$A$2:$A$3142,$A1507)-COUNTIFS(RATEIOS!$A$2:$A$3142,$A1507,RATEIOS!$D$2:$D$3142,"&lt;&gt;")&gt;0,"NÃO CLASSIFICADO","RATEIO OK"))))</f>
        <v/>
      </c>
      <c r="R1507" s="49"/>
      <c r="S1507" s="14"/>
    </row>
    <row r="1508" spans="1:19" ht="30" customHeight="1" x14ac:dyDescent="0.25">
      <c r="A1508" s="49" t="str">
        <f>IF(C1508="","","BAN-01507")</f>
        <v/>
      </c>
      <c r="B1508" s="98" t="str">
        <f>IF(C1508="","",1507)</f>
        <v/>
      </c>
      <c r="C1508" s="50"/>
      <c r="D1508" s="49" t="str">
        <f t="shared" si="47"/>
        <v/>
      </c>
      <c r="E1508" s="92"/>
      <c r="F1508" s="49"/>
      <c r="G1508" s="14"/>
      <c r="H1508" s="14"/>
      <c r="I1508" s="76"/>
      <c r="J1508" s="73"/>
      <c r="K1508" s="74"/>
      <c r="L1508" s="72"/>
      <c r="M1508" s="72"/>
      <c r="N1508" s="72" t="str">
        <f>IF(AND(C1508="",J1508=0,K1508=0,L1508=0,M1508=0),"",CADASTROS!$B$4+SUM($J$2:J1508)+SUM($M$2:M1508)-SUM($K$2:K1508)-SUM($L$2:L1508))</f>
        <v/>
      </c>
      <c r="O1508" s="72" t="str">
        <f>IF(A1508="","",SUMIF(RATEIOS!$A$2:$A$3142,$A1508,RATEIOS!$F$2:$F$3142))</f>
        <v/>
      </c>
      <c r="P1508" s="15" t="str">
        <f t="shared" si="48"/>
        <v/>
      </c>
      <c r="Q1508" s="49" t="str">
        <f>IF(AND(J1508=0,K1508=0,L1508=0,M1508=0),"",IF(O1508=0,"PENDENTE DE RATEIO",IF(ABS(P1508)&gt;0.005,"DIVERGÊNCIA",IF(COUNTIF(RATEIOS!$A$2:$A$3142,$A1508)-COUNTIFS(RATEIOS!$A$2:$A$3142,$A1508,RATEIOS!$D$2:$D$3142,"&lt;&gt;")&gt;0,"NÃO CLASSIFICADO","RATEIO OK"))))</f>
        <v/>
      </c>
      <c r="R1508" s="49"/>
      <c r="S1508" s="14"/>
    </row>
    <row r="1509" spans="1:19" ht="30" customHeight="1" x14ac:dyDescent="0.25">
      <c r="A1509" s="49" t="str">
        <f>IF(C1509="","","BAN-01508")</f>
        <v/>
      </c>
      <c r="B1509" s="98" t="str">
        <f>IF(C1509="","",1508)</f>
        <v/>
      </c>
      <c r="C1509" s="50"/>
      <c r="D1509" s="49" t="str">
        <f t="shared" si="47"/>
        <v/>
      </c>
      <c r="E1509" s="92"/>
      <c r="F1509" s="49"/>
      <c r="G1509" s="14"/>
      <c r="H1509" s="14"/>
      <c r="I1509" s="76"/>
      <c r="J1509" s="73"/>
      <c r="K1509" s="74"/>
      <c r="L1509" s="72"/>
      <c r="M1509" s="72"/>
      <c r="N1509" s="72" t="str">
        <f>IF(AND(C1509="",J1509=0,K1509=0,L1509=0,M1509=0),"",CADASTROS!$B$4+SUM($J$2:J1509)+SUM($M$2:M1509)-SUM($K$2:K1509)-SUM($L$2:L1509))</f>
        <v/>
      </c>
      <c r="O1509" s="72" t="str">
        <f>IF(A1509="","",SUMIF(RATEIOS!$A$2:$A$3142,$A1509,RATEIOS!$F$2:$F$3142))</f>
        <v/>
      </c>
      <c r="P1509" s="15" t="str">
        <f t="shared" si="48"/>
        <v/>
      </c>
      <c r="Q1509" s="49" t="str">
        <f>IF(AND(J1509=0,K1509=0,L1509=0,M1509=0),"",IF(O1509=0,"PENDENTE DE RATEIO",IF(ABS(P1509)&gt;0.005,"DIVERGÊNCIA",IF(COUNTIF(RATEIOS!$A$2:$A$3142,$A1509)-COUNTIFS(RATEIOS!$A$2:$A$3142,$A1509,RATEIOS!$D$2:$D$3142,"&lt;&gt;")&gt;0,"NÃO CLASSIFICADO","RATEIO OK"))))</f>
        <v/>
      </c>
      <c r="R1509" s="49"/>
      <c r="S1509" s="14"/>
    </row>
    <row r="1510" spans="1:19" ht="30" customHeight="1" x14ac:dyDescent="0.25">
      <c r="A1510" s="49" t="str">
        <f>IF(C1510="","","BAN-01509")</f>
        <v/>
      </c>
      <c r="B1510" s="98" t="str">
        <f>IF(C1510="","",1509)</f>
        <v/>
      </c>
      <c r="C1510" s="50"/>
      <c r="D1510" s="49" t="str">
        <f t="shared" si="47"/>
        <v/>
      </c>
      <c r="E1510" s="92"/>
      <c r="F1510" s="49"/>
      <c r="G1510" s="14"/>
      <c r="H1510" s="14"/>
      <c r="I1510" s="76"/>
      <c r="J1510" s="73"/>
      <c r="K1510" s="74"/>
      <c r="L1510" s="72"/>
      <c r="M1510" s="72"/>
      <c r="N1510" s="72" t="str">
        <f>IF(AND(C1510="",J1510=0,K1510=0,L1510=0,M1510=0),"",CADASTROS!$B$4+SUM($J$2:J1510)+SUM($M$2:M1510)-SUM($K$2:K1510)-SUM($L$2:L1510))</f>
        <v/>
      </c>
      <c r="O1510" s="72" t="str">
        <f>IF(A1510="","",SUMIF(RATEIOS!$A$2:$A$3142,$A1510,RATEIOS!$F$2:$F$3142))</f>
        <v/>
      </c>
      <c r="P1510" s="15" t="str">
        <f t="shared" si="48"/>
        <v/>
      </c>
      <c r="Q1510" s="49" t="str">
        <f>IF(AND(J1510=0,K1510=0,L1510=0,M1510=0),"",IF(O1510=0,"PENDENTE DE RATEIO",IF(ABS(P1510)&gt;0.005,"DIVERGÊNCIA",IF(COUNTIF(RATEIOS!$A$2:$A$3142,$A1510)-COUNTIFS(RATEIOS!$A$2:$A$3142,$A1510,RATEIOS!$D$2:$D$3142,"&lt;&gt;")&gt;0,"NÃO CLASSIFICADO","RATEIO OK"))))</f>
        <v/>
      </c>
      <c r="R1510" s="49"/>
      <c r="S1510" s="14"/>
    </row>
    <row r="1511" spans="1:19" ht="30" customHeight="1" x14ac:dyDescent="0.25">
      <c r="A1511" s="49" t="str">
        <f>IF(C1511="","","BAN-01510")</f>
        <v/>
      </c>
      <c r="B1511" s="98" t="str">
        <f>IF(C1511="","",1510)</f>
        <v/>
      </c>
      <c r="C1511" s="50"/>
      <c r="D1511" s="49" t="str">
        <f t="shared" si="47"/>
        <v/>
      </c>
      <c r="E1511" s="92"/>
      <c r="F1511" s="49"/>
      <c r="G1511" s="14"/>
      <c r="H1511" s="14"/>
      <c r="I1511" s="76"/>
      <c r="J1511" s="73"/>
      <c r="K1511" s="74"/>
      <c r="L1511" s="72"/>
      <c r="M1511" s="72"/>
      <c r="N1511" s="72" t="str">
        <f>IF(AND(C1511="",J1511=0,K1511=0,L1511=0,M1511=0),"",CADASTROS!$B$4+SUM($J$2:J1511)+SUM($M$2:M1511)-SUM($K$2:K1511)-SUM($L$2:L1511))</f>
        <v/>
      </c>
      <c r="O1511" s="72" t="str">
        <f>IF(A1511="","",SUMIF(RATEIOS!$A$2:$A$3142,$A1511,RATEIOS!$F$2:$F$3142))</f>
        <v/>
      </c>
      <c r="P1511" s="15" t="str">
        <f t="shared" si="48"/>
        <v/>
      </c>
      <c r="Q1511" s="49" t="str">
        <f>IF(AND(J1511=0,K1511=0,L1511=0,M1511=0),"",IF(O1511=0,"PENDENTE DE RATEIO",IF(ABS(P1511)&gt;0.005,"DIVERGÊNCIA",IF(COUNTIF(RATEIOS!$A$2:$A$3142,$A1511)-COUNTIFS(RATEIOS!$A$2:$A$3142,$A1511,RATEIOS!$D$2:$D$3142,"&lt;&gt;")&gt;0,"NÃO CLASSIFICADO","RATEIO OK"))))</f>
        <v/>
      </c>
      <c r="R1511" s="49"/>
      <c r="S1511" s="14"/>
    </row>
    <row r="1512" spans="1:19" ht="30" customHeight="1" x14ac:dyDescent="0.25">
      <c r="A1512" s="49" t="str">
        <f>IF(C1512="","","BAN-01511")</f>
        <v/>
      </c>
      <c r="B1512" s="98" t="str">
        <f>IF(C1512="","",1511)</f>
        <v/>
      </c>
      <c r="C1512" s="50"/>
      <c r="D1512" s="49" t="str">
        <f t="shared" si="47"/>
        <v/>
      </c>
      <c r="E1512" s="92"/>
      <c r="F1512" s="49"/>
      <c r="G1512" s="14"/>
      <c r="H1512" s="14"/>
      <c r="I1512" s="76"/>
      <c r="J1512" s="73"/>
      <c r="K1512" s="74"/>
      <c r="L1512" s="72"/>
      <c r="M1512" s="72"/>
      <c r="N1512" s="72" t="str">
        <f>IF(AND(C1512="",J1512=0,K1512=0,L1512=0,M1512=0),"",CADASTROS!$B$4+SUM($J$2:J1512)+SUM($M$2:M1512)-SUM($K$2:K1512)-SUM($L$2:L1512))</f>
        <v/>
      </c>
      <c r="O1512" s="72" t="str">
        <f>IF(A1512="","",SUMIF(RATEIOS!$A$2:$A$3142,$A1512,RATEIOS!$F$2:$F$3142))</f>
        <v/>
      </c>
      <c r="P1512" s="15" t="str">
        <f t="shared" si="48"/>
        <v/>
      </c>
      <c r="Q1512" s="49" t="str">
        <f>IF(AND(J1512=0,K1512=0,L1512=0,M1512=0),"",IF(O1512=0,"PENDENTE DE RATEIO",IF(ABS(P1512)&gt;0.005,"DIVERGÊNCIA",IF(COUNTIF(RATEIOS!$A$2:$A$3142,$A1512)-COUNTIFS(RATEIOS!$A$2:$A$3142,$A1512,RATEIOS!$D$2:$D$3142,"&lt;&gt;")&gt;0,"NÃO CLASSIFICADO","RATEIO OK"))))</f>
        <v/>
      </c>
      <c r="R1512" s="49"/>
      <c r="S1512" s="14"/>
    </row>
    <row r="1513" spans="1:19" ht="30" customHeight="1" x14ac:dyDescent="0.25">
      <c r="A1513" s="49" t="str">
        <f>IF(C1513="","","BAN-01512")</f>
        <v/>
      </c>
      <c r="B1513" s="98" t="str">
        <f>IF(C1513="","",1512)</f>
        <v/>
      </c>
      <c r="C1513" s="50"/>
      <c r="D1513" s="49" t="str">
        <f t="shared" si="47"/>
        <v/>
      </c>
      <c r="E1513" s="92"/>
      <c r="F1513" s="49"/>
      <c r="G1513" s="14"/>
      <c r="H1513" s="14"/>
      <c r="I1513" s="76"/>
      <c r="J1513" s="73"/>
      <c r="K1513" s="74"/>
      <c r="L1513" s="72"/>
      <c r="M1513" s="72"/>
      <c r="N1513" s="72" t="str">
        <f>IF(AND(C1513="",J1513=0,K1513=0,L1513=0,M1513=0),"",CADASTROS!$B$4+SUM($J$2:J1513)+SUM($M$2:M1513)-SUM($K$2:K1513)-SUM($L$2:L1513))</f>
        <v/>
      </c>
      <c r="O1513" s="72" t="str">
        <f>IF(A1513="","",SUMIF(RATEIOS!$A$2:$A$3142,$A1513,RATEIOS!$F$2:$F$3142))</f>
        <v/>
      </c>
      <c r="P1513" s="15" t="str">
        <f t="shared" si="48"/>
        <v/>
      </c>
      <c r="Q1513" s="49" t="str">
        <f>IF(AND(J1513=0,K1513=0,L1513=0,M1513=0),"",IF(O1513=0,"PENDENTE DE RATEIO",IF(ABS(P1513)&gt;0.005,"DIVERGÊNCIA",IF(COUNTIF(RATEIOS!$A$2:$A$3142,$A1513)-COUNTIFS(RATEIOS!$A$2:$A$3142,$A1513,RATEIOS!$D$2:$D$3142,"&lt;&gt;")&gt;0,"NÃO CLASSIFICADO","RATEIO OK"))))</f>
        <v/>
      </c>
      <c r="R1513" s="49"/>
      <c r="S1513" s="14"/>
    </row>
    <row r="1514" spans="1:19" ht="30" customHeight="1" x14ac:dyDescent="0.25">
      <c r="A1514" s="49" t="str">
        <f>IF(C1514="","","BAN-01513")</f>
        <v/>
      </c>
      <c r="B1514" s="98" t="str">
        <f>IF(C1514="","",1513)</f>
        <v/>
      </c>
      <c r="C1514" s="50"/>
      <c r="D1514" s="49" t="str">
        <f t="shared" si="47"/>
        <v/>
      </c>
      <c r="E1514" s="92"/>
      <c r="F1514" s="49"/>
      <c r="G1514" s="14"/>
      <c r="H1514" s="14"/>
      <c r="I1514" s="76"/>
      <c r="J1514" s="73"/>
      <c r="K1514" s="74"/>
      <c r="L1514" s="72"/>
      <c r="M1514" s="72"/>
      <c r="N1514" s="72" t="str">
        <f>IF(AND(C1514="",J1514=0,K1514=0,L1514=0,M1514=0),"",CADASTROS!$B$4+SUM($J$2:J1514)+SUM($M$2:M1514)-SUM($K$2:K1514)-SUM($L$2:L1514))</f>
        <v/>
      </c>
      <c r="O1514" s="72" t="str">
        <f>IF(A1514="","",SUMIF(RATEIOS!$A$2:$A$3142,$A1514,RATEIOS!$F$2:$F$3142))</f>
        <v/>
      </c>
      <c r="P1514" s="15" t="str">
        <f t="shared" si="48"/>
        <v/>
      </c>
      <c r="Q1514" s="49" t="str">
        <f>IF(AND(J1514=0,K1514=0,L1514=0,M1514=0),"",IF(O1514=0,"PENDENTE DE RATEIO",IF(ABS(P1514)&gt;0.005,"DIVERGÊNCIA",IF(COUNTIF(RATEIOS!$A$2:$A$3142,$A1514)-COUNTIFS(RATEIOS!$A$2:$A$3142,$A1514,RATEIOS!$D$2:$D$3142,"&lt;&gt;")&gt;0,"NÃO CLASSIFICADO","RATEIO OK"))))</f>
        <v/>
      </c>
      <c r="R1514" s="49"/>
      <c r="S1514" s="14"/>
    </row>
    <row r="1515" spans="1:19" ht="30" customHeight="1" x14ac:dyDescent="0.25">
      <c r="A1515" s="49" t="str">
        <f>IF(C1515="","","BAN-01514")</f>
        <v/>
      </c>
      <c r="B1515" s="98" t="str">
        <f>IF(C1515="","",1514)</f>
        <v/>
      </c>
      <c r="C1515" s="50"/>
      <c r="D1515" s="49" t="str">
        <f t="shared" si="47"/>
        <v/>
      </c>
      <c r="E1515" s="92"/>
      <c r="F1515" s="49"/>
      <c r="G1515" s="14"/>
      <c r="H1515" s="14"/>
      <c r="I1515" s="76"/>
      <c r="J1515" s="73"/>
      <c r="K1515" s="74"/>
      <c r="L1515" s="72"/>
      <c r="M1515" s="72"/>
      <c r="N1515" s="72" t="str">
        <f>IF(AND(C1515="",J1515=0,K1515=0,L1515=0,M1515=0),"",CADASTROS!$B$4+SUM($J$2:J1515)+SUM($M$2:M1515)-SUM($K$2:K1515)-SUM($L$2:L1515))</f>
        <v/>
      </c>
      <c r="O1515" s="72" t="str">
        <f>IF(A1515="","",SUMIF(RATEIOS!$A$2:$A$3142,$A1515,RATEIOS!$F$2:$F$3142))</f>
        <v/>
      </c>
      <c r="P1515" s="15" t="str">
        <f t="shared" si="48"/>
        <v/>
      </c>
      <c r="Q1515" s="49" t="str">
        <f>IF(AND(J1515=0,K1515=0,L1515=0,M1515=0),"",IF(O1515=0,"PENDENTE DE RATEIO",IF(ABS(P1515)&gt;0.005,"DIVERGÊNCIA",IF(COUNTIF(RATEIOS!$A$2:$A$3142,$A1515)-COUNTIFS(RATEIOS!$A$2:$A$3142,$A1515,RATEIOS!$D$2:$D$3142,"&lt;&gt;")&gt;0,"NÃO CLASSIFICADO","RATEIO OK"))))</f>
        <v/>
      </c>
      <c r="R1515" s="49"/>
      <c r="S1515" s="14"/>
    </row>
    <row r="1516" spans="1:19" ht="30" customHeight="1" x14ac:dyDescent="0.25">
      <c r="A1516" s="49" t="str">
        <f>IF(C1516="","","BAN-01515")</f>
        <v/>
      </c>
      <c r="B1516" s="98" t="str">
        <f>IF(C1516="","",1515)</f>
        <v/>
      </c>
      <c r="C1516" s="50"/>
      <c r="D1516" s="49" t="str">
        <f t="shared" si="47"/>
        <v/>
      </c>
      <c r="E1516" s="92"/>
      <c r="F1516" s="49"/>
      <c r="G1516" s="14"/>
      <c r="H1516" s="14"/>
      <c r="I1516" s="76"/>
      <c r="J1516" s="73"/>
      <c r="K1516" s="74"/>
      <c r="L1516" s="72"/>
      <c r="M1516" s="72"/>
      <c r="N1516" s="72" t="str">
        <f>IF(AND(C1516="",J1516=0,K1516=0,L1516=0,M1516=0),"",CADASTROS!$B$4+SUM($J$2:J1516)+SUM($M$2:M1516)-SUM($K$2:K1516)-SUM($L$2:L1516))</f>
        <v/>
      </c>
      <c r="O1516" s="72" t="str">
        <f>IF(A1516="","",SUMIF(RATEIOS!$A$2:$A$3142,$A1516,RATEIOS!$F$2:$F$3142))</f>
        <v/>
      </c>
      <c r="P1516" s="15" t="str">
        <f t="shared" si="48"/>
        <v/>
      </c>
      <c r="Q1516" s="49" t="str">
        <f>IF(AND(J1516=0,K1516=0,L1516=0,M1516=0),"",IF(O1516=0,"PENDENTE DE RATEIO",IF(ABS(P1516)&gt;0.005,"DIVERGÊNCIA",IF(COUNTIF(RATEIOS!$A$2:$A$3142,$A1516)-COUNTIFS(RATEIOS!$A$2:$A$3142,$A1516,RATEIOS!$D$2:$D$3142,"&lt;&gt;")&gt;0,"NÃO CLASSIFICADO","RATEIO OK"))))</f>
        <v/>
      </c>
      <c r="R1516" s="49"/>
      <c r="S1516" s="14"/>
    </row>
    <row r="1517" spans="1:19" ht="30" customHeight="1" x14ac:dyDescent="0.25">
      <c r="A1517" s="49" t="str">
        <f>IF(C1517="","","BAN-01516")</f>
        <v/>
      </c>
      <c r="B1517" s="98" t="str">
        <f>IF(C1517="","",1516)</f>
        <v/>
      </c>
      <c r="C1517" s="50"/>
      <c r="D1517" s="49" t="str">
        <f t="shared" si="47"/>
        <v/>
      </c>
      <c r="E1517" s="92"/>
      <c r="F1517" s="49"/>
      <c r="G1517" s="14"/>
      <c r="H1517" s="14"/>
      <c r="I1517" s="76"/>
      <c r="J1517" s="73"/>
      <c r="K1517" s="74"/>
      <c r="L1517" s="72"/>
      <c r="M1517" s="72"/>
      <c r="N1517" s="72" t="str">
        <f>IF(AND(C1517="",J1517=0,K1517=0,L1517=0,M1517=0),"",CADASTROS!$B$4+SUM($J$2:J1517)+SUM($M$2:M1517)-SUM($K$2:K1517)-SUM($L$2:L1517))</f>
        <v/>
      </c>
      <c r="O1517" s="72" t="str">
        <f>IF(A1517="","",SUMIF(RATEIOS!$A$2:$A$3142,$A1517,RATEIOS!$F$2:$F$3142))</f>
        <v/>
      </c>
      <c r="P1517" s="15" t="str">
        <f t="shared" si="48"/>
        <v/>
      </c>
      <c r="Q1517" s="49" t="str">
        <f>IF(AND(J1517=0,K1517=0,L1517=0,M1517=0),"",IF(O1517=0,"PENDENTE DE RATEIO",IF(ABS(P1517)&gt;0.005,"DIVERGÊNCIA",IF(COUNTIF(RATEIOS!$A$2:$A$3142,$A1517)-COUNTIFS(RATEIOS!$A$2:$A$3142,$A1517,RATEIOS!$D$2:$D$3142,"&lt;&gt;")&gt;0,"NÃO CLASSIFICADO","RATEIO OK"))))</f>
        <v/>
      </c>
      <c r="R1517" s="49"/>
      <c r="S1517" s="14"/>
    </row>
    <row r="1518" spans="1:19" ht="30" customHeight="1" x14ac:dyDescent="0.25">
      <c r="A1518" s="49" t="str">
        <f>IF(C1518="","","BAN-01517")</f>
        <v/>
      </c>
      <c r="B1518" s="98" t="str">
        <f>IF(C1518="","",1517)</f>
        <v/>
      </c>
      <c r="C1518" s="50"/>
      <c r="D1518" s="49" t="str">
        <f t="shared" si="47"/>
        <v/>
      </c>
      <c r="E1518" s="92"/>
      <c r="F1518" s="49"/>
      <c r="G1518" s="14"/>
      <c r="H1518" s="14"/>
      <c r="I1518" s="76"/>
      <c r="J1518" s="73"/>
      <c r="K1518" s="74"/>
      <c r="L1518" s="72"/>
      <c r="M1518" s="72"/>
      <c r="N1518" s="72" t="str">
        <f>IF(AND(C1518="",J1518=0,K1518=0,L1518=0,M1518=0),"",CADASTROS!$B$4+SUM($J$2:J1518)+SUM($M$2:M1518)-SUM($K$2:K1518)-SUM($L$2:L1518))</f>
        <v/>
      </c>
      <c r="O1518" s="72" t="str">
        <f>IF(A1518="","",SUMIF(RATEIOS!$A$2:$A$3142,$A1518,RATEIOS!$F$2:$F$3142))</f>
        <v/>
      </c>
      <c r="P1518" s="15" t="str">
        <f t="shared" si="48"/>
        <v/>
      </c>
      <c r="Q1518" s="49" t="str">
        <f>IF(AND(J1518=0,K1518=0,L1518=0,M1518=0),"",IF(O1518=0,"PENDENTE DE RATEIO",IF(ABS(P1518)&gt;0.005,"DIVERGÊNCIA",IF(COUNTIF(RATEIOS!$A$2:$A$3142,$A1518)-COUNTIFS(RATEIOS!$A$2:$A$3142,$A1518,RATEIOS!$D$2:$D$3142,"&lt;&gt;")&gt;0,"NÃO CLASSIFICADO","RATEIO OK"))))</f>
        <v/>
      </c>
      <c r="R1518" s="49"/>
      <c r="S1518" s="14"/>
    </row>
    <row r="1519" spans="1:19" ht="30" customHeight="1" x14ac:dyDescent="0.25">
      <c r="A1519" s="49" t="str">
        <f>IF(C1519="","","BAN-01518")</f>
        <v/>
      </c>
      <c r="B1519" s="98" t="str">
        <f>IF(C1519="","",1518)</f>
        <v/>
      </c>
      <c r="C1519" s="50"/>
      <c r="D1519" s="49" t="str">
        <f t="shared" si="47"/>
        <v/>
      </c>
      <c r="E1519" s="92"/>
      <c r="F1519" s="49"/>
      <c r="G1519" s="14"/>
      <c r="H1519" s="14"/>
      <c r="I1519" s="76"/>
      <c r="J1519" s="73"/>
      <c r="K1519" s="74"/>
      <c r="L1519" s="72"/>
      <c r="M1519" s="72"/>
      <c r="N1519" s="72" t="str">
        <f>IF(AND(C1519="",J1519=0,K1519=0,L1519=0,M1519=0),"",CADASTROS!$B$4+SUM($J$2:J1519)+SUM($M$2:M1519)-SUM($K$2:K1519)-SUM($L$2:L1519))</f>
        <v/>
      </c>
      <c r="O1519" s="72" t="str">
        <f>IF(A1519="","",SUMIF(RATEIOS!$A$2:$A$3142,$A1519,RATEIOS!$F$2:$F$3142))</f>
        <v/>
      </c>
      <c r="P1519" s="15" t="str">
        <f t="shared" si="48"/>
        <v/>
      </c>
      <c r="Q1519" s="49" t="str">
        <f>IF(AND(J1519=0,K1519=0,L1519=0,M1519=0),"",IF(O1519=0,"PENDENTE DE RATEIO",IF(ABS(P1519)&gt;0.005,"DIVERGÊNCIA",IF(COUNTIF(RATEIOS!$A$2:$A$3142,$A1519)-COUNTIFS(RATEIOS!$A$2:$A$3142,$A1519,RATEIOS!$D$2:$D$3142,"&lt;&gt;")&gt;0,"NÃO CLASSIFICADO","RATEIO OK"))))</f>
        <v/>
      </c>
      <c r="R1519" s="49"/>
      <c r="S1519" s="14"/>
    </row>
    <row r="1520" spans="1:19" ht="30" customHeight="1" x14ac:dyDescent="0.25">
      <c r="A1520" s="49" t="str">
        <f>IF(C1520="","","BAN-01519")</f>
        <v/>
      </c>
      <c r="B1520" s="98" t="str">
        <f>IF(C1520="","",1519)</f>
        <v/>
      </c>
      <c r="C1520" s="50"/>
      <c r="D1520" s="49" t="str">
        <f t="shared" si="47"/>
        <v/>
      </c>
      <c r="E1520" s="92"/>
      <c r="F1520" s="49"/>
      <c r="G1520" s="14"/>
      <c r="H1520" s="14"/>
      <c r="I1520" s="76"/>
      <c r="J1520" s="73"/>
      <c r="K1520" s="74"/>
      <c r="L1520" s="72"/>
      <c r="M1520" s="72"/>
      <c r="N1520" s="72" t="str">
        <f>IF(AND(C1520="",J1520=0,K1520=0,L1520=0,M1520=0),"",CADASTROS!$B$4+SUM($J$2:J1520)+SUM($M$2:M1520)-SUM($K$2:K1520)-SUM($L$2:L1520))</f>
        <v/>
      </c>
      <c r="O1520" s="72" t="str">
        <f>IF(A1520="","",SUMIF(RATEIOS!$A$2:$A$3142,$A1520,RATEIOS!$F$2:$F$3142))</f>
        <v/>
      </c>
      <c r="P1520" s="15" t="str">
        <f t="shared" si="48"/>
        <v/>
      </c>
      <c r="Q1520" s="49" t="str">
        <f>IF(AND(J1520=0,K1520=0,L1520=0,M1520=0),"",IF(O1520=0,"PENDENTE DE RATEIO",IF(ABS(P1520)&gt;0.005,"DIVERGÊNCIA",IF(COUNTIF(RATEIOS!$A$2:$A$3142,$A1520)-COUNTIFS(RATEIOS!$A$2:$A$3142,$A1520,RATEIOS!$D$2:$D$3142,"&lt;&gt;")&gt;0,"NÃO CLASSIFICADO","RATEIO OK"))))</f>
        <v/>
      </c>
      <c r="R1520" s="49"/>
      <c r="S1520" s="14"/>
    </row>
    <row r="1521" spans="1:19" ht="30" customHeight="1" x14ac:dyDescent="0.25">
      <c r="A1521" s="49" t="str">
        <f>IF(C1521="","","BAN-01520")</f>
        <v/>
      </c>
      <c r="B1521" s="98" t="str">
        <f>IF(C1521="","",1520)</f>
        <v/>
      </c>
      <c r="C1521" s="50"/>
      <c r="D1521" s="49" t="str">
        <f t="shared" si="47"/>
        <v/>
      </c>
      <c r="E1521" s="92"/>
      <c r="F1521" s="49"/>
      <c r="G1521" s="14"/>
      <c r="H1521" s="14"/>
      <c r="I1521" s="76"/>
      <c r="J1521" s="73"/>
      <c r="K1521" s="74"/>
      <c r="L1521" s="72"/>
      <c r="M1521" s="72"/>
      <c r="N1521" s="72" t="str">
        <f>IF(AND(C1521="",J1521=0,K1521=0,L1521=0,M1521=0),"",CADASTROS!$B$4+SUM($J$2:J1521)+SUM($M$2:M1521)-SUM($K$2:K1521)-SUM($L$2:L1521))</f>
        <v/>
      </c>
      <c r="O1521" s="72" t="str">
        <f>IF(A1521="","",SUMIF(RATEIOS!$A$2:$A$3142,$A1521,RATEIOS!$F$2:$F$3142))</f>
        <v/>
      </c>
      <c r="P1521" s="15" t="str">
        <f t="shared" si="48"/>
        <v/>
      </c>
      <c r="Q1521" s="49" t="str">
        <f>IF(AND(J1521=0,K1521=0,L1521=0,M1521=0),"",IF(O1521=0,"PENDENTE DE RATEIO",IF(ABS(P1521)&gt;0.005,"DIVERGÊNCIA",IF(COUNTIF(RATEIOS!$A$2:$A$3142,$A1521)-COUNTIFS(RATEIOS!$A$2:$A$3142,$A1521,RATEIOS!$D$2:$D$3142,"&lt;&gt;")&gt;0,"NÃO CLASSIFICADO","RATEIO OK"))))</f>
        <v/>
      </c>
      <c r="R1521" s="49"/>
      <c r="S1521" s="14"/>
    </row>
    <row r="1522" spans="1:19" ht="30" customHeight="1" x14ac:dyDescent="0.25">
      <c r="A1522" s="49" t="str">
        <f>IF(C1522="","","BAN-01521")</f>
        <v/>
      </c>
      <c r="B1522" s="98" t="str">
        <f>IF(C1522="","",1521)</f>
        <v/>
      </c>
      <c r="C1522" s="50"/>
      <c r="D1522" s="49" t="str">
        <f t="shared" si="47"/>
        <v/>
      </c>
      <c r="E1522" s="92"/>
      <c r="F1522" s="49"/>
      <c r="G1522" s="14"/>
      <c r="H1522" s="14"/>
      <c r="I1522" s="76"/>
      <c r="J1522" s="73"/>
      <c r="K1522" s="74"/>
      <c r="L1522" s="72"/>
      <c r="M1522" s="72"/>
      <c r="N1522" s="72" t="str">
        <f>IF(AND(C1522="",J1522=0,K1522=0,L1522=0,M1522=0),"",CADASTROS!$B$4+SUM($J$2:J1522)+SUM($M$2:M1522)-SUM($K$2:K1522)-SUM($L$2:L1522))</f>
        <v/>
      </c>
      <c r="O1522" s="72" t="str">
        <f>IF(A1522="","",SUMIF(RATEIOS!$A$2:$A$3142,$A1522,RATEIOS!$F$2:$F$3142))</f>
        <v/>
      </c>
      <c r="P1522" s="15" t="str">
        <f t="shared" si="48"/>
        <v/>
      </c>
      <c r="Q1522" s="49" t="str">
        <f>IF(AND(J1522=0,K1522=0,L1522=0,M1522=0),"",IF(O1522=0,"PENDENTE DE RATEIO",IF(ABS(P1522)&gt;0.005,"DIVERGÊNCIA",IF(COUNTIF(RATEIOS!$A$2:$A$3142,$A1522)-COUNTIFS(RATEIOS!$A$2:$A$3142,$A1522,RATEIOS!$D$2:$D$3142,"&lt;&gt;")&gt;0,"NÃO CLASSIFICADO","RATEIO OK"))))</f>
        <v/>
      </c>
      <c r="R1522" s="49"/>
      <c r="S1522" s="14"/>
    </row>
    <row r="1523" spans="1:19" ht="30" customHeight="1" x14ac:dyDescent="0.25">
      <c r="A1523" s="49" t="str">
        <f>IF(C1523="","","BAN-01522")</f>
        <v/>
      </c>
      <c r="B1523" s="98" t="str">
        <f>IF(C1523="","",1522)</f>
        <v/>
      </c>
      <c r="C1523" s="50"/>
      <c r="D1523" s="49" t="str">
        <f t="shared" si="47"/>
        <v/>
      </c>
      <c r="E1523" s="92"/>
      <c r="F1523" s="49"/>
      <c r="G1523" s="14"/>
      <c r="H1523" s="14"/>
      <c r="I1523" s="76"/>
      <c r="J1523" s="73"/>
      <c r="K1523" s="74"/>
      <c r="L1523" s="72"/>
      <c r="M1523" s="72"/>
      <c r="N1523" s="72" t="str">
        <f>IF(AND(C1523="",J1523=0,K1523=0,L1523=0,M1523=0),"",CADASTROS!$B$4+SUM($J$2:J1523)+SUM($M$2:M1523)-SUM($K$2:K1523)-SUM($L$2:L1523))</f>
        <v/>
      </c>
      <c r="O1523" s="72" t="str">
        <f>IF(A1523="","",SUMIF(RATEIOS!$A$2:$A$3142,$A1523,RATEIOS!$F$2:$F$3142))</f>
        <v/>
      </c>
      <c r="P1523" s="15" t="str">
        <f t="shared" si="48"/>
        <v/>
      </c>
      <c r="Q1523" s="49" t="str">
        <f>IF(AND(J1523=0,K1523=0,L1523=0,M1523=0),"",IF(O1523=0,"PENDENTE DE RATEIO",IF(ABS(P1523)&gt;0.005,"DIVERGÊNCIA",IF(COUNTIF(RATEIOS!$A$2:$A$3142,$A1523)-COUNTIFS(RATEIOS!$A$2:$A$3142,$A1523,RATEIOS!$D$2:$D$3142,"&lt;&gt;")&gt;0,"NÃO CLASSIFICADO","RATEIO OK"))))</f>
        <v/>
      </c>
      <c r="R1523" s="49"/>
      <c r="S1523" s="14"/>
    </row>
    <row r="1524" spans="1:19" ht="30" customHeight="1" x14ac:dyDescent="0.25">
      <c r="A1524" s="49" t="str">
        <f>IF(C1524="","","BAN-01523")</f>
        <v/>
      </c>
      <c r="B1524" s="98" t="str">
        <f>IF(C1524="","",1523)</f>
        <v/>
      </c>
      <c r="C1524" s="50"/>
      <c r="D1524" s="49" t="str">
        <f t="shared" si="47"/>
        <v/>
      </c>
      <c r="E1524" s="92"/>
      <c r="F1524" s="49"/>
      <c r="G1524" s="14"/>
      <c r="H1524" s="14"/>
      <c r="I1524" s="76"/>
      <c r="J1524" s="73"/>
      <c r="K1524" s="74"/>
      <c r="L1524" s="72"/>
      <c r="M1524" s="72"/>
      <c r="N1524" s="72" t="str">
        <f>IF(AND(C1524="",J1524=0,K1524=0,L1524=0,M1524=0),"",CADASTROS!$B$4+SUM($J$2:J1524)+SUM($M$2:M1524)-SUM($K$2:K1524)-SUM($L$2:L1524))</f>
        <v/>
      </c>
      <c r="O1524" s="72" t="str">
        <f>IF(A1524="","",SUMIF(RATEIOS!$A$2:$A$3142,$A1524,RATEIOS!$F$2:$F$3142))</f>
        <v/>
      </c>
      <c r="P1524" s="15" t="str">
        <f t="shared" si="48"/>
        <v/>
      </c>
      <c r="Q1524" s="49" t="str">
        <f>IF(AND(J1524=0,K1524=0,L1524=0,M1524=0),"",IF(O1524=0,"PENDENTE DE RATEIO",IF(ABS(P1524)&gt;0.005,"DIVERGÊNCIA",IF(COUNTIF(RATEIOS!$A$2:$A$3142,$A1524)-COUNTIFS(RATEIOS!$A$2:$A$3142,$A1524,RATEIOS!$D$2:$D$3142,"&lt;&gt;")&gt;0,"NÃO CLASSIFICADO","RATEIO OK"))))</f>
        <v/>
      </c>
      <c r="R1524" s="49"/>
      <c r="S1524" s="14"/>
    </row>
    <row r="1525" spans="1:19" ht="30" customHeight="1" x14ac:dyDescent="0.25">
      <c r="A1525" s="49" t="str">
        <f>IF(C1525="","","BAN-01524")</f>
        <v/>
      </c>
      <c r="B1525" s="98" t="str">
        <f>IF(C1525="","",1524)</f>
        <v/>
      </c>
      <c r="C1525" s="50"/>
      <c r="D1525" s="49" t="str">
        <f t="shared" si="47"/>
        <v/>
      </c>
      <c r="E1525" s="92"/>
      <c r="F1525" s="49"/>
      <c r="G1525" s="14"/>
      <c r="H1525" s="14"/>
      <c r="I1525" s="76"/>
      <c r="J1525" s="73"/>
      <c r="K1525" s="74"/>
      <c r="L1525" s="72"/>
      <c r="M1525" s="72"/>
      <c r="N1525" s="72" t="str">
        <f>IF(AND(C1525="",J1525=0,K1525=0,L1525=0,M1525=0),"",CADASTROS!$B$4+SUM($J$2:J1525)+SUM($M$2:M1525)-SUM($K$2:K1525)-SUM($L$2:L1525))</f>
        <v/>
      </c>
      <c r="O1525" s="72" t="str">
        <f>IF(A1525="","",SUMIF(RATEIOS!$A$2:$A$3142,$A1525,RATEIOS!$F$2:$F$3142))</f>
        <v/>
      </c>
      <c r="P1525" s="15" t="str">
        <f t="shared" si="48"/>
        <v/>
      </c>
      <c r="Q1525" s="49" t="str">
        <f>IF(AND(J1525=0,K1525=0,L1525=0,M1525=0),"",IF(O1525=0,"PENDENTE DE RATEIO",IF(ABS(P1525)&gt;0.005,"DIVERGÊNCIA",IF(COUNTIF(RATEIOS!$A$2:$A$3142,$A1525)-COUNTIFS(RATEIOS!$A$2:$A$3142,$A1525,RATEIOS!$D$2:$D$3142,"&lt;&gt;")&gt;0,"NÃO CLASSIFICADO","RATEIO OK"))))</f>
        <v/>
      </c>
      <c r="R1525" s="49"/>
      <c r="S1525" s="14"/>
    </row>
    <row r="1526" spans="1:19" ht="30" customHeight="1" x14ac:dyDescent="0.25">
      <c r="A1526" s="49" t="str">
        <f>IF(C1526="","","BAN-01525")</f>
        <v/>
      </c>
      <c r="B1526" s="98" t="str">
        <f>IF(C1526="","",1525)</f>
        <v/>
      </c>
      <c r="C1526" s="50"/>
      <c r="D1526" s="49" t="str">
        <f t="shared" si="47"/>
        <v/>
      </c>
      <c r="E1526" s="92"/>
      <c r="F1526" s="49"/>
      <c r="G1526" s="14"/>
      <c r="H1526" s="14"/>
      <c r="I1526" s="76"/>
      <c r="J1526" s="73"/>
      <c r="K1526" s="74"/>
      <c r="L1526" s="72"/>
      <c r="M1526" s="72"/>
      <c r="N1526" s="72" t="str">
        <f>IF(AND(C1526="",J1526=0,K1526=0,L1526=0,M1526=0),"",CADASTROS!$B$4+SUM($J$2:J1526)+SUM($M$2:M1526)-SUM($K$2:K1526)-SUM($L$2:L1526))</f>
        <v/>
      </c>
      <c r="O1526" s="72" t="str">
        <f>IF(A1526="","",SUMIF(RATEIOS!$A$2:$A$3142,$A1526,RATEIOS!$F$2:$F$3142))</f>
        <v/>
      </c>
      <c r="P1526" s="15" t="str">
        <f t="shared" si="48"/>
        <v/>
      </c>
      <c r="Q1526" s="49" t="str">
        <f>IF(AND(J1526=0,K1526=0,L1526=0,M1526=0),"",IF(O1526=0,"PENDENTE DE RATEIO",IF(ABS(P1526)&gt;0.005,"DIVERGÊNCIA",IF(COUNTIF(RATEIOS!$A$2:$A$3142,$A1526)-COUNTIFS(RATEIOS!$A$2:$A$3142,$A1526,RATEIOS!$D$2:$D$3142,"&lt;&gt;")&gt;0,"NÃO CLASSIFICADO","RATEIO OK"))))</f>
        <v/>
      </c>
      <c r="R1526" s="49"/>
      <c r="S1526" s="14"/>
    </row>
    <row r="1527" spans="1:19" ht="30" customHeight="1" x14ac:dyDescent="0.25">
      <c r="A1527" s="49" t="str">
        <f>IF(C1527="","","BAN-01526")</f>
        <v/>
      </c>
      <c r="B1527" s="98" t="str">
        <f>IF(C1527="","",1526)</f>
        <v/>
      </c>
      <c r="C1527" s="50"/>
      <c r="D1527" s="49" t="str">
        <f t="shared" si="47"/>
        <v/>
      </c>
      <c r="E1527" s="92"/>
      <c r="F1527" s="49"/>
      <c r="G1527" s="14"/>
      <c r="H1527" s="14"/>
      <c r="I1527" s="76"/>
      <c r="J1527" s="73"/>
      <c r="K1527" s="74"/>
      <c r="L1527" s="72"/>
      <c r="M1527" s="72"/>
      <c r="N1527" s="72" t="str">
        <f>IF(AND(C1527="",J1527=0,K1527=0,L1527=0,M1527=0),"",CADASTROS!$B$4+SUM($J$2:J1527)+SUM($M$2:M1527)-SUM($K$2:K1527)-SUM($L$2:L1527))</f>
        <v/>
      </c>
      <c r="O1527" s="72" t="str">
        <f>IF(A1527="","",SUMIF(RATEIOS!$A$2:$A$3142,$A1527,RATEIOS!$F$2:$F$3142))</f>
        <v/>
      </c>
      <c r="P1527" s="15" t="str">
        <f t="shared" si="48"/>
        <v/>
      </c>
      <c r="Q1527" s="49" t="str">
        <f>IF(AND(J1527=0,K1527=0,L1527=0,M1527=0),"",IF(O1527=0,"PENDENTE DE RATEIO",IF(ABS(P1527)&gt;0.005,"DIVERGÊNCIA",IF(COUNTIF(RATEIOS!$A$2:$A$3142,$A1527)-COUNTIFS(RATEIOS!$A$2:$A$3142,$A1527,RATEIOS!$D$2:$D$3142,"&lt;&gt;")&gt;0,"NÃO CLASSIFICADO","RATEIO OK"))))</f>
        <v/>
      </c>
      <c r="R1527" s="49"/>
      <c r="S1527" s="14"/>
    </row>
    <row r="1528" spans="1:19" ht="30" customHeight="1" x14ac:dyDescent="0.25">
      <c r="A1528" s="49" t="str">
        <f>IF(C1528="","","BAN-01527")</f>
        <v/>
      </c>
      <c r="B1528" s="98" t="str">
        <f>IF(C1528="","",1527)</f>
        <v/>
      </c>
      <c r="C1528" s="50"/>
      <c r="D1528" s="49" t="str">
        <f t="shared" si="47"/>
        <v/>
      </c>
      <c r="E1528" s="92"/>
      <c r="F1528" s="49"/>
      <c r="G1528" s="14"/>
      <c r="H1528" s="14"/>
      <c r="I1528" s="76"/>
      <c r="J1528" s="73"/>
      <c r="K1528" s="74"/>
      <c r="L1528" s="72"/>
      <c r="M1528" s="72"/>
      <c r="N1528" s="72" t="str">
        <f>IF(AND(C1528="",J1528=0,K1528=0,L1528=0,M1528=0),"",CADASTROS!$B$4+SUM($J$2:J1528)+SUM($M$2:M1528)-SUM($K$2:K1528)-SUM($L$2:L1528))</f>
        <v/>
      </c>
      <c r="O1528" s="72" t="str">
        <f>IF(A1528="","",SUMIF(RATEIOS!$A$2:$A$3142,$A1528,RATEIOS!$F$2:$F$3142))</f>
        <v/>
      </c>
      <c r="P1528" s="15" t="str">
        <f t="shared" si="48"/>
        <v/>
      </c>
      <c r="Q1528" s="49" t="str">
        <f>IF(AND(J1528=0,K1528=0,L1528=0,M1528=0),"",IF(O1528=0,"PENDENTE DE RATEIO",IF(ABS(P1528)&gt;0.005,"DIVERGÊNCIA",IF(COUNTIF(RATEIOS!$A$2:$A$3142,$A1528)-COUNTIFS(RATEIOS!$A$2:$A$3142,$A1528,RATEIOS!$D$2:$D$3142,"&lt;&gt;")&gt;0,"NÃO CLASSIFICADO","RATEIO OK"))))</f>
        <v/>
      </c>
      <c r="R1528" s="49"/>
      <c r="S1528" s="14"/>
    </row>
    <row r="1529" spans="1:19" ht="30" customHeight="1" x14ac:dyDescent="0.25">
      <c r="A1529" s="49" t="str">
        <f>IF(C1529="","","BAN-01528")</f>
        <v/>
      </c>
      <c r="B1529" s="98" t="str">
        <f>IF(C1529="","",1528)</f>
        <v/>
      </c>
      <c r="C1529" s="50"/>
      <c r="D1529" s="49" t="str">
        <f t="shared" si="47"/>
        <v/>
      </c>
      <c r="E1529" s="92"/>
      <c r="F1529" s="49"/>
      <c r="G1529" s="14"/>
      <c r="H1529" s="14"/>
      <c r="I1529" s="76"/>
      <c r="J1529" s="73"/>
      <c r="K1529" s="74"/>
      <c r="L1529" s="72"/>
      <c r="M1529" s="72"/>
      <c r="N1529" s="72" t="str">
        <f>IF(AND(C1529="",J1529=0,K1529=0,L1529=0,M1529=0),"",CADASTROS!$B$4+SUM($J$2:J1529)+SUM($M$2:M1529)-SUM($K$2:K1529)-SUM($L$2:L1529))</f>
        <v/>
      </c>
      <c r="O1529" s="72" t="str">
        <f>IF(A1529="","",SUMIF(RATEIOS!$A$2:$A$3142,$A1529,RATEIOS!$F$2:$F$3142))</f>
        <v/>
      </c>
      <c r="P1529" s="15" t="str">
        <f t="shared" si="48"/>
        <v/>
      </c>
      <c r="Q1529" s="49" t="str">
        <f>IF(AND(J1529=0,K1529=0,L1529=0,M1529=0),"",IF(O1529=0,"PENDENTE DE RATEIO",IF(ABS(P1529)&gt;0.005,"DIVERGÊNCIA",IF(COUNTIF(RATEIOS!$A$2:$A$3142,$A1529)-COUNTIFS(RATEIOS!$A$2:$A$3142,$A1529,RATEIOS!$D$2:$D$3142,"&lt;&gt;")&gt;0,"NÃO CLASSIFICADO","RATEIO OK"))))</f>
        <v/>
      </c>
      <c r="R1529" s="49"/>
      <c r="S1529" s="14"/>
    </row>
    <row r="1530" spans="1:19" ht="30" customHeight="1" x14ac:dyDescent="0.25">
      <c r="A1530" s="49" t="str">
        <f>IF(C1530="","","BAN-01529")</f>
        <v/>
      </c>
      <c r="B1530" s="98" t="str">
        <f>IF(C1530="","",1529)</f>
        <v/>
      </c>
      <c r="C1530" s="50"/>
      <c r="D1530" s="49" t="str">
        <f t="shared" si="47"/>
        <v/>
      </c>
      <c r="E1530" s="92"/>
      <c r="F1530" s="49"/>
      <c r="G1530" s="14"/>
      <c r="H1530" s="14"/>
      <c r="I1530" s="76"/>
      <c r="J1530" s="73"/>
      <c r="K1530" s="74"/>
      <c r="L1530" s="72"/>
      <c r="M1530" s="72"/>
      <c r="N1530" s="72" t="str">
        <f>IF(AND(C1530="",J1530=0,K1530=0,L1530=0,M1530=0),"",CADASTROS!$B$4+SUM($J$2:J1530)+SUM($M$2:M1530)-SUM($K$2:K1530)-SUM($L$2:L1530))</f>
        <v/>
      </c>
      <c r="O1530" s="72" t="str">
        <f>IF(A1530="","",SUMIF(RATEIOS!$A$2:$A$3142,$A1530,RATEIOS!$F$2:$F$3142))</f>
        <v/>
      </c>
      <c r="P1530" s="15" t="str">
        <f t="shared" si="48"/>
        <v/>
      </c>
      <c r="Q1530" s="49" t="str">
        <f>IF(AND(J1530=0,K1530=0,L1530=0,M1530=0),"",IF(O1530=0,"PENDENTE DE RATEIO",IF(ABS(P1530)&gt;0.005,"DIVERGÊNCIA",IF(COUNTIF(RATEIOS!$A$2:$A$3142,$A1530)-COUNTIFS(RATEIOS!$A$2:$A$3142,$A1530,RATEIOS!$D$2:$D$3142,"&lt;&gt;")&gt;0,"NÃO CLASSIFICADO","RATEIO OK"))))</f>
        <v/>
      </c>
      <c r="R1530" s="49"/>
      <c r="S1530" s="14"/>
    </row>
    <row r="1531" spans="1:19" ht="30" customHeight="1" x14ac:dyDescent="0.25">
      <c r="A1531" s="49" t="str">
        <f>IF(C1531="","","BAN-01530")</f>
        <v/>
      </c>
      <c r="B1531" s="98" t="str">
        <f>IF(C1531="","",1530)</f>
        <v/>
      </c>
      <c r="C1531" s="50"/>
      <c r="D1531" s="49" t="str">
        <f t="shared" si="47"/>
        <v/>
      </c>
      <c r="E1531" s="92"/>
      <c r="F1531" s="49"/>
      <c r="G1531" s="14"/>
      <c r="H1531" s="14"/>
      <c r="I1531" s="76"/>
      <c r="J1531" s="73"/>
      <c r="K1531" s="74"/>
      <c r="L1531" s="72"/>
      <c r="M1531" s="72"/>
      <c r="N1531" s="72" t="str">
        <f>IF(AND(C1531="",J1531=0,K1531=0,L1531=0,M1531=0),"",CADASTROS!$B$4+SUM($J$2:J1531)+SUM($M$2:M1531)-SUM($K$2:K1531)-SUM($L$2:L1531))</f>
        <v/>
      </c>
      <c r="O1531" s="72" t="str">
        <f>IF(A1531="","",SUMIF(RATEIOS!$A$2:$A$3142,$A1531,RATEIOS!$F$2:$F$3142))</f>
        <v/>
      </c>
      <c r="P1531" s="15" t="str">
        <f t="shared" si="48"/>
        <v/>
      </c>
      <c r="Q1531" s="49" t="str">
        <f>IF(AND(J1531=0,K1531=0,L1531=0,M1531=0),"",IF(O1531=0,"PENDENTE DE RATEIO",IF(ABS(P1531)&gt;0.005,"DIVERGÊNCIA",IF(COUNTIF(RATEIOS!$A$2:$A$3142,$A1531)-COUNTIFS(RATEIOS!$A$2:$A$3142,$A1531,RATEIOS!$D$2:$D$3142,"&lt;&gt;")&gt;0,"NÃO CLASSIFICADO","RATEIO OK"))))</f>
        <v/>
      </c>
      <c r="R1531" s="49"/>
      <c r="S1531" s="14"/>
    </row>
    <row r="1532" spans="1:19" ht="30" customHeight="1" x14ac:dyDescent="0.25">
      <c r="A1532" s="49" t="str">
        <f>IF(C1532="","","BAN-01531")</f>
        <v/>
      </c>
      <c r="B1532" s="98" t="str">
        <f>IF(C1532="","",1531)</f>
        <v/>
      </c>
      <c r="C1532" s="50"/>
      <c r="D1532" s="49" t="str">
        <f t="shared" si="47"/>
        <v/>
      </c>
      <c r="E1532" s="92"/>
      <c r="F1532" s="49"/>
      <c r="G1532" s="14"/>
      <c r="H1532" s="14"/>
      <c r="I1532" s="76"/>
      <c r="J1532" s="73"/>
      <c r="K1532" s="74"/>
      <c r="L1532" s="72"/>
      <c r="M1532" s="72"/>
      <c r="N1532" s="72" t="str">
        <f>IF(AND(C1532="",J1532=0,K1532=0,L1532=0,M1532=0),"",CADASTROS!$B$4+SUM($J$2:J1532)+SUM($M$2:M1532)-SUM($K$2:K1532)-SUM($L$2:L1532))</f>
        <v/>
      </c>
      <c r="O1532" s="72" t="str">
        <f>IF(A1532="","",SUMIF(RATEIOS!$A$2:$A$3142,$A1532,RATEIOS!$F$2:$F$3142))</f>
        <v/>
      </c>
      <c r="P1532" s="15" t="str">
        <f t="shared" si="48"/>
        <v/>
      </c>
      <c r="Q1532" s="49" t="str">
        <f>IF(AND(J1532=0,K1532=0,L1532=0,M1532=0),"",IF(O1532=0,"PENDENTE DE RATEIO",IF(ABS(P1532)&gt;0.005,"DIVERGÊNCIA",IF(COUNTIF(RATEIOS!$A$2:$A$3142,$A1532)-COUNTIFS(RATEIOS!$A$2:$A$3142,$A1532,RATEIOS!$D$2:$D$3142,"&lt;&gt;")&gt;0,"NÃO CLASSIFICADO","RATEIO OK"))))</f>
        <v/>
      </c>
      <c r="R1532" s="49"/>
      <c r="S1532" s="14"/>
    </row>
    <row r="1533" spans="1:19" ht="30" customHeight="1" x14ac:dyDescent="0.25">
      <c r="A1533" s="49" t="str">
        <f>IF(C1533="","","BAN-01532")</f>
        <v/>
      </c>
      <c r="B1533" s="98" t="str">
        <f>IF(C1533="","",1532)</f>
        <v/>
      </c>
      <c r="C1533" s="50"/>
      <c r="D1533" s="49" t="str">
        <f t="shared" si="47"/>
        <v/>
      </c>
      <c r="E1533" s="92"/>
      <c r="F1533" s="49"/>
      <c r="G1533" s="14"/>
      <c r="H1533" s="14"/>
      <c r="I1533" s="76"/>
      <c r="J1533" s="73"/>
      <c r="K1533" s="74"/>
      <c r="L1533" s="72"/>
      <c r="M1533" s="72"/>
      <c r="N1533" s="72" t="str">
        <f>IF(AND(C1533="",J1533=0,K1533=0,L1533=0,M1533=0),"",CADASTROS!$B$4+SUM($J$2:J1533)+SUM($M$2:M1533)-SUM($K$2:K1533)-SUM($L$2:L1533))</f>
        <v/>
      </c>
      <c r="O1533" s="72" t="str">
        <f>IF(A1533="","",SUMIF(RATEIOS!$A$2:$A$3142,$A1533,RATEIOS!$F$2:$F$3142))</f>
        <v/>
      </c>
      <c r="P1533" s="15" t="str">
        <f t="shared" si="48"/>
        <v/>
      </c>
      <c r="Q1533" s="49" t="str">
        <f>IF(AND(J1533=0,K1533=0,L1533=0,M1533=0),"",IF(O1533=0,"PENDENTE DE RATEIO",IF(ABS(P1533)&gt;0.005,"DIVERGÊNCIA",IF(COUNTIF(RATEIOS!$A$2:$A$3142,$A1533)-COUNTIFS(RATEIOS!$A$2:$A$3142,$A1533,RATEIOS!$D$2:$D$3142,"&lt;&gt;")&gt;0,"NÃO CLASSIFICADO","RATEIO OK"))))</f>
        <v/>
      </c>
      <c r="R1533" s="49"/>
      <c r="S1533" s="14"/>
    </row>
    <row r="1534" spans="1:19" ht="30" customHeight="1" x14ac:dyDescent="0.25">
      <c r="A1534" s="49" t="str">
        <f>IF(C1534="","","BAN-01533")</f>
        <v/>
      </c>
      <c r="B1534" s="98" t="str">
        <f>IF(C1534="","",1533)</f>
        <v/>
      </c>
      <c r="C1534" s="50"/>
      <c r="D1534" s="49" t="str">
        <f t="shared" si="47"/>
        <v/>
      </c>
      <c r="E1534" s="92"/>
      <c r="F1534" s="49"/>
      <c r="G1534" s="14"/>
      <c r="H1534" s="14"/>
      <c r="I1534" s="76"/>
      <c r="J1534" s="73"/>
      <c r="K1534" s="74"/>
      <c r="L1534" s="72"/>
      <c r="M1534" s="72"/>
      <c r="N1534" s="72" t="str">
        <f>IF(AND(C1534="",J1534=0,K1534=0,L1534=0,M1534=0),"",CADASTROS!$B$4+SUM($J$2:J1534)+SUM($M$2:M1534)-SUM($K$2:K1534)-SUM($L$2:L1534))</f>
        <v/>
      </c>
      <c r="O1534" s="72" t="str">
        <f>IF(A1534="","",SUMIF(RATEIOS!$A$2:$A$3142,$A1534,RATEIOS!$F$2:$F$3142))</f>
        <v/>
      </c>
      <c r="P1534" s="15" t="str">
        <f t="shared" si="48"/>
        <v/>
      </c>
      <c r="Q1534" s="49" t="str">
        <f>IF(AND(J1534=0,K1534=0,L1534=0,M1534=0),"",IF(O1534=0,"PENDENTE DE RATEIO",IF(ABS(P1534)&gt;0.005,"DIVERGÊNCIA",IF(COUNTIF(RATEIOS!$A$2:$A$3142,$A1534)-COUNTIFS(RATEIOS!$A$2:$A$3142,$A1534,RATEIOS!$D$2:$D$3142,"&lt;&gt;")&gt;0,"NÃO CLASSIFICADO","RATEIO OK"))))</f>
        <v/>
      </c>
      <c r="R1534" s="49"/>
      <c r="S1534" s="14"/>
    </row>
    <row r="1535" spans="1:19" ht="30" customHeight="1" x14ac:dyDescent="0.25">
      <c r="A1535" s="49" t="str">
        <f>IF(C1535="","","BAN-01534")</f>
        <v/>
      </c>
      <c r="B1535" s="98" t="str">
        <f>IF(C1535="","",1534)</f>
        <v/>
      </c>
      <c r="C1535" s="50"/>
      <c r="D1535" s="49" t="str">
        <f t="shared" si="47"/>
        <v/>
      </c>
      <c r="E1535" s="92"/>
      <c r="F1535" s="49"/>
      <c r="G1535" s="14"/>
      <c r="H1535" s="14"/>
      <c r="I1535" s="76"/>
      <c r="J1535" s="73"/>
      <c r="K1535" s="74"/>
      <c r="L1535" s="72"/>
      <c r="M1535" s="72"/>
      <c r="N1535" s="72" t="str">
        <f>IF(AND(C1535="",J1535=0,K1535=0,L1535=0,M1535=0),"",CADASTROS!$B$4+SUM($J$2:J1535)+SUM($M$2:M1535)-SUM($K$2:K1535)-SUM($L$2:L1535))</f>
        <v/>
      </c>
      <c r="O1535" s="72" t="str">
        <f>IF(A1535="","",SUMIF(RATEIOS!$A$2:$A$3142,$A1535,RATEIOS!$F$2:$F$3142))</f>
        <v/>
      </c>
      <c r="P1535" s="15" t="str">
        <f t="shared" si="48"/>
        <v/>
      </c>
      <c r="Q1535" s="49" t="str">
        <f>IF(AND(J1535=0,K1535=0,L1535=0,M1535=0),"",IF(O1535=0,"PENDENTE DE RATEIO",IF(ABS(P1535)&gt;0.005,"DIVERGÊNCIA",IF(COUNTIF(RATEIOS!$A$2:$A$3142,$A1535)-COUNTIFS(RATEIOS!$A$2:$A$3142,$A1535,RATEIOS!$D$2:$D$3142,"&lt;&gt;")&gt;0,"NÃO CLASSIFICADO","RATEIO OK"))))</f>
        <v/>
      </c>
      <c r="R1535" s="49"/>
      <c r="S1535" s="14"/>
    </row>
    <row r="1536" spans="1:19" ht="30" customHeight="1" x14ac:dyDescent="0.25">
      <c r="A1536" s="49" t="str">
        <f>IF(C1536="","","BAN-01535")</f>
        <v/>
      </c>
      <c r="B1536" s="98" t="str">
        <f>IF(C1536="","",1535)</f>
        <v/>
      </c>
      <c r="C1536" s="50"/>
      <c r="D1536" s="49" t="str">
        <f t="shared" si="47"/>
        <v/>
      </c>
      <c r="E1536" s="92"/>
      <c r="F1536" s="49"/>
      <c r="G1536" s="14"/>
      <c r="H1536" s="14"/>
      <c r="I1536" s="76"/>
      <c r="J1536" s="73"/>
      <c r="K1536" s="74"/>
      <c r="L1536" s="72"/>
      <c r="M1536" s="72"/>
      <c r="N1536" s="72" t="str">
        <f>IF(AND(C1536="",J1536=0,K1536=0,L1536=0,M1536=0),"",CADASTROS!$B$4+SUM($J$2:J1536)+SUM($M$2:M1536)-SUM($K$2:K1536)-SUM($L$2:L1536))</f>
        <v/>
      </c>
      <c r="O1536" s="72" t="str">
        <f>IF(A1536="","",SUMIF(RATEIOS!$A$2:$A$3142,$A1536,RATEIOS!$F$2:$F$3142))</f>
        <v/>
      </c>
      <c r="P1536" s="15" t="str">
        <f t="shared" si="48"/>
        <v/>
      </c>
      <c r="Q1536" s="49" t="str">
        <f>IF(AND(J1536=0,K1536=0,L1536=0,M1536=0),"",IF(O1536=0,"PENDENTE DE RATEIO",IF(ABS(P1536)&gt;0.005,"DIVERGÊNCIA",IF(COUNTIF(RATEIOS!$A$2:$A$3142,$A1536)-COUNTIFS(RATEIOS!$A$2:$A$3142,$A1536,RATEIOS!$D$2:$D$3142,"&lt;&gt;")&gt;0,"NÃO CLASSIFICADO","RATEIO OK"))))</f>
        <v/>
      </c>
      <c r="R1536" s="49"/>
      <c r="S1536" s="14"/>
    </row>
    <row r="1537" spans="1:19" ht="30" customHeight="1" x14ac:dyDescent="0.25">
      <c r="A1537" s="49" t="str">
        <f>IF(C1537="","","BAN-01536")</f>
        <v/>
      </c>
      <c r="B1537" s="98" t="str">
        <f>IF(C1537="","",1536)</f>
        <v/>
      </c>
      <c r="C1537" s="50"/>
      <c r="D1537" s="49" t="str">
        <f t="shared" si="47"/>
        <v/>
      </c>
      <c r="E1537" s="92"/>
      <c r="F1537" s="49"/>
      <c r="G1537" s="14"/>
      <c r="H1537" s="14"/>
      <c r="I1537" s="76"/>
      <c r="J1537" s="73"/>
      <c r="K1537" s="74"/>
      <c r="L1537" s="72"/>
      <c r="M1537" s="72"/>
      <c r="N1537" s="72" t="str">
        <f>IF(AND(C1537="",J1537=0,K1537=0,L1537=0,M1537=0),"",CADASTROS!$B$4+SUM($J$2:J1537)+SUM($M$2:M1537)-SUM($K$2:K1537)-SUM($L$2:L1537))</f>
        <v/>
      </c>
      <c r="O1537" s="72" t="str">
        <f>IF(A1537="","",SUMIF(RATEIOS!$A$2:$A$3142,$A1537,RATEIOS!$F$2:$F$3142))</f>
        <v/>
      </c>
      <c r="P1537" s="15" t="str">
        <f t="shared" si="48"/>
        <v/>
      </c>
      <c r="Q1537" s="49" t="str">
        <f>IF(AND(J1537=0,K1537=0,L1537=0,M1537=0),"",IF(O1537=0,"PENDENTE DE RATEIO",IF(ABS(P1537)&gt;0.005,"DIVERGÊNCIA",IF(COUNTIF(RATEIOS!$A$2:$A$3142,$A1537)-COUNTIFS(RATEIOS!$A$2:$A$3142,$A1537,RATEIOS!$D$2:$D$3142,"&lt;&gt;")&gt;0,"NÃO CLASSIFICADO","RATEIO OK"))))</f>
        <v/>
      </c>
      <c r="R1537" s="49"/>
      <c r="S1537" s="14"/>
    </row>
    <row r="1538" spans="1:19" ht="30" customHeight="1" x14ac:dyDescent="0.25">
      <c r="A1538" s="49" t="str">
        <f>IF(C1538="","","BAN-01537")</f>
        <v/>
      </c>
      <c r="B1538" s="98" t="str">
        <f>IF(C1538="","",1537)</f>
        <v/>
      </c>
      <c r="C1538" s="50"/>
      <c r="D1538" s="49" t="str">
        <f t="shared" ref="D1538:D1601" si="49">IF(C1538="","",MONTH(C1538))</f>
        <v/>
      </c>
      <c r="E1538" s="92"/>
      <c r="F1538" s="49"/>
      <c r="G1538" s="14"/>
      <c r="H1538" s="14"/>
      <c r="I1538" s="76"/>
      <c r="J1538" s="73"/>
      <c r="K1538" s="74"/>
      <c r="L1538" s="72"/>
      <c r="M1538" s="72"/>
      <c r="N1538" s="72" t="str">
        <f>IF(AND(C1538="",J1538=0,K1538=0,L1538=0,M1538=0),"",CADASTROS!$B$4+SUM($J$2:J1538)+SUM($M$2:M1538)-SUM($K$2:K1538)-SUM($L$2:L1538))</f>
        <v/>
      </c>
      <c r="O1538" s="72" t="str">
        <f>IF(A1538="","",SUMIF(RATEIOS!$A$2:$A$3142,$A1538,RATEIOS!$F$2:$F$3142))</f>
        <v/>
      </c>
      <c r="P1538" s="15" t="str">
        <f t="shared" ref="P1538:P1601" si="50">IF(A1538="","",(J1538+K1538+L1538+M1538)-O1538)</f>
        <v/>
      </c>
      <c r="Q1538" s="49" t="str">
        <f>IF(AND(J1538=0,K1538=0,L1538=0,M1538=0),"",IF(O1538=0,"PENDENTE DE RATEIO",IF(ABS(P1538)&gt;0.005,"DIVERGÊNCIA",IF(COUNTIF(RATEIOS!$A$2:$A$3142,$A1538)-COUNTIFS(RATEIOS!$A$2:$A$3142,$A1538,RATEIOS!$D$2:$D$3142,"&lt;&gt;")&gt;0,"NÃO CLASSIFICADO","RATEIO OK"))))</f>
        <v/>
      </c>
      <c r="R1538" s="49"/>
      <c r="S1538" s="14"/>
    </row>
    <row r="1539" spans="1:19" ht="30" customHeight="1" x14ac:dyDescent="0.25">
      <c r="A1539" s="49" t="str">
        <f>IF(C1539="","","BAN-01538")</f>
        <v/>
      </c>
      <c r="B1539" s="98" t="str">
        <f>IF(C1539="","",1538)</f>
        <v/>
      </c>
      <c r="C1539" s="50"/>
      <c r="D1539" s="49" t="str">
        <f t="shared" si="49"/>
        <v/>
      </c>
      <c r="E1539" s="92"/>
      <c r="F1539" s="49"/>
      <c r="G1539" s="14"/>
      <c r="H1539" s="14"/>
      <c r="I1539" s="76"/>
      <c r="J1539" s="73"/>
      <c r="K1539" s="74"/>
      <c r="L1539" s="72"/>
      <c r="M1539" s="72"/>
      <c r="N1539" s="72" t="str">
        <f>IF(AND(C1539="",J1539=0,K1539=0,L1539=0,M1539=0),"",CADASTROS!$B$4+SUM($J$2:J1539)+SUM($M$2:M1539)-SUM($K$2:K1539)-SUM($L$2:L1539))</f>
        <v/>
      </c>
      <c r="O1539" s="72" t="str">
        <f>IF(A1539="","",SUMIF(RATEIOS!$A$2:$A$3142,$A1539,RATEIOS!$F$2:$F$3142))</f>
        <v/>
      </c>
      <c r="P1539" s="15" t="str">
        <f t="shared" si="50"/>
        <v/>
      </c>
      <c r="Q1539" s="49" t="str">
        <f>IF(AND(J1539=0,K1539=0,L1539=0,M1539=0),"",IF(O1539=0,"PENDENTE DE RATEIO",IF(ABS(P1539)&gt;0.005,"DIVERGÊNCIA",IF(COUNTIF(RATEIOS!$A$2:$A$3142,$A1539)-COUNTIFS(RATEIOS!$A$2:$A$3142,$A1539,RATEIOS!$D$2:$D$3142,"&lt;&gt;")&gt;0,"NÃO CLASSIFICADO","RATEIO OK"))))</f>
        <v/>
      </c>
      <c r="R1539" s="49"/>
      <c r="S1539" s="14"/>
    </row>
    <row r="1540" spans="1:19" ht="30" customHeight="1" x14ac:dyDescent="0.25">
      <c r="A1540" s="49" t="str">
        <f>IF(C1540="","","BAN-01539")</f>
        <v/>
      </c>
      <c r="B1540" s="98" t="str">
        <f>IF(C1540="","",1539)</f>
        <v/>
      </c>
      <c r="C1540" s="50"/>
      <c r="D1540" s="49" t="str">
        <f t="shared" si="49"/>
        <v/>
      </c>
      <c r="E1540" s="92"/>
      <c r="F1540" s="49"/>
      <c r="G1540" s="14"/>
      <c r="H1540" s="14"/>
      <c r="I1540" s="76"/>
      <c r="J1540" s="73"/>
      <c r="K1540" s="74"/>
      <c r="L1540" s="72"/>
      <c r="M1540" s="72"/>
      <c r="N1540" s="72" t="str">
        <f>IF(AND(C1540="",J1540=0,K1540=0,L1540=0,M1540=0),"",CADASTROS!$B$4+SUM($J$2:J1540)+SUM($M$2:M1540)-SUM($K$2:K1540)-SUM($L$2:L1540))</f>
        <v/>
      </c>
      <c r="O1540" s="72" t="str">
        <f>IF(A1540="","",SUMIF(RATEIOS!$A$2:$A$3142,$A1540,RATEIOS!$F$2:$F$3142))</f>
        <v/>
      </c>
      <c r="P1540" s="15" t="str">
        <f t="shared" si="50"/>
        <v/>
      </c>
      <c r="Q1540" s="49" t="str">
        <f>IF(AND(J1540=0,K1540=0,L1540=0,M1540=0),"",IF(O1540=0,"PENDENTE DE RATEIO",IF(ABS(P1540)&gt;0.005,"DIVERGÊNCIA",IF(COUNTIF(RATEIOS!$A$2:$A$3142,$A1540)-COUNTIFS(RATEIOS!$A$2:$A$3142,$A1540,RATEIOS!$D$2:$D$3142,"&lt;&gt;")&gt;0,"NÃO CLASSIFICADO","RATEIO OK"))))</f>
        <v/>
      </c>
      <c r="R1540" s="49"/>
      <c r="S1540" s="14"/>
    </row>
    <row r="1541" spans="1:19" ht="30" customHeight="1" x14ac:dyDescent="0.25">
      <c r="A1541" s="49" t="str">
        <f>IF(C1541="","","BAN-01540")</f>
        <v/>
      </c>
      <c r="B1541" s="98" t="str">
        <f>IF(C1541="","",1540)</f>
        <v/>
      </c>
      <c r="C1541" s="50"/>
      <c r="D1541" s="49" t="str">
        <f t="shared" si="49"/>
        <v/>
      </c>
      <c r="E1541" s="92"/>
      <c r="F1541" s="49"/>
      <c r="G1541" s="14"/>
      <c r="H1541" s="14"/>
      <c r="I1541" s="76"/>
      <c r="J1541" s="73"/>
      <c r="K1541" s="74"/>
      <c r="L1541" s="72"/>
      <c r="M1541" s="72"/>
      <c r="N1541" s="72" t="str">
        <f>IF(AND(C1541="",J1541=0,K1541=0,L1541=0,M1541=0),"",CADASTROS!$B$4+SUM($J$2:J1541)+SUM($M$2:M1541)-SUM($K$2:K1541)-SUM($L$2:L1541))</f>
        <v/>
      </c>
      <c r="O1541" s="72" t="str">
        <f>IF(A1541="","",SUMIF(RATEIOS!$A$2:$A$3142,$A1541,RATEIOS!$F$2:$F$3142))</f>
        <v/>
      </c>
      <c r="P1541" s="15" t="str">
        <f t="shared" si="50"/>
        <v/>
      </c>
      <c r="Q1541" s="49" t="str">
        <f>IF(AND(J1541=0,K1541=0,L1541=0,M1541=0),"",IF(O1541=0,"PENDENTE DE RATEIO",IF(ABS(P1541)&gt;0.005,"DIVERGÊNCIA",IF(COUNTIF(RATEIOS!$A$2:$A$3142,$A1541)-COUNTIFS(RATEIOS!$A$2:$A$3142,$A1541,RATEIOS!$D$2:$D$3142,"&lt;&gt;")&gt;0,"NÃO CLASSIFICADO","RATEIO OK"))))</f>
        <v/>
      </c>
      <c r="R1541" s="49"/>
      <c r="S1541" s="14"/>
    </row>
    <row r="1542" spans="1:19" ht="30" customHeight="1" x14ac:dyDescent="0.25">
      <c r="A1542" s="49" t="str">
        <f>IF(C1542="","","BAN-01541")</f>
        <v/>
      </c>
      <c r="B1542" s="98" t="str">
        <f>IF(C1542="","",1541)</f>
        <v/>
      </c>
      <c r="C1542" s="50"/>
      <c r="D1542" s="49" t="str">
        <f t="shared" si="49"/>
        <v/>
      </c>
      <c r="E1542" s="92"/>
      <c r="F1542" s="49"/>
      <c r="G1542" s="14"/>
      <c r="H1542" s="14"/>
      <c r="I1542" s="76"/>
      <c r="J1542" s="73"/>
      <c r="K1542" s="74"/>
      <c r="L1542" s="72"/>
      <c r="M1542" s="72"/>
      <c r="N1542" s="72" t="str">
        <f>IF(AND(C1542="",J1542=0,K1542=0,L1542=0,M1542=0),"",CADASTROS!$B$4+SUM($J$2:J1542)+SUM($M$2:M1542)-SUM($K$2:K1542)-SUM($L$2:L1542))</f>
        <v/>
      </c>
      <c r="O1542" s="72" t="str">
        <f>IF(A1542="","",SUMIF(RATEIOS!$A$2:$A$3142,$A1542,RATEIOS!$F$2:$F$3142))</f>
        <v/>
      </c>
      <c r="P1542" s="15" t="str">
        <f t="shared" si="50"/>
        <v/>
      </c>
      <c r="Q1542" s="49" t="str">
        <f>IF(AND(J1542=0,K1542=0,L1542=0,M1542=0),"",IF(O1542=0,"PENDENTE DE RATEIO",IF(ABS(P1542)&gt;0.005,"DIVERGÊNCIA",IF(COUNTIF(RATEIOS!$A$2:$A$3142,$A1542)-COUNTIFS(RATEIOS!$A$2:$A$3142,$A1542,RATEIOS!$D$2:$D$3142,"&lt;&gt;")&gt;0,"NÃO CLASSIFICADO","RATEIO OK"))))</f>
        <v/>
      </c>
      <c r="R1542" s="49"/>
      <c r="S1542" s="14"/>
    </row>
    <row r="1543" spans="1:19" ht="30" customHeight="1" x14ac:dyDescent="0.25">
      <c r="A1543" s="49" t="str">
        <f>IF(C1543="","","BAN-01542")</f>
        <v/>
      </c>
      <c r="B1543" s="98" t="str">
        <f>IF(C1543="","",1542)</f>
        <v/>
      </c>
      <c r="C1543" s="50"/>
      <c r="D1543" s="49" t="str">
        <f t="shared" si="49"/>
        <v/>
      </c>
      <c r="E1543" s="92"/>
      <c r="F1543" s="49"/>
      <c r="G1543" s="14"/>
      <c r="H1543" s="14"/>
      <c r="I1543" s="76"/>
      <c r="J1543" s="73"/>
      <c r="K1543" s="74"/>
      <c r="L1543" s="72"/>
      <c r="M1543" s="72"/>
      <c r="N1543" s="72" t="str">
        <f>IF(AND(C1543="",J1543=0,K1543=0,L1543=0,M1543=0),"",CADASTROS!$B$4+SUM($J$2:J1543)+SUM($M$2:M1543)-SUM($K$2:K1543)-SUM($L$2:L1543))</f>
        <v/>
      </c>
      <c r="O1543" s="72" t="str">
        <f>IF(A1543="","",SUMIF(RATEIOS!$A$2:$A$3142,$A1543,RATEIOS!$F$2:$F$3142))</f>
        <v/>
      </c>
      <c r="P1543" s="15" t="str">
        <f t="shared" si="50"/>
        <v/>
      </c>
      <c r="Q1543" s="49" t="str">
        <f>IF(AND(J1543=0,K1543=0,L1543=0,M1543=0),"",IF(O1543=0,"PENDENTE DE RATEIO",IF(ABS(P1543)&gt;0.005,"DIVERGÊNCIA",IF(COUNTIF(RATEIOS!$A$2:$A$3142,$A1543)-COUNTIFS(RATEIOS!$A$2:$A$3142,$A1543,RATEIOS!$D$2:$D$3142,"&lt;&gt;")&gt;0,"NÃO CLASSIFICADO","RATEIO OK"))))</f>
        <v/>
      </c>
      <c r="R1543" s="49"/>
      <c r="S1543" s="14"/>
    </row>
    <row r="1544" spans="1:19" ht="30" customHeight="1" x14ac:dyDescent="0.25">
      <c r="A1544" s="49" t="str">
        <f>IF(C1544="","","BAN-01543")</f>
        <v/>
      </c>
      <c r="B1544" s="98" t="str">
        <f>IF(C1544="","",1543)</f>
        <v/>
      </c>
      <c r="C1544" s="50"/>
      <c r="D1544" s="49" t="str">
        <f t="shared" si="49"/>
        <v/>
      </c>
      <c r="E1544" s="92"/>
      <c r="F1544" s="49"/>
      <c r="G1544" s="14"/>
      <c r="H1544" s="14"/>
      <c r="I1544" s="76"/>
      <c r="J1544" s="73"/>
      <c r="K1544" s="74"/>
      <c r="L1544" s="72"/>
      <c r="M1544" s="72"/>
      <c r="N1544" s="72" t="str">
        <f>IF(AND(C1544="",J1544=0,K1544=0,L1544=0,M1544=0),"",CADASTROS!$B$4+SUM($J$2:J1544)+SUM($M$2:M1544)-SUM($K$2:K1544)-SUM($L$2:L1544))</f>
        <v/>
      </c>
      <c r="O1544" s="72" t="str">
        <f>IF(A1544="","",SUMIF(RATEIOS!$A$2:$A$3142,$A1544,RATEIOS!$F$2:$F$3142))</f>
        <v/>
      </c>
      <c r="P1544" s="15" t="str">
        <f t="shared" si="50"/>
        <v/>
      </c>
      <c r="Q1544" s="49" t="str">
        <f>IF(AND(J1544=0,K1544=0,L1544=0,M1544=0),"",IF(O1544=0,"PENDENTE DE RATEIO",IF(ABS(P1544)&gt;0.005,"DIVERGÊNCIA",IF(COUNTIF(RATEIOS!$A$2:$A$3142,$A1544)-COUNTIFS(RATEIOS!$A$2:$A$3142,$A1544,RATEIOS!$D$2:$D$3142,"&lt;&gt;")&gt;0,"NÃO CLASSIFICADO","RATEIO OK"))))</f>
        <v/>
      </c>
      <c r="R1544" s="49"/>
      <c r="S1544" s="14"/>
    </row>
    <row r="1545" spans="1:19" ht="30" customHeight="1" x14ac:dyDescent="0.25">
      <c r="A1545" s="49" t="str">
        <f>IF(C1545="","","BAN-01544")</f>
        <v/>
      </c>
      <c r="B1545" s="98" t="str">
        <f>IF(C1545="","",1544)</f>
        <v/>
      </c>
      <c r="C1545" s="50"/>
      <c r="D1545" s="49" t="str">
        <f t="shared" si="49"/>
        <v/>
      </c>
      <c r="E1545" s="92"/>
      <c r="F1545" s="49"/>
      <c r="G1545" s="14"/>
      <c r="H1545" s="14"/>
      <c r="I1545" s="76"/>
      <c r="J1545" s="73"/>
      <c r="K1545" s="74"/>
      <c r="L1545" s="72"/>
      <c r="M1545" s="72"/>
      <c r="N1545" s="72" t="str">
        <f>IF(AND(C1545="",J1545=0,K1545=0,L1545=0,M1545=0),"",CADASTROS!$B$4+SUM($J$2:J1545)+SUM($M$2:M1545)-SUM($K$2:K1545)-SUM($L$2:L1545))</f>
        <v/>
      </c>
      <c r="O1545" s="72" t="str">
        <f>IF(A1545="","",SUMIF(RATEIOS!$A$2:$A$3142,$A1545,RATEIOS!$F$2:$F$3142))</f>
        <v/>
      </c>
      <c r="P1545" s="15" t="str">
        <f t="shared" si="50"/>
        <v/>
      </c>
      <c r="Q1545" s="49" t="str">
        <f>IF(AND(J1545=0,K1545=0,L1545=0,M1545=0),"",IF(O1545=0,"PENDENTE DE RATEIO",IF(ABS(P1545)&gt;0.005,"DIVERGÊNCIA",IF(COUNTIF(RATEIOS!$A$2:$A$3142,$A1545)-COUNTIFS(RATEIOS!$A$2:$A$3142,$A1545,RATEIOS!$D$2:$D$3142,"&lt;&gt;")&gt;0,"NÃO CLASSIFICADO","RATEIO OK"))))</f>
        <v/>
      </c>
      <c r="R1545" s="49"/>
      <c r="S1545" s="14"/>
    </row>
    <row r="1546" spans="1:19" ht="30" customHeight="1" x14ac:dyDescent="0.25">
      <c r="A1546" s="49" t="str">
        <f>IF(C1546="","","BAN-01545")</f>
        <v/>
      </c>
      <c r="B1546" s="98" t="str">
        <f>IF(C1546="","",1545)</f>
        <v/>
      </c>
      <c r="C1546" s="50"/>
      <c r="D1546" s="49" t="str">
        <f t="shared" si="49"/>
        <v/>
      </c>
      <c r="E1546" s="92"/>
      <c r="F1546" s="49"/>
      <c r="G1546" s="14"/>
      <c r="H1546" s="14"/>
      <c r="I1546" s="76"/>
      <c r="J1546" s="73"/>
      <c r="K1546" s="74"/>
      <c r="L1546" s="72"/>
      <c r="M1546" s="72"/>
      <c r="N1546" s="72" t="str">
        <f>IF(AND(C1546="",J1546=0,K1546=0,L1546=0,M1546=0),"",CADASTROS!$B$4+SUM($J$2:J1546)+SUM($M$2:M1546)-SUM($K$2:K1546)-SUM($L$2:L1546))</f>
        <v/>
      </c>
      <c r="O1546" s="72" t="str">
        <f>IF(A1546="","",SUMIF(RATEIOS!$A$2:$A$3142,$A1546,RATEIOS!$F$2:$F$3142))</f>
        <v/>
      </c>
      <c r="P1546" s="15" t="str">
        <f t="shared" si="50"/>
        <v/>
      </c>
      <c r="Q1546" s="49" t="str">
        <f>IF(AND(J1546=0,K1546=0,L1546=0,M1546=0),"",IF(O1546=0,"PENDENTE DE RATEIO",IF(ABS(P1546)&gt;0.005,"DIVERGÊNCIA",IF(COUNTIF(RATEIOS!$A$2:$A$3142,$A1546)-COUNTIFS(RATEIOS!$A$2:$A$3142,$A1546,RATEIOS!$D$2:$D$3142,"&lt;&gt;")&gt;0,"NÃO CLASSIFICADO","RATEIO OK"))))</f>
        <v/>
      </c>
      <c r="R1546" s="49"/>
      <c r="S1546" s="14"/>
    </row>
    <row r="1547" spans="1:19" ht="30" customHeight="1" x14ac:dyDescent="0.25">
      <c r="A1547" s="49" t="str">
        <f>IF(C1547="","","BAN-01546")</f>
        <v/>
      </c>
      <c r="B1547" s="98" t="str">
        <f>IF(C1547="","",1546)</f>
        <v/>
      </c>
      <c r="C1547" s="50"/>
      <c r="D1547" s="49" t="str">
        <f t="shared" si="49"/>
        <v/>
      </c>
      <c r="E1547" s="92"/>
      <c r="F1547" s="49"/>
      <c r="G1547" s="14"/>
      <c r="H1547" s="14"/>
      <c r="I1547" s="76"/>
      <c r="J1547" s="73"/>
      <c r="K1547" s="74"/>
      <c r="L1547" s="72"/>
      <c r="M1547" s="72"/>
      <c r="N1547" s="72" t="str">
        <f>IF(AND(C1547="",J1547=0,K1547=0,L1547=0,M1547=0),"",CADASTROS!$B$4+SUM($J$2:J1547)+SUM($M$2:M1547)-SUM($K$2:K1547)-SUM($L$2:L1547))</f>
        <v/>
      </c>
      <c r="O1547" s="72" t="str">
        <f>IF(A1547="","",SUMIF(RATEIOS!$A$2:$A$3142,$A1547,RATEIOS!$F$2:$F$3142))</f>
        <v/>
      </c>
      <c r="P1547" s="15" t="str">
        <f t="shared" si="50"/>
        <v/>
      </c>
      <c r="Q1547" s="49" t="str">
        <f>IF(AND(J1547=0,K1547=0,L1547=0,M1547=0),"",IF(O1547=0,"PENDENTE DE RATEIO",IF(ABS(P1547)&gt;0.005,"DIVERGÊNCIA",IF(COUNTIF(RATEIOS!$A$2:$A$3142,$A1547)-COUNTIFS(RATEIOS!$A$2:$A$3142,$A1547,RATEIOS!$D$2:$D$3142,"&lt;&gt;")&gt;0,"NÃO CLASSIFICADO","RATEIO OK"))))</f>
        <v/>
      </c>
      <c r="R1547" s="49"/>
      <c r="S1547" s="14"/>
    </row>
    <row r="1548" spans="1:19" ht="30" customHeight="1" x14ac:dyDescent="0.25">
      <c r="A1548" s="49" t="str">
        <f>IF(C1548="","","BAN-01547")</f>
        <v/>
      </c>
      <c r="B1548" s="98" t="str">
        <f>IF(C1548="","",1547)</f>
        <v/>
      </c>
      <c r="C1548" s="50"/>
      <c r="D1548" s="49" t="str">
        <f t="shared" si="49"/>
        <v/>
      </c>
      <c r="E1548" s="92"/>
      <c r="F1548" s="49"/>
      <c r="G1548" s="14"/>
      <c r="H1548" s="14"/>
      <c r="I1548" s="76"/>
      <c r="J1548" s="73"/>
      <c r="K1548" s="74"/>
      <c r="L1548" s="72"/>
      <c r="M1548" s="72"/>
      <c r="N1548" s="72" t="str">
        <f>IF(AND(C1548="",J1548=0,K1548=0,L1548=0,M1548=0),"",CADASTROS!$B$4+SUM($J$2:J1548)+SUM($M$2:M1548)-SUM($K$2:K1548)-SUM($L$2:L1548))</f>
        <v/>
      </c>
      <c r="O1548" s="72" t="str">
        <f>IF(A1548="","",SUMIF(RATEIOS!$A$2:$A$3142,$A1548,RATEIOS!$F$2:$F$3142))</f>
        <v/>
      </c>
      <c r="P1548" s="15" t="str">
        <f t="shared" si="50"/>
        <v/>
      </c>
      <c r="Q1548" s="49" t="str">
        <f>IF(AND(J1548=0,K1548=0,L1548=0,M1548=0),"",IF(O1548=0,"PENDENTE DE RATEIO",IF(ABS(P1548)&gt;0.005,"DIVERGÊNCIA",IF(COUNTIF(RATEIOS!$A$2:$A$3142,$A1548)-COUNTIFS(RATEIOS!$A$2:$A$3142,$A1548,RATEIOS!$D$2:$D$3142,"&lt;&gt;")&gt;0,"NÃO CLASSIFICADO","RATEIO OK"))))</f>
        <v/>
      </c>
      <c r="R1548" s="49"/>
      <c r="S1548" s="14"/>
    </row>
    <row r="1549" spans="1:19" ht="30" customHeight="1" x14ac:dyDescent="0.25">
      <c r="A1549" s="49" t="str">
        <f>IF(C1549="","","BAN-01548")</f>
        <v/>
      </c>
      <c r="B1549" s="98" t="str">
        <f>IF(C1549="","",1548)</f>
        <v/>
      </c>
      <c r="C1549" s="50"/>
      <c r="D1549" s="49" t="str">
        <f t="shared" si="49"/>
        <v/>
      </c>
      <c r="E1549" s="92"/>
      <c r="F1549" s="49"/>
      <c r="G1549" s="14"/>
      <c r="H1549" s="14"/>
      <c r="I1549" s="76"/>
      <c r="J1549" s="73"/>
      <c r="K1549" s="74"/>
      <c r="L1549" s="72"/>
      <c r="M1549" s="72"/>
      <c r="N1549" s="72" t="str">
        <f>IF(AND(C1549="",J1549=0,K1549=0,L1549=0,M1549=0),"",CADASTROS!$B$4+SUM($J$2:J1549)+SUM($M$2:M1549)-SUM($K$2:K1549)-SUM($L$2:L1549))</f>
        <v/>
      </c>
      <c r="O1549" s="72" t="str">
        <f>IF(A1549="","",SUMIF(RATEIOS!$A$2:$A$3142,$A1549,RATEIOS!$F$2:$F$3142))</f>
        <v/>
      </c>
      <c r="P1549" s="15" t="str">
        <f t="shared" si="50"/>
        <v/>
      </c>
      <c r="Q1549" s="49" t="str">
        <f>IF(AND(J1549=0,K1549=0,L1549=0,M1549=0),"",IF(O1549=0,"PENDENTE DE RATEIO",IF(ABS(P1549)&gt;0.005,"DIVERGÊNCIA",IF(COUNTIF(RATEIOS!$A$2:$A$3142,$A1549)-COUNTIFS(RATEIOS!$A$2:$A$3142,$A1549,RATEIOS!$D$2:$D$3142,"&lt;&gt;")&gt;0,"NÃO CLASSIFICADO","RATEIO OK"))))</f>
        <v/>
      </c>
      <c r="R1549" s="49"/>
      <c r="S1549" s="14"/>
    </row>
    <row r="1550" spans="1:19" ht="30" customHeight="1" x14ac:dyDescent="0.25">
      <c r="A1550" s="49" t="str">
        <f>IF(C1550="","","BAN-01549")</f>
        <v/>
      </c>
      <c r="B1550" s="98" t="str">
        <f>IF(C1550="","",1549)</f>
        <v/>
      </c>
      <c r="C1550" s="50"/>
      <c r="D1550" s="49" t="str">
        <f t="shared" si="49"/>
        <v/>
      </c>
      <c r="E1550" s="92"/>
      <c r="F1550" s="49"/>
      <c r="G1550" s="14"/>
      <c r="H1550" s="14"/>
      <c r="I1550" s="76"/>
      <c r="J1550" s="73"/>
      <c r="K1550" s="74"/>
      <c r="L1550" s="72"/>
      <c r="M1550" s="72"/>
      <c r="N1550" s="72" t="str">
        <f>IF(AND(C1550="",J1550=0,K1550=0,L1550=0,M1550=0),"",CADASTROS!$B$4+SUM($J$2:J1550)+SUM($M$2:M1550)-SUM($K$2:K1550)-SUM($L$2:L1550))</f>
        <v/>
      </c>
      <c r="O1550" s="72" t="str">
        <f>IF(A1550="","",SUMIF(RATEIOS!$A$2:$A$3142,$A1550,RATEIOS!$F$2:$F$3142))</f>
        <v/>
      </c>
      <c r="P1550" s="15" t="str">
        <f t="shared" si="50"/>
        <v/>
      </c>
      <c r="Q1550" s="49" t="str">
        <f>IF(AND(J1550=0,K1550=0,L1550=0,M1550=0),"",IF(O1550=0,"PENDENTE DE RATEIO",IF(ABS(P1550)&gt;0.005,"DIVERGÊNCIA",IF(COUNTIF(RATEIOS!$A$2:$A$3142,$A1550)-COUNTIFS(RATEIOS!$A$2:$A$3142,$A1550,RATEIOS!$D$2:$D$3142,"&lt;&gt;")&gt;0,"NÃO CLASSIFICADO","RATEIO OK"))))</f>
        <v/>
      </c>
      <c r="R1550" s="49"/>
      <c r="S1550" s="14"/>
    </row>
    <row r="1551" spans="1:19" ht="30" customHeight="1" x14ac:dyDescent="0.25">
      <c r="A1551" s="49" t="str">
        <f>IF(C1551="","","BAN-01550")</f>
        <v/>
      </c>
      <c r="B1551" s="98" t="str">
        <f>IF(C1551="","",1550)</f>
        <v/>
      </c>
      <c r="C1551" s="50"/>
      <c r="D1551" s="49" t="str">
        <f t="shared" si="49"/>
        <v/>
      </c>
      <c r="E1551" s="92"/>
      <c r="F1551" s="49"/>
      <c r="G1551" s="14"/>
      <c r="H1551" s="14"/>
      <c r="I1551" s="76"/>
      <c r="J1551" s="73"/>
      <c r="K1551" s="74"/>
      <c r="L1551" s="72"/>
      <c r="M1551" s="72"/>
      <c r="N1551" s="72" t="str">
        <f>IF(AND(C1551="",J1551=0,K1551=0,L1551=0,M1551=0),"",CADASTROS!$B$4+SUM($J$2:J1551)+SUM($M$2:M1551)-SUM($K$2:K1551)-SUM($L$2:L1551))</f>
        <v/>
      </c>
      <c r="O1551" s="72" t="str">
        <f>IF(A1551="","",SUMIF(RATEIOS!$A$2:$A$3142,$A1551,RATEIOS!$F$2:$F$3142))</f>
        <v/>
      </c>
      <c r="P1551" s="15" t="str">
        <f t="shared" si="50"/>
        <v/>
      </c>
      <c r="Q1551" s="49" t="str">
        <f>IF(AND(J1551=0,K1551=0,L1551=0,M1551=0),"",IF(O1551=0,"PENDENTE DE RATEIO",IF(ABS(P1551)&gt;0.005,"DIVERGÊNCIA",IF(COUNTIF(RATEIOS!$A$2:$A$3142,$A1551)-COUNTIFS(RATEIOS!$A$2:$A$3142,$A1551,RATEIOS!$D$2:$D$3142,"&lt;&gt;")&gt;0,"NÃO CLASSIFICADO","RATEIO OK"))))</f>
        <v/>
      </c>
      <c r="R1551" s="49"/>
      <c r="S1551" s="14"/>
    </row>
    <row r="1552" spans="1:19" ht="30" customHeight="1" x14ac:dyDescent="0.25">
      <c r="A1552" s="49" t="str">
        <f>IF(C1552="","","BAN-01551")</f>
        <v/>
      </c>
      <c r="B1552" s="98" t="str">
        <f>IF(C1552="","",1551)</f>
        <v/>
      </c>
      <c r="C1552" s="50"/>
      <c r="D1552" s="49" t="str">
        <f t="shared" si="49"/>
        <v/>
      </c>
      <c r="E1552" s="92"/>
      <c r="F1552" s="49"/>
      <c r="G1552" s="14"/>
      <c r="H1552" s="14"/>
      <c r="I1552" s="76"/>
      <c r="J1552" s="73"/>
      <c r="K1552" s="74"/>
      <c r="L1552" s="72"/>
      <c r="M1552" s="72"/>
      <c r="N1552" s="72" t="str">
        <f>IF(AND(C1552="",J1552=0,K1552=0,L1552=0,M1552=0),"",CADASTROS!$B$4+SUM($J$2:J1552)+SUM($M$2:M1552)-SUM($K$2:K1552)-SUM($L$2:L1552))</f>
        <v/>
      </c>
      <c r="O1552" s="72" t="str">
        <f>IF(A1552="","",SUMIF(RATEIOS!$A$2:$A$3142,$A1552,RATEIOS!$F$2:$F$3142))</f>
        <v/>
      </c>
      <c r="P1552" s="15" t="str">
        <f t="shared" si="50"/>
        <v/>
      </c>
      <c r="Q1552" s="49" t="str">
        <f>IF(AND(J1552=0,K1552=0,L1552=0,M1552=0),"",IF(O1552=0,"PENDENTE DE RATEIO",IF(ABS(P1552)&gt;0.005,"DIVERGÊNCIA",IF(COUNTIF(RATEIOS!$A$2:$A$3142,$A1552)-COUNTIFS(RATEIOS!$A$2:$A$3142,$A1552,RATEIOS!$D$2:$D$3142,"&lt;&gt;")&gt;0,"NÃO CLASSIFICADO","RATEIO OK"))))</f>
        <v/>
      </c>
      <c r="R1552" s="49"/>
      <c r="S1552" s="14"/>
    </row>
    <row r="1553" spans="1:19" ht="30" customHeight="1" x14ac:dyDescent="0.25">
      <c r="A1553" s="49" t="str">
        <f>IF(C1553="","","BAN-01552")</f>
        <v/>
      </c>
      <c r="B1553" s="98" t="str">
        <f>IF(C1553="","",1552)</f>
        <v/>
      </c>
      <c r="C1553" s="50"/>
      <c r="D1553" s="49" t="str">
        <f t="shared" si="49"/>
        <v/>
      </c>
      <c r="E1553" s="92"/>
      <c r="F1553" s="49"/>
      <c r="G1553" s="14"/>
      <c r="H1553" s="14"/>
      <c r="I1553" s="76"/>
      <c r="J1553" s="73"/>
      <c r="K1553" s="74"/>
      <c r="L1553" s="72"/>
      <c r="M1553" s="72"/>
      <c r="N1553" s="72" t="str">
        <f>IF(AND(C1553="",J1553=0,K1553=0,L1553=0,M1553=0),"",CADASTROS!$B$4+SUM($J$2:J1553)+SUM($M$2:M1553)-SUM($K$2:K1553)-SUM($L$2:L1553))</f>
        <v/>
      </c>
      <c r="O1553" s="72" t="str">
        <f>IF(A1553="","",SUMIF(RATEIOS!$A$2:$A$3142,$A1553,RATEIOS!$F$2:$F$3142))</f>
        <v/>
      </c>
      <c r="P1553" s="15" t="str">
        <f t="shared" si="50"/>
        <v/>
      </c>
      <c r="Q1553" s="49" t="str">
        <f>IF(AND(J1553=0,K1553=0,L1553=0,M1553=0),"",IF(O1553=0,"PENDENTE DE RATEIO",IF(ABS(P1553)&gt;0.005,"DIVERGÊNCIA",IF(COUNTIF(RATEIOS!$A$2:$A$3142,$A1553)-COUNTIFS(RATEIOS!$A$2:$A$3142,$A1553,RATEIOS!$D$2:$D$3142,"&lt;&gt;")&gt;0,"NÃO CLASSIFICADO","RATEIO OK"))))</f>
        <v/>
      </c>
      <c r="R1553" s="49"/>
      <c r="S1553" s="14"/>
    </row>
    <row r="1554" spans="1:19" ht="30" customHeight="1" x14ac:dyDescent="0.25">
      <c r="A1554" s="49" t="str">
        <f>IF(C1554="","","BAN-01553")</f>
        <v/>
      </c>
      <c r="B1554" s="98" t="str">
        <f>IF(C1554="","",1553)</f>
        <v/>
      </c>
      <c r="C1554" s="50"/>
      <c r="D1554" s="49" t="str">
        <f t="shared" si="49"/>
        <v/>
      </c>
      <c r="E1554" s="92"/>
      <c r="F1554" s="49"/>
      <c r="G1554" s="14"/>
      <c r="H1554" s="14"/>
      <c r="I1554" s="76"/>
      <c r="J1554" s="73"/>
      <c r="K1554" s="74"/>
      <c r="L1554" s="72"/>
      <c r="M1554" s="72"/>
      <c r="N1554" s="72" t="str">
        <f>IF(AND(C1554="",J1554=0,K1554=0,L1554=0,M1554=0),"",CADASTROS!$B$4+SUM($J$2:J1554)+SUM($M$2:M1554)-SUM($K$2:K1554)-SUM($L$2:L1554))</f>
        <v/>
      </c>
      <c r="O1554" s="72" t="str">
        <f>IF(A1554="","",SUMIF(RATEIOS!$A$2:$A$3142,$A1554,RATEIOS!$F$2:$F$3142))</f>
        <v/>
      </c>
      <c r="P1554" s="15" t="str">
        <f t="shared" si="50"/>
        <v/>
      </c>
      <c r="Q1554" s="49" t="str">
        <f>IF(AND(J1554=0,K1554=0,L1554=0,M1554=0),"",IF(O1554=0,"PENDENTE DE RATEIO",IF(ABS(P1554)&gt;0.005,"DIVERGÊNCIA",IF(COUNTIF(RATEIOS!$A$2:$A$3142,$A1554)-COUNTIFS(RATEIOS!$A$2:$A$3142,$A1554,RATEIOS!$D$2:$D$3142,"&lt;&gt;")&gt;0,"NÃO CLASSIFICADO","RATEIO OK"))))</f>
        <v/>
      </c>
      <c r="R1554" s="49"/>
      <c r="S1554" s="14"/>
    </row>
    <row r="1555" spans="1:19" ht="30" customHeight="1" x14ac:dyDescent="0.25">
      <c r="A1555" s="49" t="str">
        <f>IF(C1555="","","BAN-01554")</f>
        <v/>
      </c>
      <c r="B1555" s="98" t="str">
        <f>IF(C1555="","",1554)</f>
        <v/>
      </c>
      <c r="C1555" s="50"/>
      <c r="D1555" s="49" t="str">
        <f t="shared" si="49"/>
        <v/>
      </c>
      <c r="E1555" s="92"/>
      <c r="F1555" s="49"/>
      <c r="G1555" s="14"/>
      <c r="H1555" s="14"/>
      <c r="I1555" s="76"/>
      <c r="J1555" s="73"/>
      <c r="K1555" s="74"/>
      <c r="L1555" s="72"/>
      <c r="M1555" s="72"/>
      <c r="N1555" s="72" t="str">
        <f>IF(AND(C1555="",J1555=0,K1555=0,L1555=0,M1555=0),"",CADASTROS!$B$4+SUM($J$2:J1555)+SUM($M$2:M1555)-SUM($K$2:K1555)-SUM($L$2:L1555))</f>
        <v/>
      </c>
      <c r="O1555" s="72" t="str">
        <f>IF(A1555="","",SUMIF(RATEIOS!$A$2:$A$3142,$A1555,RATEIOS!$F$2:$F$3142))</f>
        <v/>
      </c>
      <c r="P1555" s="15" t="str">
        <f t="shared" si="50"/>
        <v/>
      </c>
      <c r="Q1555" s="49" t="str">
        <f>IF(AND(J1555=0,K1555=0,L1555=0,M1555=0),"",IF(O1555=0,"PENDENTE DE RATEIO",IF(ABS(P1555)&gt;0.005,"DIVERGÊNCIA",IF(COUNTIF(RATEIOS!$A$2:$A$3142,$A1555)-COUNTIFS(RATEIOS!$A$2:$A$3142,$A1555,RATEIOS!$D$2:$D$3142,"&lt;&gt;")&gt;0,"NÃO CLASSIFICADO","RATEIO OK"))))</f>
        <v/>
      </c>
      <c r="R1555" s="49"/>
      <c r="S1555" s="14"/>
    </row>
    <row r="1556" spans="1:19" ht="30" customHeight="1" x14ac:dyDescent="0.25">
      <c r="A1556" s="49" t="str">
        <f>IF(C1556="","","BAN-01555")</f>
        <v/>
      </c>
      <c r="B1556" s="98" t="str">
        <f>IF(C1556="","",1555)</f>
        <v/>
      </c>
      <c r="C1556" s="50"/>
      <c r="D1556" s="49" t="str">
        <f t="shared" si="49"/>
        <v/>
      </c>
      <c r="E1556" s="92"/>
      <c r="F1556" s="49"/>
      <c r="G1556" s="14"/>
      <c r="H1556" s="14"/>
      <c r="I1556" s="76"/>
      <c r="J1556" s="73"/>
      <c r="K1556" s="74"/>
      <c r="L1556" s="72"/>
      <c r="M1556" s="72"/>
      <c r="N1556" s="72" t="str">
        <f>IF(AND(C1556="",J1556=0,K1556=0,L1556=0,M1556=0),"",CADASTROS!$B$4+SUM($J$2:J1556)+SUM($M$2:M1556)-SUM($K$2:K1556)-SUM($L$2:L1556))</f>
        <v/>
      </c>
      <c r="O1556" s="72" t="str">
        <f>IF(A1556="","",SUMIF(RATEIOS!$A$2:$A$3142,$A1556,RATEIOS!$F$2:$F$3142))</f>
        <v/>
      </c>
      <c r="P1556" s="15" t="str">
        <f t="shared" si="50"/>
        <v/>
      </c>
      <c r="Q1556" s="49" t="str">
        <f>IF(AND(J1556=0,K1556=0,L1556=0,M1556=0),"",IF(O1556=0,"PENDENTE DE RATEIO",IF(ABS(P1556)&gt;0.005,"DIVERGÊNCIA",IF(COUNTIF(RATEIOS!$A$2:$A$3142,$A1556)-COUNTIFS(RATEIOS!$A$2:$A$3142,$A1556,RATEIOS!$D$2:$D$3142,"&lt;&gt;")&gt;0,"NÃO CLASSIFICADO","RATEIO OK"))))</f>
        <v/>
      </c>
      <c r="R1556" s="49"/>
      <c r="S1556" s="14"/>
    </row>
    <row r="1557" spans="1:19" ht="30" customHeight="1" x14ac:dyDescent="0.25">
      <c r="A1557" s="49" t="str">
        <f>IF(C1557="","","BAN-01556")</f>
        <v/>
      </c>
      <c r="B1557" s="98" t="str">
        <f>IF(C1557="","",1556)</f>
        <v/>
      </c>
      <c r="C1557" s="50"/>
      <c r="D1557" s="49" t="str">
        <f t="shared" si="49"/>
        <v/>
      </c>
      <c r="E1557" s="92"/>
      <c r="F1557" s="49"/>
      <c r="G1557" s="14"/>
      <c r="H1557" s="14"/>
      <c r="I1557" s="76"/>
      <c r="J1557" s="73"/>
      <c r="K1557" s="74"/>
      <c r="L1557" s="72"/>
      <c r="M1557" s="72"/>
      <c r="N1557" s="72" t="str">
        <f>IF(AND(C1557="",J1557=0,K1557=0,L1557=0,M1557=0),"",CADASTROS!$B$4+SUM($J$2:J1557)+SUM($M$2:M1557)-SUM($K$2:K1557)-SUM($L$2:L1557))</f>
        <v/>
      </c>
      <c r="O1557" s="72" t="str">
        <f>IF(A1557="","",SUMIF(RATEIOS!$A$2:$A$3142,$A1557,RATEIOS!$F$2:$F$3142))</f>
        <v/>
      </c>
      <c r="P1557" s="15" t="str">
        <f t="shared" si="50"/>
        <v/>
      </c>
      <c r="Q1557" s="49" t="str">
        <f>IF(AND(J1557=0,K1557=0,L1557=0,M1557=0),"",IF(O1557=0,"PENDENTE DE RATEIO",IF(ABS(P1557)&gt;0.005,"DIVERGÊNCIA",IF(COUNTIF(RATEIOS!$A$2:$A$3142,$A1557)-COUNTIFS(RATEIOS!$A$2:$A$3142,$A1557,RATEIOS!$D$2:$D$3142,"&lt;&gt;")&gt;0,"NÃO CLASSIFICADO","RATEIO OK"))))</f>
        <v/>
      </c>
      <c r="R1557" s="49"/>
      <c r="S1557" s="14"/>
    </row>
    <row r="1558" spans="1:19" ht="30" customHeight="1" x14ac:dyDescent="0.25">
      <c r="A1558" s="49" t="str">
        <f>IF(C1558="","","BAN-01557")</f>
        <v/>
      </c>
      <c r="B1558" s="98" t="str">
        <f>IF(C1558="","",1557)</f>
        <v/>
      </c>
      <c r="C1558" s="50"/>
      <c r="D1558" s="49" t="str">
        <f t="shared" si="49"/>
        <v/>
      </c>
      <c r="E1558" s="92"/>
      <c r="F1558" s="49"/>
      <c r="G1558" s="14"/>
      <c r="H1558" s="14"/>
      <c r="I1558" s="76"/>
      <c r="J1558" s="73"/>
      <c r="K1558" s="74"/>
      <c r="L1558" s="72"/>
      <c r="M1558" s="72"/>
      <c r="N1558" s="72" t="str">
        <f>IF(AND(C1558="",J1558=0,K1558=0,L1558=0,M1558=0),"",CADASTROS!$B$4+SUM($J$2:J1558)+SUM($M$2:M1558)-SUM($K$2:K1558)-SUM($L$2:L1558))</f>
        <v/>
      </c>
      <c r="O1558" s="72" t="str">
        <f>IF(A1558="","",SUMIF(RATEIOS!$A$2:$A$3142,$A1558,RATEIOS!$F$2:$F$3142))</f>
        <v/>
      </c>
      <c r="P1558" s="15" t="str">
        <f t="shared" si="50"/>
        <v/>
      </c>
      <c r="Q1558" s="49" t="str">
        <f>IF(AND(J1558=0,K1558=0,L1558=0,M1558=0),"",IF(O1558=0,"PENDENTE DE RATEIO",IF(ABS(P1558)&gt;0.005,"DIVERGÊNCIA",IF(COUNTIF(RATEIOS!$A$2:$A$3142,$A1558)-COUNTIFS(RATEIOS!$A$2:$A$3142,$A1558,RATEIOS!$D$2:$D$3142,"&lt;&gt;")&gt;0,"NÃO CLASSIFICADO","RATEIO OK"))))</f>
        <v/>
      </c>
      <c r="R1558" s="49"/>
      <c r="S1558" s="14"/>
    </row>
    <row r="1559" spans="1:19" ht="30" customHeight="1" x14ac:dyDescent="0.25">
      <c r="A1559" s="49" t="str">
        <f>IF(C1559="","","BAN-01558")</f>
        <v/>
      </c>
      <c r="B1559" s="98" t="str">
        <f>IF(C1559="","",1558)</f>
        <v/>
      </c>
      <c r="C1559" s="50"/>
      <c r="D1559" s="49" t="str">
        <f t="shared" si="49"/>
        <v/>
      </c>
      <c r="E1559" s="92"/>
      <c r="F1559" s="49"/>
      <c r="G1559" s="14"/>
      <c r="H1559" s="14"/>
      <c r="I1559" s="76"/>
      <c r="J1559" s="73"/>
      <c r="K1559" s="74"/>
      <c r="L1559" s="72"/>
      <c r="M1559" s="72"/>
      <c r="N1559" s="72" t="str">
        <f>IF(AND(C1559="",J1559=0,K1559=0,L1559=0,M1559=0),"",CADASTROS!$B$4+SUM($J$2:J1559)+SUM($M$2:M1559)-SUM($K$2:K1559)-SUM($L$2:L1559))</f>
        <v/>
      </c>
      <c r="O1559" s="72" t="str">
        <f>IF(A1559="","",SUMIF(RATEIOS!$A$2:$A$3142,$A1559,RATEIOS!$F$2:$F$3142))</f>
        <v/>
      </c>
      <c r="P1559" s="15" t="str">
        <f t="shared" si="50"/>
        <v/>
      </c>
      <c r="Q1559" s="49" t="str">
        <f>IF(AND(J1559=0,K1559=0,L1559=0,M1559=0),"",IF(O1559=0,"PENDENTE DE RATEIO",IF(ABS(P1559)&gt;0.005,"DIVERGÊNCIA",IF(COUNTIF(RATEIOS!$A$2:$A$3142,$A1559)-COUNTIFS(RATEIOS!$A$2:$A$3142,$A1559,RATEIOS!$D$2:$D$3142,"&lt;&gt;")&gt;0,"NÃO CLASSIFICADO","RATEIO OK"))))</f>
        <v/>
      </c>
      <c r="R1559" s="49"/>
      <c r="S1559" s="14"/>
    </row>
    <row r="1560" spans="1:19" ht="30" customHeight="1" x14ac:dyDescent="0.25">
      <c r="A1560" s="49" t="str">
        <f>IF(C1560="","","BAN-01559")</f>
        <v/>
      </c>
      <c r="B1560" s="98" t="str">
        <f>IF(C1560="","",1559)</f>
        <v/>
      </c>
      <c r="C1560" s="50"/>
      <c r="D1560" s="49" t="str">
        <f t="shared" si="49"/>
        <v/>
      </c>
      <c r="E1560" s="92"/>
      <c r="F1560" s="49"/>
      <c r="G1560" s="14"/>
      <c r="H1560" s="14"/>
      <c r="I1560" s="76"/>
      <c r="J1560" s="73"/>
      <c r="K1560" s="74"/>
      <c r="L1560" s="72"/>
      <c r="M1560" s="72"/>
      <c r="N1560" s="72" t="str">
        <f>IF(AND(C1560="",J1560=0,K1560=0,L1560=0,M1560=0),"",CADASTROS!$B$4+SUM($J$2:J1560)+SUM($M$2:M1560)-SUM($K$2:K1560)-SUM($L$2:L1560))</f>
        <v/>
      </c>
      <c r="O1560" s="72" t="str">
        <f>IF(A1560="","",SUMIF(RATEIOS!$A$2:$A$3142,$A1560,RATEIOS!$F$2:$F$3142))</f>
        <v/>
      </c>
      <c r="P1560" s="15" t="str">
        <f t="shared" si="50"/>
        <v/>
      </c>
      <c r="Q1560" s="49" t="str">
        <f>IF(AND(J1560=0,K1560=0,L1560=0,M1560=0),"",IF(O1560=0,"PENDENTE DE RATEIO",IF(ABS(P1560)&gt;0.005,"DIVERGÊNCIA",IF(COUNTIF(RATEIOS!$A$2:$A$3142,$A1560)-COUNTIFS(RATEIOS!$A$2:$A$3142,$A1560,RATEIOS!$D$2:$D$3142,"&lt;&gt;")&gt;0,"NÃO CLASSIFICADO","RATEIO OK"))))</f>
        <v/>
      </c>
      <c r="R1560" s="49"/>
      <c r="S1560" s="14"/>
    </row>
    <row r="1561" spans="1:19" ht="30" customHeight="1" x14ac:dyDescent="0.25">
      <c r="A1561" s="49" t="str">
        <f>IF(C1561="","","BAN-01560")</f>
        <v/>
      </c>
      <c r="B1561" s="98" t="str">
        <f>IF(C1561="","",1560)</f>
        <v/>
      </c>
      <c r="C1561" s="50"/>
      <c r="D1561" s="49" t="str">
        <f t="shared" si="49"/>
        <v/>
      </c>
      <c r="E1561" s="92"/>
      <c r="F1561" s="49"/>
      <c r="G1561" s="14"/>
      <c r="H1561" s="14"/>
      <c r="I1561" s="76"/>
      <c r="J1561" s="73"/>
      <c r="K1561" s="74"/>
      <c r="L1561" s="72"/>
      <c r="M1561" s="72"/>
      <c r="N1561" s="72" t="str">
        <f>IF(AND(C1561="",J1561=0,K1561=0,L1561=0,M1561=0),"",CADASTROS!$B$4+SUM($J$2:J1561)+SUM($M$2:M1561)-SUM($K$2:K1561)-SUM($L$2:L1561))</f>
        <v/>
      </c>
      <c r="O1561" s="72" t="str">
        <f>IF(A1561="","",SUMIF(RATEIOS!$A$2:$A$3142,$A1561,RATEIOS!$F$2:$F$3142))</f>
        <v/>
      </c>
      <c r="P1561" s="15" t="str">
        <f t="shared" si="50"/>
        <v/>
      </c>
      <c r="Q1561" s="49" t="str">
        <f>IF(AND(J1561=0,K1561=0,L1561=0,M1561=0),"",IF(O1561=0,"PENDENTE DE RATEIO",IF(ABS(P1561)&gt;0.005,"DIVERGÊNCIA",IF(COUNTIF(RATEIOS!$A$2:$A$3142,$A1561)-COUNTIFS(RATEIOS!$A$2:$A$3142,$A1561,RATEIOS!$D$2:$D$3142,"&lt;&gt;")&gt;0,"NÃO CLASSIFICADO","RATEIO OK"))))</f>
        <v/>
      </c>
      <c r="R1561" s="49"/>
      <c r="S1561" s="14"/>
    </row>
    <row r="1562" spans="1:19" ht="30" customHeight="1" x14ac:dyDescent="0.25">
      <c r="A1562" s="49" t="str">
        <f>IF(C1562="","","BAN-01561")</f>
        <v/>
      </c>
      <c r="B1562" s="98" t="str">
        <f>IF(C1562="","",1561)</f>
        <v/>
      </c>
      <c r="C1562" s="50"/>
      <c r="D1562" s="49" t="str">
        <f t="shared" si="49"/>
        <v/>
      </c>
      <c r="E1562" s="92"/>
      <c r="F1562" s="49"/>
      <c r="G1562" s="14"/>
      <c r="H1562" s="14"/>
      <c r="I1562" s="76"/>
      <c r="J1562" s="73"/>
      <c r="K1562" s="74"/>
      <c r="L1562" s="72"/>
      <c r="M1562" s="72"/>
      <c r="N1562" s="72" t="str">
        <f>IF(AND(C1562="",J1562=0,K1562=0,L1562=0,M1562=0),"",CADASTROS!$B$4+SUM($J$2:J1562)+SUM($M$2:M1562)-SUM($K$2:K1562)-SUM($L$2:L1562))</f>
        <v/>
      </c>
      <c r="O1562" s="72" t="str">
        <f>IF(A1562="","",SUMIF(RATEIOS!$A$2:$A$3142,$A1562,RATEIOS!$F$2:$F$3142))</f>
        <v/>
      </c>
      <c r="P1562" s="15" t="str">
        <f t="shared" si="50"/>
        <v/>
      </c>
      <c r="Q1562" s="49" t="str">
        <f>IF(AND(J1562=0,K1562=0,L1562=0,M1562=0),"",IF(O1562=0,"PENDENTE DE RATEIO",IF(ABS(P1562)&gt;0.005,"DIVERGÊNCIA",IF(COUNTIF(RATEIOS!$A$2:$A$3142,$A1562)-COUNTIFS(RATEIOS!$A$2:$A$3142,$A1562,RATEIOS!$D$2:$D$3142,"&lt;&gt;")&gt;0,"NÃO CLASSIFICADO","RATEIO OK"))))</f>
        <v/>
      </c>
      <c r="R1562" s="49"/>
      <c r="S1562" s="14"/>
    </row>
    <row r="1563" spans="1:19" ht="30" customHeight="1" x14ac:dyDescent="0.25">
      <c r="A1563" s="49" t="str">
        <f>IF(C1563="","","BAN-01562")</f>
        <v/>
      </c>
      <c r="B1563" s="98" t="str">
        <f>IF(C1563="","",1562)</f>
        <v/>
      </c>
      <c r="C1563" s="50"/>
      <c r="D1563" s="49" t="str">
        <f t="shared" si="49"/>
        <v/>
      </c>
      <c r="E1563" s="92"/>
      <c r="F1563" s="49"/>
      <c r="G1563" s="14"/>
      <c r="H1563" s="14"/>
      <c r="I1563" s="76"/>
      <c r="J1563" s="73"/>
      <c r="K1563" s="74"/>
      <c r="L1563" s="72"/>
      <c r="M1563" s="72"/>
      <c r="N1563" s="72" t="str">
        <f>IF(AND(C1563="",J1563=0,K1563=0,L1563=0,M1563=0),"",CADASTROS!$B$4+SUM($J$2:J1563)+SUM($M$2:M1563)-SUM($K$2:K1563)-SUM($L$2:L1563))</f>
        <v/>
      </c>
      <c r="O1563" s="72" t="str">
        <f>IF(A1563="","",SUMIF(RATEIOS!$A$2:$A$3142,$A1563,RATEIOS!$F$2:$F$3142))</f>
        <v/>
      </c>
      <c r="P1563" s="15" t="str">
        <f t="shared" si="50"/>
        <v/>
      </c>
      <c r="Q1563" s="49" t="str">
        <f>IF(AND(J1563=0,K1563=0,L1563=0,M1563=0),"",IF(O1563=0,"PENDENTE DE RATEIO",IF(ABS(P1563)&gt;0.005,"DIVERGÊNCIA",IF(COUNTIF(RATEIOS!$A$2:$A$3142,$A1563)-COUNTIFS(RATEIOS!$A$2:$A$3142,$A1563,RATEIOS!$D$2:$D$3142,"&lt;&gt;")&gt;0,"NÃO CLASSIFICADO","RATEIO OK"))))</f>
        <v/>
      </c>
      <c r="R1563" s="49"/>
      <c r="S1563" s="14"/>
    </row>
    <row r="1564" spans="1:19" ht="30" customHeight="1" x14ac:dyDescent="0.25">
      <c r="A1564" s="49" t="str">
        <f>IF(C1564="","","BAN-01563")</f>
        <v/>
      </c>
      <c r="B1564" s="98" t="str">
        <f>IF(C1564="","",1563)</f>
        <v/>
      </c>
      <c r="C1564" s="50"/>
      <c r="D1564" s="49" t="str">
        <f t="shared" si="49"/>
        <v/>
      </c>
      <c r="E1564" s="92"/>
      <c r="F1564" s="49"/>
      <c r="G1564" s="14"/>
      <c r="H1564" s="14"/>
      <c r="I1564" s="76"/>
      <c r="J1564" s="73"/>
      <c r="K1564" s="74"/>
      <c r="L1564" s="72"/>
      <c r="M1564" s="72"/>
      <c r="N1564" s="72" t="str">
        <f>IF(AND(C1564="",J1564=0,K1564=0,L1564=0,M1564=0),"",CADASTROS!$B$4+SUM($J$2:J1564)+SUM($M$2:M1564)-SUM($K$2:K1564)-SUM($L$2:L1564))</f>
        <v/>
      </c>
      <c r="O1564" s="72" t="str">
        <f>IF(A1564="","",SUMIF(RATEIOS!$A$2:$A$3142,$A1564,RATEIOS!$F$2:$F$3142))</f>
        <v/>
      </c>
      <c r="P1564" s="15" t="str">
        <f t="shared" si="50"/>
        <v/>
      </c>
      <c r="Q1564" s="49" t="str">
        <f>IF(AND(J1564=0,K1564=0,L1564=0,M1564=0),"",IF(O1564=0,"PENDENTE DE RATEIO",IF(ABS(P1564)&gt;0.005,"DIVERGÊNCIA",IF(COUNTIF(RATEIOS!$A$2:$A$3142,$A1564)-COUNTIFS(RATEIOS!$A$2:$A$3142,$A1564,RATEIOS!$D$2:$D$3142,"&lt;&gt;")&gt;0,"NÃO CLASSIFICADO","RATEIO OK"))))</f>
        <v/>
      </c>
      <c r="R1564" s="49"/>
      <c r="S1564" s="14"/>
    </row>
    <row r="1565" spans="1:19" ht="30" customHeight="1" x14ac:dyDescent="0.25">
      <c r="A1565" s="49" t="str">
        <f>IF(C1565="","","BAN-01564")</f>
        <v/>
      </c>
      <c r="B1565" s="98" t="str">
        <f>IF(C1565="","",1564)</f>
        <v/>
      </c>
      <c r="C1565" s="50"/>
      <c r="D1565" s="49" t="str">
        <f t="shared" si="49"/>
        <v/>
      </c>
      <c r="E1565" s="92"/>
      <c r="F1565" s="49"/>
      <c r="G1565" s="14"/>
      <c r="H1565" s="14"/>
      <c r="I1565" s="76"/>
      <c r="J1565" s="73"/>
      <c r="K1565" s="74"/>
      <c r="L1565" s="72"/>
      <c r="M1565" s="72"/>
      <c r="N1565" s="72" t="str">
        <f>IF(AND(C1565="",J1565=0,K1565=0,L1565=0,M1565=0),"",CADASTROS!$B$4+SUM($J$2:J1565)+SUM($M$2:M1565)-SUM($K$2:K1565)-SUM($L$2:L1565))</f>
        <v/>
      </c>
      <c r="O1565" s="72" t="str">
        <f>IF(A1565="","",SUMIF(RATEIOS!$A$2:$A$3142,$A1565,RATEIOS!$F$2:$F$3142))</f>
        <v/>
      </c>
      <c r="P1565" s="15" t="str">
        <f t="shared" si="50"/>
        <v/>
      </c>
      <c r="Q1565" s="49" t="str">
        <f>IF(AND(J1565=0,K1565=0,L1565=0,M1565=0),"",IF(O1565=0,"PENDENTE DE RATEIO",IF(ABS(P1565)&gt;0.005,"DIVERGÊNCIA",IF(COUNTIF(RATEIOS!$A$2:$A$3142,$A1565)-COUNTIFS(RATEIOS!$A$2:$A$3142,$A1565,RATEIOS!$D$2:$D$3142,"&lt;&gt;")&gt;0,"NÃO CLASSIFICADO","RATEIO OK"))))</f>
        <v/>
      </c>
      <c r="R1565" s="49"/>
      <c r="S1565" s="14"/>
    </row>
    <row r="1566" spans="1:19" ht="30" customHeight="1" x14ac:dyDescent="0.25">
      <c r="A1566" s="49" t="str">
        <f>IF(C1566="","","BAN-01565")</f>
        <v/>
      </c>
      <c r="B1566" s="98" t="str">
        <f>IF(C1566="","",1565)</f>
        <v/>
      </c>
      <c r="C1566" s="50"/>
      <c r="D1566" s="49" t="str">
        <f t="shared" si="49"/>
        <v/>
      </c>
      <c r="E1566" s="92"/>
      <c r="F1566" s="49"/>
      <c r="G1566" s="14"/>
      <c r="H1566" s="14"/>
      <c r="I1566" s="76"/>
      <c r="J1566" s="73"/>
      <c r="K1566" s="74"/>
      <c r="L1566" s="72"/>
      <c r="M1566" s="72"/>
      <c r="N1566" s="72" t="str">
        <f>IF(AND(C1566="",J1566=0,K1566=0,L1566=0,M1566=0),"",CADASTROS!$B$4+SUM($J$2:J1566)+SUM($M$2:M1566)-SUM($K$2:K1566)-SUM($L$2:L1566))</f>
        <v/>
      </c>
      <c r="O1566" s="72" t="str">
        <f>IF(A1566="","",SUMIF(RATEIOS!$A$2:$A$3142,$A1566,RATEIOS!$F$2:$F$3142))</f>
        <v/>
      </c>
      <c r="P1566" s="15" t="str">
        <f t="shared" si="50"/>
        <v/>
      </c>
      <c r="Q1566" s="49" t="str">
        <f>IF(AND(J1566=0,K1566=0,L1566=0,M1566=0),"",IF(O1566=0,"PENDENTE DE RATEIO",IF(ABS(P1566)&gt;0.005,"DIVERGÊNCIA",IF(COUNTIF(RATEIOS!$A$2:$A$3142,$A1566)-COUNTIFS(RATEIOS!$A$2:$A$3142,$A1566,RATEIOS!$D$2:$D$3142,"&lt;&gt;")&gt;0,"NÃO CLASSIFICADO","RATEIO OK"))))</f>
        <v/>
      </c>
      <c r="R1566" s="49"/>
      <c r="S1566" s="14"/>
    </row>
    <row r="1567" spans="1:19" ht="30" customHeight="1" x14ac:dyDescent="0.25">
      <c r="A1567" s="49" t="str">
        <f>IF(C1567="","","BAN-01566")</f>
        <v/>
      </c>
      <c r="B1567" s="98" t="str">
        <f>IF(C1567="","",1566)</f>
        <v/>
      </c>
      <c r="C1567" s="50"/>
      <c r="D1567" s="49" t="str">
        <f t="shared" si="49"/>
        <v/>
      </c>
      <c r="E1567" s="92"/>
      <c r="F1567" s="49"/>
      <c r="G1567" s="14"/>
      <c r="H1567" s="14"/>
      <c r="I1567" s="76"/>
      <c r="J1567" s="73"/>
      <c r="K1567" s="74"/>
      <c r="L1567" s="72"/>
      <c r="M1567" s="72"/>
      <c r="N1567" s="72" t="str">
        <f>IF(AND(C1567="",J1567=0,K1567=0,L1567=0,M1567=0),"",CADASTROS!$B$4+SUM($J$2:J1567)+SUM($M$2:M1567)-SUM($K$2:K1567)-SUM($L$2:L1567))</f>
        <v/>
      </c>
      <c r="O1567" s="72" t="str">
        <f>IF(A1567="","",SUMIF(RATEIOS!$A$2:$A$3142,$A1567,RATEIOS!$F$2:$F$3142))</f>
        <v/>
      </c>
      <c r="P1567" s="15" t="str">
        <f t="shared" si="50"/>
        <v/>
      </c>
      <c r="Q1567" s="49" t="str">
        <f>IF(AND(J1567=0,K1567=0,L1567=0,M1567=0),"",IF(O1567=0,"PENDENTE DE RATEIO",IF(ABS(P1567)&gt;0.005,"DIVERGÊNCIA",IF(COUNTIF(RATEIOS!$A$2:$A$3142,$A1567)-COUNTIFS(RATEIOS!$A$2:$A$3142,$A1567,RATEIOS!$D$2:$D$3142,"&lt;&gt;")&gt;0,"NÃO CLASSIFICADO","RATEIO OK"))))</f>
        <v/>
      </c>
      <c r="R1567" s="49"/>
      <c r="S1567" s="14"/>
    </row>
    <row r="1568" spans="1:19" ht="30" customHeight="1" x14ac:dyDescent="0.25">
      <c r="A1568" s="49" t="str">
        <f>IF(C1568="","","BAN-01567")</f>
        <v/>
      </c>
      <c r="B1568" s="98" t="str">
        <f>IF(C1568="","",1567)</f>
        <v/>
      </c>
      <c r="C1568" s="50"/>
      <c r="D1568" s="49" t="str">
        <f t="shared" si="49"/>
        <v/>
      </c>
      <c r="E1568" s="92"/>
      <c r="F1568" s="49"/>
      <c r="G1568" s="14"/>
      <c r="H1568" s="14"/>
      <c r="I1568" s="76"/>
      <c r="J1568" s="73"/>
      <c r="K1568" s="74"/>
      <c r="L1568" s="72"/>
      <c r="M1568" s="72"/>
      <c r="N1568" s="72" t="str">
        <f>IF(AND(C1568="",J1568=0,K1568=0,L1568=0,M1568=0),"",CADASTROS!$B$4+SUM($J$2:J1568)+SUM($M$2:M1568)-SUM($K$2:K1568)-SUM($L$2:L1568))</f>
        <v/>
      </c>
      <c r="O1568" s="72" t="str">
        <f>IF(A1568="","",SUMIF(RATEIOS!$A$2:$A$3142,$A1568,RATEIOS!$F$2:$F$3142))</f>
        <v/>
      </c>
      <c r="P1568" s="15" t="str">
        <f t="shared" si="50"/>
        <v/>
      </c>
      <c r="Q1568" s="49" t="str">
        <f>IF(AND(J1568=0,K1568=0,L1568=0,M1568=0),"",IF(O1568=0,"PENDENTE DE RATEIO",IF(ABS(P1568)&gt;0.005,"DIVERGÊNCIA",IF(COUNTIF(RATEIOS!$A$2:$A$3142,$A1568)-COUNTIFS(RATEIOS!$A$2:$A$3142,$A1568,RATEIOS!$D$2:$D$3142,"&lt;&gt;")&gt;0,"NÃO CLASSIFICADO","RATEIO OK"))))</f>
        <v/>
      </c>
      <c r="R1568" s="49"/>
      <c r="S1568" s="14"/>
    </row>
    <row r="1569" spans="1:19" ht="30" customHeight="1" x14ac:dyDescent="0.25">
      <c r="A1569" s="49" t="str">
        <f>IF(C1569="","","BAN-01568")</f>
        <v/>
      </c>
      <c r="B1569" s="98" t="str">
        <f>IF(C1569="","",1568)</f>
        <v/>
      </c>
      <c r="C1569" s="50"/>
      <c r="D1569" s="49" t="str">
        <f t="shared" si="49"/>
        <v/>
      </c>
      <c r="E1569" s="92"/>
      <c r="F1569" s="49"/>
      <c r="G1569" s="14"/>
      <c r="H1569" s="14"/>
      <c r="I1569" s="76"/>
      <c r="J1569" s="73"/>
      <c r="K1569" s="74"/>
      <c r="L1569" s="72"/>
      <c r="M1569" s="72"/>
      <c r="N1569" s="72" t="str">
        <f>IF(AND(C1569="",J1569=0,K1569=0,L1569=0,M1569=0),"",CADASTROS!$B$4+SUM($J$2:J1569)+SUM($M$2:M1569)-SUM($K$2:K1569)-SUM($L$2:L1569))</f>
        <v/>
      </c>
      <c r="O1569" s="72" t="str">
        <f>IF(A1569="","",SUMIF(RATEIOS!$A$2:$A$3142,$A1569,RATEIOS!$F$2:$F$3142))</f>
        <v/>
      </c>
      <c r="P1569" s="15" t="str">
        <f t="shared" si="50"/>
        <v/>
      </c>
      <c r="Q1569" s="49" t="str">
        <f>IF(AND(J1569=0,K1569=0,L1569=0,M1569=0),"",IF(O1569=0,"PENDENTE DE RATEIO",IF(ABS(P1569)&gt;0.005,"DIVERGÊNCIA",IF(COUNTIF(RATEIOS!$A$2:$A$3142,$A1569)-COUNTIFS(RATEIOS!$A$2:$A$3142,$A1569,RATEIOS!$D$2:$D$3142,"&lt;&gt;")&gt;0,"NÃO CLASSIFICADO","RATEIO OK"))))</f>
        <v/>
      </c>
      <c r="R1569" s="49"/>
      <c r="S1569" s="14"/>
    </row>
    <row r="1570" spans="1:19" ht="30" customHeight="1" x14ac:dyDescent="0.25">
      <c r="A1570" s="49" t="str">
        <f>IF(C1570="","","BAN-01569")</f>
        <v/>
      </c>
      <c r="B1570" s="98" t="str">
        <f>IF(C1570="","",1569)</f>
        <v/>
      </c>
      <c r="C1570" s="50"/>
      <c r="D1570" s="49" t="str">
        <f t="shared" si="49"/>
        <v/>
      </c>
      <c r="E1570" s="92"/>
      <c r="F1570" s="49"/>
      <c r="G1570" s="14"/>
      <c r="H1570" s="14"/>
      <c r="I1570" s="76"/>
      <c r="J1570" s="73"/>
      <c r="K1570" s="74"/>
      <c r="L1570" s="72"/>
      <c r="M1570" s="72"/>
      <c r="N1570" s="72" t="str">
        <f>IF(AND(C1570="",J1570=0,K1570=0,L1570=0,M1570=0),"",CADASTROS!$B$4+SUM($J$2:J1570)+SUM($M$2:M1570)-SUM($K$2:K1570)-SUM($L$2:L1570))</f>
        <v/>
      </c>
      <c r="O1570" s="72" t="str">
        <f>IF(A1570="","",SUMIF(RATEIOS!$A$2:$A$3142,$A1570,RATEIOS!$F$2:$F$3142))</f>
        <v/>
      </c>
      <c r="P1570" s="15" t="str">
        <f t="shared" si="50"/>
        <v/>
      </c>
      <c r="Q1570" s="49" t="str">
        <f>IF(AND(J1570=0,K1570=0,L1570=0,M1570=0),"",IF(O1570=0,"PENDENTE DE RATEIO",IF(ABS(P1570)&gt;0.005,"DIVERGÊNCIA",IF(COUNTIF(RATEIOS!$A$2:$A$3142,$A1570)-COUNTIFS(RATEIOS!$A$2:$A$3142,$A1570,RATEIOS!$D$2:$D$3142,"&lt;&gt;")&gt;0,"NÃO CLASSIFICADO","RATEIO OK"))))</f>
        <v/>
      </c>
      <c r="R1570" s="49"/>
      <c r="S1570" s="14"/>
    </row>
    <row r="1571" spans="1:19" ht="30" customHeight="1" x14ac:dyDescent="0.25">
      <c r="A1571" s="49" t="str">
        <f>IF(C1571="","","BAN-01570")</f>
        <v/>
      </c>
      <c r="B1571" s="98" t="str">
        <f>IF(C1571="","",1570)</f>
        <v/>
      </c>
      <c r="C1571" s="50"/>
      <c r="D1571" s="49" t="str">
        <f t="shared" si="49"/>
        <v/>
      </c>
      <c r="E1571" s="92"/>
      <c r="F1571" s="49"/>
      <c r="G1571" s="14"/>
      <c r="H1571" s="14"/>
      <c r="I1571" s="76"/>
      <c r="J1571" s="73"/>
      <c r="K1571" s="74"/>
      <c r="L1571" s="72"/>
      <c r="M1571" s="72"/>
      <c r="N1571" s="72" t="str">
        <f>IF(AND(C1571="",J1571=0,K1571=0,L1571=0,M1571=0),"",CADASTROS!$B$4+SUM($J$2:J1571)+SUM($M$2:M1571)-SUM($K$2:K1571)-SUM($L$2:L1571))</f>
        <v/>
      </c>
      <c r="O1571" s="72" t="str">
        <f>IF(A1571="","",SUMIF(RATEIOS!$A$2:$A$3142,$A1571,RATEIOS!$F$2:$F$3142))</f>
        <v/>
      </c>
      <c r="P1571" s="15" t="str">
        <f t="shared" si="50"/>
        <v/>
      </c>
      <c r="Q1571" s="49" t="str">
        <f>IF(AND(J1571=0,K1571=0,L1571=0,M1571=0),"",IF(O1571=0,"PENDENTE DE RATEIO",IF(ABS(P1571)&gt;0.005,"DIVERGÊNCIA",IF(COUNTIF(RATEIOS!$A$2:$A$3142,$A1571)-COUNTIFS(RATEIOS!$A$2:$A$3142,$A1571,RATEIOS!$D$2:$D$3142,"&lt;&gt;")&gt;0,"NÃO CLASSIFICADO","RATEIO OK"))))</f>
        <v/>
      </c>
      <c r="R1571" s="49"/>
      <c r="S1571" s="14"/>
    </row>
    <row r="1572" spans="1:19" ht="30" customHeight="1" x14ac:dyDescent="0.25">
      <c r="A1572" s="49" t="str">
        <f>IF(C1572="","","BAN-01571")</f>
        <v/>
      </c>
      <c r="B1572" s="98" t="str">
        <f>IF(C1572="","",1571)</f>
        <v/>
      </c>
      <c r="C1572" s="50"/>
      <c r="D1572" s="49" t="str">
        <f t="shared" si="49"/>
        <v/>
      </c>
      <c r="E1572" s="92"/>
      <c r="F1572" s="49"/>
      <c r="G1572" s="14"/>
      <c r="H1572" s="14"/>
      <c r="I1572" s="76"/>
      <c r="J1572" s="73"/>
      <c r="K1572" s="74"/>
      <c r="L1572" s="72"/>
      <c r="M1572" s="72"/>
      <c r="N1572" s="72" t="str">
        <f>IF(AND(C1572="",J1572=0,K1572=0,L1572=0,M1572=0),"",CADASTROS!$B$4+SUM($J$2:J1572)+SUM($M$2:M1572)-SUM($K$2:K1572)-SUM($L$2:L1572))</f>
        <v/>
      </c>
      <c r="O1572" s="72" t="str">
        <f>IF(A1572="","",SUMIF(RATEIOS!$A$2:$A$3142,$A1572,RATEIOS!$F$2:$F$3142))</f>
        <v/>
      </c>
      <c r="P1572" s="15" t="str">
        <f t="shared" si="50"/>
        <v/>
      </c>
      <c r="Q1572" s="49" t="str">
        <f>IF(AND(J1572=0,K1572=0,L1572=0,M1572=0),"",IF(O1572=0,"PENDENTE DE RATEIO",IF(ABS(P1572)&gt;0.005,"DIVERGÊNCIA",IF(COUNTIF(RATEIOS!$A$2:$A$3142,$A1572)-COUNTIFS(RATEIOS!$A$2:$A$3142,$A1572,RATEIOS!$D$2:$D$3142,"&lt;&gt;")&gt;0,"NÃO CLASSIFICADO","RATEIO OK"))))</f>
        <v/>
      </c>
      <c r="R1572" s="49"/>
      <c r="S1572" s="14"/>
    </row>
    <row r="1573" spans="1:19" ht="30" customHeight="1" x14ac:dyDescent="0.25">
      <c r="A1573" s="49" t="str">
        <f>IF(C1573="","","BAN-01572")</f>
        <v/>
      </c>
      <c r="B1573" s="98" t="str">
        <f>IF(C1573="","",1572)</f>
        <v/>
      </c>
      <c r="C1573" s="50"/>
      <c r="D1573" s="49" t="str">
        <f t="shared" si="49"/>
        <v/>
      </c>
      <c r="E1573" s="92"/>
      <c r="F1573" s="49"/>
      <c r="G1573" s="14"/>
      <c r="H1573" s="14"/>
      <c r="I1573" s="76"/>
      <c r="J1573" s="73"/>
      <c r="K1573" s="74"/>
      <c r="L1573" s="72"/>
      <c r="M1573" s="72"/>
      <c r="N1573" s="72" t="str">
        <f>IF(AND(C1573="",J1573=0,K1573=0,L1573=0,M1573=0),"",CADASTROS!$B$4+SUM($J$2:J1573)+SUM($M$2:M1573)-SUM($K$2:K1573)-SUM($L$2:L1573))</f>
        <v/>
      </c>
      <c r="O1573" s="72" t="str">
        <f>IF(A1573="","",SUMIF(RATEIOS!$A$2:$A$3142,$A1573,RATEIOS!$F$2:$F$3142))</f>
        <v/>
      </c>
      <c r="P1573" s="15" t="str">
        <f t="shared" si="50"/>
        <v/>
      </c>
      <c r="Q1573" s="49" t="str">
        <f>IF(AND(J1573=0,K1573=0,L1573=0,M1573=0),"",IF(O1573=0,"PENDENTE DE RATEIO",IF(ABS(P1573)&gt;0.005,"DIVERGÊNCIA",IF(COUNTIF(RATEIOS!$A$2:$A$3142,$A1573)-COUNTIFS(RATEIOS!$A$2:$A$3142,$A1573,RATEIOS!$D$2:$D$3142,"&lt;&gt;")&gt;0,"NÃO CLASSIFICADO","RATEIO OK"))))</f>
        <v/>
      </c>
      <c r="R1573" s="49"/>
      <c r="S1573" s="14"/>
    </row>
    <row r="1574" spans="1:19" ht="30" customHeight="1" x14ac:dyDescent="0.25">
      <c r="A1574" s="49" t="str">
        <f>IF(C1574="","","BAN-01573")</f>
        <v/>
      </c>
      <c r="B1574" s="98" t="str">
        <f>IF(C1574="","",1573)</f>
        <v/>
      </c>
      <c r="C1574" s="50"/>
      <c r="D1574" s="49" t="str">
        <f t="shared" si="49"/>
        <v/>
      </c>
      <c r="E1574" s="92"/>
      <c r="F1574" s="49"/>
      <c r="G1574" s="14"/>
      <c r="H1574" s="14"/>
      <c r="I1574" s="76"/>
      <c r="J1574" s="73"/>
      <c r="K1574" s="74"/>
      <c r="L1574" s="72"/>
      <c r="M1574" s="72"/>
      <c r="N1574" s="72" t="str">
        <f>IF(AND(C1574="",J1574=0,K1574=0,L1574=0,M1574=0),"",CADASTROS!$B$4+SUM($J$2:J1574)+SUM($M$2:M1574)-SUM($K$2:K1574)-SUM($L$2:L1574))</f>
        <v/>
      </c>
      <c r="O1574" s="72" t="str">
        <f>IF(A1574="","",SUMIF(RATEIOS!$A$2:$A$3142,$A1574,RATEIOS!$F$2:$F$3142))</f>
        <v/>
      </c>
      <c r="P1574" s="15" t="str">
        <f t="shared" si="50"/>
        <v/>
      </c>
      <c r="Q1574" s="49" t="str">
        <f>IF(AND(J1574=0,K1574=0,L1574=0,M1574=0),"",IF(O1574=0,"PENDENTE DE RATEIO",IF(ABS(P1574)&gt;0.005,"DIVERGÊNCIA",IF(COUNTIF(RATEIOS!$A$2:$A$3142,$A1574)-COUNTIFS(RATEIOS!$A$2:$A$3142,$A1574,RATEIOS!$D$2:$D$3142,"&lt;&gt;")&gt;0,"NÃO CLASSIFICADO","RATEIO OK"))))</f>
        <v/>
      </c>
      <c r="R1574" s="49"/>
      <c r="S1574" s="14"/>
    </row>
    <row r="1575" spans="1:19" ht="30" customHeight="1" x14ac:dyDescent="0.25">
      <c r="A1575" s="49" t="str">
        <f>IF(C1575="","","BAN-01574")</f>
        <v/>
      </c>
      <c r="B1575" s="98" t="str">
        <f>IF(C1575="","",1574)</f>
        <v/>
      </c>
      <c r="C1575" s="50"/>
      <c r="D1575" s="49" t="str">
        <f t="shared" si="49"/>
        <v/>
      </c>
      <c r="E1575" s="92"/>
      <c r="F1575" s="49"/>
      <c r="G1575" s="14"/>
      <c r="H1575" s="14"/>
      <c r="I1575" s="76"/>
      <c r="J1575" s="73"/>
      <c r="K1575" s="74"/>
      <c r="L1575" s="72"/>
      <c r="M1575" s="72"/>
      <c r="N1575" s="72" t="str">
        <f>IF(AND(C1575="",J1575=0,K1575=0,L1575=0,M1575=0),"",CADASTROS!$B$4+SUM($J$2:J1575)+SUM($M$2:M1575)-SUM($K$2:K1575)-SUM($L$2:L1575))</f>
        <v/>
      </c>
      <c r="O1575" s="72" t="str">
        <f>IF(A1575="","",SUMIF(RATEIOS!$A$2:$A$3142,$A1575,RATEIOS!$F$2:$F$3142))</f>
        <v/>
      </c>
      <c r="P1575" s="15" t="str">
        <f t="shared" si="50"/>
        <v/>
      </c>
      <c r="Q1575" s="49" t="str">
        <f>IF(AND(J1575=0,K1575=0,L1575=0,M1575=0),"",IF(O1575=0,"PENDENTE DE RATEIO",IF(ABS(P1575)&gt;0.005,"DIVERGÊNCIA",IF(COUNTIF(RATEIOS!$A$2:$A$3142,$A1575)-COUNTIFS(RATEIOS!$A$2:$A$3142,$A1575,RATEIOS!$D$2:$D$3142,"&lt;&gt;")&gt;0,"NÃO CLASSIFICADO","RATEIO OK"))))</f>
        <v/>
      </c>
      <c r="R1575" s="49"/>
      <c r="S1575" s="14"/>
    </row>
    <row r="1576" spans="1:19" ht="30" customHeight="1" x14ac:dyDescent="0.25">
      <c r="A1576" s="49" t="str">
        <f>IF(C1576="","","BAN-01575")</f>
        <v/>
      </c>
      <c r="B1576" s="98" t="str">
        <f>IF(C1576="","",1575)</f>
        <v/>
      </c>
      <c r="C1576" s="50"/>
      <c r="D1576" s="49" t="str">
        <f t="shared" si="49"/>
        <v/>
      </c>
      <c r="E1576" s="92"/>
      <c r="F1576" s="49"/>
      <c r="G1576" s="14"/>
      <c r="H1576" s="14"/>
      <c r="I1576" s="76"/>
      <c r="J1576" s="73"/>
      <c r="K1576" s="74"/>
      <c r="L1576" s="72"/>
      <c r="M1576" s="72"/>
      <c r="N1576" s="72" t="str">
        <f>IF(AND(C1576="",J1576=0,K1576=0,L1576=0,M1576=0),"",CADASTROS!$B$4+SUM($J$2:J1576)+SUM($M$2:M1576)-SUM($K$2:K1576)-SUM($L$2:L1576))</f>
        <v/>
      </c>
      <c r="O1576" s="72" t="str">
        <f>IF(A1576="","",SUMIF(RATEIOS!$A$2:$A$3142,$A1576,RATEIOS!$F$2:$F$3142))</f>
        <v/>
      </c>
      <c r="P1576" s="15" t="str">
        <f t="shared" si="50"/>
        <v/>
      </c>
      <c r="Q1576" s="49" t="str">
        <f>IF(AND(J1576=0,K1576=0,L1576=0,M1576=0),"",IF(O1576=0,"PENDENTE DE RATEIO",IF(ABS(P1576)&gt;0.005,"DIVERGÊNCIA",IF(COUNTIF(RATEIOS!$A$2:$A$3142,$A1576)-COUNTIFS(RATEIOS!$A$2:$A$3142,$A1576,RATEIOS!$D$2:$D$3142,"&lt;&gt;")&gt;0,"NÃO CLASSIFICADO","RATEIO OK"))))</f>
        <v/>
      </c>
      <c r="R1576" s="49"/>
      <c r="S1576" s="14"/>
    </row>
    <row r="1577" spans="1:19" ht="30" customHeight="1" x14ac:dyDescent="0.25">
      <c r="A1577" s="49" t="str">
        <f>IF(C1577="","","BAN-01576")</f>
        <v/>
      </c>
      <c r="B1577" s="98" t="str">
        <f>IF(C1577="","",1576)</f>
        <v/>
      </c>
      <c r="C1577" s="50"/>
      <c r="D1577" s="49" t="str">
        <f t="shared" si="49"/>
        <v/>
      </c>
      <c r="E1577" s="92"/>
      <c r="F1577" s="49"/>
      <c r="G1577" s="14"/>
      <c r="H1577" s="14"/>
      <c r="I1577" s="76"/>
      <c r="J1577" s="73"/>
      <c r="K1577" s="74"/>
      <c r="L1577" s="72"/>
      <c r="M1577" s="72"/>
      <c r="N1577" s="72" t="str">
        <f>IF(AND(C1577="",J1577=0,K1577=0,L1577=0,M1577=0),"",CADASTROS!$B$4+SUM($J$2:J1577)+SUM($M$2:M1577)-SUM($K$2:K1577)-SUM($L$2:L1577))</f>
        <v/>
      </c>
      <c r="O1577" s="72" t="str">
        <f>IF(A1577="","",SUMIF(RATEIOS!$A$2:$A$3142,$A1577,RATEIOS!$F$2:$F$3142))</f>
        <v/>
      </c>
      <c r="P1577" s="15" t="str">
        <f t="shared" si="50"/>
        <v/>
      </c>
      <c r="Q1577" s="49" t="str">
        <f>IF(AND(J1577=0,K1577=0,L1577=0,M1577=0),"",IF(O1577=0,"PENDENTE DE RATEIO",IF(ABS(P1577)&gt;0.005,"DIVERGÊNCIA",IF(COUNTIF(RATEIOS!$A$2:$A$3142,$A1577)-COUNTIFS(RATEIOS!$A$2:$A$3142,$A1577,RATEIOS!$D$2:$D$3142,"&lt;&gt;")&gt;0,"NÃO CLASSIFICADO","RATEIO OK"))))</f>
        <v/>
      </c>
      <c r="R1577" s="49"/>
      <c r="S1577" s="14"/>
    </row>
    <row r="1578" spans="1:19" ht="30" customHeight="1" x14ac:dyDescent="0.25">
      <c r="A1578" s="49" t="str">
        <f>IF(C1578="","","BAN-01577")</f>
        <v/>
      </c>
      <c r="B1578" s="98" t="str">
        <f>IF(C1578="","",1577)</f>
        <v/>
      </c>
      <c r="C1578" s="50"/>
      <c r="D1578" s="49" t="str">
        <f t="shared" si="49"/>
        <v/>
      </c>
      <c r="E1578" s="92"/>
      <c r="F1578" s="49"/>
      <c r="G1578" s="14"/>
      <c r="H1578" s="14"/>
      <c r="I1578" s="76"/>
      <c r="J1578" s="73"/>
      <c r="K1578" s="74"/>
      <c r="L1578" s="72"/>
      <c r="M1578" s="72"/>
      <c r="N1578" s="72" t="str">
        <f>IF(AND(C1578="",J1578=0,K1578=0,L1578=0,M1578=0),"",CADASTROS!$B$4+SUM($J$2:J1578)+SUM($M$2:M1578)-SUM($K$2:K1578)-SUM($L$2:L1578))</f>
        <v/>
      </c>
      <c r="O1578" s="72" t="str">
        <f>IF(A1578="","",SUMIF(RATEIOS!$A$2:$A$3142,$A1578,RATEIOS!$F$2:$F$3142))</f>
        <v/>
      </c>
      <c r="P1578" s="15" t="str">
        <f t="shared" si="50"/>
        <v/>
      </c>
      <c r="Q1578" s="49" t="str">
        <f>IF(AND(J1578=0,K1578=0,L1578=0,M1578=0),"",IF(O1578=0,"PENDENTE DE RATEIO",IF(ABS(P1578)&gt;0.005,"DIVERGÊNCIA",IF(COUNTIF(RATEIOS!$A$2:$A$3142,$A1578)-COUNTIFS(RATEIOS!$A$2:$A$3142,$A1578,RATEIOS!$D$2:$D$3142,"&lt;&gt;")&gt;0,"NÃO CLASSIFICADO","RATEIO OK"))))</f>
        <v/>
      </c>
      <c r="R1578" s="49"/>
      <c r="S1578" s="14"/>
    </row>
    <row r="1579" spans="1:19" ht="30" customHeight="1" x14ac:dyDescent="0.25">
      <c r="A1579" s="49" t="str">
        <f>IF(C1579="","","BAN-01578")</f>
        <v/>
      </c>
      <c r="B1579" s="98" t="str">
        <f>IF(C1579="","",1578)</f>
        <v/>
      </c>
      <c r="C1579" s="50"/>
      <c r="D1579" s="49" t="str">
        <f t="shared" si="49"/>
        <v/>
      </c>
      <c r="E1579" s="92"/>
      <c r="F1579" s="49"/>
      <c r="G1579" s="14"/>
      <c r="H1579" s="14"/>
      <c r="I1579" s="76"/>
      <c r="J1579" s="73"/>
      <c r="K1579" s="74"/>
      <c r="L1579" s="72"/>
      <c r="M1579" s="72"/>
      <c r="N1579" s="72" t="str">
        <f>IF(AND(C1579="",J1579=0,K1579=0,L1579=0,M1579=0),"",CADASTROS!$B$4+SUM($J$2:J1579)+SUM($M$2:M1579)-SUM($K$2:K1579)-SUM($L$2:L1579))</f>
        <v/>
      </c>
      <c r="O1579" s="72" t="str">
        <f>IF(A1579="","",SUMIF(RATEIOS!$A$2:$A$3142,$A1579,RATEIOS!$F$2:$F$3142))</f>
        <v/>
      </c>
      <c r="P1579" s="15" t="str">
        <f t="shared" si="50"/>
        <v/>
      </c>
      <c r="Q1579" s="49" t="str">
        <f>IF(AND(J1579=0,K1579=0,L1579=0,M1579=0),"",IF(O1579=0,"PENDENTE DE RATEIO",IF(ABS(P1579)&gt;0.005,"DIVERGÊNCIA",IF(COUNTIF(RATEIOS!$A$2:$A$3142,$A1579)-COUNTIFS(RATEIOS!$A$2:$A$3142,$A1579,RATEIOS!$D$2:$D$3142,"&lt;&gt;")&gt;0,"NÃO CLASSIFICADO","RATEIO OK"))))</f>
        <v/>
      </c>
      <c r="R1579" s="49"/>
      <c r="S1579" s="14"/>
    </row>
    <row r="1580" spans="1:19" ht="30" customHeight="1" x14ac:dyDescent="0.25">
      <c r="A1580" s="49" t="str">
        <f>IF(C1580="","","BAN-01579")</f>
        <v/>
      </c>
      <c r="B1580" s="98" t="str">
        <f>IF(C1580="","",1579)</f>
        <v/>
      </c>
      <c r="C1580" s="50"/>
      <c r="D1580" s="49" t="str">
        <f t="shared" si="49"/>
        <v/>
      </c>
      <c r="E1580" s="92"/>
      <c r="F1580" s="49"/>
      <c r="G1580" s="14"/>
      <c r="H1580" s="14"/>
      <c r="I1580" s="76"/>
      <c r="J1580" s="73"/>
      <c r="K1580" s="74"/>
      <c r="L1580" s="72"/>
      <c r="M1580" s="72"/>
      <c r="N1580" s="72" t="str">
        <f>IF(AND(C1580="",J1580=0,K1580=0,L1580=0,M1580=0),"",CADASTROS!$B$4+SUM($J$2:J1580)+SUM($M$2:M1580)-SUM($K$2:K1580)-SUM($L$2:L1580))</f>
        <v/>
      </c>
      <c r="O1580" s="72" t="str">
        <f>IF(A1580="","",SUMIF(RATEIOS!$A$2:$A$3142,$A1580,RATEIOS!$F$2:$F$3142))</f>
        <v/>
      </c>
      <c r="P1580" s="15" t="str">
        <f t="shared" si="50"/>
        <v/>
      </c>
      <c r="Q1580" s="49" t="str">
        <f>IF(AND(J1580=0,K1580=0,L1580=0,M1580=0),"",IF(O1580=0,"PENDENTE DE RATEIO",IF(ABS(P1580)&gt;0.005,"DIVERGÊNCIA",IF(COUNTIF(RATEIOS!$A$2:$A$3142,$A1580)-COUNTIFS(RATEIOS!$A$2:$A$3142,$A1580,RATEIOS!$D$2:$D$3142,"&lt;&gt;")&gt;0,"NÃO CLASSIFICADO","RATEIO OK"))))</f>
        <v/>
      </c>
      <c r="R1580" s="49"/>
      <c r="S1580" s="14"/>
    </row>
    <row r="1581" spans="1:19" ht="30" customHeight="1" x14ac:dyDescent="0.25">
      <c r="A1581" s="49" t="str">
        <f>IF(C1581="","","BAN-01580")</f>
        <v/>
      </c>
      <c r="B1581" s="98" t="str">
        <f>IF(C1581="","",1580)</f>
        <v/>
      </c>
      <c r="C1581" s="50"/>
      <c r="D1581" s="49" t="str">
        <f t="shared" si="49"/>
        <v/>
      </c>
      <c r="E1581" s="92"/>
      <c r="F1581" s="49"/>
      <c r="G1581" s="14"/>
      <c r="H1581" s="14"/>
      <c r="I1581" s="76"/>
      <c r="J1581" s="73"/>
      <c r="K1581" s="74"/>
      <c r="L1581" s="72"/>
      <c r="M1581" s="72"/>
      <c r="N1581" s="72" t="str">
        <f>IF(AND(C1581="",J1581=0,K1581=0,L1581=0,M1581=0),"",CADASTROS!$B$4+SUM($J$2:J1581)+SUM($M$2:M1581)-SUM($K$2:K1581)-SUM($L$2:L1581))</f>
        <v/>
      </c>
      <c r="O1581" s="72" t="str">
        <f>IF(A1581="","",SUMIF(RATEIOS!$A$2:$A$3142,$A1581,RATEIOS!$F$2:$F$3142))</f>
        <v/>
      </c>
      <c r="P1581" s="15" t="str">
        <f t="shared" si="50"/>
        <v/>
      </c>
      <c r="Q1581" s="49" t="str">
        <f>IF(AND(J1581=0,K1581=0,L1581=0,M1581=0),"",IF(O1581=0,"PENDENTE DE RATEIO",IF(ABS(P1581)&gt;0.005,"DIVERGÊNCIA",IF(COUNTIF(RATEIOS!$A$2:$A$3142,$A1581)-COUNTIFS(RATEIOS!$A$2:$A$3142,$A1581,RATEIOS!$D$2:$D$3142,"&lt;&gt;")&gt;0,"NÃO CLASSIFICADO","RATEIO OK"))))</f>
        <v/>
      </c>
      <c r="R1581" s="49"/>
      <c r="S1581" s="14"/>
    </row>
    <row r="1582" spans="1:19" ht="30" customHeight="1" x14ac:dyDescent="0.25">
      <c r="A1582" s="49" t="str">
        <f>IF(C1582="","","BAN-01581")</f>
        <v/>
      </c>
      <c r="B1582" s="98" t="str">
        <f>IF(C1582="","",1581)</f>
        <v/>
      </c>
      <c r="C1582" s="50"/>
      <c r="D1582" s="49" t="str">
        <f t="shared" si="49"/>
        <v/>
      </c>
      <c r="E1582" s="92"/>
      <c r="F1582" s="49"/>
      <c r="G1582" s="14"/>
      <c r="H1582" s="14"/>
      <c r="I1582" s="76"/>
      <c r="J1582" s="73"/>
      <c r="K1582" s="74"/>
      <c r="L1582" s="72"/>
      <c r="M1582" s="72"/>
      <c r="N1582" s="72" t="str">
        <f>IF(AND(C1582="",J1582=0,K1582=0,L1582=0,M1582=0),"",CADASTROS!$B$4+SUM($J$2:J1582)+SUM($M$2:M1582)-SUM($K$2:K1582)-SUM($L$2:L1582))</f>
        <v/>
      </c>
      <c r="O1582" s="72" t="str">
        <f>IF(A1582="","",SUMIF(RATEIOS!$A$2:$A$3142,$A1582,RATEIOS!$F$2:$F$3142))</f>
        <v/>
      </c>
      <c r="P1582" s="15" t="str">
        <f t="shared" si="50"/>
        <v/>
      </c>
      <c r="Q1582" s="49" t="str">
        <f>IF(AND(J1582=0,K1582=0,L1582=0,M1582=0),"",IF(O1582=0,"PENDENTE DE RATEIO",IF(ABS(P1582)&gt;0.005,"DIVERGÊNCIA",IF(COUNTIF(RATEIOS!$A$2:$A$3142,$A1582)-COUNTIFS(RATEIOS!$A$2:$A$3142,$A1582,RATEIOS!$D$2:$D$3142,"&lt;&gt;")&gt;0,"NÃO CLASSIFICADO","RATEIO OK"))))</f>
        <v/>
      </c>
      <c r="R1582" s="49"/>
      <c r="S1582" s="14"/>
    </row>
    <row r="1583" spans="1:19" ht="30" customHeight="1" x14ac:dyDescent="0.25">
      <c r="A1583" s="49" t="str">
        <f>IF(C1583="","","BAN-01582")</f>
        <v/>
      </c>
      <c r="B1583" s="98" t="str">
        <f>IF(C1583="","",1582)</f>
        <v/>
      </c>
      <c r="C1583" s="50"/>
      <c r="D1583" s="49" t="str">
        <f t="shared" si="49"/>
        <v/>
      </c>
      <c r="E1583" s="92"/>
      <c r="F1583" s="49"/>
      <c r="G1583" s="14"/>
      <c r="H1583" s="14"/>
      <c r="I1583" s="76"/>
      <c r="J1583" s="73"/>
      <c r="K1583" s="74"/>
      <c r="L1583" s="72"/>
      <c r="M1583" s="72"/>
      <c r="N1583" s="72" t="str">
        <f>IF(AND(C1583="",J1583=0,K1583=0,L1583=0,M1583=0),"",CADASTROS!$B$4+SUM($J$2:J1583)+SUM($M$2:M1583)-SUM($K$2:K1583)-SUM($L$2:L1583))</f>
        <v/>
      </c>
      <c r="O1583" s="72" t="str">
        <f>IF(A1583="","",SUMIF(RATEIOS!$A$2:$A$3142,$A1583,RATEIOS!$F$2:$F$3142))</f>
        <v/>
      </c>
      <c r="P1583" s="15" t="str">
        <f t="shared" si="50"/>
        <v/>
      </c>
      <c r="Q1583" s="49" t="str">
        <f>IF(AND(J1583=0,K1583=0,L1583=0,M1583=0),"",IF(O1583=0,"PENDENTE DE RATEIO",IF(ABS(P1583)&gt;0.005,"DIVERGÊNCIA",IF(COUNTIF(RATEIOS!$A$2:$A$3142,$A1583)-COUNTIFS(RATEIOS!$A$2:$A$3142,$A1583,RATEIOS!$D$2:$D$3142,"&lt;&gt;")&gt;0,"NÃO CLASSIFICADO","RATEIO OK"))))</f>
        <v/>
      </c>
      <c r="R1583" s="49"/>
      <c r="S1583" s="14"/>
    </row>
    <row r="1584" spans="1:19" ht="30" customHeight="1" x14ac:dyDescent="0.25">
      <c r="A1584" s="49" t="str">
        <f>IF(C1584="","","BAN-01583")</f>
        <v/>
      </c>
      <c r="B1584" s="98" t="str">
        <f>IF(C1584="","",1583)</f>
        <v/>
      </c>
      <c r="C1584" s="50"/>
      <c r="D1584" s="49" t="str">
        <f t="shared" si="49"/>
        <v/>
      </c>
      <c r="E1584" s="92"/>
      <c r="F1584" s="49"/>
      <c r="G1584" s="14"/>
      <c r="H1584" s="14"/>
      <c r="I1584" s="76"/>
      <c r="J1584" s="73"/>
      <c r="K1584" s="74"/>
      <c r="L1584" s="72"/>
      <c r="M1584" s="72"/>
      <c r="N1584" s="72" t="str">
        <f>IF(AND(C1584="",J1584=0,K1584=0,L1584=0,M1584=0),"",CADASTROS!$B$4+SUM($J$2:J1584)+SUM($M$2:M1584)-SUM($K$2:K1584)-SUM($L$2:L1584))</f>
        <v/>
      </c>
      <c r="O1584" s="72" t="str">
        <f>IF(A1584="","",SUMIF(RATEIOS!$A$2:$A$3142,$A1584,RATEIOS!$F$2:$F$3142))</f>
        <v/>
      </c>
      <c r="P1584" s="15" t="str">
        <f t="shared" si="50"/>
        <v/>
      </c>
      <c r="Q1584" s="49" t="str">
        <f>IF(AND(J1584=0,K1584=0,L1584=0,M1584=0),"",IF(O1584=0,"PENDENTE DE RATEIO",IF(ABS(P1584)&gt;0.005,"DIVERGÊNCIA",IF(COUNTIF(RATEIOS!$A$2:$A$3142,$A1584)-COUNTIFS(RATEIOS!$A$2:$A$3142,$A1584,RATEIOS!$D$2:$D$3142,"&lt;&gt;")&gt;0,"NÃO CLASSIFICADO","RATEIO OK"))))</f>
        <v/>
      </c>
      <c r="R1584" s="49"/>
      <c r="S1584" s="14"/>
    </row>
    <row r="1585" spans="1:19" ht="30" customHeight="1" x14ac:dyDescent="0.25">
      <c r="A1585" s="49" t="str">
        <f>IF(C1585="","","BAN-01584")</f>
        <v/>
      </c>
      <c r="B1585" s="98" t="str">
        <f>IF(C1585="","",1584)</f>
        <v/>
      </c>
      <c r="C1585" s="50"/>
      <c r="D1585" s="49" t="str">
        <f t="shared" si="49"/>
        <v/>
      </c>
      <c r="E1585" s="92"/>
      <c r="F1585" s="49"/>
      <c r="G1585" s="14"/>
      <c r="H1585" s="14"/>
      <c r="I1585" s="76"/>
      <c r="J1585" s="73"/>
      <c r="K1585" s="74"/>
      <c r="L1585" s="72"/>
      <c r="M1585" s="72"/>
      <c r="N1585" s="72" t="str">
        <f>IF(AND(C1585="",J1585=0,K1585=0,L1585=0,M1585=0),"",CADASTROS!$B$4+SUM($J$2:J1585)+SUM($M$2:M1585)-SUM($K$2:K1585)-SUM($L$2:L1585))</f>
        <v/>
      </c>
      <c r="O1585" s="72" t="str">
        <f>IF(A1585="","",SUMIF(RATEIOS!$A$2:$A$3142,$A1585,RATEIOS!$F$2:$F$3142))</f>
        <v/>
      </c>
      <c r="P1585" s="15" t="str">
        <f t="shared" si="50"/>
        <v/>
      </c>
      <c r="Q1585" s="49" t="str">
        <f>IF(AND(J1585=0,K1585=0,L1585=0,M1585=0),"",IF(O1585=0,"PENDENTE DE RATEIO",IF(ABS(P1585)&gt;0.005,"DIVERGÊNCIA",IF(COUNTIF(RATEIOS!$A$2:$A$3142,$A1585)-COUNTIFS(RATEIOS!$A$2:$A$3142,$A1585,RATEIOS!$D$2:$D$3142,"&lt;&gt;")&gt;0,"NÃO CLASSIFICADO","RATEIO OK"))))</f>
        <v/>
      </c>
      <c r="R1585" s="49"/>
      <c r="S1585" s="14"/>
    </row>
    <row r="1586" spans="1:19" ht="30" customHeight="1" x14ac:dyDescent="0.25">
      <c r="A1586" s="49" t="str">
        <f>IF(C1586="","","BAN-01585")</f>
        <v/>
      </c>
      <c r="B1586" s="98" t="str">
        <f>IF(C1586="","",1585)</f>
        <v/>
      </c>
      <c r="C1586" s="50"/>
      <c r="D1586" s="49" t="str">
        <f t="shared" si="49"/>
        <v/>
      </c>
      <c r="E1586" s="92"/>
      <c r="F1586" s="49"/>
      <c r="G1586" s="14"/>
      <c r="H1586" s="14"/>
      <c r="I1586" s="76"/>
      <c r="J1586" s="73"/>
      <c r="K1586" s="74"/>
      <c r="L1586" s="72"/>
      <c r="M1586" s="72"/>
      <c r="N1586" s="72" t="str">
        <f>IF(AND(C1586="",J1586=0,K1586=0,L1586=0,M1586=0),"",CADASTROS!$B$4+SUM($J$2:J1586)+SUM($M$2:M1586)-SUM($K$2:K1586)-SUM($L$2:L1586))</f>
        <v/>
      </c>
      <c r="O1586" s="72" t="str">
        <f>IF(A1586="","",SUMIF(RATEIOS!$A$2:$A$3142,$A1586,RATEIOS!$F$2:$F$3142))</f>
        <v/>
      </c>
      <c r="P1586" s="15" t="str">
        <f t="shared" si="50"/>
        <v/>
      </c>
      <c r="Q1586" s="49" t="str">
        <f>IF(AND(J1586=0,K1586=0,L1586=0,M1586=0),"",IF(O1586=0,"PENDENTE DE RATEIO",IF(ABS(P1586)&gt;0.005,"DIVERGÊNCIA",IF(COUNTIF(RATEIOS!$A$2:$A$3142,$A1586)-COUNTIFS(RATEIOS!$A$2:$A$3142,$A1586,RATEIOS!$D$2:$D$3142,"&lt;&gt;")&gt;0,"NÃO CLASSIFICADO","RATEIO OK"))))</f>
        <v/>
      </c>
      <c r="R1586" s="49"/>
      <c r="S1586" s="14"/>
    </row>
    <row r="1587" spans="1:19" ht="30" customHeight="1" x14ac:dyDescent="0.25">
      <c r="A1587" s="49" t="str">
        <f>IF(C1587="","","BAN-01586")</f>
        <v/>
      </c>
      <c r="B1587" s="98" t="str">
        <f>IF(C1587="","",1586)</f>
        <v/>
      </c>
      <c r="C1587" s="50"/>
      <c r="D1587" s="49" t="str">
        <f t="shared" si="49"/>
        <v/>
      </c>
      <c r="E1587" s="92"/>
      <c r="F1587" s="49"/>
      <c r="G1587" s="14"/>
      <c r="H1587" s="14"/>
      <c r="I1587" s="76"/>
      <c r="J1587" s="73"/>
      <c r="K1587" s="74"/>
      <c r="L1587" s="72"/>
      <c r="M1587" s="72"/>
      <c r="N1587" s="72" t="str">
        <f>IF(AND(C1587="",J1587=0,K1587=0,L1587=0,M1587=0),"",CADASTROS!$B$4+SUM($J$2:J1587)+SUM($M$2:M1587)-SUM($K$2:K1587)-SUM($L$2:L1587))</f>
        <v/>
      </c>
      <c r="O1587" s="72" t="str">
        <f>IF(A1587="","",SUMIF(RATEIOS!$A$2:$A$3142,$A1587,RATEIOS!$F$2:$F$3142))</f>
        <v/>
      </c>
      <c r="P1587" s="15" t="str">
        <f t="shared" si="50"/>
        <v/>
      </c>
      <c r="Q1587" s="49" t="str">
        <f>IF(AND(J1587=0,K1587=0,L1587=0,M1587=0),"",IF(O1587=0,"PENDENTE DE RATEIO",IF(ABS(P1587)&gt;0.005,"DIVERGÊNCIA",IF(COUNTIF(RATEIOS!$A$2:$A$3142,$A1587)-COUNTIFS(RATEIOS!$A$2:$A$3142,$A1587,RATEIOS!$D$2:$D$3142,"&lt;&gt;")&gt;0,"NÃO CLASSIFICADO","RATEIO OK"))))</f>
        <v/>
      </c>
      <c r="R1587" s="49"/>
      <c r="S1587" s="14"/>
    </row>
    <row r="1588" spans="1:19" ht="30" customHeight="1" x14ac:dyDescent="0.25">
      <c r="A1588" s="49" t="str">
        <f>IF(C1588="","","BAN-01587")</f>
        <v/>
      </c>
      <c r="B1588" s="98" t="str">
        <f>IF(C1588="","",1587)</f>
        <v/>
      </c>
      <c r="C1588" s="50"/>
      <c r="D1588" s="49" t="str">
        <f t="shared" si="49"/>
        <v/>
      </c>
      <c r="E1588" s="92"/>
      <c r="F1588" s="49"/>
      <c r="G1588" s="14"/>
      <c r="H1588" s="14"/>
      <c r="I1588" s="76"/>
      <c r="J1588" s="73"/>
      <c r="K1588" s="74"/>
      <c r="L1588" s="72"/>
      <c r="M1588" s="72"/>
      <c r="N1588" s="72" t="str">
        <f>IF(AND(C1588="",J1588=0,K1588=0,L1588=0,M1588=0),"",CADASTROS!$B$4+SUM($J$2:J1588)+SUM($M$2:M1588)-SUM($K$2:K1588)-SUM($L$2:L1588))</f>
        <v/>
      </c>
      <c r="O1588" s="72" t="str">
        <f>IF(A1588="","",SUMIF(RATEIOS!$A$2:$A$3142,$A1588,RATEIOS!$F$2:$F$3142))</f>
        <v/>
      </c>
      <c r="P1588" s="15" t="str">
        <f t="shared" si="50"/>
        <v/>
      </c>
      <c r="Q1588" s="49" t="str">
        <f>IF(AND(J1588=0,K1588=0,L1588=0,M1588=0),"",IF(O1588=0,"PENDENTE DE RATEIO",IF(ABS(P1588)&gt;0.005,"DIVERGÊNCIA",IF(COUNTIF(RATEIOS!$A$2:$A$3142,$A1588)-COUNTIFS(RATEIOS!$A$2:$A$3142,$A1588,RATEIOS!$D$2:$D$3142,"&lt;&gt;")&gt;0,"NÃO CLASSIFICADO","RATEIO OK"))))</f>
        <v/>
      </c>
      <c r="R1588" s="49"/>
      <c r="S1588" s="14"/>
    </row>
    <row r="1589" spans="1:19" ht="30" customHeight="1" x14ac:dyDescent="0.25">
      <c r="A1589" s="49" t="str">
        <f>IF(C1589="","","BAN-01588")</f>
        <v/>
      </c>
      <c r="B1589" s="98" t="str">
        <f>IF(C1589="","",1588)</f>
        <v/>
      </c>
      <c r="C1589" s="50"/>
      <c r="D1589" s="49" t="str">
        <f t="shared" si="49"/>
        <v/>
      </c>
      <c r="E1589" s="92"/>
      <c r="F1589" s="49"/>
      <c r="G1589" s="14"/>
      <c r="H1589" s="14"/>
      <c r="I1589" s="76"/>
      <c r="J1589" s="73"/>
      <c r="K1589" s="74"/>
      <c r="L1589" s="72"/>
      <c r="M1589" s="72"/>
      <c r="N1589" s="72" t="str">
        <f>IF(AND(C1589="",J1589=0,K1589=0,L1589=0,M1589=0),"",CADASTROS!$B$4+SUM($J$2:J1589)+SUM($M$2:M1589)-SUM($K$2:K1589)-SUM($L$2:L1589))</f>
        <v/>
      </c>
      <c r="O1589" s="72" t="str">
        <f>IF(A1589="","",SUMIF(RATEIOS!$A$2:$A$3142,$A1589,RATEIOS!$F$2:$F$3142))</f>
        <v/>
      </c>
      <c r="P1589" s="15" t="str">
        <f t="shared" si="50"/>
        <v/>
      </c>
      <c r="Q1589" s="49" t="str">
        <f>IF(AND(J1589=0,K1589=0,L1589=0,M1589=0),"",IF(O1589=0,"PENDENTE DE RATEIO",IF(ABS(P1589)&gt;0.005,"DIVERGÊNCIA",IF(COUNTIF(RATEIOS!$A$2:$A$3142,$A1589)-COUNTIFS(RATEIOS!$A$2:$A$3142,$A1589,RATEIOS!$D$2:$D$3142,"&lt;&gt;")&gt;0,"NÃO CLASSIFICADO","RATEIO OK"))))</f>
        <v/>
      </c>
      <c r="R1589" s="49"/>
      <c r="S1589" s="14"/>
    </row>
    <row r="1590" spans="1:19" ht="30" customHeight="1" x14ac:dyDescent="0.25">
      <c r="A1590" s="49" t="str">
        <f>IF(C1590="","","BAN-01589")</f>
        <v/>
      </c>
      <c r="B1590" s="98" t="str">
        <f>IF(C1590="","",1589)</f>
        <v/>
      </c>
      <c r="C1590" s="50"/>
      <c r="D1590" s="49" t="str">
        <f t="shared" si="49"/>
        <v/>
      </c>
      <c r="E1590" s="92"/>
      <c r="F1590" s="49"/>
      <c r="G1590" s="14"/>
      <c r="H1590" s="14"/>
      <c r="I1590" s="76"/>
      <c r="J1590" s="73"/>
      <c r="K1590" s="74"/>
      <c r="L1590" s="72"/>
      <c r="M1590" s="72"/>
      <c r="N1590" s="72" t="str">
        <f>IF(AND(C1590="",J1590=0,K1590=0,L1590=0,M1590=0),"",CADASTROS!$B$4+SUM($J$2:J1590)+SUM($M$2:M1590)-SUM($K$2:K1590)-SUM($L$2:L1590))</f>
        <v/>
      </c>
      <c r="O1590" s="72" t="str">
        <f>IF(A1590="","",SUMIF(RATEIOS!$A$2:$A$3142,$A1590,RATEIOS!$F$2:$F$3142))</f>
        <v/>
      </c>
      <c r="P1590" s="15" t="str">
        <f t="shared" si="50"/>
        <v/>
      </c>
      <c r="Q1590" s="49" t="str">
        <f>IF(AND(J1590=0,K1590=0,L1590=0,M1590=0),"",IF(O1590=0,"PENDENTE DE RATEIO",IF(ABS(P1590)&gt;0.005,"DIVERGÊNCIA",IF(COUNTIF(RATEIOS!$A$2:$A$3142,$A1590)-COUNTIFS(RATEIOS!$A$2:$A$3142,$A1590,RATEIOS!$D$2:$D$3142,"&lt;&gt;")&gt;0,"NÃO CLASSIFICADO","RATEIO OK"))))</f>
        <v/>
      </c>
      <c r="R1590" s="49"/>
      <c r="S1590" s="14"/>
    </row>
    <row r="1591" spans="1:19" ht="30" customHeight="1" x14ac:dyDescent="0.25">
      <c r="A1591" s="49" t="str">
        <f>IF(C1591="","","BAN-01590")</f>
        <v/>
      </c>
      <c r="B1591" s="98" t="str">
        <f>IF(C1591="","",1590)</f>
        <v/>
      </c>
      <c r="C1591" s="50"/>
      <c r="D1591" s="49" t="str">
        <f t="shared" si="49"/>
        <v/>
      </c>
      <c r="E1591" s="92"/>
      <c r="F1591" s="49"/>
      <c r="G1591" s="14"/>
      <c r="H1591" s="14"/>
      <c r="I1591" s="76"/>
      <c r="J1591" s="73"/>
      <c r="K1591" s="74"/>
      <c r="L1591" s="72"/>
      <c r="M1591" s="72"/>
      <c r="N1591" s="72" t="str">
        <f>IF(AND(C1591="",J1591=0,K1591=0,L1591=0,M1591=0),"",CADASTROS!$B$4+SUM($J$2:J1591)+SUM($M$2:M1591)-SUM($K$2:K1591)-SUM($L$2:L1591))</f>
        <v/>
      </c>
      <c r="O1591" s="72" t="str">
        <f>IF(A1591="","",SUMIF(RATEIOS!$A$2:$A$3142,$A1591,RATEIOS!$F$2:$F$3142))</f>
        <v/>
      </c>
      <c r="P1591" s="15" t="str">
        <f t="shared" si="50"/>
        <v/>
      </c>
      <c r="Q1591" s="49" t="str">
        <f>IF(AND(J1591=0,K1591=0,L1591=0,M1591=0),"",IF(O1591=0,"PENDENTE DE RATEIO",IF(ABS(P1591)&gt;0.005,"DIVERGÊNCIA",IF(COUNTIF(RATEIOS!$A$2:$A$3142,$A1591)-COUNTIFS(RATEIOS!$A$2:$A$3142,$A1591,RATEIOS!$D$2:$D$3142,"&lt;&gt;")&gt;0,"NÃO CLASSIFICADO","RATEIO OK"))))</f>
        <v/>
      </c>
      <c r="R1591" s="49"/>
      <c r="S1591" s="14"/>
    </row>
    <row r="1592" spans="1:19" ht="30" customHeight="1" x14ac:dyDescent="0.25">
      <c r="A1592" s="49" t="str">
        <f>IF(C1592="","","BAN-01591")</f>
        <v/>
      </c>
      <c r="B1592" s="98" t="str">
        <f>IF(C1592="","",1591)</f>
        <v/>
      </c>
      <c r="C1592" s="50"/>
      <c r="D1592" s="49" t="str">
        <f t="shared" si="49"/>
        <v/>
      </c>
      <c r="E1592" s="92"/>
      <c r="F1592" s="49"/>
      <c r="G1592" s="14"/>
      <c r="H1592" s="14"/>
      <c r="I1592" s="76"/>
      <c r="J1592" s="73"/>
      <c r="K1592" s="74"/>
      <c r="L1592" s="72"/>
      <c r="M1592" s="72"/>
      <c r="N1592" s="72" t="str">
        <f>IF(AND(C1592="",J1592=0,K1592=0,L1592=0,M1592=0),"",CADASTROS!$B$4+SUM($J$2:J1592)+SUM($M$2:M1592)-SUM($K$2:K1592)-SUM($L$2:L1592))</f>
        <v/>
      </c>
      <c r="O1592" s="72" t="str">
        <f>IF(A1592="","",SUMIF(RATEIOS!$A$2:$A$3142,$A1592,RATEIOS!$F$2:$F$3142))</f>
        <v/>
      </c>
      <c r="P1592" s="15" t="str">
        <f t="shared" si="50"/>
        <v/>
      </c>
      <c r="Q1592" s="49" t="str">
        <f>IF(AND(J1592=0,K1592=0,L1592=0,M1592=0),"",IF(O1592=0,"PENDENTE DE RATEIO",IF(ABS(P1592)&gt;0.005,"DIVERGÊNCIA",IF(COUNTIF(RATEIOS!$A$2:$A$3142,$A1592)-COUNTIFS(RATEIOS!$A$2:$A$3142,$A1592,RATEIOS!$D$2:$D$3142,"&lt;&gt;")&gt;0,"NÃO CLASSIFICADO","RATEIO OK"))))</f>
        <v/>
      </c>
      <c r="R1592" s="49"/>
      <c r="S1592" s="14"/>
    </row>
    <row r="1593" spans="1:19" ht="30" customHeight="1" x14ac:dyDescent="0.25">
      <c r="A1593" s="49" t="str">
        <f>IF(C1593="","","BAN-01592")</f>
        <v/>
      </c>
      <c r="B1593" s="98" t="str">
        <f>IF(C1593="","",1592)</f>
        <v/>
      </c>
      <c r="C1593" s="50"/>
      <c r="D1593" s="49" t="str">
        <f t="shared" si="49"/>
        <v/>
      </c>
      <c r="E1593" s="92"/>
      <c r="F1593" s="49"/>
      <c r="G1593" s="14"/>
      <c r="H1593" s="14"/>
      <c r="I1593" s="76"/>
      <c r="J1593" s="73"/>
      <c r="K1593" s="74"/>
      <c r="L1593" s="72"/>
      <c r="M1593" s="72"/>
      <c r="N1593" s="72" t="str">
        <f>IF(AND(C1593="",J1593=0,K1593=0,L1593=0,M1593=0),"",CADASTROS!$B$4+SUM($J$2:J1593)+SUM($M$2:M1593)-SUM($K$2:K1593)-SUM($L$2:L1593))</f>
        <v/>
      </c>
      <c r="O1593" s="72" t="str">
        <f>IF(A1593="","",SUMIF(RATEIOS!$A$2:$A$3142,$A1593,RATEIOS!$F$2:$F$3142))</f>
        <v/>
      </c>
      <c r="P1593" s="15" t="str">
        <f t="shared" si="50"/>
        <v/>
      </c>
      <c r="Q1593" s="49" t="str">
        <f>IF(AND(J1593=0,K1593=0,L1593=0,M1593=0),"",IF(O1593=0,"PENDENTE DE RATEIO",IF(ABS(P1593)&gt;0.005,"DIVERGÊNCIA",IF(COUNTIF(RATEIOS!$A$2:$A$3142,$A1593)-COUNTIFS(RATEIOS!$A$2:$A$3142,$A1593,RATEIOS!$D$2:$D$3142,"&lt;&gt;")&gt;0,"NÃO CLASSIFICADO","RATEIO OK"))))</f>
        <v/>
      </c>
      <c r="R1593" s="49"/>
      <c r="S1593" s="14"/>
    </row>
    <row r="1594" spans="1:19" ht="30" customHeight="1" x14ac:dyDescent="0.25">
      <c r="A1594" s="49" t="str">
        <f>IF(C1594="","","BAN-01593")</f>
        <v/>
      </c>
      <c r="B1594" s="98" t="str">
        <f>IF(C1594="","",1593)</f>
        <v/>
      </c>
      <c r="C1594" s="50"/>
      <c r="D1594" s="49" t="str">
        <f t="shared" si="49"/>
        <v/>
      </c>
      <c r="E1594" s="92"/>
      <c r="F1594" s="49"/>
      <c r="G1594" s="14"/>
      <c r="H1594" s="14"/>
      <c r="I1594" s="76"/>
      <c r="J1594" s="73"/>
      <c r="K1594" s="74"/>
      <c r="L1594" s="72"/>
      <c r="M1594" s="72"/>
      <c r="N1594" s="72" t="str">
        <f>IF(AND(C1594="",J1594=0,K1594=0,L1594=0,M1594=0),"",CADASTROS!$B$4+SUM($J$2:J1594)+SUM($M$2:M1594)-SUM($K$2:K1594)-SUM($L$2:L1594))</f>
        <v/>
      </c>
      <c r="O1594" s="72" t="str">
        <f>IF(A1594="","",SUMIF(RATEIOS!$A$2:$A$3142,$A1594,RATEIOS!$F$2:$F$3142))</f>
        <v/>
      </c>
      <c r="P1594" s="15" t="str">
        <f t="shared" si="50"/>
        <v/>
      </c>
      <c r="Q1594" s="49" t="str">
        <f>IF(AND(J1594=0,K1594=0,L1594=0,M1594=0),"",IF(O1594=0,"PENDENTE DE RATEIO",IF(ABS(P1594)&gt;0.005,"DIVERGÊNCIA",IF(COUNTIF(RATEIOS!$A$2:$A$3142,$A1594)-COUNTIFS(RATEIOS!$A$2:$A$3142,$A1594,RATEIOS!$D$2:$D$3142,"&lt;&gt;")&gt;0,"NÃO CLASSIFICADO","RATEIO OK"))))</f>
        <v/>
      </c>
      <c r="R1594" s="49"/>
      <c r="S1594" s="14"/>
    </row>
    <row r="1595" spans="1:19" ht="30" customHeight="1" x14ac:dyDescent="0.25">
      <c r="A1595" s="49" t="str">
        <f>IF(C1595="","","BAN-01594")</f>
        <v/>
      </c>
      <c r="B1595" s="98" t="str">
        <f>IF(C1595="","",1594)</f>
        <v/>
      </c>
      <c r="C1595" s="50"/>
      <c r="D1595" s="49" t="str">
        <f t="shared" si="49"/>
        <v/>
      </c>
      <c r="E1595" s="92"/>
      <c r="F1595" s="49"/>
      <c r="G1595" s="14"/>
      <c r="H1595" s="14"/>
      <c r="I1595" s="76"/>
      <c r="J1595" s="73"/>
      <c r="K1595" s="74"/>
      <c r="L1595" s="72"/>
      <c r="M1595" s="72"/>
      <c r="N1595" s="72" t="str">
        <f>IF(AND(C1595="",J1595=0,K1595=0,L1595=0,M1595=0),"",CADASTROS!$B$4+SUM($J$2:J1595)+SUM($M$2:M1595)-SUM($K$2:K1595)-SUM($L$2:L1595))</f>
        <v/>
      </c>
      <c r="O1595" s="72" t="str">
        <f>IF(A1595="","",SUMIF(RATEIOS!$A$2:$A$3142,$A1595,RATEIOS!$F$2:$F$3142))</f>
        <v/>
      </c>
      <c r="P1595" s="15" t="str">
        <f t="shared" si="50"/>
        <v/>
      </c>
      <c r="Q1595" s="49" t="str">
        <f>IF(AND(J1595=0,K1595=0,L1595=0,M1595=0),"",IF(O1595=0,"PENDENTE DE RATEIO",IF(ABS(P1595)&gt;0.005,"DIVERGÊNCIA",IF(COUNTIF(RATEIOS!$A$2:$A$3142,$A1595)-COUNTIFS(RATEIOS!$A$2:$A$3142,$A1595,RATEIOS!$D$2:$D$3142,"&lt;&gt;")&gt;0,"NÃO CLASSIFICADO","RATEIO OK"))))</f>
        <v/>
      </c>
      <c r="R1595" s="49"/>
      <c r="S1595" s="14"/>
    </row>
    <row r="1596" spans="1:19" ht="30" customHeight="1" x14ac:dyDescent="0.25">
      <c r="A1596" s="49" t="str">
        <f>IF(C1596="","","BAN-01595")</f>
        <v/>
      </c>
      <c r="B1596" s="98" t="str">
        <f>IF(C1596="","",1595)</f>
        <v/>
      </c>
      <c r="C1596" s="50"/>
      <c r="D1596" s="49" t="str">
        <f t="shared" si="49"/>
        <v/>
      </c>
      <c r="E1596" s="92"/>
      <c r="F1596" s="49"/>
      <c r="G1596" s="14"/>
      <c r="H1596" s="14"/>
      <c r="I1596" s="76"/>
      <c r="J1596" s="73"/>
      <c r="K1596" s="74"/>
      <c r="L1596" s="72"/>
      <c r="M1596" s="72"/>
      <c r="N1596" s="72" t="str">
        <f>IF(AND(C1596="",J1596=0,K1596=0,L1596=0,M1596=0),"",CADASTROS!$B$4+SUM($J$2:J1596)+SUM($M$2:M1596)-SUM($K$2:K1596)-SUM($L$2:L1596))</f>
        <v/>
      </c>
      <c r="O1596" s="72" t="str">
        <f>IF(A1596="","",SUMIF(RATEIOS!$A$2:$A$3142,$A1596,RATEIOS!$F$2:$F$3142))</f>
        <v/>
      </c>
      <c r="P1596" s="15" t="str">
        <f t="shared" si="50"/>
        <v/>
      </c>
      <c r="Q1596" s="49" t="str">
        <f>IF(AND(J1596=0,K1596=0,L1596=0,M1596=0),"",IF(O1596=0,"PENDENTE DE RATEIO",IF(ABS(P1596)&gt;0.005,"DIVERGÊNCIA",IF(COUNTIF(RATEIOS!$A$2:$A$3142,$A1596)-COUNTIFS(RATEIOS!$A$2:$A$3142,$A1596,RATEIOS!$D$2:$D$3142,"&lt;&gt;")&gt;0,"NÃO CLASSIFICADO","RATEIO OK"))))</f>
        <v/>
      </c>
      <c r="R1596" s="49"/>
      <c r="S1596" s="14"/>
    </row>
    <row r="1597" spans="1:19" ht="30" customHeight="1" x14ac:dyDescent="0.25">
      <c r="A1597" s="49" t="str">
        <f>IF(C1597="","","BAN-01596")</f>
        <v/>
      </c>
      <c r="B1597" s="98" t="str">
        <f>IF(C1597="","",1596)</f>
        <v/>
      </c>
      <c r="C1597" s="50"/>
      <c r="D1597" s="49" t="str">
        <f t="shared" si="49"/>
        <v/>
      </c>
      <c r="E1597" s="92"/>
      <c r="F1597" s="49"/>
      <c r="G1597" s="14"/>
      <c r="H1597" s="14"/>
      <c r="I1597" s="76"/>
      <c r="J1597" s="73"/>
      <c r="K1597" s="74"/>
      <c r="L1597" s="72"/>
      <c r="M1597" s="72"/>
      <c r="N1597" s="72" t="str">
        <f>IF(AND(C1597="",J1597=0,K1597=0,L1597=0,M1597=0),"",CADASTROS!$B$4+SUM($J$2:J1597)+SUM($M$2:M1597)-SUM($K$2:K1597)-SUM($L$2:L1597))</f>
        <v/>
      </c>
      <c r="O1597" s="72" t="str">
        <f>IF(A1597="","",SUMIF(RATEIOS!$A$2:$A$3142,$A1597,RATEIOS!$F$2:$F$3142))</f>
        <v/>
      </c>
      <c r="P1597" s="15" t="str">
        <f t="shared" si="50"/>
        <v/>
      </c>
      <c r="Q1597" s="49" t="str">
        <f>IF(AND(J1597=0,K1597=0,L1597=0,M1597=0),"",IF(O1597=0,"PENDENTE DE RATEIO",IF(ABS(P1597)&gt;0.005,"DIVERGÊNCIA",IF(COUNTIF(RATEIOS!$A$2:$A$3142,$A1597)-COUNTIFS(RATEIOS!$A$2:$A$3142,$A1597,RATEIOS!$D$2:$D$3142,"&lt;&gt;")&gt;0,"NÃO CLASSIFICADO","RATEIO OK"))))</f>
        <v/>
      </c>
      <c r="R1597" s="49"/>
      <c r="S1597" s="14"/>
    </row>
    <row r="1598" spans="1:19" ht="30" customHeight="1" x14ac:dyDescent="0.25">
      <c r="A1598" s="49" t="str">
        <f>IF(C1598="","","BAN-01597")</f>
        <v/>
      </c>
      <c r="B1598" s="98" t="str">
        <f>IF(C1598="","",1597)</f>
        <v/>
      </c>
      <c r="C1598" s="50"/>
      <c r="D1598" s="49" t="str">
        <f t="shared" si="49"/>
        <v/>
      </c>
      <c r="E1598" s="92"/>
      <c r="F1598" s="49"/>
      <c r="G1598" s="14"/>
      <c r="H1598" s="14"/>
      <c r="I1598" s="76"/>
      <c r="J1598" s="73"/>
      <c r="K1598" s="74"/>
      <c r="L1598" s="72"/>
      <c r="M1598" s="72"/>
      <c r="N1598" s="72" t="str">
        <f>IF(AND(C1598="",J1598=0,K1598=0,L1598=0,M1598=0),"",CADASTROS!$B$4+SUM($J$2:J1598)+SUM($M$2:M1598)-SUM($K$2:K1598)-SUM($L$2:L1598))</f>
        <v/>
      </c>
      <c r="O1598" s="72" t="str">
        <f>IF(A1598="","",SUMIF(RATEIOS!$A$2:$A$3142,$A1598,RATEIOS!$F$2:$F$3142))</f>
        <v/>
      </c>
      <c r="P1598" s="15" t="str">
        <f t="shared" si="50"/>
        <v/>
      </c>
      <c r="Q1598" s="49" t="str">
        <f>IF(AND(J1598=0,K1598=0,L1598=0,M1598=0),"",IF(O1598=0,"PENDENTE DE RATEIO",IF(ABS(P1598)&gt;0.005,"DIVERGÊNCIA",IF(COUNTIF(RATEIOS!$A$2:$A$3142,$A1598)-COUNTIFS(RATEIOS!$A$2:$A$3142,$A1598,RATEIOS!$D$2:$D$3142,"&lt;&gt;")&gt;0,"NÃO CLASSIFICADO","RATEIO OK"))))</f>
        <v/>
      </c>
      <c r="R1598" s="49"/>
      <c r="S1598" s="14"/>
    </row>
    <row r="1599" spans="1:19" ht="30" customHeight="1" x14ac:dyDescent="0.25">
      <c r="A1599" s="49" t="str">
        <f>IF(C1599="","","BAN-01598")</f>
        <v/>
      </c>
      <c r="B1599" s="98" t="str">
        <f>IF(C1599="","",1598)</f>
        <v/>
      </c>
      <c r="C1599" s="50"/>
      <c r="D1599" s="49" t="str">
        <f t="shared" si="49"/>
        <v/>
      </c>
      <c r="E1599" s="92"/>
      <c r="F1599" s="49"/>
      <c r="G1599" s="14"/>
      <c r="H1599" s="14"/>
      <c r="I1599" s="76"/>
      <c r="J1599" s="73"/>
      <c r="K1599" s="74"/>
      <c r="L1599" s="72"/>
      <c r="M1599" s="72"/>
      <c r="N1599" s="72" t="str">
        <f>IF(AND(C1599="",J1599=0,K1599=0,L1599=0,M1599=0),"",CADASTROS!$B$4+SUM($J$2:J1599)+SUM($M$2:M1599)-SUM($K$2:K1599)-SUM($L$2:L1599))</f>
        <v/>
      </c>
      <c r="O1599" s="72" t="str">
        <f>IF(A1599="","",SUMIF(RATEIOS!$A$2:$A$3142,$A1599,RATEIOS!$F$2:$F$3142))</f>
        <v/>
      </c>
      <c r="P1599" s="15" t="str">
        <f t="shared" si="50"/>
        <v/>
      </c>
      <c r="Q1599" s="49" t="str">
        <f>IF(AND(J1599=0,K1599=0,L1599=0,M1599=0),"",IF(O1599=0,"PENDENTE DE RATEIO",IF(ABS(P1599)&gt;0.005,"DIVERGÊNCIA",IF(COUNTIF(RATEIOS!$A$2:$A$3142,$A1599)-COUNTIFS(RATEIOS!$A$2:$A$3142,$A1599,RATEIOS!$D$2:$D$3142,"&lt;&gt;")&gt;0,"NÃO CLASSIFICADO","RATEIO OK"))))</f>
        <v/>
      </c>
      <c r="R1599" s="49"/>
      <c r="S1599" s="14"/>
    </row>
    <row r="1600" spans="1:19" ht="30" customHeight="1" x14ac:dyDescent="0.25">
      <c r="A1600" s="49" t="str">
        <f>IF(C1600="","","BAN-01599")</f>
        <v/>
      </c>
      <c r="B1600" s="98" t="str">
        <f>IF(C1600="","",1599)</f>
        <v/>
      </c>
      <c r="C1600" s="50"/>
      <c r="D1600" s="49" t="str">
        <f t="shared" si="49"/>
        <v/>
      </c>
      <c r="E1600" s="92"/>
      <c r="F1600" s="49"/>
      <c r="G1600" s="14"/>
      <c r="H1600" s="14"/>
      <c r="I1600" s="76"/>
      <c r="J1600" s="73"/>
      <c r="K1600" s="74"/>
      <c r="L1600" s="72"/>
      <c r="M1600" s="72"/>
      <c r="N1600" s="72" t="str">
        <f>IF(AND(C1600="",J1600=0,K1600=0,L1600=0,M1600=0),"",CADASTROS!$B$4+SUM($J$2:J1600)+SUM($M$2:M1600)-SUM($K$2:K1600)-SUM($L$2:L1600))</f>
        <v/>
      </c>
      <c r="O1600" s="72" t="str">
        <f>IF(A1600="","",SUMIF(RATEIOS!$A$2:$A$3142,$A1600,RATEIOS!$F$2:$F$3142))</f>
        <v/>
      </c>
      <c r="P1600" s="15" t="str">
        <f t="shared" si="50"/>
        <v/>
      </c>
      <c r="Q1600" s="49" t="str">
        <f>IF(AND(J1600=0,K1600=0,L1600=0,M1600=0),"",IF(O1600=0,"PENDENTE DE RATEIO",IF(ABS(P1600)&gt;0.005,"DIVERGÊNCIA",IF(COUNTIF(RATEIOS!$A$2:$A$3142,$A1600)-COUNTIFS(RATEIOS!$A$2:$A$3142,$A1600,RATEIOS!$D$2:$D$3142,"&lt;&gt;")&gt;0,"NÃO CLASSIFICADO","RATEIO OK"))))</f>
        <v/>
      </c>
      <c r="R1600" s="49"/>
      <c r="S1600" s="14"/>
    </row>
    <row r="1601" spans="1:19" ht="30" customHeight="1" x14ac:dyDescent="0.25">
      <c r="A1601" s="49" t="str">
        <f>IF(C1601="","","BAN-01600")</f>
        <v/>
      </c>
      <c r="B1601" s="98" t="str">
        <f>IF(C1601="","",1600)</f>
        <v/>
      </c>
      <c r="C1601" s="50"/>
      <c r="D1601" s="49" t="str">
        <f t="shared" si="49"/>
        <v/>
      </c>
      <c r="E1601" s="92"/>
      <c r="F1601" s="49"/>
      <c r="G1601" s="14"/>
      <c r="H1601" s="14"/>
      <c r="I1601" s="76"/>
      <c r="J1601" s="73"/>
      <c r="K1601" s="74"/>
      <c r="L1601" s="72"/>
      <c r="M1601" s="72"/>
      <c r="N1601" s="72" t="str">
        <f>IF(AND(C1601="",J1601=0,K1601=0,L1601=0,M1601=0),"",CADASTROS!$B$4+SUM($J$2:J1601)+SUM($M$2:M1601)-SUM($K$2:K1601)-SUM($L$2:L1601))</f>
        <v/>
      </c>
      <c r="O1601" s="72" t="str">
        <f>IF(A1601="","",SUMIF(RATEIOS!$A$2:$A$3142,$A1601,RATEIOS!$F$2:$F$3142))</f>
        <v/>
      </c>
      <c r="P1601" s="15" t="str">
        <f t="shared" si="50"/>
        <v/>
      </c>
      <c r="Q1601" s="49" t="str">
        <f>IF(AND(J1601=0,K1601=0,L1601=0,M1601=0),"",IF(O1601=0,"PENDENTE DE RATEIO",IF(ABS(P1601)&gt;0.005,"DIVERGÊNCIA",IF(COUNTIF(RATEIOS!$A$2:$A$3142,$A1601)-COUNTIFS(RATEIOS!$A$2:$A$3142,$A1601,RATEIOS!$D$2:$D$3142,"&lt;&gt;")&gt;0,"NÃO CLASSIFICADO","RATEIO OK"))))</f>
        <v/>
      </c>
      <c r="R1601" s="49"/>
      <c r="S1601" s="14"/>
    </row>
    <row r="1602" spans="1:19" ht="30" customHeight="1" x14ac:dyDescent="0.25">
      <c r="A1602" s="49" t="str">
        <f>IF(C1602="","","BAN-01601")</f>
        <v/>
      </c>
      <c r="B1602" s="98" t="str">
        <f>IF(C1602="","",1601)</f>
        <v/>
      </c>
      <c r="C1602" s="50"/>
      <c r="D1602" s="49" t="str">
        <f t="shared" ref="D1602:D1665" si="51">IF(C1602="","",MONTH(C1602))</f>
        <v/>
      </c>
      <c r="E1602" s="92"/>
      <c r="F1602" s="49"/>
      <c r="G1602" s="14"/>
      <c r="H1602" s="14"/>
      <c r="I1602" s="76"/>
      <c r="J1602" s="73"/>
      <c r="K1602" s="74"/>
      <c r="L1602" s="72"/>
      <c r="M1602" s="72"/>
      <c r="N1602" s="72" t="str">
        <f>IF(AND(C1602="",J1602=0,K1602=0,L1602=0,M1602=0),"",CADASTROS!$B$4+SUM($J$2:J1602)+SUM($M$2:M1602)-SUM($K$2:K1602)-SUM($L$2:L1602))</f>
        <v/>
      </c>
      <c r="O1602" s="72" t="str">
        <f>IF(A1602="","",SUMIF(RATEIOS!$A$2:$A$3142,$A1602,RATEIOS!$F$2:$F$3142))</f>
        <v/>
      </c>
      <c r="P1602" s="15" t="str">
        <f t="shared" ref="P1602:P1665" si="52">IF(A1602="","",(J1602+K1602+L1602+M1602)-O1602)</f>
        <v/>
      </c>
      <c r="Q1602" s="49" t="str">
        <f>IF(AND(J1602=0,K1602=0,L1602=0,M1602=0),"",IF(O1602=0,"PENDENTE DE RATEIO",IF(ABS(P1602)&gt;0.005,"DIVERGÊNCIA",IF(COUNTIF(RATEIOS!$A$2:$A$3142,$A1602)-COUNTIFS(RATEIOS!$A$2:$A$3142,$A1602,RATEIOS!$D$2:$D$3142,"&lt;&gt;")&gt;0,"NÃO CLASSIFICADO","RATEIO OK"))))</f>
        <v/>
      </c>
      <c r="R1602" s="49"/>
      <c r="S1602" s="14"/>
    </row>
    <row r="1603" spans="1:19" ht="30" customHeight="1" x14ac:dyDescent="0.25">
      <c r="A1603" s="49" t="str">
        <f>IF(C1603="","","BAN-01602")</f>
        <v/>
      </c>
      <c r="B1603" s="98" t="str">
        <f>IF(C1603="","",1602)</f>
        <v/>
      </c>
      <c r="C1603" s="50"/>
      <c r="D1603" s="49" t="str">
        <f t="shared" si="51"/>
        <v/>
      </c>
      <c r="E1603" s="92"/>
      <c r="F1603" s="49"/>
      <c r="G1603" s="14"/>
      <c r="H1603" s="14"/>
      <c r="I1603" s="76"/>
      <c r="J1603" s="73"/>
      <c r="K1603" s="74"/>
      <c r="L1603" s="72"/>
      <c r="M1603" s="72"/>
      <c r="N1603" s="72" t="str">
        <f>IF(AND(C1603="",J1603=0,K1603=0,L1603=0,M1603=0),"",CADASTROS!$B$4+SUM($J$2:J1603)+SUM($M$2:M1603)-SUM($K$2:K1603)-SUM($L$2:L1603))</f>
        <v/>
      </c>
      <c r="O1603" s="72" t="str">
        <f>IF(A1603="","",SUMIF(RATEIOS!$A$2:$A$3142,$A1603,RATEIOS!$F$2:$F$3142))</f>
        <v/>
      </c>
      <c r="P1603" s="15" t="str">
        <f t="shared" si="52"/>
        <v/>
      </c>
      <c r="Q1603" s="49" t="str">
        <f>IF(AND(J1603=0,K1603=0,L1603=0,M1603=0),"",IF(O1603=0,"PENDENTE DE RATEIO",IF(ABS(P1603)&gt;0.005,"DIVERGÊNCIA",IF(COUNTIF(RATEIOS!$A$2:$A$3142,$A1603)-COUNTIFS(RATEIOS!$A$2:$A$3142,$A1603,RATEIOS!$D$2:$D$3142,"&lt;&gt;")&gt;0,"NÃO CLASSIFICADO","RATEIO OK"))))</f>
        <v/>
      </c>
      <c r="R1603" s="49"/>
      <c r="S1603" s="14"/>
    </row>
    <row r="1604" spans="1:19" ht="30" customHeight="1" x14ac:dyDescent="0.25">
      <c r="A1604" s="49" t="str">
        <f>IF(C1604="","","BAN-01603")</f>
        <v/>
      </c>
      <c r="B1604" s="98" t="str">
        <f>IF(C1604="","",1603)</f>
        <v/>
      </c>
      <c r="C1604" s="50"/>
      <c r="D1604" s="49" t="str">
        <f t="shared" si="51"/>
        <v/>
      </c>
      <c r="E1604" s="92"/>
      <c r="F1604" s="49"/>
      <c r="G1604" s="14"/>
      <c r="H1604" s="14"/>
      <c r="I1604" s="76"/>
      <c r="J1604" s="73"/>
      <c r="K1604" s="74"/>
      <c r="L1604" s="72"/>
      <c r="M1604" s="72"/>
      <c r="N1604" s="72" t="str">
        <f>IF(AND(C1604="",J1604=0,K1604=0,L1604=0,M1604=0),"",CADASTROS!$B$4+SUM($J$2:J1604)+SUM($M$2:M1604)-SUM($K$2:K1604)-SUM($L$2:L1604))</f>
        <v/>
      </c>
      <c r="O1604" s="72" t="str">
        <f>IF(A1604="","",SUMIF(RATEIOS!$A$2:$A$3142,$A1604,RATEIOS!$F$2:$F$3142))</f>
        <v/>
      </c>
      <c r="P1604" s="15" t="str">
        <f t="shared" si="52"/>
        <v/>
      </c>
      <c r="Q1604" s="49" t="str">
        <f>IF(AND(J1604=0,K1604=0,L1604=0,M1604=0),"",IF(O1604=0,"PENDENTE DE RATEIO",IF(ABS(P1604)&gt;0.005,"DIVERGÊNCIA",IF(COUNTIF(RATEIOS!$A$2:$A$3142,$A1604)-COUNTIFS(RATEIOS!$A$2:$A$3142,$A1604,RATEIOS!$D$2:$D$3142,"&lt;&gt;")&gt;0,"NÃO CLASSIFICADO","RATEIO OK"))))</f>
        <v/>
      </c>
      <c r="R1604" s="49"/>
      <c r="S1604" s="14"/>
    </row>
    <row r="1605" spans="1:19" ht="30" customHeight="1" x14ac:dyDescent="0.25">
      <c r="A1605" s="49" t="str">
        <f>IF(C1605="","","BAN-01604")</f>
        <v/>
      </c>
      <c r="B1605" s="98" t="str">
        <f>IF(C1605="","",1604)</f>
        <v/>
      </c>
      <c r="C1605" s="50"/>
      <c r="D1605" s="49" t="str">
        <f t="shared" si="51"/>
        <v/>
      </c>
      <c r="E1605" s="92"/>
      <c r="F1605" s="49"/>
      <c r="G1605" s="14"/>
      <c r="H1605" s="14"/>
      <c r="I1605" s="76"/>
      <c r="J1605" s="73"/>
      <c r="K1605" s="74"/>
      <c r="L1605" s="72"/>
      <c r="M1605" s="72"/>
      <c r="N1605" s="72" t="str">
        <f>IF(AND(C1605="",J1605=0,K1605=0,L1605=0,M1605=0),"",CADASTROS!$B$4+SUM($J$2:J1605)+SUM($M$2:M1605)-SUM($K$2:K1605)-SUM($L$2:L1605))</f>
        <v/>
      </c>
      <c r="O1605" s="72" t="str">
        <f>IF(A1605="","",SUMIF(RATEIOS!$A$2:$A$3142,$A1605,RATEIOS!$F$2:$F$3142))</f>
        <v/>
      </c>
      <c r="P1605" s="15" t="str">
        <f t="shared" si="52"/>
        <v/>
      </c>
      <c r="Q1605" s="49" t="str">
        <f>IF(AND(J1605=0,K1605=0,L1605=0,M1605=0),"",IF(O1605=0,"PENDENTE DE RATEIO",IF(ABS(P1605)&gt;0.005,"DIVERGÊNCIA",IF(COUNTIF(RATEIOS!$A$2:$A$3142,$A1605)-COUNTIFS(RATEIOS!$A$2:$A$3142,$A1605,RATEIOS!$D$2:$D$3142,"&lt;&gt;")&gt;0,"NÃO CLASSIFICADO","RATEIO OK"))))</f>
        <v/>
      </c>
      <c r="R1605" s="49"/>
      <c r="S1605" s="14"/>
    </row>
    <row r="1606" spans="1:19" ht="30" customHeight="1" x14ac:dyDescent="0.25">
      <c r="A1606" s="49" t="str">
        <f>IF(C1606="","","BAN-01605")</f>
        <v/>
      </c>
      <c r="B1606" s="98" t="str">
        <f>IF(C1606="","",1605)</f>
        <v/>
      </c>
      <c r="C1606" s="50"/>
      <c r="D1606" s="49" t="str">
        <f t="shared" si="51"/>
        <v/>
      </c>
      <c r="E1606" s="92"/>
      <c r="F1606" s="49"/>
      <c r="G1606" s="14"/>
      <c r="H1606" s="14"/>
      <c r="I1606" s="76"/>
      <c r="J1606" s="73"/>
      <c r="K1606" s="74"/>
      <c r="L1606" s="72"/>
      <c r="M1606" s="72"/>
      <c r="N1606" s="72" t="str">
        <f>IF(AND(C1606="",J1606=0,K1606=0,L1606=0,M1606=0),"",CADASTROS!$B$4+SUM($J$2:J1606)+SUM($M$2:M1606)-SUM($K$2:K1606)-SUM($L$2:L1606))</f>
        <v/>
      </c>
      <c r="O1606" s="72" t="str">
        <f>IF(A1606="","",SUMIF(RATEIOS!$A$2:$A$3142,$A1606,RATEIOS!$F$2:$F$3142))</f>
        <v/>
      </c>
      <c r="P1606" s="15" t="str">
        <f t="shared" si="52"/>
        <v/>
      </c>
      <c r="Q1606" s="49" t="str">
        <f>IF(AND(J1606=0,K1606=0,L1606=0,M1606=0),"",IF(O1606=0,"PENDENTE DE RATEIO",IF(ABS(P1606)&gt;0.005,"DIVERGÊNCIA",IF(COUNTIF(RATEIOS!$A$2:$A$3142,$A1606)-COUNTIFS(RATEIOS!$A$2:$A$3142,$A1606,RATEIOS!$D$2:$D$3142,"&lt;&gt;")&gt;0,"NÃO CLASSIFICADO","RATEIO OK"))))</f>
        <v/>
      </c>
      <c r="R1606" s="49"/>
      <c r="S1606" s="14"/>
    </row>
    <row r="1607" spans="1:19" ht="30" customHeight="1" x14ac:dyDescent="0.25">
      <c r="A1607" s="49" t="str">
        <f>IF(C1607="","","BAN-01606")</f>
        <v/>
      </c>
      <c r="B1607" s="98" t="str">
        <f>IF(C1607="","",1606)</f>
        <v/>
      </c>
      <c r="C1607" s="50"/>
      <c r="D1607" s="49" t="str">
        <f t="shared" si="51"/>
        <v/>
      </c>
      <c r="E1607" s="92"/>
      <c r="F1607" s="49"/>
      <c r="G1607" s="14"/>
      <c r="H1607" s="14"/>
      <c r="I1607" s="76"/>
      <c r="J1607" s="73"/>
      <c r="K1607" s="74"/>
      <c r="L1607" s="72"/>
      <c r="M1607" s="72"/>
      <c r="N1607" s="72" t="str">
        <f>IF(AND(C1607="",J1607=0,K1607=0,L1607=0,M1607=0),"",CADASTROS!$B$4+SUM($J$2:J1607)+SUM($M$2:M1607)-SUM($K$2:K1607)-SUM($L$2:L1607))</f>
        <v/>
      </c>
      <c r="O1607" s="72" t="str">
        <f>IF(A1607="","",SUMIF(RATEIOS!$A$2:$A$3142,$A1607,RATEIOS!$F$2:$F$3142))</f>
        <v/>
      </c>
      <c r="P1607" s="15" t="str">
        <f t="shared" si="52"/>
        <v/>
      </c>
      <c r="Q1607" s="49" t="str">
        <f>IF(AND(J1607=0,K1607=0,L1607=0,M1607=0),"",IF(O1607=0,"PENDENTE DE RATEIO",IF(ABS(P1607)&gt;0.005,"DIVERGÊNCIA",IF(COUNTIF(RATEIOS!$A$2:$A$3142,$A1607)-COUNTIFS(RATEIOS!$A$2:$A$3142,$A1607,RATEIOS!$D$2:$D$3142,"&lt;&gt;")&gt;0,"NÃO CLASSIFICADO","RATEIO OK"))))</f>
        <v/>
      </c>
      <c r="R1607" s="49"/>
      <c r="S1607" s="14"/>
    </row>
    <row r="1608" spans="1:19" ht="30" customHeight="1" x14ac:dyDescent="0.25">
      <c r="A1608" s="49" t="str">
        <f>IF(C1608="","","BAN-01607")</f>
        <v/>
      </c>
      <c r="B1608" s="98" t="str">
        <f>IF(C1608="","",1607)</f>
        <v/>
      </c>
      <c r="C1608" s="50"/>
      <c r="D1608" s="49" t="str">
        <f t="shared" si="51"/>
        <v/>
      </c>
      <c r="E1608" s="92"/>
      <c r="F1608" s="49"/>
      <c r="G1608" s="14"/>
      <c r="H1608" s="14"/>
      <c r="I1608" s="76"/>
      <c r="J1608" s="73"/>
      <c r="K1608" s="74"/>
      <c r="L1608" s="72"/>
      <c r="M1608" s="72"/>
      <c r="N1608" s="72" t="str">
        <f>IF(AND(C1608="",J1608=0,K1608=0,L1608=0,M1608=0),"",CADASTROS!$B$4+SUM($J$2:J1608)+SUM($M$2:M1608)-SUM($K$2:K1608)-SUM($L$2:L1608))</f>
        <v/>
      </c>
      <c r="O1608" s="72" t="str">
        <f>IF(A1608="","",SUMIF(RATEIOS!$A$2:$A$3142,$A1608,RATEIOS!$F$2:$F$3142))</f>
        <v/>
      </c>
      <c r="P1608" s="15" t="str">
        <f t="shared" si="52"/>
        <v/>
      </c>
      <c r="Q1608" s="49" t="str">
        <f>IF(AND(J1608=0,K1608=0,L1608=0,M1608=0),"",IF(O1608=0,"PENDENTE DE RATEIO",IF(ABS(P1608)&gt;0.005,"DIVERGÊNCIA",IF(COUNTIF(RATEIOS!$A$2:$A$3142,$A1608)-COUNTIFS(RATEIOS!$A$2:$A$3142,$A1608,RATEIOS!$D$2:$D$3142,"&lt;&gt;")&gt;0,"NÃO CLASSIFICADO","RATEIO OK"))))</f>
        <v/>
      </c>
      <c r="R1608" s="49"/>
      <c r="S1608" s="14"/>
    </row>
    <row r="1609" spans="1:19" ht="30" customHeight="1" x14ac:dyDescent="0.25">
      <c r="A1609" s="49" t="str">
        <f>IF(C1609="","","BAN-01608")</f>
        <v/>
      </c>
      <c r="B1609" s="98" t="str">
        <f>IF(C1609="","",1608)</f>
        <v/>
      </c>
      <c r="C1609" s="50"/>
      <c r="D1609" s="49" t="str">
        <f t="shared" si="51"/>
        <v/>
      </c>
      <c r="E1609" s="92"/>
      <c r="F1609" s="49"/>
      <c r="G1609" s="14"/>
      <c r="H1609" s="14"/>
      <c r="I1609" s="76"/>
      <c r="J1609" s="73"/>
      <c r="K1609" s="74"/>
      <c r="L1609" s="72"/>
      <c r="M1609" s="72"/>
      <c r="N1609" s="72" t="str">
        <f>IF(AND(C1609="",J1609=0,K1609=0,L1609=0,M1609=0),"",CADASTROS!$B$4+SUM($J$2:J1609)+SUM($M$2:M1609)-SUM($K$2:K1609)-SUM($L$2:L1609))</f>
        <v/>
      </c>
      <c r="O1609" s="72" t="str">
        <f>IF(A1609="","",SUMIF(RATEIOS!$A$2:$A$3142,$A1609,RATEIOS!$F$2:$F$3142))</f>
        <v/>
      </c>
      <c r="P1609" s="15" t="str">
        <f t="shared" si="52"/>
        <v/>
      </c>
      <c r="Q1609" s="49" t="str">
        <f>IF(AND(J1609=0,K1609=0,L1609=0,M1609=0),"",IF(O1609=0,"PENDENTE DE RATEIO",IF(ABS(P1609)&gt;0.005,"DIVERGÊNCIA",IF(COUNTIF(RATEIOS!$A$2:$A$3142,$A1609)-COUNTIFS(RATEIOS!$A$2:$A$3142,$A1609,RATEIOS!$D$2:$D$3142,"&lt;&gt;")&gt;0,"NÃO CLASSIFICADO","RATEIO OK"))))</f>
        <v/>
      </c>
      <c r="R1609" s="49"/>
      <c r="S1609" s="14"/>
    </row>
    <row r="1610" spans="1:19" ht="30" customHeight="1" x14ac:dyDescent="0.25">
      <c r="A1610" s="49" t="str">
        <f>IF(C1610="","","BAN-01609")</f>
        <v/>
      </c>
      <c r="B1610" s="98" t="str">
        <f>IF(C1610="","",1609)</f>
        <v/>
      </c>
      <c r="C1610" s="50"/>
      <c r="D1610" s="49" t="str">
        <f t="shared" si="51"/>
        <v/>
      </c>
      <c r="E1610" s="92"/>
      <c r="F1610" s="49"/>
      <c r="G1610" s="14"/>
      <c r="H1610" s="14"/>
      <c r="I1610" s="76"/>
      <c r="J1610" s="73"/>
      <c r="K1610" s="74"/>
      <c r="L1610" s="72"/>
      <c r="M1610" s="72"/>
      <c r="N1610" s="72" t="str">
        <f>IF(AND(C1610="",J1610=0,K1610=0,L1610=0,M1610=0),"",CADASTROS!$B$4+SUM($J$2:J1610)+SUM($M$2:M1610)-SUM($K$2:K1610)-SUM($L$2:L1610))</f>
        <v/>
      </c>
      <c r="O1610" s="72" t="str">
        <f>IF(A1610="","",SUMIF(RATEIOS!$A$2:$A$3142,$A1610,RATEIOS!$F$2:$F$3142))</f>
        <v/>
      </c>
      <c r="P1610" s="15" t="str">
        <f t="shared" si="52"/>
        <v/>
      </c>
      <c r="Q1610" s="49" t="str">
        <f>IF(AND(J1610=0,K1610=0,L1610=0,M1610=0),"",IF(O1610=0,"PENDENTE DE RATEIO",IF(ABS(P1610)&gt;0.005,"DIVERGÊNCIA",IF(COUNTIF(RATEIOS!$A$2:$A$3142,$A1610)-COUNTIFS(RATEIOS!$A$2:$A$3142,$A1610,RATEIOS!$D$2:$D$3142,"&lt;&gt;")&gt;0,"NÃO CLASSIFICADO","RATEIO OK"))))</f>
        <v/>
      </c>
      <c r="R1610" s="49"/>
      <c r="S1610" s="14"/>
    </row>
    <row r="1611" spans="1:19" ht="30" customHeight="1" x14ac:dyDescent="0.25">
      <c r="A1611" s="49" t="str">
        <f>IF(C1611="","","BAN-01610")</f>
        <v/>
      </c>
      <c r="B1611" s="98" t="str">
        <f>IF(C1611="","",1610)</f>
        <v/>
      </c>
      <c r="C1611" s="50"/>
      <c r="D1611" s="49" t="str">
        <f t="shared" si="51"/>
        <v/>
      </c>
      <c r="E1611" s="92"/>
      <c r="F1611" s="49"/>
      <c r="G1611" s="14"/>
      <c r="H1611" s="14"/>
      <c r="I1611" s="76"/>
      <c r="J1611" s="73"/>
      <c r="K1611" s="74"/>
      <c r="L1611" s="72"/>
      <c r="M1611" s="72"/>
      <c r="N1611" s="72" t="str">
        <f>IF(AND(C1611="",J1611=0,K1611=0,L1611=0,M1611=0),"",CADASTROS!$B$4+SUM($J$2:J1611)+SUM($M$2:M1611)-SUM($K$2:K1611)-SUM($L$2:L1611))</f>
        <v/>
      </c>
      <c r="O1611" s="72" t="str">
        <f>IF(A1611="","",SUMIF(RATEIOS!$A$2:$A$3142,$A1611,RATEIOS!$F$2:$F$3142))</f>
        <v/>
      </c>
      <c r="P1611" s="15" t="str">
        <f t="shared" si="52"/>
        <v/>
      </c>
      <c r="Q1611" s="49" t="str">
        <f>IF(AND(J1611=0,K1611=0,L1611=0,M1611=0),"",IF(O1611=0,"PENDENTE DE RATEIO",IF(ABS(P1611)&gt;0.005,"DIVERGÊNCIA",IF(COUNTIF(RATEIOS!$A$2:$A$3142,$A1611)-COUNTIFS(RATEIOS!$A$2:$A$3142,$A1611,RATEIOS!$D$2:$D$3142,"&lt;&gt;")&gt;0,"NÃO CLASSIFICADO","RATEIO OK"))))</f>
        <v/>
      </c>
      <c r="R1611" s="49"/>
      <c r="S1611" s="14"/>
    </row>
    <row r="1612" spans="1:19" ht="30" customHeight="1" x14ac:dyDescent="0.25">
      <c r="A1612" s="49" t="str">
        <f>IF(C1612="","","BAN-01611")</f>
        <v/>
      </c>
      <c r="B1612" s="98" t="str">
        <f>IF(C1612="","",1611)</f>
        <v/>
      </c>
      <c r="C1612" s="50"/>
      <c r="D1612" s="49" t="str">
        <f t="shared" si="51"/>
        <v/>
      </c>
      <c r="E1612" s="92"/>
      <c r="F1612" s="49"/>
      <c r="G1612" s="14"/>
      <c r="H1612" s="14"/>
      <c r="I1612" s="76"/>
      <c r="J1612" s="73"/>
      <c r="K1612" s="74"/>
      <c r="L1612" s="72"/>
      <c r="M1612" s="72"/>
      <c r="N1612" s="72" t="str">
        <f>IF(AND(C1612="",J1612=0,K1612=0,L1612=0,M1612=0),"",CADASTROS!$B$4+SUM($J$2:J1612)+SUM($M$2:M1612)-SUM($K$2:K1612)-SUM($L$2:L1612))</f>
        <v/>
      </c>
      <c r="O1612" s="72" t="str">
        <f>IF(A1612="","",SUMIF(RATEIOS!$A$2:$A$3142,$A1612,RATEIOS!$F$2:$F$3142))</f>
        <v/>
      </c>
      <c r="P1612" s="15" t="str">
        <f t="shared" si="52"/>
        <v/>
      </c>
      <c r="Q1612" s="49" t="str">
        <f>IF(AND(J1612=0,K1612=0,L1612=0,M1612=0),"",IF(O1612=0,"PENDENTE DE RATEIO",IF(ABS(P1612)&gt;0.005,"DIVERGÊNCIA",IF(COUNTIF(RATEIOS!$A$2:$A$3142,$A1612)-COUNTIFS(RATEIOS!$A$2:$A$3142,$A1612,RATEIOS!$D$2:$D$3142,"&lt;&gt;")&gt;0,"NÃO CLASSIFICADO","RATEIO OK"))))</f>
        <v/>
      </c>
      <c r="R1612" s="49"/>
      <c r="S1612" s="14"/>
    </row>
    <row r="1613" spans="1:19" ht="30" customHeight="1" x14ac:dyDescent="0.25">
      <c r="A1613" s="49" t="str">
        <f>IF(C1613="","","BAN-01612")</f>
        <v/>
      </c>
      <c r="B1613" s="98" t="str">
        <f>IF(C1613="","",1612)</f>
        <v/>
      </c>
      <c r="C1613" s="50"/>
      <c r="D1613" s="49" t="str">
        <f t="shared" si="51"/>
        <v/>
      </c>
      <c r="E1613" s="92"/>
      <c r="F1613" s="49"/>
      <c r="G1613" s="14"/>
      <c r="H1613" s="14"/>
      <c r="I1613" s="76"/>
      <c r="J1613" s="73"/>
      <c r="K1613" s="74"/>
      <c r="L1613" s="72"/>
      <c r="M1613" s="72"/>
      <c r="N1613" s="72" t="str">
        <f>IF(AND(C1613="",J1613=0,K1613=0,L1613=0,M1613=0),"",CADASTROS!$B$4+SUM($J$2:J1613)+SUM($M$2:M1613)-SUM($K$2:K1613)-SUM($L$2:L1613))</f>
        <v/>
      </c>
      <c r="O1613" s="72" t="str">
        <f>IF(A1613="","",SUMIF(RATEIOS!$A$2:$A$3142,$A1613,RATEIOS!$F$2:$F$3142))</f>
        <v/>
      </c>
      <c r="P1613" s="15" t="str">
        <f t="shared" si="52"/>
        <v/>
      </c>
      <c r="Q1613" s="49" t="str">
        <f>IF(AND(J1613=0,K1613=0,L1613=0,M1613=0),"",IF(O1613=0,"PENDENTE DE RATEIO",IF(ABS(P1613)&gt;0.005,"DIVERGÊNCIA",IF(COUNTIF(RATEIOS!$A$2:$A$3142,$A1613)-COUNTIFS(RATEIOS!$A$2:$A$3142,$A1613,RATEIOS!$D$2:$D$3142,"&lt;&gt;")&gt;0,"NÃO CLASSIFICADO","RATEIO OK"))))</f>
        <v/>
      </c>
      <c r="R1613" s="49"/>
      <c r="S1613" s="14"/>
    </row>
    <row r="1614" spans="1:19" ht="30" customHeight="1" x14ac:dyDescent="0.25">
      <c r="A1614" s="49" t="str">
        <f>IF(C1614="","","BAN-01613")</f>
        <v/>
      </c>
      <c r="B1614" s="98" t="str">
        <f>IF(C1614="","",1613)</f>
        <v/>
      </c>
      <c r="C1614" s="50"/>
      <c r="D1614" s="49" t="str">
        <f t="shared" si="51"/>
        <v/>
      </c>
      <c r="E1614" s="92"/>
      <c r="F1614" s="49"/>
      <c r="G1614" s="14"/>
      <c r="H1614" s="14"/>
      <c r="I1614" s="76"/>
      <c r="J1614" s="73"/>
      <c r="K1614" s="74"/>
      <c r="L1614" s="72"/>
      <c r="M1614" s="72"/>
      <c r="N1614" s="72" t="str">
        <f>IF(AND(C1614="",J1614=0,K1614=0,L1614=0,M1614=0),"",CADASTROS!$B$4+SUM($J$2:J1614)+SUM($M$2:M1614)-SUM($K$2:K1614)-SUM($L$2:L1614))</f>
        <v/>
      </c>
      <c r="O1614" s="72" t="str">
        <f>IF(A1614="","",SUMIF(RATEIOS!$A$2:$A$3142,$A1614,RATEIOS!$F$2:$F$3142))</f>
        <v/>
      </c>
      <c r="P1614" s="15" t="str">
        <f t="shared" si="52"/>
        <v/>
      </c>
      <c r="Q1614" s="49" t="str">
        <f>IF(AND(J1614=0,K1614=0,L1614=0,M1614=0),"",IF(O1614=0,"PENDENTE DE RATEIO",IF(ABS(P1614)&gt;0.005,"DIVERGÊNCIA",IF(COUNTIF(RATEIOS!$A$2:$A$3142,$A1614)-COUNTIFS(RATEIOS!$A$2:$A$3142,$A1614,RATEIOS!$D$2:$D$3142,"&lt;&gt;")&gt;0,"NÃO CLASSIFICADO","RATEIO OK"))))</f>
        <v/>
      </c>
      <c r="R1614" s="49"/>
      <c r="S1614" s="14"/>
    </row>
    <row r="1615" spans="1:19" ht="30" customHeight="1" x14ac:dyDescent="0.25">
      <c r="A1615" s="49" t="str">
        <f>IF(C1615="","","BAN-01614")</f>
        <v/>
      </c>
      <c r="B1615" s="98" t="str">
        <f>IF(C1615="","",1614)</f>
        <v/>
      </c>
      <c r="C1615" s="50"/>
      <c r="D1615" s="49" t="str">
        <f t="shared" si="51"/>
        <v/>
      </c>
      <c r="E1615" s="92"/>
      <c r="F1615" s="49"/>
      <c r="G1615" s="14"/>
      <c r="H1615" s="14"/>
      <c r="I1615" s="76"/>
      <c r="J1615" s="73"/>
      <c r="K1615" s="74"/>
      <c r="L1615" s="72"/>
      <c r="M1615" s="72"/>
      <c r="N1615" s="72" t="str">
        <f>IF(AND(C1615="",J1615=0,K1615=0,L1615=0,M1615=0),"",CADASTROS!$B$4+SUM($J$2:J1615)+SUM($M$2:M1615)-SUM($K$2:K1615)-SUM($L$2:L1615))</f>
        <v/>
      </c>
      <c r="O1615" s="72" t="str">
        <f>IF(A1615="","",SUMIF(RATEIOS!$A$2:$A$3142,$A1615,RATEIOS!$F$2:$F$3142))</f>
        <v/>
      </c>
      <c r="P1615" s="15" t="str">
        <f t="shared" si="52"/>
        <v/>
      </c>
      <c r="Q1615" s="49" t="str">
        <f>IF(AND(J1615=0,K1615=0,L1615=0,M1615=0),"",IF(O1615=0,"PENDENTE DE RATEIO",IF(ABS(P1615)&gt;0.005,"DIVERGÊNCIA",IF(COUNTIF(RATEIOS!$A$2:$A$3142,$A1615)-COUNTIFS(RATEIOS!$A$2:$A$3142,$A1615,RATEIOS!$D$2:$D$3142,"&lt;&gt;")&gt;0,"NÃO CLASSIFICADO","RATEIO OK"))))</f>
        <v/>
      </c>
      <c r="R1615" s="49"/>
      <c r="S1615" s="14"/>
    </row>
    <row r="1616" spans="1:19" ht="30" customHeight="1" x14ac:dyDescent="0.25">
      <c r="A1616" s="49" t="str">
        <f>IF(C1616="","","BAN-01615")</f>
        <v/>
      </c>
      <c r="B1616" s="98" t="str">
        <f>IF(C1616="","",1615)</f>
        <v/>
      </c>
      <c r="C1616" s="50"/>
      <c r="D1616" s="49" t="str">
        <f t="shared" si="51"/>
        <v/>
      </c>
      <c r="E1616" s="92"/>
      <c r="F1616" s="49"/>
      <c r="G1616" s="14"/>
      <c r="H1616" s="14"/>
      <c r="I1616" s="76"/>
      <c r="J1616" s="73"/>
      <c r="K1616" s="74"/>
      <c r="L1616" s="72"/>
      <c r="M1616" s="72"/>
      <c r="N1616" s="72" t="str">
        <f>IF(AND(C1616="",J1616=0,K1616=0,L1616=0,M1616=0),"",CADASTROS!$B$4+SUM($J$2:J1616)+SUM($M$2:M1616)-SUM($K$2:K1616)-SUM($L$2:L1616))</f>
        <v/>
      </c>
      <c r="O1616" s="72" t="str">
        <f>IF(A1616="","",SUMIF(RATEIOS!$A$2:$A$3142,$A1616,RATEIOS!$F$2:$F$3142))</f>
        <v/>
      </c>
      <c r="P1616" s="15" t="str">
        <f t="shared" si="52"/>
        <v/>
      </c>
      <c r="Q1616" s="49" t="str">
        <f>IF(AND(J1616=0,K1616=0,L1616=0,M1616=0),"",IF(O1616=0,"PENDENTE DE RATEIO",IF(ABS(P1616)&gt;0.005,"DIVERGÊNCIA",IF(COUNTIF(RATEIOS!$A$2:$A$3142,$A1616)-COUNTIFS(RATEIOS!$A$2:$A$3142,$A1616,RATEIOS!$D$2:$D$3142,"&lt;&gt;")&gt;0,"NÃO CLASSIFICADO","RATEIO OK"))))</f>
        <v/>
      </c>
      <c r="R1616" s="49"/>
      <c r="S1616" s="14"/>
    </row>
    <row r="1617" spans="1:19" ht="30" customHeight="1" x14ac:dyDescent="0.25">
      <c r="A1617" s="49" t="str">
        <f>IF(C1617="","","BAN-01616")</f>
        <v/>
      </c>
      <c r="B1617" s="98" t="str">
        <f>IF(C1617="","",1616)</f>
        <v/>
      </c>
      <c r="C1617" s="50"/>
      <c r="D1617" s="49" t="str">
        <f t="shared" si="51"/>
        <v/>
      </c>
      <c r="E1617" s="92"/>
      <c r="F1617" s="49"/>
      <c r="G1617" s="14"/>
      <c r="H1617" s="14"/>
      <c r="I1617" s="76"/>
      <c r="J1617" s="73"/>
      <c r="K1617" s="74"/>
      <c r="L1617" s="72"/>
      <c r="M1617" s="72"/>
      <c r="N1617" s="72" t="str">
        <f>IF(AND(C1617="",J1617=0,K1617=0,L1617=0,M1617=0),"",CADASTROS!$B$4+SUM($J$2:J1617)+SUM($M$2:M1617)-SUM($K$2:K1617)-SUM($L$2:L1617))</f>
        <v/>
      </c>
      <c r="O1617" s="72" t="str">
        <f>IF(A1617="","",SUMIF(RATEIOS!$A$2:$A$3142,$A1617,RATEIOS!$F$2:$F$3142))</f>
        <v/>
      </c>
      <c r="P1617" s="15" t="str">
        <f t="shared" si="52"/>
        <v/>
      </c>
      <c r="Q1617" s="49" t="str">
        <f>IF(AND(J1617=0,K1617=0,L1617=0,M1617=0),"",IF(O1617=0,"PENDENTE DE RATEIO",IF(ABS(P1617)&gt;0.005,"DIVERGÊNCIA",IF(COUNTIF(RATEIOS!$A$2:$A$3142,$A1617)-COUNTIFS(RATEIOS!$A$2:$A$3142,$A1617,RATEIOS!$D$2:$D$3142,"&lt;&gt;")&gt;0,"NÃO CLASSIFICADO","RATEIO OK"))))</f>
        <v/>
      </c>
      <c r="R1617" s="49"/>
      <c r="S1617" s="14"/>
    </row>
    <row r="1618" spans="1:19" ht="30" customHeight="1" x14ac:dyDescent="0.25">
      <c r="A1618" s="49" t="str">
        <f>IF(C1618="","","BAN-01617")</f>
        <v/>
      </c>
      <c r="B1618" s="98" t="str">
        <f>IF(C1618="","",1617)</f>
        <v/>
      </c>
      <c r="C1618" s="50"/>
      <c r="D1618" s="49" t="str">
        <f t="shared" si="51"/>
        <v/>
      </c>
      <c r="E1618" s="92"/>
      <c r="F1618" s="49"/>
      <c r="G1618" s="14"/>
      <c r="H1618" s="14"/>
      <c r="I1618" s="76"/>
      <c r="J1618" s="73"/>
      <c r="K1618" s="74"/>
      <c r="L1618" s="72"/>
      <c r="M1618" s="72"/>
      <c r="N1618" s="72" t="str">
        <f>IF(AND(C1618="",J1618=0,K1618=0,L1618=0,M1618=0),"",CADASTROS!$B$4+SUM($J$2:J1618)+SUM($M$2:M1618)-SUM($K$2:K1618)-SUM($L$2:L1618))</f>
        <v/>
      </c>
      <c r="O1618" s="72" t="str">
        <f>IF(A1618="","",SUMIF(RATEIOS!$A$2:$A$3142,$A1618,RATEIOS!$F$2:$F$3142))</f>
        <v/>
      </c>
      <c r="P1618" s="15" t="str">
        <f t="shared" si="52"/>
        <v/>
      </c>
      <c r="Q1618" s="49" t="str">
        <f>IF(AND(J1618=0,K1618=0,L1618=0,M1618=0),"",IF(O1618=0,"PENDENTE DE RATEIO",IF(ABS(P1618)&gt;0.005,"DIVERGÊNCIA",IF(COUNTIF(RATEIOS!$A$2:$A$3142,$A1618)-COUNTIFS(RATEIOS!$A$2:$A$3142,$A1618,RATEIOS!$D$2:$D$3142,"&lt;&gt;")&gt;0,"NÃO CLASSIFICADO","RATEIO OK"))))</f>
        <v/>
      </c>
      <c r="R1618" s="49"/>
      <c r="S1618" s="14"/>
    </row>
    <row r="1619" spans="1:19" ht="30" customHeight="1" x14ac:dyDescent="0.25">
      <c r="A1619" s="49" t="str">
        <f>IF(C1619="","","BAN-01618")</f>
        <v/>
      </c>
      <c r="B1619" s="98" t="str">
        <f>IF(C1619="","",1618)</f>
        <v/>
      </c>
      <c r="C1619" s="50"/>
      <c r="D1619" s="49" t="str">
        <f t="shared" si="51"/>
        <v/>
      </c>
      <c r="E1619" s="92"/>
      <c r="F1619" s="49"/>
      <c r="G1619" s="14"/>
      <c r="H1619" s="14"/>
      <c r="I1619" s="76"/>
      <c r="J1619" s="73"/>
      <c r="K1619" s="74"/>
      <c r="L1619" s="72"/>
      <c r="M1619" s="72"/>
      <c r="N1619" s="72" t="str">
        <f>IF(AND(C1619="",J1619=0,K1619=0,L1619=0,M1619=0),"",CADASTROS!$B$4+SUM($J$2:J1619)+SUM($M$2:M1619)-SUM($K$2:K1619)-SUM($L$2:L1619))</f>
        <v/>
      </c>
      <c r="O1619" s="72" t="str">
        <f>IF(A1619="","",SUMIF(RATEIOS!$A$2:$A$3142,$A1619,RATEIOS!$F$2:$F$3142))</f>
        <v/>
      </c>
      <c r="P1619" s="15" t="str">
        <f t="shared" si="52"/>
        <v/>
      </c>
      <c r="Q1619" s="49" t="str">
        <f>IF(AND(J1619=0,K1619=0,L1619=0,M1619=0),"",IF(O1619=0,"PENDENTE DE RATEIO",IF(ABS(P1619)&gt;0.005,"DIVERGÊNCIA",IF(COUNTIF(RATEIOS!$A$2:$A$3142,$A1619)-COUNTIFS(RATEIOS!$A$2:$A$3142,$A1619,RATEIOS!$D$2:$D$3142,"&lt;&gt;")&gt;0,"NÃO CLASSIFICADO","RATEIO OK"))))</f>
        <v/>
      </c>
      <c r="R1619" s="49"/>
      <c r="S1619" s="14"/>
    </row>
    <row r="1620" spans="1:19" ht="30" customHeight="1" x14ac:dyDescent="0.25">
      <c r="A1620" s="49" t="str">
        <f>IF(C1620="","","BAN-01619")</f>
        <v/>
      </c>
      <c r="B1620" s="98" t="str">
        <f>IF(C1620="","",1619)</f>
        <v/>
      </c>
      <c r="C1620" s="50"/>
      <c r="D1620" s="49" t="str">
        <f t="shared" si="51"/>
        <v/>
      </c>
      <c r="E1620" s="92"/>
      <c r="F1620" s="49"/>
      <c r="G1620" s="14"/>
      <c r="H1620" s="14"/>
      <c r="I1620" s="76"/>
      <c r="J1620" s="73"/>
      <c r="K1620" s="74"/>
      <c r="L1620" s="72"/>
      <c r="M1620" s="72"/>
      <c r="N1620" s="72" t="str">
        <f>IF(AND(C1620="",J1620=0,K1620=0,L1620=0,M1620=0),"",CADASTROS!$B$4+SUM($J$2:J1620)+SUM($M$2:M1620)-SUM($K$2:K1620)-SUM($L$2:L1620))</f>
        <v/>
      </c>
      <c r="O1620" s="72" t="str">
        <f>IF(A1620="","",SUMIF(RATEIOS!$A$2:$A$3142,$A1620,RATEIOS!$F$2:$F$3142))</f>
        <v/>
      </c>
      <c r="P1620" s="15" t="str">
        <f t="shared" si="52"/>
        <v/>
      </c>
      <c r="Q1620" s="49" t="str">
        <f>IF(AND(J1620=0,K1620=0,L1620=0,M1620=0),"",IF(O1620=0,"PENDENTE DE RATEIO",IF(ABS(P1620)&gt;0.005,"DIVERGÊNCIA",IF(COUNTIF(RATEIOS!$A$2:$A$3142,$A1620)-COUNTIFS(RATEIOS!$A$2:$A$3142,$A1620,RATEIOS!$D$2:$D$3142,"&lt;&gt;")&gt;0,"NÃO CLASSIFICADO","RATEIO OK"))))</f>
        <v/>
      </c>
      <c r="R1620" s="49"/>
      <c r="S1620" s="14"/>
    </row>
    <row r="1621" spans="1:19" ht="30" customHeight="1" x14ac:dyDescent="0.25">
      <c r="A1621" s="49" t="str">
        <f>IF(C1621="","","BAN-01620")</f>
        <v/>
      </c>
      <c r="B1621" s="98" t="str">
        <f>IF(C1621="","",1620)</f>
        <v/>
      </c>
      <c r="C1621" s="50"/>
      <c r="D1621" s="49" t="str">
        <f t="shared" si="51"/>
        <v/>
      </c>
      <c r="E1621" s="92"/>
      <c r="F1621" s="49"/>
      <c r="G1621" s="14"/>
      <c r="H1621" s="14"/>
      <c r="I1621" s="76"/>
      <c r="J1621" s="73"/>
      <c r="K1621" s="74"/>
      <c r="L1621" s="72"/>
      <c r="M1621" s="72"/>
      <c r="N1621" s="72" t="str">
        <f>IF(AND(C1621="",J1621=0,K1621=0,L1621=0,M1621=0),"",CADASTROS!$B$4+SUM($J$2:J1621)+SUM($M$2:M1621)-SUM($K$2:K1621)-SUM($L$2:L1621))</f>
        <v/>
      </c>
      <c r="O1621" s="72" t="str">
        <f>IF(A1621="","",SUMIF(RATEIOS!$A$2:$A$3142,$A1621,RATEIOS!$F$2:$F$3142))</f>
        <v/>
      </c>
      <c r="P1621" s="15" t="str">
        <f t="shared" si="52"/>
        <v/>
      </c>
      <c r="Q1621" s="49" t="str">
        <f>IF(AND(J1621=0,K1621=0,L1621=0,M1621=0),"",IF(O1621=0,"PENDENTE DE RATEIO",IF(ABS(P1621)&gt;0.005,"DIVERGÊNCIA",IF(COUNTIF(RATEIOS!$A$2:$A$3142,$A1621)-COUNTIFS(RATEIOS!$A$2:$A$3142,$A1621,RATEIOS!$D$2:$D$3142,"&lt;&gt;")&gt;0,"NÃO CLASSIFICADO","RATEIO OK"))))</f>
        <v/>
      </c>
      <c r="R1621" s="49"/>
      <c r="S1621" s="14"/>
    </row>
    <row r="1622" spans="1:19" ht="30" customHeight="1" x14ac:dyDescent="0.25">
      <c r="A1622" s="49" t="str">
        <f>IF(C1622="","","BAN-01621")</f>
        <v/>
      </c>
      <c r="B1622" s="98" t="str">
        <f>IF(C1622="","",1621)</f>
        <v/>
      </c>
      <c r="C1622" s="50"/>
      <c r="D1622" s="49" t="str">
        <f t="shared" si="51"/>
        <v/>
      </c>
      <c r="E1622" s="92"/>
      <c r="F1622" s="49"/>
      <c r="G1622" s="14"/>
      <c r="H1622" s="14"/>
      <c r="I1622" s="76"/>
      <c r="J1622" s="73"/>
      <c r="K1622" s="74"/>
      <c r="L1622" s="72"/>
      <c r="M1622" s="72"/>
      <c r="N1622" s="72" t="str">
        <f>IF(AND(C1622="",J1622=0,K1622=0,L1622=0,M1622=0),"",CADASTROS!$B$4+SUM($J$2:J1622)+SUM($M$2:M1622)-SUM($K$2:K1622)-SUM($L$2:L1622))</f>
        <v/>
      </c>
      <c r="O1622" s="72" t="str">
        <f>IF(A1622="","",SUMIF(RATEIOS!$A$2:$A$3142,$A1622,RATEIOS!$F$2:$F$3142))</f>
        <v/>
      </c>
      <c r="P1622" s="15" t="str">
        <f t="shared" si="52"/>
        <v/>
      </c>
      <c r="Q1622" s="49" t="str">
        <f>IF(AND(J1622=0,K1622=0,L1622=0,M1622=0),"",IF(O1622=0,"PENDENTE DE RATEIO",IF(ABS(P1622)&gt;0.005,"DIVERGÊNCIA",IF(COUNTIF(RATEIOS!$A$2:$A$3142,$A1622)-COUNTIFS(RATEIOS!$A$2:$A$3142,$A1622,RATEIOS!$D$2:$D$3142,"&lt;&gt;")&gt;0,"NÃO CLASSIFICADO","RATEIO OK"))))</f>
        <v/>
      </c>
      <c r="R1622" s="49"/>
      <c r="S1622" s="14"/>
    </row>
    <row r="1623" spans="1:19" ht="30" customHeight="1" x14ac:dyDescent="0.25">
      <c r="A1623" s="49" t="str">
        <f>IF(C1623="","","BAN-01622")</f>
        <v/>
      </c>
      <c r="B1623" s="98" t="str">
        <f>IF(C1623="","",1622)</f>
        <v/>
      </c>
      <c r="C1623" s="50"/>
      <c r="D1623" s="49" t="str">
        <f t="shared" si="51"/>
        <v/>
      </c>
      <c r="E1623" s="92"/>
      <c r="F1623" s="49"/>
      <c r="G1623" s="14"/>
      <c r="H1623" s="14"/>
      <c r="I1623" s="76"/>
      <c r="J1623" s="73"/>
      <c r="K1623" s="74"/>
      <c r="L1623" s="72"/>
      <c r="M1623" s="72"/>
      <c r="N1623" s="72" t="str">
        <f>IF(AND(C1623="",J1623=0,K1623=0,L1623=0,M1623=0),"",CADASTROS!$B$4+SUM($J$2:J1623)+SUM($M$2:M1623)-SUM($K$2:K1623)-SUM($L$2:L1623))</f>
        <v/>
      </c>
      <c r="O1623" s="72" t="str">
        <f>IF(A1623="","",SUMIF(RATEIOS!$A$2:$A$3142,$A1623,RATEIOS!$F$2:$F$3142))</f>
        <v/>
      </c>
      <c r="P1623" s="15" t="str">
        <f t="shared" si="52"/>
        <v/>
      </c>
      <c r="Q1623" s="49" t="str">
        <f>IF(AND(J1623=0,K1623=0,L1623=0,M1623=0),"",IF(O1623=0,"PENDENTE DE RATEIO",IF(ABS(P1623)&gt;0.005,"DIVERGÊNCIA",IF(COUNTIF(RATEIOS!$A$2:$A$3142,$A1623)-COUNTIFS(RATEIOS!$A$2:$A$3142,$A1623,RATEIOS!$D$2:$D$3142,"&lt;&gt;")&gt;0,"NÃO CLASSIFICADO","RATEIO OK"))))</f>
        <v/>
      </c>
      <c r="R1623" s="49"/>
      <c r="S1623" s="14"/>
    </row>
    <row r="1624" spans="1:19" ht="30" customHeight="1" x14ac:dyDescent="0.25">
      <c r="A1624" s="49" t="str">
        <f>IF(C1624="","","BAN-01623")</f>
        <v/>
      </c>
      <c r="B1624" s="98" t="str">
        <f>IF(C1624="","",1623)</f>
        <v/>
      </c>
      <c r="C1624" s="50"/>
      <c r="D1624" s="49" t="str">
        <f t="shared" si="51"/>
        <v/>
      </c>
      <c r="E1624" s="92"/>
      <c r="F1624" s="49"/>
      <c r="G1624" s="14"/>
      <c r="H1624" s="14"/>
      <c r="I1624" s="76"/>
      <c r="J1624" s="73"/>
      <c r="K1624" s="74"/>
      <c r="L1624" s="72"/>
      <c r="M1624" s="72"/>
      <c r="N1624" s="72" t="str">
        <f>IF(AND(C1624="",J1624=0,K1624=0,L1624=0,M1624=0),"",CADASTROS!$B$4+SUM($J$2:J1624)+SUM($M$2:M1624)-SUM($K$2:K1624)-SUM($L$2:L1624))</f>
        <v/>
      </c>
      <c r="O1624" s="72" t="str">
        <f>IF(A1624="","",SUMIF(RATEIOS!$A$2:$A$3142,$A1624,RATEIOS!$F$2:$F$3142))</f>
        <v/>
      </c>
      <c r="P1624" s="15" t="str">
        <f t="shared" si="52"/>
        <v/>
      </c>
      <c r="Q1624" s="49" t="str">
        <f>IF(AND(J1624=0,K1624=0,L1624=0,M1624=0),"",IF(O1624=0,"PENDENTE DE RATEIO",IF(ABS(P1624)&gt;0.005,"DIVERGÊNCIA",IF(COUNTIF(RATEIOS!$A$2:$A$3142,$A1624)-COUNTIFS(RATEIOS!$A$2:$A$3142,$A1624,RATEIOS!$D$2:$D$3142,"&lt;&gt;")&gt;0,"NÃO CLASSIFICADO","RATEIO OK"))))</f>
        <v/>
      </c>
      <c r="R1624" s="49"/>
      <c r="S1624" s="14"/>
    </row>
    <row r="1625" spans="1:19" ht="30" customHeight="1" x14ac:dyDescent="0.25">
      <c r="A1625" s="49" t="str">
        <f>IF(C1625="","","BAN-01624")</f>
        <v/>
      </c>
      <c r="B1625" s="98" t="str">
        <f>IF(C1625="","",1624)</f>
        <v/>
      </c>
      <c r="C1625" s="50"/>
      <c r="D1625" s="49" t="str">
        <f t="shared" si="51"/>
        <v/>
      </c>
      <c r="E1625" s="92"/>
      <c r="F1625" s="49"/>
      <c r="G1625" s="14"/>
      <c r="H1625" s="14"/>
      <c r="I1625" s="76"/>
      <c r="J1625" s="73"/>
      <c r="K1625" s="74"/>
      <c r="L1625" s="72"/>
      <c r="M1625" s="72"/>
      <c r="N1625" s="72" t="str">
        <f>IF(AND(C1625="",J1625=0,K1625=0,L1625=0,M1625=0),"",CADASTROS!$B$4+SUM($J$2:J1625)+SUM($M$2:M1625)-SUM($K$2:K1625)-SUM($L$2:L1625))</f>
        <v/>
      </c>
      <c r="O1625" s="72" t="str">
        <f>IF(A1625="","",SUMIF(RATEIOS!$A$2:$A$3142,$A1625,RATEIOS!$F$2:$F$3142))</f>
        <v/>
      </c>
      <c r="P1625" s="15" t="str">
        <f t="shared" si="52"/>
        <v/>
      </c>
      <c r="Q1625" s="49" t="str">
        <f>IF(AND(J1625=0,K1625=0,L1625=0,M1625=0),"",IF(O1625=0,"PENDENTE DE RATEIO",IF(ABS(P1625)&gt;0.005,"DIVERGÊNCIA",IF(COUNTIF(RATEIOS!$A$2:$A$3142,$A1625)-COUNTIFS(RATEIOS!$A$2:$A$3142,$A1625,RATEIOS!$D$2:$D$3142,"&lt;&gt;")&gt;0,"NÃO CLASSIFICADO","RATEIO OK"))))</f>
        <v/>
      </c>
      <c r="R1625" s="49"/>
      <c r="S1625" s="14"/>
    </row>
    <row r="1626" spans="1:19" ht="30" customHeight="1" x14ac:dyDescent="0.25">
      <c r="A1626" s="49" t="str">
        <f>IF(C1626="","","BAN-01625")</f>
        <v/>
      </c>
      <c r="B1626" s="98" t="str">
        <f>IF(C1626="","",1625)</f>
        <v/>
      </c>
      <c r="C1626" s="50"/>
      <c r="D1626" s="49" t="str">
        <f t="shared" si="51"/>
        <v/>
      </c>
      <c r="E1626" s="92"/>
      <c r="F1626" s="49"/>
      <c r="G1626" s="14"/>
      <c r="H1626" s="14"/>
      <c r="I1626" s="76"/>
      <c r="J1626" s="73"/>
      <c r="K1626" s="74"/>
      <c r="L1626" s="72"/>
      <c r="M1626" s="72"/>
      <c r="N1626" s="72" t="str">
        <f>IF(AND(C1626="",J1626=0,K1626=0,L1626=0,M1626=0),"",CADASTROS!$B$4+SUM($J$2:J1626)+SUM($M$2:M1626)-SUM($K$2:K1626)-SUM($L$2:L1626))</f>
        <v/>
      </c>
      <c r="O1626" s="72" t="str">
        <f>IF(A1626="","",SUMIF(RATEIOS!$A$2:$A$3142,$A1626,RATEIOS!$F$2:$F$3142))</f>
        <v/>
      </c>
      <c r="P1626" s="15" t="str">
        <f t="shared" si="52"/>
        <v/>
      </c>
      <c r="Q1626" s="49" t="str">
        <f>IF(AND(J1626=0,K1626=0,L1626=0,M1626=0),"",IF(O1626=0,"PENDENTE DE RATEIO",IF(ABS(P1626)&gt;0.005,"DIVERGÊNCIA",IF(COUNTIF(RATEIOS!$A$2:$A$3142,$A1626)-COUNTIFS(RATEIOS!$A$2:$A$3142,$A1626,RATEIOS!$D$2:$D$3142,"&lt;&gt;")&gt;0,"NÃO CLASSIFICADO","RATEIO OK"))))</f>
        <v/>
      </c>
      <c r="R1626" s="49"/>
      <c r="S1626" s="14"/>
    </row>
    <row r="1627" spans="1:19" ht="30" customHeight="1" x14ac:dyDescent="0.25">
      <c r="A1627" s="49" t="str">
        <f>IF(C1627="","","BAN-01626")</f>
        <v/>
      </c>
      <c r="B1627" s="98" t="str">
        <f>IF(C1627="","",1626)</f>
        <v/>
      </c>
      <c r="C1627" s="50"/>
      <c r="D1627" s="49" t="str">
        <f t="shared" si="51"/>
        <v/>
      </c>
      <c r="E1627" s="92"/>
      <c r="F1627" s="49"/>
      <c r="G1627" s="14"/>
      <c r="H1627" s="14"/>
      <c r="I1627" s="76"/>
      <c r="J1627" s="73"/>
      <c r="K1627" s="74"/>
      <c r="L1627" s="72"/>
      <c r="M1627" s="72"/>
      <c r="N1627" s="72" t="str">
        <f>IF(AND(C1627="",J1627=0,K1627=0,L1627=0,M1627=0),"",CADASTROS!$B$4+SUM($J$2:J1627)+SUM($M$2:M1627)-SUM($K$2:K1627)-SUM($L$2:L1627))</f>
        <v/>
      </c>
      <c r="O1627" s="72" t="str">
        <f>IF(A1627="","",SUMIF(RATEIOS!$A$2:$A$3142,$A1627,RATEIOS!$F$2:$F$3142))</f>
        <v/>
      </c>
      <c r="P1627" s="15" t="str">
        <f t="shared" si="52"/>
        <v/>
      </c>
      <c r="Q1627" s="49" t="str">
        <f>IF(AND(J1627=0,K1627=0,L1627=0,M1627=0),"",IF(O1627=0,"PENDENTE DE RATEIO",IF(ABS(P1627)&gt;0.005,"DIVERGÊNCIA",IF(COUNTIF(RATEIOS!$A$2:$A$3142,$A1627)-COUNTIFS(RATEIOS!$A$2:$A$3142,$A1627,RATEIOS!$D$2:$D$3142,"&lt;&gt;")&gt;0,"NÃO CLASSIFICADO","RATEIO OK"))))</f>
        <v/>
      </c>
      <c r="R1627" s="49"/>
      <c r="S1627" s="14"/>
    </row>
    <row r="1628" spans="1:19" ht="30" customHeight="1" x14ac:dyDescent="0.25">
      <c r="A1628" s="49" t="str">
        <f>IF(C1628="","","BAN-01627")</f>
        <v/>
      </c>
      <c r="B1628" s="98" t="str">
        <f>IF(C1628="","",1627)</f>
        <v/>
      </c>
      <c r="C1628" s="50"/>
      <c r="D1628" s="49" t="str">
        <f t="shared" si="51"/>
        <v/>
      </c>
      <c r="E1628" s="92"/>
      <c r="F1628" s="49"/>
      <c r="G1628" s="14"/>
      <c r="H1628" s="14"/>
      <c r="I1628" s="76"/>
      <c r="J1628" s="73"/>
      <c r="K1628" s="74"/>
      <c r="L1628" s="72"/>
      <c r="M1628" s="72"/>
      <c r="N1628" s="72" t="str">
        <f>IF(AND(C1628="",J1628=0,K1628=0,L1628=0,M1628=0),"",CADASTROS!$B$4+SUM($J$2:J1628)+SUM($M$2:M1628)-SUM($K$2:K1628)-SUM($L$2:L1628))</f>
        <v/>
      </c>
      <c r="O1628" s="72" t="str">
        <f>IF(A1628="","",SUMIF(RATEIOS!$A$2:$A$3142,$A1628,RATEIOS!$F$2:$F$3142))</f>
        <v/>
      </c>
      <c r="P1628" s="15" t="str">
        <f t="shared" si="52"/>
        <v/>
      </c>
      <c r="Q1628" s="49" t="str">
        <f>IF(AND(J1628=0,K1628=0,L1628=0,M1628=0),"",IF(O1628=0,"PENDENTE DE RATEIO",IF(ABS(P1628)&gt;0.005,"DIVERGÊNCIA",IF(COUNTIF(RATEIOS!$A$2:$A$3142,$A1628)-COUNTIFS(RATEIOS!$A$2:$A$3142,$A1628,RATEIOS!$D$2:$D$3142,"&lt;&gt;")&gt;0,"NÃO CLASSIFICADO","RATEIO OK"))))</f>
        <v/>
      </c>
      <c r="R1628" s="49"/>
      <c r="S1628" s="14"/>
    </row>
    <row r="1629" spans="1:19" ht="30" customHeight="1" x14ac:dyDescent="0.25">
      <c r="A1629" s="49" t="str">
        <f>IF(C1629="","","BAN-01628")</f>
        <v/>
      </c>
      <c r="B1629" s="98" t="str">
        <f>IF(C1629="","",1628)</f>
        <v/>
      </c>
      <c r="C1629" s="50"/>
      <c r="D1629" s="49" t="str">
        <f t="shared" si="51"/>
        <v/>
      </c>
      <c r="E1629" s="92"/>
      <c r="F1629" s="49"/>
      <c r="G1629" s="14"/>
      <c r="H1629" s="14"/>
      <c r="I1629" s="76"/>
      <c r="J1629" s="73"/>
      <c r="K1629" s="74"/>
      <c r="L1629" s="72"/>
      <c r="M1629" s="72"/>
      <c r="N1629" s="72" t="str">
        <f>IF(AND(C1629="",J1629=0,K1629=0,L1629=0,M1629=0),"",CADASTROS!$B$4+SUM($J$2:J1629)+SUM($M$2:M1629)-SUM($K$2:K1629)-SUM($L$2:L1629))</f>
        <v/>
      </c>
      <c r="O1629" s="72" t="str">
        <f>IF(A1629="","",SUMIF(RATEIOS!$A$2:$A$3142,$A1629,RATEIOS!$F$2:$F$3142))</f>
        <v/>
      </c>
      <c r="P1629" s="15" t="str">
        <f t="shared" si="52"/>
        <v/>
      </c>
      <c r="Q1629" s="49" t="str">
        <f>IF(AND(J1629=0,K1629=0,L1629=0,M1629=0),"",IF(O1629=0,"PENDENTE DE RATEIO",IF(ABS(P1629)&gt;0.005,"DIVERGÊNCIA",IF(COUNTIF(RATEIOS!$A$2:$A$3142,$A1629)-COUNTIFS(RATEIOS!$A$2:$A$3142,$A1629,RATEIOS!$D$2:$D$3142,"&lt;&gt;")&gt;0,"NÃO CLASSIFICADO","RATEIO OK"))))</f>
        <v/>
      </c>
      <c r="R1629" s="49"/>
      <c r="S1629" s="14"/>
    </row>
    <row r="1630" spans="1:19" ht="30" customHeight="1" x14ac:dyDescent="0.25">
      <c r="A1630" s="49" t="str">
        <f>IF(C1630="","","BAN-01629")</f>
        <v/>
      </c>
      <c r="B1630" s="98" t="str">
        <f>IF(C1630="","",1629)</f>
        <v/>
      </c>
      <c r="C1630" s="50"/>
      <c r="D1630" s="49" t="str">
        <f t="shared" si="51"/>
        <v/>
      </c>
      <c r="E1630" s="92"/>
      <c r="F1630" s="49"/>
      <c r="G1630" s="14"/>
      <c r="H1630" s="14"/>
      <c r="I1630" s="76"/>
      <c r="J1630" s="73"/>
      <c r="K1630" s="74"/>
      <c r="L1630" s="72"/>
      <c r="M1630" s="72"/>
      <c r="N1630" s="72" t="str">
        <f>IF(AND(C1630="",J1630=0,K1630=0,L1630=0,M1630=0),"",CADASTROS!$B$4+SUM($J$2:J1630)+SUM($M$2:M1630)-SUM($K$2:K1630)-SUM($L$2:L1630))</f>
        <v/>
      </c>
      <c r="O1630" s="72" t="str">
        <f>IF(A1630="","",SUMIF(RATEIOS!$A$2:$A$3142,$A1630,RATEIOS!$F$2:$F$3142))</f>
        <v/>
      </c>
      <c r="P1630" s="15" t="str">
        <f t="shared" si="52"/>
        <v/>
      </c>
      <c r="Q1630" s="49" t="str">
        <f>IF(AND(J1630=0,K1630=0,L1630=0,M1630=0),"",IF(O1630=0,"PENDENTE DE RATEIO",IF(ABS(P1630)&gt;0.005,"DIVERGÊNCIA",IF(COUNTIF(RATEIOS!$A$2:$A$3142,$A1630)-COUNTIFS(RATEIOS!$A$2:$A$3142,$A1630,RATEIOS!$D$2:$D$3142,"&lt;&gt;")&gt;0,"NÃO CLASSIFICADO","RATEIO OK"))))</f>
        <v/>
      </c>
      <c r="R1630" s="49"/>
      <c r="S1630" s="14"/>
    </row>
    <row r="1631" spans="1:19" ht="30" customHeight="1" x14ac:dyDescent="0.25">
      <c r="A1631" s="49" t="str">
        <f>IF(C1631="","","BAN-01630")</f>
        <v/>
      </c>
      <c r="B1631" s="98" t="str">
        <f>IF(C1631="","",1630)</f>
        <v/>
      </c>
      <c r="C1631" s="50"/>
      <c r="D1631" s="49" t="str">
        <f t="shared" si="51"/>
        <v/>
      </c>
      <c r="E1631" s="92"/>
      <c r="F1631" s="49"/>
      <c r="G1631" s="14"/>
      <c r="H1631" s="14"/>
      <c r="I1631" s="76"/>
      <c r="J1631" s="73"/>
      <c r="K1631" s="74"/>
      <c r="L1631" s="72"/>
      <c r="M1631" s="72"/>
      <c r="N1631" s="72" t="str">
        <f>IF(AND(C1631="",J1631=0,K1631=0,L1631=0,M1631=0),"",CADASTROS!$B$4+SUM($J$2:J1631)+SUM($M$2:M1631)-SUM($K$2:K1631)-SUM($L$2:L1631))</f>
        <v/>
      </c>
      <c r="O1631" s="72" t="str">
        <f>IF(A1631="","",SUMIF(RATEIOS!$A$2:$A$3142,$A1631,RATEIOS!$F$2:$F$3142))</f>
        <v/>
      </c>
      <c r="P1631" s="15" t="str">
        <f t="shared" si="52"/>
        <v/>
      </c>
      <c r="Q1631" s="49" t="str">
        <f>IF(AND(J1631=0,K1631=0,L1631=0,M1631=0),"",IF(O1631=0,"PENDENTE DE RATEIO",IF(ABS(P1631)&gt;0.005,"DIVERGÊNCIA",IF(COUNTIF(RATEIOS!$A$2:$A$3142,$A1631)-COUNTIFS(RATEIOS!$A$2:$A$3142,$A1631,RATEIOS!$D$2:$D$3142,"&lt;&gt;")&gt;0,"NÃO CLASSIFICADO","RATEIO OK"))))</f>
        <v/>
      </c>
      <c r="R1631" s="49"/>
      <c r="S1631" s="14"/>
    </row>
    <row r="1632" spans="1:19" ht="30" customHeight="1" x14ac:dyDescent="0.25">
      <c r="A1632" s="49" t="str">
        <f>IF(C1632="","","BAN-01631")</f>
        <v/>
      </c>
      <c r="B1632" s="98" t="str">
        <f>IF(C1632="","",1631)</f>
        <v/>
      </c>
      <c r="C1632" s="50"/>
      <c r="D1632" s="49" t="str">
        <f t="shared" si="51"/>
        <v/>
      </c>
      <c r="E1632" s="92"/>
      <c r="F1632" s="49"/>
      <c r="G1632" s="14"/>
      <c r="H1632" s="14"/>
      <c r="I1632" s="76"/>
      <c r="J1632" s="73"/>
      <c r="K1632" s="74"/>
      <c r="L1632" s="72"/>
      <c r="M1632" s="72"/>
      <c r="N1632" s="72" t="str">
        <f>IF(AND(C1632="",J1632=0,K1632=0,L1632=0,M1632=0),"",CADASTROS!$B$4+SUM($J$2:J1632)+SUM($M$2:M1632)-SUM($K$2:K1632)-SUM($L$2:L1632))</f>
        <v/>
      </c>
      <c r="O1632" s="72" t="str">
        <f>IF(A1632="","",SUMIF(RATEIOS!$A$2:$A$3142,$A1632,RATEIOS!$F$2:$F$3142))</f>
        <v/>
      </c>
      <c r="P1632" s="15" t="str">
        <f t="shared" si="52"/>
        <v/>
      </c>
      <c r="Q1632" s="49" t="str">
        <f>IF(AND(J1632=0,K1632=0,L1632=0,M1632=0),"",IF(O1632=0,"PENDENTE DE RATEIO",IF(ABS(P1632)&gt;0.005,"DIVERGÊNCIA",IF(COUNTIF(RATEIOS!$A$2:$A$3142,$A1632)-COUNTIFS(RATEIOS!$A$2:$A$3142,$A1632,RATEIOS!$D$2:$D$3142,"&lt;&gt;")&gt;0,"NÃO CLASSIFICADO","RATEIO OK"))))</f>
        <v/>
      </c>
      <c r="R1632" s="49"/>
      <c r="S1632" s="14"/>
    </row>
    <row r="1633" spans="1:19" ht="30" customHeight="1" x14ac:dyDescent="0.25">
      <c r="A1633" s="49" t="str">
        <f>IF(C1633="","","BAN-01632")</f>
        <v/>
      </c>
      <c r="B1633" s="98" t="str">
        <f>IF(C1633="","",1632)</f>
        <v/>
      </c>
      <c r="C1633" s="50"/>
      <c r="D1633" s="49" t="str">
        <f t="shared" si="51"/>
        <v/>
      </c>
      <c r="E1633" s="92"/>
      <c r="F1633" s="49"/>
      <c r="G1633" s="14"/>
      <c r="H1633" s="14"/>
      <c r="I1633" s="76"/>
      <c r="J1633" s="73"/>
      <c r="K1633" s="74"/>
      <c r="L1633" s="72"/>
      <c r="M1633" s="72"/>
      <c r="N1633" s="72" t="str">
        <f>IF(AND(C1633="",J1633=0,K1633=0,L1633=0,M1633=0),"",CADASTROS!$B$4+SUM($J$2:J1633)+SUM($M$2:M1633)-SUM($K$2:K1633)-SUM($L$2:L1633))</f>
        <v/>
      </c>
      <c r="O1633" s="72" t="str">
        <f>IF(A1633="","",SUMIF(RATEIOS!$A$2:$A$3142,$A1633,RATEIOS!$F$2:$F$3142))</f>
        <v/>
      </c>
      <c r="P1633" s="15" t="str">
        <f t="shared" si="52"/>
        <v/>
      </c>
      <c r="Q1633" s="49" t="str">
        <f>IF(AND(J1633=0,K1633=0,L1633=0,M1633=0),"",IF(O1633=0,"PENDENTE DE RATEIO",IF(ABS(P1633)&gt;0.005,"DIVERGÊNCIA",IF(COUNTIF(RATEIOS!$A$2:$A$3142,$A1633)-COUNTIFS(RATEIOS!$A$2:$A$3142,$A1633,RATEIOS!$D$2:$D$3142,"&lt;&gt;")&gt;0,"NÃO CLASSIFICADO","RATEIO OK"))))</f>
        <v/>
      </c>
      <c r="R1633" s="49"/>
      <c r="S1633" s="14"/>
    </row>
    <row r="1634" spans="1:19" ht="30" customHeight="1" x14ac:dyDescent="0.25">
      <c r="A1634" s="49" t="str">
        <f>IF(C1634="","","BAN-01633")</f>
        <v/>
      </c>
      <c r="B1634" s="98" t="str">
        <f>IF(C1634="","",1633)</f>
        <v/>
      </c>
      <c r="C1634" s="50"/>
      <c r="D1634" s="49" t="str">
        <f t="shared" si="51"/>
        <v/>
      </c>
      <c r="E1634" s="92"/>
      <c r="F1634" s="49"/>
      <c r="G1634" s="14"/>
      <c r="H1634" s="14"/>
      <c r="I1634" s="76"/>
      <c r="J1634" s="73"/>
      <c r="K1634" s="74"/>
      <c r="L1634" s="72"/>
      <c r="M1634" s="72"/>
      <c r="N1634" s="72" t="str">
        <f>IF(AND(C1634="",J1634=0,K1634=0,L1634=0,M1634=0),"",CADASTROS!$B$4+SUM($J$2:J1634)+SUM($M$2:M1634)-SUM($K$2:K1634)-SUM($L$2:L1634))</f>
        <v/>
      </c>
      <c r="O1634" s="72" t="str">
        <f>IF(A1634="","",SUMIF(RATEIOS!$A$2:$A$3142,$A1634,RATEIOS!$F$2:$F$3142))</f>
        <v/>
      </c>
      <c r="P1634" s="15" t="str">
        <f t="shared" si="52"/>
        <v/>
      </c>
      <c r="Q1634" s="49" t="str">
        <f>IF(AND(J1634=0,K1634=0,L1634=0,M1634=0),"",IF(O1634=0,"PENDENTE DE RATEIO",IF(ABS(P1634)&gt;0.005,"DIVERGÊNCIA",IF(COUNTIF(RATEIOS!$A$2:$A$3142,$A1634)-COUNTIFS(RATEIOS!$A$2:$A$3142,$A1634,RATEIOS!$D$2:$D$3142,"&lt;&gt;")&gt;0,"NÃO CLASSIFICADO","RATEIO OK"))))</f>
        <v/>
      </c>
      <c r="R1634" s="49"/>
      <c r="S1634" s="14"/>
    </row>
    <row r="1635" spans="1:19" ht="30" customHeight="1" x14ac:dyDescent="0.25">
      <c r="A1635" s="49" t="str">
        <f>IF(C1635="","","BAN-01634")</f>
        <v/>
      </c>
      <c r="B1635" s="98" t="str">
        <f>IF(C1635="","",1634)</f>
        <v/>
      </c>
      <c r="C1635" s="50"/>
      <c r="D1635" s="49" t="str">
        <f t="shared" si="51"/>
        <v/>
      </c>
      <c r="E1635" s="92"/>
      <c r="F1635" s="49"/>
      <c r="G1635" s="14"/>
      <c r="H1635" s="14"/>
      <c r="I1635" s="76"/>
      <c r="J1635" s="73"/>
      <c r="K1635" s="74"/>
      <c r="L1635" s="72"/>
      <c r="M1635" s="72"/>
      <c r="N1635" s="72" t="str">
        <f>IF(AND(C1635="",J1635=0,K1635=0,L1635=0,M1635=0),"",CADASTROS!$B$4+SUM($J$2:J1635)+SUM($M$2:M1635)-SUM($K$2:K1635)-SUM($L$2:L1635))</f>
        <v/>
      </c>
      <c r="O1635" s="72" t="str">
        <f>IF(A1635="","",SUMIF(RATEIOS!$A$2:$A$3142,$A1635,RATEIOS!$F$2:$F$3142))</f>
        <v/>
      </c>
      <c r="P1635" s="15" t="str">
        <f t="shared" si="52"/>
        <v/>
      </c>
      <c r="Q1635" s="49" t="str">
        <f>IF(AND(J1635=0,K1635=0,L1635=0,M1635=0),"",IF(O1635=0,"PENDENTE DE RATEIO",IF(ABS(P1635)&gt;0.005,"DIVERGÊNCIA",IF(COUNTIF(RATEIOS!$A$2:$A$3142,$A1635)-COUNTIFS(RATEIOS!$A$2:$A$3142,$A1635,RATEIOS!$D$2:$D$3142,"&lt;&gt;")&gt;0,"NÃO CLASSIFICADO","RATEIO OK"))))</f>
        <v/>
      </c>
      <c r="R1635" s="49"/>
      <c r="S1635" s="14"/>
    </row>
    <row r="1636" spans="1:19" ht="30" customHeight="1" x14ac:dyDescent="0.25">
      <c r="A1636" s="49" t="str">
        <f>IF(C1636="","","BAN-01635")</f>
        <v/>
      </c>
      <c r="B1636" s="98" t="str">
        <f>IF(C1636="","",1635)</f>
        <v/>
      </c>
      <c r="C1636" s="50"/>
      <c r="D1636" s="49" t="str">
        <f t="shared" si="51"/>
        <v/>
      </c>
      <c r="E1636" s="92"/>
      <c r="F1636" s="49"/>
      <c r="G1636" s="14"/>
      <c r="H1636" s="14"/>
      <c r="I1636" s="76"/>
      <c r="J1636" s="73"/>
      <c r="K1636" s="74"/>
      <c r="L1636" s="72"/>
      <c r="M1636" s="72"/>
      <c r="N1636" s="72" t="str">
        <f>IF(AND(C1636="",J1636=0,K1636=0,L1636=0,M1636=0),"",CADASTROS!$B$4+SUM($J$2:J1636)+SUM($M$2:M1636)-SUM($K$2:K1636)-SUM($L$2:L1636))</f>
        <v/>
      </c>
      <c r="O1636" s="72" t="str">
        <f>IF(A1636="","",SUMIF(RATEIOS!$A$2:$A$3142,$A1636,RATEIOS!$F$2:$F$3142))</f>
        <v/>
      </c>
      <c r="P1636" s="15" t="str">
        <f t="shared" si="52"/>
        <v/>
      </c>
      <c r="Q1636" s="49" t="str">
        <f>IF(AND(J1636=0,K1636=0,L1636=0,M1636=0),"",IF(O1636=0,"PENDENTE DE RATEIO",IF(ABS(P1636)&gt;0.005,"DIVERGÊNCIA",IF(COUNTIF(RATEIOS!$A$2:$A$3142,$A1636)-COUNTIFS(RATEIOS!$A$2:$A$3142,$A1636,RATEIOS!$D$2:$D$3142,"&lt;&gt;")&gt;0,"NÃO CLASSIFICADO","RATEIO OK"))))</f>
        <v/>
      </c>
      <c r="R1636" s="49"/>
      <c r="S1636" s="14"/>
    </row>
    <row r="1637" spans="1:19" ht="30" customHeight="1" x14ac:dyDescent="0.25">
      <c r="A1637" s="49" t="str">
        <f>IF(C1637="","","BAN-01636")</f>
        <v/>
      </c>
      <c r="B1637" s="98" t="str">
        <f>IF(C1637="","",1636)</f>
        <v/>
      </c>
      <c r="C1637" s="50"/>
      <c r="D1637" s="49" t="str">
        <f t="shared" si="51"/>
        <v/>
      </c>
      <c r="E1637" s="92"/>
      <c r="F1637" s="49"/>
      <c r="G1637" s="14"/>
      <c r="H1637" s="14"/>
      <c r="I1637" s="76"/>
      <c r="J1637" s="73"/>
      <c r="K1637" s="74"/>
      <c r="L1637" s="72"/>
      <c r="M1637" s="72"/>
      <c r="N1637" s="72" t="str">
        <f>IF(AND(C1637="",J1637=0,K1637=0,L1637=0,M1637=0),"",CADASTROS!$B$4+SUM($J$2:J1637)+SUM($M$2:M1637)-SUM($K$2:K1637)-SUM($L$2:L1637))</f>
        <v/>
      </c>
      <c r="O1637" s="72" t="str">
        <f>IF(A1637="","",SUMIF(RATEIOS!$A$2:$A$3142,$A1637,RATEIOS!$F$2:$F$3142))</f>
        <v/>
      </c>
      <c r="P1637" s="15" t="str">
        <f t="shared" si="52"/>
        <v/>
      </c>
      <c r="Q1637" s="49" t="str">
        <f>IF(AND(J1637=0,K1637=0,L1637=0,M1637=0),"",IF(O1637=0,"PENDENTE DE RATEIO",IF(ABS(P1637)&gt;0.005,"DIVERGÊNCIA",IF(COUNTIF(RATEIOS!$A$2:$A$3142,$A1637)-COUNTIFS(RATEIOS!$A$2:$A$3142,$A1637,RATEIOS!$D$2:$D$3142,"&lt;&gt;")&gt;0,"NÃO CLASSIFICADO","RATEIO OK"))))</f>
        <v/>
      </c>
      <c r="R1637" s="49"/>
      <c r="S1637" s="14"/>
    </row>
    <row r="1638" spans="1:19" ht="30" customHeight="1" x14ac:dyDescent="0.25">
      <c r="A1638" s="49" t="str">
        <f>IF(C1638="","","BAN-01637")</f>
        <v/>
      </c>
      <c r="B1638" s="98" t="str">
        <f>IF(C1638="","",1637)</f>
        <v/>
      </c>
      <c r="C1638" s="50"/>
      <c r="D1638" s="49" t="str">
        <f t="shared" si="51"/>
        <v/>
      </c>
      <c r="E1638" s="92"/>
      <c r="F1638" s="49"/>
      <c r="G1638" s="14"/>
      <c r="H1638" s="14"/>
      <c r="I1638" s="76"/>
      <c r="J1638" s="73"/>
      <c r="K1638" s="74"/>
      <c r="L1638" s="72"/>
      <c r="M1638" s="72"/>
      <c r="N1638" s="72" t="str">
        <f>IF(AND(C1638="",J1638=0,K1638=0,L1638=0,M1638=0),"",CADASTROS!$B$4+SUM($J$2:J1638)+SUM($M$2:M1638)-SUM($K$2:K1638)-SUM($L$2:L1638))</f>
        <v/>
      </c>
      <c r="O1638" s="72" t="str">
        <f>IF(A1638="","",SUMIF(RATEIOS!$A$2:$A$3142,$A1638,RATEIOS!$F$2:$F$3142))</f>
        <v/>
      </c>
      <c r="P1638" s="15" t="str">
        <f t="shared" si="52"/>
        <v/>
      </c>
      <c r="Q1638" s="49" t="str">
        <f>IF(AND(J1638=0,K1638=0,L1638=0,M1638=0),"",IF(O1638=0,"PENDENTE DE RATEIO",IF(ABS(P1638)&gt;0.005,"DIVERGÊNCIA",IF(COUNTIF(RATEIOS!$A$2:$A$3142,$A1638)-COUNTIFS(RATEIOS!$A$2:$A$3142,$A1638,RATEIOS!$D$2:$D$3142,"&lt;&gt;")&gt;0,"NÃO CLASSIFICADO","RATEIO OK"))))</f>
        <v/>
      </c>
      <c r="R1638" s="49"/>
      <c r="S1638" s="14"/>
    </row>
    <row r="1639" spans="1:19" ht="30" customHeight="1" x14ac:dyDescent="0.25">
      <c r="A1639" s="49" t="str">
        <f>IF(C1639="","","BAN-01638")</f>
        <v/>
      </c>
      <c r="B1639" s="98" t="str">
        <f>IF(C1639="","",1638)</f>
        <v/>
      </c>
      <c r="C1639" s="50"/>
      <c r="D1639" s="49" t="str">
        <f t="shared" si="51"/>
        <v/>
      </c>
      <c r="E1639" s="92"/>
      <c r="F1639" s="49"/>
      <c r="G1639" s="14"/>
      <c r="H1639" s="14"/>
      <c r="I1639" s="76"/>
      <c r="J1639" s="73"/>
      <c r="K1639" s="74"/>
      <c r="L1639" s="72"/>
      <c r="M1639" s="72"/>
      <c r="N1639" s="72" t="str">
        <f>IF(AND(C1639="",J1639=0,K1639=0,L1639=0,M1639=0),"",CADASTROS!$B$4+SUM($J$2:J1639)+SUM($M$2:M1639)-SUM($K$2:K1639)-SUM($L$2:L1639))</f>
        <v/>
      </c>
      <c r="O1639" s="72" t="str">
        <f>IF(A1639="","",SUMIF(RATEIOS!$A$2:$A$3142,$A1639,RATEIOS!$F$2:$F$3142))</f>
        <v/>
      </c>
      <c r="P1639" s="15" t="str">
        <f t="shared" si="52"/>
        <v/>
      </c>
      <c r="Q1639" s="49" t="str">
        <f>IF(AND(J1639=0,K1639=0,L1639=0,M1639=0),"",IF(O1639=0,"PENDENTE DE RATEIO",IF(ABS(P1639)&gt;0.005,"DIVERGÊNCIA",IF(COUNTIF(RATEIOS!$A$2:$A$3142,$A1639)-COUNTIFS(RATEIOS!$A$2:$A$3142,$A1639,RATEIOS!$D$2:$D$3142,"&lt;&gt;")&gt;0,"NÃO CLASSIFICADO","RATEIO OK"))))</f>
        <v/>
      </c>
      <c r="R1639" s="49"/>
      <c r="S1639" s="14"/>
    </row>
    <row r="1640" spans="1:19" ht="30" customHeight="1" x14ac:dyDescent="0.25">
      <c r="A1640" s="49" t="str">
        <f>IF(C1640="","","BAN-01639")</f>
        <v/>
      </c>
      <c r="B1640" s="98" t="str">
        <f>IF(C1640="","",1639)</f>
        <v/>
      </c>
      <c r="C1640" s="50"/>
      <c r="D1640" s="49" t="str">
        <f t="shared" si="51"/>
        <v/>
      </c>
      <c r="E1640" s="92"/>
      <c r="F1640" s="49"/>
      <c r="G1640" s="14"/>
      <c r="H1640" s="14"/>
      <c r="I1640" s="76"/>
      <c r="J1640" s="73"/>
      <c r="K1640" s="74"/>
      <c r="L1640" s="72"/>
      <c r="M1640" s="72"/>
      <c r="N1640" s="72" t="str">
        <f>IF(AND(C1640="",J1640=0,K1640=0,L1640=0,M1640=0),"",CADASTROS!$B$4+SUM($J$2:J1640)+SUM($M$2:M1640)-SUM($K$2:K1640)-SUM($L$2:L1640))</f>
        <v/>
      </c>
      <c r="O1640" s="72" t="str">
        <f>IF(A1640="","",SUMIF(RATEIOS!$A$2:$A$3142,$A1640,RATEIOS!$F$2:$F$3142))</f>
        <v/>
      </c>
      <c r="P1640" s="15" t="str">
        <f t="shared" si="52"/>
        <v/>
      </c>
      <c r="Q1640" s="49" t="str">
        <f>IF(AND(J1640=0,K1640=0,L1640=0,M1640=0),"",IF(O1640=0,"PENDENTE DE RATEIO",IF(ABS(P1640)&gt;0.005,"DIVERGÊNCIA",IF(COUNTIF(RATEIOS!$A$2:$A$3142,$A1640)-COUNTIFS(RATEIOS!$A$2:$A$3142,$A1640,RATEIOS!$D$2:$D$3142,"&lt;&gt;")&gt;0,"NÃO CLASSIFICADO","RATEIO OK"))))</f>
        <v/>
      </c>
      <c r="R1640" s="49"/>
      <c r="S1640" s="14"/>
    </row>
    <row r="1641" spans="1:19" ht="30" customHeight="1" x14ac:dyDescent="0.25">
      <c r="A1641" s="49" t="str">
        <f>IF(C1641="","","BAN-01640")</f>
        <v/>
      </c>
      <c r="B1641" s="98" t="str">
        <f>IF(C1641="","",1640)</f>
        <v/>
      </c>
      <c r="C1641" s="50"/>
      <c r="D1641" s="49" t="str">
        <f t="shared" si="51"/>
        <v/>
      </c>
      <c r="E1641" s="92"/>
      <c r="F1641" s="49"/>
      <c r="G1641" s="14"/>
      <c r="H1641" s="14"/>
      <c r="I1641" s="76"/>
      <c r="J1641" s="73"/>
      <c r="K1641" s="74"/>
      <c r="L1641" s="72"/>
      <c r="M1641" s="72"/>
      <c r="N1641" s="72" t="str">
        <f>IF(AND(C1641="",J1641=0,K1641=0,L1641=0,M1641=0),"",CADASTROS!$B$4+SUM($J$2:J1641)+SUM($M$2:M1641)-SUM($K$2:K1641)-SUM($L$2:L1641))</f>
        <v/>
      </c>
      <c r="O1641" s="72" t="str">
        <f>IF(A1641="","",SUMIF(RATEIOS!$A$2:$A$3142,$A1641,RATEIOS!$F$2:$F$3142))</f>
        <v/>
      </c>
      <c r="P1641" s="15" t="str">
        <f t="shared" si="52"/>
        <v/>
      </c>
      <c r="Q1641" s="49" t="str">
        <f>IF(AND(J1641=0,K1641=0,L1641=0,M1641=0),"",IF(O1641=0,"PENDENTE DE RATEIO",IF(ABS(P1641)&gt;0.005,"DIVERGÊNCIA",IF(COUNTIF(RATEIOS!$A$2:$A$3142,$A1641)-COUNTIFS(RATEIOS!$A$2:$A$3142,$A1641,RATEIOS!$D$2:$D$3142,"&lt;&gt;")&gt;0,"NÃO CLASSIFICADO","RATEIO OK"))))</f>
        <v/>
      </c>
      <c r="R1641" s="49"/>
      <c r="S1641" s="14"/>
    </row>
    <row r="1642" spans="1:19" ht="30" customHeight="1" x14ac:dyDescent="0.25">
      <c r="A1642" s="49" t="str">
        <f>IF(C1642="","","BAN-01641")</f>
        <v/>
      </c>
      <c r="B1642" s="98" t="str">
        <f>IF(C1642="","",1641)</f>
        <v/>
      </c>
      <c r="C1642" s="50"/>
      <c r="D1642" s="49" t="str">
        <f t="shared" si="51"/>
        <v/>
      </c>
      <c r="E1642" s="92"/>
      <c r="F1642" s="49"/>
      <c r="G1642" s="14"/>
      <c r="H1642" s="14"/>
      <c r="I1642" s="76"/>
      <c r="J1642" s="73"/>
      <c r="K1642" s="74"/>
      <c r="L1642" s="72"/>
      <c r="M1642" s="72"/>
      <c r="N1642" s="72" t="str">
        <f>IF(AND(C1642="",J1642=0,K1642=0,L1642=0,M1642=0),"",CADASTROS!$B$4+SUM($J$2:J1642)+SUM($M$2:M1642)-SUM($K$2:K1642)-SUM($L$2:L1642))</f>
        <v/>
      </c>
      <c r="O1642" s="72" t="str">
        <f>IF(A1642="","",SUMIF(RATEIOS!$A$2:$A$3142,$A1642,RATEIOS!$F$2:$F$3142))</f>
        <v/>
      </c>
      <c r="P1642" s="15" t="str">
        <f t="shared" si="52"/>
        <v/>
      </c>
      <c r="Q1642" s="49" t="str">
        <f>IF(AND(J1642=0,K1642=0,L1642=0,M1642=0),"",IF(O1642=0,"PENDENTE DE RATEIO",IF(ABS(P1642)&gt;0.005,"DIVERGÊNCIA",IF(COUNTIF(RATEIOS!$A$2:$A$3142,$A1642)-COUNTIFS(RATEIOS!$A$2:$A$3142,$A1642,RATEIOS!$D$2:$D$3142,"&lt;&gt;")&gt;0,"NÃO CLASSIFICADO","RATEIO OK"))))</f>
        <v/>
      </c>
      <c r="R1642" s="49"/>
      <c r="S1642" s="14"/>
    </row>
    <row r="1643" spans="1:19" ht="30" customHeight="1" x14ac:dyDescent="0.25">
      <c r="A1643" s="49" t="str">
        <f>IF(C1643="","","BAN-01642")</f>
        <v/>
      </c>
      <c r="B1643" s="98" t="str">
        <f>IF(C1643="","",1642)</f>
        <v/>
      </c>
      <c r="C1643" s="50"/>
      <c r="D1643" s="49" t="str">
        <f t="shared" si="51"/>
        <v/>
      </c>
      <c r="E1643" s="92"/>
      <c r="F1643" s="49"/>
      <c r="G1643" s="14"/>
      <c r="H1643" s="14"/>
      <c r="I1643" s="76"/>
      <c r="J1643" s="73"/>
      <c r="K1643" s="74"/>
      <c r="L1643" s="72"/>
      <c r="M1643" s="72"/>
      <c r="N1643" s="72" t="str">
        <f>IF(AND(C1643="",J1643=0,K1643=0,L1643=0,M1643=0),"",CADASTROS!$B$4+SUM($J$2:J1643)+SUM($M$2:M1643)-SUM($K$2:K1643)-SUM($L$2:L1643))</f>
        <v/>
      </c>
      <c r="O1643" s="72" t="str">
        <f>IF(A1643="","",SUMIF(RATEIOS!$A$2:$A$3142,$A1643,RATEIOS!$F$2:$F$3142))</f>
        <v/>
      </c>
      <c r="P1643" s="15" t="str">
        <f t="shared" si="52"/>
        <v/>
      </c>
      <c r="Q1643" s="49" t="str">
        <f>IF(AND(J1643=0,K1643=0,L1643=0,M1643=0),"",IF(O1643=0,"PENDENTE DE RATEIO",IF(ABS(P1643)&gt;0.005,"DIVERGÊNCIA",IF(COUNTIF(RATEIOS!$A$2:$A$3142,$A1643)-COUNTIFS(RATEIOS!$A$2:$A$3142,$A1643,RATEIOS!$D$2:$D$3142,"&lt;&gt;")&gt;0,"NÃO CLASSIFICADO","RATEIO OK"))))</f>
        <v/>
      </c>
      <c r="R1643" s="49"/>
      <c r="S1643" s="14"/>
    </row>
    <row r="1644" spans="1:19" ht="30" customHeight="1" x14ac:dyDescent="0.25">
      <c r="A1644" s="49" t="str">
        <f>IF(C1644="","","BAN-01643")</f>
        <v/>
      </c>
      <c r="B1644" s="98" t="str">
        <f>IF(C1644="","",1643)</f>
        <v/>
      </c>
      <c r="C1644" s="50"/>
      <c r="D1644" s="49" t="str">
        <f t="shared" si="51"/>
        <v/>
      </c>
      <c r="E1644" s="92"/>
      <c r="F1644" s="49"/>
      <c r="G1644" s="14"/>
      <c r="H1644" s="14"/>
      <c r="I1644" s="76"/>
      <c r="J1644" s="73"/>
      <c r="K1644" s="74"/>
      <c r="L1644" s="72"/>
      <c r="M1644" s="72"/>
      <c r="N1644" s="72" t="str">
        <f>IF(AND(C1644="",J1644=0,K1644=0,L1644=0,M1644=0),"",CADASTROS!$B$4+SUM($J$2:J1644)+SUM($M$2:M1644)-SUM($K$2:K1644)-SUM($L$2:L1644))</f>
        <v/>
      </c>
      <c r="O1644" s="72" t="str">
        <f>IF(A1644="","",SUMIF(RATEIOS!$A$2:$A$3142,$A1644,RATEIOS!$F$2:$F$3142))</f>
        <v/>
      </c>
      <c r="P1644" s="15" t="str">
        <f t="shared" si="52"/>
        <v/>
      </c>
      <c r="Q1644" s="49" t="str">
        <f>IF(AND(J1644=0,K1644=0,L1644=0,M1644=0),"",IF(O1644=0,"PENDENTE DE RATEIO",IF(ABS(P1644)&gt;0.005,"DIVERGÊNCIA",IF(COUNTIF(RATEIOS!$A$2:$A$3142,$A1644)-COUNTIFS(RATEIOS!$A$2:$A$3142,$A1644,RATEIOS!$D$2:$D$3142,"&lt;&gt;")&gt;0,"NÃO CLASSIFICADO","RATEIO OK"))))</f>
        <v/>
      </c>
      <c r="R1644" s="49"/>
      <c r="S1644" s="14"/>
    </row>
    <row r="1645" spans="1:19" ht="30" customHeight="1" x14ac:dyDescent="0.25">
      <c r="A1645" s="49" t="str">
        <f>IF(C1645="","","BAN-01644")</f>
        <v/>
      </c>
      <c r="B1645" s="98" t="str">
        <f>IF(C1645="","",1644)</f>
        <v/>
      </c>
      <c r="C1645" s="50"/>
      <c r="D1645" s="49" t="str">
        <f t="shared" si="51"/>
        <v/>
      </c>
      <c r="E1645" s="92"/>
      <c r="F1645" s="49"/>
      <c r="G1645" s="14"/>
      <c r="H1645" s="14"/>
      <c r="I1645" s="76"/>
      <c r="J1645" s="73"/>
      <c r="K1645" s="74"/>
      <c r="L1645" s="72"/>
      <c r="M1645" s="72"/>
      <c r="N1645" s="72" t="str">
        <f>IF(AND(C1645="",J1645=0,K1645=0,L1645=0,M1645=0),"",CADASTROS!$B$4+SUM($J$2:J1645)+SUM($M$2:M1645)-SUM($K$2:K1645)-SUM($L$2:L1645))</f>
        <v/>
      </c>
      <c r="O1645" s="72" t="str">
        <f>IF(A1645="","",SUMIF(RATEIOS!$A$2:$A$3142,$A1645,RATEIOS!$F$2:$F$3142))</f>
        <v/>
      </c>
      <c r="P1645" s="15" t="str">
        <f t="shared" si="52"/>
        <v/>
      </c>
      <c r="Q1645" s="49" t="str">
        <f>IF(AND(J1645=0,K1645=0,L1645=0,M1645=0),"",IF(O1645=0,"PENDENTE DE RATEIO",IF(ABS(P1645)&gt;0.005,"DIVERGÊNCIA",IF(COUNTIF(RATEIOS!$A$2:$A$3142,$A1645)-COUNTIFS(RATEIOS!$A$2:$A$3142,$A1645,RATEIOS!$D$2:$D$3142,"&lt;&gt;")&gt;0,"NÃO CLASSIFICADO","RATEIO OK"))))</f>
        <v/>
      </c>
      <c r="R1645" s="49"/>
      <c r="S1645" s="14"/>
    </row>
    <row r="1646" spans="1:19" ht="30" customHeight="1" x14ac:dyDescent="0.25">
      <c r="A1646" s="49" t="str">
        <f>IF(C1646="","","BAN-01645")</f>
        <v/>
      </c>
      <c r="B1646" s="98" t="str">
        <f>IF(C1646="","",1645)</f>
        <v/>
      </c>
      <c r="C1646" s="50"/>
      <c r="D1646" s="49" t="str">
        <f t="shared" si="51"/>
        <v/>
      </c>
      <c r="E1646" s="92"/>
      <c r="F1646" s="49"/>
      <c r="G1646" s="14"/>
      <c r="H1646" s="14"/>
      <c r="I1646" s="76"/>
      <c r="J1646" s="73"/>
      <c r="K1646" s="74"/>
      <c r="L1646" s="72"/>
      <c r="M1646" s="72"/>
      <c r="N1646" s="72" t="str">
        <f>IF(AND(C1646="",J1646=0,K1646=0,L1646=0,M1646=0),"",CADASTROS!$B$4+SUM($J$2:J1646)+SUM($M$2:M1646)-SUM($K$2:K1646)-SUM($L$2:L1646))</f>
        <v/>
      </c>
      <c r="O1646" s="72" t="str">
        <f>IF(A1646="","",SUMIF(RATEIOS!$A$2:$A$3142,$A1646,RATEIOS!$F$2:$F$3142))</f>
        <v/>
      </c>
      <c r="P1646" s="15" t="str">
        <f t="shared" si="52"/>
        <v/>
      </c>
      <c r="Q1646" s="49" t="str">
        <f>IF(AND(J1646=0,K1646=0,L1646=0,M1646=0),"",IF(O1646=0,"PENDENTE DE RATEIO",IF(ABS(P1646)&gt;0.005,"DIVERGÊNCIA",IF(COUNTIF(RATEIOS!$A$2:$A$3142,$A1646)-COUNTIFS(RATEIOS!$A$2:$A$3142,$A1646,RATEIOS!$D$2:$D$3142,"&lt;&gt;")&gt;0,"NÃO CLASSIFICADO","RATEIO OK"))))</f>
        <v/>
      </c>
      <c r="R1646" s="49"/>
      <c r="S1646" s="14"/>
    </row>
    <row r="1647" spans="1:19" ht="30" customHeight="1" x14ac:dyDescent="0.25">
      <c r="A1647" s="49" t="str">
        <f>IF(C1647="","","BAN-01646")</f>
        <v/>
      </c>
      <c r="B1647" s="98" t="str">
        <f>IF(C1647="","",1646)</f>
        <v/>
      </c>
      <c r="C1647" s="50"/>
      <c r="D1647" s="49" t="str">
        <f t="shared" si="51"/>
        <v/>
      </c>
      <c r="E1647" s="92"/>
      <c r="F1647" s="49"/>
      <c r="G1647" s="14"/>
      <c r="H1647" s="14"/>
      <c r="I1647" s="76"/>
      <c r="J1647" s="73"/>
      <c r="K1647" s="74"/>
      <c r="L1647" s="72"/>
      <c r="M1647" s="72"/>
      <c r="N1647" s="72" t="str">
        <f>IF(AND(C1647="",J1647=0,K1647=0,L1647=0,M1647=0),"",CADASTROS!$B$4+SUM($J$2:J1647)+SUM($M$2:M1647)-SUM($K$2:K1647)-SUM($L$2:L1647))</f>
        <v/>
      </c>
      <c r="O1647" s="72" t="str">
        <f>IF(A1647="","",SUMIF(RATEIOS!$A$2:$A$3142,$A1647,RATEIOS!$F$2:$F$3142))</f>
        <v/>
      </c>
      <c r="P1647" s="15" t="str">
        <f t="shared" si="52"/>
        <v/>
      </c>
      <c r="Q1647" s="49" t="str">
        <f>IF(AND(J1647=0,K1647=0,L1647=0,M1647=0),"",IF(O1647=0,"PENDENTE DE RATEIO",IF(ABS(P1647)&gt;0.005,"DIVERGÊNCIA",IF(COUNTIF(RATEIOS!$A$2:$A$3142,$A1647)-COUNTIFS(RATEIOS!$A$2:$A$3142,$A1647,RATEIOS!$D$2:$D$3142,"&lt;&gt;")&gt;0,"NÃO CLASSIFICADO","RATEIO OK"))))</f>
        <v/>
      </c>
      <c r="R1647" s="49"/>
      <c r="S1647" s="14"/>
    </row>
    <row r="1648" spans="1:19" ht="30" customHeight="1" x14ac:dyDescent="0.25">
      <c r="A1648" s="49" t="str">
        <f>IF(C1648="","","BAN-01647")</f>
        <v/>
      </c>
      <c r="B1648" s="98" t="str">
        <f>IF(C1648="","",1647)</f>
        <v/>
      </c>
      <c r="C1648" s="50"/>
      <c r="D1648" s="49" t="str">
        <f t="shared" si="51"/>
        <v/>
      </c>
      <c r="E1648" s="92"/>
      <c r="F1648" s="49"/>
      <c r="G1648" s="14"/>
      <c r="H1648" s="14"/>
      <c r="I1648" s="76"/>
      <c r="J1648" s="73"/>
      <c r="K1648" s="74"/>
      <c r="L1648" s="72"/>
      <c r="M1648" s="72"/>
      <c r="N1648" s="72" t="str">
        <f>IF(AND(C1648="",J1648=0,K1648=0,L1648=0,M1648=0),"",CADASTROS!$B$4+SUM($J$2:J1648)+SUM($M$2:M1648)-SUM($K$2:K1648)-SUM($L$2:L1648))</f>
        <v/>
      </c>
      <c r="O1648" s="72" t="str">
        <f>IF(A1648="","",SUMIF(RATEIOS!$A$2:$A$3142,$A1648,RATEIOS!$F$2:$F$3142))</f>
        <v/>
      </c>
      <c r="P1648" s="15" t="str">
        <f t="shared" si="52"/>
        <v/>
      </c>
      <c r="Q1648" s="49" t="str">
        <f>IF(AND(J1648=0,K1648=0,L1648=0,M1648=0),"",IF(O1648=0,"PENDENTE DE RATEIO",IF(ABS(P1648)&gt;0.005,"DIVERGÊNCIA",IF(COUNTIF(RATEIOS!$A$2:$A$3142,$A1648)-COUNTIFS(RATEIOS!$A$2:$A$3142,$A1648,RATEIOS!$D$2:$D$3142,"&lt;&gt;")&gt;0,"NÃO CLASSIFICADO","RATEIO OK"))))</f>
        <v/>
      </c>
      <c r="R1648" s="49"/>
      <c r="S1648" s="14"/>
    </row>
    <row r="1649" spans="1:19" ht="30" customHeight="1" x14ac:dyDescent="0.25">
      <c r="A1649" s="49" t="str">
        <f>IF(C1649="","","BAN-01648")</f>
        <v/>
      </c>
      <c r="B1649" s="98" t="str">
        <f>IF(C1649="","",1648)</f>
        <v/>
      </c>
      <c r="C1649" s="50"/>
      <c r="D1649" s="49" t="str">
        <f t="shared" si="51"/>
        <v/>
      </c>
      <c r="E1649" s="92"/>
      <c r="F1649" s="49"/>
      <c r="G1649" s="14"/>
      <c r="H1649" s="14"/>
      <c r="I1649" s="76"/>
      <c r="J1649" s="73"/>
      <c r="K1649" s="74"/>
      <c r="L1649" s="72"/>
      <c r="M1649" s="72"/>
      <c r="N1649" s="72" t="str">
        <f>IF(AND(C1649="",J1649=0,K1649=0,L1649=0,M1649=0),"",CADASTROS!$B$4+SUM($J$2:J1649)+SUM($M$2:M1649)-SUM($K$2:K1649)-SUM($L$2:L1649))</f>
        <v/>
      </c>
      <c r="O1649" s="72" t="str">
        <f>IF(A1649="","",SUMIF(RATEIOS!$A$2:$A$3142,$A1649,RATEIOS!$F$2:$F$3142))</f>
        <v/>
      </c>
      <c r="P1649" s="15" t="str">
        <f t="shared" si="52"/>
        <v/>
      </c>
      <c r="Q1649" s="49" t="str">
        <f>IF(AND(J1649=0,K1649=0,L1649=0,M1649=0),"",IF(O1649=0,"PENDENTE DE RATEIO",IF(ABS(P1649)&gt;0.005,"DIVERGÊNCIA",IF(COUNTIF(RATEIOS!$A$2:$A$3142,$A1649)-COUNTIFS(RATEIOS!$A$2:$A$3142,$A1649,RATEIOS!$D$2:$D$3142,"&lt;&gt;")&gt;0,"NÃO CLASSIFICADO","RATEIO OK"))))</f>
        <v/>
      </c>
      <c r="R1649" s="49"/>
      <c r="S1649" s="14"/>
    </row>
    <row r="1650" spans="1:19" ht="30" customHeight="1" x14ac:dyDescent="0.25">
      <c r="A1650" s="49" t="str">
        <f>IF(C1650="","","BAN-01649")</f>
        <v/>
      </c>
      <c r="B1650" s="98" t="str">
        <f>IF(C1650="","",1649)</f>
        <v/>
      </c>
      <c r="C1650" s="50"/>
      <c r="D1650" s="49" t="str">
        <f t="shared" si="51"/>
        <v/>
      </c>
      <c r="E1650" s="92"/>
      <c r="F1650" s="49"/>
      <c r="G1650" s="14"/>
      <c r="H1650" s="14"/>
      <c r="I1650" s="76"/>
      <c r="J1650" s="73"/>
      <c r="K1650" s="74"/>
      <c r="L1650" s="72"/>
      <c r="M1650" s="72"/>
      <c r="N1650" s="72" t="str">
        <f>IF(AND(C1650="",J1650=0,K1650=0,L1650=0,M1650=0),"",CADASTROS!$B$4+SUM($J$2:J1650)+SUM($M$2:M1650)-SUM($K$2:K1650)-SUM($L$2:L1650))</f>
        <v/>
      </c>
      <c r="O1650" s="72" t="str">
        <f>IF(A1650="","",SUMIF(RATEIOS!$A$2:$A$3142,$A1650,RATEIOS!$F$2:$F$3142))</f>
        <v/>
      </c>
      <c r="P1650" s="15" t="str">
        <f t="shared" si="52"/>
        <v/>
      </c>
      <c r="Q1650" s="49" t="str">
        <f>IF(AND(J1650=0,K1650=0,L1650=0,M1650=0),"",IF(O1650=0,"PENDENTE DE RATEIO",IF(ABS(P1650)&gt;0.005,"DIVERGÊNCIA",IF(COUNTIF(RATEIOS!$A$2:$A$3142,$A1650)-COUNTIFS(RATEIOS!$A$2:$A$3142,$A1650,RATEIOS!$D$2:$D$3142,"&lt;&gt;")&gt;0,"NÃO CLASSIFICADO","RATEIO OK"))))</f>
        <v/>
      </c>
      <c r="R1650" s="49"/>
      <c r="S1650" s="14"/>
    </row>
    <row r="1651" spans="1:19" ht="30" customHeight="1" x14ac:dyDescent="0.25">
      <c r="A1651" s="49" t="str">
        <f>IF(C1651="","","BAN-01650")</f>
        <v/>
      </c>
      <c r="B1651" s="98" t="str">
        <f>IF(C1651="","",1650)</f>
        <v/>
      </c>
      <c r="C1651" s="50"/>
      <c r="D1651" s="49" t="str">
        <f t="shared" si="51"/>
        <v/>
      </c>
      <c r="E1651" s="92"/>
      <c r="F1651" s="49"/>
      <c r="G1651" s="14"/>
      <c r="H1651" s="14"/>
      <c r="I1651" s="76"/>
      <c r="J1651" s="73"/>
      <c r="K1651" s="74"/>
      <c r="L1651" s="72"/>
      <c r="M1651" s="72"/>
      <c r="N1651" s="72" t="str">
        <f>IF(AND(C1651="",J1651=0,K1651=0,L1651=0,M1651=0),"",CADASTROS!$B$4+SUM($J$2:J1651)+SUM($M$2:M1651)-SUM($K$2:K1651)-SUM($L$2:L1651))</f>
        <v/>
      </c>
      <c r="O1651" s="72" t="str">
        <f>IF(A1651="","",SUMIF(RATEIOS!$A$2:$A$3142,$A1651,RATEIOS!$F$2:$F$3142))</f>
        <v/>
      </c>
      <c r="P1651" s="15" t="str">
        <f t="shared" si="52"/>
        <v/>
      </c>
      <c r="Q1651" s="49" t="str">
        <f>IF(AND(J1651=0,K1651=0,L1651=0,M1651=0),"",IF(O1651=0,"PENDENTE DE RATEIO",IF(ABS(P1651)&gt;0.005,"DIVERGÊNCIA",IF(COUNTIF(RATEIOS!$A$2:$A$3142,$A1651)-COUNTIFS(RATEIOS!$A$2:$A$3142,$A1651,RATEIOS!$D$2:$D$3142,"&lt;&gt;")&gt;0,"NÃO CLASSIFICADO","RATEIO OK"))))</f>
        <v/>
      </c>
      <c r="R1651" s="49"/>
      <c r="S1651" s="14"/>
    </row>
    <row r="1652" spans="1:19" ht="30" customHeight="1" x14ac:dyDescent="0.25">
      <c r="A1652" s="49" t="str">
        <f>IF(C1652="","","BAN-01651")</f>
        <v/>
      </c>
      <c r="B1652" s="98" t="str">
        <f>IF(C1652="","",1651)</f>
        <v/>
      </c>
      <c r="C1652" s="50"/>
      <c r="D1652" s="49" t="str">
        <f t="shared" si="51"/>
        <v/>
      </c>
      <c r="E1652" s="92"/>
      <c r="F1652" s="49"/>
      <c r="G1652" s="14"/>
      <c r="H1652" s="14"/>
      <c r="I1652" s="76"/>
      <c r="J1652" s="73"/>
      <c r="K1652" s="74"/>
      <c r="L1652" s="72"/>
      <c r="M1652" s="72"/>
      <c r="N1652" s="72" t="str">
        <f>IF(AND(C1652="",J1652=0,K1652=0,L1652=0,M1652=0),"",CADASTROS!$B$4+SUM($J$2:J1652)+SUM($M$2:M1652)-SUM($K$2:K1652)-SUM($L$2:L1652))</f>
        <v/>
      </c>
      <c r="O1652" s="72" t="str">
        <f>IF(A1652="","",SUMIF(RATEIOS!$A$2:$A$3142,$A1652,RATEIOS!$F$2:$F$3142))</f>
        <v/>
      </c>
      <c r="P1652" s="15" t="str">
        <f t="shared" si="52"/>
        <v/>
      </c>
      <c r="Q1652" s="49" t="str">
        <f>IF(AND(J1652=0,K1652=0,L1652=0,M1652=0),"",IF(O1652=0,"PENDENTE DE RATEIO",IF(ABS(P1652)&gt;0.005,"DIVERGÊNCIA",IF(COUNTIF(RATEIOS!$A$2:$A$3142,$A1652)-COUNTIFS(RATEIOS!$A$2:$A$3142,$A1652,RATEIOS!$D$2:$D$3142,"&lt;&gt;")&gt;0,"NÃO CLASSIFICADO","RATEIO OK"))))</f>
        <v/>
      </c>
      <c r="R1652" s="49"/>
      <c r="S1652" s="14"/>
    </row>
    <row r="1653" spans="1:19" ht="30" customHeight="1" x14ac:dyDescent="0.25">
      <c r="A1653" s="49" t="str">
        <f>IF(C1653="","","BAN-01652")</f>
        <v/>
      </c>
      <c r="B1653" s="98" t="str">
        <f>IF(C1653="","",1652)</f>
        <v/>
      </c>
      <c r="C1653" s="50"/>
      <c r="D1653" s="49" t="str">
        <f t="shared" si="51"/>
        <v/>
      </c>
      <c r="E1653" s="92"/>
      <c r="F1653" s="49"/>
      <c r="G1653" s="14"/>
      <c r="H1653" s="14"/>
      <c r="I1653" s="76"/>
      <c r="J1653" s="73"/>
      <c r="K1653" s="74"/>
      <c r="L1653" s="72"/>
      <c r="M1653" s="72"/>
      <c r="N1653" s="72" t="str">
        <f>IF(AND(C1653="",J1653=0,K1653=0,L1653=0,M1653=0),"",CADASTROS!$B$4+SUM($J$2:J1653)+SUM($M$2:M1653)-SUM($K$2:K1653)-SUM($L$2:L1653))</f>
        <v/>
      </c>
      <c r="O1653" s="72" t="str">
        <f>IF(A1653="","",SUMIF(RATEIOS!$A$2:$A$3142,$A1653,RATEIOS!$F$2:$F$3142))</f>
        <v/>
      </c>
      <c r="P1653" s="15" t="str">
        <f t="shared" si="52"/>
        <v/>
      </c>
      <c r="Q1653" s="49" t="str">
        <f>IF(AND(J1653=0,K1653=0,L1653=0,M1653=0),"",IF(O1653=0,"PENDENTE DE RATEIO",IF(ABS(P1653)&gt;0.005,"DIVERGÊNCIA",IF(COUNTIF(RATEIOS!$A$2:$A$3142,$A1653)-COUNTIFS(RATEIOS!$A$2:$A$3142,$A1653,RATEIOS!$D$2:$D$3142,"&lt;&gt;")&gt;0,"NÃO CLASSIFICADO","RATEIO OK"))))</f>
        <v/>
      </c>
      <c r="R1653" s="49"/>
      <c r="S1653" s="14"/>
    </row>
    <row r="1654" spans="1:19" ht="30" customHeight="1" x14ac:dyDescent="0.25">
      <c r="A1654" s="49" t="str">
        <f>IF(C1654="","","BAN-01653")</f>
        <v/>
      </c>
      <c r="B1654" s="98" t="str">
        <f>IF(C1654="","",1653)</f>
        <v/>
      </c>
      <c r="C1654" s="50"/>
      <c r="D1654" s="49" t="str">
        <f t="shared" si="51"/>
        <v/>
      </c>
      <c r="E1654" s="92"/>
      <c r="F1654" s="49"/>
      <c r="G1654" s="14"/>
      <c r="H1654" s="14"/>
      <c r="I1654" s="76"/>
      <c r="J1654" s="73"/>
      <c r="K1654" s="74"/>
      <c r="L1654" s="72"/>
      <c r="M1654" s="72"/>
      <c r="N1654" s="72" t="str">
        <f>IF(AND(C1654="",J1654=0,K1654=0,L1654=0,M1654=0),"",CADASTROS!$B$4+SUM($J$2:J1654)+SUM($M$2:M1654)-SUM($K$2:K1654)-SUM($L$2:L1654))</f>
        <v/>
      </c>
      <c r="O1654" s="72" t="str">
        <f>IF(A1654="","",SUMIF(RATEIOS!$A$2:$A$3142,$A1654,RATEIOS!$F$2:$F$3142))</f>
        <v/>
      </c>
      <c r="P1654" s="15" t="str">
        <f t="shared" si="52"/>
        <v/>
      </c>
      <c r="Q1654" s="49" t="str">
        <f>IF(AND(J1654=0,K1654=0,L1654=0,M1654=0),"",IF(O1654=0,"PENDENTE DE RATEIO",IF(ABS(P1654)&gt;0.005,"DIVERGÊNCIA",IF(COUNTIF(RATEIOS!$A$2:$A$3142,$A1654)-COUNTIFS(RATEIOS!$A$2:$A$3142,$A1654,RATEIOS!$D$2:$D$3142,"&lt;&gt;")&gt;0,"NÃO CLASSIFICADO","RATEIO OK"))))</f>
        <v/>
      </c>
      <c r="R1654" s="49"/>
      <c r="S1654" s="14"/>
    </row>
    <row r="1655" spans="1:19" ht="30" customHeight="1" x14ac:dyDescent="0.25">
      <c r="A1655" s="49" t="str">
        <f>IF(C1655="","","BAN-01654")</f>
        <v/>
      </c>
      <c r="B1655" s="98" t="str">
        <f>IF(C1655="","",1654)</f>
        <v/>
      </c>
      <c r="C1655" s="50"/>
      <c r="D1655" s="49" t="str">
        <f t="shared" si="51"/>
        <v/>
      </c>
      <c r="E1655" s="92"/>
      <c r="F1655" s="49"/>
      <c r="G1655" s="14"/>
      <c r="H1655" s="14"/>
      <c r="I1655" s="76"/>
      <c r="J1655" s="73"/>
      <c r="K1655" s="74"/>
      <c r="L1655" s="72"/>
      <c r="M1655" s="72"/>
      <c r="N1655" s="72" t="str">
        <f>IF(AND(C1655="",J1655=0,K1655=0,L1655=0,M1655=0),"",CADASTROS!$B$4+SUM($J$2:J1655)+SUM($M$2:M1655)-SUM($K$2:K1655)-SUM($L$2:L1655))</f>
        <v/>
      </c>
      <c r="O1655" s="72" t="str">
        <f>IF(A1655="","",SUMIF(RATEIOS!$A$2:$A$3142,$A1655,RATEIOS!$F$2:$F$3142))</f>
        <v/>
      </c>
      <c r="P1655" s="15" t="str">
        <f t="shared" si="52"/>
        <v/>
      </c>
      <c r="Q1655" s="49" t="str">
        <f>IF(AND(J1655=0,K1655=0,L1655=0,M1655=0),"",IF(O1655=0,"PENDENTE DE RATEIO",IF(ABS(P1655)&gt;0.005,"DIVERGÊNCIA",IF(COUNTIF(RATEIOS!$A$2:$A$3142,$A1655)-COUNTIFS(RATEIOS!$A$2:$A$3142,$A1655,RATEIOS!$D$2:$D$3142,"&lt;&gt;")&gt;0,"NÃO CLASSIFICADO","RATEIO OK"))))</f>
        <v/>
      </c>
      <c r="R1655" s="49"/>
      <c r="S1655" s="14"/>
    </row>
    <row r="1656" spans="1:19" ht="30" customHeight="1" x14ac:dyDescent="0.25">
      <c r="A1656" s="49" t="str">
        <f>IF(C1656="","","BAN-01655")</f>
        <v/>
      </c>
      <c r="B1656" s="98" t="str">
        <f>IF(C1656="","",1655)</f>
        <v/>
      </c>
      <c r="C1656" s="50"/>
      <c r="D1656" s="49" t="str">
        <f t="shared" si="51"/>
        <v/>
      </c>
      <c r="E1656" s="92"/>
      <c r="F1656" s="49"/>
      <c r="G1656" s="14"/>
      <c r="H1656" s="14"/>
      <c r="I1656" s="76"/>
      <c r="J1656" s="73"/>
      <c r="K1656" s="74"/>
      <c r="L1656" s="72"/>
      <c r="M1656" s="72"/>
      <c r="N1656" s="72" t="str">
        <f>IF(AND(C1656="",J1656=0,K1656=0,L1656=0,M1656=0),"",CADASTROS!$B$4+SUM($J$2:J1656)+SUM($M$2:M1656)-SUM($K$2:K1656)-SUM($L$2:L1656))</f>
        <v/>
      </c>
      <c r="O1656" s="72" t="str">
        <f>IF(A1656="","",SUMIF(RATEIOS!$A$2:$A$3142,$A1656,RATEIOS!$F$2:$F$3142))</f>
        <v/>
      </c>
      <c r="P1656" s="15" t="str">
        <f t="shared" si="52"/>
        <v/>
      </c>
      <c r="Q1656" s="49" t="str">
        <f>IF(AND(J1656=0,K1656=0,L1656=0,M1656=0),"",IF(O1656=0,"PENDENTE DE RATEIO",IF(ABS(P1656)&gt;0.005,"DIVERGÊNCIA",IF(COUNTIF(RATEIOS!$A$2:$A$3142,$A1656)-COUNTIFS(RATEIOS!$A$2:$A$3142,$A1656,RATEIOS!$D$2:$D$3142,"&lt;&gt;")&gt;0,"NÃO CLASSIFICADO","RATEIO OK"))))</f>
        <v/>
      </c>
      <c r="R1656" s="49"/>
      <c r="S1656" s="14"/>
    </row>
    <row r="1657" spans="1:19" ht="30" customHeight="1" x14ac:dyDescent="0.25">
      <c r="A1657" s="49" t="str">
        <f>IF(C1657="","","BAN-01656")</f>
        <v/>
      </c>
      <c r="B1657" s="98" t="str">
        <f>IF(C1657="","",1656)</f>
        <v/>
      </c>
      <c r="C1657" s="50"/>
      <c r="D1657" s="49" t="str">
        <f t="shared" si="51"/>
        <v/>
      </c>
      <c r="E1657" s="92"/>
      <c r="F1657" s="49"/>
      <c r="G1657" s="14"/>
      <c r="H1657" s="14"/>
      <c r="I1657" s="76"/>
      <c r="J1657" s="73"/>
      <c r="K1657" s="74"/>
      <c r="L1657" s="72"/>
      <c r="M1657" s="72"/>
      <c r="N1657" s="72" t="str">
        <f>IF(AND(C1657="",J1657=0,K1657=0,L1657=0,M1657=0),"",CADASTROS!$B$4+SUM($J$2:J1657)+SUM($M$2:M1657)-SUM($K$2:K1657)-SUM($L$2:L1657))</f>
        <v/>
      </c>
      <c r="O1657" s="72" t="str">
        <f>IF(A1657="","",SUMIF(RATEIOS!$A$2:$A$3142,$A1657,RATEIOS!$F$2:$F$3142))</f>
        <v/>
      </c>
      <c r="P1657" s="15" t="str">
        <f t="shared" si="52"/>
        <v/>
      </c>
      <c r="Q1657" s="49" t="str">
        <f>IF(AND(J1657=0,K1657=0,L1657=0,M1657=0),"",IF(O1657=0,"PENDENTE DE RATEIO",IF(ABS(P1657)&gt;0.005,"DIVERGÊNCIA",IF(COUNTIF(RATEIOS!$A$2:$A$3142,$A1657)-COUNTIFS(RATEIOS!$A$2:$A$3142,$A1657,RATEIOS!$D$2:$D$3142,"&lt;&gt;")&gt;0,"NÃO CLASSIFICADO","RATEIO OK"))))</f>
        <v/>
      </c>
      <c r="R1657" s="49"/>
      <c r="S1657" s="14"/>
    </row>
    <row r="1658" spans="1:19" ht="30" customHeight="1" x14ac:dyDescent="0.25">
      <c r="A1658" s="49" t="str">
        <f>IF(C1658="","","BAN-01657")</f>
        <v/>
      </c>
      <c r="B1658" s="98" t="str">
        <f>IF(C1658="","",1657)</f>
        <v/>
      </c>
      <c r="C1658" s="50"/>
      <c r="D1658" s="49" t="str">
        <f t="shared" si="51"/>
        <v/>
      </c>
      <c r="E1658" s="92"/>
      <c r="F1658" s="49"/>
      <c r="G1658" s="14"/>
      <c r="H1658" s="14"/>
      <c r="I1658" s="76"/>
      <c r="J1658" s="73"/>
      <c r="K1658" s="74"/>
      <c r="L1658" s="72"/>
      <c r="M1658" s="72"/>
      <c r="N1658" s="72" t="str">
        <f>IF(AND(C1658="",J1658=0,K1658=0,L1658=0,M1658=0),"",CADASTROS!$B$4+SUM($J$2:J1658)+SUM($M$2:M1658)-SUM($K$2:K1658)-SUM($L$2:L1658))</f>
        <v/>
      </c>
      <c r="O1658" s="72" t="str">
        <f>IF(A1658="","",SUMIF(RATEIOS!$A$2:$A$3142,$A1658,RATEIOS!$F$2:$F$3142))</f>
        <v/>
      </c>
      <c r="P1658" s="15" t="str">
        <f t="shared" si="52"/>
        <v/>
      </c>
      <c r="Q1658" s="49" t="str">
        <f>IF(AND(J1658=0,K1658=0,L1658=0,M1658=0),"",IF(O1658=0,"PENDENTE DE RATEIO",IF(ABS(P1658)&gt;0.005,"DIVERGÊNCIA",IF(COUNTIF(RATEIOS!$A$2:$A$3142,$A1658)-COUNTIFS(RATEIOS!$A$2:$A$3142,$A1658,RATEIOS!$D$2:$D$3142,"&lt;&gt;")&gt;0,"NÃO CLASSIFICADO","RATEIO OK"))))</f>
        <v/>
      </c>
      <c r="R1658" s="49"/>
      <c r="S1658" s="14"/>
    </row>
    <row r="1659" spans="1:19" ht="30" customHeight="1" x14ac:dyDescent="0.25">
      <c r="A1659" s="49" t="str">
        <f>IF(C1659="","","BAN-01658")</f>
        <v/>
      </c>
      <c r="B1659" s="98" t="str">
        <f>IF(C1659="","",1658)</f>
        <v/>
      </c>
      <c r="C1659" s="50"/>
      <c r="D1659" s="49" t="str">
        <f t="shared" si="51"/>
        <v/>
      </c>
      <c r="E1659" s="92"/>
      <c r="F1659" s="49"/>
      <c r="G1659" s="14"/>
      <c r="H1659" s="14"/>
      <c r="I1659" s="76"/>
      <c r="J1659" s="73"/>
      <c r="K1659" s="74"/>
      <c r="L1659" s="72"/>
      <c r="M1659" s="72"/>
      <c r="N1659" s="72" t="str">
        <f>IF(AND(C1659="",J1659=0,K1659=0,L1659=0,M1659=0),"",CADASTROS!$B$4+SUM($J$2:J1659)+SUM($M$2:M1659)-SUM($K$2:K1659)-SUM($L$2:L1659))</f>
        <v/>
      </c>
      <c r="O1659" s="72" t="str">
        <f>IF(A1659="","",SUMIF(RATEIOS!$A$2:$A$3142,$A1659,RATEIOS!$F$2:$F$3142))</f>
        <v/>
      </c>
      <c r="P1659" s="15" t="str">
        <f t="shared" si="52"/>
        <v/>
      </c>
      <c r="Q1659" s="49" t="str">
        <f>IF(AND(J1659=0,K1659=0,L1659=0,M1659=0),"",IF(O1659=0,"PENDENTE DE RATEIO",IF(ABS(P1659)&gt;0.005,"DIVERGÊNCIA",IF(COUNTIF(RATEIOS!$A$2:$A$3142,$A1659)-COUNTIFS(RATEIOS!$A$2:$A$3142,$A1659,RATEIOS!$D$2:$D$3142,"&lt;&gt;")&gt;0,"NÃO CLASSIFICADO","RATEIO OK"))))</f>
        <v/>
      </c>
      <c r="R1659" s="49"/>
      <c r="S1659" s="14"/>
    </row>
    <row r="1660" spans="1:19" ht="30" customHeight="1" x14ac:dyDescent="0.25">
      <c r="A1660" s="49" t="str">
        <f>IF(C1660="","","BAN-01659")</f>
        <v/>
      </c>
      <c r="B1660" s="98" t="str">
        <f>IF(C1660="","",1659)</f>
        <v/>
      </c>
      <c r="C1660" s="50"/>
      <c r="D1660" s="49" t="str">
        <f t="shared" si="51"/>
        <v/>
      </c>
      <c r="E1660" s="92"/>
      <c r="F1660" s="49"/>
      <c r="G1660" s="14"/>
      <c r="H1660" s="14"/>
      <c r="I1660" s="76"/>
      <c r="J1660" s="73"/>
      <c r="K1660" s="74"/>
      <c r="L1660" s="72"/>
      <c r="M1660" s="72"/>
      <c r="N1660" s="72" t="str">
        <f>IF(AND(C1660="",J1660=0,K1660=0,L1660=0,M1660=0),"",CADASTROS!$B$4+SUM($J$2:J1660)+SUM($M$2:M1660)-SUM($K$2:K1660)-SUM($L$2:L1660))</f>
        <v/>
      </c>
      <c r="O1660" s="72" t="str">
        <f>IF(A1660="","",SUMIF(RATEIOS!$A$2:$A$3142,$A1660,RATEIOS!$F$2:$F$3142))</f>
        <v/>
      </c>
      <c r="P1660" s="15" t="str">
        <f t="shared" si="52"/>
        <v/>
      </c>
      <c r="Q1660" s="49" t="str">
        <f>IF(AND(J1660=0,K1660=0,L1660=0,M1660=0),"",IF(O1660=0,"PENDENTE DE RATEIO",IF(ABS(P1660)&gt;0.005,"DIVERGÊNCIA",IF(COUNTIF(RATEIOS!$A$2:$A$3142,$A1660)-COUNTIFS(RATEIOS!$A$2:$A$3142,$A1660,RATEIOS!$D$2:$D$3142,"&lt;&gt;")&gt;0,"NÃO CLASSIFICADO","RATEIO OK"))))</f>
        <v/>
      </c>
      <c r="R1660" s="49"/>
      <c r="S1660" s="14"/>
    </row>
    <row r="1661" spans="1:19" ht="30" customHeight="1" x14ac:dyDescent="0.25">
      <c r="A1661" s="49" t="str">
        <f>IF(C1661="","","BAN-01660")</f>
        <v/>
      </c>
      <c r="B1661" s="98" t="str">
        <f>IF(C1661="","",1660)</f>
        <v/>
      </c>
      <c r="C1661" s="50"/>
      <c r="D1661" s="49" t="str">
        <f t="shared" si="51"/>
        <v/>
      </c>
      <c r="E1661" s="92"/>
      <c r="F1661" s="49"/>
      <c r="G1661" s="14"/>
      <c r="H1661" s="14"/>
      <c r="I1661" s="76"/>
      <c r="J1661" s="73"/>
      <c r="K1661" s="74"/>
      <c r="L1661" s="72"/>
      <c r="M1661" s="72"/>
      <c r="N1661" s="72" t="str">
        <f>IF(AND(C1661="",J1661=0,K1661=0,L1661=0,M1661=0),"",CADASTROS!$B$4+SUM($J$2:J1661)+SUM($M$2:M1661)-SUM($K$2:K1661)-SUM($L$2:L1661))</f>
        <v/>
      </c>
      <c r="O1661" s="72" t="str">
        <f>IF(A1661="","",SUMIF(RATEIOS!$A$2:$A$3142,$A1661,RATEIOS!$F$2:$F$3142))</f>
        <v/>
      </c>
      <c r="P1661" s="15" t="str">
        <f t="shared" si="52"/>
        <v/>
      </c>
      <c r="Q1661" s="49" t="str">
        <f>IF(AND(J1661=0,K1661=0,L1661=0,M1661=0),"",IF(O1661=0,"PENDENTE DE RATEIO",IF(ABS(P1661)&gt;0.005,"DIVERGÊNCIA",IF(COUNTIF(RATEIOS!$A$2:$A$3142,$A1661)-COUNTIFS(RATEIOS!$A$2:$A$3142,$A1661,RATEIOS!$D$2:$D$3142,"&lt;&gt;")&gt;0,"NÃO CLASSIFICADO","RATEIO OK"))))</f>
        <v/>
      </c>
      <c r="R1661" s="49"/>
      <c r="S1661" s="14"/>
    </row>
    <row r="1662" spans="1:19" ht="30" customHeight="1" x14ac:dyDescent="0.25">
      <c r="A1662" s="49" t="str">
        <f>IF(C1662="","","BAN-01661")</f>
        <v/>
      </c>
      <c r="B1662" s="98" t="str">
        <f>IF(C1662="","",1661)</f>
        <v/>
      </c>
      <c r="C1662" s="50"/>
      <c r="D1662" s="49" t="str">
        <f t="shared" si="51"/>
        <v/>
      </c>
      <c r="E1662" s="92"/>
      <c r="F1662" s="49"/>
      <c r="G1662" s="14"/>
      <c r="H1662" s="14"/>
      <c r="I1662" s="76"/>
      <c r="J1662" s="73"/>
      <c r="K1662" s="74"/>
      <c r="L1662" s="72"/>
      <c r="M1662" s="72"/>
      <c r="N1662" s="72" t="str">
        <f>IF(AND(C1662="",J1662=0,K1662=0,L1662=0,M1662=0),"",CADASTROS!$B$4+SUM($J$2:J1662)+SUM($M$2:M1662)-SUM($K$2:K1662)-SUM($L$2:L1662))</f>
        <v/>
      </c>
      <c r="O1662" s="72" t="str">
        <f>IF(A1662="","",SUMIF(RATEIOS!$A$2:$A$3142,$A1662,RATEIOS!$F$2:$F$3142))</f>
        <v/>
      </c>
      <c r="P1662" s="15" t="str">
        <f t="shared" si="52"/>
        <v/>
      </c>
      <c r="Q1662" s="49" t="str">
        <f>IF(AND(J1662=0,K1662=0,L1662=0,M1662=0),"",IF(O1662=0,"PENDENTE DE RATEIO",IF(ABS(P1662)&gt;0.005,"DIVERGÊNCIA",IF(COUNTIF(RATEIOS!$A$2:$A$3142,$A1662)-COUNTIFS(RATEIOS!$A$2:$A$3142,$A1662,RATEIOS!$D$2:$D$3142,"&lt;&gt;")&gt;0,"NÃO CLASSIFICADO","RATEIO OK"))))</f>
        <v/>
      </c>
      <c r="R1662" s="49"/>
      <c r="S1662" s="14"/>
    </row>
    <row r="1663" spans="1:19" ht="30" customHeight="1" x14ac:dyDescent="0.25">
      <c r="A1663" s="49" t="str">
        <f>IF(C1663="","","BAN-01662")</f>
        <v/>
      </c>
      <c r="B1663" s="98" t="str">
        <f>IF(C1663="","",1662)</f>
        <v/>
      </c>
      <c r="C1663" s="50"/>
      <c r="D1663" s="49" t="str">
        <f t="shared" si="51"/>
        <v/>
      </c>
      <c r="E1663" s="92"/>
      <c r="F1663" s="49"/>
      <c r="G1663" s="14"/>
      <c r="H1663" s="14"/>
      <c r="I1663" s="76"/>
      <c r="J1663" s="73"/>
      <c r="K1663" s="74"/>
      <c r="L1663" s="72"/>
      <c r="M1663" s="72"/>
      <c r="N1663" s="72" t="str">
        <f>IF(AND(C1663="",J1663=0,K1663=0,L1663=0,M1663=0),"",CADASTROS!$B$4+SUM($J$2:J1663)+SUM($M$2:M1663)-SUM($K$2:K1663)-SUM($L$2:L1663))</f>
        <v/>
      </c>
      <c r="O1663" s="72" t="str">
        <f>IF(A1663="","",SUMIF(RATEIOS!$A$2:$A$3142,$A1663,RATEIOS!$F$2:$F$3142))</f>
        <v/>
      </c>
      <c r="P1663" s="15" t="str">
        <f t="shared" si="52"/>
        <v/>
      </c>
      <c r="Q1663" s="49" t="str">
        <f>IF(AND(J1663=0,K1663=0,L1663=0,M1663=0),"",IF(O1663=0,"PENDENTE DE RATEIO",IF(ABS(P1663)&gt;0.005,"DIVERGÊNCIA",IF(COUNTIF(RATEIOS!$A$2:$A$3142,$A1663)-COUNTIFS(RATEIOS!$A$2:$A$3142,$A1663,RATEIOS!$D$2:$D$3142,"&lt;&gt;")&gt;0,"NÃO CLASSIFICADO","RATEIO OK"))))</f>
        <v/>
      </c>
      <c r="R1663" s="49"/>
      <c r="S1663" s="14"/>
    </row>
    <row r="1664" spans="1:19" ht="30" customHeight="1" x14ac:dyDescent="0.25">
      <c r="A1664" s="49" t="str">
        <f>IF(C1664="","","BAN-01663")</f>
        <v/>
      </c>
      <c r="B1664" s="98" t="str">
        <f>IF(C1664="","",1663)</f>
        <v/>
      </c>
      <c r="C1664" s="50"/>
      <c r="D1664" s="49" t="str">
        <f t="shared" si="51"/>
        <v/>
      </c>
      <c r="E1664" s="92"/>
      <c r="F1664" s="49"/>
      <c r="G1664" s="14"/>
      <c r="H1664" s="14"/>
      <c r="I1664" s="76"/>
      <c r="J1664" s="73"/>
      <c r="K1664" s="74"/>
      <c r="L1664" s="72"/>
      <c r="M1664" s="72"/>
      <c r="N1664" s="72" t="str">
        <f>IF(AND(C1664="",J1664=0,K1664=0,L1664=0,M1664=0),"",CADASTROS!$B$4+SUM($J$2:J1664)+SUM($M$2:M1664)-SUM($K$2:K1664)-SUM($L$2:L1664))</f>
        <v/>
      </c>
      <c r="O1664" s="72" t="str">
        <f>IF(A1664="","",SUMIF(RATEIOS!$A$2:$A$3142,$A1664,RATEIOS!$F$2:$F$3142))</f>
        <v/>
      </c>
      <c r="P1664" s="15" t="str">
        <f t="shared" si="52"/>
        <v/>
      </c>
      <c r="Q1664" s="49" t="str">
        <f>IF(AND(J1664=0,K1664=0,L1664=0,M1664=0),"",IF(O1664=0,"PENDENTE DE RATEIO",IF(ABS(P1664)&gt;0.005,"DIVERGÊNCIA",IF(COUNTIF(RATEIOS!$A$2:$A$3142,$A1664)-COUNTIFS(RATEIOS!$A$2:$A$3142,$A1664,RATEIOS!$D$2:$D$3142,"&lt;&gt;")&gt;0,"NÃO CLASSIFICADO","RATEIO OK"))))</f>
        <v/>
      </c>
      <c r="R1664" s="49"/>
      <c r="S1664" s="14"/>
    </row>
    <row r="1665" spans="1:19" ht="30" customHeight="1" x14ac:dyDescent="0.25">
      <c r="A1665" s="49" t="str">
        <f>IF(C1665="","","BAN-01664")</f>
        <v/>
      </c>
      <c r="B1665" s="98" t="str">
        <f>IF(C1665="","",1664)</f>
        <v/>
      </c>
      <c r="C1665" s="50"/>
      <c r="D1665" s="49" t="str">
        <f t="shared" si="51"/>
        <v/>
      </c>
      <c r="E1665" s="92"/>
      <c r="F1665" s="49"/>
      <c r="G1665" s="14"/>
      <c r="H1665" s="14"/>
      <c r="I1665" s="76"/>
      <c r="J1665" s="73"/>
      <c r="K1665" s="74"/>
      <c r="L1665" s="72"/>
      <c r="M1665" s="72"/>
      <c r="N1665" s="72" t="str">
        <f>IF(AND(C1665="",J1665=0,K1665=0,L1665=0,M1665=0),"",CADASTROS!$B$4+SUM($J$2:J1665)+SUM($M$2:M1665)-SUM($K$2:K1665)-SUM($L$2:L1665))</f>
        <v/>
      </c>
      <c r="O1665" s="72" t="str">
        <f>IF(A1665="","",SUMIF(RATEIOS!$A$2:$A$3142,$A1665,RATEIOS!$F$2:$F$3142))</f>
        <v/>
      </c>
      <c r="P1665" s="15" t="str">
        <f t="shared" si="52"/>
        <v/>
      </c>
      <c r="Q1665" s="49" t="str">
        <f>IF(AND(J1665=0,K1665=0,L1665=0,M1665=0),"",IF(O1665=0,"PENDENTE DE RATEIO",IF(ABS(P1665)&gt;0.005,"DIVERGÊNCIA",IF(COUNTIF(RATEIOS!$A$2:$A$3142,$A1665)-COUNTIFS(RATEIOS!$A$2:$A$3142,$A1665,RATEIOS!$D$2:$D$3142,"&lt;&gt;")&gt;0,"NÃO CLASSIFICADO","RATEIO OK"))))</f>
        <v/>
      </c>
      <c r="R1665" s="49"/>
      <c r="S1665" s="14"/>
    </row>
    <row r="1666" spans="1:19" ht="30" customHeight="1" x14ac:dyDescent="0.25">
      <c r="A1666" s="49" t="str">
        <f>IF(C1666="","","BAN-01665")</f>
        <v/>
      </c>
      <c r="B1666" s="98" t="str">
        <f>IF(C1666="","",1665)</f>
        <v/>
      </c>
      <c r="C1666" s="50"/>
      <c r="D1666" s="49" t="str">
        <f t="shared" ref="D1666:D1729" si="53">IF(C1666="","",MONTH(C1666))</f>
        <v/>
      </c>
      <c r="E1666" s="92"/>
      <c r="F1666" s="49"/>
      <c r="G1666" s="14"/>
      <c r="H1666" s="14"/>
      <c r="I1666" s="76"/>
      <c r="J1666" s="73"/>
      <c r="K1666" s="74"/>
      <c r="L1666" s="72"/>
      <c r="M1666" s="72"/>
      <c r="N1666" s="72" t="str">
        <f>IF(AND(C1666="",J1666=0,K1666=0,L1666=0,M1666=0),"",CADASTROS!$B$4+SUM($J$2:J1666)+SUM($M$2:M1666)-SUM($K$2:K1666)-SUM($L$2:L1666))</f>
        <v/>
      </c>
      <c r="O1666" s="72" t="str">
        <f>IF(A1666="","",SUMIF(RATEIOS!$A$2:$A$3142,$A1666,RATEIOS!$F$2:$F$3142))</f>
        <v/>
      </c>
      <c r="P1666" s="15" t="str">
        <f t="shared" ref="P1666:P1729" si="54">IF(A1666="","",(J1666+K1666+L1666+M1666)-O1666)</f>
        <v/>
      </c>
      <c r="Q1666" s="49" t="str">
        <f>IF(AND(J1666=0,K1666=0,L1666=0,M1666=0),"",IF(O1666=0,"PENDENTE DE RATEIO",IF(ABS(P1666)&gt;0.005,"DIVERGÊNCIA",IF(COUNTIF(RATEIOS!$A$2:$A$3142,$A1666)-COUNTIFS(RATEIOS!$A$2:$A$3142,$A1666,RATEIOS!$D$2:$D$3142,"&lt;&gt;")&gt;0,"NÃO CLASSIFICADO","RATEIO OK"))))</f>
        <v/>
      </c>
      <c r="R1666" s="49"/>
      <c r="S1666" s="14"/>
    </row>
    <row r="1667" spans="1:19" ht="30" customHeight="1" x14ac:dyDescent="0.25">
      <c r="A1667" s="49" t="str">
        <f>IF(C1667="","","BAN-01666")</f>
        <v/>
      </c>
      <c r="B1667" s="98" t="str">
        <f>IF(C1667="","",1666)</f>
        <v/>
      </c>
      <c r="C1667" s="50"/>
      <c r="D1667" s="49" t="str">
        <f t="shared" si="53"/>
        <v/>
      </c>
      <c r="E1667" s="92"/>
      <c r="F1667" s="49"/>
      <c r="G1667" s="14"/>
      <c r="H1667" s="14"/>
      <c r="I1667" s="76"/>
      <c r="J1667" s="73"/>
      <c r="K1667" s="74"/>
      <c r="L1667" s="72"/>
      <c r="M1667" s="72"/>
      <c r="N1667" s="72" t="str">
        <f>IF(AND(C1667="",J1667=0,K1667=0,L1667=0,M1667=0),"",CADASTROS!$B$4+SUM($J$2:J1667)+SUM($M$2:M1667)-SUM($K$2:K1667)-SUM($L$2:L1667))</f>
        <v/>
      </c>
      <c r="O1667" s="72" t="str">
        <f>IF(A1667="","",SUMIF(RATEIOS!$A$2:$A$3142,$A1667,RATEIOS!$F$2:$F$3142))</f>
        <v/>
      </c>
      <c r="P1667" s="15" t="str">
        <f t="shared" si="54"/>
        <v/>
      </c>
      <c r="Q1667" s="49" t="str">
        <f>IF(AND(J1667=0,K1667=0,L1667=0,M1667=0),"",IF(O1667=0,"PENDENTE DE RATEIO",IF(ABS(P1667)&gt;0.005,"DIVERGÊNCIA",IF(COUNTIF(RATEIOS!$A$2:$A$3142,$A1667)-COUNTIFS(RATEIOS!$A$2:$A$3142,$A1667,RATEIOS!$D$2:$D$3142,"&lt;&gt;")&gt;0,"NÃO CLASSIFICADO","RATEIO OK"))))</f>
        <v/>
      </c>
      <c r="R1667" s="49"/>
      <c r="S1667" s="14"/>
    </row>
    <row r="1668" spans="1:19" ht="30" customHeight="1" x14ac:dyDescent="0.25">
      <c r="A1668" s="49" t="str">
        <f>IF(C1668="","","BAN-01667")</f>
        <v/>
      </c>
      <c r="B1668" s="98" t="str">
        <f>IF(C1668="","",1667)</f>
        <v/>
      </c>
      <c r="C1668" s="50"/>
      <c r="D1668" s="49" t="str">
        <f t="shared" si="53"/>
        <v/>
      </c>
      <c r="E1668" s="92"/>
      <c r="F1668" s="49"/>
      <c r="G1668" s="14"/>
      <c r="H1668" s="14"/>
      <c r="I1668" s="76"/>
      <c r="J1668" s="73"/>
      <c r="K1668" s="74"/>
      <c r="L1668" s="72"/>
      <c r="M1668" s="72"/>
      <c r="N1668" s="72" t="str">
        <f>IF(AND(C1668="",J1668=0,K1668=0,L1668=0,M1668=0),"",CADASTROS!$B$4+SUM($J$2:J1668)+SUM($M$2:M1668)-SUM($K$2:K1668)-SUM($L$2:L1668))</f>
        <v/>
      </c>
      <c r="O1668" s="72" t="str">
        <f>IF(A1668="","",SUMIF(RATEIOS!$A$2:$A$3142,$A1668,RATEIOS!$F$2:$F$3142))</f>
        <v/>
      </c>
      <c r="P1668" s="15" t="str">
        <f t="shared" si="54"/>
        <v/>
      </c>
      <c r="Q1668" s="49" t="str">
        <f>IF(AND(J1668=0,K1668=0,L1668=0,M1668=0),"",IF(O1668=0,"PENDENTE DE RATEIO",IF(ABS(P1668)&gt;0.005,"DIVERGÊNCIA",IF(COUNTIF(RATEIOS!$A$2:$A$3142,$A1668)-COUNTIFS(RATEIOS!$A$2:$A$3142,$A1668,RATEIOS!$D$2:$D$3142,"&lt;&gt;")&gt;0,"NÃO CLASSIFICADO","RATEIO OK"))))</f>
        <v/>
      </c>
      <c r="R1668" s="49"/>
      <c r="S1668" s="14"/>
    </row>
    <row r="1669" spans="1:19" ht="30" customHeight="1" x14ac:dyDescent="0.25">
      <c r="A1669" s="49" t="str">
        <f>IF(C1669="","","BAN-01668")</f>
        <v/>
      </c>
      <c r="B1669" s="98" t="str">
        <f>IF(C1669="","",1668)</f>
        <v/>
      </c>
      <c r="C1669" s="50"/>
      <c r="D1669" s="49" t="str">
        <f t="shared" si="53"/>
        <v/>
      </c>
      <c r="E1669" s="92"/>
      <c r="F1669" s="49"/>
      <c r="G1669" s="14"/>
      <c r="H1669" s="14"/>
      <c r="I1669" s="76"/>
      <c r="J1669" s="73"/>
      <c r="K1669" s="74"/>
      <c r="L1669" s="72"/>
      <c r="M1669" s="72"/>
      <c r="N1669" s="72" t="str">
        <f>IF(AND(C1669="",J1669=0,K1669=0,L1669=0,M1669=0),"",CADASTROS!$B$4+SUM($J$2:J1669)+SUM($M$2:M1669)-SUM($K$2:K1669)-SUM($L$2:L1669))</f>
        <v/>
      </c>
      <c r="O1669" s="72" t="str">
        <f>IF(A1669="","",SUMIF(RATEIOS!$A$2:$A$3142,$A1669,RATEIOS!$F$2:$F$3142))</f>
        <v/>
      </c>
      <c r="P1669" s="15" t="str">
        <f t="shared" si="54"/>
        <v/>
      </c>
      <c r="Q1669" s="49" t="str">
        <f>IF(AND(J1669=0,K1669=0,L1669=0,M1669=0),"",IF(O1669=0,"PENDENTE DE RATEIO",IF(ABS(P1669)&gt;0.005,"DIVERGÊNCIA",IF(COUNTIF(RATEIOS!$A$2:$A$3142,$A1669)-COUNTIFS(RATEIOS!$A$2:$A$3142,$A1669,RATEIOS!$D$2:$D$3142,"&lt;&gt;")&gt;0,"NÃO CLASSIFICADO","RATEIO OK"))))</f>
        <v/>
      </c>
      <c r="R1669" s="49"/>
      <c r="S1669" s="14"/>
    </row>
    <row r="1670" spans="1:19" ht="30" customHeight="1" x14ac:dyDescent="0.25">
      <c r="A1670" s="49" t="str">
        <f>IF(C1670="","","BAN-01669")</f>
        <v/>
      </c>
      <c r="B1670" s="98" t="str">
        <f>IF(C1670="","",1669)</f>
        <v/>
      </c>
      <c r="C1670" s="50"/>
      <c r="D1670" s="49" t="str">
        <f t="shared" si="53"/>
        <v/>
      </c>
      <c r="E1670" s="92"/>
      <c r="F1670" s="49"/>
      <c r="G1670" s="14"/>
      <c r="H1670" s="14"/>
      <c r="I1670" s="76"/>
      <c r="J1670" s="73"/>
      <c r="K1670" s="74"/>
      <c r="L1670" s="72"/>
      <c r="M1670" s="72"/>
      <c r="N1670" s="72" t="str">
        <f>IF(AND(C1670="",J1670=0,K1670=0,L1670=0,M1670=0),"",CADASTROS!$B$4+SUM($J$2:J1670)+SUM($M$2:M1670)-SUM($K$2:K1670)-SUM($L$2:L1670))</f>
        <v/>
      </c>
      <c r="O1670" s="72" t="str">
        <f>IF(A1670="","",SUMIF(RATEIOS!$A$2:$A$3142,$A1670,RATEIOS!$F$2:$F$3142))</f>
        <v/>
      </c>
      <c r="P1670" s="15" t="str">
        <f t="shared" si="54"/>
        <v/>
      </c>
      <c r="Q1670" s="49" t="str">
        <f>IF(AND(J1670=0,K1670=0,L1670=0,M1670=0),"",IF(O1670=0,"PENDENTE DE RATEIO",IF(ABS(P1670)&gt;0.005,"DIVERGÊNCIA",IF(COUNTIF(RATEIOS!$A$2:$A$3142,$A1670)-COUNTIFS(RATEIOS!$A$2:$A$3142,$A1670,RATEIOS!$D$2:$D$3142,"&lt;&gt;")&gt;0,"NÃO CLASSIFICADO","RATEIO OK"))))</f>
        <v/>
      </c>
      <c r="R1670" s="49"/>
      <c r="S1670" s="14"/>
    </row>
    <row r="1671" spans="1:19" ht="30" customHeight="1" x14ac:dyDescent="0.25">
      <c r="A1671" s="49" t="str">
        <f>IF(C1671="","","BAN-01670")</f>
        <v/>
      </c>
      <c r="B1671" s="98" t="str">
        <f>IF(C1671="","",1670)</f>
        <v/>
      </c>
      <c r="C1671" s="50"/>
      <c r="D1671" s="49" t="str">
        <f t="shared" si="53"/>
        <v/>
      </c>
      <c r="E1671" s="92"/>
      <c r="F1671" s="49"/>
      <c r="G1671" s="14"/>
      <c r="H1671" s="14"/>
      <c r="I1671" s="76"/>
      <c r="J1671" s="73"/>
      <c r="K1671" s="74"/>
      <c r="L1671" s="72"/>
      <c r="M1671" s="72"/>
      <c r="N1671" s="72" t="str">
        <f>IF(AND(C1671="",J1671=0,K1671=0,L1671=0,M1671=0),"",CADASTROS!$B$4+SUM($J$2:J1671)+SUM($M$2:M1671)-SUM($K$2:K1671)-SUM($L$2:L1671))</f>
        <v/>
      </c>
      <c r="O1671" s="72" t="str">
        <f>IF(A1671="","",SUMIF(RATEIOS!$A$2:$A$3142,$A1671,RATEIOS!$F$2:$F$3142))</f>
        <v/>
      </c>
      <c r="P1671" s="15" t="str">
        <f t="shared" si="54"/>
        <v/>
      </c>
      <c r="Q1671" s="49" t="str">
        <f>IF(AND(J1671=0,K1671=0,L1671=0,M1671=0),"",IF(O1671=0,"PENDENTE DE RATEIO",IF(ABS(P1671)&gt;0.005,"DIVERGÊNCIA",IF(COUNTIF(RATEIOS!$A$2:$A$3142,$A1671)-COUNTIFS(RATEIOS!$A$2:$A$3142,$A1671,RATEIOS!$D$2:$D$3142,"&lt;&gt;")&gt;0,"NÃO CLASSIFICADO","RATEIO OK"))))</f>
        <v/>
      </c>
      <c r="R1671" s="49"/>
      <c r="S1671" s="14"/>
    </row>
    <row r="1672" spans="1:19" ht="30" customHeight="1" x14ac:dyDescent="0.25">
      <c r="A1672" s="49" t="str">
        <f>IF(C1672="","","BAN-01671")</f>
        <v/>
      </c>
      <c r="B1672" s="98" t="str">
        <f>IF(C1672="","",1671)</f>
        <v/>
      </c>
      <c r="C1672" s="50"/>
      <c r="D1672" s="49" t="str">
        <f t="shared" si="53"/>
        <v/>
      </c>
      <c r="E1672" s="92"/>
      <c r="F1672" s="49"/>
      <c r="G1672" s="14"/>
      <c r="H1672" s="14"/>
      <c r="I1672" s="76"/>
      <c r="J1672" s="73"/>
      <c r="K1672" s="74"/>
      <c r="L1672" s="72"/>
      <c r="M1672" s="72"/>
      <c r="N1672" s="72" t="str">
        <f>IF(AND(C1672="",J1672=0,K1672=0,L1672=0,M1672=0),"",CADASTROS!$B$4+SUM($J$2:J1672)+SUM($M$2:M1672)-SUM($K$2:K1672)-SUM($L$2:L1672))</f>
        <v/>
      </c>
      <c r="O1672" s="72" t="str">
        <f>IF(A1672="","",SUMIF(RATEIOS!$A$2:$A$3142,$A1672,RATEIOS!$F$2:$F$3142))</f>
        <v/>
      </c>
      <c r="P1672" s="15" t="str">
        <f t="shared" si="54"/>
        <v/>
      </c>
      <c r="Q1672" s="49" t="str">
        <f>IF(AND(J1672=0,K1672=0,L1672=0,M1672=0),"",IF(O1672=0,"PENDENTE DE RATEIO",IF(ABS(P1672)&gt;0.005,"DIVERGÊNCIA",IF(COUNTIF(RATEIOS!$A$2:$A$3142,$A1672)-COUNTIFS(RATEIOS!$A$2:$A$3142,$A1672,RATEIOS!$D$2:$D$3142,"&lt;&gt;")&gt;0,"NÃO CLASSIFICADO","RATEIO OK"))))</f>
        <v/>
      </c>
      <c r="R1672" s="49"/>
      <c r="S1672" s="14"/>
    </row>
    <row r="1673" spans="1:19" ht="30" customHeight="1" x14ac:dyDescent="0.25">
      <c r="A1673" s="49" t="str">
        <f>IF(C1673="","","BAN-01672")</f>
        <v/>
      </c>
      <c r="B1673" s="98" t="str">
        <f>IF(C1673="","",1672)</f>
        <v/>
      </c>
      <c r="C1673" s="50"/>
      <c r="D1673" s="49" t="str">
        <f t="shared" si="53"/>
        <v/>
      </c>
      <c r="E1673" s="92"/>
      <c r="F1673" s="49"/>
      <c r="G1673" s="14"/>
      <c r="H1673" s="14"/>
      <c r="I1673" s="76"/>
      <c r="J1673" s="73"/>
      <c r="K1673" s="74"/>
      <c r="L1673" s="72"/>
      <c r="M1673" s="72"/>
      <c r="N1673" s="72" t="str">
        <f>IF(AND(C1673="",J1673=0,K1673=0,L1673=0,M1673=0),"",CADASTROS!$B$4+SUM($J$2:J1673)+SUM($M$2:M1673)-SUM($K$2:K1673)-SUM($L$2:L1673))</f>
        <v/>
      </c>
      <c r="O1673" s="72" t="str">
        <f>IF(A1673="","",SUMIF(RATEIOS!$A$2:$A$3142,$A1673,RATEIOS!$F$2:$F$3142))</f>
        <v/>
      </c>
      <c r="P1673" s="15" t="str">
        <f t="shared" si="54"/>
        <v/>
      </c>
      <c r="Q1673" s="49" t="str">
        <f>IF(AND(J1673=0,K1673=0,L1673=0,M1673=0),"",IF(O1673=0,"PENDENTE DE RATEIO",IF(ABS(P1673)&gt;0.005,"DIVERGÊNCIA",IF(COUNTIF(RATEIOS!$A$2:$A$3142,$A1673)-COUNTIFS(RATEIOS!$A$2:$A$3142,$A1673,RATEIOS!$D$2:$D$3142,"&lt;&gt;")&gt;0,"NÃO CLASSIFICADO","RATEIO OK"))))</f>
        <v/>
      </c>
      <c r="R1673" s="49"/>
      <c r="S1673" s="14"/>
    </row>
    <row r="1674" spans="1:19" ht="30" customHeight="1" x14ac:dyDescent="0.25">
      <c r="A1674" s="49" t="str">
        <f>IF(C1674="","","BAN-01673")</f>
        <v/>
      </c>
      <c r="B1674" s="98" t="str">
        <f>IF(C1674="","",1673)</f>
        <v/>
      </c>
      <c r="C1674" s="50"/>
      <c r="D1674" s="49" t="str">
        <f t="shared" si="53"/>
        <v/>
      </c>
      <c r="E1674" s="92"/>
      <c r="F1674" s="49"/>
      <c r="G1674" s="14"/>
      <c r="H1674" s="14"/>
      <c r="I1674" s="76"/>
      <c r="J1674" s="73"/>
      <c r="K1674" s="74"/>
      <c r="L1674" s="72"/>
      <c r="M1674" s="72"/>
      <c r="N1674" s="72" t="str">
        <f>IF(AND(C1674="",J1674=0,K1674=0,L1674=0,M1674=0),"",CADASTROS!$B$4+SUM($J$2:J1674)+SUM($M$2:M1674)-SUM($K$2:K1674)-SUM($L$2:L1674))</f>
        <v/>
      </c>
      <c r="O1674" s="72" t="str">
        <f>IF(A1674="","",SUMIF(RATEIOS!$A$2:$A$3142,$A1674,RATEIOS!$F$2:$F$3142))</f>
        <v/>
      </c>
      <c r="P1674" s="15" t="str">
        <f t="shared" si="54"/>
        <v/>
      </c>
      <c r="Q1674" s="49" t="str">
        <f>IF(AND(J1674=0,K1674=0,L1674=0,M1674=0),"",IF(O1674=0,"PENDENTE DE RATEIO",IF(ABS(P1674)&gt;0.005,"DIVERGÊNCIA",IF(COUNTIF(RATEIOS!$A$2:$A$3142,$A1674)-COUNTIFS(RATEIOS!$A$2:$A$3142,$A1674,RATEIOS!$D$2:$D$3142,"&lt;&gt;")&gt;0,"NÃO CLASSIFICADO","RATEIO OK"))))</f>
        <v/>
      </c>
      <c r="R1674" s="49"/>
      <c r="S1674" s="14"/>
    </row>
    <row r="1675" spans="1:19" ht="30" customHeight="1" x14ac:dyDescent="0.25">
      <c r="A1675" s="49" t="str">
        <f>IF(C1675="","","BAN-01674")</f>
        <v/>
      </c>
      <c r="B1675" s="98" t="str">
        <f>IF(C1675="","",1674)</f>
        <v/>
      </c>
      <c r="C1675" s="50"/>
      <c r="D1675" s="49" t="str">
        <f t="shared" si="53"/>
        <v/>
      </c>
      <c r="E1675" s="92"/>
      <c r="F1675" s="49"/>
      <c r="G1675" s="14"/>
      <c r="H1675" s="14"/>
      <c r="I1675" s="76"/>
      <c r="J1675" s="73"/>
      <c r="K1675" s="74"/>
      <c r="L1675" s="72"/>
      <c r="M1675" s="72"/>
      <c r="N1675" s="72" t="str">
        <f>IF(AND(C1675="",J1675=0,K1675=0,L1675=0,M1675=0),"",CADASTROS!$B$4+SUM($J$2:J1675)+SUM($M$2:M1675)-SUM($K$2:K1675)-SUM($L$2:L1675))</f>
        <v/>
      </c>
      <c r="O1675" s="72" t="str">
        <f>IF(A1675="","",SUMIF(RATEIOS!$A$2:$A$3142,$A1675,RATEIOS!$F$2:$F$3142))</f>
        <v/>
      </c>
      <c r="P1675" s="15" t="str">
        <f t="shared" si="54"/>
        <v/>
      </c>
      <c r="Q1675" s="49" t="str">
        <f>IF(AND(J1675=0,K1675=0,L1675=0,M1675=0),"",IF(O1675=0,"PENDENTE DE RATEIO",IF(ABS(P1675)&gt;0.005,"DIVERGÊNCIA",IF(COUNTIF(RATEIOS!$A$2:$A$3142,$A1675)-COUNTIFS(RATEIOS!$A$2:$A$3142,$A1675,RATEIOS!$D$2:$D$3142,"&lt;&gt;")&gt;0,"NÃO CLASSIFICADO","RATEIO OK"))))</f>
        <v/>
      </c>
      <c r="R1675" s="49"/>
      <c r="S1675" s="14"/>
    </row>
    <row r="1676" spans="1:19" ht="30" customHeight="1" x14ac:dyDescent="0.25">
      <c r="A1676" s="49" t="str">
        <f>IF(C1676="","","BAN-01675")</f>
        <v/>
      </c>
      <c r="B1676" s="98" t="str">
        <f>IF(C1676="","",1675)</f>
        <v/>
      </c>
      <c r="C1676" s="50"/>
      <c r="D1676" s="49" t="str">
        <f t="shared" si="53"/>
        <v/>
      </c>
      <c r="E1676" s="92"/>
      <c r="F1676" s="49"/>
      <c r="G1676" s="14"/>
      <c r="H1676" s="14"/>
      <c r="I1676" s="76"/>
      <c r="J1676" s="73"/>
      <c r="K1676" s="74"/>
      <c r="L1676" s="72"/>
      <c r="M1676" s="72"/>
      <c r="N1676" s="72" t="str">
        <f>IF(AND(C1676="",J1676=0,K1676=0,L1676=0,M1676=0),"",CADASTROS!$B$4+SUM($J$2:J1676)+SUM($M$2:M1676)-SUM($K$2:K1676)-SUM($L$2:L1676))</f>
        <v/>
      </c>
      <c r="O1676" s="72" t="str">
        <f>IF(A1676="","",SUMIF(RATEIOS!$A$2:$A$3142,$A1676,RATEIOS!$F$2:$F$3142))</f>
        <v/>
      </c>
      <c r="P1676" s="15" t="str">
        <f t="shared" si="54"/>
        <v/>
      </c>
      <c r="Q1676" s="49" t="str">
        <f>IF(AND(J1676=0,K1676=0,L1676=0,M1676=0),"",IF(O1676=0,"PENDENTE DE RATEIO",IF(ABS(P1676)&gt;0.005,"DIVERGÊNCIA",IF(COUNTIF(RATEIOS!$A$2:$A$3142,$A1676)-COUNTIFS(RATEIOS!$A$2:$A$3142,$A1676,RATEIOS!$D$2:$D$3142,"&lt;&gt;")&gt;0,"NÃO CLASSIFICADO","RATEIO OK"))))</f>
        <v/>
      </c>
      <c r="R1676" s="49"/>
      <c r="S1676" s="14"/>
    </row>
    <row r="1677" spans="1:19" ht="30" customHeight="1" x14ac:dyDescent="0.25">
      <c r="A1677" s="49" t="str">
        <f>IF(C1677="","","BAN-01676")</f>
        <v/>
      </c>
      <c r="B1677" s="98" t="str">
        <f>IF(C1677="","",1676)</f>
        <v/>
      </c>
      <c r="C1677" s="50"/>
      <c r="D1677" s="49" t="str">
        <f t="shared" si="53"/>
        <v/>
      </c>
      <c r="E1677" s="92"/>
      <c r="F1677" s="49"/>
      <c r="G1677" s="14"/>
      <c r="H1677" s="14"/>
      <c r="I1677" s="76"/>
      <c r="J1677" s="73"/>
      <c r="K1677" s="74"/>
      <c r="L1677" s="72"/>
      <c r="M1677" s="72"/>
      <c r="N1677" s="72" t="str">
        <f>IF(AND(C1677="",J1677=0,K1677=0,L1677=0,M1677=0),"",CADASTROS!$B$4+SUM($J$2:J1677)+SUM($M$2:M1677)-SUM($K$2:K1677)-SUM($L$2:L1677))</f>
        <v/>
      </c>
      <c r="O1677" s="72" t="str">
        <f>IF(A1677="","",SUMIF(RATEIOS!$A$2:$A$3142,$A1677,RATEIOS!$F$2:$F$3142))</f>
        <v/>
      </c>
      <c r="P1677" s="15" t="str">
        <f t="shared" si="54"/>
        <v/>
      </c>
      <c r="Q1677" s="49" t="str">
        <f>IF(AND(J1677=0,K1677=0,L1677=0,M1677=0),"",IF(O1677=0,"PENDENTE DE RATEIO",IF(ABS(P1677)&gt;0.005,"DIVERGÊNCIA",IF(COUNTIF(RATEIOS!$A$2:$A$3142,$A1677)-COUNTIFS(RATEIOS!$A$2:$A$3142,$A1677,RATEIOS!$D$2:$D$3142,"&lt;&gt;")&gt;0,"NÃO CLASSIFICADO","RATEIO OK"))))</f>
        <v/>
      </c>
      <c r="R1677" s="49"/>
      <c r="S1677" s="14"/>
    </row>
    <row r="1678" spans="1:19" ht="30" customHeight="1" x14ac:dyDescent="0.25">
      <c r="A1678" s="49" t="str">
        <f>IF(C1678="","","BAN-01677")</f>
        <v/>
      </c>
      <c r="B1678" s="98" t="str">
        <f>IF(C1678="","",1677)</f>
        <v/>
      </c>
      <c r="C1678" s="50"/>
      <c r="D1678" s="49" t="str">
        <f t="shared" si="53"/>
        <v/>
      </c>
      <c r="E1678" s="92"/>
      <c r="F1678" s="49"/>
      <c r="G1678" s="14"/>
      <c r="H1678" s="14"/>
      <c r="I1678" s="76"/>
      <c r="J1678" s="73"/>
      <c r="K1678" s="74"/>
      <c r="L1678" s="72"/>
      <c r="M1678" s="72"/>
      <c r="N1678" s="72" t="str">
        <f>IF(AND(C1678="",J1678=0,K1678=0,L1678=0,M1678=0),"",CADASTROS!$B$4+SUM($J$2:J1678)+SUM($M$2:M1678)-SUM($K$2:K1678)-SUM($L$2:L1678))</f>
        <v/>
      </c>
      <c r="O1678" s="72" t="str">
        <f>IF(A1678="","",SUMIF(RATEIOS!$A$2:$A$3142,$A1678,RATEIOS!$F$2:$F$3142))</f>
        <v/>
      </c>
      <c r="P1678" s="15" t="str">
        <f t="shared" si="54"/>
        <v/>
      </c>
      <c r="Q1678" s="49" t="str">
        <f>IF(AND(J1678=0,K1678=0,L1678=0,M1678=0),"",IF(O1678=0,"PENDENTE DE RATEIO",IF(ABS(P1678)&gt;0.005,"DIVERGÊNCIA",IF(COUNTIF(RATEIOS!$A$2:$A$3142,$A1678)-COUNTIFS(RATEIOS!$A$2:$A$3142,$A1678,RATEIOS!$D$2:$D$3142,"&lt;&gt;")&gt;0,"NÃO CLASSIFICADO","RATEIO OK"))))</f>
        <v/>
      </c>
      <c r="R1678" s="49"/>
      <c r="S1678" s="14"/>
    </row>
    <row r="1679" spans="1:19" ht="30" customHeight="1" x14ac:dyDescent="0.25">
      <c r="A1679" s="49" t="str">
        <f>IF(C1679="","","BAN-01678")</f>
        <v/>
      </c>
      <c r="B1679" s="98" t="str">
        <f>IF(C1679="","",1678)</f>
        <v/>
      </c>
      <c r="C1679" s="50"/>
      <c r="D1679" s="49" t="str">
        <f t="shared" si="53"/>
        <v/>
      </c>
      <c r="E1679" s="92"/>
      <c r="F1679" s="49"/>
      <c r="G1679" s="14"/>
      <c r="H1679" s="14"/>
      <c r="I1679" s="76"/>
      <c r="J1679" s="73"/>
      <c r="K1679" s="74"/>
      <c r="L1679" s="72"/>
      <c r="M1679" s="72"/>
      <c r="N1679" s="72" t="str">
        <f>IF(AND(C1679="",J1679=0,K1679=0,L1679=0,M1679=0),"",CADASTROS!$B$4+SUM($J$2:J1679)+SUM($M$2:M1679)-SUM($K$2:K1679)-SUM($L$2:L1679))</f>
        <v/>
      </c>
      <c r="O1679" s="72" t="str">
        <f>IF(A1679="","",SUMIF(RATEIOS!$A$2:$A$3142,$A1679,RATEIOS!$F$2:$F$3142))</f>
        <v/>
      </c>
      <c r="P1679" s="15" t="str">
        <f t="shared" si="54"/>
        <v/>
      </c>
      <c r="Q1679" s="49" t="str">
        <f>IF(AND(J1679=0,K1679=0,L1679=0,M1679=0),"",IF(O1679=0,"PENDENTE DE RATEIO",IF(ABS(P1679)&gt;0.005,"DIVERGÊNCIA",IF(COUNTIF(RATEIOS!$A$2:$A$3142,$A1679)-COUNTIFS(RATEIOS!$A$2:$A$3142,$A1679,RATEIOS!$D$2:$D$3142,"&lt;&gt;")&gt;0,"NÃO CLASSIFICADO","RATEIO OK"))))</f>
        <v/>
      </c>
      <c r="R1679" s="49"/>
      <c r="S1679" s="14"/>
    </row>
    <row r="1680" spans="1:19" ht="30" customHeight="1" x14ac:dyDescent="0.25">
      <c r="A1680" s="49" t="str">
        <f>IF(C1680="","","BAN-01679")</f>
        <v/>
      </c>
      <c r="B1680" s="98" t="str">
        <f>IF(C1680="","",1679)</f>
        <v/>
      </c>
      <c r="C1680" s="50"/>
      <c r="D1680" s="49" t="str">
        <f t="shared" si="53"/>
        <v/>
      </c>
      <c r="E1680" s="92"/>
      <c r="F1680" s="49"/>
      <c r="G1680" s="14"/>
      <c r="H1680" s="14"/>
      <c r="I1680" s="76"/>
      <c r="J1680" s="73"/>
      <c r="K1680" s="74"/>
      <c r="L1680" s="72"/>
      <c r="M1680" s="72"/>
      <c r="N1680" s="72" t="str">
        <f>IF(AND(C1680="",J1680=0,K1680=0,L1680=0,M1680=0),"",CADASTROS!$B$4+SUM($J$2:J1680)+SUM($M$2:M1680)-SUM($K$2:K1680)-SUM($L$2:L1680))</f>
        <v/>
      </c>
      <c r="O1680" s="72" t="str">
        <f>IF(A1680="","",SUMIF(RATEIOS!$A$2:$A$3142,$A1680,RATEIOS!$F$2:$F$3142))</f>
        <v/>
      </c>
      <c r="P1680" s="15" t="str">
        <f t="shared" si="54"/>
        <v/>
      </c>
      <c r="Q1680" s="49" t="str">
        <f>IF(AND(J1680=0,K1680=0,L1680=0,M1680=0),"",IF(O1680=0,"PENDENTE DE RATEIO",IF(ABS(P1680)&gt;0.005,"DIVERGÊNCIA",IF(COUNTIF(RATEIOS!$A$2:$A$3142,$A1680)-COUNTIFS(RATEIOS!$A$2:$A$3142,$A1680,RATEIOS!$D$2:$D$3142,"&lt;&gt;")&gt;0,"NÃO CLASSIFICADO","RATEIO OK"))))</f>
        <v/>
      </c>
      <c r="R1680" s="49"/>
      <c r="S1680" s="14"/>
    </row>
    <row r="1681" spans="1:19" ht="30" customHeight="1" x14ac:dyDescent="0.25">
      <c r="A1681" s="49" t="str">
        <f>IF(C1681="","","BAN-01680")</f>
        <v/>
      </c>
      <c r="B1681" s="98" t="str">
        <f>IF(C1681="","",1680)</f>
        <v/>
      </c>
      <c r="C1681" s="50"/>
      <c r="D1681" s="49" t="str">
        <f t="shared" si="53"/>
        <v/>
      </c>
      <c r="E1681" s="92"/>
      <c r="F1681" s="49"/>
      <c r="G1681" s="14"/>
      <c r="H1681" s="14"/>
      <c r="I1681" s="76"/>
      <c r="J1681" s="73"/>
      <c r="K1681" s="74"/>
      <c r="L1681" s="72"/>
      <c r="M1681" s="72"/>
      <c r="N1681" s="72" t="str">
        <f>IF(AND(C1681="",J1681=0,K1681=0,L1681=0,M1681=0),"",CADASTROS!$B$4+SUM($J$2:J1681)+SUM($M$2:M1681)-SUM($K$2:K1681)-SUM($L$2:L1681))</f>
        <v/>
      </c>
      <c r="O1681" s="72" t="str">
        <f>IF(A1681="","",SUMIF(RATEIOS!$A$2:$A$3142,$A1681,RATEIOS!$F$2:$F$3142))</f>
        <v/>
      </c>
      <c r="P1681" s="15" t="str">
        <f t="shared" si="54"/>
        <v/>
      </c>
      <c r="Q1681" s="49" t="str">
        <f>IF(AND(J1681=0,K1681=0,L1681=0,M1681=0),"",IF(O1681=0,"PENDENTE DE RATEIO",IF(ABS(P1681)&gt;0.005,"DIVERGÊNCIA",IF(COUNTIF(RATEIOS!$A$2:$A$3142,$A1681)-COUNTIFS(RATEIOS!$A$2:$A$3142,$A1681,RATEIOS!$D$2:$D$3142,"&lt;&gt;")&gt;0,"NÃO CLASSIFICADO","RATEIO OK"))))</f>
        <v/>
      </c>
      <c r="R1681" s="49"/>
      <c r="S1681" s="14"/>
    </row>
    <row r="1682" spans="1:19" ht="30" customHeight="1" x14ac:dyDescent="0.25">
      <c r="A1682" s="49" t="str">
        <f>IF(C1682="","","BAN-01681")</f>
        <v/>
      </c>
      <c r="B1682" s="98" t="str">
        <f>IF(C1682="","",1681)</f>
        <v/>
      </c>
      <c r="C1682" s="50"/>
      <c r="D1682" s="49" t="str">
        <f t="shared" si="53"/>
        <v/>
      </c>
      <c r="E1682" s="92"/>
      <c r="F1682" s="49"/>
      <c r="G1682" s="14"/>
      <c r="H1682" s="14"/>
      <c r="I1682" s="76"/>
      <c r="J1682" s="73"/>
      <c r="K1682" s="74"/>
      <c r="L1682" s="72"/>
      <c r="M1682" s="72"/>
      <c r="N1682" s="72" t="str">
        <f>IF(AND(C1682="",J1682=0,K1682=0,L1682=0,M1682=0),"",CADASTROS!$B$4+SUM($J$2:J1682)+SUM($M$2:M1682)-SUM($K$2:K1682)-SUM($L$2:L1682))</f>
        <v/>
      </c>
      <c r="O1682" s="72" t="str">
        <f>IF(A1682="","",SUMIF(RATEIOS!$A$2:$A$3142,$A1682,RATEIOS!$F$2:$F$3142))</f>
        <v/>
      </c>
      <c r="P1682" s="15" t="str">
        <f t="shared" si="54"/>
        <v/>
      </c>
      <c r="Q1682" s="49" t="str">
        <f>IF(AND(J1682=0,K1682=0,L1682=0,M1682=0),"",IF(O1682=0,"PENDENTE DE RATEIO",IF(ABS(P1682)&gt;0.005,"DIVERGÊNCIA",IF(COUNTIF(RATEIOS!$A$2:$A$3142,$A1682)-COUNTIFS(RATEIOS!$A$2:$A$3142,$A1682,RATEIOS!$D$2:$D$3142,"&lt;&gt;")&gt;0,"NÃO CLASSIFICADO","RATEIO OK"))))</f>
        <v/>
      </c>
      <c r="R1682" s="49"/>
      <c r="S1682" s="14"/>
    </row>
    <row r="1683" spans="1:19" ht="30" customHeight="1" x14ac:dyDescent="0.25">
      <c r="A1683" s="49" t="str">
        <f>IF(C1683="","","BAN-01682")</f>
        <v/>
      </c>
      <c r="B1683" s="98" t="str">
        <f>IF(C1683="","",1682)</f>
        <v/>
      </c>
      <c r="C1683" s="50"/>
      <c r="D1683" s="49" t="str">
        <f t="shared" si="53"/>
        <v/>
      </c>
      <c r="E1683" s="92"/>
      <c r="F1683" s="49"/>
      <c r="G1683" s="14"/>
      <c r="H1683" s="14"/>
      <c r="I1683" s="76"/>
      <c r="J1683" s="73"/>
      <c r="K1683" s="74"/>
      <c r="L1683" s="72"/>
      <c r="M1683" s="72"/>
      <c r="N1683" s="72" t="str">
        <f>IF(AND(C1683="",J1683=0,K1683=0,L1683=0,M1683=0),"",CADASTROS!$B$4+SUM($J$2:J1683)+SUM($M$2:M1683)-SUM($K$2:K1683)-SUM($L$2:L1683))</f>
        <v/>
      </c>
      <c r="O1683" s="72" t="str">
        <f>IF(A1683="","",SUMIF(RATEIOS!$A$2:$A$3142,$A1683,RATEIOS!$F$2:$F$3142))</f>
        <v/>
      </c>
      <c r="P1683" s="15" t="str">
        <f t="shared" si="54"/>
        <v/>
      </c>
      <c r="Q1683" s="49" t="str">
        <f>IF(AND(J1683=0,K1683=0,L1683=0,M1683=0),"",IF(O1683=0,"PENDENTE DE RATEIO",IF(ABS(P1683)&gt;0.005,"DIVERGÊNCIA",IF(COUNTIF(RATEIOS!$A$2:$A$3142,$A1683)-COUNTIFS(RATEIOS!$A$2:$A$3142,$A1683,RATEIOS!$D$2:$D$3142,"&lt;&gt;")&gt;0,"NÃO CLASSIFICADO","RATEIO OK"))))</f>
        <v/>
      </c>
      <c r="R1683" s="49"/>
      <c r="S1683" s="14"/>
    </row>
    <row r="1684" spans="1:19" ht="30" customHeight="1" x14ac:dyDescent="0.25">
      <c r="A1684" s="49" t="str">
        <f>IF(C1684="","","BAN-01683")</f>
        <v/>
      </c>
      <c r="B1684" s="98" t="str">
        <f>IF(C1684="","",1683)</f>
        <v/>
      </c>
      <c r="C1684" s="50"/>
      <c r="D1684" s="49" t="str">
        <f t="shared" si="53"/>
        <v/>
      </c>
      <c r="E1684" s="92"/>
      <c r="F1684" s="49"/>
      <c r="G1684" s="14"/>
      <c r="H1684" s="14"/>
      <c r="I1684" s="76"/>
      <c r="J1684" s="73"/>
      <c r="K1684" s="74"/>
      <c r="L1684" s="72"/>
      <c r="M1684" s="72"/>
      <c r="N1684" s="72" t="str">
        <f>IF(AND(C1684="",J1684=0,K1684=0,L1684=0,M1684=0),"",CADASTROS!$B$4+SUM($J$2:J1684)+SUM($M$2:M1684)-SUM($K$2:K1684)-SUM($L$2:L1684))</f>
        <v/>
      </c>
      <c r="O1684" s="72" t="str">
        <f>IF(A1684="","",SUMIF(RATEIOS!$A$2:$A$3142,$A1684,RATEIOS!$F$2:$F$3142))</f>
        <v/>
      </c>
      <c r="P1684" s="15" t="str">
        <f t="shared" si="54"/>
        <v/>
      </c>
      <c r="Q1684" s="49" t="str">
        <f>IF(AND(J1684=0,K1684=0,L1684=0,M1684=0),"",IF(O1684=0,"PENDENTE DE RATEIO",IF(ABS(P1684)&gt;0.005,"DIVERGÊNCIA",IF(COUNTIF(RATEIOS!$A$2:$A$3142,$A1684)-COUNTIFS(RATEIOS!$A$2:$A$3142,$A1684,RATEIOS!$D$2:$D$3142,"&lt;&gt;")&gt;0,"NÃO CLASSIFICADO","RATEIO OK"))))</f>
        <v/>
      </c>
      <c r="R1684" s="49"/>
      <c r="S1684" s="14"/>
    </row>
    <row r="1685" spans="1:19" ht="30" customHeight="1" x14ac:dyDescent="0.25">
      <c r="A1685" s="49" t="str">
        <f>IF(C1685="","","BAN-01684")</f>
        <v/>
      </c>
      <c r="B1685" s="98" t="str">
        <f>IF(C1685="","",1684)</f>
        <v/>
      </c>
      <c r="C1685" s="50"/>
      <c r="D1685" s="49" t="str">
        <f t="shared" si="53"/>
        <v/>
      </c>
      <c r="E1685" s="92"/>
      <c r="F1685" s="49"/>
      <c r="G1685" s="14"/>
      <c r="H1685" s="14"/>
      <c r="I1685" s="76"/>
      <c r="J1685" s="73"/>
      <c r="K1685" s="74"/>
      <c r="L1685" s="72"/>
      <c r="M1685" s="72"/>
      <c r="N1685" s="72" t="str">
        <f>IF(AND(C1685="",J1685=0,K1685=0,L1685=0,M1685=0),"",CADASTROS!$B$4+SUM($J$2:J1685)+SUM($M$2:M1685)-SUM($K$2:K1685)-SUM($L$2:L1685))</f>
        <v/>
      </c>
      <c r="O1685" s="72" t="str">
        <f>IF(A1685="","",SUMIF(RATEIOS!$A$2:$A$3142,$A1685,RATEIOS!$F$2:$F$3142))</f>
        <v/>
      </c>
      <c r="P1685" s="15" t="str">
        <f t="shared" si="54"/>
        <v/>
      </c>
      <c r="Q1685" s="49" t="str">
        <f>IF(AND(J1685=0,K1685=0,L1685=0,M1685=0),"",IF(O1685=0,"PENDENTE DE RATEIO",IF(ABS(P1685)&gt;0.005,"DIVERGÊNCIA",IF(COUNTIF(RATEIOS!$A$2:$A$3142,$A1685)-COUNTIFS(RATEIOS!$A$2:$A$3142,$A1685,RATEIOS!$D$2:$D$3142,"&lt;&gt;")&gt;0,"NÃO CLASSIFICADO","RATEIO OK"))))</f>
        <v/>
      </c>
      <c r="R1685" s="49"/>
      <c r="S1685" s="14"/>
    </row>
    <row r="1686" spans="1:19" ht="30" customHeight="1" x14ac:dyDescent="0.25">
      <c r="A1686" s="49" t="str">
        <f>IF(C1686="","","BAN-01685")</f>
        <v/>
      </c>
      <c r="B1686" s="98" t="str">
        <f>IF(C1686="","",1685)</f>
        <v/>
      </c>
      <c r="C1686" s="50"/>
      <c r="D1686" s="49" t="str">
        <f t="shared" si="53"/>
        <v/>
      </c>
      <c r="E1686" s="92"/>
      <c r="F1686" s="49"/>
      <c r="G1686" s="14"/>
      <c r="H1686" s="14"/>
      <c r="I1686" s="76"/>
      <c r="J1686" s="73"/>
      <c r="K1686" s="74"/>
      <c r="L1686" s="72"/>
      <c r="M1686" s="72"/>
      <c r="N1686" s="72" t="str">
        <f>IF(AND(C1686="",J1686=0,K1686=0,L1686=0,M1686=0),"",CADASTROS!$B$4+SUM($J$2:J1686)+SUM($M$2:M1686)-SUM($K$2:K1686)-SUM($L$2:L1686))</f>
        <v/>
      </c>
      <c r="O1686" s="72" t="str">
        <f>IF(A1686="","",SUMIF(RATEIOS!$A$2:$A$3142,$A1686,RATEIOS!$F$2:$F$3142))</f>
        <v/>
      </c>
      <c r="P1686" s="15" t="str">
        <f t="shared" si="54"/>
        <v/>
      </c>
      <c r="Q1686" s="49" t="str">
        <f>IF(AND(J1686=0,K1686=0,L1686=0,M1686=0),"",IF(O1686=0,"PENDENTE DE RATEIO",IF(ABS(P1686)&gt;0.005,"DIVERGÊNCIA",IF(COUNTIF(RATEIOS!$A$2:$A$3142,$A1686)-COUNTIFS(RATEIOS!$A$2:$A$3142,$A1686,RATEIOS!$D$2:$D$3142,"&lt;&gt;")&gt;0,"NÃO CLASSIFICADO","RATEIO OK"))))</f>
        <v/>
      </c>
      <c r="R1686" s="49"/>
      <c r="S1686" s="14"/>
    </row>
    <row r="1687" spans="1:19" ht="30" customHeight="1" x14ac:dyDescent="0.25">
      <c r="A1687" s="49" t="str">
        <f>IF(C1687="","","BAN-01686")</f>
        <v/>
      </c>
      <c r="B1687" s="98" t="str">
        <f>IF(C1687="","",1686)</f>
        <v/>
      </c>
      <c r="C1687" s="50"/>
      <c r="D1687" s="49" t="str">
        <f t="shared" si="53"/>
        <v/>
      </c>
      <c r="E1687" s="92"/>
      <c r="F1687" s="49"/>
      <c r="G1687" s="14"/>
      <c r="H1687" s="14"/>
      <c r="I1687" s="76"/>
      <c r="J1687" s="73"/>
      <c r="K1687" s="74"/>
      <c r="L1687" s="72"/>
      <c r="M1687" s="72"/>
      <c r="N1687" s="72" t="str">
        <f>IF(AND(C1687="",J1687=0,K1687=0,L1687=0,M1687=0),"",CADASTROS!$B$4+SUM($J$2:J1687)+SUM($M$2:M1687)-SUM($K$2:K1687)-SUM($L$2:L1687))</f>
        <v/>
      </c>
      <c r="O1687" s="72" t="str">
        <f>IF(A1687="","",SUMIF(RATEIOS!$A$2:$A$3142,$A1687,RATEIOS!$F$2:$F$3142))</f>
        <v/>
      </c>
      <c r="P1687" s="15" t="str">
        <f t="shared" si="54"/>
        <v/>
      </c>
      <c r="Q1687" s="49" t="str">
        <f>IF(AND(J1687=0,K1687=0,L1687=0,M1687=0),"",IF(O1687=0,"PENDENTE DE RATEIO",IF(ABS(P1687)&gt;0.005,"DIVERGÊNCIA",IF(COUNTIF(RATEIOS!$A$2:$A$3142,$A1687)-COUNTIFS(RATEIOS!$A$2:$A$3142,$A1687,RATEIOS!$D$2:$D$3142,"&lt;&gt;")&gt;0,"NÃO CLASSIFICADO","RATEIO OK"))))</f>
        <v/>
      </c>
      <c r="R1687" s="49"/>
      <c r="S1687" s="14"/>
    </row>
    <row r="1688" spans="1:19" ht="30" customHeight="1" x14ac:dyDescent="0.25">
      <c r="A1688" s="49" t="str">
        <f>IF(C1688="","","BAN-01687")</f>
        <v/>
      </c>
      <c r="B1688" s="98" t="str">
        <f>IF(C1688="","",1687)</f>
        <v/>
      </c>
      <c r="C1688" s="50"/>
      <c r="D1688" s="49" t="str">
        <f t="shared" si="53"/>
        <v/>
      </c>
      <c r="E1688" s="92"/>
      <c r="F1688" s="49"/>
      <c r="G1688" s="14"/>
      <c r="H1688" s="14"/>
      <c r="I1688" s="76"/>
      <c r="J1688" s="73"/>
      <c r="K1688" s="74"/>
      <c r="L1688" s="72"/>
      <c r="M1688" s="72"/>
      <c r="N1688" s="72" t="str">
        <f>IF(AND(C1688="",J1688=0,K1688=0,L1688=0,M1688=0),"",CADASTROS!$B$4+SUM($J$2:J1688)+SUM($M$2:M1688)-SUM($K$2:K1688)-SUM($L$2:L1688))</f>
        <v/>
      </c>
      <c r="O1688" s="72" t="str">
        <f>IF(A1688="","",SUMIF(RATEIOS!$A$2:$A$3142,$A1688,RATEIOS!$F$2:$F$3142))</f>
        <v/>
      </c>
      <c r="P1688" s="15" t="str">
        <f t="shared" si="54"/>
        <v/>
      </c>
      <c r="Q1688" s="49" t="str">
        <f>IF(AND(J1688=0,K1688=0,L1688=0,M1688=0),"",IF(O1688=0,"PENDENTE DE RATEIO",IF(ABS(P1688)&gt;0.005,"DIVERGÊNCIA",IF(COUNTIF(RATEIOS!$A$2:$A$3142,$A1688)-COUNTIFS(RATEIOS!$A$2:$A$3142,$A1688,RATEIOS!$D$2:$D$3142,"&lt;&gt;")&gt;0,"NÃO CLASSIFICADO","RATEIO OK"))))</f>
        <v/>
      </c>
      <c r="R1688" s="49"/>
      <c r="S1688" s="14"/>
    </row>
    <row r="1689" spans="1:19" ht="30" customHeight="1" x14ac:dyDescent="0.25">
      <c r="A1689" s="49" t="str">
        <f>IF(C1689="","","BAN-01688")</f>
        <v/>
      </c>
      <c r="B1689" s="98" t="str">
        <f>IF(C1689="","",1688)</f>
        <v/>
      </c>
      <c r="C1689" s="50"/>
      <c r="D1689" s="49" t="str">
        <f t="shared" si="53"/>
        <v/>
      </c>
      <c r="E1689" s="92"/>
      <c r="F1689" s="49"/>
      <c r="G1689" s="14"/>
      <c r="H1689" s="14"/>
      <c r="I1689" s="76"/>
      <c r="J1689" s="73"/>
      <c r="K1689" s="74"/>
      <c r="L1689" s="72"/>
      <c r="M1689" s="72"/>
      <c r="N1689" s="72" t="str">
        <f>IF(AND(C1689="",J1689=0,K1689=0,L1689=0,M1689=0),"",CADASTROS!$B$4+SUM($J$2:J1689)+SUM($M$2:M1689)-SUM($K$2:K1689)-SUM($L$2:L1689))</f>
        <v/>
      </c>
      <c r="O1689" s="72" t="str">
        <f>IF(A1689="","",SUMIF(RATEIOS!$A$2:$A$3142,$A1689,RATEIOS!$F$2:$F$3142))</f>
        <v/>
      </c>
      <c r="P1689" s="15" t="str">
        <f t="shared" si="54"/>
        <v/>
      </c>
      <c r="Q1689" s="49" t="str">
        <f>IF(AND(J1689=0,K1689=0,L1689=0,M1689=0),"",IF(O1689=0,"PENDENTE DE RATEIO",IF(ABS(P1689)&gt;0.005,"DIVERGÊNCIA",IF(COUNTIF(RATEIOS!$A$2:$A$3142,$A1689)-COUNTIFS(RATEIOS!$A$2:$A$3142,$A1689,RATEIOS!$D$2:$D$3142,"&lt;&gt;")&gt;0,"NÃO CLASSIFICADO","RATEIO OK"))))</f>
        <v/>
      </c>
      <c r="R1689" s="49"/>
      <c r="S1689" s="14"/>
    </row>
    <row r="1690" spans="1:19" ht="30" customHeight="1" x14ac:dyDescent="0.25">
      <c r="A1690" s="49" t="str">
        <f>IF(C1690="","","BAN-01689")</f>
        <v/>
      </c>
      <c r="B1690" s="98" t="str">
        <f>IF(C1690="","",1689)</f>
        <v/>
      </c>
      <c r="C1690" s="50"/>
      <c r="D1690" s="49" t="str">
        <f t="shared" si="53"/>
        <v/>
      </c>
      <c r="E1690" s="92"/>
      <c r="F1690" s="49"/>
      <c r="G1690" s="14"/>
      <c r="H1690" s="14"/>
      <c r="I1690" s="76"/>
      <c r="J1690" s="73"/>
      <c r="K1690" s="74"/>
      <c r="L1690" s="72"/>
      <c r="M1690" s="72"/>
      <c r="N1690" s="72" t="str">
        <f>IF(AND(C1690="",J1690=0,K1690=0,L1690=0,M1690=0),"",CADASTROS!$B$4+SUM($J$2:J1690)+SUM($M$2:M1690)-SUM($K$2:K1690)-SUM($L$2:L1690))</f>
        <v/>
      </c>
      <c r="O1690" s="72" t="str">
        <f>IF(A1690="","",SUMIF(RATEIOS!$A$2:$A$3142,$A1690,RATEIOS!$F$2:$F$3142))</f>
        <v/>
      </c>
      <c r="P1690" s="15" t="str">
        <f t="shared" si="54"/>
        <v/>
      </c>
      <c r="Q1690" s="49" t="str">
        <f>IF(AND(J1690=0,K1690=0,L1690=0,M1690=0),"",IF(O1690=0,"PENDENTE DE RATEIO",IF(ABS(P1690)&gt;0.005,"DIVERGÊNCIA",IF(COUNTIF(RATEIOS!$A$2:$A$3142,$A1690)-COUNTIFS(RATEIOS!$A$2:$A$3142,$A1690,RATEIOS!$D$2:$D$3142,"&lt;&gt;")&gt;0,"NÃO CLASSIFICADO","RATEIO OK"))))</f>
        <v/>
      </c>
      <c r="R1690" s="49"/>
      <c r="S1690" s="14"/>
    </row>
    <row r="1691" spans="1:19" ht="30" customHeight="1" x14ac:dyDescent="0.25">
      <c r="A1691" s="49" t="str">
        <f>IF(C1691="","","BAN-01690")</f>
        <v/>
      </c>
      <c r="B1691" s="98" t="str">
        <f>IF(C1691="","",1690)</f>
        <v/>
      </c>
      <c r="C1691" s="50"/>
      <c r="D1691" s="49" t="str">
        <f t="shared" si="53"/>
        <v/>
      </c>
      <c r="E1691" s="92"/>
      <c r="F1691" s="49"/>
      <c r="G1691" s="14"/>
      <c r="H1691" s="14"/>
      <c r="I1691" s="76"/>
      <c r="J1691" s="73"/>
      <c r="K1691" s="74"/>
      <c r="L1691" s="72"/>
      <c r="M1691" s="72"/>
      <c r="N1691" s="72" t="str">
        <f>IF(AND(C1691="",J1691=0,K1691=0,L1691=0,M1691=0),"",CADASTROS!$B$4+SUM($J$2:J1691)+SUM($M$2:M1691)-SUM($K$2:K1691)-SUM($L$2:L1691))</f>
        <v/>
      </c>
      <c r="O1691" s="72" t="str">
        <f>IF(A1691="","",SUMIF(RATEIOS!$A$2:$A$3142,$A1691,RATEIOS!$F$2:$F$3142))</f>
        <v/>
      </c>
      <c r="P1691" s="15" t="str">
        <f t="shared" si="54"/>
        <v/>
      </c>
      <c r="Q1691" s="49" t="str">
        <f>IF(AND(J1691=0,K1691=0,L1691=0,M1691=0),"",IF(O1691=0,"PENDENTE DE RATEIO",IF(ABS(P1691)&gt;0.005,"DIVERGÊNCIA",IF(COUNTIF(RATEIOS!$A$2:$A$3142,$A1691)-COUNTIFS(RATEIOS!$A$2:$A$3142,$A1691,RATEIOS!$D$2:$D$3142,"&lt;&gt;")&gt;0,"NÃO CLASSIFICADO","RATEIO OK"))))</f>
        <v/>
      </c>
      <c r="R1691" s="49"/>
      <c r="S1691" s="14"/>
    </row>
    <row r="1692" spans="1:19" ht="30" customHeight="1" x14ac:dyDescent="0.25">
      <c r="A1692" s="49" t="str">
        <f>IF(C1692="","","BAN-01691")</f>
        <v/>
      </c>
      <c r="B1692" s="98" t="str">
        <f>IF(C1692="","",1691)</f>
        <v/>
      </c>
      <c r="C1692" s="50"/>
      <c r="D1692" s="49" t="str">
        <f t="shared" si="53"/>
        <v/>
      </c>
      <c r="E1692" s="92"/>
      <c r="F1692" s="49"/>
      <c r="G1692" s="14"/>
      <c r="H1692" s="14"/>
      <c r="I1692" s="76"/>
      <c r="J1692" s="73"/>
      <c r="K1692" s="74"/>
      <c r="L1692" s="72"/>
      <c r="M1692" s="72"/>
      <c r="N1692" s="72" t="str">
        <f>IF(AND(C1692="",J1692=0,K1692=0,L1692=0,M1692=0),"",CADASTROS!$B$4+SUM($J$2:J1692)+SUM($M$2:M1692)-SUM($K$2:K1692)-SUM($L$2:L1692))</f>
        <v/>
      </c>
      <c r="O1692" s="72" t="str">
        <f>IF(A1692="","",SUMIF(RATEIOS!$A$2:$A$3142,$A1692,RATEIOS!$F$2:$F$3142))</f>
        <v/>
      </c>
      <c r="P1692" s="15" t="str">
        <f t="shared" si="54"/>
        <v/>
      </c>
      <c r="Q1692" s="49" t="str">
        <f>IF(AND(J1692=0,K1692=0,L1692=0,M1692=0),"",IF(O1692=0,"PENDENTE DE RATEIO",IF(ABS(P1692)&gt;0.005,"DIVERGÊNCIA",IF(COUNTIF(RATEIOS!$A$2:$A$3142,$A1692)-COUNTIFS(RATEIOS!$A$2:$A$3142,$A1692,RATEIOS!$D$2:$D$3142,"&lt;&gt;")&gt;0,"NÃO CLASSIFICADO","RATEIO OK"))))</f>
        <v/>
      </c>
      <c r="R1692" s="49"/>
      <c r="S1692" s="14"/>
    </row>
    <row r="1693" spans="1:19" ht="30" customHeight="1" x14ac:dyDescent="0.25">
      <c r="A1693" s="49" t="str">
        <f>IF(C1693="","","BAN-01692")</f>
        <v/>
      </c>
      <c r="B1693" s="98" t="str">
        <f>IF(C1693="","",1692)</f>
        <v/>
      </c>
      <c r="C1693" s="50"/>
      <c r="D1693" s="49" t="str">
        <f t="shared" si="53"/>
        <v/>
      </c>
      <c r="E1693" s="92"/>
      <c r="F1693" s="49"/>
      <c r="G1693" s="14"/>
      <c r="H1693" s="14"/>
      <c r="I1693" s="76"/>
      <c r="J1693" s="73"/>
      <c r="K1693" s="74"/>
      <c r="L1693" s="72"/>
      <c r="M1693" s="72"/>
      <c r="N1693" s="72" t="str">
        <f>IF(AND(C1693="",J1693=0,K1693=0,L1693=0,M1693=0),"",CADASTROS!$B$4+SUM($J$2:J1693)+SUM($M$2:M1693)-SUM($K$2:K1693)-SUM($L$2:L1693))</f>
        <v/>
      </c>
      <c r="O1693" s="72" t="str">
        <f>IF(A1693="","",SUMIF(RATEIOS!$A$2:$A$3142,$A1693,RATEIOS!$F$2:$F$3142))</f>
        <v/>
      </c>
      <c r="P1693" s="15" t="str">
        <f t="shared" si="54"/>
        <v/>
      </c>
      <c r="Q1693" s="49" t="str">
        <f>IF(AND(J1693=0,K1693=0,L1693=0,M1693=0),"",IF(O1693=0,"PENDENTE DE RATEIO",IF(ABS(P1693)&gt;0.005,"DIVERGÊNCIA",IF(COUNTIF(RATEIOS!$A$2:$A$3142,$A1693)-COUNTIFS(RATEIOS!$A$2:$A$3142,$A1693,RATEIOS!$D$2:$D$3142,"&lt;&gt;")&gt;0,"NÃO CLASSIFICADO","RATEIO OK"))))</f>
        <v/>
      </c>
      <c r="R1693" s="49"/>
      <c r="S1693" s="14"/>
    </row>
    <row r="1694" spans="1:19" ht="30" customHeight="1" x14ac:dyDescent="0.25">
      <c r="A1694" s="49" t="str">
        <f>IF(C1694="","","BAN-01693")</f>
        <v/>
      </c>
      <c r="B1694" s="98" t="str">
        <f>IF(C1694="","",1693)</f>
        <v/>
      </c>
      <c r="C1694" s="50"/>
      <c r="D1694" s="49" t="str">
        <f t="shared" si="53"/>
        <v/>
      </c>
      <c r="E1694" s="92"/>
      <c r="F1694" s="49"/>
      <c r="G1694" s="14"/>
      <c r="H1694" s="14"/>
      <c r="I1694" s="76"/>
      <c r="J1694" s="73"/>
      <c r="K1694" s="74"/>
      <c r="L1694" s="72"/>
      <c r="M1694" s="72"/>
      <c r="N1694" s="72" t="str">
        <f>IF(AND(C1694="",J1694=0,K1694=0,L1694=0,M1694=0),"",CADASTROS!$B$4+SUM($J$2:J1694)+SUM($M$2:M1694)-SUM($K$2:K1694)-SUM($L$2:L1694))</f>
        <v/>
      </c>
      <c r="O1694" s="72" t="str">
        <f>IF(A1694="","",SUMIF(RATEIOS!$A$2:$A$3142,$A1694,RATEIOS!$F$2:$F$3142))</f>
        <v/>
      </c>
      <c r="P1694" s="15" t="str">
        <f t="shared" si="54"/>
        <v/>
      </c>
      <c r="Q1694" s="49" t="str">
        <f>IF(AND(J1694=0,K1694=0,L1694=0,M1694=0),"",IF(O1694=0,"PENDENTE DE RATEIO",IF(ABS(P1694)&gt;0.005,"DIVERGÊNCIA",IF(COUNTIF(RATEIOS!$A$2:$A$3142,$A1694)-COUNTIFS(RATEIOS!$A$2:$A$3142,$A1694,RATEIOS!$D$2:$D$3142,"&lt;&gt;")&gt;0,"NÃO CLASSIFICADO","RATEIO OK"))))</f>
        <v/>
      </c>
      <c r="R1694" s="49"/>
      <c r="S1694" s="14"/>
    </row>
    <row r="1695" spans="1:19" ht="30" customHeight="1" x14ac:dyDescent="0.25">
      <c r="A1695" s="49" t="str">
        <f>IF(C1695="","","BAN-01694")</f>
        <v/>
      </c>
      <c r="B1695" s="98" t="str">
        <f>IF(C1695="","",1694)</f>
        <v/>
      </c>
      <c r="C1695" s="50"/>
      <c r="D1695" s="49" t="str">
        <f t="shared" si="53"/>
        <v/>
      </c>
      <c r="E1695" s="92"/>
      <c r="F1695" s="49"/>
      <c r="G1695" s="14"/>
      <c r="H1695" s="14"/>
      <c r="I1695" s="76"/>
      <c r="J1695" s="73"/>
      <c r="K1695" s="74"/>
      <c r="L1695" s="72"/>
      <c r="M1695" s="72"/>
      <c r="N1695" s="72" t="str">
        <f>IF(AND(C1695="",J1695=0,K1695=0,L1695=0,M1695=0),"",CADASTROS!$B$4+SUM($J$2:J1695)+SUM($M$2:M1695)-SUM($K$2:K1695)-SUM($L$2:L1695))</f>
        <v/>
      </c>
      <c r="O1695" s="72" t="str">
        <f>IF(A1695="","",SUMIF(RATEIOS!$A$2:$A$3142,$A1695,RATEIOS!$F$2:$F$3142))</f>
        <v/>
      </c>
      <c r="P1695" s="15" t="str">
        <f t="shared" si="54"/>
        <v/>
      </c>
      <c r="Q1695" s="49" t="str">
        <f>IF(AND(J1695=0,K1695=0,L1695=0,M1695=0),"",IF(O1695=0,"PENDENTE DE RATEIO",IF(ABS(P1695)&gt;0.005,"DIVERGÊNCIA",IF(COUNTIF(RATEIOS!$A$2:$A$3142,$A1695)-COUNTIFS(RATEIOS!$A$2:$A$3142,$A1695,RATEIOS!$D$2:$D$3142,"&lt;&gt;")&gt;0,"NÃO CLASSIFICADO","RATEIO OK"))))</f>
        <v/>
      </c>
      <c r="R1695" s="49"/>
      <c r="S1695" s="14"/>
    </row>
    <row r="1696" spans="1:19" ht="30" customHeight="1" x14ac:dyDescent="0.25">
      <c r="A1696" s="49" t="str">
        <f>IF(C1696="","","BAN-01695")</f>
        <v/>
      </c>
      <c r="B1696" s="98" t="str">
        <f>IF(C1696="","",1695)</f>
        <v/>
      </c>
      <c r="C1696" s="50"/>
      <c r="D1696" s="49" t="str">
        <f t="shared" si="53"/>
        <v/>
      </c>
      <c r="E1696" s="92"/>
      <c r="F1696" s="49"/>
      <c r="G1696" s="14"/>
      <c r="H1696" s="14"/>
      <c r="I1696" s="76"/>
      <c r="J1696" s="73"/>
      <c r="K1696" s="74"/>
      <c r="L1696" s="72"/>
      <c r="M1696" s="72"/>
      <c r="N1696" s="72" t="str">
        <f>IF(AND(C1696="",J1696=0,K1696=0,L1696=0,M1696=0),"",CADASTROS!$B$4+SUM($J$2:J1696)+SUM($M$2:M1696)-SUM($K$2:K1696)-SUM($L$2:L1696))</f>
        <v/>
      </c>
      <c r="O1696" s="72" t="str">
        <f>IF(A1696="","",SUMIF(RATEIOS!$A$2:$A$3142,$A1696,RATEIOS!$F$2:$F$3142))</f>
        <v/>
      </c>
      <c r="P1696" s="15" t="str">
        <f t="shared" si="54"/>
        <v/>
      </c>
      <c r="Q1696" s="49" t="str">
        <f>IF(AND(J1696=0,K1696=0,L1696=0,M1696=0),"",IF(O1696=0,"PENDENTE DE RATEIO",IF(ABS(P1696)&gt;0.005,"DIVERGÊNCIA",IF(COUNTIF(RATEIOS!$A$2:$A$3142,$A1696)-COUNTIFS(RATEIOS!$A$2:$A$3142,$A1696,RATEIOS!$D$2:$D$3142,"&lt;&gt;")&gt;0,"NÃO CLASSIFICADO","RATEIO OK"))))</f>
        <v/>
      </c>
      <c r="R1696" s="49"/>
      <c r="S1696" s="14"/>
    </row>
    <row r="1697" spans="1:19" ht="30" customHeight="1" x14ac:dyDescent="0.25">
      <c r="A1697" s="49" t="str">
        <f>IF(C1697="","","BAN-01696")</f>
        <v/>
      </c>
      <c r="B1697" s="98" t="str">
        <f>IF(C1697="","",1696)</f>
        <v/>
      </c>
      <c r="C1697" s="50"/>
      <c r="D1697" s="49" t="str">
        <f t="shared" si="53"/>
        <v/>
      </c>
      <c r="E1697" s="92"/>
      <c r="F1697" s="49"/>
      <c r="G1697" s="14"/>
      <c r="H1697" s="14"/>
      <c r="I1697" s="76"/>
      <c r="J1697" s="73"/>
      <c r="K1697" s="74"/>
      <c r="L1697" s="72"/>
      <c r="M1697" s="72"/>
      <c r="N1697" s="72" t="str">
        <f>IF(AND(C1697="",J1697=0,K1697=0,L1697=0,M1697=0),"",CADASTROS!$B$4+SUM($J$2:J1697)+SUM($M$2:M1697)-SUM($K$2:K1697)-SUM($L$2:L1697))</f>
        <v/>
      </c>
      <c r="O1697" s="72" t="str">
        <f>IF(A1697="","",SUMIF(RATEIOS!$A$2:$A$3142,$A1697,RATEIOS!$F$2:$F$3142))</f>
        <v/>
      </c>
      <c r="P1697" s="15" t="str">
        <f t="shared" si="54"/>
        <v/>
      </c>
      <c r="Q1697" s="49" t="str">
        <f>IF(AND(J1697=0,K1697=0,L1697=0,M1697=0),"",IF(O1697=0,"PENDENTE DE RATEIO",IF(ABS(P1697)&gt;0.005,"DIVERGÊNCIA",IF(COUNTIF(RATEIOS!$A$2:$A$3142,$A1697)-COUNTIFS(RATEIOS!$A$2:$A$3142,$A1697,RATEIOS!$D$2:$D$3142,"&lt;&gt;")&gt;0,"NÃO CLASSIFICADO","RATEIO OK"))))</f>
        <v/>
      </c>
      <c r="R1697" s="49"/>
      <c r="S1697" s="14"/>
    </row>
    <row r="1698" spans="1:19" ht="30" customHeight="1" x14ac:dyDescent="0.25">
      <c r="A1698" s="49" t="str">
        <f>IF(C1698="","","BAN-01697")</f>
        <v/>
      </c>
      <c r="B1698" s="98" t="str">
        <f>IF(C1698="","",1697)</f>
        <v/>
      </c>
      <c r="C1698" s="50"/>
      <c r="D1698" s="49" t="str">
        <f t="shared" si="53"/>
        <v/>
      </c>
      <c r="E1698" s="92"/>
      <c r="F1698" s="49"/>
      <c r="G1698" s="14"/>
      <c r="H1698" s="14"/>
      <c r="I1698" s="76"/>
      <c r="J1698" s="73"/>
      <c r="K1698" s="74"/>
      <c r="L1698" s="72"/>
      <c r="M1698" s="72"/>
      <c r="N1698" s="72" t="str">
        <f>IF(AND(C1698="",J1698=0,K1698=0,L1698=0,M1698=0),"",CADASTROS!$B$4+SUM($J$2:J1698)+SUM($M$2:M1698)-SUM($K$2:K1698)-SUM($L$2:L1698))</f>
        <v/>
      </c>
      <c r="O1698" s="72" t="str">
        <f>IF(A1698="","",SUMIF(RATEIOS!$A$2:$A$3142,$A1698,RATEIOS!$F$2:$F$3142))</f>
        <v/>
      </c>
      <c r="P1698" s="15" t="str">
        <f t="shared" si="54"/>
        <v/>
      </c>
      <c r="Q1698" s="49" t="str">
        <f>IF(AND(J1698=0,K1698=0,L1698=0,M1698=0),"",IF(O1698=0,"PENDENTE DE RATEIO",IF(ABS(P1698)&gt;0.005,"DIVERGÊNCIA",IF(COUNTIF(RATEIOS!$A$2:$A$3142,$A1698)-COUNTIFS(RATEIOS!$A$2:$A$3142,$A1698,RATEIOS!$D$2:$D$3142,"&lt;&gt;")&gt;0,"NÃO CLASSIFICADO","RATEIO OK"))))</f>
        <v/>
      </c>
      <c r="R1698" s="49"/>
      <c r="S1698" s="14"/>
    </row>
    <row r="1699" spans="1:19" ht="30" customHeight="1" x14ac:dyDescent="0.25">
      <c r="A1699" s="49" t="str">
        <f>IF(C1699="","","BAN-01698")</f>
        <v/>
      </c>
      <c r="B1699" s="98" t="str">
        <f>IF(C1699="","",1698)</f>
        <v/>
      </c>
      <c r="C1699" s="50"/>
      <c r="D1699" s="49" t="str">
        <f t="shared" si="53"/>
        <v/>
      </c>
      <c r="E1699" s="92"/>
      <c r="F1699" s="49"/>
      <c r="G1699" s="14"/>
      <c r="H1699" s="14"/>
      <c r="I1699" s="76"/>
      <c r="J1699" s="73"/>
      <c r="K1699" s="74"/>
      <c r="L1699" s="72"/>
      <c r="M1699" s="72"/>
      <c r="N1699" s="72" t="str">
        <f>IF(AND(C1699="",J1699=0,K1699=0,L1699=0,M1699=0),"",CADASTROS!$B$4+SUM($J$2:J1699)+SUM($M$2:M1699)-SUM($K$2:K1699)-SUM($L$2:L1699))</f>
        <v/>
      </c>
      <c r="O1699" s="72" t="str">
        <f>IF(A1699="","",SUMIF(RATEIOS!$A$2:$A$3142,$A1699,RATEIOS!$F$2:$F$3142))</f>
        <v/>
      </c>
      <c r="P1699" s="15" t="str">
        <f t="shared" si="54"/>
        <v/>
      </c>
      <c r="Q1699" s="49" t="str">
        <f>IF(AND(J1699=0,K1699=0,L1699=0,M1699=0),"",IF(O1699=0,"PENDENTE DE RATEIO",IF(ABS(P1699)&gt;0.005,"DIVERGÊNCIA",IF(COUNTIF(RATEIOS!$A$2:$A$3142,$A1699)-COUNTIFS(RATEIOS!$A$2:$A$3142,$A1699,RATEIOS!$D$2:$D$3142,"&lt;&gt;")&gt;0,"NÃO CLASSIFICADO","RATEIO OK"))))</f>
        <v/>
      </c>
      <c r="R1699" s="49"/>
      <c r="S1699" s="14"/>
    </row>
    <row r="1700" spans="1:19" ht="30" customHeight="1" x14ac:dyDescent="0.25">
      <c r="A1700" s="49" t="str">
        <f>IF(C1700="","","BAN-01699")</f>
        <v/>
      </c>
      <c r="B1700" s="98" t="str">
        <f>IF(C1700="","",1699)</f>
        <v/>
      </c>
      <c r="C1700" s="50"/>
      <c r="D1700" s="49" t="str">
        <f t="shared" si="53"/>
        <v/>
      </c>
      <c r="E1700" s="92"/>
      <c r="F1700" s="49"/>
      <c r="G1700" s="14"/>
      <c r="H1700" s="14"/>
      <c r="I1700" s="76"/>
      <c r="J1700" s="73"/>
      <c r="K1700" s="74"/>
      <c r="L1700" s="72"/>
      <c r="M1700" s="72"/>
      <c r="N1700" s="72" t="str">
        <f>IF(AND(C1700="",J1700=0,K1700=0,L1700=0,M1700=0),"",CADASTROS!$B$4+SUM($J$2:J1700)+SUM($M$2:M1700)-SUM($K$2:K1700)-SUM($L$2:L1700))</f>
        <v/>
      </c>
      <c r="O1700" s="72" t="str">
        <f>IF(A1700="","",SUMIF(RATEIOS!$A$2:$A$3142,$A1700,RATEIOS!$F$2:$F$3142))</f>
        <v/>
      </c>
      <c r="P1700" s="15" t="str">
        <f t="shared" si="54"/>
        <v/>
      </c>
      <c r="Q1700" s="49" t="str">
        <f>IF(AND(J1700=0,K1700=0,L1700=0,M1700=0),"",IF(O1700=0,"PENDENTE DE RATEIO",IF(ABS(P1700)&gt;0.005,"DIVERGÊNCIA",IF(COUNTIF(RATEIOS!$A$2:$A$3142,$A1700)-COUNTIFS(RATEIOS!$A$2:$A$3142,$A1700,RATEIOS!$D$2:$D$3142,"&lt;&gt;")&gt;0,"NÃO CLASSIFICADO","RATEIO OK"))))</f>
        <v/>
      </c>
      <c r="R1700" s="49"/>
      <c r="S1700" s="14"/>
    </row>
    <row r="1701" spans="1:19" ht="30" customHeight="1" x14ac:dyDescent="0.25">
      <c r="A1701" s="49" t="str">
        <f>IF(C1701="","","BAN-01700")</f>
        <v/>
      </c>
      <c r="B1701" s="98" t="str">
        <f>IF(C1701="","",1700)</f>
        <v/>
      </c>
      <c r="C1701" s="50"/>
      <c r="D1701" s="49" t="str">
        <f t="shared" si="53"/>
        <v/>
      </c>
      <c r="E1701" s="92"/>
      <c r="F1701" s="49"/>
      <c r="G1701" s="14"/>
      <c r="H1701" s="14"/>
      <c r="I1701" s="76"/>
      <c r="J1701" s="73"/>
      <c r="K1701" s="74"/>
      <c r="L1701" s="72"/>
      <c r="M1701" s="72"/>
      <c r="N1701" s="72" t="str">
        <f>IF(AND(C1701="",J1701=0,K1701=0,L1701=0,M1701=0),"",CADASTROS!$B$4+SUM($J$2:J1701)+SUM($M$2:M1701)-SUM($K$2:K1701)-SUM($L$2:L1701))</f>
        <v/>
      </c>
      <c r="O1701" s="72" t="str">
        <f>IF(A1701="","",SUMIF(RATEIOS!$A$2:$A$3142,$A1701,RATEIOS!$F$2:$F$3142))</f>
        <v/>
      </c>
      <c r="P1701" s="15" t="str">
        <f t="shared" si="54"/>
        <v/>
      </c>
      <c r="Q1701" s="49" t="str">
        <f>IF(AND(J1701=0,K1701=0,L1701=0,M1701=0),"",IF(O1701=0,"PENDENTE DE RATEIO",IF(ABS(P1701)&gt;0.005,"DIVERGÊNCIA",IF(COUNTIF(RATEIOS!$A$2:$A$3142,$A1701)-COUNTIFS(RATEIOS!$A$2:$A$3142,$A1701,RATEIOS!$D$2:$D$3142,"&lt;&gt;")&gt;0,"NÃO CLASSIFICADO","RATEIO OK"))))</f>
        <v/>
      </c>
      <c r="R1701" s="49"/>
      <c r="S1701" s="14"/>
    </row>
    <row r="1702" spans="1:19" ht="30" customHeight="1" x14ac:dyDescent="0.25">
      <c r="A1702" s="49" t="str">
        <f>IF(C1702="","","BAN-01701")</f>
        <v/>
      </c>
      <c r="B1702" s="98" t="str">
        <f>IF(C1702="","",1701)</f>
        <v/>
      </c>
      <c r="C1702" s="50"/>
      <c r="D1702" s="49" t="str">
        <f t="shared" si="53"/>
        <v/>
      </c>
      <c r="E1702" s="92"/>
      <c r="F1702" s="49"/>
      <c r="G1702" s="14"/>
      <c r="H1702" s="14"/>
      <c r="I1702" s="76"/>
      <c r="J1702" s="73"/>
      <c r="K1702" s="74"/>
      <c r="L1702" s="72"/>
      <c r="M1702" s="72"/>
      <c r="N1702" s="72" t="str">
        <f>IF(AND(C1702="",J1702=0,K1702=0,L1702=0,M1702=0),"",CADASTROS!$B$4+SUM($J$2:J1702)+SUM($M$2:M1702)-SUM($K$2:K1702)-SUM($L$2:L1702))</f>
        <v/>
      </c>
      <c r="O1702" s="72" t="str">
        <f>IF(A1702="","",SUMIF(RATEIOS!$A$2:$A$3142,$A1702,RATEIOS!$F$2:$F$3142))</f>
        <v/>
      </c>
      <c r="P1702" s="15" t="str">
        <f t="shared" si="54"/>
        <v/>
      </c>
      <c r="Q1702" s="49" t="str">
        <f>IF(AND(J1702=0,K1702=0,L1702=0,M1702=0),"",IF(O1702=0,"PENDENTE DE RATEIO",IF(ABS(P1702)&gt;0.005,"DIVERGÊNCIA",IF(COUNTIF(RATEIOS!$A$2:$A$3142,$A1702)-COUNTIFS(RATEIOS!$A$2:$A$3142,$A1702,RATEIOS!$D$2:$D$3142,"&lt;&gt;")&gt;0,"NÃO CLASSIFICADO","RATEIO OK"))))</f>
        <v/>
      </c>
      <c r="R1702" s="49"/>
      <c r="S1702" s="14"/>
    </row>
    <row r="1703" spans="1:19" ht="30" customHeight="1" x14ac:dyDescent="0.25">
      <c r="A1703" s="49" t="str">
        <f>IF(C1703="","","BAN-01702")</f>
        <v/>
      </c>
      <c r="B1703" s="98" t="str">
        <f>IF(C1703="","",1702)</f>
        <v/>
      </c>
      <c r="C1703" s="50"/>
      <c r="D1703" s="49" t="str">
        <f t="shared" si="53"/>
        <v/>
      </c>
      <c r="E1703" s="92"/>
      <c r="F1703" s="49"/>
      <c r="G1703" s="14"/>
      <c r="H1703" s="14"/>
      <c r="I1703" s="76"/>
      <c r="J1703" s="73"/>
      <c r="K1703" s="74"/>
      <c r="L1703" s="72"/>
      <c r="M1703" s="72"/>
      <c r="N1703" s="72" t="str">
        <f>IF(AND(C1703="",J1703=0,K1703=0,L1703=0,M1703=0),"",CADASTROS!$B$4+SUM($J$2:J1703)+SUM($M$2:M1703)-SUM($K$2:K1703)-SUM($L$2:L1703))</f>
        <v/>
      </c>
      <c r="O1703" s="72" t="str">
        <f>IF(A1703="","",SUMIF(RATEIOS!$A$2:$A$3142,$A1703,RATEIOS!$F$2:$F$3142))</f>
        <v/>
      </c>
      <c r="P1703" s="15" t="str">
        <f t="shared" si="54"/>
        <v/>
      </c>
      <c r="Q1703" s="49" t="str">
        <f>IF(AND(J1703=0,K1703=0,L1703=0,M1703=0),"",IF(O1703=0,"PENDENTE DE RATEIO",IF(ABS(P1703)&gt;0.005,"DIVERGÊNCIA",IF(COUNTIF(RATEIOS!$A$2:$A$3142,$A1703)-COUNTIFS(RATEIOS!$A$2:$A$3142,$A1703,RATEIOS!$D$2:$D$3142,"&lt;&gt;")&gt;0,"NÃO CLASSIFICADO","RATEIO OK"))))</f>
        <v/>
      </c>
      <c r="R1703" s="49"/>
      <c r="S1703" s="14"/>
    </row>
    <row r="1704" spans="1:19" ht="30" customHeight="1" x14ac:dyDescent="0.25">
      <c r="A1704" s="49" t="str">
        <f>IF(C1704="","","BAN-01703")</f>
        <v/>
      </c>
      <c r="B1704" s="98" t="str">
        <f>IF(C1704="","",1703)</f>
        <v/>
      </c>
      <c r="C1704" s="50"/>
      <c r="D1704" s="49" t="str">
        <f t="shared" si="53"/>
        <v/>
      </c>
      <c r="E1704" s="92"/>
      <c r="F1704" s="49"/>
      <c r="G1704" s="14"/>
      <c r="H1704" s="14"/>
      <c r="I1704" s="76"/>
      <c r="J1704" s="73"/>
      <c r="K1704" s="74"/>
      <c r="L1704" s="72"/>
      <c r="M1704" s="72"/>
      <c r="N1704" s="72" t="str">
        <f>IF(AND(C1704="",J1704=0,K1704=0,L1704=0,M1704=0),"",CADASTROS!$B$4+SUM($J$2:J1704)+SUM($M$2:M1704)-SUM($K$2:K1704)-SUM($L$2:L1704))</f>
        <v/>
      </c>
      <c r="O1704" s="72" t="str">
        <f>IF(A1704="","",SUMIF(RATEIOS!$A$2:$A$3142,$A1704,RATEIOS!$F$2:$F$3142))</f>
        <v/>
      </c>
      <c r="P1704" s="15" t="str">
        <f t="shared" si="54"/>
        <v/>
      </c>
      <c r="Q1704" s="49" t="str">
        <f>IF(AND(J1704=0,K1704=0,L1704=0,M1704=0),"",IF(O1704=0,"PENDENTE DE RATEIO",IF(ABS(P1704)&gt;0.005,"DIVERGÊNCIA",IF(COUNTIF(RATEIOS!$A$2:$A$3142,$A1704)-COUNTIFS(RATEIOS!$A$2:$A$3142,$A1704,RATEIOS!$D$2:$D$3142,"&lt;&gt;")&gt;0,"NÃO CLASSIFICADO","RATEIO OK"))))</f>
        <v/>
      </c>
      <c r="R1704" s="49"/>
      <c r="S1704" s="14"/>
    </row>
    <row r="1705" spans="1:19" ht="30" customHeight="1" x14ac:dyDescent="0.25">
      <c r="A1705" s="49" t="str">
        <f>IF(C1705="","","BAN-01704")</f>
        <v/>
      </c>
      <c r="B1705" s="98" t="str">
        <f>IF(C1705="","",1704)</f>
        <v/>
      </c>
      <c r="C1705" s="50"/>
      <c r="D1705" s="49" t="str">
        <f t="shared" si="53"/>
        <v/>
      </c>
      <c r="E1705" s="92"/>
      <c r="F1705" s="49"/>
      <c r="G1705" s="14"/>
      <c r="H1705" s="14"/>
      <c r="I1705" s="76"/>
      <c r="J1705" s="73"/>
      <c r="K1705" s="74"/>
      <c r="L1705" s="72"/>
      <c r="M1705" s="72"/>
      <c r="N1705" s="72" t="str">
        <f>IF(AND(C1705="",J1705=0,K1705=0,L1705=0,M1705=0),"",CADASTROS!$B$4+SUM($J$2:J1705)+SUM($M$2:M1705)-SUM($K$2:K1705)-SUM($L$2:L1705))</f>
        <v/>
      </c>
      <c r="O1705" s="72" t="str">
        <f>IF(A1705="","",SUMIF(RATEIOS!$A$2:$A$3142,$A1705,RATEIOS!$F$2:$F$3142))</f>
        <v/>
      </c>
      <c r="P1705" s="15" t="str">
        <f t="shared" si="54"/>
        <v/>
      </c>
      <c r="Q1705" s="49" t="str">
        <f>IF(AND(J1705=0,K1705=0,L1705=0,M1705=0),"",IF(O1705=0,"PENDENTE DE RATEIO",IF(ABS(P1705)&gt;0.005,"DIVERGÊNCIA",IF(COUNTIF(RATEIOS!$A$2:$A$3142,$A1705)-COUNTIFS(RATEIOS!$A$2:$A$3142,$A1705,RATEIOS!$D$2:$D$3142,"&lt;&gt;")&gt;0,"NÃO CLASSIFICADO","RATEIO OK"))))</f>
        <v/>
      </c>
      <c r="R1705" s="49"/>
      <c r="S1705" s="14"/>
    </row>
    <row r="1706" spans="1:19" ht="30" customHeight="1" x14ac:dyDescent="0.25">
      <c r="A1706" s="49" t="str">
        <f>IF(C1706="","","BAN-01705")</f>
        <v/>
      </c>
      <c r="B1706" s="98" t="str">
        <f>IF(C1706="","",1705)</f>
        <v/>
      </c>
      <c r="C1706" s="50"/>
      <c r="D1706" s="49" t="str">
        <f t="shared" si="53"/>
        <v/>
      </c>
      <c r="E1706" s="92"/>
      <c r="F1706" s="49"/>
      <c r="G1706" s="14"/>
      <c r="H1706" s="14"/>
      <c r="I1706" s="76"/>
      <c r="J1706" s="73"/>
      <c r="K1706" s="74"/>
      <c r="L1706" s="72"/>
      <c r="M1706" s="72"/>
      <c r="N1706" s="72" t="str">
        <f>IF(AND(C1706="",J1706=0,K1706=0,L1706=0,M1706=0),"",CADASTROS!$B$4+SUM($J$2:J1706)+SUM($M$2:M1706)-SUM($K$2:K1706)-SUM($L$2:L1706))</f>
        <v/>
      </c>
      <c r="O1706" s="72" t="str">
        <f>IF(A1706="","",SUMIF(RATEIOS!$A$2:$A$3142,$A1706,RATEIOS!$F$2:$F$3142))</f>
        <v/>
      </c>
      <c r="P1706" s="15" t="str">
        <f t="shared" si="54"/>
        <v/>
      </c>
      <c r="Q1706" s="49" t="str">
        <f>IF(AND(J1706=0,K1706=0,L1706=0,M1706=0),"",IF(O1706=0,"PENDENTE DE RATEIO",IF(ABS(P1706)&gt;0.005,"DIVERGÊNCIA",IF(COUNTIF(RATEIOS!$A$2:$A$3142,$A1706)-COUNTIFS(RATEIOS!$A$2:$A$3142,$A1706,RATEIOS!$D$2:$D$3142,"&lt;&gt;")&gt;0,"NÃO CLASSIFICADO","RATEIO OK"))))</f>
        <v/>
      </c>
      <c r="R1706" s="49"/>
      <c r="S1706" s="14"/>
    </row>
    <row r="1707" spans="1:19" ht="30" customHeight="1" x14ac:dyDescent="0.25">
      <c r="A1707" s="49" t="str">
        <f>IF(C1707="","","BAN-01706")</f>
        <v/>
      </c>
      <c r="B1707" s="98" t="str">
        <f>IF(C1707="","",1706)</f>
        <v/>
      </c>
      <c r="C1707" s="50"/>
      <c r="D1707" s="49" t="str">
        <f t="shared" si="53"/>
        <v/>
      </c>
      <c r="E1707" s="92"/>
      <c r="F1707" s="49"/>
      <c r="G1707" s="14"/>
      <c r="H1707" s="14"/>
      <c r="I1707" s="76"/>
      <c r="J1707" s="73"/>
      <c r="K1707" s="74"/>
      <c r="L1707" s="72"/>
      <c r="M1707" s="72"/>
      <c r="N1707" s="72" t="str">
        <f>IF(AND(C1707="",J1707=0,K1707=0,L1707=0,M1707=0),"",CADASTROS!$B$4+SUM($J$2:J1707)+SUM($M$2:M1707)-SUM($K$2:K1707)-SUM($L$2:L1707))</f>
        <v/>
      </c>
      <c r="O1707" s="72" t="str">
        <f>IF(A1707="","",SUMIF(RATEIOS!$A$2:$A$3142,$A1707,RATEIOS!$F$2:$F$3142))</f>
        <v/>
      </c>
      <c r="P1707" s="15" t="str">
        <f t="shared" si="54"/>
        <v/>
      </c>
      <c r="Q1707" s="49" t="str">
        <f>IF(AND(J1707=0,K1707=0,L1707=0,M1707=0),"",IF(O1707=0,"PENDENTE DE RATEIO",IF(ABS(P1707)&gt;0.005,"DIVERGÊNCIA",IF(COUNTIF(RATEIOS!$A$2:$A$3142,$A1707)-COUNTIFS(RATEIOS!$A$2:$A$3142,$A1707,RATEIOS!$D$2:$D$3142,"&lt;&gt;")&gt;0,"NÃO CLASSIFICADO","RATEIO OK"))))</f>
        <v/>
      </c>
      <c r="R1707" s="49"/>
      <c r="S1707" s="14"/>
    </row>
    <row r="1708" spans="1:19" ht="30" customHeight="1" x14ac:dyDescent="0.25">
      <c r="A1708" s="49" t="str">
        <f>IF(C1708="","","BAN-01707")</f>
        <v/>
      </c>
      <c r="B1708" s="98" t="str">
        <f>IF(C1708="","",1707)</f>
        <v/>
      </c>
      <c r="C1708" s="50"/>
      <c r="D1708" s="49" t="str">
        <f t="shared" si="53"/>
        <v/>
      </c>
      <c r="E1708" s="92"/>
      <c r="F1708" s="49"/>
      <c r="G1708" s="14"/>
      <c r="H1708" s="14"/>
      <c r="I1708" s="76"/>
      <c r="J1708" s="73"/>
      <c r="K1708" s="74"/>
      <c r="L1708" s="72"/>
      <c r="M1708" s="72"/>
      <c r="N1708" s="72" t="str">
        <f>IF(AND(C1708="",J1708=0,K1708=0,L1708=0,M1708=0),"",CADASTROS!$B$4+SUM($J$2:J1708)+SUM($M$2:M1708)-SUM($K$2:K1708)-SUM($L$2:L1708))</f>
        <v/>
      </c>
      <c r="O1708" s="72" t="str">
        <f>IF(A1708="","",SUMIF(RATEIOS!$A$2:$A$3142,$A1708,RATEIOS!$F$2:$F$3142))</f>
        <v/>
      </c>
      <c r="P1708" s="15" t="str">
        <f t="shared" si="54"/>
        <v/>
      </c>
      <c r="Q1708" s="49" t="str">
        <f>IF(AND(J1708=0,K1708=0,L1708=0,M1708=0),"",IF(O1708=0,"PENDENTE DE RATEIO",IF(ABS(P1708)&gt;0.005,"DIVERGÊNCIA",IF(COUNTIF(RATEIOS!$A$2:$A$3142,$A1708)-COUNTIFS(RATEIOS!$A$2:$A$3142,$A1708,RATEIOS!$D$2:$D$3142,"&lt;&gt;")&gt;0,"NÃO CLASSIFICADO","RATEIO OK"))))</f>
        <v/>
      </c>
      <c r="R1708" s="49"/>
      <c r="S1708" s="14"/>
    </row>
    <row r="1709" spans="1:19" ht="30" customHeight="1" x14ac:dyDescent="0.25">
      <c r="A1709" s="49" t="str">
        <f>IF(C1709="","","BAN-01708")</f>
        <v/>
      </c>
      <c r="B1709" s="98" t="str">
        <f>IF(C1709="","",1708)</f>
        <v/>
      </c>
      <c r="C1709" s="50"/>
      <c r="D1709" s="49" t="str">
        <f t="shared" si="53"/>
        <v/>
      </c>
      <c r="E1709" s="92"/>
      <c r="F1709" s="49"/>
      <c r="G1709" s="14"/>
      <c r="H1709" s="14"/>
      <c r="I1709" s="76"/>
      <c r="J1709" s="73"/>
      <c r="K1709" s="74"/>
      <c r="L1709" s="72"/>
      <c r="M1709" s="72"/>
      <c r="N1709" s="72" t="str">
        <f>IF(AND(C1709="",J1709=0,K1709=0,L1709=0,M1709=0),"",CADASTROS!$B$4+SUM($J$2:J1709)+SUM($M$2:M1709)-SUM($K$2:K1709)-SUM($L$2:L1709))</f>
        <v/>
      </c>
      <c r="O1709" s="72" t="str">
        <f>IF(A1709="","",SUMIF(RATEIOS!$A$2:$A$3142,$A1709,RATEIOS!$F$2:$F$3142))</f>
        <v/>
      </c>
      <c r="P1709" s="15" t="str">
        <f t="shared" si="54"/>
        <v/>
      </c>
      <c r="Q1709" s="49" t="str">
        <f>IF(AND(J1709=0,K1709=0,L1709=0,M1709=0),"",IF(O1709=0,"PENDENTE DE RATEIO",IF(ABS(P1709)&gt;0.005,"DIVERGÊNCIA",IF(COUNTIF(RATEIOS!$A$2:$A$3142,$A1709)-COUNTIFS(RATEIOS!$A$2:$A$3142,$A1709,RATEIOS!$D$2:$D$3142,"&lt;&gt;")&gt;0,"NÃO CLASSIFICADO","RATEIO OK"))))</f>
        <v/>
      </c>
      <c r="R1709" s="49"/>
      <c r="S1709" s="14"/>
    </row>
    <row r="1710" spans="1:19" ht="30" customHeight="1" x14ac:dyDescent="0.25">
      <c r="A1710" s="49" t="str">
        <f>IF(C1710="","","BAN-01709")</f>
        <v/>
      </c>
      <c r="B1710" s="98" t="str">
        <f>IF(C1710="","",1709)</f>
        <v/>
      </c>
      <c r="C1710" s="50"/>
      <c r="D1710" s="49" t="str">
        <f t="shared" si="53"/>
        <v/>
      </c>
      <c r="E1710" s="92"/>
      <c r="F1710" s="49"/>
      <c r="G1710" s="14"/>
      <c r="H1710" s="14"/>
      <c r="I1710" s="76"/>
      <c r="J1710" s="73"/>
      <c r="K1710" s="74"/>
      <c r="L1710" s="72"/>
      <c r="M1710" s="72"/>
      <c r="N1710" s="72" t="str">
        <f>IF(AND(C1710="",J1710=0,K1710=0,L1710=0,M1710=0),"",CADASTROS!$B$4+SUM($J$2:J1710)+SUM($M$2:M1710)-SUM($K$2:K1710)-SUM($L$2:L1710))</f>
        <v/>
      </c>
      <c r="O1710" s="72" t="str">
        <f>IF(A1710="","",SUMIF(RATEIOS!$A$2:$A$3142,$A1710,RATEIOS!$F$2:$F$3142))</f>
        <v/>
      </c>
      <c r="P1710" s="15" t="str">
        <f t="shared" si="54"/>
        <v/>
      </c>
      <c r="Q1710" s="49" t="str">
        <f>IF(AND(J1710=0,K1710=0,L1710=0,M1710=0),"",IF(O1710=0,"PENDENTE DE RATEIO",IF(ABS(P1710)&gt;0.005,"DIVERGÊNCIA",IF(COUNTIF(RATEIOS!$A$2:$A$3142,$A1710)-COUNTIFS(RATEIOS!$A$2:$A$3142,$A1710,RATEIOS!$D$2:$D$3142,"&lt;&gt;")&gt;0,"NÃO CLASSIFICADO","RATEIO OK"))))</f>
        <v/>
      </c>
      <c r="R1710" s="49"/>
      <c r="S1710" s="14"/>
    </row>
    <row r="1711" spans="1:19" ht="30" customHeight="1" x14ac:dyDescent="0.25">
      <c r="A1711" s="49" t="str">
        <f>IF(C1711="","","BAN-01710")</f>
        <v/>
      </c>
      <c r="B1711" s="98" t="str">
        <f>IF(C1711="","",1710)</f>
        <v/>
      </c>
      <c r="C1711" s="50"/>
      <c r="D1711" s="49" t="str">
        <f t="shared" si="53"/>
        <v/>
      </c>
      <c r="E1711" s="92"/>
      <c r="F1711" s="49"/>
      <c r="G1711" s="14"/>
      <c r="H1711" s="14"/>
      <c r="I1711" s="76"/>
      <c r="J1711" s="73"/>
      <c r="K1711" s="74"/>
      <c r="L1711" s="72"/>
      <c r="M1711" s="72"/>
      <c r="N1711" s="72" t="str">
        <f>IF(AND(C1711="",J1711=0,K1711=0,L1711=0,M1711=0),"",CADASTROS!$B$4+SUM($J$2:J1711)+SUM($M$2:M1711)-SUM($K$2:K1711)-SUM($L$2:L1711))</f>
        <v/>
      </c>
      <c r="O1711" s="72" t="str">
        <f>IF(A1711="","",SUMIF(RATEIOS!$A$2:$A$3142,$A1711,RATEIOS!$F$2:$F$3142))</f>
        <v/>
      </c>
      <c r="P1711" s="15" t="str">
        <f t="shared" si="54"/>
        <v/>
      </c>
      <c r="Q1711" s="49" t="str">
        <f>IF(AND(J1711=0,K1711=0,L1711=0,M1711=0),"",IF(O1711=0,"PENDENTE DE RATEIO",IF(ABS(P1711)&gt;0.005,"DIVERGÊNCIA",IF(COUNTIF(RATEIOS!$A$2:$A$3142,$A1711)-COUNTIFS(RATEIOS!$A$2:$A$3142,$A1711,RATEIOS!$D$2:$D$3142,"&lt;&gt;")&gt;0,"NÃO CLASSIFICADO","RATEIO OK"))))</f>
        <v/>
      </c>
      <c r="R1711" s="49"/>
      <c r="S1711" s="14"/>
    </row>
    <row r="1712" spans="1:19" ht="30" customHeight="1" x14ac:dyDescent="0.25">
      <c r="A1712" s="49" t="str">
        <f>IF(C1712="","","BAN-01711")</f>
        <v/>
      </c>
      <c r="B1712" s="98" t="str">
        <f>IF(C1712="","",1711)</f>
        <v/>
      </c>
      <c r="C1712" s="50"/>
      <c r="D1712" s="49" t="str">
        <f t="shared" si="53"/>
        <v/>
      </c>
      <c r="E1712" s="92"/>
      <c r="F1712" s="49"/>
      <c r="G1712" s="14"/>
      <c r="H1712" s="14"/>
      <c r="I1712" s="76"/>
      <c r="J1712" s="73"/>
      <c r="K1712" s="74"/>
      <c r="L1712" s="72"/>
      <c r="M1712" s="72"/>
      <c r="N1712" s="72" t="str">
        <f>IF(AND(C1712="",J1712=0,K1712=0,L1712=0,M1712=0),"",CADASTROS!$B$4+SUM($J$2:J1712)+SUM($M$2:M1712)-SUM($K$2:K1712)-SUM($L$2:L1712))</f>
        <v/>
      </c>
      <c r="O1712" s="72" t="str">
        <f>IF(A1712="","",SUMIF(RATEIOS!$A$2:$A$3142,$A1712,RATEIOS!$F$2:$F$3142))</f>
        <v/>
      </c>
      <c r="P1712" s="15" t="str">
        <f t="shared" si="54"/>
        <v/>
      </c>
      <c r="Q1712" s="49" t="str">
        <f>IF(AND(J1712=0,K1712=0,L1712=0,M1712=0),"",IF(O1712=0,"PENDENTE DE RATEIO",IF(ABS(P1712)&gt;0.005,"DIVERGÊNCIA",IF(COUNTIF(RATEIOS!$A$2:$A$3142,$A1712)-COUNTIFS(RATEIOS!$A$2:$A$3142,$A1712,RATEIOS!$D$2:$D$3142,"&lt;&gt;")&gt;0,"NÃO CLASSIFICADO","RATEIO OK"))))</f>
        <v/>
      </c>
      <c r="R1712" s="49"/>
      <c r="S1712" s="14"/>
    </row>
    <row r="1713" spans="1:19" ht="30" customHeight="1" x14ac:dyDescent="0.25">
      <c r="A1713" s="49" t="str">
        <f>IF(C1713="","","BAN-01712")</f>
        <v/>
      </c>
      <c r="B1713" s="98" t="str">
        <f>IF(C1713="","",1712)</f>
        <v/>
      </c>
      <c r="C1713" s="50"/>
      <c r="D1713" s="49" t="str">
        <f t="shared" si="53"/>
        <v/>
      </c>
      <c r="E1713" s="92"/>
      <c r="F1713" s="49"/>
      <c r="G1713" s="14"/>
      <c r="H1713" s="14"/>
      <c r="I1713" s="76"/>
      <c r="J1713" s="73"/>
      <c r="K1713" s="74"/>
      <c r="L1713" s="72"/>
      <c r="M1713" s="72"/>
      <c r="N1713" s="72" t="str">
        <f>IF(AND(C1713="",J1713=0,K1713=0,L1713=0,M1713=0),"",CADASTROS!$B$4+SUM($J$2:J1713)+SUM($M$2:M1713)-SUM($K$2:K1713)-SUM($L$2:L1713))</f>
        <v/>
      </c>
      <c r="O1713" s="72" t="str">
        <f>IF(A1713="","",SUMIF(RATEIOS!$A$2:$A$3142,$A1713,RATEIOS!$F$2:$F$3142))</f>
        <v/>
      </c>
      <c r="P1713" s="15" t="str">
        <f t="shared" si="54"/>
        <v/>
      </c>
      <c r="Q1713" s="49" t="str">
        <f>IF(AND(J1713=0,K1713=0,L1713=0,M1713=0),"",IF(O1713=0,"PENDENTE DE RATEIO",IF(ABS(P1713)&gt;0.005,"DIVERGÊNCIA",IF(COUNTIF(RATEIOS!$A$2:$A$3142,$A1713)-COUNTIFS(RATEIOS!$A$2:$A$3142,$A1713,RATEIOS!$D$2:$D$3142,"&lt;&gt;")&gt;0,"NÃO CLASSIFICADO","RATEIO OK"))))</f>
        <v/>
      </c>
      <c r="R1713" s="49"/>
      <c r="S1713" s="14"/>
    </row>
    <row r="1714" spans="1:19" ht="30" customHeight="1" x14ac:dyDescent="0.25">
      <c r="A1714" s="49" t="str">
        <f>IF(C1714="","","BAN-01713")</f>
        <v/>
      </c>
      <c r="B1714" s="98" t="str">
        <f>IF(C1714="","",1713)</f>
        <v/>
      </c>
      <c r="C1714" s="50"/>
      <c r="D1714" s="49" t="str">
        <f t="shared" si="53"/>
        <v/>
      </c>
      <c r="E1714" s="92"/>
      <c r="F1714" s="49"/>
      <c r="G1714" s="14"/>
      <c r="H1714" s="14"/>
      <c r="I1714" s="76"/>
      <c r="J1714" s="73"/>
      <c r="K1714" s="74"/>
      <c r="L1714" s="72"/>
      <c r="M1714" s="72"/>
      <c r="N1714" s="72" t="str">
        <f>IF(AND(C1714="",J1714=0,K1714=0,L1714=0,M1714=0),"",CADASTROS!$B$4+SUM($J$2:J1714)+SUM($M$2:M1714)-SUM($K$2:K1714)-SUM($L$2:L1714))</f>
        <v/>
      </c>
      <c r="O1714" s="72" t="str">
        <f>IF(A1714="","",SUMIF(RATEIOS!$A$2:$A$3142,$A1714,RATEIOS!$F$2:$F$3142))</f>
        <v/>
      </c>
      <c r="P1714" s="15" t="str">
        <f t="shared" si="54"/>
        <v/>
      </c>
      <c r="Q1714" s="49" t="str">
        <f>IF(AND(J1714=0,K1714=0,L1714=0,M1714=0),"",IF(O1714=0,"PENDENTE DE RATEIO",IF(ABS(P1714)&gt;0.005,"DIVERGÊNCIA",IF(COUNTIF(RATEIOS!$A$2:$A$3142,$A1714)-COUNTIFS(RATEIOS!$A$2:$A$3142,$A1714,RATEIOS!$D$2:$D$3142,"&lt;&gt;")&gt;0,"NÃO CLASSIFICADO","RATEIO OK"))))</f>
        <v/>
      </c>
      <c r="R1714" s="49"/>
      <c r="S1714" s="14"/>
    </row>
    <row r="1715" spans="1:19" ht="30" customHeight="1" x14ac:dyDescent="0.25">
      <c r="A1715" s="49" t="str">
        <f>IF(C1715="","","BAN-01714")</f>
        <v/>
      </c>
      <c r="B1715" s="98" t="str">
        <f>IF(C1715="","",1714)</f>
        <v/>
      </c>
      <c r="C1715" s="50"/>
      <c r="D1715" s="49" t="str">
        <f t="shared" si="53"/>
        <v/>
      </c>
      <c r="E1715" s="92"/>
      <c r="F1715" s="49"/>
      <c r="G1715" s="14"/>
      <c r="H1715" s="14"/>
      <c r="I1715" s="76"/>
      <c r="J1715" s="73"/>
      <c r="K1715" s="74"/>
      <c r="L1715" s="72"/>
      <c r="M1715" s="72"/>
      <c r="N1715" s="72" t="str">
        <f>IF(AND(C1715="",J1715=0,K1715=0,L1715=0,M1715=0),"",CADASTROS!$B$4+SUM($J$2:J1715)+SUM($M$2:M1715)-SUM($K$2:K1715)-SUM($L$2:L1715))</f>
        <v/>
      </c>
      <c r="O1715" s="72" t="str">
        <f>IF(A1715="","",SUMIF(RATEIOS!$A$2:$A$3142,$A1715,RATEIOS!$F$2:$F$3142))</f>
        <v/>
      </c>
      <c r="P1715" s="15" t="str">
        <f t="shared" si="54"/>
        <v/>
      </c>
      <c r="Q1715" s="49" t="str">
        <f>IF(AND(J1715=0,K1715=0,L1715=0,M1715=0),"",IF(O1715=0,"PENDENTE DE RATEIO",IF(ABS(P1715)&gt;0.005,"DIVERGÊNCIA",IF(COUNTIF(RATEIOS!$A$2:$A$3142,$A1715)-COUNTIFS(RATEIOS!$A$2:$A$3142,$A1715,RATEIOS!$D$2:$D$3142,"&lt;&gt;")&gt;0,"NÃO CLASSIFICADO","RATEIO OK"))))</f>
        <v/>
      </c>
      <c r="R1715" s="49"/>
      <c r="S1715" s="14"/>
    </row>
    <row r="1716" spans="1:19" ht="30" customHeight="1" x14ac:dyDescent="0.25">
      <c r="A1716" s="49" t="str">
        <f>IF(C1716="","","BAN-01715")</f>
        <v/>
      </c>
      <c r="B1716" s="98" t="str">
        <f>IF(C1716="","",1715)</f>
        <v/>
      </c>
      <c r="C1716" s="50"/>
      <c r="D1716" s="49" t="str">
        <f t="shared" si="53"/>
        <v/>
      </c>
      <c r="E1716" s="92"/>
      <c r="F1716" s="49"/>
      <c r="G1716" s="14"/>
      <c r="H1716" s="14"/>
      <c r="I1716" s="76"/>
      <c r="J1716" s="73"/>
      <c r="K1716" s="74"/>
      <c r="L1716" s="72"/>
      <c r="M1716" s="72"/>
      <c r="N1716" s="72" t="str">
        <f>IF(AND(C1716="",J1716=0,K1716=0,L1716=0,M1716=0),"",CADASTROS!$B$4+SUM($J$2:J1716)+SUM($M$2:M1716)-SUM($K$2:K1716)-SUM($L$2:L1716))</f>
        <v/>
      </c>
      <c r="O1716" s="72" t="str">
        <f>IF(A1716="","",SUMIF(RATEIOS!$A$2:$A$3142,$A1716,RATEIOS!$F$2:$F$3142))</f>
        <v/>
      </c>
      <c r="P1716" s="15" t="str">
        <f t="shared" si="54"/>
        <v/>
      </c>
      <c r="Q1716" s="49" t="str">
        <f>IF(AND(J1716=0,K1716=0,L1716=0,M1716=0),"",IF(O1716=0,"PENDENTE DE RATEIO",IF(ABS(P1716)&gt;0.005,"DIVERGÊNCIA",IF(COUNTIF(RATEIOS!$A$2:$A$3142,$A1716)-COUNTIFS(RATEIOS!$A$2:$A$3142,$A1716,RATEIOS!$D$2:$D$3142,"&lt;&gt;")&gt;0,"NÃO CLASSIFICADO","RATEIO OK"))))</f>
        <v/>
      </c>
      <c r="R1716" s="49"/>
      <c r="S1716" s="14"/>
    </row>
    <row r="1717" spans="1:19" ht="30" customHeight="1" x14ac:dyDescent="0.25">
      <c r="A1717" s="49" t="str">
        <f>IF(C1717="","","BAN-01716")</f>
        <v/>
      </c>
      <c r="B1717" s="98" t="str">
        <f>IF(C1717="","",1716)</f>
        <v/>
      </c>
      <c r="C1717" s="50"/>
      <c r="D1717" s="49" t="str">
        <f t="shared" si="53"/>
        <v/>
      </c>
      <c r="E1717" s="92"/>
      <c r="F1717" s="49"/>
      <c r="G1717" s="14"/>
      <c r="H1717" s="14"/>
      <c r="I1717" s="76"/>
      <c r="J1717" s="73"/>
      <c r="K1717" s="74"/>
      <c r="L1717" s="72"/>
      <c r="M1717" s="72"/>
      <c r="N1717" s="72" t="str">
        <f>IF(AND(C1717="",J1717=0,K1717=0,L1717=0,M1717=0),"",CADASTROS!$B$4+SUM($J$2:J1717)+SUM($M$2:M1717)-SUM($K$2:K1717)-SUM($L$2:L1717))</f>
        <v/>
      </c>
      <c r="O1717" s="72" t="str">
        <f>IF(A1717="","",SUMIF(RATEIOS!$A$2:$A$3142,$A1717,RATEIOS!$F$2:$F$3142))</f>
        <v/>
      </c>
      <c r="P1717" s="15" t="str">
        <f t="shared" si="54"/>
        <v/>
      </c>
      <c r="Q1717" s="49" t="str">
        <f>IF(AND(J1717=0,K1717=0,L1717=0,M1717=0),"",IF(O1717=0,"PENDENTE DE RATEIO",IF(ABS(P1717)&gt;0.005,"DIVERGÊNCIA",IF(COUNTIF(RATEIOS!$A$2:$A$3142,$A1717)-COUNTIFS(RATEIOS!$A$2:$A$3142,$A1717,RATEIOS!$D$2:$D$3142,"&lt;&gt;")&gt;0,"NÃO CLASSIFICADO","RATEIO OK"))))</f>
        <v/>
      </c>
      <c r="R1717" s="49"/>
      <c r="S1717" s="14"/>
    </row>
    <row r="1718" spans="1:19" ht="30" customHeight="1" x14ac:dyDescent="0.25">
      <c r="A1718" s="49" t="str">
        <f>IF(C1718="","","BAN-01717")</f>
        <v/>
      </c>
      <c r="B1718" s="98" t="str">
        <f>IF(C1718="","",1717)</f>
        <v/>
      </c>
      <c r="C1718" s="50"/>
      <c r="D1718" s="49" t="str">
        <f t="shared" si="53"/>
        <v/>
      </c>
      <c r="E1718" s="92"/>
      <c r="F1718" s="49"/>
      <c r="G1718" s="14"/>
      <c r="H1718" s="14"/>
      <c r="I1718" s="76"/>
      <c r="J1718" s="73"/>
      <c r="K1718" s="74"/>
      <c r="L1718" s="72"/>
      <c r="M1718" s="72"/>
      <c r="N1718" s="72" t="str">
        <f>IF(AND(C1718="",J1718=0,K1718=0,L1718=0,M1718=0),"",CADASTROS!$B$4+SUM($J$2:J1718)+SUM($M$2:M1718)-SUM($K$2:K1718)-SUM($L$2:L1718))</f>
        <v/>
      </c>
      <c r="O1718" s="72" t="str">
        <f>IF(A1718="","",SUMIF(RATEIOS!$A$2:$A$3142,$A1718,RATEIOS!$F$2:$F$3142))</f>
        <v/>
      </c>
      <c r="P1718" s="15" t="str">
        <f t="shared" si="54"/>
        <v/>
      </c>
      <c r="Q1718" s="49" t="str">
        <f>IF(AND(J1718=0,K1718=0,L1718=0,M1718=0),"",IF(O1718=0,"PENDENTE DE RATEIO",IF(ABS(P1718)&gt;0.005,"DIVERGÊNCIA",IF(COUNTIF(RATEIOS!$A$2:$A$3142,$A1718)-COUNTIFS(RATEIOS!$A$2:$A$3142,$A1718,RATEIOS!$D$2:$D$3142,"&lt;&gt;")&gt;0,"NÃO CLASSIFICADO","RATEIO OK"))))</f>
        <v/>
      </c>
      <c r="R1718" s="49"/>
      <c r="S1718" s="14"/>
    </row>
    <row r="1719" spans="1:19" ht="30" customHeight="1" x14ac:dyDescent="0.25">
      <c r="A1719" s="49" t="str">
        <f>IF(C1719="","","BAN-01718")</f>
        <v/>
      </c>
      <c r="B1719" s="98" t="str">
        <f>IF(C1719="","",1718)</f>
        <v/>
      </c>
      <c r="C1719" s="50"/>
      <c r="D1719" s="49" t="str">
        <f t="shared" si="53"/>
        <v/>
      </c>
      <c r="E1719" s="92"/>
      <c r="F1719" s="49"/>
      <c r="G1719" s="14"/>
      <c r="H1719" s="14"/>
      <c r="I1719" s="76"/>
      <c r="J1719" s="73"/>
      <c r="K1719" s="74"/>
      <c r="L1719" s="72"/>
      <c r="M1719" s="72"/>
      <c r="N1719" s="72" t="str">
        <f>IF(AND(C1719="",J1719=0,K1719=0,L1719=0,M1719=0),"",CADASTROS!$B$4+SUM($J$2:J1719)+SUM($M$2:M1719)-SUM($K$2:K1719)-SUM($L$2:L1719))</f>
        <v/>
      </c>
      <c r="O1719" s="72" t="str">
        <f>IF(A1719="","",SUMIF(RATEIOS!$A$2:$A$3142,$A1719,RATEIOS!$F$2:$F$3142))</f>
        <v/>
      </c>
      <c r="P1719" s="15" t="str">
        <f t="shared" si="54"/>
        <v/>
      </c>
      <c r="Q1719" s="49" t="str">
        <f>IF(AND(J1719=0,K1719=0,L1719=0,M1719=0),"",IF(O1719=0,"PENDENTE DE RATEIO",IF(ABS(P1719)&gt;0.005,"DIVERGÊNCIA",IF(COUNTIF(RATEIOS!$A$2:$A$3142,$A1719)-COUNTIFS(RATEIOS!$A$2:$A$3142,$A1719,RATEIOS!$D$2:$D$3142,"&lt;&gt;")&gt;0,"NÃO CLASSIFICADO","RATEIO OK"))))</f>
        <v/>
      </c>
      <c r="R1719" s="49"/>
      <c r="S1719" s="14"/>
    </row>
    <row r="1720" spans="1:19" ht="30" customHeight="1" x14ac:dyDescent="0.25">
      <c r="A1720" s="49" t="str">
        <f>IF(C1720="","","BAN-01719")</f>
        <v/>
      </c>
      <c r="B1720" s="98" t="str">
        <f>IF(C1720="","",1719)</f>
        <v/>
      </c>
      <c r="C1720" s="50"/>
      <c r="D1720" s="49" t="str">
        <f t="shared" si="53"/>
        <v/>
      </c>
      <c r="E1720" s="92"/>
      <c r="F1720" s="49"/>
      <c r="G1720" s="14"/>
      <c r="H1720" s="14"/>
      <c r="I1720" s="76"/>
      <c r="J1720" s="73"/>
      <c r="K1720" s="74"/>
      <c r="L1720" s="72"/>
      <c r="M1720" s="72"/>
      <c r="N1720" s="72" t="str">
        <f>IF(AND(C1720="",J1720=0,K1720=0,L1720=0,M1720=0),"",CADASTROS!$B$4+SUM($J$2:J1720)+SUM($M$2:M1720)-SUM($K$2:K1720)-SUM($L$2:L1720))</f>
        <v/>
      </c>
      <c r="O1720" s="72" t="str">
        <f>IF(A1720="","",SUMIF(RATEIOS!$A$2:$A$3142,$A1720,RATEIOS!$F$2:$F$3142))</f>
        <v/>
      </c>
      <c r="P1720" s="15" t="str">
        <f t="shared" si="54"/>
        <v/>
      </c>
      <c r="Q1720" s="49" t="str">
        <f>IF(AND(J1720=0,K1720=0,L1720=0,M1720=0),"",IF(O1720=0,"PENDENTE DE RATEIO",IF(ABS(P1720)&gt;0.005,"DIVERGÊNCIA",IF(COUNTIF(RATEIOS!$A$2:$A$3142,$A1720)-COUNTIFS(RATEIOS!$A$2:$A$3142,$A1720,RATEIOS!$D$2:$D$3142,"&lt;&gt;")&gt;0,"NÃO CLASSIFICADO","RATEIO OK"))))</f>
        <v/>
      </c>
      <c r="R1720" s="49"/>
      <c r="S1720" s="14"/>
    </row>
    <row r="1721" spans="1:19" ht="30" customHeight="1" x14ac:dyDescent="0.25">
      <c r="A1721" s="49" t="str">
        <f>IF(C1721="","","BAN-01720")</f>
        <v/>
      </c>
      <c r="B1721" s="98" t="str">
        <f>IF(C1721="","",1720)</f>
        <v/>
      </c>
      <c r="C1721" s="50"/>
      <c r="D1721" s="49" t="str">
        <f t="shared" si="53"/>
        <v/>
      </c>
      <c r="E1721" s="92"/>
      <c r="F1721" s="49"/>
      <c r="G1721" s="14"/>
      <c r="H1721" s="14"/>
      <c r="I1721" s="76"/>
      <c r="J1721" s="73"/>
      <c r="K1721" s="74"/>
      <c r="L1721" s="72"/>
      <c r="M1721" s="72"/>
      <c r="N1721" s="72" t="str">
        <f>IF(AND(C1721="",J1721=0,K1721=0,L1721=0,M1721=0),"",CADASTROS!$B$4+SUM($J$2:J1721)+SUM($M$2:M1721)-SUM($K$2:K1721)-SUM($L$2:L1721))</f>
        <v/>
      </c>
      <c r="O1721" s="72" t="str">
        <f>IF(A1721="","",SUMIF(RATEIOS!$A$2:$A$3142,$A1721,RATEIOS!$F$2:$F$3142))</f>
        <v/>
      </c>
      <c r="P1721" s="15" t="str">
        <f t="shared" si="54"/>
        <v/>
      </c>
      <c r="Q1721" s="49" t="str">
        <f>IF(AND(J1721=0,K1721=0,L1721=0,M1721=0),"",IF(O1721=0,"PENDENTE DE RATEIO",IF(ABS(P1721)&gt;0.005,"DIVERGÊNCIA",IF(COUNTIF(RATEIOS!$A$2:$A$3142,$A1721)-COUNTIFS(RATEIOS!$A$2:$A$3142,$A1721,RATEIOS!$D$2:$D$3142,"&lt;&gt;")&gt;0,"NÃO CLASSIFICADO","RATEIO OK"))))</f>
        <v/>
      </c>
      <c r="R1721" s="49"/>
      <c r="S1721" s="14"/>
    </row>
    <row r="1722" spans="1:19" ht="30" customHeight="1" x14ac:dyDescent="0.25">
      <c r="A1722" s="49" t="str">
        <f>IF(C1722="","","BAN-01721")</f>
        <v/>
      </c>
      <c r="B1722" s="98" t="str">
        <f>IF(C1722="","",1721)</f>
        <v/>
      </c>
      <c r="C1722" s="50"/>
      <c r="D1722" s="49" t="str">
        <f t="shared" si="53"/>
        <v/>
      </c>
      <c r="E1722" s="92"/>
      <c r="F1722" s="49"/>
      <c r="G1722" s="14"/>
      <c r="H1722" s="14"/>
      <c r="I1722" s="76"/>
      <c r="J1722" s="73"/>
      <c r="K1722" s="74"/>
      <c r="L1722" s="72"/>
      <c r="M1722" s="72"/>
      <c r="N1722" s="72" t="str">
        <f>IF(AND(C1722="",J1722=0,K1722=0,L1722=0,M1722=0),"",CADASTROS!$B$4+SUM($J$2:J1722)+SUM($M$2:M1722)-SUM($K$2:K1722)-SUM($L$2:L1722))</f>
        <v/>
      </c>
      <c r="O1722" s="72" t="str">
        <f>IF(A1722="","",SUMIF(RATEIOS!$A$2:$A$3142,$A1722,RATEIOS!$F$2:$F$3142))</f>
        <v/>
      </c>
      <c r="P1722" s="15" t="str">
        <f t="shared" si="54"/>
        <v/>
      </c>
      <c r="Q1722" s="49" t="str">
        <f>IF(AND(J1722=0,K1722=0,L1722=0,M1722=0),"",IF(O1722=0,"PENDENTE DE RATEIO",IF(ABS(P1722)&gt;0.005,"DIVERGÊNCIA",IF(COUNTIF(RATEIOS!$A$2:$A$3142,$A1722)-COUNTIFS(RATEIOS!$A$2:$A$3142,$A1722,RATEIOS!$D$2:$D$3142,"&lt;&gt;")&gt;0,"NÃO CLASSIFICADO","RATEIO OK"))))</f>
        <v/>
      </c>
      <c r="R1722" s="49"/>
      <c r="S1722" s="14"/>
    </row>
    <row r="1723" spans="1:19" ht="30" customHeight="1" x14ac:dyDescent="0.25">
      <c r="A1723" s="49" t="str">
        <f>IF(C1723="","","BAN-01722")</f>
        <v/>
      </c>
      <c r="B1723" s="98" t="str">
        <f>IF(C1723="","",1722)</f>
        <v/>
      </c>
      <c r="C1723" s="50"/>
      <c r="D1723" s="49" t="str">
        <f t="shared" si="53"/>
        <v/>
      </c>
      <c r="E1723" s="92"/>
      <c r="F1723" s="49"/>
      <c r="G1723" s="14"/>
      <c r="H1723" s="14"/>
      <c r="I1723" s="76"/>
      <c r="J1723" s="73"/>
      <c r="K1723" s="74"/>
      <c r="L1723" s="72"/>
      <c r="M1723" s="72"/>
      <c r="N1723" s="72" t="str">
        <f>IF(AND(C1723="",J1723=0,K1723=0,L1723=0,M1723=0),"",CADASTROS!$B$4+SUM($J$2:J1723)+SUM($M$2:M1723)-SUM($K$2:K1723)-SUM($L$2:L1723))</f>
        <v/>
      </c>
      <c r="O1723" s="72" t="str">
        <f>IF(A1723="","",SUMIF(RATEIOS!$A$2:$A$3142,$A1723,RATEIOS!$F$2:$F$3142))</f>
        <v/>
      </c>
      <c r="P1723" s="15" t="str">
        <f t="shared" si="54"/>
        <v/>
      </c>
      <c r="Q1723" s="49" t="str">
        <f>IF(AND(J1723=0,K1723=0,L1723=0,M1723=0),"",IF(O1723=0,"PENDENTE DE RATEIO",IF(ABS(P1723)&gt;0.005,"DIVERGÊNCIA",IF(COUNTIF(RATEIOS!$A$2:$A$3142,$A1723)-COUNTIFS(RATEIOS!$A$2:$A$3142,$A1723,RATEIOS!$D$2:$D$3142,"&lt;&gt;")&gt;0,"NÃO CLASSIFICADO","RATEIO OK"))))</f>
        <v/>
      </c>
      <c r="R1723" s="49"/>
      <c r="S1723" s="14"/>
    </row>
    <row r="1724" spans="1:19" ht="30" customHeight="1" x14ac:dyDescent="0.25">
      <c r="A1724" s="49" t="str">
        <f>IF(C1724="","","BAN-01723")</f>
        <v/>
      </c>
      <c r="B1724" s="98" t="str">
        <f>IF(C1724="","",1723)</f>
        <v/>
      </c>
      <c r="C1724" s="50"/>
      <c r="D1724" s="49" t="str">
        <f t="shared" si="53"/>
        <v/>
      </c>
      <c r="E1724" s="92"/>
      <c r="F1724" s="49"/>
      <c r="G1724" s="14"/>
      <c r="H1724" s="14"/>
      <c r="I1724" s="76"/>
      <c r="J1724" s="73"/>
      <c r="K1724" s="74"/>
      <c r="L1724" s="72"/>
      <c r="M1724" s="72"/>
      <c r="N1724" s="72" t="str">
        <f>IF(AND(C1724="",J1724=0,K1724=0,L1724=0,M1724=0),"",CADASTROS!$B$4+SUM($J$2:J1724)+SUM($M$2:M1724)-SUM($K$2:K1724)-SUM($L$2:L1724))</f>
        <v/>
      </c>
      <c r="O1724" s="72" t="str">
        <f>IF(A1724="","",SUMIF(RATEIOS!$A$2:$A$3142,$A1724,RATEIOS!$F$2:$F$3142))</f>
        <v/>
      </c>
      <c r="P1724" s="15" t="str">
        <f t="shared" si="54"/>
        <v/>
      </c>
      <c r="Q1724" s="49" t="str">
        <f>IF(AND(J1724=0,K1724=0,L1724=0,M1724=0),"",IF(O1724=0,"PENDENTE DE RATEIO",IF(ABS(P1724)&gt;0.005,"DIVERGÊNCIA",IF(COUNTIF(RATEIOS!$A$2:$A$3142,$A1724)-COUNTIFS(RATEIOS!$A$2:$A$3142,$A1724,RATEIOS!$D$2:$D$3142,"&lt;&gt;")&gt;0,"NÃO CLASSIFICADO","RATEIO OK"))))</f>
        <v/>
      </c>
      <c r="R1724" s="49"/>
      <c r="S1724" s="14"/>
    </row>
    <row r="1725" spans="1:19" ht="30" customHeight="1" x14ac:dyDescent="0.25">
      <c r="A1725" s="49" t="str">
        <f>IF(C1725="","","BAN-01724")</f>
        <v/>
      </c>
      <c r="B1725" s="98" t="str">
        <f>IF(C1725="","",1724)</f>
        <v/>
      </c>
      <c r="C1725" s="50"/>
      <c r="D1725" s="49" t="str">
        <f t="shared" si="53"/>
        <v/>
      </c>
      <c r="E1725" s="92"/>
      <c r="F1725" s="49"/>
      <c r="G1725" s="14"/>
      <c r="H1725" s="14"/>
      <c r="I1725" s="76"/>
      <c r="J1725" s="73"/>
      <c r="K1725" s="74"/>
      <c r="L1725" s="72"/>
      <c r="M1725" s="72"/>
      <c r="N1725" s="72" t="str">
        <f>IF(AND(C1725="",J1725=0,K1725=0,L1725=0,M1725=0),"",CADASTROS!$B$4+SUM($J$2:J1725)+SUM($M$2:M1725)-SUM($K$2:K1725)-SUM($L$2:L1725))</f>
        <v/>
      </c>
      <c r="O1725" s="72" t="str">
        <f>IF(A1725="","",SUMIF(RATEIOS!$A$2:$A$3142,$A1725,RATEIOS!$F$2:$F$3142))</f>
        <v/>
      </c>
      <c r="P1725" s="15" t="str">
        <f t="shared" si="54"/>
        <v/>
      </c>
      <c r="Q1725" s="49" t="str">
        <f>IF(AND(J1725=0,K1725=0,L1725=0,M1725=0),"",IF(O1725=0,"PENDENTE DE RATEIO",IF(ABS(P1725)&gt;0.005,"DIVERGÊNCIA",IF(COUNTIF(RATEIOS!$A$2:$A$3142,$A1725)-COUNTIFS(RATEIOS!$A$2:$A$3142,$A1725,RATEIOS!$D$2:$D$3142,"&lt;&gt;")&gt;0,"NÃO CLASSIFICADO","RATEIO OK"))))</f>
        <v/>
      </c>
      <c r="R1725" s="49"/>
      <c r="S1725" s="14"/>
    </row>
    <row r="1726" spans="1:19" ht="30" customHeight="1" x14ac:dyDescent="0.25">
      <c r="A1726" s="49" t="str">
        <f>IF(C1726="","","BAN-01725")</f>
        <v/>
      </c>
      <c r="B1726" s="98" t="str">
        <f>IF(C1726="","",1725)</f>
        <v/>
      </c>
      <c r="C1726" s="50"/>
      <c r="D1726" s="49" t="str">
        <f t="shared" si="53"/>
        <v/>
      </c>
      <c r="E1726" s="92"/>
      <c r="F1726" s="49"/>
      <c r="G1726" s="14"/>
      <c r="H1726" s="14"/>
      <c r="I1726" s="76"/>
      <c r="J1726" s="73"/>
      <c r="K1726" s="74"/>
      <c r="L1726" s="72"/>
      <c r="M1726" s="72"/>
      <c r="N1726" s="72" t="str">
        <f>IF(AND(C1726="",J1726=0,K1726=0,L1726=0,M1726=0),"",CADASTROS!$B$4+SUM($J$2:J1726)+SUM($M$2:M1726)-SUM($K$2:K1726)-SUM($L$2:L1726))</f>
        <v/>
      </c>
      <c r="O1726" s="72" t="str">
        <f>IF(A1726="","",SUMIF(RATEIOS!$A$2:$A$3142,$A1726,RATEIOS!$F$2:$F$3142))</f>
        <v/>
      </c>
      <c r="P1726" s="15" t="str">
        <f t="shared" si="54"/>
        <v/>
      </c>
      <c r="Q1726" s="49" t="str">
        <f>IF(AND(J1726=0,K1726=0,L1726=0,M1726=0),"",IF(O1726=0,"PENDENTE DE RATEIO",IF(ABS(P1726)&gt;0.005,"DIVERGÊNCIA",IF(COUNTIF(RATEIOS!$A$2:$A$3142,$A1726)-COUNTIFS(RATEIOS!$A$2:$A$3142,$A1726,RATEIOS!$D$2:$D$3142,"&lt;&gt;")&gt;0,"NÃO CLASSIFICADO","RATEIO OK"))))</f>
        <v/>
      </c>
      <c r="R1726" s="49"/>
      <c r="S1726" s="14"/>
    </row>
    <row r="1727" spans="1:19" ht="30" customHeight="1" x14ac:dyDescent="0.25">
      <c r="A1727" s="49" t="str">
        <f>IF(C1727="","","BAN-01726")</f>
        <v/>
      </c>
      <c r="B1727" s="98" t="str">
        <f>IF(C1727="","",1726)</f>
        <v/>
      </c>
      <c r="C1727" s="50"/>
      <c r="D1727" s="49" t="str">
        <f t="shared" si="53"/>
        <v/>
      </c>
      <c r="E1727" s="92"/>
      <c r="F1727" s="49"/>
      <c r="G1727" s="14"/>
      <c r="H1727" s="14"/>
      <c r="I1727" s="76"/>
      <c r="J1727" s="73"/>
      <c r="K1727" s="74"/>
      <c r="L1727" s="72"/>
      <c r="M1727" s="72"/>
      <c r="N1727" s="72" t="str">
        <f>IF(AND(C1727="",J1727=0,K1727=0,L1727=0,M1727=0),"",CADASTROS!$B$4+SUM($J$2:J1727)+SUM($M$2:M1727)-SUM($K$2:K1727)-SUM($L$2:L1727))</f>
        <v/>
      </c>
      <c r="O1727" s="72" t="str">
        <f>IF(A1727="","",SUMIF(RATEIOS!$A$2:$A$3142,$A1727,RATEIOS!$F$2:$F$3142))</f>
        <v/>
      </c>
      <c r="P1727" s="15" t="str">
        <f t="shared" si="54"/>
        <v/>
      </c>
      <c r="Q1727" s="49" t="str">
        <f>IF(AND(J1727=0,K1727=0,L1727=0,M1727=0),"",IF(O1727=0,"PENDENTE DE RATEIO",IF(ABS(P1727)&gt;0.005,"DIVERGÊNCIA",IF(COUNTIF(RATEIOS!$A$2:$A$3142,$A1727)-COUNTIFS(RATEIOS!$A$2:$A$3142,$A1727,RATEIOS!$D$2:$D$3142,"&lt;&gt;")&gt;0,"NÃO CLASSIFICADO","RATEIO OK"))))</f>
        <v/>
      </c>
      <c r="R1727" s="49"/>
      <c r="S1727" s="14"/>
    </row>
    <row r="1728" spans="1:19" ht="30" customHeight="1" x14ac:dyDescent="0.25">
      <c r="A1728" s="49" t="str">
        <f>IF(C1728="","","BAN-01727")</f>
        <v/>
      </c>
      <c r="B1728" s="98" t="str">
        <f>IF(C1728="","",1727)</f>
        <v/>
      </c>
      <c r="C1728" s="50"/>
      <c r="D1728" s="49" t="str">
        <f t="shared" si="53"/>
        <v/>
      </c>
      <c r="E1728" s="92"/>
      <c r="F1728" s="49"/>
      <c r="G1728" s="14"/>
      <c r="H1728" s="14"/>
      <c r="I1728" s="76"/>
      <c r="J1728" s="73"/>
      <c r="K1728" s="74"/>
      <c r="L1728" s="72"/>
      <c r="M1728" s="72"/>
      <c r="N1728" s="72" t="str">
        <f>IF(AND(C1728="",J1728=0,K1728=0,L1728=0,M1728=0),"",CADASTROS!$B$4+SUM($J$2:J1728)+SUM($M$2:M1728)-SUM($K$2:K1728)-SUM($L$2:L1728))</f>
        <v/>
      </c>
      <c r="O1728" s="72" t="str">
        <f>IF(A1728="","",SUMIF(RATEIOS!$A$2:$A$3142,$A1728,RATEIOS!$F$2:$F$3142))</f>
        <v/>
      </c>
      <c r="P1728" s="15" t="str">
        <f t="shared" si="54"/>
        <v/>
      </c>
      <c r="Q1728" s="49" t="str">
        <f>IF(AND(J1728=0,K1728=0,L1728=0,M1728=0),"",IF(O1728=0,"PENDENTE DE RATEIO",IF(ABS(P1728)&gt;0.005,"DIVERGÊNCIA",IF(COUNTIF(RATEIOS!$A$2:$A$3142,$A1728)-COUNTIFS(RATEIOS!$A$2:$A$3142,$A1728,RATEIOS!$D$2:$D$3142,"&lt;&gt;")&gt;0,"NÃO CLASSIFICADO","RATEIO OK"))))</f>
        <v/>
      </c>
      <c r="R1728" s="49"/>
      <c r="S1728" s="14"/>
    </row>
    <row r="1729" spans="1:19" ht="30" customHeight="1" x14ac:dyDescent="0.25">
      <c r="A1729" s="49" t="str">
        <f>IF(C1729="","","BAN-01728")</f>
        <v/>
      </c>
      <c r="B1729" s="98" t="str">
        <f>IF(C1729="","",1728)</f>
        <v/>
      </c>
      <c r="C1729" s="50"/>
      <c r="D1729" s="49" t="str">
        <f t="shared" si="53"/>
        <v/>
      </c>
      <c r="E1729" s="92"/>
      <c r="F1729" s="49"/>
      <c r="G1729" s="14"/>
      <c r="H1729" s="14"/>
      <c r="I1729" s="76"/>
      <c r="J1729" s="73"/>
      <c r="K1729" s="74"/>
      <c r="L1729" s="72"/>
      <c r="M1729" s="72"/>
      <c r="N1729" s="72" t="str">
        <f>IF(AND(C1729="",J1729=0,K1729=0,L1729=0,M1729=0),"",CADASTROS!$B$4+SUM($J$2:J1729)+SUM($M$2:M1729)-SUM($K$2:K1729)-SUM($L$2:L1729))</f>
        <v/>
      </c>
      <c r="O1729" s="72" t="str">
        <f>IF(A1729="","",SUMIF(RATEIOS!$A$2:$A$3142,$A1729,RATEIOS!$F$2:$F$3142))</f>
        <v/>
      </c>
      <c r="P1729" s="15" t="str">
        <f t="shared" si="54"/>
        <v/>
      </c>
      <c r="Q1729" s="49" t="str">
        <f>IF(AND(J1729=0,K1729=0,L1729=0,M1729=0),"",IF(O1729=0,"PENDENTE DE RATEIO",IF(ABS(P1729)&gt;0.005,"DIVERGÊNCIA",IF(COUNTIF(RATEIOS!$A$2:$A$3142,$A1729)-COUNTIFS(RATEIOS!$A$2:$A$3142,$A1729,RATEIOS!$D$2:$D$3142,"&lt;&gt;")&gt;0,"NÃO CLASSIFICADO","RATEIO OK"))))</f>
        <v/>
      </c>
      <c r="R1729" s="49"/>
      <c r="S1729" s="14"/>
    </row>
    <row r="1730" spans="1:19" ht="30" customHeight="1" x14ac:dyDescent="0.25">
      <c r="A1730" s="49" t="str">
        <f>IF(C1730="","","BAN-01729")</f>
        <v/>
      </c>
      <c r="B1730" s="98" t="str">
        <f>IF(C1730="","",1729)</f>
        <v/>
      </c>
      <c r="C1730" s="50"/>
      <c r="D1730" s="49" t="str">
        <f t="shared" ref="D1730:D1793" si="55">IF(C1730="","",MONTH(C1730))</f>
        <v/>
      </c>
      <c r="E1730" s="92"/>
      <c r="F1730" s="49"/>
      <c r="G1730" s="14"/>
      <c r="H1730" s="14"/>
      <c r="I1730" s="76"/>
      <c r="J1730" s="73"/>
      <c r="K1730" s="74"/>
      <c r="L1730" s="72"/>
      <c r="M1730" s="72"/>
      <c r="N1730" s="72" t="str">
        <f>IF(AND(C1730="",J1730=0,K1730=0,L1730=0,M1730=0),"",CADASTROS!$B$4+SUM($J$2:J1730)+SUM($M$2:M1730)-SUM($K$2:K1730)-SUM($L$2:L1730))</f>
        <v/>
      </c>
      <c r="O1730" s="72" t="str">
        <f>IF(A1730="","",SUMIF(RATEIOS!$A$2:$A$3142,$A1730,RATEIOS!$F$2:$F$3142))</f>
        <v/>
      </c>
      <c r="P1730" s="15" t="str">
        <f t="shared" ref="P1730:P1793" si="56">IF(A1730="","",(J1730+K1730+L1730+M1730)-O1730)</f>
        <v/>
      </c>
      <c r="Q1730" s="49" t="str">
        <f>IF(AND(J1730=0,K1730=0,L1730=0,M1730=0),"",IF(O1730=0,"PENDENTE DE RATEIO",IF(ABS(P1730)&gt;0.005,"DIVERGÊNCIA",IF(COUNTIF(RATEIOS!$A$2:$A$3142,$A1730)-COUNTIFS(RATEIOS!$A$2:$A$3142,$A1730,RATEIOS!$D$2:$D$3142,"&lt;&gt;")&gt;0,"NÃO CLASSIFICADO","RATEIO OK"))))</f>
        <v/>
      </c>
      <c r="R1730" s="49"/>
      <c r="S1730" s="14"/>
    </row>
    <row r="1731" spans="1:19" ht="30" customHeight="1" x14ac:dyDescent="0.25">
      <c r="A1731" s="49" t="str">
        <f>IF(C1731="","","BAN-01730")</f>
        <v/>
      </c>
      <c r="B1731" s="98" t="str">
        <f>IF(C1731="","",1730)</f>
        <v/>
      </c>
      <c r="C1731" s="50"/>
      <c r="D1731" s="49" t="str">
        <f t="shared" si="55"/>
        <v/>
      </c>
      <c r="E1731" s="92"/>
      <c r="F1731" s="49"/>
      <c r="G1731" s="14"/>
      <c r="H1731" s="14"/>
      <c r="I1731" s="76"/>
      <c r="J1731" s="73"/>
      <c r="K1731" s="74"/>
      <c r="L1731" s="72"/>
      <c r="M1731" s="72"/>
      <c r="N1731" s="72" t="str">
        <f>IF(AND(C1731="",J1731=0,K1731=0,L1731=0,M1731=0),"",CADASTROS!$B$4+SUM($J$2:J1731)+SUM($M$2:M1731)-SUM($K$2:K1731)-SUM($L$2:L1731))</f>
        <v/>
      </c>
      <c r="O1731" s="72" t="str">
        <f>IF(A1731="","",SUMIF(RATEIOS!$A$2:$A$3142,$A1731,RATEIOS!$F$2:$F$3142))</f>
        <v/>
      </c>
      <c r="P1731" s="15" t="str">
        <f t="shared" si="56"/>
        <v/>
      </c>
      <c r="Q1731" s="49" t="str">
        <f>IF(AND(J1731=0,K1731=0,L1731=0,M1731=0),"",IF(O1731=0,"PENDENTE DE RATEIO",IF(ABS(P1731)&gt;0.005,"DIVERGÊNCIA",IF(COUNTIF(RATEIOS!$A$2:$A$3142,$A1731)-COUNTIFS(RATEIOS!$A$2:$A$3142,$A1731,RATEIOS!$D$2:$D$3142,"&lt;&gt;")&gt;0,"NÃO CLASSIFICADO","RATEIO OK"))))</f>
        <v/>
      </c>
      <c r="R1731" s="49"/>
      <c r="S1731" s="14"/>
    </row>
    <row r="1732" spans="1:19" ht="30" customHeight="1" x14ac:dyDescent="0.25">
      <c r="A1732" s="49" t="str">
        <f>IF(C1732="","","BAN-01731")</f>
        <v/>
      </c>
      <c r="B1732" s="98" t="str">
        <f>IF(C1732="","",1731)</f>
        <v/>
      </c>
      <c r="C1732" s="50"/>
      <c r="D1732" s="49" t="str">
        <f t="shared" si="55"/>
        <v/>
      </c>
      <c r="E1732" s="92"/>
      <c r="F1732" s="49"/>
      <c r="G1732" s="14"/>
      <c r="H1732" s="14"/>
      <c r="I1732" s="76"/>
      <c r="J1732" s="73"/>
      <c r="K1732" s="74"/>
      <c r="L1732" s="72"/>
      <c r="M1732" s="72"/>
      <c r="N1732" s="72" t="str">
        <f>IF(AND(C1732="",J1732=0,K1732=0,L1732=0,M1732=0),"",CADASTROS!$B$4+SUM($J$2:J1732)+SUM($M$2:M1732)-SUM($K$2:K1732)-SUM($L$2:L1732))</f>
        <v/>
      </c>
      <c r="O1732" s="72" t="str">
        <f>IF(A1732="","",SUMIF(RATEIOS!$A$2:$A$3142,$A1732,RATEIOS!$F$2:$F$3142))</f>
        <v/>
      </c>
      <c r="P1732" s="15" t="str">
        <f t="shared" si="56"/>
        <v/>
      </c>
      <c r="Q1732" s="49" t="str">
        <f>IF(AND(J1732=0,K1732=0,L1732=0,M1732=0),"",IF(O1732=0,"PENDENTE DE RATEIO",IF(ABS(P1732)&gt;0.005,"DIVERGÊNCIA",IF(COUNTIF(RATEIOS!$A$2:$A$3142,$A1732)-COUNTIFS(RATEIOS!$A$2:$A$3142,$A1732,RATEIOS!$D$2:$D$3142,"&lt;&gt;")&gt;0,"NÃO CLASSIFICADO","RATEIO OK"))))</f>
        <v/>
      </c>
      <c r="R1732" s="49"/>
      <c r="S1732" s="14"/>
    </row>
    <row r="1733" spans="1:19" ht="30" customHeight="1" x14ac:dyDescent="0.25">
      <c r="A1733" s="49" t="str">
        <f>IF(C1733="","","BAN-01732")</f>
        <v/>
      </c>
      <c r="B1733" s="98" t="str">
        <f>IF(C1733="","",1732)</f>
        <v/>
      </c>
      <c r="C1733" s="50"/>
      <c r="D1733" s="49" t="str">
        <f t="shared" si="55"/>
        <v/>
      </c>
      <c r="E1733" s="92"/>
      <c r="F1733" s="49"/>
      <c r="G1733" s="14"/>
      <c r="H1733" s="14"/>
      <c r="I1733" s="76"/>
      <c r="J1733" s="73"/>
      <c r="K1733" s="74"/>
      <c r="L1733" s="72"/>
      <c r="M1733" s="72"/>
      <c r="N1733" s="72" t="str">
        <f>IF(AND(C1733="",J1733=0,K1733=0,L1733=0,M1733=0),"",CADASTROS!$B$4+SUM($J$2:J1733)+SUM($M$2:M1733)-SUM($K$2:K1733)-SUM($L$2:L1733))</f>
        <v/>
      </c>
      <c r="O1733" s="72" t="str">
        <f>IF(A1733="","",SUMIF(RATEIOS!$A$2:$A$3142,$A1733,RATEIOS!$F$2:$F$3142))</f>
        <v/>
      </c>
      <c r="P1733" s="15" t="str">
        <f t="shared" si="56"/>
        <v/>
      </c>
      <c r="Q1733" s="49" t="str">
        <f>IF(AND(J1733=0,K1733=0,L1733=0,M1733=0),"",IF(O1733=0,"PENDENTE DE RATEIO",IF(ABS(P1733)&gt;0.005,"DIVERGÊNCIA",IF(COUNTIF(RATEIOS!$A$2:$A$3142,$A1733)-COUNTIFS(RATEIOS!$A$2:$A$3142,$A1733,RATEIOS!$D$2:$D$3142,"&lt;&gt;")&gt;0,"NÃO CLASSIFICADO","RATEIO OK"))))</f>
        <v/>
      </c>
      <c r="R1733" s="49"/>
      <c r="S1733" s="14"/>
    </row>
    <row r="1734" spans="1:19" ht="30" customHeight="1" x14ac:dyDescent="0.25">
      <c r="A1734" s="49" t="str">
        <f>IF(C1734="","","BAN-01733")</f>
        <v/>
      </c>
      <c r="B1734" s="98" t="str">
        <f>IF(C1734="","",1733)</f>
        <v/>
      </c>
      <c r="C1734" s="50"/>
      <c r="D1734" s="49" t="str">
        <f t="shared" si="55"/>
        <v/>
      </c>
      <c r="E1734" s="92"/>
      <c r="F1734" s="49"/>
      <c r="G1734" s="14"/>
      <c r="H1734" s="14"/>
      <c r="I1734" s="76"/>
      <c r="J1734" s="73"/>
      <c r="K1734" s="74"/>
      <c r="L1734" s="72"/>
      <c r="M1734" s="72"/>
      <c r="N1734" s="72" t="str">
        <f>IF(AND(C1734="",J1734=0,K1734=0,L1734=0,M1734=0),"",CADASTROS!$B$4+SUM($J$2:J1734)+SUM($M$2:M1734)-SUM($K$2:K1734)-SUM($L$2:L1734))</f>
        <v/>
      </c>
      <c r="O1734" s="72" t="str">
        <f>IF(A1734="","",SUMIF(RATEIOS!$A$2:$A$3142,$A1734,RATEIOS!$F$2:$F$3142))</f>
        <v/>
      </c>
      <c r="P1734" s="15" t="str">
        <f t="shared" si="56"/>
        <v/>
      </c>
      <c r="Q1734" s="49" t="str">
        <f>IF(AND(J1734=0,K1734=0,L1734=0,M1734=0),"",IF(O1734=0,"PENDENTE DE RATEIO",IF(ABS(P1734)&gt;0.005,"DIVERGÊNCIA",IF(COUNTIF(RATEIOS!$A$2:$A$3142,$A1734)-COUNTIFS(RATEIOS!$A$2:$A$3142,$A1734,RATEIOS!$D$2:$D$3142,"&lt;&gt;")&gt;0,"NÃO CLASSIFICADO","RATEIO OK"))))</f>
        <v/>
      </c>
      <c r="R1734" s="49"/>
      <c r="S1734" s="14"/>
    </row>
    <row r="1735" spans="1:19" ht="30" customHeight="1" x14ac:dyDescent="0.25">
      <c r="A1735" s="49" t="str">
        <f>IF(C1735="","","BAN-01734")</f>
        <v/>
      </c>
      <c r="B1735" s="98" t="str">
        <f>IF(C1735="","",1734)</f>
        <v/>
      </c>
      <c r="C1735" s="50"/>
      <c r="D1735" s="49" t="str">
        <f t="shared" si="55"/>
        <v/>
      </c>
      <c r="E1735" s="92"/>
      <c r="F1735" s="49"/>
      <c r="G1735" s="14"/>
      <c r="H1735" s="14"/>
      <c r="I1735" s="76"/>
      <c r="J1735" s="73"/>
      <c r="K1735" s="74"/>
      <c r="L1735" s="72"/>
      <c r="M1735" s="72"/>
      <c r="N1735" s="72" t="str">
        <f>IF(AND(C1735="",J1735=0,K1735=0,L1735=0,M1735=0),"",CADASTROS!$B$4+SUM($J$2:J1735)+SUM($M$2:M1735)-SUM($K$2:K1735)-SUM($L$2:L1735))</f>
        <v/>
      </c>
      <c r="O1735" s="72" t="str">
        <f>IF(A1735="","",SUMIF(RATEIOS!$A$2:$A$3142,$A1735,RATEIOS!$F$2:$F$3142))</f>
        <v/>
      </c>
      <c r="P1735" s="15" t="str">
        <f t="shared" si="56"/>
        <v/>
      </c>
      <c r="Q1735" s="49" t="str">
        <f>IF(AND(J1735=0,K1735=0,L1735=0,M1735=0),"",IF(O1735=0,"PENDENTE DE RATEIO",IF(ABS(P1735)&gt;0.005,"DIVERGÊNCIA",IF(COUNTIF(RATEIOS!$A$2:$A$3142,$A1735)-COUNTIFS(RATEIOS!$A$2:$A$3142,$A1735,RATEIOS!$D$2:$D$3142,"&lt;&gt;")&gt;0,"NÃO CLASSIFICADO","RATEIO OK"))))</f>
        <v/>
      </c>
      <c r="R1735" s="49"/>
      <c r="S1735" s="14"/>
    </row>
    <row r="1736" spans="1:19" ht="30" customHeight="1" x14ac:dyDescent="0.25">
      <c r="A1736" s="49" t="str">
        <f>IF(C1736="","","BAN-01735")</f>
        <v/>
      </c>
      <c r="B1736" s="98" t="str">
        <f>IF(C1736="","",1735)</f>
        <v/>
      </c>
      <c r="C1736" s="50"/>
      <c r="D1736" s="49" t="str">
        <f t="shared" si="55"/>
        <v/>
      </c>
      <c r="E1736" s="92"/>
      <c r="F1736" s="49"/>
      <c r="G1736" s="14"/>
      <c r="H1736" s="14"/>
      <c r="I1736" s="76"/>
      <c r="J1736" s="73"/>
      <c r="K1736" s="74"/>
      <c r="L1736" s="72"/>
      <c r="M1736" s="72"/>
      <c r="N1736" s="72" t="str">
        <f>IF(AND(C1736="",J1736=0,K1736=0,L1736=0,M1736=0),"",CADASTROS!$B$4+SUM($J$2:J1736)+SUM($M$2:M1736)-SUM($K$2:K1736)-SUM($L$2:L1736))</f>
        <v/>
      </c>
      <c r="O1736" s="72" t="str">
        <f>IF(A1736="","",SUMIF(RATEIOS!$A$2:$A$3142,$A1736,RATEIOS!$F$2:$F$3142))</f>
        <v/>
      </c>
      <c r="P1736" s="15" t="str">
        <f t="shared" si="56"/>
        <v/>
      </c>
      <c r="Q1736" s="49" t="str">
        <f>IF(AND(J1736=0,K1736=0,L1736=0,M1736=0),"",IF(O1736=0,"PENDENTE DE RATEIO",IF(ABS(P1736)&gt;0.005,"DIVERGÊNCIA",IF(COUNTIF(RATEIOS!$A$2:$A$3142,$A1736)-COUNTIFS(RATEIOS!$A$2:$A$3142,$A1736,RATEIOS!$D$2:$D$3142,"&lt;&gt;")&gt;0,"NÃO CLASSIFICADO","RATEIO OK"))))</f>
        <v/>
      </c>
      <c r="R1736" s="49"/>
      <c r="S1736" s="14"/>
    </row>
    <row r="1737" spans="1:19" ht="30" customHeight="1" x14ac:dyDescent="0.25">
      <c r="A1737" s="49" t="str">
        <f>IF(C1737="","","BAN-01736")</f>
        <v/>
      </c>
      <c r="B1737" s="98" t="str">
        <f>IF(C1737="","",1736)</f>
        <v/>
      </c>
      <c r="C1737" s="50"/>
      <c r="D1737" s="49" t="str">
        <f t="shared" si="55"/>
        <v/>
      </c>
      <c r="E1737" s="92"/>
      <c r="F1737" s="49"/>
      <c r="G1737" s="14"/>
      <c r="H1737" s="14"/>
      <c r="I1737" s="76"/>
      <c r="J1737" s="73"/>
      <c r="K1737" s="74"/>
      <c r="L1737" s="72"/>
      <c r="M1737" s="72"/>
      <c r="N1737" s="72" t="str">
        <f>IF(AND(C1737="",J1737=0,K1737=0,L1737=0,M1737=0),"",CADASTROS!$B$4+SUM($J$2:J1737)+SUM($M$2:M1737)-SUM($K$2:K1737)-SUM($L$2:L1737))</f>
        <v/>
      </c>
      <c r="O1737" s="72" t="str">
        <f>IF(A1737="","",SUMIF(RATEIOS!$A$2:$A$3142,$A1737,RATEIOS!$F$2:$F$3142))</f>
        <v/>
      </c>
      <c r="P1737" s="15" t="str">
        <f t="shared" si="56"/>
        <v/>
      </c>
      <c r="Q1737" s="49" t="str">
        <f>IF(AND(J1737=0,K1737=0,L1737=0,M1737=0),"",IF(O1737=0,"PENDENTE DE RATEIO",IF(ABS(P1737)&gt;0.005,"DIVERGÊNCIA",IF(COUNTIF(RATEIOS!$A$2:$A$3142,$A1737)-COUNTIFS(RATEIOS!$A$2:$A$3142,$A1737,RATEIOS!$D$2:$D$3142,"&lt;&gt;")&gt;0,"NÃO CLASSIFICADO","RATEIO OK"))))</f>
        <v/>
      </c>
      <c r="R1737" s="49"/>
      <c r="S1737" s="14"/>
    </row>
    <row r="1738" spans="1:19" ht="30" customHeight="1" x14ac:dyDescent="0.25">
      <c r="A1738" s="49" t="str">
        <f>IF(C1738="","","BAN-01737")</f>
        <v/>
      </c>
      <c r="B1738" s="98" t="str">
        <f>IF(C1738="","",1737)</f>
        <v/>
      </c>
      <c r="C1738" s="50"/>
      <c r="D1738" s="49" t="str">
        <f t="shared" si="55"/>
        <v/>
      </c>
      <c r="E1738" s="92"/>
      <c r="F1738" s="49"/>
      <c r="G1738" s="14"/>
      <c r="H1738" s="14"/>
      <c r="I1738" s="76"/>
      <c r="J1738" s="73"/>
      <c r="K1738" s="74"/>
      <c r="L1738" s="72"/>
      <c r="M1738" s="72"/>
      <c r="N1738" s="72" t="str">
        <f>IF(AND(C1738="",J1738=0,K1738=0,L1738=0,M1738=0),"",CADASTROS!$B$4+SUM($J$2:J1738)+SUM($M$2:M1738)-SUM($K$2:K1738)-SUM($L$2:L1738))</f>
        <v/>
      </c>
      <c r="O1738" s="72" t="str">
        <f>IF(A1738="","",SUMIF(RATEIOS!$A$2:$A$3142,$A1738,RATEIOS!$F$2:$F$3142))</f>
        <v/>
      </c>
      <c r="P1738" s="15" t="str">
        <f t="shared" si="56"/>
        <v/>
      </c>
      <c r="Q1738" s="49" t="str">
        <f>IF(AND(J1738=0,K1738=0,L1738=0,M1738=0),"",IF(O1738=0,"PENDENTE DE RATEIO",IF(ABS(P1738)&gt;0.005,"DIVERGÊNCIA",IF(COUNTIF(RATEIOS!$A$2:$A$3142,$A1738)-COUNTIFS(RATEIOS!$A$2:$A$3142,$A1738,RATEIOS!$D$2:$D$3142,"&lt;&gt;")&gt;0,"NÃO CLASSIFICADO","RATEIO OK"))))</f>
        <v/>
      </c>
      <c r="R1738" s="49"/>
      <c r="S1738" s="14"/>
    </row>
    <row r="1739" spans="1:19" ht="30" customHeight="1" x14ac:dyDescent="0.25">
      <c r="A1739" s="49" t="str">
        <f>IF(C1739="","","BAN-01738")</f>
        <v/>
      </c>
      <c r="B1739" s="98" t="str">
        <f>IF(C1739="","",1738)</f>
        <v/>
      </c>
      <c r="C1739" s="50"/>
      <c r="D1739" s="49" t="str">
        <f t="shared" si="55"/>
        <v/>
      </c>
      <c r="E1739" s="92"/>
      <c r="F1739" s="49"/>
      <c r="G1739" s="14"/>
      <c r="H1739" s="14"/>
      <c r="I1739" s="76"/>
      <c r="J1739" s="73"/>
      <c r="K1739" s="74"/>
      <c r="L1739" s="72"/>
      <c r="M1739" s="72"/>
      <c r="N1739" s="72" t="str">
        <f>IF(AND(C1739="",J1739=0,K1739=0,L1739=0,M1739=0),"",CADASTROS!$B$4+SUM($J$2:J1739)+SUM($M$2:M1739)-SUM($K$2:K1739)-SUM($L$2:L1739))</f>
        <v/>
      </c>
      <c r="O1739" s="72" t="str">
        <f>IF(A1739="","",SUMIF(RATEIOS!$A$2:$A$3142,$A1739,RATEIOS!$F$2:$F$3142))</f>
        <v/>
      </c>
      <c r="P1739" s="15" t="str">
        <f t="shared" si="56"/>
        <v/>
      </c>
      <c r="Q1739" s="49" t="str">
        <f>IF(AND(J1739=0,K1739=0,L1739=0,M1739=0),"",IF(O1739=0,"PENDENTE DE RATEIO",IF(ABS(P1739)&gt;0.005,"DIVERGÊNCIA",IF(COUNTIF(RATEIOS!$A$2:$A$3142,$A1739)-COUNTIFS(RATEIOS!$A$2:$A$3142,$A1739,RATEIOS!$D$2:$D$3142,"&lt;&gt;")&gt;0,"NÃO CLASSIFICADO","RATEIO OK"))))</f>
        <v/>
      </c>
      <c r="R1739" s="49"/>
      <c r="S1739" s="14"/>
    </row>
    <row r="1740" spans="1:19" ht="30" customHeight="1" x14ac:dyDescent="0.25">
      <c r="A1740" s="49" t="str">
        <f>IF(C1740="","","BAN-01739")</f>
        <v/>
      </c>
      <c r="B1740" s="98" t="str">
        <f>IF(C1740="","",1739)</f>
        <v/>
      </c>
      <c r="C1740" s="50"/>
      <c r="D1740" s="49" t="str">
        <f t="shared" si="55"/>
        <v/>
      </c>
      <c r="E1740" s="92"/>
      <c r="F1740" s="49"/>
      <c r="G1740" s="14"/>
      <c r="H1740" s="14"/>
      <c r="I1740" s="76"/>
      <c r="J1740" s="73"/>
      <c r="K1740" s="74"/>
      <c r="L1740" s="72"/>
      <c r="M1740" s="72"/>
      <c r="N1740" s="72" t="str">
        <f>IF(AND(C1740="",J1740=0,K1740=0,L1740=0,M1740=0),"",CADASTROS!$B$4+SUM($J$2:J1740)+SUM($M$2:M1740)-SUM($K$2:K1740)-SUM($L$2:L1740))</f>
        <v/>
      </c>
      <c r="O1740" s="72" t="str">
        <f>IF(A1740="","",SUMIF(RATEIOS!$A$2:$A$3142,$A1740,RATEIOS!$F$2:$F$3142))</f>
        <v/>
      </c>
      <c r="P1740" s="15" t="str">
        <f t="shared" si="56"/>
        <v/>
      </c>
      <c r="Q1740" s="49" t="str">
        <f>IF(AND(J1740=0,K1740=0,L1740=0,M1740=0),"",IF(O1740=0,"PENDENTE DE RATEIO",IF(ABS(P1740)&gt;0.005,"DIVERGÊNCIA",IF(COUNTIF(RATEIOS!$A$2:$A$3142,$A1740)-COUNTIFS(RATEIOS!$A$2:$A$3142,$A1740,RATEIOS!$D$2:$D$3142,"&lt;&gt;")&gt;0,"NÃO CLASSIFICADO","RATEIO OK"))))</f>
        <v/>
      </c>
      <c r="R1740" s="49"/>
      <c r="S1740" s="14"/>
    </row>
    <row r="1741" spans="1:19" ht="30" customHeight="1" x14ac:dyDescent="0.25">
      <c r="A1741" s="49" t="str">
        <f>IF(C1741="","","BAN-01740")</f>
        <v/>
      </c>
      <c r="B1741" s="98" t="str">
        <f>IF(C1741="","",1740)</f>
        <v/>
      </c>
      <c r="C1741" s="50"/>
      <c r="D1741" s="49" t="str">
        <f t="shared" si="55"/>
        <v/>
      </c>
      <c r="E1741" s="92"/>
      <c r="F1741" s="49"/>
      <c r="G1741" s="14"/>
      <c r="H1741" s="14"/>
      <c r="I1741" s="76"/>
      <c r="J1741" s="73"/>
      <c r="K1741" s="74"/>
      <c r="L1741" s="72"/>
      <c r="M1741" s="72"/>
      <c r="N1741" s="72" t="str">
        <f>IF(AND(C1741="",J1741=0,K1741=0,L1741=0,M1741=0),"",CADASTROS!$B$4+SUM($J$2:J1741)+SUM($M$2:M1741)-SUM($K$2:K1741)-SUM($L$2:L1741))</f>
        <v/>
      </c>
      <c r="O1741" s="72" t="str">
        <f>IF(A1741="","",SUMIF(RATEIOS!$A$2:$A$3142,$A1741,RATEIOS!$F$2:$F$3142))</f>
        <v/>
      </c>
      <c r="P1741" s="15" t="str">
        <f t="shared" si="56"/>
        <v/>
      </c>
      <c r="Q1741" s="49" t="str">
        <f>IF(AND(J1741=0,K1741=0,L1741=0,M1741=0),"",IF(O1741=0,"PENDENTE DE RATEIO",IF(ABS(P1741)&gt;0.005,"DIVERGÊNCIA",IF(COUNTIF(RATEIOS!$A$2:$A$3142,$A1741)-COUNTIFS(RATEIOS!$A$2:$A$3142,$A1741,RATEIOS!$D$2:$D$3142,"&lt;&gt;")&gt;0,"NÃO CLASSIFICADO","RATEIO OK"))))</f>
        <v/>
      </c>
      <c r="R1741" s="49"/>
      <c r="S1741" s="14"/>
    </row>
    <row r="1742" spans="1:19" ht="30" customHeight="1" x14ac:dyDescent="0.25">
      <c r="A1742" s="49" t="str">
        <f>IF(C1742="","","BAN-01741")</f>
        <v/>
      </c>
      <c r="B1742" s="98" t="str">
        <f>IF(C1742="","",1741)</f>
        <v/>
      </c>
      <c r="C1742" s="50"/>
      <c r="D1742" s="49" t="str">
        <f t="shared" si="55"/>
        <v/>
      </c>
      <c r="E1742" s="92"/>
      <c r="F1742" s="49"/>
      <c r="G1742" s="14"/>
      <c r="H1742" s="14"/>
      <c r="I1742" s="76"/>
      <c r="J1742" s="73"/>
      <c r="K1742" s="74"/>
      <c r="L1742" s="72"/>
      <c r="M1742" s="72"/>
      <c r="N1742" s="72" t="str">
        <f>IF(AND(C1742="",J1742=0,K1742=0,L1742=0,M1742=0),"",CADASTROS!$B$4+SUM($J$2:J1742)+SUM($M$2:M1742)-SUM($K$2:K1742)-SUM($L$2:L1742))</f>
        <v/>
      </c>
      <c r="O1742" s="72" t="str">
        <f>IF(A1742="","",SUMIF(RATEIOS!$A$2:$A$3142,$A1742,RATEIOS!$F$2:$F$3142))</f>
        <v/>
      </c>
      <c r="P1742" s="15" t="str">
        <f t="shared" si="56"/>
        <v/>
      </c>
      <c r="Q1742" s="49" t="str">
        <f>IF(AND(J1742=0,K1742=0,L1742=0,M1742=0),"",IF(O1742=0,"PENDENTE DE RATEIO",IF(ABS(P1742)&gt;0.005,"DIVERGÊNCIA",IF(COUNTIF(RATEIOS!$A$2:$A$3142,$A1742)-COUNTIFS(RATEIOS!$A$2:$A$3142,$A1742,RATEIOS!$D$2:$D$3142,"&lt;&gt;")&gt;0,"NÃO CLASSIFICADO","RATEIO OK"))))</f>
        <v/>
      </c>
      <c r="R1742" s="49"/>
      <c r="S1742" s="14"/>
    </row>
    <row r="1743" spans="1:19" ht="30" customHeight="1" x14ac:dyDescent="0.25">
      <c r="A1743" s="49" t="str">
        <f>IF(C1743="","","BAN-01742")</f>
        <v/>
      </c>
      <c r="B1743" s="98" t="str">
        <f>IF(C1743="","",1742)</f>
        <v/>
      </c>
      <c r="C1743" s="50"/>
      <c r="D1743" s="49" t="str">
        <f t="shared" si="55"/>
        <v/>
      </c>
      <c r="E1743" s="92"/>
      <c r="F1743" s="49"/>
      <c r="G1743" s="14"/>
      <c r="H1743" s="14"/>
      <c r="I1743" s="76"/>
      <c r="J1743" s="73"/>
      <c r="K1743" s="74"/>
      <c r="L1743" s="72"/>
      <c r="M1743" s="72"/>
      <c r="N1743" s="72" t="str">
        <f>IF(AND(C1743="",J1743=0,K1743=0,L1743=0,M1743=0),"",CADASTROS!$B$4+SUM($J$2:J1743)+SUM($M$2:M1743)-SUM($K$2:K1743)-SUM($L$2:L1743))</f>
        <v/>
      </c>
      <c r="O1743" s="72" t="str">
        <f>IF(A1743="","",SUMIF(RATEIOS!$A$2:$A$3142,$A1743,RATEIOS!$F$2:$F$3142))</f>
        <v/>
      </c>
      <c r="P1743" s="15" t="str">
        <f t="shared" si="56"/>
        <v/>
      </c>
      <c r="Q1743" s="49" t="str">
        <f>IF(AND(J1743=0,K1743=0,L1743=0,M1743=0),"",IF(O1743=0,"PENDENTE DE RATEIO",IF(ABS(P1743)&gt;0.005,"DIVERGÊNCIA",IF(COUNTIF(RATEIOS!$A$2:$A$3142,$A1743)-COUNTIFS(RATEIOS!$A$2:$A$3142,$A1743,RATEIOS!$D$2:$D$3142,"&lt;&gt;")&gt;0,"NÃO CLASSIFICADO","RATEIO OK"))))</f>
        <v/>
      </c>
      <c r="R1743" s="49"/>
      <c r="S1743" s="14"/>
    </row>
    <row r="1744" spans="1:19" ht="30" customHeight="1" x14ac:dyDescent="0.25">
      <c r="A1744" s="49" t="str">
        <f>IF(C1744="","","BAN-01743")</f>
        <v/>
      </c>
      <c r="B1744" s="98" t="str">
        <f>IF(C1744="","",1743)</f>
        <v/>
      </c>
      <c r="C1744" s="50"/>
      <c r="D1744" s="49" t="str">
        <f t="shared" si="55"/>
        <v/>
      </c>
      <c r="E1744" s="92"/>
      <c r="F1744" s="49"/>
      <c r="G1744" s="14"/>
      <c r="H1744" s="14"/>
      <c r="I1744" s="76"/>
      <c r="J1744" s="73"/>
      <c r="K1744" s="74"/>
      <c r="L1744" s="72"/>
      <c r="M1744" s="72"/>
      <c r="N1744" s="72" t="str">
        <f>IF(AND(C1744="",J1744=0,K1744=0,L1744=0,M1744=0),"",CADASTROS!$B$4+SUM($J$2:J1744)+SUM($M$2:M1744)-SUM($K$2:K1744)-SUM($L$2:L1744))</f>
        <v/>
      </c>
      <c r="O1744" s="72" t="str">
        <f>IF(A1744="","",SUMIF(RATEIOS!$A$2:$A$3142,$A1744,RATEIOS!$F$2:$F$3142))</f>
        <v/>
      </c>
      <c r="P1744" s="15" t="str">
        <f t="shared" si="56"/>
        <v/>
      </c>
      <c r="Q1744" s="49" t="str">
        <f>IF(AND(J1744=0,K1744=0,L1744=0,M1744=0),"",IF(O1744=0,"PENDENTE DE RATEIO",IF(ABS(P1744)&gt;0.005,"DIVERGÊNCIA",IF(COUNTIF(RATEIOS!$A$2:$A$3142,$A1744)-COUNTIFS(RATEIOS!$A$2:$A$3142,$A1744,RATEIOS!$D$2:$D$3142,"&lt;&gt;")&gt;0,"NÃO CLASSIFICADO","RATEIO OK"))))</f>
        <v/>
      </c>
      <c r="R1744" s="49"/>
      <c r="S1744" s="14"/>
    </row>
    <row r="1745" spans="1:19" ht="30" customHeight="1" x14ac:dyDescent="0.25">
      <c r="A1745" s="49" t="str">
        <f>IF(C1745="","","BAN-01744")</f>
        <v/>
      </c>
      <c r="B1745" s="98" t="str">
        <f>IF(C1745="","",1744)</f>
        <v/>
      </c>
      <c r="C1745" s="50"/>
      <c r="D1745" s="49" t="str">
        <f t="shared" si="55"/>
        <v/>
      </c>
      <c r="E1745" s="92"/>
      <c r="F1745" s="49"/>
      <c r="G1745" s="14"/>
      <c r="H1745" s="14"/>
      <c r="I1745" s="76"/>
      <c r="J1745" s="73"/>
      <c r="K1745" s="74"/>
      <c r="L1745" s="72"/>
      <c r="M1745" s="72"/>
      <c r="N1745" s="72" t="str">
        <f>IF(AND(C1745="",J1745=0,K1745=0,L1745=0,M1745=0),"",CADASTROS!$B$4+SUM($J$2:J1745)+SUM($M$2:M1745)-SUM($K$2:K1745)-SUM($L$2:L1745))</f>
        <v/>
      </c>
      <c r="O1745" s="72" t="str">
        <f>IF(A1745="","",SUMIF(RATEIOS!$A$2:$A$3142,$A1745,RATEIOS!$F$2:$F$3142))</f>
        <v/>
      </c>
      <c r="P1745" s="15" t="str">
        <f t="shared" si="56"/>
        <v/>
      </c>
      <c r="Q1745" s="49" t="str">
        <f>IF(AND(J1745=0,K1745=0,L1745=0,M1745=0),"",IF(O1745=0,"PENDENTE DE RATEIO",IF(ABS(P1745)&gt;0.005,"DIVERGÊNCIA",IF(COUNTIF(RATEIOS!$A$2:$A$3142,$A1745)-COUNTIFS(RATEIOS!$A$2:$A$3142,$A1745,RATEIOS!$D$2:$D$3142,"&lt;&gt;")&gt;0,"NÃO CLASSIFICADO","RATEIO OK"))))</f>
        <v/>
      </c>
      <c r="R1745" s="49"/>
      <c r="S1745" s="14"/>
    </row>
    <row r="1746" spans="1:19" ht="30" customHeight="1" x14ac:dyDescent="0.25">
      <c r="A1746" s="49" t="str">
        <f>IF(C1746="","","BAN-01745")</f>
        <v/>
      </c>
      <c r="B1746" s="98" t="str">
        <f>IF(C1746="","",1745)</f>
        <v/>
      </c>
      <c r="C1746" s="50"/>
      <c r="D1746" s="49" t="str">
        <f t="shared" si="55"/>
        <v/>
      </c>
      <c r="E1746" s="92"/>
      <c r="F1746" s="49"/>
      <c r="G1746" s="14"/>
      <c r="H1746" s="14"/>
      <c r="I1746" s="76"/>
      <c r="J1746" s="73"/>
      <c r="K1746" s="74"/>
      <c r="L1746" s="72"/>
      <c r="M1746" s="72"/>
      <c r="N1746" s="72" t="str">
        <f>IF(AND(C1746="",J1746=0,K1746=0,L1746=0,M1746=0),"",CADASTROS!$B$4+SUM($J$2:J1746)+SUM($M$2:M1746)-SUM($K$2:K1746)-SUM($L$2:L1746))</f>
        <v/>
      </c>
      <c r="O1746" s="72" t="str">
        <f>IF(A1746="","",SUMIF(RATEIOS!$A$2:$A$3142,$A1746,RATEIOS!$F$2:$F$3142))</f>
        <v/>
      </c>
      <c r="P1746" s="15" t="str">
        <f t="shared" si="56"/>
        <v/>
      </c>
      <c r="Q1746" s="49" t="str">
        <f>IF(AND(J1746=0,K1746=0,L1746=0,M1746=0),"",IF(O1746=0,"PENDENTE DE RATEIO",IF(ABS(P1746)&gt;0.005,"DIVERGÊNCIA",IF(COUNTIF(RATEIOS!$A$2:$A$3142,$A1746)-COUNTIFS(RATEIOS!$A$2:$A$3142,$A1746,RATEIOS!$D$2:$D$3142,"&lt;&gt;")&gt;0,"NÃO CLASSIFICADO","RATEIO OK"))))</f>
        <v/>
      </c>
      <c r="R1746" s="49"/>
      <c r="S1746" s="14"/>
    </row>
    <row r="1747" spans="1:19" ht="30" customHeight="1" x14ac:dyDescent="0.25">
      <c r="A1747" s="49" t="str">
        <f>IF(C1747="","","BAN-01746")</f>
        <v/>
      </c>
      <c r="B1747" s="98" t="str">
        <f>IF(C1747="","",1746)</f>
        <v/>
      </c>
      <c r="C1747" s="50"/>
      <c r="D1747" s="49" t="str">
        <f t="shared" si="55"/>
        <v/>
      </c>
      <c r="E1747" s="92"/>
      <c r="F1747" s="49"/>
      <c r="G1747" s="14"/>
      <c r="H1747" s="14"/>
      <c r="I1747" s="76"/>
      <c r="J1747" s="73"/>
      <c r="K1747" s="74"/>
      <c r="L1747" s="72"/>
      <c r="M1747" s="72"/>
      <c r="N1747" s="72" t="str">
        <f>IF(AND(C1747="",J1747=0,K1747=0,L1747=0,M1747=0),"",CADASTROS!$B$4+SUM($J$2:J1747)+SUM($M$2:M1747)-SUM($K$2:K1747)-SUM($L$2:L1747))</f>
        <v/>
      </c>
      <c r="O1747" s="72" t="str">
        <f>IF(A1747="","",SUMIF(RATEIOS!$A$2:$A$3142,$A1747,RATEIOS!$F$2:$F$3142))</f>
        <v/>
      </c>
      <c r="P1747" s="15" t="str">
        <f t="shared" si="56"/>
        <v/>
      </c>
      <c r="Q1747" s="49" t="str">
        <f>IF(AND(J1747=0,K1747=0,L1747=0,M1747=0),"",IF(O1747=0,"PENDENTE DE RATEIO",IF(ABS(P1747)&gt;0.005,"DIVERGÊNCIA",IF(COUNTIF(RATEIOS!$A$2:$A$3142,$A1747)-COUNTIFS(RATEIOS!$A$2:$A$3142,$A1747,RATEIOS!$D$2:$D$3142,"&lt;&gt;")&gt;0,"NÃO CLASSIFICADO","RATEIO OK"))))</f>
        <v/>
      </c>
      <c r="R1747" s="49"/>
      <c r="S1747" s="14"/>
    </row>
    <row r="1748" spans="1:19" ht="30" customHeight="1" x14ac:dyDescent="0.25">
      <c r="A1748" s="49" t="str">
        <f>IF(C1748="","","BAN-01747")</f>
        <v/>
      </c>
      <c r="B1748" s="98" t="str">
        <f>IF(C1748="","",1747)</f>
        <v/>
      </c>
      <c r="C1748" s="50"/>
      <c r="D1748" s="49" t="str">
        <f t="shared" si="55"/>
        <v/>
      </c>
      <c r="E1748" s="92"/>
      <c r="F1748" s="49"/>
      <c r="G1748" s="14"/>
      <c r="H1748" s="14"/>
      <c r="I1748" s="76"/>
      <c r="J1748" s="73"/>
      <c r="K1748" s="74"/>
      <c r="L1748" s="72"/>
      <c r="M1748" s="72"/>
      <c r="N1748" s="72" t="str">
        <f>IF(AND(C1748="",J1748=0,K1748=0,L1748=0,M1748=0),"",CADASTROS!$B$4+SUM($J$2:J1748)+SUM($M$2:M1748)-SUM($K$2:K1748)-SUM($L$2:L1748))</f>
        <v/>
      </c>
      <c r="O1748" s="72" t="str">
        <f>IF(A1748="","",SUMIF(RATEIOS!$A$2:$A$3142,$A1748,RATEIOS!$F$2:$F$3142))</f>
        <v/>
      </c>
      <c r="P1748" s="15" t="str">
        <f t="shared" si="56"/>
        <v/>
      </c>
      <c r="Q1748" s="49" t="str">
        <f>IF(AND(J1748=0,K1748=0,L1748=0,M1748=0),"",IF(O1748=0,"PENDENTE DE RATEIO",IF(ABS(P1748)&gt;0.005,"DIVERGÊNCIA",IF(COUNTIF(RATEIOS!$A$2:$A$3142,$A1748)-COUNTIFS(RATEIOS!$A$2:$A$3142,$A1748,RATEIOS!$D$2:$D$3142,"&lt;&gt;")&gt;0,"NÃO CLASSIFICADO","RATEIO OK"))))</f>
        <v/>
      </c>
      <c r="R1748" s="49"/>
      <c r="S1748" s="14"/>
    </row>
    <row r="1749" spans="1:19" ht="30" customHeight="1" x14ac:dyDescent="0.25">
      <c r="A1749" s="49" t="str">
        <f>IF(C1749="","","BAN-01748")</f>
        <v/>
      </c>
      <c r="B1749" s="98" t="str">
        <f>IF(C1749="","",1748)</f>
        <v/>
      </c>
      <c r="C1749" s="50"/>
      <c r="D1749" s="49" t="str">
        <f t="shared" si="55"/>
        <v/>
      </c>
      <c r="E1749" s="92"/>
      <c r="F1749" s="49"/>
      <c r="G1749" s="14"/>
      <c r="H1749" s="14"/>
      <c r="I1749" s="76"/>
      <c r="J1749" s="73"/>
      <c r="K1749" s="74"/>
      <c r="L1749" s="72"/>
      <c r="M1749" s="72"/>
      <c r="N1749" s="72" t="str">
        <f>IF(AND(C1749="",J1749=0,K1749=0,L1749=0,M1749=0),"",CADASTROS!$B$4+SUM($J$2:J1749)+SUM($M$2:M1749)-SUM($K$2:K1749)-SUM($L$2:L1749))</f>
        <v/>
      </c>
      <c r="O1749" s="72" t="str">
        <f>IF(A1749="","",SUMIF(RATEIOS!$A$2:$A$3142,$A1749,RATEIOS!$F$2:$F$3142))</f>
        <v/>
      </c>
      <c r="P1749" s="15" t="str">
        <f t="shared" si="56"/>
        <v/>
      </c>
      <c r="Q1749" s="49" t="str">
        <f>IF(AND(J1749=0,K1749=0,L1749=0,M1749=0),"",IF(O1749=0,"PENDENTE DE RATEIO",IF(ABS(P1749)&gt;0.005,"DIVERGÊNCIA",IF(COUNTIF(RATEIOS!$A$2:$A$3142,$A1749)-COUNTIFS(RATEIOS!$A$2:$A$3142,$A1749,RATEIOS!$D$2:$D$3142,"&lt;&gt;")&gt;0,"NÃO CLASSIFICADO","RATEIO OK"))))</f>
        <v/>
      </c>
      <c r="R1749" s="49"/>
      <c r="S1749" s="14"/>
    </row>
    <row r="1750" spans="1:19" ht="30" customHeight="1" x14ac:dyDescent="0.25">
      <c r="A1750" s="49" t="str">
        <f>IF(C1750="","","BAN-01749")</f>
        <v/>
      </c>
      <c r="B1750" s="98" t="str">
        <f>IF(C1750="","",1749)</f>
        <v/>
      </c>
      <c r="C1750" s="50"/>
      <c r="D1750" s="49" t="str">
        <f t="shared" si="55"/>
        <v/>
      </c>
      <c r="E1750" s="92"/>
      <c r="F1750" s="49"/>
      <c r="G1750" s="14"/>
      <c r="H1750" s="14"/>
      <c r="I1750" s="76"/>
      <c r="J1750" s="73"/>
      <c r="K1750" s="74"/>
      <c r="L1750" s="72"/>
      <c r="M1750" s="72"/>
      <c r="N1750" s="72" t="str">
        <f>IF(AND(C1750="",J1750=0,K1750=0,L1750=0,M1750=0),"",CADASTROS!$B$4+SUM($J$2:J1750)+SUM($M$2:M1750)-SUM($K$2:K1750)-SUM($L$2:L1750))</f>
        <v/>
      </c>
      <c r="O1750" s="72" t="str">
        <f>IF(A1750="","",SUMIF(RATEIOS!$A$2:$A$3142,$A1750,RATEIOS!$F$2:$F$3142))</f>
        <v/>
      </c>
      <c r="P1750" s="15" t="str">
        <f t="shared" si="56"/>
        <v/>
      </c>
      <c r="Q1750" s="49" t="str">
        <f>IF(AND(J1750=0,K1750=0,L1750=0,M1750=0),"",IF(O1750=0,"PENDENTE DE RATEIO",IF(ABS(P1750)&gt;0.005,"DIVERGÊNCIA",IF(COUNTIF(RATEIOS!$A$2:$A$3142,$A1750)-COUNTIFS(RATEIOS!$A$2:$A$3142,$A1750,RATEIOS!$D$2:$D$3142,"&lt;&gt;")&gt;0,"NÃO CLASSIFICADO","RATEIO OK"))))</f>
        <v/>
      </c>
      <c r="R1750" s="49"/>
      <c r="S1750" s="14"/>
    </row>
    <row r="1751" spans="1:19" ht="30" customHeight="1" x14ac:dyDescent="0.25">
      <c r="A1751" s="49" t="str">
        <f>IF(C1751="","","BAN-01750")</f>
        <v/>
      </c>
      <c r="B1751" s="98" t="str">
        <f>IF(C1751="","",1750)</f>
        <v/>
      </c>
      <c r="C1751" s="50"/>
      <c r="D1751" s="49" t="str">
        <f t="shared" si="55"/>
        <v/>
      </c>
      <c r="E1751" s="92"/>
      <c r="F1751" s="49"/>
      <c r="G1751" s="14"/>
      <c r="H1751" s="14"/>
      <c r="I1751" s="76"/>
      <c r="J1751" s="73"/>
      <c r="K1751" s="74"/>
      <c r="L1751" s="72"/>
      <c r="M1751" s="72"/>
      <c r="N1751" s="72" t="str">
        <f>IF(AND(C1751="",J1751=0,K1751=0,L1751=0,M1751=0),"",CADASTROS!$B$4+SUM($J$2:J1751)+SUM($M$2:M1751)-SUM($K$2:K1751)-SUM($L$2:L1751))</f>
        <v/>
      </c>
      <c r="O1751" s="72" t="str">
        <f>IF(A1751="","",SUMIF(RATEIOS!$A$2:$A$3142,$A1751,RATEIOS!$F$2:$F$3142))</f>
        <v/>
      </c>
      <c r="P1751" s="15" t="str">
        <f t="shared" si="56"/>
        <v/>
      </c>
      <c r="Q1751" s="49" t="str">
        <f>IF(AND(J1751=0,K1751=0,L1751=0,M1751=0),"",IF(O1751=0,"PENDENTE DE RATEIO",IF(ABS(P1751)&gt;0.005,"DIVERGÊNCIA",IF(COUNTIF(RATEIOS!$A$2:$A$3142,$A1751)-COUNTIFS(RATEIOS!$A$2:$A$3142,$A1751,RATEIOS!$D$2:$D$3142,"&lt;&gt;")&gt;0,"NÃO CLASSIFICADO","RATEIO OK"))))</f>
        <v/>
      </c>
      <c r="R1751" s="49"/>
      <c r="S1751" s="14"/>
    </row>
    <row r="1752" spans="1:19" ht="30" customHeight="1" x14ac:dyDescent="0.25">
      <c r="A1752" s="49" t="str">
        <f>IF(C1752="","","BAN-01751")</f>
        <v/>
      </c>
      <c r="B1752" s="98" t="str">
        <f>IF(C1752="","",1751)</f>
        <v/>
      </c>
      <c r="C1752" s="50"/>
      <c r="D1752" s="49" t="str">
        <f t="shared" si="55"/>
        <v/>
      </c>
      <c r="E1752" s="92"/>
      <c r="F1752" s="49"/>
      <c r="G1752" s="14"/>
      <c r="H1752" s="14"/>
      <c r="I1752" s="76"/>
      <c r="J1752" s="73"/>
      <c r="K1752" s="74"/>
      <c r="L1752" s="72"/>
      <c r="M1752" s="72"/>
      <c r="N1752" s="72" t="str">
        <f>IF(AND(C1752="",J1752=0,K1752=0,L1752=0,M1752=0),"",CADASTROS!$B$4+SUM($J$2:J1752)+SUM($M$2:M1752)-SUM($K$2:K1752)-SUM($L$2:L1752))</f>
        <v/>
      </c>
      <c r="O1752" s="72" t="str">
        <f>IF(A1752="","",SUMIF(RATEIOS!$A$2:$A$3142,$A1752,RATEIOS!$F$2:$F$3142))</f>
        <v/>
      </c>
      <c r="P1752" s="15" t="str">
        <f t="shared" si="56"/>
        <v/>
      </c>
      <c r="Q1752" s="49" t="str">
        <f>IF(AND(J1752=0,K1752=0,L1752=0,M1752=0),"",IF(O1752=0,"PENDENTE DE RATEIO",IF(ABS(P1752)&gt;0.005,"DIVERGÊNCIA",IF(COUNTIF(RATEIOS!$A$2:$A$3142,$A1752)-COUNTIFS(RATEIOS!$A$2:$A$3142,$A1752,RATEIOS!$D$2:$D$3142,"&lt;&gt;")&gt;0,"NÃO CLASSIFICADO","RATEIO OK"))))</f>
        <v/>
      </c>
      <c r="R1752" s="49"/>
      <c r="S1752" s="14"/>
    </row>
    <row r="1753" spans="1:19" ht="30" customHeight="1" x14ac:dyDescent="0.25">
      <c r="A1753" s="49" t="str">
        <f>IF(C1753="","","BAN-01752")</f>
        <v/>
      </c>
      <c r="B1753" s="98" t="str">
        <f>IF(C1753="","",1752)</f>
        <v/>
      </c>
      <c r="C1753" s="50"/>
      <c r="D1753" s="49" t="str">
        <f t="shared" si="55"/>
        <v/>
      </c>
      <c r="E1753" s="92"/>
      <c r="F1753" s="49"/>
      <c r="G1753" s="14"/>
      <c r="H1753" s="14"/>
      <c r="I1753" s="76"/>
      <c r="J1753" s="73"/>
      <c r="K1753" s="74"/>
      <c r="L1753" s="72"/>
      <c r="M1753" s="72"/>
      <c r="N1753" s="72" t="str">
        <f>IF(AND(C1753="",J1753=0,K1753=0,L1753=0,M1753=0),"",CADASTROS!$B$4+SUM($J$2:J1753)+SUM($M$2:M1753)-SUM($K$2:K1753)-SUM($L$2:L1753))</f>
        <v/>
      </c>
      <c r="O1753" s="72" t="str">
        <f>IF(A1753="","",SUMIF(RATEIOS!$A$2:$A$3142,$A1753,RATEIOS!$F$2:$F$3142))</f>
        <v/>
      </c>
      <c r="P1753" s="15" t="str">
        <f t="shared" si="56"/>
        <v/>
      </c>
      <c r="Q1753" s="49" t="str">
        <f>IF(AND(J1753=0,K1753=0,L1753=0,M1753=0),"",IF(O1753=0,"PENDENTE DE RATEIO",IF(ABS(P1753)&gt;0.005,"DIVERGÊNCIA",IF(COUNTIF(RATEIOS!$A$2:$A$3142,$A1753)-COUNTIFS(RATEIOS!$A$2:$A$3142,$A1753,RATEIOS!$D$2:$D$3142,"&lt;&gt;")&gt;0,"NÃO CLASSIFICADO","RATEIO OK"))))</f>
        <v/>
      </c>
      <c r="R1753" s="49"/>
      <c r="S1753" s="14"/>
    </row>
    <row r="1754" spans="1:19" ht="30" customHeight="1" x14ac:dyDescent="0.25">
      <c r="A1754" s="49" t="str">
        <f>IF(C1754="","","BAN-01753")</f>
        <v/>
      </c>
      <c r="B1754" s="98" t="str">
        <f>IF(C1754="","",1753)</f>
        <v/>
      </c>
      <c r="C1754" s="50"/>
      <c r="D1754" s="49" t="str">
        <f t="shared" si="55"/>
        <v/>
      </c>
      <c r="E1754" s="92"/>
      <c r="F1754" s="49"/>
      <c r="G1754" s="14"/>
      <c r="H1754" s="14"/>
      <c r="I1754" s="76"/>
      <c r="J1754" s="73"/>
      <c r="K1754" s="74"/>
      <c r="L1754" s="72"/>
      <c r="M1754" s="72"/>
      <c r="N1754" s="72" t="str">
        <f>IF(AND(C1754="",J1754=0,K1754=0,L1754=0,M1754=0),"",CADASTROS!$B$4+SUM($J$2:J1754)+SUM($M$2:M1754)-SUM($K$2:K1754)-SUM($L$2:L1754))</f>
        <v/>
      </c>
      <c r="O1754" s="72" t="str">
        <f>IF(A1754="","",SUMIF(RATEIOS!$A$2:$A$3142,$A1754,RATEIOS!$F$2:$F$3142))</f>
        <v/>
      </c>
      <c r="P1754" s="15" t="str">
        <f t="shared" si="56"/>
        <v/>
      </c>
      <c r="Q1754" s="49" t="str">
        <f>IF(AND(J1754=0,K1754=0,L1754=0,M1754=0),"",IF(O1754=0,"PENDENTE DE RATEIO",IF(ABS(P1754)&gt;0.005,"DIVERGÊNCIA",IF(COUNTIF(RATEIOS!$A$2:$A$3142,$A1754)-COUNTIFS(RATEIOS!$A$2:$A$3142,$A1754,RATEIOS!$D$2:$D$3142,"&lt;&gt;")&gt;0,"NÃO CLASSIFICADO","RATEIO OK"))))</f>
        <v/>
      </c>
      <c r="R1754" s="49"/>
      <c r="S1754" s="14"/>
    </row>
    <row r="1755" spans="1:19" ht="30" customHeight="1" x14ac:dyDescent="0.25">
      <c r="A1755" s="49" t="str">
        <f>IF(C1755="","","BAN-01754")</f>
        <v/>
      </c>
      <c r="B1755" s="98" t="str">
        <f>IF(C1755="","",1754)</f>
        <v/>
      </c>
      <c r="C1755" s="50"/>
      <c r="D1755" s="49" t="str">
        <f t="shared" si="55"/>
        <v/>
      </c>
      <c r="E1755" s="92"/>
      <c r="F1755" s="49"/>
      <c r="G1755" s="14"/>
      <c r="H1755" s="14"/>
      <c r="I1755" s="76"/>
      <c r="J1755" s="73"/>
      <c r="K1755" s="74"/>
      <c r="L1755" s="72"/>
      <c r="M1755" s="72"/>
      <c r="N1755" s="72" t="str">
        <f>IF(AND(C1755="",J1755=0,K1755=0,L1755=0,M1755=0),"",CADASTROS!$B$4+SUM($J$2:J1755)+SUM($M$2:M1755)-SUM($K$2:K1755)-SUM($L$2:L1755))</f>
        <v/>
      </c>
      <c r="O1755" s="72" t="str">
        <f>IF(A1755="","",SUMIF(RATEIOS!$A$2:$A$3142,$A1755,RATEIOS!$F$2:$F$3142))</f>
        <v/>
      </c>
      <c r="P1755" s="15" t="str">
        <f t="shared" si="56"/>
        <v/>
      </c>
      <c r="Q1755" s="49" t="str">
        <f>IF(AND(J1755=0,K1755=0,L1755=0,M1755=0),"",IF(O1755=0,"PENDENTE DE RATEIO",IF(ABS(P1755)&gt;0.005,"DIVERGÊNCIA",IF(COUNTIF(RATEIOS!$A$2:$A$3142,$A1755)-COUNTIFS(RATEIOS!$A$2:$A$3142,$A1755,RATEIOS!$D$2:$D$3142,"&lt;&gt;")&gt;0,"NÃO CLASSIFICADO","RATEIO OK"))))</f>
        <v/>
      </c>
      <c r="R1755" s="49"/>
      <c r="S1755" s="14"/>
    </row>
    <row r="1756" spans="1:19" ht="30" customHeight="1" x14ac:dyDescent="0.25">
      <c r="A1756" s="49" t="str">
        <f>IF(C1756="","","BAN-01755")</f>
        <v/>
      </c>
      <c r="B1756" s="98" t="str">
        <f>IF(C1756="","",1755)</f>
        <v/>
      </c>
      <c r="C1756" s="50"/>
      <c r="D1756" s="49" t="str">
        <f t="shared" si="55"/>
        <v/>
      </c>
      <c r="E1756" s="92"/>
      <c r="F1756" s="49"/>
      <c r="G1756" s="14"/>
      <c r="H1756" s="14"/>
      <c r="I1756" s="76"/>
      <c r="J1756" s="73"/>
      <c r="K1756" s="74"/>
      <c r="L1756" s="72"/>
      <c r="M1756" s="72"/>
      <c r="N1756" s="72" t="str">
        <f>IF(AND(C1756="",J1756=0,K1756=0,L1756=0,M1756=0),"",CADASTROS!$B$4+SUM($J$2:J1756)+SUM($M$2:M1756)-SUM($K$2:K1756)-SUM($L$2:L1756))</f>
        <v/>
      </c>
      <c r="O1756" s="72" t="str">
        <f>IF(A1756="","",SUMIF(RATEIOS!$A$2:$A$3142,$A1756,RATEIOS!$F$2:$F$3142))</f>
        <v/>
      </c>
      <c r="P1756" s="15" t="str">
        <f t="shared" si="56"/>
        <v/>
      </c>
      <c r="Q1756" s="49" t="str">
        <f>IF(AND(J1756=0,K1756=0,L1756=0,M1756=0),"",IF(O1756=0,"PENDENTE DE RATEIO",IF(ABS(P1756)&gt;0.005,"DIVERGÊNCIA",IF(COUNTIF(RATEIOS!$A$2:$A$3142,$A1756)-COUNTIFS(RATEIOS!$A$2:$A$3142,$A1756,RATEIOS!$D$2:$D$3142,"&lt;&gt;")&gt;0,"NÃO CLASSIFICADO","RATEIO OK"))))</f>
        <v/>
      </c>
      <c r="R1756" s="49"/>
      <c r="S1756" s="14"/>
    </row>
    <row r="1757" spans="1:19" ht="30" customHeight="1" x14ac:dyDescent="0.25">
      <c r="A1757" s="49" t="str">
        <f>IF(C1757="","","BAN-01756")</f>
        <v/>
      </c>
      <c r="B1757" s="98" t="str">
        <f>IF(C1757="","",1756)</f>
        <v/>
      </c>
      <c r="C1757" s="50"/>
      <c r="D1757" s="49" t="str">
        <f t="shared" si="55"/>
        <v/>
      </c>
      <c r="E1757" s="92"/>
      <c r="F1757" s="49"/>
      <c r="G1757" s="14"/>
      <c r="H1757" s="14"/>
      <c r="I1757" s="76"/>
      <c r="J1757" s="73"/>
      <c r="K1757" s="74"/>
      <c r="L1757" s="72"/>
      <c r="M1757" s="72"/>
      <c r="N1757" s="72" t="str">
        <f>IF(AND(C1757="",J1757=0,K1757=0,L1757=0,M1757=0),"",CADASTROS!$B$4+SUM($J$2:J1757)+SUM($M$2:M1757)-SUM($K$2:K1757)-SUM($L$2:L1757))</f>
        <v/>
      </c>
      <c r="O1757" s="72" t="str">
        <f>IF(A1757="","",SUMIF(RATEIOS!$A$2:$A$3142,$A1757,RATEIOS!$F$2:$F$3142))</f>
        <v/>
      </c>
      <c r="P1757" s="15" t="str">
        <f t="shared" si="56"/>
        <v/>
      </c>
      <c r="Q1757" s="49" t="str">
        <f>IF(AND(J1757=0,K1757=0,L1757=0,M1757=0),"",IF(O1757=0,"PENDENTE DE RATEIO",IF(ABS(P1757)&gt;0.005,"DIVERGÊNCIA",IF(COUNTIF(RATEIOS!$A$2:$A$3142,$A1757)-COUNTIFS(RATEIOS!$A$2:$A$3142,$A1757,RATEIOS!$D$2:$D$3142,"&lt;&gt;")&gt;0,"NÃO CLASSIFICADO","RATEIO OK"))))</f>
        <v/>
      </c>
      <c r="R1757" s="49"/>
      <c r="S1757" s="14"/>
    </row>
    <row r="1758" spans="1:19" ht="30" customHeight="1" x14ac:dyDescent="0.25">
      <c r="A1758" s="49" t="str">
        <f>IF(C1758="","","BAN-01757")</f>
        <v/>
      </c>
      <c r="B1758" s="98" t="str">
        <f>IF(C1758="","",1757)</f>
        <v/>
      </c>
      <c r="C1758" s="50"/>
      <c r="D1758" s="49" t="str">
        <f t="shared" si="55"/>
        <v/>
      </c>
      <c r="E1758" s="92"/>
      <c r="F1758" s="49"/>
      <c r="G1758" s="14"/>
      <c r="H1758" s="14"/>
      <c r="I1758" s="76"/>
      <c r="J1758" s="73"/>
      <c r="K1758" s="74"/>
      <c r="L1758" s="72"/>
      <c r="M1758" s="72"/>
      <c r="N1758" s="72" t="str">
        <f>IF(AND(C1758="",J1758=0,K1758=0,L1758=0,M1758=0),"",CADASTROS!$B$4+SUM($J$2:J1758)+SUM($M$2:M1758)-SUM($K$2:K1758)-SUM($L$2:L1758))</f>
        <v/>
      </c>
      <c r="O1758" s="72" t="str">
        <f>IF(A1758="","",SUMIF(RATEIOS!$A$2:$A$3142,$A1758,RATEIOS!$F$2:$F$3142))</f>
        <v/>
      </c>
      <c r="P1758" s="15" t="str">
        <f t="shared" si="56"/>
        <v/>
      </c>
      <c r="Q1758" s="49" t="str">
        <f>IF(AND(J1758=0,K1758=0,L1758=0,M1758=0),"",IF(O1758=0,"PENDENTE DE RATEIO",IF(ABS(P1758)&gt;0.005,"DIVERGÊNCIA",IF(COUNTIF(RATEIOS!$A$2:$A$3142,$A1758)-COUNTIFS(RATEIOS!$A$2:$A$3142,$A1758,RATEIOS!$D$2:$D$3142,"&lt;&gt;")&gt;0,"NÃO CLASSIFICADO","RATEIO OK"))))</f>
        <v/>
      </c>
      <c r="R1758" s="49"/>
      <c r="S1758" s="14"/>
    </row>
    <row r="1759" spans="1:19" ht="30" customHeight="1" x14ac:dyDescent="0.25">
      <c r="A1759" s="49" t="str">
        <f>IF(C1759="","","BAN-01758")</f>
        <v/>
      </c>
      <c r="B1759" s="98" t="str">
        <f>IF(C1759="","",1758)</f>
        <v/>
      </c>
      <c r="C1759" s="50"/>
      <c r="D1759" s="49" t="str">
        <f t="shared" si="55"/>
        <v/>
      </c>
      <c r="E1759" s="92"/>
      <c r="F1759" s="49"/>
      <c r="G1759" s="14"/>
      <c r="H1759" s="14"/>
      <c r="I1759" s="76"/>
      <c r="J1759" s="73"/>
      <c r="K1759" s="74"/>
      <c r="L1759" s="72"/>
      <c r="M1759" s="72"/>
      <c r="N1759" s="72" t="str">
        <f>IF(AND(C1759="",J1759=0,K1759=0,L1759=0,M1759=0),"",CADASTROS!$B$4+SUM($J$2:J1759)+SUM($M$2:M1759)-SUM($K$2:K1759)-SUM($L$2:L1759))</f>
        <v/>
      </c>
      <c r="O1759" s="72" t="str">
        <f>IF(A1759="","",SUMIF(RATEIOS!$A$2:$A$3142,$A1759,RATEIOS!$F$2:$F$3142))</f>
        <v/>
      </c>
      <c r="P1759" s="15" t="str">
        <f t="shared" si="56"/>
        <v/>
      </c>
      <c r="Q1759" s="49" t="str">
        <f>IF(AND(J1759=0,K1759=0,L1759=0,M1759=0),"",IF(O1759=0,"PENDENTE DE RATEIO",IF(ABS(P1759)&gt;0.005,"DIVERGÊNCIA",IF(COUNTIF(RATEIOS!$A$2:$A$3142,$A1759)-COUNTIFS(RATEIOS!$A$2:$A$3142,$A1759,RATEIOS!$D$2:$D$3142,"&lt;&gt;")&gt;0,"NÃO CLASSIFICADO","RATEIO OK"))))</f>
        <v/>
      </c>
      <c r="R1759" s="49"/>
      <c r="S1759" s="14"/>
    </row>
    <row r="1760" spans="1:19" ht="30" customHeight="1" x14ac:dyDescent="0.25">
      <c r="A1760" s="49" t="str">
        <f>IF(C1760="","","BAN-01759")</f>
        <v/>
      </c>
      <c r="B1760" s="98" t="str">
        <f>IF(C1760="","",1759)</f>
        <v/>
      </c>
      <c r="C1760" s="50"/>
      <c r="D1760" s="49" t="str">
        <f t="shared" si="55"/>
        <v/>
      </c>
      <c r="E1760" s="92"/>
      <c r="F1760" s="49"/>
      <c r="G1760" s="14"/>
      <c r="H1760" s="14"/>
      <c r="I1760" s="76"/>
      <c r="J1760" s="73"/>
      <c r="K1760" s="74"/>
      <c r="L1760" s="72"/>
      <c r="M1760" s="72"/>
      <c r="N1760" s="72" t="str">
        <f>IF(AND(C1760="",J1760=0,K1760=0,L1760=0,M1760=0),"",CADASTROS!$B$4+SUM($J$2:J1760)+SUM($M$2:M1760)-SUM($K$2:K1760)-SUM($L$2:L1760))</f>
        <v/>
      </c>
      <c r="O1760" s="72" t="str">
        <f>IF(A1760="","",SUMIF(RATEIOS!$A$2:$A$3142,$A1760,RATEIOS!$F$2:$F$3142))</f>
        <v/>
      </c>
      <c r="P1760" s="15" t="str">
        <f t="shared" si="56"/>
        <v/>
      </c>
      <c r="Q1760" s="49" t="str">
        <f>IF(AND(J1760=0,K1760=0,L1760=0,M1760=0),"",IF(O1760=0,"PENDENTE DE RATEIO",IF(ABS(P1760)&gt;0.005,"DIVERGÊNCIA",IF(COUNTIF(RATEIOS!$A$2:$A$3142,$A1760)-COUNTIFS(RATEIOS!$A$2:$A$3142,$A1760,RATEIOS!$D$2:$D$3142,"&lt;&gt;")&gt;0,"NÃO CLASSIFICADO","RATEIO OK"))))</f>
        <v/>
      </c>
      <c r="R1760" s="49"/>
      <c r="S1760" s="14"/>
    </row>
    <row r="1761" spans="1:19" ht="30" customHeight="1" x14ac:dyDescent="0.25">
      <c r="A1761" s="49" t="str">
        <f>IF(C1761="","","BAN-01760")</f>
        <v/>
      </c>
      <c r="B1761" s="98" t="str">
        <f>IF(C1761="","",1760)</f>
        <v/>
      </c>
      <c r="C1761" s="50"/>
      <c r="D1761" s="49" t="str">
        <f t="shared" si="55"/>
        <v/>
      </c>
      <c r="E1761" s="92"/>
      <c r="F1761" s="49"/>
      <c r="G1761" s="14"/>
      <c r="H1761" s="14"/>
      <c r="I1761" s="76"/>
      <c r="J1761" s="73"/>
      <c r="K1761" s="74"/>
      <c r="L1761" s="72"/>
      <c r="M1761" s="72"/>
      <c r="N1761" s="72" t="str">
        <f>IF(AND(C1761="",J1761=0,K1761=0,L1761=0,M1761=0),"",CADASTROS!$B$4+SUM($J$2:J1761)+SUM($M$2:M1761)-SUM($K$2:K1761)-SUM($L$2:L1761))</f>
        <v/>
      </c>
      <c r="O1761" s="72" t="str">
        <f>IF(A1761="","",SUMIF(RATEIOS!$A$2:$A$3142,$A1761,RATEIOS!$F$2:$F$3142))</f>
        <v/>
      </c>
      <c r="P1761" s="15" t="str">
        <f t="shared" si="56"/>
        <v/>
      </c>
      <c r="Q1761" s="49" t="str">
        <f>IF(AND(J1761=0,K1761=0,L1761=0,M1761=0),"",IF(O1761=0,"PENDENTE DE RATEIO",IF(ABS(P1761)&gt;0.005,"DIVERGÊNCIA",IF(COUNTIF(RATEIOS!$A$2:$A$3142,$A1761)-COUNTIFS(RATEIOS!$A$2:$A$3142,$A1761,RATEIOS!$D$2:$D$3142,"&lt;&gt;")&gt;0,"NÃO CLASSIFICADO","RATEIO OK"))))</f>
        <v/>
      </c>
      <c r="R1761" s="49"/>
      <c r="S1761" s="14"/>
    </row>
    <row r="1762" spans="1:19" ht="30" customHeight="1" x14ac:dyDescent="0.25">
      <c r="A1762" s="49" t="str">
        <f>IF(C1762="","","BAN-01761")</f>
        <v/>
      </c>
      <c r="B1762" s="98" t="str">
        <f>IF(C1762="","",1761)</f>
        <v/>
      </c>
      <c r="C1762" s="50"/>
      <c r="D1762" s="49" t="str">
        <f t="shared" si="55"/>
        <v/>
      </c>
      <c r="E1762" s="92"/>
      <c r="F1762" s="49"/>
      <c r="G1762" s="14"/>
      <c r="H1762" s="14"/>
      <c r="I1762" s="76"/>
      <c r="J1762" s="73"/>
      <c r="K1762" s="74"/>
      <c r="L1762" s="72"/>
      <c r="M1762" s="72"/>
      <c r="N1762" s="72" t="str">
        <f>IF(AND(C1762="",J1762=0,K1762=0,L1762=0,M1762=0),"",CADASTROS!$B$4+SUM($J$2:J1762)+SUM($M$2:M1762)-SUM($K$2:K1762)-SUM($L$2:L1762))</f>
        <v/>
      </c>
      <c r="O1762" s="72" t="str">
        <f>IF(A1762="","",SUMIF(RATEIOS!$A$2:$A$3142,$A1762,RATEIOS!$F$2:$F$3142))</f>
        <v/>
      </c>
      <c r="P1762" s="15" t="str">
        <f t="shared" si="56"/>
        <v/>
      </c>
      <c r="Q1762" s="49" t="str">
        <f>IF(AND(J1762=0,K1762=0,L1762=0,M1762=0),"",IF(O1762=0,"PENDENTE DE RATEIO",IF(ABS(P1762)&gt;0.005,"DIVERGÊNCIA",IF(COUNTIF(RATEIOS!$A$2:$A$3142,$A1762)-COUNTIFS(RATEIOS!$A$2:$A$3142,$A1762,RATEIOS!$D$2:$D$3142,"&lt;&gt;")&gt;0,"NÃO CLASSIFICADO","RATEIO OK"))))</f>
        <v/>
      </c>
      <c r="R1762" s="49"/>
      <c r="S1762" s="14"/>
    </row>
    <row r="1763" spans="1:19" ht="30" customHeight="1" x14ac:dyDescent="0.25">
      <c r="A1763" s="49" t="str">
        <f>IF(C1763="","","BAN-01762")</f>
        <v/>
      </c>
      <c r="B1763" s="98" t="str">
        <f>IF(C1763="","",1762)</f>
        <v/>
      </c>
      <c r="C1763" s="50"/>
      <c r="D1763" s="49" t="str">
        <f t="shared" si="55"/>
        <v/>
      </c>
      <c r="E1763" s="92"/>
      <c r="F1763" s="49"/>
      <c r="G1763" s="14"/>
      <c r="H1763" s="14"/>
      <c r="I1763" s="76"/>
      <c r="J1763" s="73"/>
      <c r="K1763" s="74"/>
      <c r="L1763" s="72"/>
      <c r="M1763" s="72"/>
      <c r="N1763" s="72" t="str">
        <f>IF(AND(C1763="",J1763=0,K1763=0,L1763=0,M1763=0),"",CADASTROS!$B$4+SUM($J$2:J1763)+SUM($M$2:M1763)-SUM($K$2:K1763)-SUM($L$2:L1763))</f>
        <v/>
      </c>
      <c r="O1763" s="72" t="str">
        <f>IF(A1763="","",SUMIF(RATEIOS!$A$2:$A$3142,$A1763,RATEIOS!$F$2:$F$3142))</f>
        <v/>
      </c>
      <c r="P1763" s="15" t="str">
        <f t="shared" si="56"/>
        <v/>
      </c>
      <c r="Q1763" s="49" t="str">
        <f>IF(AND(J1763=0,K1763=0,L1763=0,M1763=0),"",IF(O1763=0,"PENDENTE DE RATEIO",IF(ABS(P1763)&gt;0.005,"DIVERGÊNCIA",IF(COUNTIF(RATEIOS!$A$2:$A$3142,$A1763)-COUNTIFS(RATEIOS!$A$2:$A$3142,$A1763,RATEIOS!$D$2:$D$3142,"&lt;&gt;")&gt;0,"NÃO CLASSIFICADO","RATEIO OK"))))</f>
        <v/>
      </c>
      <c r="R1763" s="49"/>
      <c r="S1763" s="14"/>
    </row>
    <row r="1764" spans="1:19" ht="30" customHeight="1" x14ac:dyDescent="0.25">
      <c r="A1764" s="49" t="str">
        <f>IF(C1764="","","BAN-01763")</f>
        <v/>
      </c>
      <c r="B1764" s="98" t="str">
        <f>IF(C1764="","",1763)</f>
        <v/>
      </c>
      <c r="C1764" s="50"/>
      <c r="D1764" s="49" t="str">
        <f t="shared" si="55"/>
        <v/>
      </c>
      <c r="E1764" s="92"/>
      <c r="F1764" s="49"/>
      <c r="G1764" s="14"/>
      <c r="H1764" s="14"/>
      <c r="I1764" s="76"/>
      <c r="J1764" s="73"/>
      <c r="K1764" s="74"/>
      <c r="L1764" s="72"/>
      <c r="M1764" s="72"/>
      <c r="N1764" s="72" t="str">
        <f>IF(AND(C1764="",J1764=0,K1764=0,L1764=0,M1764=0),"",CADASTROS!$B$4+SUM($J$2:J1764)+SUM($M$2:M1764)-SUM($K$2:K1764)-SUM($L$2:L1764))</f>
        <v/>
      </c>
      <c r="O1764" s="72" t="str">
        <f>IF(A1764="","",SUMIF(RATEIOS!$A$2:$A$3142,$A1764,RATEIOS!$F$2:$F$3142))</f>
        <v/>
      </c>
      <c r="P1764" s="15" t="str">
        <f t="shared" si="56"/>
        <v/>
      </c>
      <c r="Q1764" s="49" t="str">
        <f>IF(AND(J1764=0,K1764=0,L1764=0,M1764=0),"",IF(O1764=0,"PENDENTE DE RATEIO",IF(ABS(P1764)&gt;0.005,"DIVERGÊNCIA",IF(COUNTIF(RATEIOS!$A$2:$A$3142,$A1764)-COUNTIFS(RATEIOS!$A$2:$A$3142,$A1764,RATEIOS!$D$2:$D$3142,"&lt;&gt;")&gt;0,"NÃO CLASSIFICADO","RATEIO OK"))))</f>
        <v/>
      </c>
      <c r="R1764" s="49"/>
      <c r="S1764" s="14"/>
    </row>
    <row r="1765" spans="1:19" ht="30" customHeight="1" x14ac:dyDescent="0.25">
      <c r="A1765" s="49" t="str">
        <f>IF(C1765="","","BAN-01764")</f>
        <v/>
      </c>
      <c r="B1765" s="98" t="str">
        <f>IF(C1765="","",1764)</f>
        <v/>
      </c>
      <c r="C1765" s="50"/>
      <c r="D1765" s="49" t="str">
        <f t="shared" si="55"/>
        <v/>
      </c>
      <c r="E1765" s="92"/>
      <c r="F1765" s="49"/>
      <c r="G1765" s="14"/>
      <c r="H1765" s="14"/>
      <c r="I1765" s="76"/>
      <c r="J1765" s="73"/>
      <c r="K1765" s="74"/>
      <c r="L1765" s="72"/>
      <c r="M1765" s="72"/>
      <c r="N1765" s="72" t="str">
        <f>IF(AND(C1765="",J1765=0,K1765=0,L1765=0,M1765=0),"",CADASTROS!$B$4+SUM($J$2:J1765)+SUM($M$2:M1765)-SUM($K$2:K1765)-SUM($L$2:L1765))</f>
        <v/>
      </c>
      <c r="O1765" s="72" t="str">
        <f>IF(A1765="","",SUMIF(RATEIOS!$A$2:$A$3142,$A1765,RATEIOS!$F$2:$F$3142))</f>
        <v/>
      </c>
      <c r="P1765" s="15" t="str">
        <f t="shared" si="56"/>
        <v/>
      </c>
      <c r="Q1765" s="49" t="str">
        <f>IF(AND(J1765=0,K1765=0,L1765=0,M1765=0),"",IF(O1765=0,"PENDENTE DE RATEIO",IF(ABS(P1765)&gt;0.005,"DIVERGÊNCIA",IF(COUNTIF(RATEIOS!$A$2:$A$3142,$A1765)-COUNTIFS(RATEIOS!$A$2:$A$3142,$A1765,RATEIOS!$D$2:$D$3142,"&lt;&gt;")&gt;0,"NÃO CLASSIFICADO","RATEIO OK"))))</f>
        <v/>
      </c>
      <c r="R1765" s="49"/>
      <c r="S1765" s="14"/>
    </row>
    <row r="1766" spans="1:19" ht="30" customHeight="1" x14ac:dyDescent="0.25">
      <c r="A1766" s="49" t="str">
        <f>IF(C1766="","","BAN-01765")</f>
        <v/>
      </c>
      <c r="B1766" s="98" t="str">
        <f>IF(C1766="","",1765)</f>
        <v/>
      </c>
      <c r="C1766" s="50"/>
      <c r="D1766" s="49" t="str">
        <f t="shared" si="55"/>
        <v/>
      </c>
      <c r="E1766" s="92"/>
      <c r="F1766" s="49"/>
      <c r="G1766" s="14"/>
      <c r="H1766" s="14"/>
      <c r="I1766" s="76"/>
      <c r="J1766" s="73"/>
      <c r="K1766" s="74"/>
      <c r="L1766" s="72"/>
      <c r="M1766" s="72"/>
      <c r="N1766" s="72" t="str">
        <f>IF(AND(C1766="",J1766=0,K1766=0,L1766=0,M1766=0),"",CADASTROS!$B$4+SUM($J$2:J1766)+SUM($M$2:M1766)-SUM($K$2:K1766)-SUM($L$2:L1766))</f>
        <v/>
      </c>
      <c r="O1766" s="72" t="str">
        <f>IF(A1766="","",SUMIF(RATEIOS!$A$2:$A$3142,$A1766,RATEIOS!$F$2:$F$3142))</f>
        <v/>
      </c>
      <c r="P1766" s="15" t="str">
        <f t="shared" si="56"/>
        <v/>
      </c>
      <c r="Q1766" s="49" t="str">
        <f>IF(AND(J1766=0,K1766=0,L1766=0,M1766=0),"",IF(O1766=0,"PENDENTE DE RATEIO",IF(ABS(P1766)&gt;0.005,"DIVERGÊNCIA",IF(COUNTIF(RATEIOS!$A$2:$A$3142,$A1766)-COUNTIFS(RATEIOS!$A$2:$A$3142,$A1766,RATEIOS!$D$2:$D$3142,"&lt;&gt;")&gt;0,"NÃO CLASSIFICADO","RATEIO OK"))))</f>
        <v/>
      </c>
      <c r="R1766" s="49"/>
      <c r="S1766" s="14"/>
    </row>
    <row r="1767" spans="1:19" ht="30" customHeight="1" x14ac:dyDescent="0.25">
      <c r="A1767" s="49" t="str">
        <f>IF(C1767="","","BAN-01766")</f>
        <v/>
      </c>
      <c r="B1767" s="98" t="str">
        <f>IF(C1767="","",1766)</f>
        <v/>
      </c>
      <c r="C1767" s="50"/>
      <c r="D1767" s="49" t="str">
        <f t="shared" si="55"/>
        <v/>
      </c>
      <c r="E1767" s="92"/>
      <c r="F1767" s="49"/>
      <c r="G1767" s="14"/>
      <c r="H1767" s="14"/>
      <c r="I1767" s="76"/>
      <c r="J1767" s="73"/>
      <c r="K1767" s="74"/>
      <c r="L1767" s="72"/>
      <c r="M1767" s="72"/>
      <c r="N1767" s="72" t="str">
        <f>IF(AND(C1767="",J1767=0,K1767=0,L1767=0,M1767=0),"",CADASTROS!$B$4+SUM($J$2:J1767)+SUM($M$2:M1767)-SUM($K$2:K1767)-SUM($L$2:L1767))</f>
        <v/>
      </c>
      <c r="O1767" s="72" t="str">
        <f>IF(A1767="","",SUMIF(RATEIOS!$A$2:$A$3142,$A1767,RATEIOS!$F$2:$F$3142))</f>
        <v/>
      </c>
      <c r="P1767" s="15" t="str">
        <f t="shared" si="56"/>
        <v/>
      </c>
      <c r="Q1767" s="49" t="str">
        <f>IF(AND(J1767=0,K1767=0,L1767=0,M1767=0),"",IF(O1767=0,"PENDENTE DE RATEIO",IF(ABS(P1767)&gt;0.005,"DIVERGÊNCIA",IF(COUNTIF(RATEIOS!$A$2:$A$3142,$A1767)-COUNTIFS(RATEIOS!$A$2:$A$3142,$A1767,RATEIOS!$D$2:$D$3142,"&lt;&gt;")&gt;0,"NÃO CLASSIFICADO","RATEIO OK"))))</f>
        <v/>
      </c>
      <c r="R1767" s="49"/>
      <c r="S1767" s="14"/>
    </row>
    <row r="1768" spans="1:19" ht="30" customHeight="1" x14ac:dyDescent="0.25">
      <c r="A1768" s="49" t="str">
        <f>IF(C1768="","","BAN-01767")</f>
        <v/>
      </c>
      <c r="B1768" s="98" t="str">
        <f>IF(C1768="","",1767)</f>
        <v/>
      </c>
      <c r="C1768" s="50"/>
      <c r="D1768" s="49" t="str">
        <f t="shared" si="55"/>
        <v/>
      </c>
      <c r="E1768" s="92"/>
      <c r="F1768" s="49"/>
      <c r="G1768" s="14"/>
      <c r="H1768" s="14"/>
      <c r="I1768" s="76"/>
      <c r="J1768" s="73"/>
      <c r="K1768" s="74"/>
      <c r="L1768" s="72"/>
      <c r="M1768" s="72"/>
      <c r="N1768" s="72" t="str">
        <f>IF(AND(C1768="",J1768=0,K1768=0,L1768=0,M1768=0),"",CADASTROS!$B$4+SUM($J$2:J1768)+SUM($M$2:M1768)-SUM($K$2:K1768)-SUM($L$2:L1768))</f>
        <v/>
      </c>
      <c r="O1768" s="72" t="str">
        <f>IF(A1768="","",SUMIF(RATEIOS!$A$2:$A$3142,$A1768,RATEIOS!$F$2:$F$3142))</f>
        <v/>
      </c>
      <c r="P1768" s="15" t="str">
        <f t="shared" si="56"/>
        <v/>
      </c>
      <c r="Q1768" s="49" t="str">
        <f>IF(AND(J1768=0,K1768=0,L1768=0,M1768=0),"",IF(O1768=0,"PENDENTE DE RATEIO",IF(ABS(P1768)&gt;0.005,"DIVERGÊNCIA",IF(COUNTIF(RATEIOS!$A$2:$A$3142,$A1768)-COUNTIFS(RATEIOS!$A$2:$A$3142,$A1768,RATEIOS!$D$2:$D$3142,"&lt;&gt;")&gt;0,"NÃO CLASSIFICADO","RATEIO OK"))))</f>
        <v/>
      </c>
      <c r="R1768" s="49"/>
      <c r="S1768" s="14"/>
    </row>
    <row r="1769" spans="1:19" ht="30" customHeight="1" x14ac:dyDescent="0.25">
      <c r="A1769" s="49" t="str">
        <f>IF(C1769="","","BAN-01768")</f>
        <v/>
      </c>
      <c r="B1769" s="98" t="str">
        <f>IF(C1769="","",1768)</f>
        <v/>
      </c>
      <c r="C1769" s="50"/>
      <c r="D1769" s="49" t="str">
        <f t="shared" si="55"/>
        <v/>
      </c>
      <c r="E1769" s="92"/>
      <c r="F1769" s="49"/>
      <c r="G1769" s="14"/>
      <c r="H1769" s="14"/>
      <c r="I1769" s="76"/>
      <c r="J1769" s="73"/>
      <c r="K1769" s="74"/>
      <c r="L1769" s="72"/>
      <c r="M1769" s="72"/>
      <c r="N1769" s="72" t="str">
        <f>IF(AND(C1769="",J1769=0,K1769=0,L1769=0,M1769=0),"",CADASTROS!$B$4+SUM($J$2:J1769)+SUM($M$2:M1769)-SUM($K$2:K1769)-SUM($L$2:L1769))</f>
        <v/>
      </c>
      <c r="O1769" s="72" t="str">
        <f>IF(A1769="","",SUMIF(RATEIOS!$A$2:$A$3142,$A1769,RATEIOS!$F$2:$F$3142))</f>
        <v/>
      </c>
      <c r="P1769" s="15" t="str">
        <f t="shared" si="56"/>
        <v/>
      </c>
      <c r="Q1769" s="49" t="str">
        <f>IF(AND(J1769=0,K1769=0,L1769=0,M1769=0),"",IF(O1769=0,"PENDENTE DE RATEIO",IF(ABS(P1769)&gt;0.005,"DIVERGÊNCIA",IF(COUNTIF(RATEIOS!$A$2:$A$3142,$A1769)-COUNTIFS(RATEIOS!$A$2:$A$3142,$A1769,RATEIOS!$D$2:$D$3142,"&lt;&gt;")&gt;0,"NÃO CLASSIFICADO","RATEIO OK"))))</f>
        <v/>
      </c>
      <c r="R1769" s="49"/>
      <c r="S1769" s="14"/>
    </row>
    <row r="1770" spans="1:19" ht="30" customHeight="1" x14ac:dyDescent="0.25">
      <c r="A1770" s="49" t="str">
        <f>IF(C1770="","","BAN-01769")</f>
        <v/>
      </c>
      <c r="B1770" s="98" t="str">
        <f>IF(C1770="","",1769)</f>
        <v/>
      </c>
      <c r="C1770" s="50"/>
      <c r="D1770" s="49" t="str">
        <f t="shared" si="55"/>
        <v/>
      </c>
      <c r="E1770" s="92"/>
      <c r="F1770" s="49"/>
      <c r="G1770" s="14"/>
      <c r="H1770" s="14"/>
      <c r="I1770" s="76"/>
      <c r="J1770" s="73"/>
      <c r="K1770" s="74"/>
      <c r="L1770" s="72"/>
      <c r="M1770" s="72"/>
      <c r="N1770" s="72" t="str">
        <f>IF(AND(C1770="",J1770=0,K1770=0,L1770=0,M1770=0),"",CADASTROS!$B$4+SUM($J$2:J1770)+SUM($M$2:M1770)-SUM($K$2:K1770)-SUM($L$2:L1770))</f>
        <v/>
      </c>
      <c r="O1770" s="72" t="str">
        <f>IF(A1770="","",SUMIF(RATEIOS!$A$2:$A$3142,$A1770,RATEIOS!$F$2:$F$3142))</f>
        <v/>
      </c>
      <c r="P1770" s="15" t="str">
        <f t="shared" si="56"/>
        <v/>
      </c>
      <c r="Q1770" s="49" t="str">
        <f>IF(AND(J1770=0,K1770=0,L1770=0,M1770=0),"",IF(O1770=0,"PENDENTE DE RATEIO",IF(ABS(P1770)&gt;0.005,"DIVERGÊNCIA",IF(COUNTIF(RATEIOS!$A$2:$A$3142,$A1770)-COUNTIFS(RATEIOS!$A$2:$A$3142,$A1770,RATEIOS!$D$2:$D$3142,"&lt;&gt;")&gt;0,"NÃO CLASSIFICADO","RATEIO OK"))))</f>
        <v/>
      </c>
      <c r="R1770" s="49"/>
      <c r="S1770" s="14"/>
    </row>
    <row r="1771" spans="1:19" ht="30" customHeight="1" x14ac:dyDescent="0.25">
      <c r="A1771" s="49" t="str">
        <f>IF(C1771="","","BAN-01770")</f>
        <v/>
      </c>
      <c r="B1771" s="98" t="str">
        <f>IF(C1771="","",1770)</f>
        <v/>
      </c>
      <c r="C1771" s="50"/>
      <c r="D1771" s="49" t="str">
        <f t="shared" si="55"/>
        <v/>
      </c>
      <c r="E1771" s="92"/>
      <c r="F1771" s="49"/>
      <c r="G1771" s="14"/>
      <c r="H1771" s="14"/>
      <c r="I1771" s="76"/>
      <c r="J1771" s="73"/>
      <c r="K1771" s="74"/>
      <c r="L1771" s="72"/>
      <c r="M1771" s="72"/>
      <c r="N1771" s="72" t="str">
        <f>IF(AND(C1771="",J1771=0,K1771=0,L1771=0,M1771=0),"",CADASTROS!$B$4+SUM($J$2:J1771)+SUM($M$2:M1771)-SUM($K$2:K1771)-SUM($L$2:L1771))</f>
        <v/>
      </c>
      <c r="O1771" s="72" t="str">
        <f>IF(A1771="","",SUMIF(RATEIOS!$A$2:$A$3142,$A1771,RATEIOS!$F$2:$F$3142))</f>
        <v/>
      </c>
      <c r="P1771" s="15" t="str">
        <f t="shared" si="56"/>
        <v/>
      </c>
      <c r="Q1771" s="49" t="str">
        <f>IF(AND(J1771=0,K1771=0,L1771=0,M1771=0),"",IF(O1771=0,"PENDENTE DE RATEIO",IF(ABS(P1771)&gt;0.005,"DIVERGÊNCIA",IF(COUNTIF(RATEIOS!$A$2:$A$3142,$A1771)-COUNTIFS(RATEIOS!$A$2:$A$3142,$A1771,RATEIOS!$D$2:$D$3142,"&lt;&gt;")&gt;0,"NÃO CLASSIFICADO","RATEIO OK"))))</f>
        <v/>
      </c>
      <c r="R1771" s="49"/>
      <c r="S1771" s="14"/>
    </row>
    <row r="1772" spans="1:19" ht="30" customHeight="1" x14ac:dyDescent="0.25">
      <c r="A1772" s="49" t="str">
        <f>IF(C1772="","","BAN-01771")</f>
        <v/>
      </c>
      <c r="B1772" s="98" t="str">
        <f>IF(C1772="","",1771)</f>
        <v/>
      </c>
      <c r="C1772" s="50"/>
      <c r="D1772" s="49" t="str">
        <f t="shared" si="55"/>
        <v/>
      </c>
      <c r="E1772" s="92"/>
      <c r="F1772" s="49"/>
      <c r="G1772" s="14"/>
      <c r="H1772" s="14"/>
      <c r="I1772" s="76"/>
      <c r="J1772" s="73"/>
      <c r="K1772" s="74"/>
      <c r="L1772" s="72"/>
      <c r="M1772" s="72"/>
      <c r="N1772" s="72" t="str">
        <f>IF(AND(C1772="",J1772=0,K1772=0,L1772=0,M1772=0),"",CADASTROS!$B$4+SUM($J$2:J1772)+SUM($M$2:M1772)-SUM($K$2:K1772)-SUM($L$2:L1772))</f>
        <v/>
      </c>
      <c r="O1772" s="72" t="str">
        <f>IF(A1772="","",SUMIF(RATEIOS!$A$2:$A$3142,$A1772,RATEIOS!$F$2:$F$3142))</f>
        <v/>
      </c>
      <c r="P1772" s="15" t="str">
        <f t="shared" si="56"/>
        <v/>
      </c>
      <c r="Q1772" s="49" t="str">
        <f>IF(AND(J1772=0,K1772=0,L1772=0,M1772=0),"",IF(O1772=0,"PENDENTE DE RATEIO",IF(ABS(P1772)&gt;0.005,"DIVERGÊNCIA",IF(COUNTIF(RATEIOS!$A$2:$A$3142,$A1772)-COUNTIFS(RATEIOS!$A$2:$A$3142,$A1772,RATEIOS!$D$2:$D$3142,"&lt;&gt;")&gt;0,"NÃO CLASSIFICADO","RATEIO OK"))))</f>
        <v/>
      </c>
      <c r="R1772" s="49"/>
      <c r="S1772" s="14"/>
    </row>
    <row r="1773" spans="1:19" ht="30" customHeight="1" x14ac:dyDescent="0.25">
      <c r="A1773" s="49" t="str">
        <f>IF(C1773="","","BAN-01772")</f>
        <v/>
      </c>
      <c r="B1773" s="98" t="str">
        <f>IF(C1773="","",1772)</f>
        <v/>
      </c>
      <c r="C1773" s="50"/>
      <c r="D1773" s="49" t="str">
        <f t="shared" si="55"/>
        <v/>
      </c>
      <c r="E1773" s="92"/>
      <c r="F1773" s="49"/>
      <c r="G1773" s="14"/>
      <c r="H1773" s="14"/>
      <c r="I1773" s="76"/>
      <c r="J1773" s="73"/>
      <c r="K1773" s="74"/>
      <c r="L1773" s="72"/>
      <c r="M1773" s="72"/>
      <c r="N1773" s="72" t="str">
        <f>IF(AND(C1773="",J1773=0,K1773=0,L1773=0,M1773=0),"",CADASTROS!$B$4+SUM($J$2:J1773)+SUM($M$2:M1773)-SUM($K$2:K1773)-SUM($L$2:L1773))</f>
        <v/>
      </c>
      <c r="O1773" s="72" t="str">
        <f>IF(A1773="","",SUMIF(RATEIOS!$A$2:$A$3142,$A1773,RATEIOS!$F$2:$F$3142))</f>
        <v/>
      </c>
      <c r="P1773" s="15" t="str">
        <f t="shared" si="56"/>
        <v/>
      </c>
      <c r="Q1773" s="49" t="str">
        <f>IF(AND(J1773=0,K1773=0,L1773=0,M1773=0),"",IF(O1773=0,"PENDENTE DE RATEIO",IF(ABS(P1773)&gt;0.005,"DIVERGÊNCIA",IF(COUNTIF(RATEIOS!$A$2:$A$3142,$A1773)-COUNTIFS(RATEIOS!$A$2:$A$3142,$A1773,RATEIOS!$D$2:$D$3142,"&lt;&gt;")&gt;0,"NÃO CLASSIFICADO","RATEIO OK"))))</f>
        <v/>
      </c>
      <c r="R1773" s="49"/>
      <c r="S1773" s="14"/>
    </row>
    <row r="1774" spans="1:19" ht="30" customHeight="1" x14ac:dyDescent="0.25">
      <c r="A1774" s="49" t="str">
        <f>IF(C1774="","","BAN-01773")</f>
        <v/>
      </c>
      <c r="B1774" s="98" t="str">
        <f>IF(C1774="","",1773)</f>
        <v/>
      </c>
      <c r="C1774" s="50"/>
      <c r="D1774" s="49" t="str">
        <f t="shared" si="55"/>
        <v/>
      </c>
      <c r="E1774" s="92"/>
      <c r="F1774" s="49"/>
      <c r="G1774" s="14"/>
      <c r="H1774" s="14"/>
      <c r="I1774" s="76"/>
      <c r="J1774" s="73"/>
      <c r="K1774" s="74"/>
      <c r="L1774" s="72"/>
      <c r="M1774" s="72"/>
      <c r="N1774" s="72" t="str">
        <f>IF(AND(C1774="",J1774=0,K1774=0,L1774=0,M1774=0),"",CADASTROS!$B$4+SUM($J$2:J1774)+SUM($M$2:M1774)-SUM($K$2:K1774)-SUM($L$2:L1774))</f>
        <v/>
      </c>
      <c r="O1774" s="72" t="str">
        <f>IF(A1774="","",SUMIF(RATEIOS!$A$2:$A$3142,$A1774,RATEIOS!$F$2:$F$3142))</f>
        <v/>
      </c>
      <c r="P1774" s="15" t="str">
        <f t="shared" si="56"/>
        <v/>
      </c>
      <c r="Q1774" s="49" t="str">
        <f>IF(AND(J1774=0,K1774=0,L1774=0,M1774=0),"",IF(O1774=0,"PENDENTE DE RATEIO",IF(ABS(P1774)&gt;0.005,"DIVERGÊNCIA",IF(COUNTIF(RATEIOS!$A$2:$A$3142,$A1774)-COUNTIFS(RATEIOS!$A$2:$A$3142,$A1774,RATEIOS!$D$2:$D$3142,"&lt;&gt;")&gt;0,"NÃO CLASSIFICADO","RATEIO OK"))))</f>
        <v/>
      </c>
      <c r="R1774" s="49"/>
      <c r="S1774" s="14"/>
    </row>
    <row r="1775" spans="1:19" ht="30" customHeight="1" x14ac:dyDescent="0.25">
      <c r="A1775" s="49" t="str">
        <f>IF(C1775="","","BAN-01774")</f>
        <v/>
      </c>
      <c r="B1775" s="98" t="str">
        <f>IF(C1775="","",1774)</f>
        <v/>
      </c>
      <c r="C1775" s="50"/>
      <c r="D1775" s="49" t="str">
        <f t="shared" si="55"/>
        <v/>
      </c>
      <c r="E1775" s="92"/>
      <c r="F1775" s="49"/>
      <c r="G1775" s="14"/>
      <c r="H1775" s="14"/>
      <c r="I1775" s="76"/>
      <c r="J1775" s="73"/>
      <c r="K1775" s="74"/>
      <c r="L1775" s="72"/>
      <c r="M1775" s="72"/>
      <c r="N1775" s="72" t="str">
        <f>IF(AND(C1775="",J1775=0,K1775=0,L1775=0,M1775=0),"",CADASTROS!$B$4+SUM($J$2:J1775)+SUM($M$2:M1775)-SUM($K$2:K1775)-SUM($L$2:L1775))</f>
        <v/>
      </c>
      <c r="O1775" s="72" t="str">
        <f>IF(A1775="","",SUMIF(RATEIOS!$A$2:$A$3142,$A1775,RATEIOS!$F$2:$F$3142))</f>
        <v/>
      </c>
      <c r="P1775" s="15" t="str">
        <f t="shared" si="56"/>
        <v/>
      </c>
      <c r="Q1775" s="49" t="str">
        <f>IF(AND(J1775=0,K1775=0,L1775=0,M1775=0),"",IF(O1775=0,"PENDENTE DE RATEIO",IF(ABS(P1775)&gt;0.005,"DIVERGÊNCIA",IF(COUNTIF(RATEIOS!$A$2:$A$3142,$A1775)-COUNTIFS(RATEIOS!$A$2:$A$3142,$A1775,RATEIOS!$D$2:$D$3142,"&lt;&gt;")&gt;0,"NÃO CLASSIFICADO","RATEIO OK"))))</f>
        <v/>
      </c>
      <c r="R1775" s="49"/>
      <c r="S1775" s="14"/>
    </row>
    <row r="1776" spans="1:19" ht="30" customHeight="1" x14ac:dyDescent="0.25">
      <c r="A1776" s="49" t="str">
        <f>IF(C1776="","","BAN-01775")</f>
        <v/>
      </c>
      <c r="B1776" s="98" t="str">
        <f>IF(C1776="","",1775)</f>
        <v/>
      </c>
      <c r="C1776" s="50"/>
      <c r="D1776" s="49" t="str">
        <f t="shared" si="55"/>
        <v/>
      </c>
      <c r="E1776" s="92"/>
      <c r="F1776" s="49"/>
      <c r="G1776" s="14"/>
      <c r="H1776" s="14"/>
      <c r="I1776" s="76"/>
      <c r="J1776" s="73"/>
      <c r="K1776" s="74"/>
      <c r="L1776" s="72"/>
      <c r="M1776" s="72"/>
      <c r="N1776" s="72" t="str">
        <f>IF(AND(C1776="",J1776=0,K1776=0,L1776=0,M1776=0),"",CADASTROS!$B$4+SUM($J$2:J1776)+SUM($M$2:M1776)-SUM($K$2:K1776)-SUM($L$2:L1776))</f>
        <v/>
      </c>
      <c r="O1776" s="72" t="str">
        <f>IF(A1776="","",SUMIF(RATEIOS!$A$2:$A$3142,$A1776,RATEIOS!$F$2:$F$3142))</f>
        <v/>
      </c>
      <c r="P1776" s="15" t="str">
        <f t="shared" si="56"/>
        <v/>
      </c>
      <c r="Q1776" s="49" t="str">
        <f>IF(AND(J1776=0,K1776=0,L1776=0,M1776=0),"",IF(O1776=0,"PENDENTE DE RATEIO",IF(ABS(P1776)&gt;0.005,"DIVERGÊNCIA",IF(COUNTIF(RATEIOS!$A$2:$A$3142,$A1776)-COUNTIFS(RATEIOS!$A$2:$A$3142,$A1776,RATEIOS!$D$2:$D$3142,"&lt;&gt;")&gt;0,"NÃO CLASSIFICADO","RATEIO OK"))))</f>
        <v/>
      </c>
      <c r="R1776" s="49"/>
      <c r="S1776" s="14"/>
    </row>
    <row r="1777" spans="1:19" ht="30" customHeight="1" x14ac:dyDescent="0.25">
      <c r="A1777" s="49" t="str">
        <f>IF(C1777="","","BAN-01776")</f>
        <v/>
      </c>
      <c r="B1777" s="98" t="str">
        <f>IF(C1777="","",1776)</f>
        <v/>
      </c>
      <c r="C1777" s="50"/>
      <c r="D1777" s="49" t="str">
        <f t="shared" si="55"/>
        <v/>
      </c>
      <c r="E1777" s="92"/>
      <c r="F1777" s="49"/>
      <c r="G1777" s="14"/>
      <c r="H1777" s="14"/>
      <c r="I1777" s="76"/>
      <c r="J1777" s="73"/>
      <c r="K1777" s="74"/>
      <c r="L1777" s="72"/>
      <c r="M1777" s="72"/>
      <c r="N1777" s="72" t="str">
        <f>IF(AND(C1777="",J1777=0,K1777=0,L1777=0,M1777=0),"",CADASTROS!$B$4+SUM($J$2:J1777)+SUM($M$2:M1777)-SUM($K$2:K1777)-SUM($L$2:L1777))</f>
        <v/>
      </c>
      <c r="O1777" s="72" t="str">
        <f>IF(A1777="","",SUMIF(RATEIOS!$A$2:$A$3142,$A1777,RATEIOS!$F$2:$F$3142))</f>
        <v/>
      </c>
      <c r="P1777" s="15" t="str">
        <f t="shared" si="56"/>
        <v/>
      </c>
      <c r="Q1777" s="49" t="str">
        <f>IF(AND(J1777=0,K1777=0,L1777=0,M1777=0),"",IF(O1777=0,"PENDENTE DE RATEIO",IF(ABS(P1777)&gt;0.005,"DIVERGÊNCIA",IF(COUNTIF(RATEIOS!$A$2:$A$3142,$A1777)-COUNTIFS(RATEIOS!$A$2:$A$3142,$A1777,RATEIOS!$D$2:$D$3142,"&lt;&gt;")&gt;0,"NÃO CLASSIFICADO","RATEIO OK"))))</f>
        <v/>
      </c>
      <c r="R1777" s="49"/>
      <c r="S1777" s="14"/>
    </row>
    <row r="1778" spans="1:19" ht="30" customHeight="1" x14ac:dyDescent="0.25">
      <c r="A1778" s="49" t="str">
        <f>IF(C1778="","","BAN-01777")</f>
        <v/>
      </c>
      <c r="B1778" s="98" t="str">
        <f>IF(C1778="","",1777)</f>
        <v/>
      </c>
      <c r="C1778" s="50"/>
      <c r="D1778" s="49" t="str">
        <f t="shared" si="55"/>
        <v/>
      </c>
      <c r="E1778" s="92"/>
      <c r="F1778" s="49"/>
      <c r="G1778" s="14"/>
      <c r="H1778" s="14"/>
      <c r="I1778" s="76"/>
      <c r="J1778" s="73"/>
      <c r="K1778" s="74"/>
      <c r="L1778" s="72"/>
      <c r="M1778" s="72"/>
      <c r="N1778" s="72" t="str">
        <f>IF(AND(C1778="",J1778=0,K1778=0,L1778=0,M1778=0),"",CADASTROS!$B$4+SUM($J$2:J1778)+SUM($M$2:M1778)-SUM($K$2:K1778)-SUM($L$2:L1778))</f>
        <v/>
      </c>
      <c r="O1778" s="72" t="str">
        <f>IF(A1778="","",SUMIF(RATEIOS!$A$2:$A$3142,$A1778,RATEIOS!$F$2:$F$3142))</f>
        <v/>
      </c>
      <c r="P1778" s="15" t="str">
        <f t="shared" si="56"/>
        <v/>
      </c>
      <c r="Q1778" s="49" t="str">
        <f>IF(AND(J1778=0,K1778=0,L1778=0,M1778=0),"",IF(O1778=0,"PENDENTE DE RATEIO",IF(ABS(P1778)&gt;0.005,"DIVERGÊNCIA",IF(COUNTIF(RATEIOS!$A$2:$A$3142,$A1778)-COUNTIFS(RATEIOS!$A$2:$A$3142,$A1778,RATEIOS!$D$2:$D$3142,"&lt;&gt;")&gt;0,"NÃO CLASSIFICADO","RATEIO OK"))))</f>
        <v/>
      </c>
      <c r="R1778" s="49"/>
      <c r="S1778" s="14"/>
    </row>
    <row r="1779" spans="1:19" ht="30" customHeight="1" x14ac:dyDescent="0.25">
      <c r="A1779" s="49" t="str">
        <f>IF(C1779="","","BAN-01778")</f>
        <v/>
      </c>
      <c r="B1779" s="98" t="str">
        <f>IF(C1779="","",1778)</f>
        <v/>
      </c>
      <c r="C1779" s="50"/>
      <c r="D1779" s="49" t="str">
        <f t="shared" si="55"/>
        <v/>
      </c>
      <c r="E1779" s="92"/>
      <c r="F1779" s="49"/>
      <c r="G1779" s="14"/>
      <c r="H1779" s="14"/>
      <c r="I1779" s="76"/>
      <c r="J1779" s="73"/>
      <c r="K1779" s="74"/>
      <c r="L1779" s="72"/>
      <c r="M1779" s="72"/>
      <c r="N1779" s="72" t="str">
        <f>IF(AND(C1779="",J1779=0,K1779=0,L1779=0,M1779=0),"",CADASTROS!$B$4+SUM($J$2:J1779)+SUM($M$2:M1779)-SUM($K$2:K1779)-SUM($L$2:L1779))</f>
        <v/>
      </c>
      <c r="O1779" s="72" t="str">
        <f>IF(A1779="","",SUMIF(RATEIOS!$A$2:$A$3142,$A1779,RATEIOS!$F$2:$F$3142))</f>
        <v/>
      </c>
      <c r="P1779" s="15" t="str">
        <f t="shared" si="56"/>
        <v/>
      </c>
      <c r="Q1779" s="49" t="str">
        <f>IF(AND(J1779=0,K1779=0,L1779=0,M1779=0),"",IF(O1779=0,"PENDENTE DE RATEIO",IF(ABS(P1779)&gt;0.005,"DIVERGÊNCIA",IF(COUNTIF(RATEIOS!$A$2:$A$3142,$A1779)-COUNTIFS(RATEIOS!$A$2:$A$3142,$A1779,RATEIOS!$D$2:$D$3142,"&lt;&gt;")&gt;0,"NÃO CLASSIFICADO","RATEIO OK"))))</f>
        <v/>
      </c>
      <c r="R1779" s="49"/>
      <c r="S1779" s="14"/>
    </row>
    <row r="1780" spans="1:19" ht="30" customHeight="1" x14ac:dyDescent="0.25">
      <c r="A1780" s="49" t="str">
        <f>IF(C1780="","","BAN-01779")</f>
        <v/>
      </c>
      <c r="B1780" s="98" t="str">
        <f>IF(C1780="","",1779)</f>
        <v/>
      </c>
      <c r="C1780" s="50"/>
      <c r="D1780" s="49" t="str">
        <f t="shared" si="55"/>
        <v/>
      </c>
      <c r="E1780" s="92"/>
      <c r="F1780" s="49"/>
      <c r="G1780" s="14"/>
      <c r="H1780" s="14"/>
      <c r="I1780" s="76"/>
      <c r="J1780" s="73"/>
      <c r="K1780" s="74"/>
      <c r="L1780" s="72"/>
      <c r="M1780" s="72"/>
      <c r="N1780" s="72" t="str">
        <f>IF(AND(C1780="",J1780=0,K1780=0,L1780=0,M1780=0),"",CADASTROS!$B$4+SUM($J$2:J1780)+SUM($M$2:M1780)-SUM($K$2:K1780)-SUM($L$2:L1780))</f>
        <v/>
      </c>
      <c r="O1780" s="72" t="str">
        <f>IF(A1780="","",SUMIF(RATEIOS!$A$2:$A$3142,$A1780,RATEIOS!$F$2:$F$3142))</f>
        <v/>
      </c>
      <c r="P1780" s="15" t="str">
        <f t="shared" si="56"/>
        <v/>
      </c>
      <c r="Q1780" s="49" t="str">
        <f>IF(AND(J1780=0,K1780=0,L1780=0,M1780=0),"",IF(O1780=0,"PENDENTE DE RATEIO",IF(ABS(P1780)&gt;0.005,"DIVERGÊNCIA",IF(COUNTIF(RATEIOS!$A$2:$A$3142,$A1780)-COUNTIFS(RATEIOS!$A$2:$A$3142,$A1780,RATEIOS!$D$2:$D$3142,"&lt;&gt;")&gt;0,"NÃO CLASSIFICADO","RATEIO OK"))))</f>
        <v/>
      </c>
      <c r="R1780" s="49"/>
      <c r="S1780" s="14"/>
    </row>
    <row r="1781" spans="1:19" ht="30" customHeight="1" x14ac:dyDescent="0.25">
      <c r="A1781" s="49" t="str">
        <f>IF(C1781="","","BAN-01780")</f>
        <v/>
      </c>
      <c r="B1781" s="98" t="str">
        <f>IF(C1781="","",1780)</f>
        <v/>
      </c>
      <c r="C1781" s="50"/>
      <c r="D1781" s="49" t="str">
        <f t="shared" si="55"/>
        <v/>
      </c>
      <c r="E1781" s="92"/>
      <c r="F1781" s="49"/>
      <c r="G1781" s="14"/>
      <c r="H1781" s="14"/>
      <c r="I1781" s="76"/>
      <c r="J1781" s="73"/>
      <c r="K1781" s="74"/>
      <c r="L1781" s="72"/>
      <c r="M1781" s="72"/>
      <c r="N1781" s="72" t="str">
        <f>IF(AND(C1781="",J1781=0,K1781=0,L1781=0,M1781=0),"",CADASTROS!$B$4+SUM($J$2:J1781)+SUM($M$2:M1781)-SUM($K$2:K1781)-SUM($L$2:L1781))</f>
        <v/>
      </c>
      <c r="O1781" s="72" t="str">
        <f>IF(A1781="","",SUMIF(RATEIOS!$A$2:$A$3142,$A1781,RATEIOS!$F$2:$F$3142))</f>
        <v/>
      </c>
      <c r="P1781" s="15" t="str">
        <f t="shared" si="56"/>
        <v/>
      </c>
      <c r="Q1781" s="49" t="str">
        <f>IF(AND(J1781=0,K1781=0,L1781=0,M1781=0),"",IF(O1781=0,"PENDENTE DE RATEIO",IF(ABS(P1781)&gt;0.005,"DIVERGÊNCIA",IF(COUNTIF(RATEIOS!$A$2:$A$3142,$A1781)-COUNTIFS(RATEIOS!$A$2:$A$3142,$A1781,RATEIOS!$D$2:$D$3142,"&lt;&gt;")&gt;0,"NÃO CLASSIFICADO","RATEIO OK"))))</f>
        <v/>
      </c>
      <c r="R1781" s="49"/>
      <c r="S1781" s="14"/>
    </row>
    <row r="1782" spans="1:19" ht="30" customHeight="1" x14ac:dyDescent="0.25">
      <c r="A1782" s="49" t="str">
        <f>IF(C1782="","","BAN-01781")</f>
        <v/>
      </c>
      <c r="B1782" s="98" t="str">
        <f>IF(C1782="","",1781)</f>
        <v/>
      </c>
      <c r="C1782" s="50"/>
      <c r="D1782" s="49" t="str">
        <f t="shared" si="55"/>
        <v/>
      </c>
      <c r="E1782" s="92"/>
      <c r="F1782" s="49"/>
      <c r="G1782" s="14"/>
      <c r="H1782" s="14"/>
      <c r="I1782" s="76"/>
      <c r="J1782" s="73"/>
      <c r="K1782" s="74"/>
      <c r="L1782" s="72"/>
      <c r="M1782" s="72"/>
      <c r="N1782" s="72" t="str">
        <f>IF(AND(C1782="",J1782=0,K1782=0,L1782=0,M1782=0),"",CADASTROS!$B$4+SUM($J$2:J1782)+SUM($M$2:M1782)-SUM($K$2:K1782)-SUM($L$2:L1782))</f>
        <v/>
      </c>
      <c r="O1782" s="72" t="str">
        <f>IF(A1782="","",SUMIF(RATEIOS!$A$2:$A$3142,$A1782,RATEIOS!$F$2:$F$3142))</f>
        <v/>
      </c>
      <c r="P1782" s="15" t="str">
        <f t="shared" si="56"/>
        <v/>
      </c>
      <c r="Q1782" s="49" t="str">
        <f>IF(AND(J1782=0,K1782=0,L1782=0,M1782=0),"",IF(O1782=0,"PENDENTE DE RATEIO",IF(ABS(P1782)&gt;0.005,"DIVERGÊNCIA",IF(COUNTIF(RATEIOS!$A$2:$A$3142,$A1782)-COUNTIFS(RATEIOS!$A$2:$A$3142,$A1782,RATEIOS!$D$2:$D$3142,"&lt;&gt;")&gt;0,"NÃO CLASSIFICADO","RATEIO OK"))))</f>
        <v/>
      </c>
      <c r="R1782" s="49"/>
      <c r="S1782" s="14"/>
    </row>
    <row r="1783" spans="1:19" ht="30" customHeight="1" x14ac:dyDescent="0.25">
      <c r="A1783" s="49" t="str">
        <f>IF(C1783="","","BAN-01782")</f>
        <v/>
      </c>
      <c r="B1783" s="98" t="str">
        <f>IF(C1783="","",1782)</f>
        <v/>
      </c>
      <c r="C1783" s="50"/>
      <c r="D1783" s="49" t="str">
        <f t="shared" si="55"/>
        <v/>
      </c>
      <c r="E1783" s="92"/>
      <c r="F1783" s="49"/>
      <c r="G1783" s="14"/>
      <c r="H1783" s="14"/>
      <c r="I1783" s="76"/>
      <c r="J1783" s="73"/>
      <c r="K1783" s="74"/>
      <c r="L1783" s="72"/>
      <c r="M1783" s="72"/>
      <c r="N1783" s="72" t="str">
        <f>IF(AND(C1783="",J1783=0,K1783=0,L1783=0,M1783=0),"",CADASTROS!$B$4+SUM($J$2:J1783)+SUM($M$2:M1783)-SUM($K$2:K1783)-SUM($L$2:L1783))</f>
        <v/>
      </c>
      <c r="O1783" s="72" t="str">
        <f>IF(A1783="","",SUMIF(RATEIOS!$A$2:$A$3142,$A1783,RATEIOS!$F$2:$F$3142))</f>
        <v/>
      </c>
      <c r="P1783" s="15" t="str">
        <f t="shared" si="56"/>
        <v/>
      </c>
      <c r="Q1783" s="49" t="str">
        <f>IF(AND(J1783=0,K1783=0,L1783=0,M1783=0),"",IF(O1783=0,"PENDENTE DE RATEIO",IF(ABS(P1783)&gt;0.005,"DIVERGÊNCIA",IF(COUNTIF(RATEIOS!$A$2:$A$3142,$A1783)-COUNTIFS(RATEIOS!$A$2:$A$3142,$A1783,RATEIOS!$D$2:$D$3142,"&lt;&gt;")&gt;0,"NÃO CLASSIFICADO","RATEIO OK"))))</f>
        <v/>
      </c>
      <c r="R1783" s="49"/>
      <c r="S1783" s="14"/>
    </row>
    <row r="1784" spans="1:19" ht="30" customHeight="1" x14ac:dyDescent="0.25">
      <c r="A1784" s="49" t="str">
        <f>IF(C1784="","","BAN-01783")</f>
        <v/>
      </c>
      <c r="B1784" s="98" t="str">
        <f>IF(C1784="","",1783)</f>
        <v/>
      </c>
      <c r="C1784" s="50"/>
      <c r="D1784" s="49" t="str">
        <f t="shared" si="55"/>
        <v/>
      </c>
      <c r="E1784" s="92"/>
      <c r="F1784" s="49"/>
      <c r="G1784" s="14"/>
      <c r="H1784" s="14"/>
      <c r="I1784" s="76"/>
      <c r="J1784" s="73"/>
      <c r="K1784" s="74"/>
      <c r="L1784" s="72"/>
      <c r="M1784" s="72"/>
      <c r="N1784" s="72" t="str">
        <f>IF(AND(C1784="",J1784=0,K1784=0,L1784=0,M1784=0),"",CADASTROS!$B$4+SUM($J$2:J1784)+SUM($M$2:M1784)-SUM($K$2:K1784)-SUM($L$2:L1784))</f>
        <v/>
      </c>
      <c r="O1784" s="72" t="str">
        <f>IF(A1784="","",SUMIF(RATEIOS!$A$2:$A$3142,$A1784,RATEIOS!$F$2:$F$3142))</f>
        <v/>
      </c>
      <c r="P1784" s="15" t="str">
        <f t="shared" si="56"/>
        <v/>
      </c>
      <c r="Q1784" s="49" t="str">
        <f>IF(AND(J1784=0,K1784=0,L1784=0,M1784=0),"",IF(O1784=0,"PENDENTE DE RATEIO",IF(ABS(P1784)&gt;0.005,"DIVERGÊNCIA",IF(COUNTIF(RATEIOS!$A$2:$A$3142,$A1784)-COUNTIFS(RATEIOS!$A$2:$A$3142,$A1784,RATEIOS!$D$2:$D$3142,"&lt;&gt;")&gt;0,"NÃO CLASSIFICADO","RATEIO OK"))))</f>
        <v/>
      </c>
      <c r="R1784" s="49"/>
      <c r="S1784" s="14"/>
    </row>
    <row r="1785" spans="1:19" ht="30" customHeight="1" x14ac:dyDescent="0.25">
      <c r="A1785" s="49" t="str">
        <f>IF(C1785="","","BAN-01784")</f>
        <v/>
      </c>
      <c r="B1785" s="98" t="str">
        <f>IF(C1785="","",1784)</f>
        <v/>
      </c>
      <c r="C1785" s="50"/>
      <c r="D1785" s="49" t="str">
        <f t="shared" si="55"/>
        <v/>
      </c>
      <c r="E1785" s="92"/>
      <c r="F1785" s="49"/>
      <c r="G1785" s="14"/>
      <c r="H1785" s="14"/>
      <c r="I1785" s="76"/>
      <c r="J1785" s="73"/>
      <c r="K1785" s="74"/>
      <c r="L1785" s="72"/>
      <c r="M1785" s="72"/>
      <c r="N1785" s="72" t="str">
        <f>IF(AND(C1785="",J1785=0,K1785=0,L1785=0,M1785=0),"",CADASTROS!$B$4+SUM($J$2:J1785)+SUM($M$2:M1785)-SUM($K$2:K1785)-SUM($L$2:L1785))</f>
        <v/>
      </c>
      <c r="O1785" s="72" t="str">
        <f>IF(A1785="","",SUMIF(RATEIOS!$A$2:$A$3142,$A1785,RATEIOS!$F$2:$F$3142))</f>
        <v/>
      </c>
      <c r="P1785" s="15" t="str">
        <f t="shared" si="56"/>
        <v/>
      </c>
      <c r="Q1785" s="49" t="str">
        <f>IF(AND(J1785=0,K1785=0,L1785=0,M1785=0),"",IF(O1785=0,"PENDENTE DE RATEIO",IF(ABS(P1785)&gt;0.005,"DIVERGÊNCIA",IF(COUNTIF(RATEIOS!$A$2:$A$3142,$A1785)-COUNTIFS(RATEIOS!$A$2:$A$3142,$A1785,RATEIOS!$D$2:$D$3142,"&lt;&gt;")&gt;0,"NÃO CLASSIFICADO","RATEIO OK"))))</f>
        <v/>
      </c>
      <c r="R1785" s="49"/>
      <c r="S1785" s="14"/>
    </row>
    <row r="1786" spans="1:19" ht="30" customHeight="1" x14ac:dyDescent="0.25">
      <c r="A1786" s="49" t="str">
        <f>IF(C1786="","","BAN-01785")</f>
        <v/>
      </c>
      <c r="B1786" s="98" t="str">
        <f>IF(C1786="","",1785)</f>
        <v/>
      </c>
      <c r="C1786" s="50"/>
      <c r="D1786" s="49" t="str">
        <f t="shared" si="55"/>
        <v/>
      </c>
      <c r="E1786" s="92"/>
      <c r="F1786" s="49"/>
      <c r="G1786" s="14"/>
      <c r="H1786" s="14"/>
      <c r="I1786" s="76"/>
      <c r="J1786" s="73"/>
      <c r="K1786" s="74"/>
      <c r="L1786" s="72"/>
      <c r="M1786" s="72"/>
      <c r="N1786" s="72" t="str">
        <f>IF(AND(C1786="",J1786=0,K1786=0,L1786=0,M1786=0),"",CADASTROS!$B$4+SUM($J$2:J1786)+SUM($M$2:M1786)-SUM($K$2:K1786)-SUM($L$2:L1786))</f>
        <v/>
      </c>
      <c r="O1786" s="72" t="str">
        <f>IF(A1786="","",SUMIF(RATEIOS!$A$2:$A$3142,$A1786,RATEIOS!$F$2:$F$3142))</f>
        <v/>
      </c>
      <c r="P1786" s="15" t="str">
        <f t="shared" si="56"/>
        <v/>
      </c>
      <c r="Q1786" s="49" t="str">
        <f>IF(AND(J1786=0,K1786=0,L1786=0,M1786=0),"",IF(O1786=0,"PENDENTE DE RATEIO",IF(ABS(P1786)&gt;0.005,"DIVERGÊNCIA",IF(COUNTIF(RATEIOS!$A$2:$A$3142,$A1786)-COUNTIFS(RATEIOS!$A$2:$A$3142,$A1786,RATEIOS!$D$2:$D$3142,"&lt;&gt;")&gt;0,"NÃO CLASSIFICADO","RATEIO OK"))))</f>
        <v/>
      </c>
      <c r="R1786" s="49"/>
      <c r="S1786" s="14"/>
    </row>
    <row r="1787" spans="1:19" ht="30" customHeight="1" x14ac:dyDescent="0.25">
      <c r="A1787" s="49" t="str">
        <f>IF(C1787="","","BAN-01786")</f>
        <v/>
      </c>
      <c r="B1787" s="98" t="str">
        <f>IF(C1787="","",1786)</f>
        <v/>
      </c>
      <c r="C1787" s="50"/>
      <c r="D1787" s="49" t="str">
        <f t="shared" si="55"/>
        <v/>
      </c>
      <c r="E1787" s="92"/>
      <c r="F1787" s="49"/>
      <c r="G1787" s="14"/>
      <c r="H1787" s="14"/>
      <c r="I1787" s="76"/>
      <c r="J1787" s="73"/>
      <c r="K1787" s="74"/>
      <c r="L1787" s="72"/>
      <c r="M1787" s="72"/>
      <c r="N1787" s="72" t="str">
        <f>IF(AND(C1787="",J1787=0,K1787=0,L1787=0,M1787=0),"",CADASTROS!$B$4+SUM($J$2:J1787)+SUM($M$2:M1787)-SUM($K$2:K1787)-SUM($L$2:L1787))</f>
        <v/>
      </c>
      <c r="O1787" s="72" t="str">
        <f>IF(A1787="","",SUMIF(RATEIOS!$A$2:$A$3142,$A1787,RATEIOS!$F$2:$F$3142))</f>
        <v/>
      </c>
      <c r="P1787" s="15" t="str">
        <f t="shared" si="56"/>
        <v/>
      </c>
      <c r="Q1787" s="49" t="str">
        <f>IF(AND(J1787=0,K1787=0,L1787=0,M1787=0),"",IF(O1787=0,"PENDENTE DE RATEIO",IF(ABS(P1787)&gt;0.005,"DIVERGÊNCIA",IF(COUNTIF(RATEIOS!$A$2:$A$3142,$A1787)-COUNTIFS(RATEIOS!$A$2:$A$3142,$A1787,RATEIOS!$D$2:$D$3142,"&lt;&gt;")&gt;0,"NÃO CLASSIFICADO","RATEIO OK"))))</f>
        <v/>
      </c>
      <c r="R1787" s="49"/>
      <c r="S1787" s="14"/>
    </row>
    <row r="1788" spans="1:19" ht="30" customHeight="1" x14ac:dyDescent="0.25">
      <c r="A1788" s="49" t="str">
        <f>IF(C1788="","","BAN-01787")</f>
        <v/>
      </c>
      <c r="B1788" s="98" t="str">
        <f>IF(C1788="","",1787)</f>
        <v/>
      </c>
      <c r="C1788" s="50"/>
      <c r="D1788" s="49" t="str">
        <f t="shared" si="55"/>
        <v/>
      </c>
      <c r="E1788" s="92"/>
      <c r="F1788" s="49"/>
      <c r="G1788" s="14"/>
      <c r="H1788" s="14"/>
      <c r="I1788" s="76"/>
      <c r="J1788" s="73"/>
      <c r="K1788" s="74"/>
      <c r="L1788" s="72"/>
      <c r="M1788" s="72"/>
      <c r="N1788" s="72" t="str">
        <f>IF(AND(C1788="",J1788=0,K1788=0,L1788=0,M1788=0),"",CADASTROS!$B$4+SUM($J$2:J1788)+SUM($M$2:M1788)-SUM($K$2:K1788)-SUM($L$2:L1788))</f>
        <v/>
      </c>
      <c r="O1788" s="72" t="str">
        <f>IF(A1788="","",SUMIF(RATEIOS!$A$2:$A$3142,$A1788,RATEIOS!$F$2:$F$3142))</f>
        <v/>
      </c>
      <c r="P1788" s="15" t="str">
        <f t="shared" si="56"/>
        <v/>
      </c>
      <c r="Q1788" s="49" t="str">
        <f>IF(AND(J1788=0,K1788=0,L1788=0,M1788=0),"",IF(O1788=0,"PENDENTE DE RATEIO",IF(ABS(P1788)&gt;0.005,"DIVERGÊNCIA",IF(COUNTIF(RATEIOS!$A$2:$A$3142,$A1788)-COUNTIFS(RATEIOS!$A$2:$A$3142,$A1788,RATEIOS!$D$2:$D$3142,"&lt;&gt;")&gt;0,"NÃO CLASSIFICADO","RATEIO OK"))))</f>
        <v/>
      </c>
      <c r="R1788" s="49"/>
      <c r="S1788" s="14"/>
    </row>
    <row r="1789" spans="1:19" ht="30" customHeight="1" x14ac:dyDescent="0.25">
      <c r="A1789" s="49" t="str">
        <f>IF(C1789="","","BAN-01788")</f>
        <v/>
      </c>
      <c r="B1789" s="98" t="str">
        <f>IF(C1789="","",1788)</f>
        <v/>
      </c>
      <c r="C1789" s="50"/>
      <c r="D1789" s="49" t="str">
        <f t="shared" si="55"/>
        <v/>
      </c>
      <c r="E1789" s="92"/>
      <c r="F1789" s="49"/>
      <c r="G1789" s="14"/>
      <c r="H1789" s="14"/>
      <c r="I1789" s="76"/>
      <c r="J1789" s="73"/>
      <c r="K1789" s="74"/>
      <c r="L1789" s="72"/>
      <c r="M1789" s="72"/>
      <c r="N1789" s="72" t="str">
        <f>IF(AND(C1789="",J1789=0,K1789=0,L1789=0,M1789=0),"",CADASTROS!$B$4+SUM($J$2:J1789)+SUM($M$2:M1789)-SUM($K$2:K1789)-SUM($L$2:L1789))</f>
        <v/>
      </c>
      <c r="O1789" s="72" t="str">
        <f>IF(A1789="","",SUMIF(RATEIOS!$A$2:$A$3142,$A1789,RATEIOS!$F$2:$F$3142))</f>
        <v/>
      </c>
      <c r="P1789" s="15" t="str">
        <f t="shared" si="56"/>
        <v/>
      </c>
      <c r="Q1789" s="49" t="str">
        <f>IF(AND(J1789=0,K1789=0,L1789=0,M1789=0),"",IF(O1789=0,"PENDENTE DE RATEIO",IF(ABS(P1789)&gt;0.005,"DIVERGÊNCIA",IF(COUNTIF(RATEIOS!$A$2:$A$3142,$A1789)-COUNTIFS(RATEIOS!$A$2:$A$3142,$A1789,RATEIOS!$D$2:$D$3142,"&lt;&gt;")&gt;0,"NÃO CLASSIFICADO","RATEIO OK"))))</f>
        <v/>
      </c>
      <c r="R1789" s="49"/>
      <c r="S1789" s="14"/>
    </row>
    <row r="1790" spans="1:19" ht="30" customHeight="1" x14ac:dyDescent="0.25">
      <c r="A1790" s="49" t="str">
        <f>IF(C1790="","","BAN-01789")</f>
        <v/>
      </c>
      <c r="B1790" s="98" t="str">
        <f>IF(C1790="","",1789)</f>
        <v/>
      </c>
      <c r="C1790" s="50"/>
      <c r="D1790" s="49" t="str">
        <f t="shared" si="55"/>
        <v/>
      </c>
      <c r="E1790" s="92"/>
      <c r="F1790" s="49"/>
      <c r="G1790" s="14"/>
      <c r="H1790" s="14"/>
      <c r="I1790" s="76"/>
      <c r="J1790" s="73"/>
      <c r="K1790" s="74"/>
      <c r="L1790" s="72"/>
      <c r="M1790" s="72"/>
      <c r="N1790" s="72" t="str">
        <f>IF(AND(C1790="",J1790=0,K1790=0,L1790=0,M1790=0),"",CADASTROS!$B$4+SUM($J$2:J1790)+SUM($M$2:M1790)-SUM($K$2:K1790)-SUM($L$2:L1790))</f>
        <v/>
      </c>
      <c r="O1790" s="72" t="str">
        <f>IF(A1790="","",SUMIF(RATEIOS!$A$2:$A$3142,$A1790,RATEIOS!$F$2:$F$3142))</f>
        <v/>
      </c>
      <c r="P1790" s="15" t="str">
        <f t="shared" si="56"/>
        <v/>
      </c>
      <c r="Q1790" s="49" t="str">
        <f>IF(AND(J1790=0,K1790=0,L1790=0,M1790=0),"",IF(O1790=0,"PENDENTE DE RATEIO",IF(ABS(P1790)&gt;0.005,"DIVERGÊNCIA",IF(COUNTIF(RATEIOS!$A$2:$A$3142,$A1790)-COUNTIFS(RATEIOS!$A$2:$A$3142,$A1790,RATEIOS!$D$2:$D$3142,"&lt;&gt;")&gt;0,"NÃO CLASSIFICADO","RATEIO OK"))))</f>
        <v/>
      </c>
      <c r="R1790" s="49"/>
      <c r="S1790" s="14"/>
    </row>
    <row r="1791" spans="1:19" ht="30" customHeight="1" x14ac:dyDescent="0.25">
      <c r="A1791" s="49" t="str">
        <f>IF(C1791="","","BAN-01790")</f>
        <v/>
      </c>
      <c r="B1791" s="98" t="str">
        <f>IF(C1791="","",1790)</f>
        <v/>
      </c>
      <c r="C1791" s="50"/>
      <c r="D1791" s="49" t="str">
        <f t="shared" si="55"/>
        <v/>
      </c>
      <c r="E1791" s="92"/>
      <c r="F1791" s="49"/>
      <c r="G1791" s="14"/>
      <c r="H1791" s="14"/>
      <c r="I1791" s="76"/>
      <c r="J1791" s="73"/>
      <c r="K1791" s="74"/>
      <c r="L1791" s="72"/>
      <c r="M1791" s="72"/>
      <c r="N1791" s="72" t="str">
        <f>IF(AND(C1791="",J1791=0,K1791=0,L1791=0,M1791=0),"",CADASTROS!$B$4+SUM($J$2:J1791)+SUM($M$2:M1791)-SUM($K$2:K1791)-SUM($L$2:L1791))</f>
        <v/>
      </c>
      <c r="O1791" s="72" t="str">
        <f>IF(A1791="","",SUMIF(RATEIOS!$A$2:$A$3142,$A1791,RATEIOS!$F$2:$F$3142))</f>
        <v/>
      </c>
      <c r="P1791" s="15" t="str">
        <f t="shared" si="56"/>
        <v/>
      </c>
      <c r="Q1791" s="49" t="str">
        <f>IF(AND(J1791=0,K1791=0,L1791=0,M1791=0),"",IF(O1791=0,"PENDENTE DE RATEIO",IF(ABS(P1791)&gt;0.005,"DIVERGÊNCIA",IF(COUNTIF(RATEIOS!$A$2:$A$3142,$A1791)-COUNTIFS(RATEIOS!$A$2:$A$3142,$A1791,RATEIOS!$D$2:$D$3142,"&lt;&gt;")&gt;0,"NÃO CLASSIFICADO","RATEIO OK"))))</f>
        <v/>
      </c>
      <c r="R1791" s="49"/>
      <c r="S1791" s="14"/>
    </row>
    <row r="1792" spans="1:19" ht="30" customHeight="1" x14ac:dyDescent="0.25">
      <c r="A1792" s="49" t="str">
        <f>IF(C1792="","","BAN-01791")</f>
        <v/>
      </c>
      <c r="B1792" s="98" t="str">
        <f>IF(C1792="","",1791)</f>
        <v/>
      </c>
      <c r="C1792" s="50"/>
      <c r="D1792" s="49" t="str">
        <f t="shared" si="55"/>
        <v/>
      </c>
      <c r="E1792" s="92"/>
      <c r="F1792" s="49"/>
      <c r="G1792" s="14"/>
      <c r="H1792" s="14"/>
      <c r="I1792" s="76"/>
      <c r="J1792" s="73"/>
      <c r="K1792" s="74"/>
      <c r="L1792" s="72"/>
      <c r="M1792" s="72"/>
      <c r="N1792" s="72" t="str">
        <f>IF(AND(C1792="",J1792=0,K1792=0,L1792=0,M1792=0),"",CADASTROS!$B$4+SUM($J$2:J1792)+SUM($M$2:M1792)-SUM($K$2:K1792)-SUM($L$2:L1792))</f>
        <v/>
      </c>
      <c r="O1792" s="72" t="str">
        <f>IF(A1792="","",SUMIF(RATEIOS!$A$2:$A$3142,$A1792,RATEIOS!$F$2:$F$3142))</f>
        <v/>
      </c>
      <c r="P1792" s="15" t="str">
        <f t="shared" si="56"/>
        <v/>
      </c>
      <c r="Q1792" s="49" t="str">
        <f>IF(AND(J1792=0,K1792=0,L1792=0,M1792=0),"",IF(O1792=0,"PENDENTE DE RATEIO",IF(ABS(P1792)&gt;0.005,"DIVERGÊNCIA",IF(COUNTIF(RATEIOS!$A$2:$A$3142,$A1792)-COUNTIFS(RATEIOS!$A$2:$A$3142,$A1792,RATEIOS!$D$2:$D$3142,"&lt;&gt;")&gt;0,"NÃO CLASSIFICADO","RATEIO OK"))))</f>
        <v/>
      </c>
      <c r="R1792" s="49"/>
      <c r="S1792" s="14"/>
    </row>
    <row r="1793" spans="1:19" ht="30" customHeight="1" x14ac:dyDescent="0.25">
      <c r="A1793" s="49" t="str">
        <f>IF(C1793="","","BAN-01792")</f>
        <v/>
      </c>
      <c r="B1793" s="98" t="str">
        <f>IF(C1793="","",1792)</f>
        <v/>
      </c>
      <c r="C1793" s="50"/>
      <c r="D1793" s="49" t="str">
        <f t="shared" si="55"/>
        <v/>
      </c>
      <c r="E1793" s="92"/>
      <c r="F1793" s="49"/>
      <c r="G1793" s="14"/>
      <c r="H1793" s="14"/>
      <c r="I1793" s="76"/>
      <c r="J1793" s="73"/>
      <c r="K1793" s="74"/>
      <c r="L1793" s="72"/>
      <c r="M1793" s="72"/>
      <c r="N1793" s="72" t="str">
        <f>IF(AND(C1793="",J1793=0,K1793=0,L1793=0,M1793=0),"",CADASTROS!$B$4+SUM($J$2:J1793)+SUM($M$2:M1793)-SUM($K$2:K1793)-SUM($L$2:L1793))</f>
        <v/>
      </c>
      <c r="O1793" s="72" t="str">
        <f>IF(A1793="","",SUMIF(RATEIOS!$A$2:$A$3142,$A1793,RATEIOS!$F$2:$F$3142))</f>
        <v/>
      </c>
      <c r="P1793" s="15" t="str">
        <f t="shared" si="56"/>
        <v/>
      </c>
      <c r="Q1793" s="49" t="str">
        <f>IF(AND(J1793=0,K1793=0,L1793=0,M1793=0),"",IF(O1793=0,"PENDENTE DE RATEIO",IF(ABS(P1793)&gt;0.005,"DIVERGÊNCIA",IF(COUNTIF(RATEIOS!$A$2:$A$3142,$A1793)-COUNTIFS(RATEIOS!$A$2:$A$3142,$A1793,RATEIOS!$D$2:$D$3142,"&lt;&gt;")&gt;0,"NÃO CLASSIFICADO","RATEIO OK"))))</f>
        <v/>
      </c>
      <c r="R1793" s="49"/>
      <c r="S1793" s="14"/>
    </row>
    <row r="1794" spans="1:19" ht="30" customHeight="1" x14ac:dyDescent="0.25">
      <c r="A1794" s="49" t="str">
        <f>IF(C1794="","","BAN-01793")</f>
        <v/>
      </c>
      <c r="B1794" s="98" t="str">
        <f>IF(C1794="","",1793)</f>
        <v/>
      </c>
      <c r="C1794" s="50"/>
      <c r="D1794" s="49" t="str">
        <f t="shared" ref="D1794:D1857" si="57">IF(C1794="","",MONTH(C1794))</f>
        <v/>
      </c>
      <c r="E1794" s="92"/>
      <c r="F1794" s="49"/>
      <c r="G1794" s="14"/>
      <c r="H1794" s="14"/>
      <c r="I1794" s="76"/>
      <c r="J1794" s="73"/>
      <c r="K1794" s="74"/>
      <c r="L1794" s="72"/>
      <c r="M1794" s="72"/>
      <c r="N1794" s="72" t="str">
        <f>IF(AND(C1794="",J1794=0,K1794=0,L1794=0,M1794=0),"",CADASTROS!$B$4+SUM($J$2:J1794)+SUM($M$2:M1794)-SUM($K$2:K1794)-SUM($L$2:L1794))</f>
        <v/>
      </c>
      <c r="O1794" s="72" t="str">
        <f>IF(A1794="","",SUMIF(RATEIOS!$A$2:$A$3142,$A1794,RATEIOS!$F$2:$F$3142))</f>
        <v/>
      </c>
      <c r="P1794" s="15" t="str">
        <f t="shared" ref="P1794:P1857" si="58">IF(A1794="","",(J1794+K1794+L1794+M1794)-O1794)</f>
        <v/>
      </c>
      <c r="Q1794" s="49" t="str">
        <f>IF(AND(J1794=0,K1794=0,L1794=0,M1794=0),"",IF(O1794=0,"PENDENTE DE RATEIO",IF(ABS(P1794)&gt;0.005,"DIVERGÊNCIA",IF(COUNTIF(RATEIOS!$A$2:$A$3142,$A1794)-COUNTIFS(RATEIOS!$A$2:$A$3142,$A1794,RATEIOS!$D$2:$D$3142,"&lt;&gt;")&gt;0,"NÃO CLASSIFICADO","RATEIO OK"))))</f>
        <v/>
      </c>
      <c r="R1794" s="49"/>
      <c r="S1794" s="14"/>
    </row>
    <row r="1795" spans="1:19" ht="30" customHeight="1" x14ac:dyDescent="0.25">
      <c r="A1795" s="49" t="str">
        <f>IF(C1795="","","BAN-01794")</f>
        <v/>
      </c>
      <c r="B1795" s="98" t="str">
        <f>IF(C1795="","",1794)</f>
        <v/>
      </c>
      <c r="C1795" s="50"/>
      <c r="D1795" s="49" t="str">
        <f t="shared" si="57"/>
        <v/>
      </c>
      <c r="E1795" s="92"/>
      <c r="F1795" s="49"/>
      <c r="G1795" s="14"/>
      <c r="H1795" s="14"/>
      <c r="I1795" s="76"/>
      <c r="J1795" s="73"/>
      <c r="K1795" s="74"/>
      <c r="L1795" s="72"/>
      <c r="M1795" s="72"/>
      <c r="N1795" s="72" t="str">
        <f>IF(AND(C1795="",J1795=0,K1795=0,L1795=0,M1795=0),"",CADASTROS!$B$4+SUM($J$2:J1795)+SUM($M$2:M1795)-SUM($K$2:K1795)-SUM($L$2:L1795))</f>
        <v/>
      </c>
      <c r="O1795" s="72" t="str">
        <f>IF(A1795="","",SUMIF(RATEIOS!$A$2:$A$3142,$A1795,RATEIOS!$F$2:$F$3142))</f>
        <v/>
      </c>
      <c r="P1795" s="15" t="str">
        <f t="shared" si="58"/>
        <v/>
      </c>
      <c r="Q1795" s="49" t="str">
        <f>IF(AND(J1795=0,K1795=0,L1795=0,M1795=0),"",IF(O1795=0,"PENDENTE DE RATEIO",IF(ABS(P1795)&gt;0.005,"DIVERGÊNCIA",IF(COUNTIF(RATEIOS!$A$2:$A$3142,$A1795)-COUNTIFS(RATEIOS!$A$2:$A$3142,$A1795,RATEIOS!$D$2:$D$3142,"&lt;&gt;")&gt;0,"NÃO CLASSIFICADO","RATEIO OK"))))</f>
        <v/>
      </c>
      <c r="R1795" s="49"/>
      <c r="S1795" s="14"/>
    </row>
    <row r="1796" spans="1:19" ht="30" customHeight="1" x14ac:dyDescent="0.25">
      <c r="A1796" s="49" t="str">
        <f>IF(C1796="","","BAN-01795")</f>
        <v/>
      </c>
      <c r="B1796" s="98" t="str">
        <f>IF(C1796="","",1795)</f>
        <v/>
      </c>
      <c r="C1796" s="50"/>
      <c r="D1796" s="49" t="str">
        <f t="shared" si="57"/>
        <v/>
      </c>
      <c r="E1796" s="92"/>
      <c r="F1796" s="49"/>
      <c r="G1796" s="14"/>
      <c r="H1796" s="14"/>
      <c r="I1796" s="76"/>
      <c r="J1796" s="73"/>
      <c r="K1796" s="74"/>
      <c r="L1796" s="72"/>
      <c r="M1796" s="72"/>
      <c r="N1796" s="72" t="str">
        <f>IF(AND(C1796="",J1796=0,K1796=0,L1796=0,M1796=0),"",CADASTROS!$B$4+SUM($J$2:J1796)+SUM($M$2:M1796)-SUM($K$2:K1796)-SUM($L$2:L1796))</f>
        <v/>
      </c>
      <c r="O1796" s="72" t="str">
        <f>IF(A1796="","",SUMIF(RATEIOS!$A$2:$A$3142,$A1796,RATEIOS!$F$2:$F$3142))</f>
        <v/>
      </c>
      <c r="P1796" s="15" t="str">
        <f t="shared" si="58"/>
        <v/>
      </c>
      <c r="Q1796" s="49" t="str">
        <f>IF(AND(J1796=0,K1796=0,L1796=0,M1796=0),"",IF(O1796=0,"PENDENTE DE RATEIO",IF(ABS(P1796)&gt;0.005,"DIVERGÊNCIA",IF(COUNTIF(RATEIOS!$A$2:$A$3142,$A1796)-COUNTIFS(RATEIOS!$A$2:$A$3142,$A1796,RATEIOS!$D$2:$D$3142,"&lt;&gt;")&gt;0,"NÃO CLASSIFICADO","RATEIO OK"))))</f>
        <v/>
      </c>
      <c r="R1796" s="49"/>
      <c r="S1796" s="14"/>
    </row>
    <row r="1797" spans="1:19" ht="30" customHeight="1" x14ac:dyDescent="0.25">
      <c r="A1797" s="49" t="str">
        <f>IF(C1797="","","BAN-01796")</f>
        <v/>
      </c>
      <c r="B1797" s="98" t="str">
        <f>IF(C1797="","",1796)</f>
        <v/>
      </c>
      <c r="C1797" s="50"/>
      <c r="D1797" s="49" t="str">
        <f t="shared" si="57"/>
        <v/>
      </c>
      <c r="E1797" s="92"/>
      <c r="F1797" s="49"/>
      <c r="G1797" s="14"/>
      <c r="H1797" s="14"/>
      <c r="I1797" s="76"/>
      <c r="J1797" s="73"/>
      <c r="K1797" s="74"/>
      <c r="L1797" s="72"/>
      <c r="M1797" s="72"/>
      <c r="N1797" s="72" t="str">
        <f>IF(AND(C1797="",J1797=0,K1797=0,L1797=0,M1797=0),"",CADASTROS!$B$4+SUM($J$2:J1797)+SUM($M$2:M1797)-SUM($K$2:K1797)-SUM($L$2:L1797))</f>
        <v/>
      </c>
      <c r="O1797" s="72" t="str">
        <f>IF(A1797="","",SUMIF(RATEIOS!$A$2:$A$3142,$A1797,RATEIOS!$F$2:$F$3142))</f>
        <v/>
      </c>
      <c r="P1797" s="15" t="str">
        <f t="shared" si="58"/>
        <v/>
      </c>
      <c r="Q1797" s="49" t="str">
        <f>IF(AND(J1797=0,K1797=0,L1797=0,M1797=0),"",IF(O1797=0,"PENDENTE DE RATEIO",IF(ABS(P1797)&gt;0.005,"DIVERGÊNCIA",IF(COUNTIF(RATEIOS!$A$2:$A$3142,$A1797)-COUNTIFS(RATEIOS!$A$2:$A$3142,$A1797,RATEIOS!$D$2:$D$3142,"&lt;&gt;")&gt;0,"NÃO CLASSIFICADO","RATEIO OK"))))</f>
        <v/>
      </c>
      <c r="R1797" s="49"/>
      <c r="S1797" s="14"/>
    </row>
    <row r="1798" spans="1:19" ht="30" customHeight="1" x14ac:dyDescent="0.25">
      <c r="A1798" s="49" t="str">
        <f>IF(C1798="","","BAN-01797")</f>
        <v/>
      </c>
      <c r="B1798" s="98" t="str">
        <f>IF(C1798="","",1797)</f>
        <v/>
      </c>
      <c r="C1798" s="50"/>
      <c r="D1798" s="49" t="str">
        <f t="shared" si="57"/>
        <v/>
      </c>
      <c r="E1798" s="92"/>
      <c r="F1798" s="49"/>
      <c r="G1798" s="14"/>
      <c r="H1798" s="14"/>
      <c r="I1798" s="76"/>
      <c r="J1798" s="73"/>
      <c r="K1798" s="74"/>
      <c r="L1798" s="72"/>
      <c r="M1798" s="72"/>
      <c r="N1798" s="72" t="str">
        <f>IF(AND(C1798="",J1798=0,K1798=0,L1798=0,M1798=0),"",CADASTROS!$B$4+SUM($J$2:J1798)+SUM($M$2:M1798)-SUM($K$2:K1798)-SUM($L$2:L1798))</f>
        <v/>
      </c>
      <c r="O1798" s="72" t="str">
        <f>IF(A1798="","",SUMIF(RATEIOS!$A$2:$A$3142,$A1798,RATEIOS!$F$2:$F$3142))</f>
        <v/>
      </c>
      <c r="P1798" s="15" t="str">
        <f t="shared" si="58"/>
        <v/>
      </c>
      <c r="Q1798" s="49" t="str">
        <f>IF(AND(J1798=0,K1798=0,L1798=0,M1798=0),"",IF(O1798=0,"PENDENTE DE RATEIO",IF(ABS(P1798)&gt;0.005,"DIVERGÊNCIA",IF(COUNTIF(RATEIOS!$A$2:$A$3142,$A1798)-COUNTIFS(RATEIOS!$A$2:$A$3142,$A1798,RATEIOS!$D$2:$D$3142,"&lt;&gt;")&gt;0,"NÃO CLASSIFICADO","RATEIO OK"))))</f>
        <v/>
      </c>
      <c r="R1798" s="49"/>
      <c r="S1798" s="14"/>
    </row>
    <row r="1799" spans="1:19" ht="30" customHeight="1" x14ac:dyDescent="0.25">
      <c r="A1799" s="49" t="str">
        <f>IF(C1799="","","BAN-01798")</f>
        <v/>
      </c>
      <c r="B1799" s="98" t="str">
        <f>IF(C1799="","",1798)</f>
        <v/>
      </c>
      <c r="C1799" s="50"/>
      <c r="D1799" s="49" t="str">
        <f t="shared" si="57"/>
        <v/>
      </c>
      <c r="E1799" s="92"/>
      <c r="F1799" s="49"/>
      <c r="G1799" s="14"/>
      <c r="H1799" s="14"/>
      <c r="I1799" s="76"/>
      <c r="J1799" s="73"/>
      <c r="K1799" s="74"/>
      <c r="L1799" s="72"/>
      <c r="M1799" s="72"/>
      <c r="N1799" s="72" t="str">
        <f>IF(AND(C1799="",J1799=0,K1799=0,L1799=0,M1799=0),"",CADASTROS!$B$4+SUM($J$2:J1799)+SUM($M$2:M1799)-SUM($K$2:K1799)-SUM($L$2:L1799))</f>
        <v/>
      </c>
      <c r="O1799" s="72" t="str">
        <f>IF(A1799="","",SUMIF(RATEIOS!$A$2:$A$3142,$A1799,RATEIOS!$F$2:$F$3142))</f>
        <v/>
      </c>
      <c r="P1799" s="15" t="str">
        <f t="shared" si="58"/>
        <v/>
      </c>
      <c r="Q1799" s="49" t="str">
        <f>IF(AND(J1799=0,K1799=0,L1799=0,M1799=0),"",IF(O1799=0,"PENDENTE DE RATEIO",IF(ABS(P1799)&gt;0.005,"DIVERGÊNCIA",IF(COUNTIF(RATEIOS!$A$2:$A$3142,$A1799)-COUNTIFS(RATEIOS!$A$2:$A$3142,$A1799,RATEIOS!$D$2:$D$3142,"&lt;&gt;")&gt;0,"NÃO CLASSIFICADO","RATEIO OK"))))</f>
        <v/>
      </c>
      <c r="R1799" s="49"/>
      <c r="S1799" s="14"/>
    </row>
    <row r="1800" spans="1:19" ht="30" customHeight="1" x14ac:dyDescent="0.25">
      <c r="A1800" s="49" t="str">
        <f>IF(C1800="","","BAN-01799")</f>
        <v/>
      </c>
      <c r="B1800" s="98" t="str">
        <f>IF(C1800="","",1799)</f>
        <v/>
      </c>
      <c r="C1800" s="50"/>
      <c r="D1800" s="49" t="str">
        <f t="shared" si="57"/>
        <v/>
      </c>
      <c r="E1800" s="92"/>
      <c r="F1800" s="49"/>
      <c r="G1800" s="14"/>
      <c r="H1800" s="14"/>
      <c r="I1800" s="76"/>
      <c r="J1800" s="73"/>
      <c r="K1800" s="74"/>
      <c r="L1800" s="72"/>
      <c r="M1800" s="72"/>
      <c r="N1800" s="72" t="str">
        <f>IF(AND(C1800="",J1800=0,K1800=0,L1800=0,M1800=0),"",CADASTROS!$B$4+SUM($J$2:J1800)+SUM($M$2:M1800)-SUM($K$2:K1800)-SUM($L$2:L1800))</f>
        <v/>
      </c>
      <c r="O1800" s="72" t="str">
        <f>IF(A1800="","",SUMIF(RATEIOS!$A$2:$A$3142,$A1800,RATEIOS!$F$2:$F$3142))</f>
        <v/>
      </c>
      <c r="P1800" s="15" t="str">
        <f t="shared" si="58"/>
        <v/>
      </c>
      <c r="Q1800" s="49" t="str">
        <f>IF(AND(J1800=0,K1800=0,L1800=0,M1800=0),"",IF(O1800=0,"PENDENTE DE RATEIO",IF(ABS(P1800)&gt;0.005,"DIVERGÊNCIA",IF(COUNTIF(RATEIOS!$A$2:$A$3142,$A1800)-COUNTIFS(RATEIOS!$A$2:$A$3142,$A1800,RATEIOS!$D$2:$D$3142,"&lt;&gt;")&gt;0,"NÃO CLASSIFICADO","RATEIO OK"))))</f>
        <v/>
      </c>
      <c r="R1800" s="49"/>
      <c r="S1800" s="14"/>
    </row>
    <row r="1801" spans="1:19" ht="30" customHeight="1" x14ac:dyDescent="0.25">
      <c r="A1801" s="49" t="str">
        <f>IF(C1801="","","BAN-01800")</f>
        <v/>
      </c>
      <c r="B1801" s="98" t="str">
        <f>IF(C1801="","",1800)</f>
        <v/>
      </c>
      <c r="C1801" s="50"/>
      <c r="D1801" s="49" t="str">
        <f t="shared" si="57"/>
        <v/>
      </c>
      <c r="E1801" s="92"/>
      <c r="F1801" s="49"/>
      <c r="G1801" s="14"/>
      <c r="H1801" s="14"/>
      <c r="I1801" s="76"/>
      <c r="J1801" s="73"/>
      <c r="K1801" s="74"/>
      <c r="L1801" s="72"/>
      <c r="M1801" s="72"/>
      <c r="N1801" s="72" t="str">
        <f>IF(AND(C1801="",J1801=0,K1801=0,L1801=0,M1801=0),"",CADASTROS!$B$4+SUM($J$2:J1801)+SUM($M$2:M1801)-SUM($K$2:K1801)-SUM($L$2:L1801))</f>
        <v/>
      </c>
      <c r="O1801" s="72" t="str">
        <f>IF(A1801="","",SUMIF(RATEIOS!$A$2:$A$3142,$A1801,RATEIOS!$F$2:$F$3142))</f>
        <v/>
      </c>
      <c r="P1801" s="15" t="str">
        <f t="shared" si="58"/>
        <v/>
      </c>
      <c r="Q1801" s="49" t="str">
        <f>IF(AND(J1801=0,K1801=0,L1801=0,M1801=0),"",IF(O1801=0,"PENDENTE DE RATEIO",IF(ABS(P1801)&gt;0.005,"DIVERGÊNCIA",IF(COUNTIF(RATEIOS!$A$2:$A$3142,$A1801)-COUNTIFS(RATEIOS!$A$2:$A$3142,$A1801,RATEIOS!$D$2:$D$3142,"&lt;&gt;")&gt;0,"NÃO CLASSIFICADO","RATEIO OK"))))</f>
        <v/>
      </c>
      <c r="R1801" s="49"/>
      <c r="S1801" s="14"/>
    </row>
    <row r="1802" spans="1:19" ht="30" customHeight="1" x14ac:dyDescent="0.25">
      <c r="A1802" s="49" t="str">
        <f>IF(C1802="","","BAN-01801")</f>
        <v/>
      </c>
      <c r="B1802" s="98" t="str">
        <f>IF(C1802="","",1801)</f>
        <v/>
      </c>
      <c r="C1802" s="50"/>
      <c r="D1802" s="49" t="str">
        <f t="shared" si="57"/>
        <v/>
      </c>
      <c r="E1802" s="92"/>
      <c r="F1802" s="49"/>
      <c r="G1802" s="14"/>
      <c r="H1802" s="14"/>
      <c r="I1802" s="76"/>
      <c r="J1802" s="73"/>
      <c r="K1802" s="74"/>
      <c r="L1802" s="72"/>
      <c r="M1802" s="72"/>
      <c r="N1802" s="72" t="str">
        <f>IF(AND(C1802="",J1802=0,K1802=0,L1802=0,M1802=0),"",CADASTROS!$B$4+SUM($J$2:J1802)+SUM($M$2:M1802)-SUM($K$2:K1802)-SUM($L$2:L1802))</f>
        <v/>
      </c>
      <c r="O1802" s="72" t="str">
        <f>IF(A1802="","",SUMIF(RATEIOS!$A$2:$A$3142,$A1802,RATEIOS!$F$2:$F$3142))</f>
        <v/>
      </c>
      <c r="P1802" s="15" t="str">
        <f t="shared" si="58"/>
        <v/>
      </c>
      <c r="Q1802" s="49" t="str">
        <f>IF(AND(J1802=0,K1802=0,L1802=0,M1802=0),"",IF(O1802=0,"PENDENTE DE RATEIO",IF(ABS(P1802)&gt;0.005,"DIVERGÊNCIA",IF(COUNTIF(RATEIOS!$A$2:$A$3142,$A1802)-COUNTIFS(RATEIOS!$A$2:$A$3142,$A1802,RATEIOS!$D$2:$D$3142,"&lt;&gt;")&gt;0,"NÃO CLASSIFICADO","RATEIO OK"))))</f>
        <v/>
      </c>
      <c r="R1802" s="49"/>
      <c r="S1802" s="14"/>
    </row>
    <row r="1803" spans="1:19" ht="30" customHeight="1" x14ac:dyDescent="0.25">
      <c r="A1803" s="49" t="str">
        <f>IF(C1803="","","BAN-01802")</f>
        <v/>
      </c>
      <c r="B1803" s="98" t="str">
        <f>IF(C1803="","",1802)</f>
        <v/>
      </c>
      <c r="C1803" s="50"/>
      <c r="D1803" s="49" t="str">
        <f t="shared" si="57"/>
        <v/>
      </c>
      <c r="E1803" s="92"/>
      <c r="F1803" s="49"/>
      <c r="G1803" s="14"/>
      <c r="H1803" s="14"/>
      <c r="I1803" s="76"/>
      <c r="J1803" s="73"/>
      <c r="K1803" s="74"/>
      <c r="L1803" s="72"/>
      <c r="M1803" s="72"/>
      <c r="N1803" s="72" t="str">
        <f>IF(AND(C1803="",J1803=0,K1803=0,L1803=0,M1803=0),"",CADASTROS!$B$4+SUM($J$2:J1803)+SUM($M$2:M1803)-SUM($K$2:K1803)-SUM($L$2:L1803))</f>
        <v/>
      </c>
      <c r="O1803" s="72" t="str">
        <f>IF(A1803="","",SUMIF(RATEIOS!$A$2:$A$3142,$A1803,RATEIOS!$F$2:$F$3142))</f>
        <v/>
      </c>
      <c r="P1803" s="15" t="str">
        <f t="shared" si="58"/>
        <v/>
      </c>
      <c r="Q1803" s="49" t="str">
        <f>IF(AND(J1803=0,K1803=0,L1803=0,M1803=0),"",IF(O1803=0,"PENDENTE DE RATEIO",IF(ABS(P1803)&gt;0.005,"DIVERGÊNCIA",IF(COUNTIF(RATEIOS!$A$2:$A$3142,$A1803)-COUNTIFS(RATEIOS!$A$2:$A$3142,$A1803,RATEIOS!$D$2:$D$3142,"&lt;&gt;")&gt;0,"NÃO CLASSIFICADO","RATEIO OK"))))</f>
        <v/>
      </c>
      <c r="R1803" s="49"/>
      <c r="S1803" s="14"/>
    </row>
    <row r="1804" spans="1:19" ht="30" customHeight="1" x14ac:dyDescent="0.25">
      <c r="A1804" s="49" t="str">
        <f>IF(C1804="","","BAN-01803")</f>
        <v/>
      </c>
      <c r="B1804" s="98" t="str">
        <f>IF(C1804="","",1803)</f>
        <v/>
      </c>
      <c r="C1804" s="50"/>
      <c r="D1804" s="49" t="str">
        <f t="shared" si="57"/>
        <v/>
      </c>
      <c r="E1804" s="92"/>
      <c r="F1804" s="49"/>
      <c r="G1804" s="14"/>
      <c r="H1804" s="14"/>
      <c r="I1804" s="76"/>
      <c r="J1804" s="73"/>
      <c r="K1804" s="74"/>
      <c r="L1804" s="72"/>
      <c r="M1804" s="72"/>
      <c r="N1804" s="72" t="str">
        <f>IF(AND(C1804="",J1804=0,K1804=0,L1804=0,M1804=0),"",CADASTROS!$B$4+SUM($J$2:J1804)+SUM($M$2:M1804)-SUM($K$2:K1804)-SUM($L$2:L1804))</f>
        <v/>
      </c>
      <c r="O1804" s="72" t="str">
        <f>IF(A1804="","",SUMIF(RATEIOS!$A$2:$A$3142,$A1804,RATEIOS!$F$2:$F$3142))</f>
        <v/>
      </c>
      <c r="P1804" s="15" t="str">
        <f t="shared" si="58"/>
        <v/>
      </c>
      <c r="Q1804" s="49" t="str">
        <f>IF(AND(J1804=0,K1804=0,L1804=0,M1804=0),"",IF(O1804=0,"PENDENTE DE RATEIO",IF(ABS(P1804)&gt;0.005,"DIVERGÊNCIA",IF(COUNTIF(RATEIOS!$A$2:$A$3142,$A1804)-COUNTIFS(RATEIOS!$A$2:$A$3142,$A1804,RATEIOS!$D$2:$D$3142,"&lt;&gt;")&gt;0,"NÃO CLASSIFICADO","RATEIO OK"))))</f>
        <v/>
      </c>
      <c r="R1804" s="49"/>
      <c r="S1804" s="14"/>
    </row>
    <row r="1805" spans="1:19" ht="30" customHeight="1" x14ac:dyDescent="0.25">
      <c r="A1805" s="49" t="str">
        <f>IF(C1805="","","BAN-01804")</f>
        <v/>
      </c>
      <c r="B1805" s="98" t="str">
        <f>IF(C1805="","",1804)</f>
        <v/>
      </c>
      <c r="C1805" s="50"/>
      <c r="D1805" s="49" t="str">
        <f t="shared" si="57"/>
        <v/>
      </c>
      <c r="E1805" s="92"/>
      <c r="F1805" s="49"/>
      <c r="G1805" s="14"/>
      <c r="H1805" s="14"/>
      <c r="I1805" s="76"/>
      <c r="J1805" s="73"/>
      <c r="K1805" s="74"/>
      <c r="L1805" s="72"/>
      <c r="M1805" s="72"/>
      <c r="N1805" s="72" t="str">
        <f>IF(AND(C1805="",J1805=0,K1805=0,L1805=0,M1805=0),"",CADASTROS!$B$4+SUM($J$2:J1805)+SUM($M$2:M1805)-SUM($K$2:K1805)-SUM($L$2:L1805))</f>
        <v/>
      </c>
      <c r="O1805" s="72" t="str">
        <f>IF(A1805="","",SUMIF(RATEIOS!$A$2:$A$3142,$A1805,RATEIOS!$F$2:$F$3142))</f>
        <v/>
      </c>
      <c r="P1805" s="15" t="str">
        <f t="shared" si="58"/>
        <v/>
      </c>
      <c r="Q1805" s="49" t="str">
        <f>IF(AND(J1805=0,K1805=0,L1805=0,M1805=0),"",IF(O1805=0,"PENDENTE DE RATEIO",IF(ABS(P1805)&gt;0.005,"DIVERGÊNCIA",IF(COUNTIF(RATEIOS!$A$2:$A$3142,$A1805)-COUNTIFS(RATEIOS!$A$2:$A$3142,$A1805,RATEIOS!$D$2:$D$3142,"&lt;&gt;")&gt;0,"NÃO CLASSIFICADO","RATEIO OK"))))</f>
        <v/>
      </c>
      <c r="R1805" s="49"/>
      <c r="S1805" s="14"/>
    </row>
    <row r="1806" spans="1:19" ht="30" customHeight="1" x14ac:dyDescent="0.25">
      <c r="A1806" s="49" t="str">
        <f>IF(C1806="","","BAN-01805")</f>
        <v/>
      </c>
      <c r="B1806" s="98" t="str">
        <f>IF(C1806="","",1805)</f>
        <v/>
      </c>
      <c r="C1806" s="50"/>
      <c r="D1806" s="49" t="str">
        <f t="shared" si="57"/>
        <v/>
      </c>
      <c r="E1806" s="92"/>
      <c r="F1806" s="49"/>
      <c r="G1806" s="14"/>
      <c r="H1806" s="14"/>
      <c r="I1806" s="76"/>
      <c r="J1806" s="73"/>
      <c r="K1806" s="74"/>
      <c r="L1806" s="72"/>
      <c r="M1806" s="72"/>
      <c r="N1806" s="72" t="str">
        <f>IF(AND(C1806="",J1806=0,K1806=0,L1806=0,M1806=0),"",CADASTROS!$B$4+SUM($J$2:J1806)+SUM($M$2:M1806)-SUM($K$2:K1806)-SUM($L$2:L1806))</f>
        <v/>
      </c>
      <c r="O1806" s="72" t="str">
        <f>IF(A1806="","",SUMIF(RATEIOS!$A$2:$A$3142,$A1806,RATEIOS!$F$2:$F$3142))</f>
        <v/>
      </c>
      <c r="P1806" s="15" t="str">
        <f t="shared" si="58"/>
        <v/>
      </c>
      <c r="Q1806" s="49" t="str">
        <f>IF(AND(J1806=0,K1806=0,L1806=0,M1806=0),"",IF(O1806=0,"PENDENTE DE RATEIO",IF(ABS(P1806)&gt;0.005,"DIVERGÊNCIA",IF(COUNTIF(RATEIOS!$A$2:$A$3142,$A1806)-COUNTIFS(RATEIOS!$A$2:$A$3142,$A1806,RATEIOS!$D$2:$D$3142,"&lt;&gt;")&gt;0,"NÃO CLASSIFICADO","RATEIO OK"))))</f>
        <v/>
      </c>
      <c r="R1806" s="49"/>
      <c r="S1806" s="14"/>
    </row>
    <row r="1807" spans="1:19" ht="30" customHeight="1" x14ac:dyDescent="0.25">
      <c r="A1807" s="49" t="str">
        <f>IF(C1807="","","BAN-01806")</f>
        <v/>
      </c>
      <c r="B1807" s="98" t="str">
        <f>IF(C1807="","",1806)</f>
        <v/>
      </c>
      <c r="C1807" s="50"/>
      <c r="D1807" s="49" t="str">
        <f t="shared" si="57"/>
        <v/>
      </c>
      <c r="E1807" s="92"/>
      <c r="F1807" s="49"/>
      <c r="G1807" s="14"/>
      <c r="H1807" s="14"/>
      <c r="I1807" s="76"/>
      <c r="J1807" s="73"/>
      <c r="K1807" s="74"/>
      <c r="L1807" s="72"/>
      <c r="M1807" s="72"/>
      <c r="N1807" s="72" t="str">
        <f>IF(AND(C1807="",J1807=0,K1807=0,L1807=0,M1807=0),"",CADASTROS!$B$4+SUM($J$2:J1807)+SUM($M$2:M1807)-SUM($K$2:K1807)-SUM($L$2:L1807))</f>
        <v/>
      </c>
      <c r="O1807" s="72" t="str">
        <f>IF(A1807="","",SUMIF(RATEIOS!$A$2:$A$3142,$A1807,RATEIOS!$F$2:$F$3142))</f>
        <v/>
      </c>
      <c r="P1807" s="15" t="str">
        <f t="shared" si="58"/>
        <v/>
      </c>
      <c r="Q1807" s="49" t="str">
        <f>IF(AND(J1807=0,K1807=0,L1807=0,M1807=0),"",IF(O1807=0,"PENDENTE DE RATEIO",IF(ABS(P1807)&gt;0.005,"DIVERGÊNCIA",IF(COUNTIF(RATEIOS!$A$2:$A$3142,$A1807)-COUNTIFS(RATEIOS!$A$2:$A$3142,$A1807,RATEIOS!$D$2:$D$3142,"&lt;&gt;")&gt;0,"NÃO CLASSIFICADO","RATEIO OK"))))</f>
        <v/>
      </c>
      <c r="R1807" s="49"/>
      <c r="S1807" s="14"/>
    </row>
    <row r="1808" spans="1:19" ht="30" customHeight="1" x14ac:dyDescent="0.25">
      <c r="A1808" s="49" t="str">
        <f>IF(C1808="","","BAN-01807")</f>
        <v/>
      </c>
      <c r="B1808" s="98" t="str">
        <f>IF(C1808="","",1807)</f>
        <v/>
      </c>
      <c r="C1808" s="50"/>
      <c r="D1808" s="49" t="str">
        <f t="shared" si="57"/>
        <v/>
      </c>
      <c r="E1808" s="92"/>
      <c r="F1808" s="49"/>
      <c r="G1808" s="14"/>
      <c r="H1808" s="14"/>
      <c r="I1808" s="76"/>
      <c r="J1808" s="73"/>
      <c r="K1808" s="74"/>
      <c r="L1808" s="72"/>
      <c r="M1808" s="72"/>
      <c r="N1808" s="72" t="str">
        <f>IF(AND(C1808="",J1808=0,K1808=0,L1808=0,M1808=0),"",CADASTROS!$B$4+SUM($J$2:J1808)+SUM($M$2:M1808)-SUM($K$2:K1808)-SUM($L$2:L1808))</f>
        <v/>
      </c>
      <c r="O1808" s="72" t="str">
        <f>IF(A1808="","",SUMIF(RATEIOS!$A$2:$A$3142,$A1808,RATEIOS!$F$2:$F$3142))</f>
        <v/>
      </c>
      <c r="P1808" s="15" t="str">
        <f t="shared" si="58"/>
        <v/>
      </c>
      <c r="Q1808" s="49" t="str">
        <f>IF(AND(J1808=0,K1808=0,L1808=0,M1808=0),"",IF(O1808=0,"PENDENTE DE RATEIO",IF(ABS(P1808)&gt;0.005,"DIVERGÊNCIA",IF(COUNTIF(RATEIOS!$A$2:$A$3142,$A1808)-COUNTIFS(RATEIOS!$A$2:$A$3142,$A1808,RATEIOS!$D$2:$D$3142,"&lt;&gt;")&gt;0,"NÃO CLASSIFICADO","RATEIO OK"))))</f>
        <v/>
      </c>
      <c r="R1808" s="49"/>
      <c r="S1808" s="14"/>
    </row>
    <row r="1809" spans="1:19" ht="30" customHeight="1" x14ac:dyDescent="0.25">
      <c r="A1809" s="49" t="str">
        <f>IF(C1809="","","BAN-01808")</f>
        <v/>
      </c>
      <c r="B1809" s="98" t="str">
        <f>IF(C1809="","",1808)</f>
        <v/>
      </c>
      <c r="C1809" s="50"/>
      <c r="D1809" s="49" t="str">
        <f t="shared" si="57"/>
        <v/>
      </c>
      <c r="E1809" s="92"/>
      <c r="F1809" s="49"/>
      <c r="G1809" s="14"/>
      <c r="H1809" s="14"/>
      <c r="I1809" s="76"/>
      <c r="J1809" s="73"/>
      <c r="K1809" s="74"/>
      <c r="L1809" s="72"/>
      <c r="M1809" s="72"/>
      <c r="N1809" s="72" t="str">
        <f>IF(AND(C1809="",J1809=0,K1809=0,L1809=0,M1809=0),"",CADASTROS!$B$4+SUM($J$2:J1809)+SUM($M$2:M1809)-SUM($K$2:K1809)-SUM($L$2:L1809))</f>
        <v/>
      </c>
      <c r="O1809" s="72" t="str">
        <f>IF(A1809="","",SUMIF(RATEIOS!$A$2:$A$3142,$A1809,RATEIOS!$F$2:$F$3142))</f>
        <v/>
      </c>
      <c r="P1809" s="15" t="str">
        <f t="shared" si="58"/>
        <v/>
      </c>
      <c r="Q1809" s="49" t="str">
        <f>IF(AND(J1809=0,K1809=0,L1809=0,M1809=0),"",IF(O1809=0,"PENDENTE DE RATEIO",IF(ABS(P1809)&gt;0.005,"DIVERGÊNCIA",IF(COUNTIF(RATEIOS!$A$2:$A$3142,$A1809)-COUNTIFS(RATEIOS!$A$2:$A$3142,$A1809,RATEIOS!$D$2:$D$3142,"&lt;&gt;")&gt;0,"NÃO CLASSIFICADO","RATEIO OK"))))</f>
        <v/>
      </c>
      <c r="R1809" s="49"/>
      <c r="S1809" s="14"/>
    </row>
    <row r="1810" spans="1:19" ht="30" customHeight="1" x14ac:dyDescent="0.25">
      <c r="A1810" s="49" t="str">
        <f>IF(C1810="","","BAN-01809")</f>
        <v/>
      </c>
      <c r="B1810" s="98" t="str">
        <f>IF(C1810="","",1809)</f>
        <v/>
      </c>
      <c r="C1810" s="50"/>
      <c r="D1810" s="49" t="str">
        <f t="shared" si="57"/>
        <v/>
      </c>
      <c r="E1810" s="92"/>
      <c r="F1810" s="49"/>
      <c r="G1810" s="14"/>
      <c r="H1810" s="14"/>
      <c r="I1810" s="76"/>
      <c r="J1810" s="73"/>
      <c r="K1810" s="74"/>
      <c r="L1810" s="72"/>
      <c r="M1810" s="72"/>
      <c r="N1810" s="72" t="str">
        <f>IF(AND(C1810="",J1810=0,K1810=0,L1810=0,M1810=0),"",CADASTROS!$B$4+SUM($J$2:J1810)+SUM($M$2:M1810)-SUM($K$2:K1810)-SUM($L$2:L1810))</f>
        <v/>
      </c>
      <c r="O1810" s="72" t="str">
        <f>IF(A1810="","",SUMIF(RATEIOS!$A$2:$A$3142,$A1810,RATEIOS!$F$2:$F$3142))</f>
        <v/>
      </c>
      <c r="P1810" s="15" t="str">
        <f t="shared" si="58"/>
        <v/>
      </c>
      <c r="Q1810" s="49" t="str">
        <f>IF(AND(J1810=0,K1810=0,L1810=0,M1810=0),"",IF(O1810=0,"PENDENTE DE RATEIO",IF(ABS(P1810)&gt;0.005,"DIVERGÊNCIA",IF(COUNTIF(RATEIOS!$A$2:$A$3142,$A1810)-COUNTIFS(RATEIOS!$A$2:$A$3142,$A1810,RATEIOS!$D$2:$D$3142,"&lt;&gt;")&gt;0,"NÃO CLASSIFICADO","RATEIO OK"))))</f>
        <v/>
      </c>
      <c r="R1810" s="49"/>
      <c r="S1810" s="14"/>
    </row>
    <row r="1811" spans="1:19" ht="30" customHeight="1" x14ac:dyDescent="0.25">
      <c r="A1811" s="49" t="str">
        <f>IF(C1811="","","BAN-01810")</f>
        <v/>
      </c>
      <c r="B1811" s="98" t="str">
        <f>IF(C1811="","",1810)</f>
        <v/>
      </c>
      <c r="C1811" s="50"/>
      <c r="D1811" s="49" t="str">
        <f t="shared" si="57"/>
        <v/>
      </c>
      <c r="E1811" s="92"/>
      <c r="F1811" s="49"/>
      <c r="G1811" s="14"/>
      <c r="H1811" s="14"/>
      <c r="I1811" s="76"/>
      <c r="J1811" s="73"/>
      <c r="K1811" s="74"/>
      <c r="L1811" s="72"/>
      <c r="M1811" s="72"/>
      <c r="N1811" s="72" t="str">
        <f>IF(AND(C1811="",J1811=0,K1811=0,L1811=0,M1811=0),"",CADASTROS!$B$4+SUM($J$2:J1811)+SUM($M$2:M1811)-SUM($K$2:K1811)-SUM($L$2:L1811))</f>
        <v/>
      </c>
      <c r="O1811" s="72" t="str">
        <f>IF(A1811="","",SUMIF(RATEIOS!$A$2:$A$3142,$A1811,RATEIOS!$F$2:$F$3142))</f>
        <v/>
      </c>
      <c r="P1811" s="15" t="str">
        <f t="shared" si="58"/>
        <v/>
      </c>
      <c r="Q1811" s="49" t="str">
        <f>IF(AND(J1811=0,K1811=0,L1811=0,M1811=0),"",IF(O1811=0,"PENDENTE DE RATEIO",IF(ABS(P1811)&gt;0.005,"DIVERGÊNCIA",IF(COUNTIF(RATEIOS!$A$2:$A$3142,$A1811)-COUNTIFS(RATEIOS!$A$2:$A$3142,$A1811,RATEIOS!$D$2:$D$3142,"&lt;&gt;")&gt;0,"NÃO CLASSIFICADO","RATEIO OK"))))</f>
        <v/>
      </c>
      <c r="R1811" s="49"/>
      <c r="S1811" s="14"/>
    </row>
    <row r="1812" spans="1:19" ht="30" customHeight="1" x14ac:dyDescent="0.25">
      <c r="A1812" s="49" t="str">
        <f>IF(C1812="","","BAN-01811")</f>
        <v/>
      </c>
      <c r="B1812" s="98" t="str">
        <f>IF(C1812="","",1811)</f>
        <v/>
      </c>
      <c r="C1812" s="50"/>
      <c r="D1812" s="49" t="str">
        <f t="shared" si="57"/>
        <v/>
      </c>
      <c r="E1812" s="92"/>
      <c r="F1812" s="49"/>
      <c r="G1812" s="14"/>
      <c r="H1812" s="14"/>
      <c r="I1812" s="76"/>
      <c r="J1812" s="73"/>
      <c r="K1812" s="74"/>
      <c r="L1812" s="72"/>
      <c r="M1812" s="72"/>
      <c r="N1812" s="72" t="str">
        <f>IF(AND(C1812="",J1812=0,K1812=0,L1812=0,M1812=0),"",CADASTROS!$B$4+SUM($J$2:J1812)+SUM($M$2:M1812)-SUM($K$2:K1812)-SUM($L$2:L1812))</f>
        <v/>
      </c>
      <c r="O1812" s="72" t="str">
        <f>IF(A1812="","",SUMIF(RATEIOS!$A$2:$A$3142,$A1812,RATEIOS!$F$2:$F$3142))</f>
        <v/>
      </c>
      <c r="P1812" s="15" t="str">
        <f t="shared" si="58"/>
        <v/>
      </c>
      <c r="Q1812" s="49" t="str">
        <f>IF(AND(J1812=0,K1812=0,L1812=0,M1812=0),"",IF(O1812=0,"PENDENTE DE RATEIO",IF(ABS(P1812)&gt;0.005,"DIVERGÊNCIA",IF(COUNTIF(RATEIOS!$A$2:$A$3142,$A1812)-COUNTIFS(RATEIOS!$A$2:$A$3142,$A1812,RATEIOS!$D$2:$D$3142,"&lt;&gt;")&gt;0,"NÃO CLASSIFICADO","RATEIO OK"))))</f>
        <v/>
      </c>
      <c r="R1812" s="49"/>
      <c r="S1812" s="14"/>
    </row>
    <row r="1813" spans="1:19" ht="30" customHeight="1" x14ac:dyDescent="0.25">
      <c r="A1813" s="49" t="str">
        <f>IF(C1813="","","BAN-01812")</f>
        <v/>
      </c>
      <c r="B1813" s="98" t="str">
        <f>IF(C1813="","",1812)</f>
        <v/>
      </c>
      <c r="C1813" s="50"/>
      <c r="D1813" s="49" t="str">
        <f t="shared" si="57"/>
        <v/>
      </c>
      <c r="E1813" s="92"/>
      <c r="F1813" s="49"/>
      <c r="G1813" s="14"/>
      <c r="H1813" s="14"/>
      <c r="I1813" s="76"/>
      <c r="J1813" s="73"/>
      <c r="K1813" s="74"/>
      <c r="L1813" s="72"/>
      <c r="M1813" s="72"/>
      <c r="N1813" s="72" t="str">
        <f>IF(AND(C1813="",J1813=0,K1813=0,L1813=0,M1813=0),"",CADASTROS!$B$4+SUM($J$2:J1813)+SUM($M$2:M1813)-SUM($K$2:K1813)-SUM($L$2:L1813))</f>
        <v/>
      </c>
      <c r="O1813" s="72" t="str">
        <f>IF(A1813="","",SUMIF(RATEIOS!$A$2:$A$3142,$A1813,RATEIOS!$F$2:$F$3142))</f>
        <v/>
      </c>
      <c r="P1813" s="15" t="str">
        <f t="shared" si="58"/>
        <v/>
      </c>
      <c r="Q1813" s="49" t="str">
        <f>IF(AND(J1813=0,K1813=0,L1813=0,M1813=0),"",IF(O1813=0,"PENDENTE DE RATEIO",IF(ABS(P1813)&gt;0.005,"DIVERGÊNCIA",IF(COUNTIF(RATEIOS!$A$2:$A$3142,$A1813)-COUNTIFS(RATEIOS!$A$2:$A$3142,$A1813,RATEIOS!$D$2:$D$3142,"&lt;&gt;")&gt;0,"NÃO CLASSIFICADO","RATEIO OK"))))</f>
        <v/>
      </c>
      <c r="R1813" s="49"/>
      <c r="S1813" s="14"/>
    </row>
    <row r="1814" spans="1:19" ht="30" customHeight="1" x14ac:dyDescent="0.25">
      <c r="A1814" s="49" t="str">
        <f>IF(C1814="","","BAN-01813")</f>
        <v/>
      </c>
      <c r="B1814" s="98" t="str">
        <f>IF(C1814="","",1813)</f>
        <v/>
      </c>
      <c r="C1814" s="50"/>
      <c r="D1814" s="49" t="str">
        <f t="shared" si="57"/>
        <v/>
      </c>
      <c r="E1814" s="92"/>
      <c r="F1814" s="49"/>
      <c r="G1814" s="14"/>
      <c r="H1814" s="14"/>
      <c r="I1814" s="76"/>
      <c r="J1814" s="73"/>
      <c r="K1814" s="74"/>
      <c r="L1814" s="72"/>
      <c r="M1814" s="72"/>
      <c r="N1814" s="72" t="str">
        <f>IF(AND(C1814="",J1814=0,K1814=0,L1814=0,M1814=0),"",CADASTROS!$B$4+SUM($J$2:J1814)+SUM($M$2:M1814)-SUM($K$2:K1814)-SUM($L$2:L1814))</f>
        <v/>
      </c>
      <c r="O1814" s="72" t="str">
        <f>IF(A1814="","",SUMIF(RATEIOS!$A$2:$A$3142,$A1814,RATEIOS!$F$2:$F$3142))</f>
        <v/>
      </c>
      <c r="P1814" s="15" t="str">
        <f t="shared" si="58"/>
        <v/>
      </c>
      <c r="Q1814" s="49" t="str">
        <f>IF(AND(J1814=0,K1814=0,L1814=0,M1814=0),"",IF(O1814=0,"PENDENTE DE RATEIO",IF(ABS(P1814)&gt;0.005,"DIVERGÊNCIA",IF(COUNTIF(RATEIOS!$A$2:$A$3142,$A1814)-COUNTIFS(RATEIOS!$A$2:$A$3142,$A1814,RATEIOS!$D$2:$D$3142,"&lt;&gt;")&gt;0,"NÃO CLASSIFICADO","RATEIO OK"))))</f>
        <v/>
      </c>
      <c r="R1814" s="49"/>
      <c r="S1814" s="14"/>
    </row>
    <row r="1815" spans="1:19" ht="30" customHeight="1" x14ac:dyDescent="0.25">
      <c r="A1815" s="49" t="str">
        <f>IF(C1815="","","BAN-01814")</f>
        <v/>
      </c>
      <c r="B1815" s="98" t="str">
        <f>IF(C1815="","",1814)</f>
        <v/>
      </c>
      <c r="C1815" s="50"/>
      <c r="D1815" s="49" t="str">
        <f t="shared" si="57"/>
        <v/>
      </c>
      <c r="E1815" s="92"/>
      <c r="F1815" s="49"/>
      <c r="G1815" s="14"/>
      <c r="H1815" s="14"/>
      <c r="I1815" s="76"/>
      <c r="J1815" s="73"/>
      <c r="K1815" s="74"/>
      <c r="L1815" s="72"/>
      <c r="M1815" s="72"/>
      <c r="N1815" s="72" t="str">
        <f>IF(AND(C1815="",J1815=0,K1815=0,L1815=0,M1815=0),"",CADASTROS!$B$4+SUM($J$2:J1815)+SUM($M$2:M1815)-SUM($K$2:K1815)-SUM($L$2:L1815))</f>
        <v/>
      </c>
      <c r="O1815" s="72" t="str">
        <f>IF(A1815="","",SUMIF(RATEIOS!$A$2:$A$3142,$A1815,RATEIOS!$F$2:$F$3142))</f>
        <v/>
      </c>
      <c r="P1815" s="15" t="str">
        <f t="shared" si="58"/>
        <v/>
      </c>
      <c r="Q1815" s="49" t="str">
        <f>IF(AND(J1815=0,K1815=0,L1815=0,M1815=0),"",IF(O1815=0,"PENDENTE DE RATEIO",IF(ABS(P1815)&gt;0.005,"DIVERGÊNCIA",IF(COUNTIF(RATEIOS!$A$2:$A$3142,$A1815)-COUNTIFS(RATEIOS!$A$2:$A$3142,$A1815,RATEIOS!$D$2:$D$3142,"&lt;&gt;")&gt;0,"NÃO CLASSIFICADO","RATEIO OK"))))</f>
        <v/>
      </c>
      <c r="R1815" s="49"/>
      <c r="S1815" s="14"/>
    </row>
    <row r="1816" spans="1:19" ht="30" customHeight="1" x14ac:dyDescent="0.25">
      <c r="A1816" s="49" t="str">
        <f>IF(C1816="","","BAN-01815")</f>
        <v/>
      </c>
      <c r="B1816" s="98" t="str">
        <f>IF(C1816="","",1815)</f>
        <v/>
      </c>
      <c r="C1816" s="50"/>
      <c r="D1816" s="49" t="str">
        <f t="shared" si="57"/>
        <v/>
      </c>
      <c r="E1816" s="92"/>
      <c r="F1816" s="49"/>
      <c r="G1816" s="14"/>
      <c r="H1816" s="14"/>
      <c r="I1816" s="76"/>
      <c r="J1816" s="73"/>
      <c r="K1816" s="74"/>
      <c r="L1816" s="72"/>
      <c r="M1816" s="72"/>
      <c r="N1816" s="72" t="str">
        <f>IF(AND(C1816="",J1816=0,K1816=0,L1816=0,M1816=0),"",CADASTROS!$B$4+SUM($J$2:J1816)+SUM($M$2:M1816)-SUM($K$2:K1816)-SUM($L$2:L1816))</f>
        <v/>
      </c>
      <c r="O1816" s="72" t="str">
        <f>IF(A1816="","",SUMIF(RATEIOS!$A$2:$A$3142,$A1816,RATEIOS!$F$2:$F$3142))</f>
        <v/>
      </c>
      <c r="P1816" s="15" t="str">
        <f t="shared" si="58"/>
        <v/>
      </c>
      <c r="Q1816" s="49" t="str">
        <f>IF(AND(J1816=0,K1816=0,L1816=0,M1816=0),"",IF(O1816=0,"PENDENTE DE RATEIO",IF(ABS(P1816)&gt;0.005,"DIVERGÊNCIA",IF(COUNTIF(RATEIOS!$A$2:$A$3142,$A1816)-COUNTIFS(RATEIOS!$A$2:$A$3142,$A1816,RATEIOS!$D$2:$D$3142,"&lt;&gt;")&gt;0,"NÃO CLASSIFICADO","RATEIO OK"))))</f>
        <v/>
      </c>
      <c r="R1816" s="49"/>
      <c r="S1816" s="14"/>
    </row>
    <row r="1817" spans="1:19" ht="30" customHeight="1" x14ac:dyDescent="0.25">
      <c r="A1817" s="49" t="str">
        <f>IF(C1817="","","BAN-01816")</f>
        <v/>
      </c>
      <c r="B1817" s="98" t="str">
        <f>IF(C1817="","",1816)</f>
        <v/>
      </c>
      <c r="C1817" s="50"/>
      <c r="D1817" s="49" t="str">
        <f t="shared" si="57"/>
        <v/>
      </c>
      <c r="E1817" s="92"/>
      <c r="F1817" s="49"/>
      <c r="G1817" s="14"/>
      <c r="H1817" s="14"/>
      <c r="I1817" s="76"/>
      <c r="J1817" s="73"/>
      <c r="K1817" s="74"/>
      <c r="L1817" s="72"/>
      <c r="M1817" s="72"/>
      <c r="N1817" s="72" t="str">
        <f>IF(AND(C1817="",J1817=0,K1817=0,L1817=0,M1817=0),"",CADASTROS!$B$4+SUM($J$2:J1817)+SUM($M$2:M1817)-SUM($K$2:K1817)-SUM($L$2:L1817))</f>
        <v/>
      </c>
      <c r="O1817" s="72" t="str">
        <f>IF(A1817="","",SUMIF(RATEIOS!$A$2:$A$3142,$A1817,RATEIOS!$F$2:$F$3142))</f>
        <v/>
      </c>
      <c r="P1817" s="15" t="str">
        <f t="shared" si="58"/>
        <v/>
      </c>
      <c r="Q1817" s="49" t="str">
        <f>IF(AND(J1817=0,K1817=0,L1817=0,M1817=0),"",IF(O1817=0,"PENDENTE DE RATEIO",IF(ABS(P1817)&gt;0.005,"DIVERGÊNCIA",IF(COUNTIF(RATEIOS!$A$2:$A$3142,$A1817)-COUNTIFS(RATEIOS!$A$2:$A$3142,$A1817,RATEIOS!$D$2:$D$3142,"&lt;&gt;")&gt;0,"NÃO CLASSIFICADO","RATEIO OK"))))</f>
        <v/>
      </c>
      <c r="R1817" s="49"/>
      <c r="S1817" s="14"/>
    </row>
    <row r="1818" spans="1:19" ht="30" customHeight="1" x14ac:dyDescent="0.25">
      <c r="A1818" s="49" t="str">
        <f>IF(C1818="","","BAN-01817")</f>
        <v/>
      </c>
      <c r="B1818" s="98" t="str">
        <f>IF(C1818="","",1817)</f>
        <v/>
      </c>
      <c r="C1818" s="50"/>
      <c r="D1818" s="49" t="str">
        <f t="shared" si="57"/>
        <v/>
      </c>
      <c r="E1818" s="92"/>
      <c r="F1818" s="49"/>
      <c r="G1818" s="14"/>
      <c r="H1818" s="14"/>
      <c r="I1818" s="76"/>
      <c r="J1818" s="73"/>
      <c r="K1818" s="74"/>
      <c r="L1818" s="72"/>
      <c r="M1818" s="72"/>
      <c r="N1818" s="72" t="str">
        <f>IF(AND(C1818="",J1818=0,K1818=0,L1818=0,M1818=0),"",CADASTROS!$B$4+SUM($J$2:J1818)+SUM($M$2:M1818)-SUM($K$2:K1818)-SUM($L$2:L1818))</f>
        <v/>
      </c>
      <c r="O1818" s="72" t="str">
        <f>IF(A1818="","",SUMIF(RATEIOS!$A$2:$A$3142,$A1818,RATEIOS!$F$2:$F$3142))</f>
        <v/>
      </c>
      <c r="P1818" s="15" t="str">
        <f t="shared" si="58"/>
        <v/>
      </c>
      <c r="Q1818" s="49" t="str">
        <f>IF(AND(J1818=0,K1818=0,L1818=0,M1818=0),"",IF(O1818=0,"PENDENTE DE RATEIO",IF(ABS(P1818)&gt;0.005,"DIVERGÊNCIA",IF(COUNTIF(RATEIOS!$A$2:$A$3142,$A1818)-COUNTIFS(RATEIOS!$A$2:$A$3142,$A1818,RATEIOS!$D$2:$D$3142,"&lt;&gt;")&gt;0,"NÃO CLASSIFICADO","RATEIO OK"))))</f>
        <v/>
      </c>
      <c r="R1818" s="49"/>
      <c r="S1818" s="14"/>
    </row>
    <row r="1819" spans="1:19" ht="30" customHeight="1" x14ac:dyDescent="0.25">
      <c r="A1819" s="49" t="str">
        <f>IF(C1819="","","BAN-01818")</f>
        <v/>
      </c>
      <c r="B1819" s="98" t="str">
        <f>IF(C1819="","",1818)</f>
        <v/>
      </c>
      <c r="C1819" s="50"/>
      <c r="D1819" s="49" t="str">
        <f t="shared" si="57"/>
        <v/>
      </c>
      <c r="E1819" s="92"/>
      <c r="F1819" s="49"/>
      <c r="G1819" s="14"/>
      <c r="H1819" s="14"/>
      <c r="I1819" s="76"/>
      <c r="J1819" s="73"/>
      <c r="K1819" s="74"/>
      <c r="L1819" s="72"/>
      <c r="M1819" s="72"/>
      <c r="N1819" s="72" t="str">
        <f>IF(AND(C1819="",J1819=0,K1819=0,L1819=0,M1819=0),"",CADASTROS!$B$4+SUM($J$2:J1819)+SUM($M$2:M1819)-SUM($K$2:K1819)-SUM($L$2:L1819))</f>
        <v/>
      </c>
      <c r="O1819" s="72" t="str">
        <f>IF(A1819="","",SUMIF(RATEIOS!$A$2:$A$3142,$A1819,RATEIOS!$F$2:$F$3142))</f>
        <v/>
      </c>
      <c r="P1819" s="15" t="str">
        <f t="shared" si="58"/>
        <v/>
      </c>
      <c r="Q1819" s="49" t="str">
        <f>IF(AND(J1819=0,K1819=0,L1819=0,M1819=0),"",IF(O1819=0,"PENDENTE DE RATEIO",IF(ABS(P1819)&gt;0.005,"DIVERGÊNCIA",IF(COUNTIF(RATEIOS!$A$2:$A$3142,$A1819)-COUNTIFS(RATEIOS!$A$2:$A$3142,$A1819,RATEIOS!$D$2:$D$3142,"&lt;&gt;")&gt;0,"NÃO CLASSIFICADO","RATEIO OK"))))</f>
        <v/>
      </c>
      <c r="R1819" s="49"/>
      <c r="S1819" s="14"/>
    </row>
    <row r="1820" spans="1:19" ht="30" customHeight="1" x14ac:dyDescent="0.25">
      <c r="A1820" s="49" t="str">
        <f>IF(C1820="","","BAN-01819")</f>
        <v/>
      </c>
      <c r="B1820" s="98" t="str">
        <f>IF(C1820="","",1819)</f>
        <v/>
      </c>
      <c r="C1820" s="50"/>
      <c r="D1820" s="49" t="str">
        <f t="shared" si="57"/>
        <v/>
      </c>
      <c r="E1820" s="92"/>
      <c r="F1820" s="49"/>
      <c r="G1820" s="14"/>
      <c r="H1820" s="14"/>
      <c r="I1820" s="76"/>
      <c r="J1820" s="73"/>
      <c r="K1820" s="74"/>
      <c r="L1820" s="72"/>
      <c r="M1820" s="72"/>
      <c r="N1820" s="72" t="str">
        <f>IF(AND(C1820="",J1820=0,K1820=0,L1820=0,M1820=0),"",CADASTROS!$B$4+SUM($J$2:J1820)+SUM($M$2:M1820)-SUM($K$2:K1820)-SUM($L$2:L1820))</f>
        <v/>
      </c>
      <c r="O1820" s="72" t="str">
        <f>IF(A1820="","",SUMIF(RATEIOS!$A$2:$A$3142,$A1820,RATEIOS!$F$2:$F$3142))</f>
        <v/>
      </c>
      <c r="P1820" s="15" t="str">
        <f t="shared" si="58"/>
        <v/>
      </c>
      <c r="Q1820" s="49" t="str">
        <f>IF(AND(J1820=0,K1820=0,L1820=0,M1820=0),"",IF(O1820=0,"PENDENTE DE RATEIO",IF(ABS(P1820)&gt;0.005,"DIVERGÊNCIA",IF(COUNTIF(RATEIOS!$A$2:$A$3142,$A1820)-COUNTIFS(RATEIOS!$A$2:$A$3142,$A1820,RATEIOS!$D$2:$D$3142,"&lt;&gt;")&gt;0,"NÃO CLASSIFICADO","RATEIO OK"))))</f>
        <v/>
      </c>
      <c r="R1820" s="49"/>
      <c r="S1820" s="14"/>
    </row>
    <row r="1821" spans="1:19" ht="30" customHeight="1" x14ac:dyDescent="0.25">
      <c r="A1821" s="49" t="str">
        <f>IF(C1821="","","BAN-01820")</f>
        <v/>
      </c>
      <c r="B1821" s="98" t="str">
        <f>IF(C1821="","",1820)</f>
        <v/>
      </c>
      <c r="C1821" s="50"/>
      <c r="D1821" s="49" t="str">
        <f t="shared" si="57"/>
        <v/>
      </c>
      <c r="E1821" s="92"/>
      <c r="F1821" s="49"/>
      <c r="G1821" s="14"/>
      <c r="H1821" s="14"/>
      <c r="I1821" s="76"/>
      <c r="J1821" s="73"/>
      <c r="K1821" s="74"/>
      <c r="L1821" s="72"/>
      <c r="M1821" s="72"/>
      <c r="N1821" s="72" t="str">
        <f>IF(AND(C1821="",J1821=0,K1821=0,L1821=0,M1821=0),"",CADASTROS!$B$4+SUM($J$2:J1821)+SUM($M$2:M1821)-SUM($K$2:K1821)-SUM($L$2:L1821))</f>
        <v/>
      </c>
      <c r="O1821" s="72" t="str">
        <f>IF(A1821="","",SUMIF(RATEIOS!$A$2:$A$3142,$A1821,RATEIOS!$F$2:$F$3142))</f>
        <v/>
      </c>
      <c r="P1821" s="15" t="str">
        <f t="shared" si="58"/>
        <v/>
      </c>
      <c r="Q1821" s="49" t="str">
        <f>IF(AND(J1821=0,K1821=0,L1821=0,M1821=0),"",IF(O1821=0,"PENDENTE DE RATEIO",IF(ABS(P1821)&gt;0.005,"DIVERGÊNCIA",IF(COUNTIF(RATEIOS!$A$2:$A$3142,$A1821)-COUNTIFS(RATEIOS!$A$2:$A$3142,$A1821,RATEIOS!$D$2:$D$3142,"&lt;&gt;")&gt;0,"NÃO CLASSIFICADO","RATEIO OK"))))</f>
        <v/>
      </c>
      <c r="R1821" s="49"/>
      <c r="S1821" s="14"/>
    </row>
    <row r="1822" spans="1:19" ht="30" customHeight="1" x14ac:dyDescent="0.25">
      <c r="A1822" s="49" t="str">
        <f>IF(C1822="","","BAN-01821")</f>
        <v/>
      </c>
      <c r="B1822" s="98" t="str">
        <f>IF(C1822="","",1821)</f>
        <v/>
      </c>
      <c r="C1822" s="50"/>
      <c r="D1822" s="49" t="str">
        <f t="shared" si="57"/>
        <v/>
      </c>
      <c r="E1822" s="92"/>
      <c r="F1822" s="49"/>
      <c r="G1822" s="14"/>
      <c r="H1822" s="14"/>
      <c r="I1822" s="76"/>
      <c r="J1822" s="73"/>
      <c r="K1822" s="74"/>
      <c r="L1822" s="72"/>
      <c r="M1822" s="72"/>
      <c r="N1822" s="72" t="str">
        <f>IF(AND(C1822="",J1822=0,K1822=0,L1822=0,M1822=0),"",CADASTROS!$B$4+SUM($J$2:J1822)+SUM($M$2:M1822)-SUM($K$2:K1822)-SUM($L$2:L1822))</f>
        <v/>
      </c>
      <c r="O1822" s="72" t="str">
        <f>IF(A1822="","",SUMIF(RATEIOS!$A$2:$A$3142,$A1822,RATEIOS!$F$2:$F$3142))</f>
        <v/>
      </c>
      <c r="P1822" s="15" t="str">
        <f t="shared" si="58"/>
        <v/>
      </c>
      <c r="Q1822" s="49" t="str">
        <f>IF(AND(J1822=0,K1822=0,L1822=0,M1822=0),"",IF(O1822=0,"PENDENTE DE RATEIO",IF(ABS(P1822)&gt;0.005,"DIVERGÊNCIA",IF(COUNTIF(RATEIOS!$A$2:$A$3142,$A1822)-COUNTIFS(RATEIOS!$A$2:$A$3142,$A1822,RATEIOS!$D$2:$D$3142,"&lt;&gt;")&gt;0,"NÃO CLASSIFICADO","RATEIO OK"))))</f>
        <v/>
      </c>
      <c r="R1822" s="49"/>
      <c r="S1822" s="14"/>
    </row>
    <row r="1823" spans="1:19" ht="30" customHeight="1" x14ac:dyDescent="0.25">
      <c r="A1823" s="49" t="str">
        <f>IF(C1823="","","BAN-01822")</f>
        <v/>
      </c>
      <c r="B1823" s="98" t="str">
        <f>IF(C1823="","",1822)</f>
        <v/>
      </c>
      <c r="C1823" s="50"/>
      <c r="D1823" s="49" t="str">
        <f t="shared" si="57"/>
        <v/>
      </c>
      <c r="E1823" s="92"/>
      <c r="F1823" s="49"/>
      <c r="G1823" s="14"/>
      <c r="H1823" s="14"/>
      <c r="I1823" s="76"/>
      <c r="J1823" s="73"/>
      <c r="K1823" s="74"/>
      <c r="L1823" s="72"/>
      <c r="M1823" s="72"/>
      <c r="N1823" s="72" t="str">
        <f>IF(AND(C1823="",J1823=0,K1823=0,L1823=0,M1823=0),"",CADASTROS!$B$4+SUM($J$2:J1823)+SUM($M$2:M1823)-SUM($K$2:K1823)-SUM($L$2:L1823))</f>
        <v/>
      </c>
      <c r="O1823" s="72" t="str">
        <f>IF(A1823="","",SUMIF(RATEIOS!$A$2:$A$3142,$A1823,RATEIOS!$F$2:$F$3142))</f>
        <v/>
      </c>
      <c r="P1823" s="15" t="str">
        <f t="shared" si="58"/>
        <v/>
      </c>
      <c r="Q1823" s="49" t="str">
        <f>IF(AND(J1823=0,K1823=0,L1823=0,M1823=0),"",IF(O1823=0,"PENDENTE DE RATEIO",IF(ABS(P1823)&gt;0.005,"DIVERGÊNCIA",IF(COUNTIF(RATEIOS!$A$2:$A$3142,$A1823)-COUNTIFS(RATEIOS!$A$2:$A$3142,$A1823,RATEIOS!$D$2:$D$3142,"&lt;&gt;")&gt;0,"NÃO CLASSIFICADO","RATEIO OK"))))</f>
        <v/>
      </c>
      <c r="R1823" s="49"/>
      <c r="S1823" s="14"/>
    </row>
    <row r="1824" spans="1:19" ht="30" customHeight="1" x14ac:dyDescent="0.25">
      <c r="A1824" s="49" t="str">
        <f>IF(C1824="","","BAN-01823")</f>
        <v/>
      </c>
      <c r="B1824" s="98" t="str">
        <f>IF(C1824="","",1823)</f>
        <v/>
      </c>
      <c r="C1824" s="50"/>
      <c r="D1824" s="49" t="str">
        <f t="shared" si="57"/>
        <v/>
      </c>
      <c r="E1824" s="92"/>
      <c r="F1824" s="49"/>
      <c r="G1824" s="14"/>
      <c r="H1824" s="14"/>
      <c r="I1824" s="76"/>
      <c r="J1824" s="73"/>
      <c r="K1824" s="74"/>
      <c r="L1824" s="72"/>
      <c r="M1824" s="72"/>
      <c r="N1824" s="72" t="str">
        <f>IF(AND(C1824="",J1824=0,K1824=0,L1824=0,M1824=0),"",CADASTROS!$B$4+SUM($J$2:J1824)+SUM($M$2:M1824)-SUM($K$2:K1824)-SUM($L$2:L1824))</f>
        <v/>
      </c>
      <c r="O1824" s="72" t="str">
        <f>IF(A1824="","",SUMIF(RATEIOS!$A$2:$A$3142,$A1824,RATEIOS!$F$2:$F$3142))</f>
        <v/>
      </c>
      <c r="P1824" s="15" t="str">
        <f t="shared" si="58"/>
        <v/>
      </c>
      <c r="Q1824" s="49" t="str">
        <f>IF(AND(J1824=0,K1824=0,L1824=0,M1824=0),"",IF(O1824=0,"PENDENTE DE RATEIO",IF(ABS(P1824)&gt;0.005,"DIVERGÊNCIA",IF(COUNTIF(RATEIOS!$A$2:$A$3142,$A1824)-COUNTIFS(RATEIOS!$A$2:$A$3142,$A1824,RATEIOS!$D$2:$D$3142,"&lt;&gt;")&gt;0,"NÃO CLASSIFICADO","RATEIO OK"))))</f>
        <v/>
      </c>
      <c r="R1824" s="49"/>
      <c r="S1824" s="14"/>
    </row>
    <row r="1825" spans="1:19" ht="30" customHeight="1" x14ac:dyDescent="0.25">
      <c r="A1825" s="49" t="str">
        <f>IF(C1825="","","BAN-01824")</f>
        <v/>
      </c>
      <c r="B1825" s="98" t="str">
        <f>IF(C1825="","",1824)</f>
        <v/>
      </c>
      <c r="C1825" s="50"/>
      <c r="D1825" s="49" t="str">
        <f t="shared" si="57"/>
        <v/>
      </c>
      <c r="E1825" s="92"/>
      <c r="F1825" s="49"/>
      <c r="G1825" s="14"/>
      <c r="H1825" s="14"/>
      <c r="I1825" s="76"/>
      <c r="J1825" s="73"/>
      <c r="K1825" s="74"/>
      <c r="L1825" s="72"/>
      <c r="M1825" s="72"/>
      <c r="N1825" s="72" t="str">
        <f>IF(AND(C1825="",J1825=0,K1825=0,L1825=0,M1825=0),"",CADASTROS!$B$4+SUM($J$2:J1825)+SUM($M$2:M1825)-SUM($K$2:K1825)-SUM($L$2:L1825))</f>
        <v/>
      </c>
      <c r="O1825" s="72" t="str">
        <f>IF(A1825="","",SUMIF(RATEIOS!$A$2:$A$3142,$A1825,RATEIOS!$F$2:$F$3142))</f>
        <v/>
      </c>
      <c r="P1825" s="15" t="str">
        <f t="shared" si="58"/>
        <v/>
      </c>
      <c r="Q1825" s="49" t="str">
        <f>IF(AND(J1825=0,K1825=0,L1825=0,M1825=0),"",IF(O1825=0,"PENDENTE DE RATEIO",IF(ABS(P1825)&gt;0.005,"DIVERGÊNCIA",IF(COUNTIF(RATEIOS!$A$2:$A$3142,$A1825)-COUNTIFS(RATEIOS!$A$2:$A$3142,$A1825,RATEIOS!$D$2:$D$3142,"&lt;&gt;")&gt;0,"NÃO CLASSIFICADO","RATEIO OK"))))</f>
        <v/>
      </c>
      <c r="R1825" s="49"/>
      <c r="S1825" s="14"/>
    </row>
    <row r="1826" spans="1:19" ht="30" customHeight="1" x14ac:dyDescent="0.25">
      <c r="A1826" s="49" t="str">
        <f>IF(C1826="","","BAN-01825")</f>
        <v/>
      </c>
      <c r="B1826" s="98" t="str">
        <f>IF(C1826="","",1825)</f>
        <v/>
      </c>
      <c r="C1826" s="50"/>
      <c r="D1826" s="49" t="str">
        <f t="shared" si="57"/>
        <v/>
      </c>
      <c r="E1826" s="92"/>
      <c r="F1826" s="49"/>
      <c r="G1826" s="14"/>
      <c r="H1826" s="14"/>
      <c r="I1826" s="76"/>
      <c r="J1826" s="73"/>
      <c r="K1826" s="74"/>
      <c r="L1826" s="72"/>
      <c r="M1826" s="72"/>
      <c r="N1826" s="72" t="str">
        <f>IF(AND(C1826="",J1826=0,K1826=0,L1826=0,M1826=0),"",CADASTROS!$B$4+SUM($J$2:J1826)+SUM($M$2:M1826)-SUM($K$2:K1826)-SUM($L$2:L1826))</f>
        <v/>
      </c>
      <c r="O1826" s="72" t="str">
        <f>IF(A1826="","",SUMIF(RATEIOS!$A$2:$A$3142,$A1826,RATEIOS!$F$2:$F$3142))</f>
        <v/>
      </c>
      <c r="P1826" s="15" t="str">
        <f t="shared" si="58"/>
        <v/>
      </c>
      <c r="Q1826" s="49" t="str">
        <f>IF(AND(J1826=0,K1826=0,L1826=0,M1826=0),"",IF(O1826=0,"PENDENTE DE RATEIO",IF(ABS(P1826)&gt;0.005,"DIVERGÊNCIA",IF(COUNTIF(RATEIOS!$A$2:$A$3142,$A1826)-COUNTIFS(RATEIOS!$A$2:$A$3142,$A1826,RATEIOS!$D$2:$D$3142,"&lt;&gt;")&gt;0,"NÃO CLASSIFICADO","RATEIO OK"))))</f>
        <v/>
      </c>
      <c r="R1826" s="49"/>
      <c r="S1826" s="14"/>
    </row>
    <row r="1827" spans="1:19" ht="30" customHeight="1" x14ac:dyDescent="0.25">
      <c r="A1827" s="49" t="str">
        <f>IF(C1827="","","BAN-01826")</f>
        <v/>
      </c>
      <c r="B1827" s="98" t="str">
        <f>IF(C1827="","",1826)</f>
        <v/>
      </c>
      <c r="C1827" s="50"/>
      <c r="D1827" s="49" t="str">
        <f t="shared" si="57"/>
        <v/>
      </c>
      <c r="E1827" s="92"/>
      <c r="F1827" s="49"/>
      <c r="G1827" s="14"/>
      <c r="H1827" s="14"/>
      <c r="I1827" s="76"/>
      <c r="J1827" s="73"/>
      <c r="K1827" s="74"/>
      <c r="L1827" s="72"/>
      <c r="M1827" s="72"/>
      <c r="N1827" s="72" t="str">
        <f>IF(AND(C1827="",J1827=0,K1827=0,L1827=0,M1827=0),"",CADASTROS!$B$4+SUM($J$2:J1827)+SUM($M$2:M1827)-SUM($K$2:K1827)-SUM($L$2:L1827))</f>
        <v/>
      </c>
      <c r="O1827" s="72" t="str">
        <f>IF(A1827="","",SUMIF(RATEIOS!$A$2:$A$3142,$A1827,RATEIOS!$F$2:$F$3142))</f>
        <v/>
      </c>
      <c r="P1827" s="15" t="str">
        <f t="shared" si="58"/>
        <v/>
      </c>
      <c r="Q1827" s="49" t="str">
        <f>IF(AND(J1827=0,K1827=0,L1827=0,M1827=0),"",IF(O1827=0,"PENDENTE DE RATEIO",IF(ABS(P1827)&gt;0.005,"DIVERGÊNCIA",IF(COUNTIF(RATEIOS!$A$2:$A$3142,$A1827)-COUNTIFS(RATEIOS!$A$2:$A$3142,$A1827,RATEIOS!$D$2:$D$3142,"&lt;&gt;")&gt;0,"NÃO CLASSIFICADO","RATEIO OK"))))</f>
        <v/>
      </c>
      <c r="R1827" s="49"/>
      <c r="S1827" s="14"/>
    </row>
    <row r="1828" spans="1:19" ht="30" customHeight="1" x14ac:dyDescent="0.25">
      <c r="A1828" s="49" t="str">
        <f>IF(C1828="","","BAN-01827")</f>
        <v/>
      </c>
      <c r="B1828" s="98" t="str">
        <f>IF(C1828="","",1827)</f>
        <v/>
      </c>
      <c r="C1828" s="50"/>
      <c r="D1828" s="49" t="str">
        <f t="shared" si="57"/>
        <v/>
      </c>
      <c r="E1828" s="92"/>
      <c r="F1828" s="49"/>
      <c r="G1828" s="14"/>
      <c r="H1828" s="14"/>
      <c r="I1828" s="76"/>
      <c r="J1828" s="73"/>
      <c r="K1828" s="74"/>
      <c r="L1828" s="72"/>
      <c r="M1828" s="72"/>
      <c r="N1828" s="72" t="str">
        <f>IF(AND(C1828="",J1828=0,K1828=0,L1828=0,M1828=0),"",CADASTROS!$B$4+SUM($J$2:J1828)+SUM($M$2:M1828)-SUM($K$2:K1828)-SUM($L$2:L1828))</f>
        <v/>
      </c>
      <c r="O1828" s="72" t="str">
        <f>IF(A1828="","",SUMIF(RATEIOS!$A$2:$A$3142,$A1828,RATEIOS!$F$2:$F$3142))</f>
        <v/>
      </c>
      <c r="P1828" s="15" t="str">
        <f t="shared" si="58"/>
        <v/>
      </c>
      <c r="Q1828" s="49" t="str">
        <f>IF(AND(J1828=0,K1828=0,L1828=0,M1828=0),"",IF(O1828=0,"PENDENTE DE RATEIO",IF(ABS(P1828)&gt;0.005,"DIVERGÊNCIA",IF(COUNTIF(RATEIOS!$A$2:$A$3142,$A1828)-COUNTIFS(RATEIOS!$A$2:$A$3142,$A1828,RATEIOS!$D$2:$D$3142,"&lt;&gt;")&gt;0,"NÃO CLASSIFICADO","RATEIO OK"))))</f>
        <v/>
      </c>
      <c r="R1828" s="49"/>
      <c r="S1828" s="14"/>
    </row>
    <row r="1829" spans="1:19" ht="30" customHeight="1" x14ac:dyDescent="0.25">
      <c r="A1829" s="49" t="str">
        <f>IF(C1829="","","BAN-01828")</f>
        <v/>
      </c>
      <c r="B1829" s="98" t="str">
        <f>IF(C1829="","",1828)</f>
        <v/>
      </c>
      <c r="C1829" s="50"/>
      <c r="D1829" s="49" t="str">
        <f t="shared" si="57"/>
        <v/>
      </c>
      <c r="E1829" s="92"/>
      <c r="F1829" s="49"/>
      <c r="G1829" s="14"/>
      <c r="H1829" s="14"/>
      <c r="I1829" s="76"/>
      <c r="J1829" s="73"/>
      <c r="K1829" s="74"/>
      <c r="L1829" s="72"/>
      <c r="M1829" s="72"/>
      <c r="N1829" s="72" t="str">
        <f>IF(AND(C1829="",J1829=0,K1829=0,L1829=0,M1829=0),"",CADASTROS!$B$4+SUM($J$2:J1829)+SUM($M$2:M1829)-SUM($K$2:K1829)-SUM($L$2:L1829))</f>
        <v/>
      </c>
      <c r="O1829" s="72" t="str">
        <f>IF(A1829="","",SUMIF(RATEIOS!$A$2:$A$3142,$A1829,RATEIOS!$F$2:$F$3142))</f>
        <v/>
      </c>
      <c r="P1829" s="15" t="str">
        <f t="shared" si="58"/>
        <v/>
      </c>
      <c r="Q1829" s="49" t="str">
        <f>IF(AND(J1829=0,K1829=0,L1829=0,M1829=0),"",IF(O1829=0,"PENDENTE DE RATEIO",IF(ABS(P1829)&gt;0.005,"DIVERGÊNCIA",IF(COUNTIF(RATEIOS!$A$2:$A$3142,$A1829)-COUNTIFS(RATEIOS!$A$2:$A$3142,$A1829,RATEIOS!$D$2:$D$3142,"&lt;&gt;")&gt;0,"NÃO CLASSIFICADO","RATEIO OK"))))</f>
        <v/>
      </c>
      <c r="R1829" s="49"/>
      <c r="S1829" s="14"/>
    </row>
    <row r="1830" spans="1:19" ht="30" customHeight="1" x14ac:dyDescent="0.25">
      <c r="A1830" s="49" t="str">
        <f>IF(C1830="","","BAN-01829")</f>
        <v/>
      </c>
      <c r="B1830" s="98" t="str">
        <f>IF(C1830="","",1829)</f>
        <v/>
      </c>
      <c r="C1830" s="50"/>
      <c r="D1830" s="49" t="str">
        <f t="shared" si="57"/>
        <v/>
      </c>
      <c r="E1830" s="92"/>
      <c r="F1830" s="49"/>
      <c r="G1830" s="14"/>
      <c r="H1830" s="14"/>
      <c r="I1830" s="76"/>
      <c r="J1830" s="73"/>
      <c r="K1830" s="74"/>
      <c r="L1830" s="72"/>
      <c r="M1830" s="72"/>
      <c r="N1830" s="72" t="str">
        <f>IF(AND(C1830="",J1830=0,K1830=0,L1830=0,M1830=0),"",CADASTROS!$B$4+SUM($J$2:J1830)+SUM($M$2:M1830)-SUM($K$2:K1830)-SUM($L$2:L1830))</f>
        <v/>
      </c>
      <c r="O1830" s="72" t="str">
        <f>IF(A1830="","",SUMIF(RATEIOS!$A$2:$A$3142,$A1830,RATEIOS!$F$2:$F$3142))</f>
        <v/>
      </c>
      <c r="P1830" s="15" t="str">
        <f t="shared" si="58"/>
        <v/>
      </c>
      <c r="Q1830" s="49" t="str">
        <f>IF(AND(J1830=0,K1830=0,L1830=0,M1830=0),"",IF(O1830=0,"PENDENTE DE RATEIO",IF(ABS(P1830)&gt;0.005,"DIVERGÊNCIA",IF(COUNTIF(RATEIOS!$A$2:$A$3142,$A1830)-COUNTIFS(RATEIOS!$A$2:$A$3142,$A1830,RATEIOS!$D$2:$D$3142,"&lt;&gt;")&gt;0,"NÃO CLASSIFICADO","RATEIO OK"))))</f>
        <v/>
      </c>
      <c r="R1830" s="49"/>
      <c r="S1830" s="14"/>
    </row>
    <row r="1831" spans="1:19" ht="30" customHeight="1" x14ac:dyDescent="0.25">
      <c r="A1831" s="49" t="str">
        <f>IF(C1831="","","BAN-01830")</f>
        <v/>
      </c>
      <c r="B1831" s="98" t="str">
        <f>IF(C1831="","",1830)</f>
        <v/>
      </c>
      <c r="C1831" s="50"/>
      <c r="D1831" s="49" t="str">
        <f t="shared" si="57"/>
        <v/>
      </c>
      <c r="E1831" s="92"/>
      <c r="F1831" s="49"/>
      <c r="G1831" s="14"/>
      <c r="H1831" s="14"/>
      <c r="I1831" s="76"/>
      <c r="J1831" s="73"/>
      <c r="K1831" s="74"/>
      <c r="L1831" s="72"/>
      <c r="M1831" s="72"/>
      <c r="N1831" s="72" t="str">
        <f>IF(AND(C1831="",J1831=0,K1831=0,L1831=0,M1831=0),"",CADASTROS!$B$4+SUM($J$2:J1831)+SUM($M$2:M1831)-SUM($K$2:K1831)-SUM($L$2:L1831))</f>
        <v/>
      </c>
      <c r="O1831" s="72" t="str">
        <f>IF(A1831="","",SUMIF(RATEIOS!$A$2:$A$3142,$A1831,RATEIOS!$F$2:$F$3142))</f>
        <v/>
      </c>
      <c r="P1831" s="15" t="str">
        <f t="shared" si="58"/>
        <v/>
      </c>
      <c r="Q1831" s="49" t="str">
        <f>IF(AND(J1831=0,K1831=0,L1831=0,M1831=0),"",IF(O1831=0,"PENDENTE DE RATEIO",IF(ABS(P1831)&gt;0.005,"DIVERGÊNCIA",IF(COUNTIF(RATEIOS!$A$2:$A$3142,$A1831)-COUNTIFS(RATEIOS!$A$2:$A$3142,$A1831,RATEIOS!$D$2:$D$3142,"&lt;&gt;")&gt;0,"NÃO CLASSIFICADO","RATEIO OK"))))</f>
        <v/>
      </c>
      <c r="R1831" s="49"/>
      <c r="S1831" s="14"/>
    </row>
    <row r="1832" spans="1:19" ht="30" customHeight="1" x14ac:dyDescent="0.25">
      <c r="A1832" s="49" t="str">
        <f>IF(C1832="","","BAN-01831")</f>
        <v/>
      </c>
      <c r="B1832" s="98" t="str">
        <f>IF(C1832="","",1831)</f>
        <v/>
      </c>
      <c r="C1832" s="50"/>
      <c r="D1832" s="49" t="str">
        <f t="shared" si="57"/>
        <v/>
      </c>
      <c r="E1832" s="92"/>
      <c r="F1832" s="49"/>
      <c r="G1832" s="14"/>
      <c r="H1832" s="14"/>
      <c r="I1832" s="76"/>
      <c r="J1832" s="73"/>
      <c r="K1832" s="74"/>
      <c r="L1832" s="72"/>
      <c r="M1832" s="72"/>
      <c r="N1832" s="72" t="str">
        <f>IF(AND(C1832="",J1832=0,K1832=0,L1832=0,M1832=0),"",CADASTROS!$B$4+SUM($J$2:J1832)+SUM($M$2:M1832)-SUM($K$2:K1832)-SUM($L$2:L1832))</f>
        <v/>
      </c>
      <c r="O1832" s="72" t="str">
        <f>IF(A1832="","",SUMIF(RATEIOS!$A$2:$A$3142,$A1832,RATEIOS!$F$2:$F$3142))</f>
        <v/>
      </c>
      <c r="P1832" s="15" t="str">
        <f t="shared" si="58"/>
        <v/>
      </c>
      <c r="Q1832" s="49" t="str">
        <f>IF(AND(J1832=0,K1832=0,L1832=0,M1832=0),"",IF(O1832=0,"PENDENTE DE RATEIO",IF(ABS(P1832)&gt;0.005,"DIVERGÊNCIA",IF(COUNTIF(RATEIOS!$A$2:$A$3142,$A1832)-COUNTIFS(RATEIOS!$A$2:$A$3142,$A1832,RATEIOS!$D$2:$D$3142,"&lt;&gt;")&gt;0,"NÃO CLASSIFICADO","RATEIO OK"))))</f>
        <v/>
      </c>
      <c r="R1832" s="49"/>
      <c r="S1832" s="14"/>
    </row>
    <row r="1833" spans="1:19" ht="30" customHeight="1" x14ac:dyDescent="0.25">
      <c r="A1833" s="49" t="str">
        <f>IF(C1833="","","BAN-01832")</f>
        <v/>
      </c>
      <c r="B1833" s="98" t="str">
        <f>IF(C1833="","",1832)</f>
        <v/>
      </c>
      <c r="C1833" s="50"/>
      <c r="D1833" s="49" t="str">
        <f t="shared" si="57"/>
        <v/>
      </c>
      <c r="E1833" s="92"/>
      <c r="F1833" s="49"/>
      <c r="G1833" s="14"/>
      <c r="H1833" s="14"/>
      <c r="I1833" s="76"/>
      <c r="J1833" s="73"/>
      <c r="K1833" s="74"/>
      <c r="L1833" s="72"/>
      <c r="M1833" s="72"/>
      <c r="N1833" s="72" t="str">
        <f>IF(AND(C1833="",J1833=0,K1833=0,L1833=0,M1833=0),"",CADASTROS!$B$4+SUM($J$2:J1833)+SUM($M$2:M1833)-SUM($K$2:K1833)-SUM($L$2:L1833))</f>
        <v/>
      </c>
      <c r="O1833" s="72" t="str">
        <f>IF(A1833="","",SUMIF(RATEIOS!$A$2:$A$3142,$A1833,RATEIOS!$F$2:$F$3142))</f>
        <v/>
      </c>
      <c r="P1833" s="15" t="str">
        <f t="shared" si="58"/>
        <v/>
      </c>
      <c r="Q1833" s="49" t="str">
        <f>IF(AND(J1833=0,K1833=0,L1833=0,M1833=0),"",IF(O1833=0,"PENDENTE DE RATEIO",IF(ABS(P1833)&gt;0.005,"DIVERGÊNCIA",IF(COUNTIF(RATEIOS!$A$2:$A$3142,$A1833)-COUNTIFS(RATEIOS!$A$2:$A$3142,$A1833,RATEIOS!$D$2:$D$3142,"&lt;&gt;")&gt;0,"NÃO CLASSIFICADO","RATEIO OK"))))</f>
        <v/>
      </c>
      <c r="R1833" s="49"/>
      <c r="S1833" s="14"/>
    </row>
    <row r="1834" spans="1:19" ht="30" customHeight="1" x14ac:dyDescent="0.25">
      <c r="A1834" s="49" t="str">
        <f>IF(C1834="","","BAN-01833")</f>
        <v/>
      </c>
      <c r="B1834" s="98" t="str">
        <f>IF(C1834="","",1833)</f>
        <v/>
      </c>
      <c r="C1834" s="50"/>
      <c r="D1834" s="49" t="str">
        <f t="shared" si="57"/>
        <v/>
      </c>
      <c r="E1834" s="92"/>
      <c r="F1834" s="49"/>
      <c r="G1834" s="14"/>
      <c r="H1834" s="14"/>
      <c r="I1834" s="76"/>
      <c r="J1834" s="73"/>
      <c r="K1834" s="74"/>
      <c r="L1834" s="72"/>
      <c r="M1834" s="72"/>
      <c r="N1834" s="72" t="str">
        <f>IF(AND(C1834="",J1834=0,K1834=0,L1834=0,M1834=0),"",CADASTROS!$B$4+SUM($J$2:J1834)+SUM($M$2:M1834)-SUM($K$2:K1834)-SUM($L$2:L1834))</f>
        <v/>
      </c>
      <c r="O1834" s="72" t="str">
        <f>IF(A1834="","",SUMIF(RATEIOS!$A$2:$A$3142,$A1834,RATEIOS!$F$2:$F$3142))</f>
        <v/>
      </c>
      <c r="P1834" s="15" t="str">
        <f t="shared" si="58"/>
        <v/>
      </c>
      <c r="Q1834" s="49" t="str">
        <f>IF(AND(J1834=0,K1834=0,L1834=0,M1834=0),"",IF(O1834=0,"PENDENTE DE RATEIO",IF(ABS(P1834)&gt;0.005,"DIVERGÊNCIA",IF(COUNTIF(RATEIOS!$A$2:$A$3142,$A1834)-COUNTIFS(RATEIOS!$A$2:$A$3142,$A1834,RATEIOS!$D$2:$D$3142,"&lt;&gt;")&gt;0,"NÃO CLASSIFICADO","RATEIO OK"))))</f>
        <v/>
      </c>
      <c r="R1834" s="49"/>
      <c r="S1834" s="14"/>
    </row>
    <row r="1835" spans="1:19" ht="30" customHeight="1" x14ac:dyDescent="0.25">
      <c r="A1835" s="49" t="str">
        <f>IF(C1835="","","BAN-01834")</f>
        <v/>
      </c>
      <c r="B1835" s="98" t="str">
        <f>IF(C1835="","",1834)</f>
        <v/>
      </c>
      <c r="C1835" s="50"/>
      <c r="D1835" s="49" t="str">
        <f t="shared" si="57"/>
        <v/>
      </c>
      <c r="E1835" s="92"/>
      <c r="F1835" s="49"/>
      <c r="G1835" s="14"/>
      <c r="H1835" s="14"/>
      <c r="I1835" s="76"/>
      <c r="J1835" s="73"/>
      <c r="K1835" s="74"/>
      <c r="L1835" s="72"/>
      <c r="M1835" s="72"/>
      <c r="N1835" s="72" t="str">
        <f>IF(AND(C1835="",J1835=0,K1835=0,L1835=0,M1835=0),"",CADASTROS!$B$4+SUM($J$2:J1835)+SUM($M$2:M1835)-SUM($K$2:K1835)-SUM($L$2:L1835))</f>
        <v/>
      </c>
      <c r="O1835" s="72" t="str">
        <f>IF(A1835="","",SUMIF(RATEIOS!$A$2:$A$3142,$A1835,RATEIOS!$F$2:$F$3142))</f>
        <v/>
      </c>
      <c r="P1835" s="15" t="str">
        <f t="shared" si="58"/>
        <v/>
      </c>
      <c r="Q1835" s="49" t="str">
        <f>IF(AND(J1835=0,K1835=0,L1835=0,M1835=0),"",IF(O1835=0,"PENDENTE DE RATEIO",IF(ABS(P1835)&gt;0.005,"DIVERGÊNCIA",IF(COUNTIF(RATEIOS!$A$2:$A$3142,$A1835)-COUNTIFS(RATEIOS!$A$2:$A$3142,$A1835,RATEIOS!$D$2:$D$3142,"&lt;&gt;")&gt;0,"NÃO CLASSIFICADO","RATEIO OK"))))</f>
        <v/>
      </c>
      <c r="R1835" s="49"/>
      <c r="S1835" s="14"/>
    </row>
    <row r="1836" spans="1:19" ht="30" customHeight="1" x14ac:dyDescent="0.25">
      <c r="A1836" s="49" t="str">
        <f>IF(C1836="","","BAN-01835")</f>
        <v/>
      </c>
      <c r="B1836" s="98" t="str">
        <f>IF(C1836="","",1835)</f>
        <v/>
      </c>
      <c r="C1836" s="50"/>
      <c r="D1836" s="49" t="str">
        <f t="shared" si="57"/>
        <v/>
      </c>
      <c r="E1836" s="92"/>
      <c r="F1836" s="49"/>
      <c r="G1836" s="14"/>
      <c r="H1836" s="14"/>
      <c r="I1836" s="76"/>
      <c r="J1836" s="73"/>
      <c r="K1836" s="74"/>
      <c r="L1836" s="72"/>
      <c r="M1836" s="72"/>
      <c r="N1836" s="72" t="str">
        <f>IF(AND(C1836="",J1836=0,K1836=0,L1836=0,M1836=0),"",CADASTROS!$B$4+SUM($J$2:J1836)+SUM($M$2:M1836)-SUM($K$2:K1836)-SUM($L$2:L1836))</f>
        <v/>
      </c>
      <c r="O1836" s="72" t="str">
        <f>IF(A1836="","",SUMIF(RATEIOS!$A$2:$A$3142,$A1836,RATEIOS!$F$2:$F$3142))</f>
        <v/>
      </c>
      <c r="P1836" s="15" t="str">
        <f t="shared" si="58"/>
        <v/>
      </c>
      <c r="Q1836" s="49" t="str">
        <f>IF(AND(J1836=0,K1836=0,L1836=0,M1836=0),"",IF(O1836=0,"PENDENTE DE RATEIO",IF(ABS(P1836)&gt;0.005,"DIVERGÊNCIA",IF(COUNTIF(RATEIOS!$A$2:$A$3142,$A1836)-COUNTIFS(RATEIOS!$A$2:$A$3142,$A1836,RATEIOS!$D$2:$D$3142,"&lt;&gt;")&gt;0,"NÃO CLASSIFICADO","RATEIO OK"))))</f>
        <v/>
      </c>
      <c r="R1836" s="49"/>
      <c r="S1836" s="14"/>
    </row>
    <row r="1837" spans="1:19" ht="30" customHeight="1" x14ac:dyDescent="0.25">
      <c r="A1837" s="49" t="str">
        <f>IF(C1837="","","BAN-01836")</f>
        <v/>
      </c>
      <c r="B1837" s="98" t="str">
        <f>IF(C1837="","",1836)</f>
        <v/>
      </c>
      <c r="C1837" s="50"/>
      <c r="D1837" s="49" t="str">
        <f t="shared" si="57"/>
        <v/>
      </c>
      <c r="E1837" s="92"/>
      <c r="F1837" s="49"/>
      <c r="G1837" s="14"/>
      <c r="H1837" s="14"/>
      <c r="I1837" s="76"/>
      <c r="J1837" s="73"/>
      <c r="K1837" s="74"/>
      <c r="L1837" s="72"/>
      <c r="M1837" s="72"/>
      <c r="N1837" s="72" t="str">
        <f>IF(AND(C1837="",J1837=0,K1837=0,L1837=0,M1837=0),"",CADASTROS!$B$4+SUM($J$2:J1837)+SUM($M$2:M1837)-SUM($K$2:K1837)-SUM($L$2:L1837))</f>
        <v/>
      </c>
      <c r="O1837" s="72" t="str">
        <f>IF(A1837="","",SUMIF(RATEIOS!$A$2:$A$3142,$A1837,RATEIOS!$F$2:$F$3142))</f>
        <v/>
      </c>
      <c r="P1837" s="15" t="str">
        <f t="shared" si="58"/>
        <v/>
      </c>
      <c r="Q1837" s="49" t="str">
        <f>IF(AND(J1837=0,K1837=0,L1837=0,M1837=0),"",IF(O1837=0,"PENDENTE DE RATEIO",IF(ABS(P1837)&gt;0.005,"DIVERGÊNCIA",IF(COUNTIF(RATEIOS!$A$2:$A$3142,$A1837)-COUNTIFS(RATEIOS!$A$2:$A$3142,$A1837,RATEIOS!$D$2:$D$3142,"&lt;&gt;")&gt;0,"NÃO CLASSIFICADO","RATEIO OK"))))</f>
        <v/>
      </c>
      <c r="R1837" s="49"/>
      <c r="S1837" s="14"/>
    </row>
    <row r="1838" spans="1:19" ht="30" customHeight="1" x14ac:dyDescent="0.25">
      <c r="A1838" s="49" t="str">
        <f>IF(C1838="","","BAN-01837")</f>
        <v/>
      </c>
      <c r="B1838" s="98" t="str">
        <f>IF(C1838="","",1837)</f>
        <v/>
      </c>
      <c r="C1838" s="50"/>
      <c r="D1838" s="49" t="str">
        <f t="shared" si="57"/>
        <v/>
      </c>
      <c r="E1838" s="92"/>
      <c r="F1838" s="49"/>
      <c r="G1838" s="14"/>
      <c r="H1838" s="14"/>
      <c r="I1838" s="76"/>
      <c r="J1838" s="73"/>
      <c r="K1838" s="74"/>
      <c r="L1838" s="72"/>
      <c r="M1838" s="72"/>
      <c r="N1838" s="72" t="str">
        <f>IF(AND(C1838="",J1838=0,K1838=0,L1838=0,M1838=0),"",CADASTROS!$B$4+SUM($J$2:J1838)+SUM($M$2:M1838)-SUM($K$2:K1838)-SUM($L$2:L1838))</f>
        <v/>
      </c>
      <c r="O1838" s="72" t="str">
        <f>IF(A1838="","",SUMIF(RATEIOS!$A$2:$A$3142,$A1838,RATEIOS!$F$2:$F$3142))</f>
        <v/>
      </c>
      <c r="P1838" s="15" t="str">
        <f t="shared" si="58"/>
        <v/>
      </c>
      <c r="Q1838" s="49" t="str">
        <f>IF(AND(J1838=0,K1838=0,L1838=0,M1838=0),"",IF(O1838=0,"PENDENTE DE RATEIO",IF(ABS(P1838)&gt;0.005,"DIVERGÊNCIA",IF(COUNTIF(RATEIOS!$A$2:$A$3142,$A1838)-COUNTIFS(RATEIOS!$A$2:$A$3142,$A1838,RATEIOS!$D$2:$D$3142,"&lt;&gt;")&gt;0,"NÃO CLASSIFICADO","RATEIO OK"))))</f>
        <v/>
      </c>
      <c r="R1838" s="49"/>
      <c r="S1838" s="14"/>
    </row>
    <row r="1839" spans="1:19" ht="30" customHeight="1" x14ac:dyDescent="0.25">
      <c r="A1839" s="49" t="str">
        <f>IF(C1839="","","BAN-01838")</f>
        <v/>
      </c>
      <c r="B1839" s="98" t="str">
        <f>IF(C1839="","",1838)</f>
        <v/>
      </c>
      <c r="C1839" s="50"/>
      <c r="D1839" s="49" t="str">
        <f t="shared" si="57"/>
        <v/>
      </c>
      <c r="E1839" s="92"/>
      <c r="F1839" s="49"/>
      <c r="G1839" s="14"/>
      <c r="H1839" s="14"/>
      <c r="I1839" s="76"/>
      <c r="J1839" s="73"/>
      <c r="K1839" s="74"/>
      <c r="L1839" s="72"/>
      <c r="M1839" s="72"/>
      <c r="N1839" s="72" t="str">
        <f>IF(AND(C1839="",J1839=0,K1839=0,L1839=0,M1839=0),"",CADASTROS!$B$4+SUM($J$2:J1839)+SUM($M$2:M1839)-SUM($K$2:K1839)-SUM($L$2:L1839))</f>
        <v/>
      </c>
      <c r="O1839" s="72" t="str">
        <f>IF(A1839="","",SUMIF(RATEIOS!$A$2:$A$3142,$A1839,RATEIOS!$F$2:$F$3142))</f>
        <v/>
      </c>
      <c r="P1839" s="15" t="str">
        <f t="shared" si="58"/>
        <v/>
      </c>
      <c r="Q1839" s="49" t="str">
        <f>IF(AND(J1839=0,K1839=0,L1839=0,M1839=0),"",IF(O1839=0,"PENDENTE DE RATEIO",IF(ABS(P1839)&gt;0.005,"DIVERGÊNCIA",IF(COUNTIF(RATEIOS!$A$2:$A$3142,$A1839)-COUNTIFS(RATEIOS!$A$2:$A$3142,$A1839,RATEIOS!$D$2:$D$3142,"&lt;&gt;")&gt;0,"NÃO CLASSIFICADO","RATEIO OK"))))</f>
        <v/>
      </c>
      <c r="R1839" s="49"/>
      <c r="S1839" s="14"/>
    </row>
    <row r="1840" spans="1:19" ht="30" customHeight="1" x14ac:dyDescent="0.25">
      <c r="A1840" s="49" t="str">
        <f>IF(C1840="","","BAN-01839")</f>
        <v/>
      </c>
      <c r="B1840" s="98" t="str">
        <f>IF(C1840="","",1839)</f>
        <v/>
      </c>
      <c r="C1840" s="50"/>
      <c r="D1840" s="49" t="str">
        <f t="shared" si="57"/>
        <v/>
      </c>
      <c r="E1840" s="92"/>
      <c r="F1840" s="49"/>
      <c r="G1840" s="14"/>
      <c r="H1840" s="14"/>
      <c r="I1840" s="76"/>
      <c r="J1840" s="73"/>
      <c r="K1840" s="74"/>
      <c r="L1840" s="72"/>
      <c r="M1840" s="72"/>
      <c r="N1840" s="72" t="str">
        <f>IF(AND(C1840="",J1840=0,K1840=0,L1840=0,M1840=0),"",CADASTROS!$B$4+SUM($J$2:J1840)+SUM($M$2:M1840)-SUM($K$2:K1840)-SUM($L$2:L1840))</f>
        <v/>
      </c>
      <c r="O1840" s="72" t="str">
        <f>IF(A1840="","",SUMIF(RATEIOS!$A$2:$A$3142,$A1840,RATEIOS!$F$2:$F$3142))</f>
        <v/>
      </c>
      <c r="P1840" s="15" t="str">
        <f t="shared" si="58"/>
        <v/>
      </c>
      <c r="Q1840" s="49" t="str">
        <f>IF(AND(J1840=0,K1840=0,L1840=0,M1840=0),"",IF(O1840=0,"PENDENTE DE RATEIO",IF(ABS(P1840)&gt;0.005,"DIVERGÊNCIA",IF(COUNTIF(RATEIOS!$A$2:$A$3142,$A1840)-COUNTIFS(RATEIOS!$A$2:$A$3142,$A1840,RATEIOS!$D$2:$D$3142,"&lt;&gt;")&gt;0,"NÃO CLASSIFICADO","RATEIO OK"))))</f>
        <v/>
      </c>
      <c r="R1840" s="49"/>
      <c r="S1840" s="14"/>
    </row>
    <row r="1841" spans="1:19" ht="30" customHeight="1" x14ac:dyDescent="0.25">
      <c r="A1841" s="49" t="str">
        <f>IF(C1841="","","BAN-01840")</f>
        <v/>
      </c>
      <c r="B1841" s="98" t="str">
        <f>IF(C1841="","",1840)</f>
        <v/>
      </c>
      <c r="C1841" s="50"/>
      <c r="D1841" s="49" t="str">
        <f t="shared" si="57"/>
        <v/>
      </c>
      <c r="E1841" s="92"/>
      <c r="F1841" s="49"/>
      <c r="G1841" s="14"/>
      <c r="H1841" s="14"/>
      <c r="I1841" s="76"/>
      <c r="J1841" s="73"/>
      <c r="K1841" s="74"/>
      <c r="L1841" s="72"/>
      <c r="M1841" s="72"/>
      <c r="N1841" s="72" t="str">
        <f>IF(AND(C1841="",J1841=0,K1841=0,L1841=0,M1841=0),"",CADASTROS!$B$4+SUM($J$2:J1841)+SUM($M$2:M1841)-SUM($K$2:K1841)-SUM($L$2:L1841))</f>
        <v/>
      </c>
      <c r="O1841" s="72" t="str">
        <f>IF(A1841="","",SUMIF(RATEIOS!$A$2:$A$3142,$A1841,RATEIOS!$F$2:$F$3142))</f>
        <v/>
      </c>
      <c r="P1841" s="15" t="str">
        <f t="shared" si="58"/>
        <v/>
      </c>
      <c r="Q1841" s="49" t="str">
        <f>IF(AND(J1841=0,K1841=0,L1841=0,M1841=0),"",IF(O1841=0,"PENDENTE DE RATEIO",IF(ABS(P1841)&gt;0.005,"DIVERGÊNCIA",IF(COUNTIF(RATEIOS!$A$2:$A$3142,$A1841)-COUNTIFS(RATEIOS!$A$2:$A$3142,$A1841,RATEIOS!$D$2:$D$3142,"&lt;&gt;")&gt;0,"NÃO CLASSIFICADO","RATEIO OK"))))</f>
        <v/>
      </c>
      <c r="R1841" s="49"/>
      <c r="S1841" s="14"/>
    </row>
    <row r="1842" spans="1:19" ht="30" customHeight="1" x14ac:dyDescent="0.25">
      <c r="A1842" s="49" t="str">
        <f>IF(C1842="","","BAN-01841")</f>
        <v/>
      </c>
      <c r="B1842" s="98" t="str">
        <f>IF(C1842="","",1841)</f>
        <v/>
      </c>
      <c r="C1842" s="50"/>
      <c r="D1842" s="49" t="str">
        <f t="shared" si="57"/>
        <v/>
      </c>
      <c r="E1842" s="92"/>
      <c r="F1842" s="49"/>
      <c r="G1842" s="14"/>
      <c r="H1842" s="14"/>
      <c r="I1842" s="76"/>
      <c r="J1842" s="73"/>
      <c r="K1842" s="74"/>
      <c r="L1842" s="72"/>
      <c r="M1842" s="72"/>
      <c r="N1842" s="72" t="str">
        <f>IF(AND(C1842="",J1842=0,K1842=0,L1842=0,M1842=0),"",CADASTROS!$B$4+SUM($J$2:J1842)+SUM($M$2:M1842)-SUM($K$2:K1842)-SUM($L$2:L1842))</f>
        <v/>
      </c>
      <c r="O1842" s="72" t="str">
        <f>IF(A1842="","",SUMIF(RATEIOS!$A$2:$A$3142,$A1842,RATEIOS!$F$2:$F$3142))</f>
        <v/>
      </c>
      <c r="P1842" s="15" t="str">
        <f t="shared" si="58"/>
        <v/>
      </c>
      <c r="Q1842" s="49" t="str">
        <f>IF(AND(J1842=0,K1842=0,L1842=0,M1842=0),"",IF(O1842=0,"PENDENTE DE RATEIO",IF(ABS(P1842)&gt;0.005,"DIVERGÊNCIA",IF(COUNTIF(RATEIOS!$A$2:$A$3142,$A1842)-COUNTIFS(RATEIOS!$A$2:$A$3142,$A1842,RATEIOS!$D$2:$D$3142,"&lt;&gt;")&gt;0,"NÃO CLASSIFICADO","RATEIO OK"))))</f>
        <v/>
      </c>
      <c r="R1842" s="49"/>
      <c r="S1842" s="14"/>
    </row>
    <row r="1843" spans="1:19" ht="30" customHeight="1" x14ac:dyDescent="0.25">
      <c r="A1843" s="49" t="str">
        <f>IF(C1843="","","BAN-01842")</f>
        <v/>
      </c>
      <c r="B1843" s="98" t="str">
        <f>IF(C1843="","",1842)</f>
        <v/>
      </c>
      <c r="C1843" s="50"/>
      <c r="D1843" s="49" t="str">
        <f t="shared" si="57"/>
        <v/>
      </c>
      <c r="E1843" s="92"/>
      <c r="F1843" s="49"/>
      <c r="G1843" s="14"/>
      <c r="H1843" s="14"/>
      <c r="I1843" s="76"/>
      <c r="J1843" s="73"/>
      <c r="K1843" s="74"/>
      <c r="L1843" s="72"/>
      <c r="M1843" s="72"/>
      <c r="N1843" s="72" t="str">
        <f>IF(AND(C1843="",J1843=0,K1843=0,L1843=0,M1843=0),"",CADASTROS!$B$4+SUM($J$2:J1843)+SUM($M$2:M1843)-SUM($K$2:K1843)-SUM($L$2:L1843))</f>
        <v/>
      </c>
      <c r="O1843" s="72" t="str">
        <f>IF(A1843="","",SUMIF(RATEIOS!$A$2:$A$3142,$A1843,RATEIOS!$F$2:$F$3142))</f>
        <v/>
      </c>
      <c r="P1843" s="15" t="str">
        <f t="shared" si="58"/>
        <v/>
      </c>
      <c r="Q1843" s="49" t="str">
        <f>IF(AND(J1843=0,K1843=0,L1843=0,M1843=0),"",IF(O1843=0,"PENDENTE DE RATEIO",IF(ABS(P1843)&gt;0.005,"DIVERGÊNCIA",IF(COUNTIF(RATEIOS!$A$2:$A$3142,$A1843)-COUNTIFS(RATEIOS!$A$2:$A$3142,$A1843,RATEIOS!$D$2:$D$3142,"&lt;&gt;")&gt;0,"NÃO CLASSIFICADO","RATEIO OK"))))</f>
        <v/>
      </c>
      <c r="R1843" s="49"/>
      <c r="S1843" s="14"/>
    </row>
    <row r="1844" spans="1:19" ht="30" customHeight="1" x14ac:dyDescent="0.25">
      <c r="A1844" s="49" t="str">
        <f>IF(C1844="","","BAN-01843")</f>
        <v/>
      </c>
      <c r="B1844" s="98" t="str">
        <f>IF(C1844="","",1843)</f>
        <v/>
      </c>
      <c r="C1844" s="50"/>
      <c r="D1844" s="49" t="str">
        <f t="shared" si="57"/>
        <v/>
      </c>
      <c r="E1844" s="92"/>
      <c r="F1844" s="49"/>
      <c r="G1844" s="14"/>
      <c r="H1844" s="14"/>
      <c r="I1844" s="76"/>
      <c r="J1844" s="73"/>
      <c r="K1844" s="74"/>
      <c r="L1844" s="72"/>
      <c r="M1844" s="72"/>
      <c r="N1844" s="72" t="str">
        <f>IF(AND(C1844="",J1844=0,K1844=0,L1844=0,M1844=0),"",CADASTROS!$B$4+SUM($J$2:J1844)+SUM($M$2:M1844)-SUM($K$2:K1844)-SUM($L$2:L1844))</f>
        <v/>
      </c>
      <c r="O1844" s="72" t="str">
        <f>IF(A1844="","",SUMIF(RATEIOS!$A$2:$A$3142,$A1844,RATEIOS!$F$2:$F$3142))</f>
        <v/>
      </c>
      <c r="P1844" s="15" t="str">
        <f t="shared" si="58"/>
        <v/>
      </c>
      <c r="Q1844" s="49" t="str">
        <f>IF(AND(J1844=0,K1844=0,L1844=0,M1844=0),"",IF(O1844=0,"PENDENTE DE RATEIO",IF(ABS(P1844)&gt;0.005,"DIVERGÊNCIA",IF(COUNTIF(RATEIOS!$A$2:$A$3142,$A1844)-COUNTIFS(RATEIOS!$A$2:$A$3142,$A1844,RATEIOS!$D$2:$D$3142,"&lt;&gt;")&gt;0,"NÃO CLASSIFICADO","RATEIO OK"))))</f>
        <v/>
      </c>
      <c r="R1844" s="49"/>
      <c r="S1844" s="14"/>
    </row>
    <row r="1845" spans="1:19" ht="30" customHeight="1" x14ac:dyDescent="0.25">
      <c r="A1845" s="49" t="str">
        <f>IF(C1845="","","BAN-01844")</f>
        <v/>
      </c>
      <c r="B1845" s="98" t="str">
        <f>IF(C1845="","",1844)</f>
        <v/>
      </c>
      <c r="C1845" s="50"/>
      <c r="D1845" s="49" t="str">
        <f t="shared" si="57"/>
        <v/>
      </c>
      <c r="E1845" s="92"/>
      <c r="F1845" s="49"/>
      <c r="G1845" s="14"/>
      <c r="H1845" s="14"/>
      <c r="I1845" s="76"/>
      <c r="J1845" s="73"/>
      <c r="K1845" s="74"/>
      <c r="L1845" s="72"/>
      <c r="M1845" s="72"/>
      <c r="N1845" s="72" t="str">
        <f>IF(AND(C1845="",J1845=0,K1845=0,L1845=0,M1845=0),"",CADASTROS!$B$4+SUM($J$2:J1845)+SUM($M$2:M1845)-SUM($K$2:K1845)-SUM($L$2:L1845))</f>
        <v/>
      </c>
      <c r="O1845" s="72" t="str">
        <f>IF(A1845="","",SUMIF(RATEIOS!$A$2:$A$3142,$A1845,RATEIOS!$F$2:$F$3142))</f>
        <v/>
      </c>
      <c r="P1845" s="15" t="str">
        <f t="shared" si="58"/>
        <v/>
      </c>
      <c r="Q1845" s="49" t="str">
        <f>IF(AND(J1845=0,K1845=0,L1845=0,M1845=0),"",IF(O1845=0,"PENDENTE DE RATEIO",IF(ABS(P1845)&gt;0.005,"DIVERGÊNCIA",IF(COUNTIF(RATEIOS!$A$2:$A$3142,$A1845)-COUNTIFS(RATEIOS!$A$2:$A$3142,$A1845,RATEIOS!$D$2:$D$3142,"&lt;&gt;")&gt;0,"NÃO CLASSIFICADO","RATEIO OK"))))</f>
        <v/>
      </c>
      <c r="R1845" s="49"/>
      <c r="S1845" s="14"/>
    </row>
    <row r="1846" spans="1:19" ht="30" customHeight="1" x14ac:dyDescent="0.25">
      <c r="A1846" s="49" t="str">
        <f>IF(C1846="","","BAN-01845")</f>
        <v/>
      </c>
      <c r="B1846" s="98" t="str">
        <f>IF(C1846="","",1845)</f>
        <v/>
      </c>
      <c r="C1846" s="50"/>
      <c r="D1846" s="49" t="str">
        <f t="shared" si="57"/>
        <v/>
      </c>
      <c r="E1846" s="92"/>
      <c r="F1846" s="49"/>
      <c r="G1846" s="14"/>
      <c r="H1846" s="14"/>
      <c r="I1846" s="76"/>
      <c r="J1846" s="73"/>
      <c r="K1846" s="74"/>
      <c r="L1846" s="72"/>
      <c r="M1846" s="72"/>
      <c r="N1846" s="72" t="str">
        <f>IF(AND(C1846="",J1846=0,K1846=0,L1846=0,M1846=0),"",CADASTROS!$B$4+SUM($J$2:J1846)+SUM($M$2:M1846)-SUM($K$2:K1846)-SUM($L$2:L1846))</f>
        <v/>
      </c>
      <c r="O1846" s="72" t="str">
        <f>IF(A1846="","",SUMIF(RATEIOS!$A$2:$A$3142,$A1846,RATEIOS!$F$2:$F$3142))</f>
        <v/>
      </c>
      <c r="P1846" s="15" t="str">
        <f t="shared" si="58"/>
        <v/>
      </c>
      <c r="Q1846" s="49" t="str">
        <f>IF(AND(J1846=0,K1846=0,L1846=0,M1846=0),"",IF(O1846=0,"PENDENTE DE RATEIO",IF(ABS(P1846)&gt;0.005,"DIVERGÊNCIA",IF(COUNTIF(RATEIOS!$A$2:$A$3142,$A1846)-COUNTIFS(RATEIOS!$A$2:$A$3142,$A1846,RATEIOS!$D$2:$D$3142,"&lt;&gt;")&gt;0,"NÃO CLASSIFICADO","RATEIO OK"))))</f>
        <v/>
      </c>
      <c r="R1846" s="49"/>
      <c r="S1846" s="14"/>
    </row>
    <row r="1847" spans="1:19" ht="30" customHeight="1" x14ac:dyDescent="0.25">
      <c r="A1847" s="49" t="str">
        <f>IF(C1847="","","BAN-01846")</f>
        <v/>
      </c>
      <c r="B1847" s="98" t="str">
        <f>IF(C1847="","",1846)</f>
        <v/>
      </c>
      <c r="C1847" s="50"/>
      <c r="D1847" s="49" t="str">
        <f t="shared" si="57"/>
        <v/>
      </c>
      <c r="E1847" s="92"/>
      <c r="F1847" s="49"/>
      <c r="G1847" s="14"/>
      <c r="H1847" s="14"/>
      <c r="I1847" s="76"/>
      <c r="J1847" s="73"/>
      <c r="K1847" s="74"/>
      <c r="L1847" s="72"/>
      <c r="M1847" s="72"/>
      <c r="N1847" s="72" t="str">
        <f>IF(AND(C1847="",J1847=0,K1847=0,L1847=0,M1847=0),"",CADASTROS!$B$4+SUM($J$2:J1847)+SUM($M$2:M1847)-SUM($K$2:K1847)-SUM($L$2:L1847))</f>
        <v/>
      </c>
      <c r="O1847" s="72" t="str">
        <f>IF(A1847="","",SUMIF(RATEIOS!$A$2:$A$3142,$A1847,RATEIOS!$F$2:$F$3142))</f>
        <v/>
      </c>
      <c r="P1847" s="15" t="str">
        <f t="shared" si="58"/>
        <v/>
      </c>
      <c r="Q1847" s="49" t="str">
        <f>IF(AND(J1847=0,K1847=0,L1847=0,M1847=0),"",IF(O1847=0,"PENDENTE DE RATEIO",IF(ABS(P1847)&gt;0.005,"DIVERGÊNCIA",IF(COUNTIF(RATEIOS!$A$2:$A$3142,$A1847)-COUNTIFS(RATEIOS!$A$2:$A$3142,$A1847,RATEIOS!$D$2:$D$3142,"&lt;&gt;")&gt;0,"NÃO CLASSIFICADO","RATEIO OK"))))</f>
        <v/>
      </c>
      <c r="R1847" s="49"/>
      <c r="S1847" s="14"/>
    </row>
    <row r="1848" spans="1:19" ht="30" customHeight="1" x14ac:dyDescent="0.25">
      <c r="A1848" s="49" t="str">
        <f>IF(C1848="","","BAN-01847")</f>
        <v/>
      </c>
      <c r="B1848" s="98" t="str">
        <f>IF(C1848="","",1847)</f>
        <v/>
      </c>
      <c r="C1848" s="50"/>
      <c r="D1848" s="49" t="str">
        <f t="shared" si="57"/>
        <v/>
      </c>
      <c r="E1848" s="92"/>
      <c r="F1848" s="49"/>
      <c r="G1848" s="14"/>
      <c r="H1848" s="14"/>
      <c r="I1848" s="76"/>
      <c r="J1848" s="73"/>
      <c r="K1848" s="74"/>
      <c r="L1848" s="72"/>
      <c r="M1848" s="72"/>
      <c r="N1848" s="72" t="str">
        <f>IF(AND(C1848="",J1848=0,K1848=0,L1848=0,M1848=0),"",CADASTROS!$B$4+SUM($J$2:J1848)+SUM($M$2:M1848)-SUM($K$2:K1848)-SUM($L$2:L1848))</f>
        <v/>
      </c>
      <c r="O1848" s="72" t="str">
        <f>IF(A1848="","",SUMIF(RATEIOS!$A$2:$A$3142,$A1848,RATEIOS!$F$2:$F$3142))</f>
        <v/>
      </c>
      <c r="P1848" s="15" t="str">
        <f t="shared" si="58"/>
        <v/>
      </c>
      <c r="Q1848" s="49" t="str">
        <f>IF(AND(J1848=0,K1848=0,L1848=0,M1848=0),"",IF(O1848=0,"PENDENTE DE RATEIO",IF(ABS(P1848)&gt;0.005,"DIVERGÊNCIA",IF(COUNTIF(RATEIOS!$A$2:$A$3142,$A1848)-COUNTIFS(RATEIOS!$A$2:$A$3142,$A1848,RATEIOS!$D$2:$D$3142,"&lt;&gt;")&gt;0,"NÃO CLASSIFICADO","RATEIO OK"))))</f>
        <v/>
      </c>
      <c r="R1848" s="49"/>
      <c r="S1848" s="14"/>
    </row>
    <row r="1849" spans="1:19" ht="30" customHeight="1" x14ac:dyDescent="0.25">
      <c r="A1849" s="49" t="str">
        <f>IF(C1849="","","BAN-01848")</f>
        <v/>
      </c>
      <c r="B1849" s="98" t="str">
        <f>IF(C1849="","",1848)</f>
        <v/>
      </c>
      <c r="C1849" s="50"/>
      <c r="D1849" s="49" t="str">
        <f t="shared" si="57"/>
        <v/>
      </c>
      <c r="E1849" s="92"/>
      <c r="F1849" s="49"/>
      <c r="G1849" s="14"/>
      <c r="H1849" s="14"/>
      <c r="I1849" s="76"/>
      <c r="J1849" s="73"/>
      <c r="K1849" s="74"/>
      <c r="L1849" s="72"/>
      <c r="M1849" s="72"/>
      <c r="N1849" s="72" t="str">
        <f>IF(AND(C1849="",J1849=0,K1849=0,L1849=0,M1849=0),"",CADASTROS!$B$4+SUM($J$2:J1849)+SUM($M$2:M1849)-SUM($K$2:K1849)-SUM($L$2:L1849))</f>
        <v/>
      </c>
      <c r="O1849" s="72" t="str">
        <f>IF(A1849="","",SUMIF(RATEIOS!$A$2:$A$3142,$A1849,RATEIOS!$F$2:$F$3142))</f>
        <v/>
      </c>
      <c r="P1849" s="15" t="str">
        <f t="shared" si="58"/>
        <v/>
      </c>
      <c r="Q1849" s="49" t="str">
        <f>IF(AND(J1849=0,K1849=0,L1849=0,M1849=0),"",IF(O1849=0,"PENDENTE DE RATEIO",IF(ABS(P1849)&gt;0.005,"DIVERGÊNCIA",IF(COUNTIF(RATEIOS!$A$2:$A$3142,$A1849)-COUNTIFS(RATEIOS!$A$2:$A$3142,$A1849,RATEIOS!$D$2:$D$3142,"&lt;&gt;")&gt;0,"NÃO CLASSIFICADO","RATEIO OK"))))</f>
        <v/>
      </c>
      <c r="R1849" s="49"/>
      <c r="S1849" s="14"/>
    </row>
    <row r="1850" spans="1:19" ht="30" customHeight="1" x14ac:dyDescent="0.25">
      <c r="A1850" s="49" t="str">
        <f>IF(C1850="","","BAN-01849")</f>
        <v/>
      </c>
      <c r="B1850" s="98" t="str">
        <f>IF(C1850="","",1849)</f>
        <v/>
      </c>
      <c r="C1850" s="50"/>
      <c r="D1850" s="49" t="str">
        <f t="shared" si="57"/>
        <v/>
      </c>
      <c r="E1850" s="92"/>
      <c r="F1850" s="49"/>
      <c r="G1850" s="14"/>
      <c r="H1850" s="14"/>
      <c r="I1850" s="76"/>
      <c r="J1850" s="73"/>
      <c r="K1850" s="74"/>
      <c r="L1850" s="72"/>
      <c r="M1850" s="72"/>
      <c r="N1850" s="72" t="str">
        <f>IF(AND(C1850="",J1850=0,K1850=0,L1850=0,M1850=0),"",CADASTROS!$B$4+SUM($J$2:J1850)+SUM($M$2:M1850)-SUM($K$2:K1850)-SUM($L$2:L1850))</f>
        <v/>
      </c>
      <c r="O1850" s="72" t="str">
        <f>IF(A1850="","",SUMIF(RATEIOS!$A$2:$A$3142,$A1850,RATEIOS!$F$2:$F$3142))</f>
        <v/>
      </c>
      <c r="P1850" s="15" t="str">
        <f t="shared" si="58"/>
        <v/>
      </c>
      <c r="Q1850" s="49" t="str">
        <f>IF(AND(J1850=0,K1850=0,L1850=0,M1850=0),"",IF(O1850=0,"PENDENTE DE RATEIO",IF(ABS(P1850)&gt;0.005,"DIVERGÊNCIA",IF(COUNTIF(RATEIOS!$A$2:$A$3142,$A1850)-COUNTIFS(RATEIOS!$A$2:$A$3142,$A1850,RATEIOS!$D$2:$D$3142,"&lt;&gt;")&gt;0,"NÃO CLASSIFICADO","RATEIO OK"))))</f>
        <v/>
      </c>
      <c r="R1850" s="49"/>
      <c r="S1850" s="14"/>
    </row>
    <row r="1851" spans="1:19" ht="30" customHeight="1" x14ac:dyDescent="0.25">
      <c r="A1851" s="49" t="str">
        <f>IF(C1851="","","BAN-01850")</f>
        <v/>
      </c>
      <c r="B1851" s="98" t="str">
        <f>IF(C1851="","",1850)</f>
        <v/>
      </c>
      <c r="C1851" s="50"/>
      <c r="D1851" s="49" t="str">
        <f t="shared" si="57"/>
        <v/>
      </c>
      <c r="E1851" s="92"/>
      <c r="F1851" s="49"/>
      <c r="G1851" s="14"/>
      <c r="H1851" s="14"/>
      <c r="I1851" s="76"/>
      <c r="J1851" s="73"/>
      <c r="K1851" s="74"/>
      <c r="L1851" s="72"/>
      <c r="M1851" s="72"/>
      <c r="N1851" s="72" t="str">
        <f>IF(AND(C1851="",J1851=0,K1851=0,L1851=0,M1851=0),"",CADASTROS!$B$4+SUM($J$2:J1851)+SUM($M$2:M1851)-SUM($K$2:K1851)-SUM($L$2:L1851))</f>
        <v/>
      </c>
      <c r="O1851" s="72" t="str">
        <f>IF(A1851="","",SUMIF(RATEIOS!$A$2:$A$3142,$A1851,RATEIOS!$F$2:$F$3142))</f>
        <v/>
      </c>
      <c r="P1851" s="15" t="str">
        <f t="shared" si="58"/>
        <v/>
      </c>
      <c r="Q1851" s="49" t="str">
        <f>IF(AND(J1851=0,K1851=0,L1851=0,M1851=0),"",IF(O1851=0,"PENDENTE DE RATEIO",IF(ABS(P1851)&gt;0.005,"DIVERGÊNCIA",IF(COUNTIF(RATEIOS!$A$2:$A$3142,$A1851)-COUNTIFS(RATEIOS!$A$2:$A$3142,$A1851,RATEIOS!$D$2:$D$3142,"&lt;&gt;")&gt;0,"NÃO CLASSIFICADO","RATEIO OK"))))</f>
        <v/>
      </c>
      <c r="R1851" s="49"/>
      <c r="S1851" s="14"/>
    </row>
    <row r="1852" spans="1:19" ht="30" customHeight="1" x14ac:dyDescent="0.25">
      <c r="A1852" s="49" t="str">
        <f>IF(C1852="","","BAN-01851")</f>
        <v/>
      </c>
      <c r="B1852" s="98" t="str">
        <f>IF(C1852="","",1851)</f>
        <v/>
      </c>
      <c r="C1852" s="50"/>
      <c r="D1852" s="49" t="str">
        <f t="shared" si="57"/>
        <v/>
      </c>
      <c r="E1852" s="92"/>
      <c r="F1852" s="49"/>
      <c r="G1852" s="14"/>
      <c r="H1852" s="14"/>
      <c r="I1852" s="76"/>
      <c r="J1852" s="73"/>
      <c r="K1852" s="74"/>
      <c r="L1852" s="72"/>
      <c r="M1852" s="72"/>
      <c r="N1852" s="72" t="str">
        <f>IF(AND(C1852="",J1852=0,K1852=0,L1852=0,M1852=0),"",CADASTROS!$B$4+SUM($J$2:J1852)+SUM($M$2:M1852)-SUM($K$2:K1852)-SUM($L$2:L1852))</f>
        <v/>
      </c>
      <c r="O1852" s="72" t="str">
        <f>IF(A1852="","",SUMIF(RATEIOS!$A$2:$A$3142,$A1852,RATEIOS!$F$2:$F$3142))</f>
        <v/>
      </c>
      <c r="P1852" s="15" t="str">
        <f t="shared" si="58"/>
        <v/>
      </c>
      <c r="Q1852" s="49" t="str">
        <f>IF(AND(J1852=0,K1852=0,L1852=0,M1852=0),"",IF(O1852=0,"PENDENTE DE RATEIO",IF(ABS(P1852)&gt;0.005,"DIVERGÊNCIA",IF(COUNTIF(RATEIOS!$A$2:$A$3142,$A1852)-COUNTIFS(RATEIOS!$A$2:$A$3142,$A1852,RATEIOS!$D$2:$D$3142,"&lt;&gt;")&gt;0,"NÃO CLASSIFICADO","RATEIO OK"))))</f>
        <v/>
      </c>
      <c r="R1852" s="49"/>
      <c r="S1852" s="14"/>
    </row>
    <row r="1853" spans="1:19" ht="30" customHeight="1" x14ac:dyDescent="0.25">
      <c r="A1853" s="49" t="str">
        <f>IF(C1853="","","BAN-01852")</f>
        <v/>
      </c>
      <c r="B1853" s="98" t="str">
        <f>IF(C1853="","",1852)</f>
        <v/>
      </c>
      <c r="C1853" s="50"/>
      <c r="D1853" s="49" t="str">
        <f t="shared" si="57"/>
        <v/>
      </c>
      <c r="E1853" s="92"/>
      <c r="F1853" s="49"/>
      <c r="G1853" s="14"/>
      <c r="H1853" s="14"/>
      <c r="I1853" s="76"/>
      <c r="J1853" s="73"/>
      <c r="K1853" s="74"/>
      <c r="L1853" s="72"/>
      <c r="M1853" s="72"/>
      <c r="N1853" s="72" t="str">
        <f>IF(AND(C1853="",J1853=0,K1853=0,L1853=0,M1853=0),"",CADASTROS!$B$4+SUM($J$2:J1853)+SUM($M$2:M1853)-SUM($K$2:K1853)-SUM($L$2:L1853))</f>
        <v/>
      </c>
      <c r="O1853" s="72" t="str">
        <f>IF(A1853="","",SUMIF(RATEIOS!$A$2:$A$3142,$A1853,RATEIOS!$F$2:$F$3142))</f>
        <v/>
      </c>
      <c r="P1853" s="15" t="str">
        <f t="shared" si="58"/>
        <v/>
      </c>
      <c r="Q1853" s="49" t="str">
        <f>IF(AND(J1853=0,K1853=0,L1853=0,M1853=0),"",IF(O1853=0,"PENDENTE DE RATEIO",IF(ABS(P1853)&gt;0.005,"DIVERGÊNCIA",IF(COUNTIF(RATEIOS!$A$2:$A$3142,$A1853)-COUNTIFS(RATEIOS!$A$2:$A$3142,$A1853,RATEIOS!$D$2:$D$3142,"&lt;&gt;")&gt;0,"NÃO CLASSIFICADO","RATEIO OK"))))</f>
        <v/>
      </c>
      <c r="R1853" s="49"/>
      <c r="S1853" s="14"/>
    </row>
    <row r="1854" spans="1:19" ht="30" customHeight="1" x14ac:dyDescent="0.25">
      <c r="A1854" s="49" t="str">
        <f>IF(C1854="","","BAN-01853")</f>
        <v/>
      </c>
      <c r="B1854" s="98" t="str">
        <f>IF(C1854="","",1853)</f>
        <v/>
      </c>
      <c r="C1854" s="50"/>
      <c r="D1854" s="49" t="str">
        <f t="shared" si="57"/>
        <v/>
      </c>
      <c r="E1854" s="92"/>
      <c r="F1854" s="49"/>
      <c r="G1854" s="14"/>
      <c r="H1854" s="14"/>
      <c r="I1854" s="76"/>
      <c r="J1854" s="73"/>
      <c r="K1854" s="74"/>
      <c r="L1854" s="72"/>
      <c r="M1854" s="72"/>
      <c r="N1854" s="72" t="str">
        <f>IF(AND(C1854="",J1854=0,K1854=0,L1854=0,M1854=0),"",CADASTROS!$B$4+SUM($J$2:J1854)+SUM($M$2:M1854)-SUM($K$2:K1854)-SUM($L$2:L1854))</f>
        <v/>
      </c>
      <c r="O1854" s="72" t="str">
        <f>IF(A1854="","",SUMIF(RATEIOS!$A$2:$A$3142,$A1854,RATEIOS!$F$2:$F$3142))</f>
        <v/>
      </c>
      <c r="P1854" s="15" t="str">
        <f t="shared" si="58"/>
        <v/>
      </c>
      <c r="Q1854" s="49" t="str">
        <f>IF(AND(J1854=0,K1854=0,L1854=0,M1854=0),"",IF(O1854=0,"PENDENTE DE RATEIO",IF(ABS(P1854)&gt;0.005,"DIVERGÊNCIA",IF(COUNTIF(RATEIOS!$A$2:$A$3142,$A1854)-COUNTIFS(RATEIOS!$A$2:$A$3142,$A1854,RATEIOS!$D$2:$D$3142,"&lt;&gt;")&gt;0,"NÃO CLASSIFICADO","RATEIO OK"))))</f>
        <v/>
      </c>
      <c r="R1854" s="49"/>
      <c r="S1854" s="14"/>
    </row>
    <row r="1855" spans="1:19" ht="30" customHeight="1" x14ac:dyDescent="0.25">
      <c r="A1855" s="49" t="str">
        <f>IF(C1855="","","BAN-01854")</f>
        <v/>
      </c>
      <c r="B1855" s="98" t="str">
        <f>IF(C1855="","",1854)</f>
        <v/>
      </c>
      <c r="C1855" s="50"/>
      <c r="D1855" s="49" t="str">
        <f t="shared" si="57"/>
        <v/>
      </c>
      <c r="E1855" s="92"/>
      <c r="F1855" s="49"/>
      <c r="G1855" s="14"/>
      <c r="H1855" s="14"/>
      <c r="I1855" s="76"/>
      <c r="J1855" s="73"/>
      <c r="K1855" s="74"/>
      <c r="L1855" s="72"/>
      <c r="M1855" s="72"/>
      <c r="N1855" s="72" t="str">
        <f>IF(AND(C1855="",J1855=0,K1855=0,L1855=0,M1855=0),"",CADASTROS!$B$4+SUM($J$2:J1855)+SUM($M$2:M1855)-SUM($K$2:K1855)-SUM($L$2:L1855))</f>
        <v/>
      </c>
      <c r="O1855" s="72" t="str">
        <f>IF(A1855="","",SUMIF(RATEIOS!$A$2:$A$3142,$A1855,RATEIOS!$F$2:$F$3142))</f>
        <v/>
      </c>
      <c r="P1855" s="15" t="str">
        <f t="shared" si="58"/>
        <v/>
      </c>
      <c r="Q1855" s="49" t="str">
        <f>IF(AND(J1855=0,K1855=0,L1855=0,M1855=0),"",IF(O1855=0,"PENDENTE DE RATEIO",IF(ABS(P1855)&gt;0.005,"DIVERGÊNCIA",IF(COUNTIF(RATEIOS!$A$2:$A$3142,$A1855)-COUNTIFS(RATEIOS!$A$2:$A$3142,$A1855,RATEIOS!$D$2:$D$3142,"&lt;&gt;")&gt;0,"NÃO CLASSIFICADO","RATEIO OK"))))</f>
        <v/>
      </c>
      <c r="R1855" s="49"/>
      <c r="S1855" s="14"/>
    </row>
    <row r="1856" spans="1:19" ht="30" customHeight="1" x14ac:dyDescent="0.25">
      <c r="A1856" s="49" t="str">
        <f>IF(C1856="","","BAN-01855")</f>
        <v/>
      </c>
      <c r="B1856" s="98" t="str">
        <f>IF(C1856="","",1855)</f>
        <v/>
      </c>
      <c r="C1856" s="50"/>
      <c r="D1856" s="49" t="str">
        <f t="shared" si="57"/>
        <v/>
      </c>
      <c r="E1856" s="92"/>
      <c r="F1856" s="49"/>
      <c r="G1856" s="14"/>
      <c r="H1856" s="14"/>
      <c r="I1856" s="76"/>
      <c r="J1856" s="73"/>
      <c r="K1856" s="74"/>
      <c r="L1856" s="72"/>
      <c r="M1856" s="72"/>
      <c r="N1856" s="72" t="str">
        <f>IF(AND(C1856="",J1856=0,K1856=0,L1856=0,M1856=0),"",CADASTROS!$B$4+SUM($J$2:J1856)+SUM($M$2:M1856)-SUM($K$2:K1856)-SUM($L$2:L1856))</f>
        <v/>
      </c>
      <c r="O1856" s="72" t="str">
        <f>IF(A1856="","",SUMIF(RATEIOS!$A$2:$A$3142,$A1856,RATEIOS!$F$2:$F$3142))</f>
        <v/>
      </c>
      <c r="P1856" s="15" t="str">
        <f t="shared" si="58"/>
        <v/>
      </c>
      <c r="Q1856" s="49" t="str">
        <f>IF(AND(J1856=0,K1856=0,L1856=0,M1856=0),"",IF(O1856=0,"PENDENTE DE RATEIO",IF(ABS(P1856)&gt;0.005,"DIVERGÊNCIA",IF(COUNTIF(RATEIOS!$A$2:$A$3142,$A1856)-COUNTIFS(RATEIOS!$A$2:$A$3142,$A1856,RATEIOS!$D$2:$D$3142,"&lt;&gt;")&gt;0,"NÃO CLASSIFICADO","RATEIO OK"))))</f>
        <v/>
      </c>
      <c r="R1856" s="49"/>
      <c r="S1856" s="14"/>
    </row>
    <row r="1857" spans="1:19" ht="30" customHeight="1" x14ac:dyDescent="0.25">
      <c r="A1857" s="49" t="str">
        <f>IF(C1857="","","BAN-01856")</f>
        <v/>
      </c>
      <c r="B1857" s="98" t="str">
        <f>IF(C1857="","",1856)</f>
        <v/>
      </c>
      <c r="C1857" s="50"/>
      <c r="D1857" s="49" t="str">
        <f t="shared" si="57"/>
        <v/>
      </c>
      <c r="E1857" s="92"/>
      <c r="F1857" s="49"/>
      <c r="G1857" s="14"/>
      <c r="H1857" s="14"/>
      <c r="I1857" s="76"/>
      <c r="J1857" s="73"/>
      <c r="K1857" s="74"/>
      <c r="L1857" s="72"/>
      <c r="M1857" s="72"/>
      <c r="N1857" s="72" t="str">
        <f>IF(AND(C1857="",J1857=0,K1857=0,L1857=0,M1857=0),"",CADASTROS!$B$4+SUM($J$2:J1857)+SUM($M$2:M1857)-SUM($K$2:K1857)-SUM($L$2:L1857))</f>
        <v/>
      </c>
      <c r="O1857" s="72" t="str">
        <f>IF(A1857="","",SUMIF(RATEIOS!$A$2:$A$3142,$A1857,RATEIOS!$F$2:$F$3142))</f>
        <v/>
      </c>
      <c r="P1857" s="15" t="str">
        <f t="shared" si="58"/>
        <v/>
      </c>
      <c r="Q1857" s="49" t="str">
        <f>IF(AND(J1857=0,K1857=0,L1857=0,M1857=0),"",IF(O1857=0,"PENDENTE DE RATEIO",IF(ABS(P1857)&gt;0.005,"DIVERGÊNCIA",IF(COUNTIF(RATEIOS!$A$2:$A$3142,$A1857)-COUNTIFS(RATEIOS!$A$2:$A$3142,$A1857,RATEIOS!$D$2:$D$3142,"&lt;&gt;")&gt;0,"NÃO CLASSIFICADO","RATEIO OK"))))</f>
        <v/>
      </c>
      <c r="R1857" s="49"/>
      <c r="S1857" s="14"/>
    </row>
    <row r="1858" spans="1:19" ht="30" customHeight="1" x14ac:dyDescent="0.25">
      <c r="A1858" s="49" t="str">
        <f>IF(C1858="","","BAN-01857")</f>
        <v/>
      </c>
      <c r="B1858" s="98" t="str">
        <f>IF(C1858="","",1857)</f>
        <v/>
      </c>
      <c r="C1858" s="50"/>
      <c r="D1858" s="49" t="str">
        <f t="shared" ref="D1858:D1921" si="59">IF(C1858="","",MONTH(C1858))</f>
        <v/>
      </c>
      <c r="E1858" s="92"/>
      <c r="F1858" s="49"/>
      <c r="G1858" s="14"/>
      <c r="H1858" s="14"/>
      <c r="I1858" s="76"/>
      <c r="J1858" s="73"/>
      <c r="K1858" s="74"/>
      <c r="L1858" s="72"/>
      <c r="M1858" s="72"/>
      <c r="N1858" s="72" t="str">
        <f>IF(AND(C1858="",J1858=0,K1858=0,L1858=0,M1858=0),"",CADASTROS!$B$4+SUM($J$2:J1858)+SUM($M$2:M1858)-SUM($K$2:K1858)-SUM($L$2:L1858))</f>
        <v/>
      </c>
      <c r="O1858" s="72" t="str">
        <f>IF(A1858="","",SUMIF(RATEIOS!$A$2:$A$3142,$A1858,RATEIOS!$F$2:$F$3142))</f>
        <v/>
      </c>
      <c r="P1858" s="15" t="str">
        <f t="shared" ref="P1858:P1921" si="60">IF(A1858="","",(J1858+K1858+L1858+M1858)-O1858)</f>
        <v/>
      </c>
      <c r="Q1858" s="49" t="str">
        <f>IF(AND(J1858=0,K1858=0,L1858=0,M1858=0),"",IF(O1858=0,"PENDENTE DE RATEIO",IF(ABS(P1858)&gt;0.005,"DIVERGÊNCIA",IF(COUNTIF(RATEIOS!$A$2:$A$3142,$A1858)-COUNTIFS(RATEIOS!$A$2:$A$3142,$A1858,RATEIOS!$D$2:$D$3142,"&lt;&gt;")&gt;0,"NÃO CLASSIFICADO","RATEIO OK"))))</f>
        <v/>
      </c>
      <c r="R1858" s="49"/>
      <c r="S1858" s="14"/>
    </row>
    <row r="1859" spans="1:19" ht="30" customHeight="1" x14ac:dyDescent="0.25">
      <c r="A1859" s="49" t="str">
        <f>IF(C1859="","","BAN-01858")</f>
        <v/>
      </c>
      <c r="B1859" s="98" t="str">
        <f>IF(C1859="","",1858)</f>
        <v/>
      </c>
      <c r="C1859" s="50"/>
      <c r="D1859" s="49" t="str">
        <f t="shared" si="59"/>
        <v/>
      </c>
      <c r="E1859" s="92"/>
      <c r="F1859" s="49"/>
      <c r="G1859" s="14"/>
      <c r="H1859" s="14"/>
      <c r="I1859" s="76"/>
      <c r="J1859" s="73"/>
      <c r="K1859" s="74"/>
      <c r="L1859" s="72"/>
      <c r="M1859" s="72"/>
      <c r="N1859" s="72" t="str">
        <f>IF(AND(C1859="",J1859=0,K1859=0,L1859=0,M1859=0),"",CADASTROS!$B$4+SUM($J$2:J1859)+SUM($M$2:M1859)-SUM($K$2:K1859)-SUM($L$2:L1859))</f>
        <v/>
      </c>
      <c r="O1859" s="72" t="str">
        <f>IF(A1859="","",SUMIF(RATEIOS!$A$2:$A$3142,$A1859,RATEIOS!$F$2:$F$3142))</f>
        <v/>
      </c>
      <c r="P1859" s="15" t="str">
        <f t="shared" si="60"/>
        <v/>
      </c>
      <c r="Q1859" s="49" t="str">
        <f>IF(AND(J1859=0,K1859=0,L1859=0,M1859=0),"",IF(O1859=0,"PENDENTE DE RATEIO",IF(ABS(P1859)&gt;0.005,"DIVERGÊNCIA",IF(COUNTIF(RATEIOS!$A$2:$A$3142,$A1859)-COUNTIFS(RATEIOS!$A$2:$A$3142,$A1859,RATEIOS!$D$2:$D$3142,"&lt;&gt;")&gt;0,"NÃO CLASSIFICADO","RATEIO OK"))))</f>
        <v/>
      </c>
      <c r="R1859" s="49"/>
      <c r="S1859" s="14"/>
    </row>
    <row r="1860" spans="1:19" ht="30" customHeight="1" x14ac:dyDescent="0.25">
      <c r="A1860" s="49" t="str">
        <f>IF(C1860="","","BAN-01859")</f>
        <v/>
      </c>
      <c r="B1860" s="98" t="str">
        <f>IF(C1860="","",1859)</f>
        <v/>
      </c>
      <c r="C1860" s="50"/>
      <c r="D1860" s="49" t="str">
        <f t="shared" si="59"/>
        <v/>
      </c>
      <c r="E1860" s="92"/>
      <c r="F1860" s="49"/>
      <c r="G1860" s="14"/>
      <c r="H1860" s="14"/>
      <c r="I1860" s="76"/>
      <c r="J1860" s="73"/>
      <c r="K1860" s="74"/>
      <c r="L1860" s="72"/>
      <c r="M1860" s="72"/>
      <c r="N1860" s="72" t="str">
        <f>IF(AND(C1860="",J1860=0,K1860=0,L1860=0,M1860=0),"",CADASTROS!$B$4+SUM($J$2:J1860)+SUM($M$2:M1860)-SUM($K$2:K1860)-SUM($L$2:L1860))</f>
        <v/>
      </c>
      <c r="O1860" s="72" t="str">
        <f>IF(A1860="","",SUMIF(RATEIOS!$A$2:$A$3142,$A1860,RATEIOS!$F$2:$F$3142))</f>
        <v/>
      </c>
      <c r="P1860" s="15" t="str">
        <f t="shared" si="60"/>
        <v/>
      </c>
      <c r="Q1860" s="49" t="str">
        <f>IF(AND(J1860=0,K1860=0,L1860=0,M1860=0),"",IF(O1860=0,"PENDENTE DE RATEIO",IF(ABS(P1860)&gt;0.005,"DIVERGÊNCIA",IF(COUNTIF(RATEIOS!$A$2:$A$3142,$A1860)-COUNTIFS(RATEIOS!$A$2:$A$3142,$A1860,RATEIOS!$D$2:$D$3142,"&lt;&gt;")&gt;0,"NÃO CLASSIFICADO","RATEIO OK"))))</f>
        <v/>
      </c>
      <c r="R1860" s="49"/>
      <c r="S1860" s="14"/>
    </row>
    <row r="1861" spans="1:19" ht="30" customHeight="1" x14ac:dyDescent="0.25">
      <c r="A1861" s="49" t="str">
        <f>IF(C1861="","","BAN-01860")</f>
        <v/>
      </c>
      <c r="B1861" s="98" t="str">
        <f>IF(C1861="","",1860)</f>
        <v/>
      </c>
      <c r="C1861" s="50"/>
      <c r="D1861" s="49" t="str">
        <f t="shared" si="59"/>
        <v/>
      </c>
      <c r="E1861" s="92"/>
      <c r="F1861" s="49"/>
      <c r="G1861" s="14"/>
      <c r="H1861" s="14"/>
      <c r="I1861" s="76"/>
      <c r="J1861" s="73"/>
      <c r="K1861" s="74"/>
      <c r="L1861" s="72"/>
      <c r="M1861" s="72"/>
      <c r="N1861" s="72" t="str">
        <f>IF(AND(C1861="",J1861=0,K1861=0,L1861=0,M1861=0),"",CADASTROS!$B$4+SUM($J$2:J1861)+SUM($M$2:M1861)-SUM($K$2:K1861)-SUM($L$2:L1861))</f>
        <v/>
      </c>
      <c r="O1861" s="72" t="str">
        <f>IF(A1861="","",SUMIF(RATEIOS!$A$2:$A$3142,$A1861,RATEIOS!$F$2:$F$3142))</f>
        <v/>
      </c>
      <c r="P1861" s="15" t="str">
        <f t="shared" si="60"/>
        <v/>
      </c>
      <c r="Q1861" s="49" t="str">
        <f>IF(AND(J1861=0,K1861=0,L1861=0,M1861=0),"",IF(O1861=0,"PENDENTE DE RATEIO",IF(ABS(P1861)&gt;0.005,"DIVERGÊNCIA",IF(COUNTIF(RATEIOS!$A$2:$A$3142,$A1861)-COUNTIFS(RATEIOS!$A$2:$A$3142,$A1861,RATEIOS!$D$2:$D$3142,"&lt;&gt;")&gt;0,"NÃO CLASSIFICADO","RATEIO OK"))))</f>
        <v/>
      </c>
      <c r="R1861" s="49"/>
      <c r="S1861" s="14"/>
    </row>
    <row r="1862" spans="1:19" ht="30" customHeight="1" x14ac:dyDescent="0.25">
      <c r="A1862" s="49" t="str">
        <f>IF(C1862="","","BAN-01861")</f>
        <v/>
      </c>
      <c r="B1862" s="98" t="str">
        <f>IF(C1862="","",1861)</f>
        <v/>
      </c>
      <c r="C1862" s="50"/>
      <c r="D1862" s="49" t="str">
        <f t="shared" si="59"/>
        <v/>
      </c>
      <c r="E1862" s="92"/>
      <c r="F1862" s="49"/>
      <c r="G1862" s="14"/>
      <c r="H1862" s="14"/>
      <c r="I1862" s="76"/>
      <c r="J1862" s="73"/>
      <c r="K1862" s="74"/>
      <c r="L1862" s="72"/>
      <c r="M1862" s="72"/>
      <c r="N1862" s="72" t="str">
        <f>IF(AND(C1862="",J1862=0,K1862=0,L1862=0,M1862=0),"",CADASTROS!$B$4+SUM($J$2:J1862)+SUM($M$2:M1862)-SUM($K$2:K1862)-SUM($L$2:L1862))</f>
        <v/>
      </c>
      <c r="O1862" s="72" t="str">
        <f>IF(A1862="","",SUMIF(RATEIOS!$A$2:$A$3142,$A1862,RATEIOS!$F$2:$F$3142))</f>
        <v/>
      </c>
      <c r="P1862" s="15" t="str">
        <f t="shared" si="60"/>
        <v/>
      </c>
      <c r="Q1862" s="49" t="str">
        <f>IF(AND(J1862=0,K1862=0,L1862=0,M1862=0),"",IF(O1862=0,"PENDENTE DE RATEIO",IF(ABS(P1862)&gt;0.005,"DIVERGÊNCIA",IF(COUNTIF(RATEIOS!$A$2:$A$3142,$A1862)-COUNTIFS(RATEIOS!$A$2:$A$3142,$A1862,RATEIOS!$D$2:$D$3142,"&lt;&gt;")&gt;0,"NÃO CLASSIFICADO","RATEIO OK"))))</f>
        <v/>
      </c>
      <c r="R1862" s="49"/>
      <c r="S1862" s="14"/>
    </row>
    <row r="1863" spans="1:19" ht="30" customHeight="1" x14ac:dyDescent="0.25">
      <c r="A1863" s="49" t="str">
        <f>IF(C1863="","","BAN-01862")</f>
        <v/>
      </c>
      <c r="B1863" s="98" t="str">
        <f>IF(C1863="","",1862)</f>
        <v/>
      </c>
      <c r="C1863" s="50"/>
      <c r="D1863" s="49" t="str">
        <f t="shared" si="59"/>
        <v/>
      </c>
      <c r="E1863" s="92"/>
      <c r="F1863" s="49"/>
      <c r="G1863" s="14"/>
      <c r="H1863" s="14"/>
      <c r="I1863" s="76"/>
      <c r="J1863" s="73"/>
      <c r="K1863" s="74"/>
      <c r="L1863" s="72"/>
      <c r="M1863" s="72"/>
      <c r="N1863" s="72" t="str">
        <f>IF(AND(C1863="",J1863=0,K1863=0,L1863=0,M1863=0),"",CADASTROS!$B$4+SUM($J$2:J1863)+SUM($M$2:M1863)-SUM($K$2:K1863)-SUM($L$2:L1863))</f>
        <v/>
      </c>
      <c r="O1863" s="72" t="str">
        <f>IF(A1863="","",SUMIF(RATEIOS!$A$2:$A$3142,$A1863,RATEIOS!$F$2:$F$3142))</f>
        <v/>
      </c>
      <c r="P1863" s="15" t="str">
        <f t="shared" si="60"/>
        <v/>
      </c>
      <c r="Q1863" s="49" t="str">
        <f>IF(AND(J1863=0,K1863=0,L1863=0,M1863=0),"",IF(O1863=0,"PENDENTE DE RATEIO",IF(ABS(P1863)&gt;0.005,"DIVERGÊNCIA",IF(COUNTIF(RATEIOS!$A$2:$A$3142,$A1863)-COUNTIFS(RATEIOS!$A$2:$A$3142,$A1863,RATEIOS!$D$2:$D$3142,"&lt;&gt;")&gt;0,"NÃO CLASSIFICADO","RATEIO OK"))))</f>
        <v/>
      </c>
      <c r="R1863" s="49"/>
      <c r="S1863" s="14"/>
    </row>
    <row r="1864" spans="1:19" ht="30" customHeight="1" x14ac:dyDescent="0.25">
      <c r="A1864" s="49" t="str">
        <f>IF(C1864="","","BAN-01863")</f>
        <v/>
      </c>
      <c r="B1864" s="98" t="str">
        <f>IF(C1864="","",1863)</f>
        <v/>
      </c>
      <c r="C1864" s="50"/>
      <c r="D1864" s="49" t="str">
        <f t="shared" si="59"/>
        <v/>
      </c>
      <c r="E1864" s="92"/>
      <c r="F1864" s="49"/>
      <c r="G1864" s="14"/>
      <c r="H1864" s="14"/>
      <c r="I1864" s="76"/>
      <c r="J1864" s="73"/>
      <c r="K1864" s="74"/>
      <c r="L1864" s="72"/>
      <c r="M1864" s="72"/>
      <c r="N1864" s="72" t="str">
        <f>IF(AND(C1864="",J1864=0,K1864=0,L1864=0,M1864=0),"",CADASTROS!$B$4+SUM($J$2:J1864)+SUM($M$2:M1864)-SUM($K$2:K1864)-SUM($L$2:L1864))</f>
        <v/>
      </c>
      <c r="O1864" s="72" t="str">
        <f>IF(A1864="","",SUMIF(RATEIOS!$A$2:$A$3142,$A1864,RATEIOS!$F$2:$F$3142))</f>
        <v/>
      </c>
      <c r="P1864" s="15" t="str">
        <f t="shared" si="60"/>
        <v/>
      </c>
      <c r="Q1864" s="49" t="str">
        <f>IF(AND(J1864=0,K1864=0,L1864=0,M1864=0),"",IF(O1864=0,"PENDENTE DE RATEIO",IF(ABS(P1864)&gt;0.005,"DIVERGÊNCIA",IF(COUNTIF(RATEIOS!$A$2:$A$3142,$A1864)-COUNTIFS(RATEIOS!$A$2:$A$3142,$A1864,RATEIOS!$D$2:$D$3142,"&lt;&gt;")&gt;0,"NÃO CLASSIFICADO","RATEIO OK"))))</f>
        <v/>
      </c>
      <c r="R1864" s="49"/>
      <c r="S1864" s="14"/>
    </row>
    <row r="1865" spans="1:19" ht="30" customHeight="1" x14ac:dyDescent="0.25">
      <c r="A1865" s="49" t="str">
        <f>IF(C1865="","","BAN-01864")</f>
        <v/>
      </c>
      <c r="B1865" s="98" t="str">
        <f>IF(C1865="","",1864)</f>
        <v/>
      </c>
      <c r="C1865" s="50"/>
      <c r="D1865" s="49" t="str">
        <f t="shared" si="59"/>
        <v/>
      </c>
      <c r="E1865" s="92"/>
      <c r="F1865" s="49"/>
      <c r="G1865" s="14"/>
      <c r="H1865" s="14"/>
      <c r="I1865" s="76"/>
      <c r="J1865" s="73"/>
      <c r="K1865" s="74"/>
      <c r="L1865" s="72"/>
      <c r="M1865" s="72"/>
      <c r="N1865" s="72" t="str">
        <f>IF(AND(C1865="",J1865=0,K1865=0,L1865=0,M1865=0),"",CADASTROS!$B$4+SUM($J$2:J1865)+SUM($M$2:M1865)-SUM($K$2:K1865)-SUM($L$2:L1865))</f>
        <v/>
      </c>
      <c r="O1865" s="72" t="str">
        <f>IF(A1865="","",SUMIF(RATEIOS!$A$2:$A$3142,$A1865,RATEIOS!$F$2:$F$3142))</f>
        <v/>
      </c>
      <c r="P1865" s="15" t="str">
        <f t="shared" si="60"/>
        <v/>
      </c>
      <c r="Q1865" s="49" t="str">
        <f>IF(AND(J1865=0,K1865=0,L1865=0,M1865=0),"",IF(O1865=0,"PENDENTE DE RATEIO",IF(ABS(P1865)&gt;0.005,"DIVERGÊNCIA",IF(COUNTIF(RATEIOS!$A$2:$A$3142,$A1865)-COUNTIFS(RATEIOS!$A$2:$A$3142,$A1865,RATEIOS!$D$2:$D$3142,"&lt;&gt;")&gt;0,"NÃO CLASSIFICADO","RATEIO OK"))))</f>
        <v/>
      </c>
      <c r="R1865" s="49"/>
      <c r="S1865" s="14"/>
    </row>
    <row r="1866" spans="1:19" ht="30" customHeight="1" x14ac:dyDescent="0.25">
      <c r="A1866" s="49" t="str">
        <f>IF(C1866="","","BAN-01865")</f>
        <v/>
      </c>
      <c r="B1866" s="98" t="str">
        <f>IF(C1866="","",1865)</f>
        <v/>
      </c>
      <c r="C1866" s="50"/>
      <c r="D1866" s="49" t="str">
        <f t="shared" si="59"/>
        <v/>
      </c>
      <c r="E1866" s="92"/>
      <c r="F1866" s="49"/>
      <c r="G1866" s="14"/>
      <c r="H1866" s="14"/>
      <c r="I1866" s="76"/>
      <c r="J1866" s="73"/>
      <c r="K1866" s="74"/>
      <c r="L1866" s="72"/>
      <c r="M1866" s="72"/>
      <c r="N1866" s="72" t="str">
        <f>IF(AND(C1866="",J1866=0,K1866=0,L1866=0,M1866=0),"",CADASTROS!$B$4+SUM($J$2:J1866)+SUM($M$2:M1866)-SUM($K$2:K1866)-SUM($L$2:L1866))</f>
        <v/>
      </c>
      <c r="O1866" s="72" t="str">
        <f>IF(A1866="","",SUMIF(RATEIOS!$A$2:$A$3142,$A1866,RATEIOS!$F$2:$F$3142))</f>
        <v/>
      </c>
      <c r="P1866" s="15" t="str">
        <f t="shared" si="60"/>
        <v/>
      </c>
      <c r="Q1866" s="49" t="str">
        <f>IF(AND(J1866=0,K1866=0,L1866=0,M1866=0),"",IF(O1866=0,"PENDENTE DE RATEIO",IF(ABS(P1866)&gt;0.005,"DIVERGÊNCIA",IF(COUNTIF(RATEIOS!$A$2:$A$3142,$A1866)-COUNTIFS(RATEIOS!$A$2:$A$3142,$A1866,RATEIOS!$D$2:$D$3142,"&lt;&gt;")&gt;0,"NÃO CLASSIFICADO","RATEIO OK"))))</f>
        <v/>
      </c>
      <c r="R1866" s="49"/>
      <c r="S1866" s="14"/>
    </row>
    <row r="1867" spans="1:19" ht="30" customHeight="1" x14ac:dyDescent="0.25">
      <c r="A1867" s="49" t="str">
        <f>IF(C1867="","","BAN-01866")</f>
        <v/>
      </c>
      <c r="B1867" s="98" t="str">
        <f>IF(C1867="","",1866)</f>
        <v/>
      </c>
      <c r="C1867" s="50"/>
      <c r="D1867" s="49" t="str">
        <f t="shared" si="59"/>
        <v/>
      </c>
      <c r="E1867" s="92"/>
      <c r="F1867" s="49"/>
      <c r="G1867" s="14"/>
      <c r="H1867" s="14"/>
      <c r="I1867" s="76"/>
      <c r="J1867" s="73"/>
      <c r="K1867" s="74"/>
      <c r="L1867" s="72"/>
      <c r="M1867" s="72"/>
      <c r="N1867" s="72" t="str">
        <f>IF(AND(C1867="",J1867=0,K1867=0,L1867=0,M1867=0),"",CADASTROS!$B$4+SUM($J$2:J1867)+SUM($M$2:M1867)-SUM($K$2:K1867)-SUM($L$2:L1867))</f>
        <v/>
      </c>
      <c r="O1867" s="72" t="str">
        <f>IF(A1867="","",SUMIF(RATEIOS!$A$2:$A$3142,$A1867,RATEIOS!$F$2:$F$3142))</f>
        <v/>
      </c>
      <c r="P1867" s="15" t="str">
        <f t="shared" si="60"/>
        <v/>
      </c>
      <c r="Q1867" s="49" t="str">
        <f>IF(AND(J1867=0,K1867=0,L1867=0,M1867=0),"",IF(O1867=0,"PENDENTE DE RATEIO",IF(ABS(P1867)&gt;0.005,"DIVERGÊNCIA",IF(COUNTIF(RATEIOS!$A$2:$A$3142,$A1867)-COUNTIFS(RATEIOS!$A$2:$A$3142,$A1867,RATEIOS!$D$2:$D$3142,"&lt;&gt;")&gt;0,"NÃO CLASSIFICADO","RATEIO OK"))))</f>
        <v/>
      </c>
      <c r="R1867" s="49"/>
      <c r="S1867" s="14"/>
    </row>
    <row r="1868" spans="1:19" ht="30" customHeight="1" x14ac:dyDescent="0.25">
      <c r="A1868" s="49" t="str">
        <f>IF(C1868="","","BAN-01867")</f>
        <v/>
      </c>
      <c r="B1868" s="98" t="str">
        <f>IF(C1868="","",1867)</f>
        <v/>
      </c>
      <c r="C1868" s="50"/>
      <c r="D1868" s="49" t="str">
        <f t="shared" si="59"/>
        <v/>
      </c>
      <c r="E1868" s="92"/>
      <c r="F1868" s="49"/>
      <c r="G1868" s="14"/>
      <c r="H1868" s="14"/>
      <c r="I1868" s="76"/>
      <c r="J1868" s="73"/>
      <c r="K1868" s="74"/>
      <c r="L1868" s="72"/>
      <c r="M1868" s="72"/>
      <c r="N1868" s="72" t="str">
        <f>IF(AND(C1868="",J1868=0,K1868=0,L1868=0,M1868=0),"",CADASTROS!$B$4+SUM($J$2:J1868)+SUM($M$2:M1868)-SUM($K$2:K1868)-SUM($L$2:L1868))</f>
        <v/>
      </c>
      <c r="O1868" s="72" t="str">
        <f>IF(A1868="","",SUMIF(RATEIOS!$A$2:$A$3142,$A1868,RATEIOS!$F$2:$F$3142))</f>
        <v/>
      </c>
      <c r="P1868" s="15" t="str">
        <f t="shared" si="60"/>
        <v/>
      </c>
      <c r="Q1868" s="49" t="str">
        <f>IF(AND(J1868=0,K1868=0,L1868=0,M1868=0),"",IF(O1868=0,"PENDENTE DE RATEIO",IF(ABS(P1868)&gt;0.005,"DIVERGÊNCIA",IF(COUNTIF(RATEIOS!$A$2:$A$3142,$A1868)-COUNTIFS(RATEIOS!$A$2:$A$3142,$A1868,RATEIOS!$D$2:$D$3142,"&lt;&gt;")&gt;0,"NÃO CLASSIFICADO","RATEIO OK"))))</f>
        <v/>
      </c>
      <c r="R1868" s="49"/>
      <c r="S1868" s="14"/>
    </row>
    <row r="1869" spans="1:19" ht="30" customHeight="1" x14ac:dyDescent="0.25">
      <c r="A1869" s="49" t="str">
        <f>IF(C1869="","","BAN-01868")</f>
        <v/>
      </c>
      <c r="B1869" s="98" t="str">
        <f>IF(C1869="","",1868)</f>
        <v/>
      </c>
      <c r="C1869" s="50"/>
      <c r="D1869" s="49" t="str">
        <f t="shared" si="59"/>
        <v/>
      </c>
      <c r="E1869" s="92"/>
      <c r="F1869" s="49"/>
      <c r="G1869" s="14"/>
      <c r="H1869" s="14"/>
      <c r="I1869" s="76"/>
      <c r="J1869" s="73"/>
      <c r="K1869" s="74"/>
      <c r="L1869" s="72"/>
      <c r="M1869" s="72"/>
      <c r="N1869" s="72" t="str">
        <f>IF(AND(C1869="",J1869=0,K1869=0,L1869=0,M1869=0),"",CADASTROS!$B$4+SUM($J$2:J1869)+SUM($M$2:M1869)-SUM($K$2:K1869)-SUM($L$2:L1869))</f>
        <v/>
      </c>
      <c r="O1869" s="72" t="str">
        <f>IF(A1869="","",SUMIF(RATEIOS!$A$2:$A$3142,$A1869,RATEIOS!$F$2:$F$3142))</f>
        <v/>
      </c>
      <c r="P1869" s="15" t="str">
        <f t="shared" si="60"/>
        <v/>
      </c>
      <c r="Q1869" s="49" t="str">
        <f>IF(AND(J1869=0,K1869=0,L1869=0,M1869=0),"",IF(O1869=0,"PENDENTE DE RATEIO",IF(ABS(P1869)&gt;0.005,"DIVERGÊNCIA",IF(COUNTIF(RATEIOS!$A$2:$A$3142,$A1869)-COUNTIFS(RATEIOS!$A$2:$A$3142,$A1869,RATEIOS!$D$2:$D$3142,"&lt;&gt;")&gt;0,"NÃO CLASSIFICADO","RATEIO OK"))))</f>
        <v/>
      </c>
      <c r="R1869" s="49"/>
      <c r="S1869" s="14"/>
    </row>
    <row r="1870" spans="1:19" ht="30" customHeight="1" x14ac:dyDescent="0.25">
      <c r="A1870" s="49" t="str">
        <f>IF(C1870="","","BAN-01869")</f>
        <v/>
      </c>
      <c r="B1870" s="98" t="str">
        <f>IF(C1870="","",1869)</f>
        <v/>
      </c>
      <c r="C1870" s="50"/>
      <c r="D1870" s="49" t="str">
        <f t="shared" si="59"/>
        <v/>
      </c>
      <c r="E1870" s="92"/>
      <c r="F1870" s="49"/>
      <c r="G1870" s="14"/>
      <c r="H1870" s="14"/>
      <c r="I1870" s="76"/>
      <c r="J1870" s="73"/>
      <c r="K1870" s="74"/>
      <c r="L1870" s="72"/>
      <c r="M1870" s="72"/>
      <c r="N1870" s="72" t="str">
        <f>IF(AND(C1870="",J1870=0,K1870=0,L1870=0,M1870=0),"",CADASTROS!$B$4+SUM($J$2:J1870)+SUM($M$2:M1870)-SUM($K$2:K1870)-SUM($L$2:L1870))</f>
        <v/>
      </c>
      <c r="O1870" s="72" t="str">
        <f>IF(A1870="","",SUMIF(RATEIOS!$A$2:$A$3142,$A1870,RATEIOS!$F$2:$F$3142))</f>
        <v/>
      </c>
      <c r="P1870" s="15" t="str">
        <f t="shared" si="60"/>
        <v/>
      </c>
      <c r="Q1870" s="49" t="str">
        <f>IF(AND(J1870=0,K1870=0,L1870=0,M1870=0),"",IF(O1870=0,"PENDENTE DE RATEIO",IF(ABS(P1870)&gt;0.005,"DIVERGÊNCIA",IF(COUNTIF(RATEIOS!$A$2:$A$3142,$A1870)-COUNTIFS(RATEIOS!$A$2:$A$3142,$A1870,RATEIOS!$D$2:$D$3142,"&lt;&gt;")&gt;0,"NÃO CLASSIFICADO","RATEIO OK"))))</f>
        <v/>
      </c>
      <c r="R1870" s="49"/>
      <c r="S1870" s="14"/>
    </row>
    <row r="1871" spans="1:19" ht="30" customHeight="1" x14ac:dyDescent="0.25">
      <c r="A1871" s="49" t="str">
        <f>IF(C1871="","","BAN-01870")</f>
        <v/>
      </c>
      <c r="B1871" s="98" t="str">
        <f>IF(C1871="","",1870)</f>
        <v/>
      </c>
      <c r="C1871" s="50"/>
      <c r="D1871" s="49" t="str">
        <f t="shared" si="59"/>
        <v/>
      </c>
      <c r="E1871" s="92"/>
      <c r="F1871" s="49"/>
      <c r="G1871" s="14"/>
      <c r="H1871" s="14"/>
      <c r="I1871" s="76"/>
      <c r="J1871" s="73"/>
      <c r="K1871" s="74"/>
      <c r="L1871" s="72"/>
      <c r="M1871" s="72"/>
      <c r="N1871" s="72" t="str">
        <f>IF(AND(C1871="",J1871=0,K1871=0,L1871=0,M1871=0),"",CADASTROS!$B$4+SUM($J$2:J1871)+SUM($M$2:M1871)-SUM($K$2:K1871)-SUM($L$2:L1871))</f>
        <v/>
      </c>
      <c r="O1871" s="72" t="str">
        <f>IF(A1871="","",SUMIF(RATEIOS!$A$2:$A$3142,$A1871,RATEIOS!$F$2:$F$3142))</f>
        <v/>
      </c>
      <c r="P1871" s="15" t="str">
        <f t="shared" si="60"/>
        <v/>
      </c>
      <c r="Q1871" s="49" t="str">
        <f>IF(AND(J1871=0,K1871=0,L1871=0,M1871=0),"",IF(O1871=0,"PENDENTE DE RATEIO",IF(ABS(P1871)&gt;0.005,"DIVERGÊNCIA",IF(COUNTIF(RATEIOS!$A$2:$A$3142,$A1871)-COUNTIFS(RATEIOS!$A$2:$A$3142,$A1871,RATEIOS!$D$2:$D$3142,"&lt;&gt;")&gt;0,"NÃO CLASSIFICADO","RATEIO OK"))))</f>
        <v/>
      </c>
      <c r="R1871" s="49"/>
      <c r="S1871" s="14"/>
    </row>
    <row r="1872" spans="1:19" ht="30" customHeight="1" x14ac:dyDescent="0.25">
      <c r="A1872" s="49" t="str">
        <f>IF(C1872="","","BAN-01871")</f>
        <v/>
      </c>
      <c r="B1872" s="98" t="str">
        <f>IF(C1872="","",1871)</f>
        <v/>
      </c>
      <c r="C1872" s="50"/>
      <c r="D1872" s="49" t="str">
        <f t="shared" si="59"/>
        <v/>
      </c>
      <c r="E1872" s="92"/>
      <c r="F1872" s="49"/>
      <c r="G1872" s="14"/>
      <c r="H1872" s="14"/>
      <c r="I1872" s="76"/>
      <c r="J1872" s="73"/>
      <c r="K1872" s="74"/>
      <c r="L1872" s="72"/>
      <c r="M1872" s="72"/>
      <c r="N1872" s="72" t="str">
        <f>IF(AND(C1872="",J1872=0,K1872=0,L1872=0,M1872=0),"",CADASTROS!$B$4+SUM($J$2:J1872)+SUM($M$2:M1872)-SUM($K$2:K1872)-SUM($L$2:L1872))</f>
        <v/>
      </c>
      <c r="O1872" s="72" t="str">
        <f>IF(A1872="","",SUMIF(RATEIOS!$A$2:$A$3142,$A1872,RATEIOS!$F$2:$F$3142))</f>
        <v/>
      </c>
      <c r="P1872" s="15" t="str">
        <f t="shared" si="60"/>
        <v/>
      </c>
      <c r="Q1872" s="49" t="str">
        <f>IF(AND(J1872=0,K1872=0,L1872=0,M1872=0),"",IF(O1872=0,"PENDENTE DE RATEIO",IF(ABS(P1872)&gt;0.005,"DIVERGÊNCIA",IF(COUNTIF(RATEIOS!$A$2:$A$3142,$A1872)-COUNTIFS(RATEIOS!$A$2:$A$3142,$A1872,RATEIOS!$D$2:$D$3142,"&lt;&gt;")&gt;0,"NÃO CLASSIFICADO","RATEIO OK"))))</f>
        <v/>
      </c>
      <c r="R1872" s="49"/>
      <c r="S1872" s="14"/>
    </row>
    <row r="1873" spans="1:19" ht="30" customHeight="1" x14ac:dyDescent="0.25">
      <c r="A1873" s="49" t="str">
        <f>IF(C1873="","","BAN-01872")</f>
        <v/>
      </c>
      <c r="B1873" s="98" t="str">
        <f>IF(C1873="","",1872)</f>
        <v/>
      </c>
      <c r="C1873" s="50"/>
      <c r="D1873" s="49" t="str">
        <f t="shared" si="59"/>
        <v/>
      </c>
      <c r="E1873" s="92"/>
      <c r="F1873" s="49"/>
      <c r="G1873" s="14"/>
      <c r="H1873" s="14"/>
      <c r="I1873" s="76"/>
      <c r="J1873" s="73"/>
      <c r="K1873" s="74"/>
      <c r="L1873" s="72"/>
      <c r="M1873" s="72"/>
      <c r="N1873" s="72" t="str">
        <f>IF(AND(C1873="",J1873=0,K1873=0,L1873=0,M1873=0),"",CADASTROS!$B$4+SUM($J$2:J1873)+SUM($M$2:M1873)-SUM($K$2:K1873)-SUM($L$2:L1873))</f>
        <v/>
      </c>
      <c r="O1873" s="72" t="str">
        <f>IF(A1873="","",SUMIF(RATEIOS!$A$2:$A$3142,$A1873,RATEIOS!$F$2:$F$3142))</f>
        <v/>
      </c>
      <c r="P1873" s="15" t="str">
        <f t="shared" si="60"/>
        <v/>
      </c>
      <c r="Q1873" s="49" t="str">
        <f>IF(AND(J1873=0,K1873=0,L1873=0,M1873=0),"",IF(O1873=0,"PENDENTE DE RATEIO",IF(ABS(P1873)&gt;0.005,"DIVERGÊNCIA",IF(COUNTIF(RATEIOS!$A$2:$A$3142,$A1873)-COUNTIFS(RATEIOS!$A$2:$A$3142,$A1873,RATEIOS!$D$2:$D$3142,"&lt;&gt;")&gt;0,"NÃO CLASSIFICADO","RATEIO OK"))))</f>
        <v/>
      </c>
      <c r="R1873" s="49"/>
      <c r="S1873" s="14"/>
    </row>
    <row r="1874" spans="1:19" ht="30" customHeight="1" x14ac:dyDescent="0.25">
      <c r="A1874" s="49" t="str">
        <f>IF(C1874="","","BAN-01873")</f>
        <v/>
      </c>
      <c r="B1874" s="98" t="str">
        <f>IF(C1874="","",1873)</f>
        <v/>
      </c>
      <c r="C1874" s="50"/>
      <c r="D1874" s="49" t="str">
        <f t="shared" si="59"/>
        <v/>
      </c>
      <c r="E1874" s="92"/>
      <c r="F1874" s="49"/>
      <c r="G1874" s="14"/>
      <c r="H1874" s="14"/>
      <c r="I1874" s="76"/>
      <c r="J1874" s="73"/>
      <c r="K1874" s="74"/>
      <c r="L1874" s="72"/>
      <c r="M1874" s="72"/>
      <c r="N1874" s="72" t="str">
        <f>IF(AND(C1874="",J1874=0,K1874=0,L1874=0,M1874=0),"",CADASTROS!$B$4+SUM($J$2:J1874)+SUM($M$2:M1874)-SUM($K$2:K1874)-SUM($L$2:L1874))</f>
        <v/>
      </c>
      <c r="O1874" s="72" t="str">
        <f>IF(A1874="","",SUMIF(RATEIOS!$A$2:$A$3142,$A1874,RATEIOS!$F$2:$F$3142))</f>
        <v/>
      </c>
      <c r="P1874" s="15" t="str">
        <f t="shared" si="60"/>
        <v/>
      </c>
      <c r="Q1874" s="49" t="str">
        <f>IF(AND(J1874=0,K1874=0,L1874=0,M1874=0),"",IF(O1874=0,"PENDENTE DE RATEIO",IF(ABS(P1874)&gt;0.005,"DIVERGÊNCIA",IF(COUNTIF(RATEIOS!$A$2:$A$3142,$A1874)-COUNTIFS(RATEIOS!$A$2:$A$3142,$A1874,RATEIOS!$D$2:$D$3142,"&lt;&gt;")&gt;0,"NÃO CLASSIFICADO","RATEIO OK"))))</f>
        <v/>
      </c>
      <c r="R1874" s="49"/>
      <c r="S1874" s="14"/>
    </row>
    <row r="1875" spans="1:19" ht="30" customHeight="1" x14ac:dyDescent="0.25">
      <c r="A1875" s="49" t="str">
        <f>IF(C1875="","","BAN-01874")</f>
        <v/>
      </c>
      <c r="B1875" s="98" t="str">
        <f>IF(C1875="","",1874)</f>
        <v/>
      </c>
      <c r="C1875" s="50"/>
      <c r="D1875" s="49" t="str">
        <f t="shared" si="59"/>
        <v/>
      </c>
      <c r="E1875" s="92"/>
      <c r="F1875" s="49"/>
      <c r="G1875" s="14"/>
      <c r="H1875" s="14"/>
      <c r="I1875" s="76"/>
      <c r="J1875" s="73"/>
      <c r="K1875" s="74"/>
      <c r="L1875" s="72"/>
      <c r="M1875" s="72"/>
      <c r="N1875" s="72" t="str">
        <f>IF(AND(C1875="",J1875=0,K1875=0,L1875=0,M1875=0),"",CADASTROS!$B$4+SUM($J$2:J1875)+SUM($M$2:M1875)-SUM($K$2:K1875)-SUM($L$2:L1875))</f>
        <v/>
      </c>
      <c r="O1875" s="72" t="str">
        <f>IF(A1875="","",SUMIF(RATEIOS!$A$2:$A$3142,$A1875,RATEIOS!$F$2:$F$3142))</f>
        <v/>
      </c>
      <c r="P1875" s="15" t="str">
        <f t="shared" si="60"/>
        <v/>
      </c>
      <c r="Q1875" s="49" t="str">
        <f>IF(AND(J1875=0,K1875=0,L1875=0,M1875=0),"",IF(O1875=0,"PENDENTE DE RATEIO",IF(ABS(P1875)&gt;0.005,"DIVERGÊNCIA",IF(COUNTIF(RATEIOS!$A$2:$A$3142,$A1875)-COUNTIFS(RATEIOS!$A$2:$A$3142,$A1875,RATEIOS!$D$2:$D$3142,"&lt;&gt;")&gt;0,"NÃO CLASSIFICADO","RATEIO OK"))))</f>
        <v/>
      </c>
      <c r="R1875" s="49"/>
      <c r="S1875" s="14"/>
    </row>
    <row r="1876" spans="1:19" ht="30" customHeight="1" x14ac:dyDescent="0.25">
      <c r="A1876" s="49" t="str">
        <f>IF(C1876="","","BAN-01875")</f>
        <v/>
      </c>
      <c r="B1876" s="98" t="str">
        <f>IF(C1876="","",1875)</f>
        <v/>
      </c>
      <c r="C1876" s="50"/>
      <c r="D1876" s="49" t="str">
        <f t="shared" si="59"/>
        <v/>
      </c>
      <c r="E1876" s="92"/>
      <c r="F1876" s="49"/>
      <c r="G1876" s="14"/>
      <c r="H1876" s="14"/>
      <c r="I1876" s="76"/>
      <c r="J1876" s="73"/>
      <c r="K1876" s="74"/>
      <c r="L1876" s="72"/>
      <c r="M1876" s="72"/>
      <c r="N1876" s="72" t="str">
        <f>IF(AND(C1876="",J1876=0,K1876=0,L1876=0,M1876=0),"",CADASTROS!$B$4+SUM($J$2:J1876)+SUM($M$2:M1876)-SUM($K$2:K1876)-SUM($L$2:L1876))</f>
        <v/>
      </c>
      <c r="O1876" s="72" t="str">
        <f>IF(A1876="","",SUMIF(RATEIOS!$A$2:$A$3142,$A1876,RATEIOS!$F$2:$F$3142))</f>
        <v/>
      </c>
      <c r="P1876" s="15" t="str">
        <f t="shared" si="60"/>
        <v/>
      </c>
      <c r="Q1876" s="49" t="str">
        <f>IF(AND(J1876=0,K1876=0,L1876=0,M1876=0),"",IF(O1876=0,"PENDENTE DE RATEIO",IF(ABS(P1876)&gt;0.005,"DIVERGÊNCIA",IF(COUNTIF(RATEIOS!$A$2:$A$3142,$A1876)-COUNTIFS(RATEIOS!$A$2:$A$3142,$A1876,RATEIOS!$D$2:$D$3142,"&lt;&gt;")&gt;0,"NÃO CLASSIFICADO","RATEIO OK"))))</f>
        <v/>
      </c>
      <c r="R1876" s="49"/>
      <c r="S1876" s="14"/>
    </row>
    <row r="1877" spans="1:19" ht="30" customHeight="1" x14ac:dyDescent="0.25">
      <c r="A1877" s="49" t="str">
        <f>IF(C1877="","","BAN-01876")</f>
        <v/>
      </c>
      <c r="B1877" s="98" t="str">
        <f>IF(C1877="","",1876)</f>
        <v/>
      </c>
      <c r="C1877" s="50"/>
      <c r="D1877" s="49" t="str">
        <f t="shared" si="59"/>
        <v/>
      </c>
      <c r="E1877" s="92"/>
      <c r="F1877" s="49"/>
      <c r="G1877" s="14"/>
      <c r="H1877" s="14"/>
      <c r="I1877" s="76"/>
      <c r="J1877" s="73"/>
      <c r="K1877" s="74"/>
      <c r="L1877" s="72"/>
      <c r="M1877" s="72"/>
      <c r="N1877" s="72" t="str">
        <f>IF(AND(C1877="",J1877=0,K1877=0,L1877=0,M1877=0),"",CADASTROS!$B$4+SUM($J$2:J1877)+SUM($M$2:M1877)-SUM($K$2:K1877)-SUM($L$2:L1877))</f>
        <v/>
      </c>
      <c r="O1877" s="72" t="str">
        <f>IF(A1877="","",SUMIF(RATEIOS!$A$2:$A$3142,$A1877,RATEIOS!$F$2:$F$3142))</f>
        <v/>
      </c>
      <c r="P1877" s="15" t="str">
        <f t="shared" si="60"/>
        <v/>
      </c>
      <c r="Q1877" s="49" t="str">
        <f>IF(AND(J1877=0,K1877=0,L1877=0,M1877=0),"",IF(O1877=0,"PENDENTE DE RATEIO",IF(ABS(P1877)&gt;0.005,"DIVERGÊNCIA",IF(COUNTIF(RATEIOS!$A$2:$A$3142,$A1877)-COUNTIFS(RATEIOS!$A$2:$A$3142,$A1877,RATEIOS!$D$2:$D$3142,"&lt;&gt;")&gt;0,"NÃO CLASSIFICADO","RATEIO OK"))))</f>
        <v/>
      </c>
      <c r="R1877" s="49"/>
      <c r="S1877" s="14"/>
    </row>
    <row r="1878" spans="1:19" ht="30" customHeight="1" x14ac:dyDescent="0.25">
      <c r="A1878" s="49" t="str">
        <f>IF(C1878="","","BAN-01877")</f>
        <v/>
      </c>
      <c r="B1878" s="98" t="str">
        <f>IF(C1878="","",1877)</f>
        <v/>
      </c>
      <c r="C1878" s="50"/>
      <c r="D1878" s="49" t="str">
        <f t="shared" si="59"/>
        <v/>
      </c>
      <c r="E1878" s="92"/>
      <c r="F1878" s="49"/>
      <c r="G1878" s="14"/>
      <c r="H1878" s="14"/>
      <c r="I1878" s="76"/>
      <c r="J1878" s="73"/>
      <c r="K1878" s="74"/>
      <c r="L1878" s="72"/>
      <c r="M1878" s="72"/>
      <c r="N1878" s="72" t="str">
        <f>IF(AND(C1878="",J1878=0,K1878=0,L1878=0,M1878=0),"",CADASTROS!$B$4+SUM($J$2:J1878)+SUM($M$2:M1878)-SUM($K$2:K1878)-SUM($L$2:L1878))</f>
        <v/>
      </c>
      <c r="O1878" s="72" t="str">
        <f>IF(A1878="","",SUMIF(RATEIOS!$A$2:$A$3142,$A1878,RATEIOS!$F$2:$F$3142))</f>
        <v/>
      </c>
      <c r="P1878" s="15" t="str">
        <f t="shared" si="60"/>
        <v/>
      </c>
      <c r="Q1878" s="49" t="str">
        <f>IF(AND(J1878=0,K1878=0,L1878=0,M1878=0),"",IF(O1878=0,"PENDENTE DE RATEIO",IF(ABS(P1878)&gt;0.005,"DIVERGÊNCIA",IF(COUNTIF(RATEIOS!$A$2:$A$3142,$A1878)-COUNTIFS(RATEIOS!$A$2:$A$3142,$A1878,RATEIOS!$D$2:$D$3142,"&lt;&gt;")&gt;0,"NÃO CLASSIFICADO","RATEIO OK"))))</f>
        <v/>
      </c>
      <c r="R1878" s="49"/>
      <c r="S1878" s="14"/>
    </row>
    <row r="1879" spans="1:19" ht="30" customHeight="1" x14ac:dyDescent="0.25">
      <c r="A1879" s="49" t="str">
        <f>IF(C1879="","","BAN-01878")</f>
        <v/>
      </c>
      <c r="B1879" s="98" t="str">
        <f>IF(C1879="","",1878)</f>
        <v/>
      </c>
      <c r="C1879" s="50"/>
      <c r="D1879" s="49" t="str">
        <f t="shared" si="59"/>
        <v/>
      </c>
      <c r="E1879" s="92"/>
      <c r="F1879" s="49"/>
      <c r="G1879" s="14"/>
      <c r="H1879" s="14"/>
      <c r="I1879" s="76"/>
      <c r="J1879" s="73"/>
      <c r="K1879" s="74"/>
      <c r="L1879" s="72"/>
      <c r="M1879" s="72"/>
      <c r="N1879" s="72" t="str">
        <f>IF(AND(C1879="",J1879=0,K1879=0,L1879=0,M1879=0),"",CADASTROS!$B$4+SUM($J$2:J1879)+SUM($M$2:M1879)-SUM($K$2:K1879)-SUM($L$2:L1879))</f>
        <v/>
      </c>
      <c r="O1879" s="72" t="str">
        <f>IF(A1879="","",SUMIF(RATEIOS!$A$2:$A$3142,$A1879,RATEIOS!$F$2:$F$3142))</f>
        <v/>
      </c>
      <c r="P1879" s="15" t="str">
        <f t="shared" si="60"/>
        <v/>
      </c>
      <c r="Q1879" s="49" t="str">
        <f>IF(AND(J1879=0,K1879=0,L1879=0,M1879=0),"",IF(O1879=0,"PENDENTE DE RATEIO",IF(ABS(P1879)&gt;0.005,"DIVERGÊNCIA",IF(COUNTIF(RATEIOS!$A$2:$A$3142,$A1879)-COUNTIFS(RATEIOS!$A$2:$A$3142,$A1879,RATEIOS!$D$2:$D$3142,"&lt;&gt;")&gt;0,"NÃO CLASSIFICADO","RATEIO OK"))))</f>
        <v/>
      </c>
      <c r="R1879" s="49"/>
      <c r="S1879" s="14"/>
    </row>
    <row r="1880" spans="1:19" ht="30" customHeight="1" x14ac:dyDescent="0.25">
      <c r="A1880" s="49" t="str">
        <f>IF(C1880="","","BAN-01879")</f>
        <v/>
      </c>
      <c r="B1880" s="98" t="str">
        <f>IF(C1880="","",1879)</f>
        <v/>
      </c>
      <c r="C1880" s="50"/>
      <c r="D1880" s="49" t="str">
        <f t="shared" si="59"/>
        <v/>
      </c>
      <c r="E1880" s="92"/>
      <c r="F1880" s="49"/>
      <c r="G1880" s="14"/>
      <c r="H1880" s="14"/>
      <c r="I1880" s="76"/>
      <c r="J1880" s="73"/>
      <c r="K1880" s="74"/>
      <c r="L1880" s="72"/>
      <c r="M1880" s="72"/>
      <c r="N1880" s="72" t="str">
        <f>IF(AND(C1880="",J1880=0,K1880=0,L1880=0,M1880=0),"",CADASTROS!$B$4+SUM($J$2:J1880)+SUM($M$2:M1880)-SUM($K$2:K1880)-SUM($L$2:L1880))</f>
        <v/>
      </c>
      <c r="O1880" s="72" t="str">
        <f>IF(A1880="","",SUMIF(RATEIOS!$A$2:$A$3142,$A1880,RATEIOS!$F$2:$F$3142))</f>
        <v/>
      </c>
      <c r="P1880" s="15" t="str">
        <f t="shared" si="60"/>
        <v/>
      </c>
      <c r="Q1880" s="49" t="str">
        <f>IF(AND(J1880=0,K1880=0,L1880=0,M1880=0),"",IF(O1880=0,"PENDENTE DE RATEIO",IF(ABS(P1880)&gt;0.005,"DIVERGÊNCIA",IF(COUNTIF(RATEIOS!$A$2:$A$3142,$A1880)-COUNTIFS(RATEIOS!$A$2:$A$3142,$A1880,RATEIOS!$D$2:$D$3142,"&lt;&gt;")&gt;0,"NÃO CLASSIFICADO","RATEIO OK"))))</f>
        <v/>
      </c>
      <c r="R1880" s="49"/>
      <c r="S1880" s="14"/>
    </row>
    <row r="1881" spans="1:19" ht="30" customHeight="1" x14ac:dyDescent="0.25">
      <c r="A1881" s="49" t="str">
        <f>IF(C1881="","","BAN-01880")</f>
        <v/>
      </c>
      <c r="B1881" s="98" t="str">
        <f>IF(C1881="","",1880)</f>
        <v/>
      </c>
      <c r="C1881" s="50"/>
      <c r="D1881" s="49" t="str">
        <f t="shared" si="59"/>
        <v/>
      </c>
      <c r="E1881" s="92"/>
      <c r="F1881" s="49"/>
      <c r="G1881" s="14"/>
      <c r="H1881" s="14"/>
      <c r="I1881" s="76"/>
      <c r="J1881" s="73"/>
      <c r="K1881" s="74"/>
      <c r="L1881" s="72"/>
      <c r="M1881" s="72"/>
      <c r="N1881" s="72" t="str">
        <f>IF(AND(C1881="",J1881=0,K1881=0,L1881=0,M1881=0),"",CADASTROS!$B$4+SUM($J$2:J1881)+SUM($M$2:M1881)-SUM($K$2:K1881)-SUM($L$2:L1881))</f>
        <v/>
      </c>
      <c r="O1881" s="72" t="str">
        <f>IF(A1881="","",SUMIF(RATEIOS!$A$2:$A$3142,$A1881,RATEIOS!$F$2:$F$3142))</f>
        <v/>
      </c>
      <c r="P1881" s="15" t="str">
        <f t="shared" si="60"/>
        <v/>
      </c>
      <c r="Q1881" s="49" t="str">
        <f>IF(AND(J1881=0,K1881=0,L1881=0,M1881=0),"",IF(O1881=0,"PENDENTE DE RATEIO",IF(ABS(P1881)&gt;0.005,"DIVERGÊNCIA",IF(COUNTIF(RATEIOS!$A$2:$A$3142,$A1881)-COUNTIFS(RATEIOS!$A$2:$A$3142,$A1881,RATEIOS!$D$2:$D$3142,"&lt;&gt;")&gt;0,"NÃO CLASSIFICADO","RATEIO OK"))))</f>
        <v/>
      </c>
      <c r="R1881" s="49"/>
      <c r="S1881" s="14"/>
    </row>
    <row r="1882" spans="1:19" ht="30" customHeight="1" x14ac:dyDescent="0.25">
      <c r="A1882" s="49" t="str">
        <f>IF(C1882="","","BAN-01881")</f>
        <v/>
      </c>
      <c r="B1882" s="98" t="str">
        <f>IF(C1882="","",1881)</f>
        <v/>
      </c>
      <c r="C1882" s="50"/>
      <c r="D1882" s="49" t="str">
        <f t="shared" si="59"/>
        <v/>
      </c>
      <c r="E1882" s="92"/>
      <c r="F1882" s="49"/>
      <c r="G1882" s="14"/>
      <c r="H1882" s="14"/>
      <c r="I1882" s="76"/>
      <c r="J1882" s="73"/>
      <c r="K1882" s="74"/>
      <c r="L1882" s="72"/>
      <c r="M1882" s="72"/>
      <c r="N1882" s="72" t="str">
        <f>IF(AND(C1882="",J1882=0,K1882=0,L1882=0,M1882=0),"",CADASTROS!$B$4+SUM($J$2:J1882)+SUM($M$2:M1882)-SUM($K$2:K1882)-SUM($L$2:L1882))</f>
        <v/>
      </c>
      <c r="O1882" s="72" t="str">
        <f>IF(A1882="","",SUMIF(RATEIOS!$A$2:$A$3142,$A1882,RATEIOS!$F$2:$F$3142))</f>
        <v/>
      </c>
      <c r="P1882" s="15" t="str">
        <f t="shared" si="60"/>
        <v/>
      </c>
      <c r="Q1882" s="49" t="str">
        <f>IF(AND(J1882=0,K1882=0,L1882=0,M1882=0),"",IF(O1882=0,"PENDENTE DE RATEIO",IF(ABS(P1882)&gt;0.005,"DIVERGÊNCIA",IF(COUNTIF(RATEIOS!$A$2:$A$3142,$A1882)-COUNTIFS(RATEIOS!$A$2:$A$3142,$A1882,RATEIOS!$D$2:$D$3142,"&lt;&gt;")&gt;0,"NÃO CLASSIFICADO","RATEIO OK"))))</f>
        <v/>
      </c>
      <c r="R1882" s="49"/>
      <c r="S1882" s="14"/>
    </row>
    <row r="1883" spans="1:19" ht="30" customHeight="1" x14ac:dyDescent="0.25">
      <c r="A1883" s="49" t="str">
        <f>IF(C1883="","","BAN-01882")</f>
        <v/>
      </c>
      <c r="B1883" s="98" t="str">
        <f>IF(C1883="","",1882)</f>
        <v/>
      </c>
      <c r="C1883" s="50"/>
      <c r="D1883" s="49" t="str">
        <f t="shared" si="59"/>
        <v/>
      </c>
      <c r="E1883" s="92"/>
      <c r="F1883" s="49"/>
      <c r="G1883" s="14"/>
      <c r="H1883" s="14"/>
      <c r="I1883" s="76"/>
      <c r="J1883" s="73"/>
      <c r="K1883" s="74"/>
      <c r="L1883" s="72"/>
      <c r="M1883" s="72"/>
      <c r="N1883" s="72" t="str">
        <f>IF(AND(C1883="",J1883=0,K1883=0,L1883=0,M1883=0),"",CADASTROS!$B$4+SUM($J$2:J1883)+SUM($M$2:M1883)-SUM($K$2:K1883)-SUM($L$2:L1883))</f>
        <v/>
      </c>
      <c r="O1883" s="72" t="str">
        <f>IF(A1883="","",SUMIF(RATEIOS!$A$2:$A$3142,$A1883,RATEIOS!$F$2:$F$3142))</f>
        <v/>
      </c>
      <c r="P1883" s="15" t="str">
        <f t="shared" si="60"/>
        <v/>
      </c>
      <c r="Q1883" s="49" t="str">
        <f>IF(AND(J1883=0,K1883=0,L1883=0,M1883=0),"",IF(O1883=0,"PENDENTE DE RATEIO",IF(ABS(P1883)&gt;0.005,"DIVERGÊNCIA",IF(COUNTIF(RATEIOS!$A$2:$A$3142,$A1883)-COUNTIFS(RATEIOS!$A$2:$A$3142,$A1883,RATEIOS!$D$2:$D$3142,"&lt;&gt;")&gt;0,"NÃO CLASSIFICADO","RATEIO OK"))))</f>
        <v/>
      </c>
      <c r="R1883" s="49"/>
      <c r="S1883" s="14"/>
    </row>
    <row r="1884" spans="1:19" ht="30" customHeight="1" x14ac:dyDescent="0.25">
      <c r="A1884" s="49" t="str">
        <f>IF(C1884="","","BAN-01883")</f>
        <v/>
      </c>
      <c r="B1884" s="98" t="str">
        <f>IF(C1884="","",1883)</f>
        <v/>
      </c>
      <c r="C1884" s="50"/>
      <c r="D1884" s="49" t="str">
        <f t="shared" si="59"/>
        <v/>
      </c>
      <c r="E1884" s="92"/>
      <c r="F1884" s="49"/>
      <c r="G1884" s="14"/>
      <c r="H1884" s="14"/>
      <c r="I1884" s="76"/>
      <c r="J1884" s="73"/>
      <c r="K1884" s="74"/>
      <c r="L1884" s="72"/>
      <c r="M1884" s="72"/>
      <c r="N1884" s="72" t="str">
        <f>IF(AND(C1884="",J1884=0,K1884=0,L1884=0,M1884=0),"",CADASTROS!$B$4+SUM($J$2:J1884)+SUM($M$2:M1884)-SUM($K$2:K1884)-SUM($L$2:L1884))</f>
        <v/>
      </c>
      <c r="O1884" s="72" t="str">
        <f>IF(A1884="","",SUMIF(RATEIOS!$A$2:$A$3142,$A1884,RATEIOS!$F$2:$F$3142))</f>
        <v/>
      </c>
      <c r="P1884" s="15" t="str">
        <f t="shared" si="60"/>
        <v/>
      </c>
      <c r="Q1884" s="49" t="str">
        <f>IF(AND(J1884=0,K1884=0,L1884=0,M1884=0),"",IF(O1884=0,"PENDENTE DE RATEIO",IF(ABS(P1884)&gt;0.005,"DIVERGÊNCIA",IF(COUNTIF(RATEIOS!$A$2:$A$3142,$A1884)-COUNTIFS(RATEIOS!$A$2:$A$3142,$A1884,RATEIOS!$D$2:$D$3142,"&lt;&gt;")&gt;0,"NÃO CLASSIFICADO","RATEIO OK"))))</f>
        <v/>
      </c>
      <c r="R1884" s="49"/>
      <c r="S1884" s="14"/>
    </row>
    <row r="1885" spans="1:19" ht="30" customHeight="1" x14ac:dyDescent="0.25">
      <c r="A1885" s="49" t="str">
        <f>IF(C1885="","","BAN-01884")</f>
        <v/>
      </c>
      <c r="B1885" s="98" t="str">
        <f>IF(C1885="","",1884)</f>
        <v/>
      </c>
      <c r="C1885" s="50"/>
      <c r="D1885" s="49" t="str">
        <f t="shared" si="59"/>
        <v/>
      </c>
      <c r="E1885" s="92"/>
      <c r="F1885" s="49"/>
      <c r="G1885" s="14"/>
      <c r="H1885" s="14"/>
      <c r="I1885" s="76"/>
      <c r="J1885" s="73"/>
      <c r="K1885" s="74"/>
      <c r="L1885" s="72"/>
      <c r="M1885" s="72"/>
      <c r="N1885" s="72" t="str">
        <f>IF(AND(C1885="",J1885=0,K1885=0,L1885=0,M1885=0),"",CADASTROS!$B$4+SUM($J$2:J1885)+SUM($M$2:M1885)-SUM($K$2:K1885)-SUM($L$2:L1885))</f>
        <v/>
      </c>
      <c r="O1885" s="72" t="str">
        <f>IF(A1885="","",SUMIF(RATEIOS!$A$2:$A$3142,$A1885,RATEIOS!$F$2:$F$3142))</f>
        <v/>
      </c>
      <c r="P1885" s="15" t="str">
        <f t="shared" si="60"/>
        <v/>
      </c>
      <c r="Q1885" s="49" t="str">
        <f>IF(AND(J1885=0,K1885=0,L1885=0,M1885=0),"",IF(O1885=0,"PENDENTE DE RATEIO",IF(ABS(P1885)&gt;0.005,"DIVERGÊNCIA",IF(COUNTIF(RATEIOS!$A$2:$A$3142,$A1885)-COUNTIFS(RATEIOS!$A$2:$A$3142,$A1885,RATEIOS!$D$2:$D$3142,"&lt;&gt;")&gt;0,"NÃO CLASSIFICADO","RATEIO OK"))))</f>
        <v/>
      </c>
      <c r="R1885" s="49"/>
      <c r="S1885" s="14"/>
    </row>
    <row r="1886" spans="1:19" ht="30" customHeight="1" x14ac:dyDescent="0.25">
      <c r="A1886" s="49" t="str">
        <f>IF(C1886="","","BAN-01885")</f>
        <v/>
      </c>
      <c r="B1886" s="98" t="str">
        <f>IF(C1886="","",1885)</f>
        <v/>
      </c>
      <c r="C1886" s="50"/>
      <c r="D1886" s="49" t="str">
        <f t="shared" si="59"/>
        <v/>
      </c>
      <c r="E1886" s="92"/>
      <c r="F1886" s="49"/>
      <c r="G1886" s="14"/>
      <c r="H1886" s="14"/>
      <c r="I1886" s="76"/>
      <c r="J1886" s="73"/>
      <c r="K1886" s="74"/>
      <c r="L1886" s="72"/>
      <c r="M1886" s="72"/>
      <c r="N1886" s="72" t="str">
        <f>IF(AND(C1886="",J1886=0,K1886=0,L1886=0,M1886=0),"",CADASTROS!$B$4+SUM($J$2:J1886)+SUM($M$2:M1886)-SUM($K$2:K1886)-SUM($L$2:L1886))</f>
        <v/>
      </c>
      <c r="O1886" s="72" t="str">
        <f>IF(A1886="","",SUMIF(RATEIOS!$A$2:$A$3142,$A1886,RATEIOS!$F$2:$F$3142))</f>
        <v/>
      </c>
      <c r="P1886" s="15" t="str">
        <f t="shared" si="60"/>
        <v/>
      </c>
      <c r="Q1886" s="49" t="str">
        <f>IF(AND(J1886=0,K1886=0,L1886=0,M1886=0),"",IF(O1886=0,"PENDENTE DE RATEIO",IF(ABS(P1886)&gt;0.005,"DIVERGÊNCIA",IF(COUNTIF(RATEIOS!$A$2:$A$3142,$A1886)-COUNTIFS(RATEIOS!$A$2:$A$3142,$A1886,RATEIOS!$D$2:$D$3142,"&lt;&gt;")&gt;0,"NÃO CLASSIFICADO","RATEIO OK"))))</f>
        <v/>
      </c>
      <c r="R1886" s="49"/>
      <c r="S1886" s="14"/>
    </row>
    <row r="1887" spans="1:19" ht="30" customHeight="1" x14ac:dyDescent="0.25">
      <c r="A1887" s="49" t="str">
        <f>IF(C1887="","","BAN-01886")</f>
        <v/>
      </c>
      <c r="B1887" s="98" t="str">
        <f>IF(C1887="","",1886)</f>
        <v/>
      </c>
      <c r="C1887" s="50"/>
      <c r="D1887" s="49" t="str">
        <f t="shared" si="59"/>
        <v/>
      </c>
      <c r="E1887" s="92"/>
      <c r="F1887" s="49"/>
      <c r="G1887" s="14"/>
      <c r="H1887" s="14"/>
      <c r="I1887" s="76"/>
      <c r="J1887" s="73"/>
      <c r="K1887" s="74"/>
      <c r="L1887" s="72"/>
      <c r="M1887" s="72"/>
      <c r="N1887" s="72" t="str">
        <f>IF(AND(C1887="",J1887=0,K1887=0,L1887=0,M1887=0),"",CADASTROS!$B$4+SUM($J$2:J1887)+SUM($M$2:M1887)-SUM($K$2:K1887)-SUM($L$2:L1887))</f>
        <v/>
      </c>
      <c r="O1887" s="72" t="str">
        <f>IF(A1887="","",SUMIF(RATEIOS!$A$2:$A$3142,$A1887,RATEIOS!$F$2:$F$3142))</f>
        <v/>
      </c>
      <c r="P1887" s="15" t="str">
        <f t="shared" si="60"/>
        <v/>
      </c>
      <c r="Q1887" s="49" t="str">
        <f>IF(AND(J1887=0,K1887=0,L1887=0,M1887=0),"",IF(O1887=0,"PENDENTE DE RATEIO",IF(ABS(P1887)&gt;0.005,"DIVERGÊNCIA",IF(COUNTIF(RATEIOS!$A$2:$A$3142,$A1887)-COUNTIFS(RATEIOS!$A$2:$A$3142,$A1887,RATEIOS!$D$2:$D$3142,"&lt;&gt;")&gt;0,"NÃO CLASSIFICADO","RATEIO OK"))))</f>
        <v/>
      </c>
      <c r="R1887" s="49"/>
      <c r="S1887" s="14"/>
    </row>
    <row r="1888" spans="1:19" ht="30" customHeight="1" x14ac:dyDescent="0.25">
      <c r="A1888" s="49" t="str">
        <f>IF(C1888="","","BAN-01887")</f>
        <v/>
      </c>
      <c r="B1888" s="98" t="str">
        <f>IF(C1888="","",1887)</f>
        <v/>
      </c>
      <c r="C1888" s="50"/>
      <c r="D1888" s="49" t="str">
        <f t="shared" si="59"/>
        <v/>
      </c>
      <c r="E1888" s="92"/>
      <c r="F1888" s="49"/>
      <c r="G1888" s="14"/>
      <c r="H1888" s="14"/>
      <c r="I1888" s="76"/>
      <c r="J1888" s="73"/>
      <c r="K1888" s="74"/>
      <c r="L1888" s="72"/>
      <c r="M1888" s="72"/>
      <c r="N1888" s="72" t="str">
        <f>IF(AND(C1888="",J1888=0,K1888=0,L1888=0,M1888=0),"",CADASTROS!$B$4+SUM($J$2:J1888)+SUM($M$2:M1888)-SUM($K$2:K1888)-SUM($L$2:L1888))</f>
        <v/>
      </c>
      <c r="O1888" s="72" t="str">
        <f>IF(A1888="","",SUMIF(RATEIOS!$A$2:$A$3142,$A1888,RATEIOS!$F$2:$F$3142))</f>
        <v/>
      </c>
      <c r="P1888" s="15" t="str">
        <f t="shared" si="60"/>
        <v/>
      </c>
      <c r="Q1888" s="49" t="str">
        <f>IF(AND(J1888=0,K1888=0,L1888=0,M1888=0),"",IF(O1888=0,"PENDENTE DE RATEIO",IF(ABS(P1888)&gt;0.005,"DIVERGÊNCIA",IF(COUNTIF(RATEIOS!$A$2:$A$3142,$A1888)-COUNTIFS(RATEIOS!$A$2:$A$3142,$A1888,RATEIOS!$D$2:$D$3142,"&lt;&gt;")&gt;0,"NÃO CLASSIFICADO","RATEIO OK"))))</f>
        <v/>
      </c>
      <c r="R1888" s="49"/>
      <c r="S1888" s="14"/>
    </row>
    <row r="1889" spans="1:19" ht="30" customHeight="1" x14ac:dyDescent="0.25">
      <c r="A1889" s="49" t="str">
        <f>IF(C1889="","","BAN-01888")</f>
        <v/>
      </c>
      <c r="B1889" s="98" t="str">
        <f>IF(C1889="","",1888)</f>
        <v/>
      </c>
      <c r="C1889" s="50"/>
      <c r="D1889" s="49" t="str">
        <f t="shared" si="59"/>
        <v/>
      </c>
      <c r="E1889" s="92"/>
      <c r="F1889" s="49"/>
      <c r="G1889" s="14"/>
      <c r="H1889" s="14"/>
      <c r="I1889" s="76"/>
      <c r="J1889" s="73"/>
      <c r="K1889" s="74"/>
      <c r="L1889" s="72"/>
      <c r="M1889" s="72"/>
      <c r="N1889" s="72" t="str">
        <f>IF(AND(C1889="",J1889=0,K1889=0,L1889=0,M1889=0),"",CADASTROS!$B$4+SUM($J$2:J1889)+SUM($M$2:M1889)-SUM($K$2:K1889)-SUM($L$2:L1889))</f>
        <v/>
      </c>
      <c r="O1889" s="72" t="str">
        <f>IF(A1889="","",SUMIF(RATEIOS!$A$2:$A$3142,$A1889,RATEIOS!$F$2:$F$3142))</f>
        <v/>
      </c>
      <c r="P1889" s="15" t="str">
        <f t="shared" si="60"/>
        <v/>
      </c>
      <c r="Q1889" s="49" t="str">
        <f>IF(AND(J1889=0,K1889=0,L1889=0,M1889=0),"",IF(O1889=0,"PENDENTE DE RATEIO",IF(ABS(P1889)&gt;0.005,"DIVERGÊNCIA",IF(COUNTIF(RATEIOS!$A$2:$A$3142,$A1889)-COUNTIFS(RATEIOS!$A$2:$A$3142,$A1889,RATEIOS!$D$2:$D$3142,"&lt;&gt;")&gt;0,"NÃO CLASSIFICADO","RATEIO OK"))))</f>
        <v/>
      </c>
      <c r="R1889" s="49"/>
      <c r="S1889" s="14"/>
    </row>
    <row r="1890" spans="1:19" ht="30" customHeight="1" x14ac:dyDescent="0.25">
      <c r="A1890" s="49" t="str">
        <f>IF(C1890="","","BAN-01889")</f>
        <v/>
      </c>
      <c r="B1890" s="98" t="str">
        <f>IF(C1890="","",1889)</f>
        <v/>
      </c>
      <c r="C1890" s="50"/>
      <c r="D1890" s="49" t="str">
        <f t="shared" si="59"/>
        <v/>
      </c>
      <c r="E1890" s="92"/>
      <c r="F1890" s="49"/>
      <c r="G1890" s="14"/>
      <c r="H1890" s="14"/>
      <c r="I1890" s="76"/>
      <c r="J1890" s="73"/>
      <c r="K1890" s="74"/>
      <c r="L1890" s="72"/>
      <c r="M1890" s="72"/>
      <c r="N1890" s="72" t="str">
        <f>IF(AND(C1890="",J1890=0,K1890=0,L1890=0,M1890=0),"",CADASTROS!$B$4+SUM($J$2:J1890)+SUM($M$2:M1890)-SUM($K$2:K1890)-SUM($L$2:L1890))</f>
        <v/>
      </c>
      <c r="O1890" s="72" t="str">
        <f>IF(A1890="","",SUMIF(RATEIOS!$A$2:$A$3142,$A1890,RATEIOS!$F$2:$F$3142))</f>
        <v/>
      </c>
      <c r="P1890" s="15" t="str">
        <f t="shared" si="60"/>
        <v/>
      </c>
      <c r="Q1890" s="49" t="str">
        <f>IF(AND(J1890=0,K1890=0,L1890=0,M1890=0),"",IF(O1890=0,"PENDENTE DE RATEIO",IF(ABS(P1890)&gt;0.005,"DIVERGÊNCIA",IF(COUNTIF(RATEIOS!$A$2:$A$3142,$A1890)-COUNTIFS(RATEIOS!$A$2:$A$3142,$A1890,RATEIOS!$D$2:$D$3142,"&lt;&gt;")&gt;0,"NÃO CLASSIFICADO","RATEIO OK"))))</f>
        <v/>
      </c>
      <c r="R1890" s="49"/>
      <c r="S1890" s="14"/>
    </row>
    <row r="1891" spans="1:19" ht="30" customHeight="1" x14ac:dyDescent="0.25">
      <c r="A1891" s="49" t="str">
        <f>IF(C1891="","","BAN-01890")</f>
        <v/>
      </c>
      <c r="B1891" s="98" t="str">
        <f>IF(C1891="","",1890)</f>
        <v/>
      </c>
      <c r="C1891" s="50"/>
      <c r="D1891" s="49" t="str">
        <f t="shared" si="59"/>
        <v/>
      </c>
      <c r="E1891" s="92"/>
      <c r="F1891" s="49"/>
      <c r="G1891" s="14"/>
      <c r="H1891" s="14"/>
      <c r="I1891" s="76"/>
      <c r="J1891" s="73"/>
      <c r="K1891" s="74"/>
      <c r="L1891" s="72"/>
      <c r="M1891" s="72"/>
      <c r="N1891" s="72" t="str">
        <f>IF(AND(C1891="",J1891=0,K1891=0,L1891=0,M1891=0),"",CADASTROS!$B$4+SUM($J$2:J1891)+SUM($M$2:M1891)-SUM($K$2:K1891)-SUM($L$2:L1891))</f>
        <v/>
      </c>
      <c r="O1891" s="72" t="str">
        <f>IF(A1891="","",SUMIF(RATEIOS!$A$2:$A$3142,$A1891,RATEIOS!$F$2:$F$3142))</f>
        <v/>
      </c>
      <c r="P1891" s="15" t="str">
        <f t="shared" si="60"/>
        <v/>
      </c>
      <c r="Q1891" s="49" t="str">
        <f>IF(AND(J1891=0,K1891=0,L1891=0,M1891=0),"",IF(O1891=0,"PENDENTE DE RATEIO",IF(ABS(P1891)&gt;0.005,"DIVERGÊNCIA",IF(COUNTIF(RATEIOS!$A$2:$A$3142,$A1891)-COUNTIFS(RATEIOS!$A$2:$A$3142,$A1891,RATEIOS!$D$2:$D$3142,"&lt;&gt;")&gt;0,"NÃO CLASSIFICADO","RATEIO OK"))))</f>
        <v/>
      </c>
      <c r="R1891" s="49"/>
      <c r="S1891" s="14"/>
    </row>
    <row r="1892" spans="1:19" ht="30" customHeight="1" x14ac:dyDescent="0.25">
      <c r="A1892" s="49" t="str">
        <f>IF(C1892="","","BAN-01891")</f>
        <v/>
      </c>
      <c r="B1892" s="98" t="str">
        <f>IF(C1892="","",1891)</f>
        <v/>
      </c>
      <c r="C1892" s="50"/>
      <c r="D1892" s="49" t="str">
        <f t="shared" si="59"/>
        <v/>
      </c>
      <c r="E1892" s="92"/>
      <c r="F1892" s="49"/>
      <c r="G1892" s="14"/>
      <c r="H1892" s="14"/>
      <c r="I1892" s="76"/>
      <c r="J1892" s="73"/>
      <c r="K1892" s="74"/>
      <c r="L1892" s="72"/>
      <c r="M1892" s="72"/>
      <c r="N1892" s="72" t="str">
        <f>IF(AND(C1892="",J1892=0,K1892=0,L1892=0,M1892=0),"",CADASTROS!$B$4+SUM($J$2:J1892)+SUM($M$2:M1892)-SUM($K$2:K1892)-SUM($L$2:L1892))</f>
        <v/>
      </c>
      <c r="O1892" s="72" t="str">
        <f>IF(A1892="","",SUMIF(RATEIOS!$A$2:$A$3142,$A1892,RATEIOS!$F$2:$F$3142))</f>
        <v/>
      </c>
      <c r="P1892" s="15" t="str">
        <f t="shared" si="60"/>
        <v/>
      </c>
      <c r="Q1892" s="49" t="str">
        <f>IF(AND(J1892=0,K1892=0,L1892=0,M1892=0),"",IF(O1892=0,"PENDENTE DE RATEIO",IF(ABS(P1892)&gt;0.005,"DIVERGÊNCIA",IF(COUNTIF(RATEIOS!$A$2:$A$3142,$A1892)-COUNTIFS(RATEIOS!$A$2:$A$3142,$A1892,RATEIOS!$D$2:$D$3142,"&lt;&gt;")&gt;0,"NÃO CLASSIFICADO","RATEIO OK"))))</f>
        <v/>
      </c>
      <c r="R1892" s="49"/>
      <c r="S1892" s="14"/>
    </row>
    <row r="1893" spans="1:19" ht="30" customHeight="1" x14ac:dyDescent="0.25">
      <c r="A1893" s="49" t="str">
        <f>IF(C1893="","","BAN-01892")</f>
        <v/>
      </c>
      <c r="B1893" s="98" t="str">
        <f>IF(C1893="","",1892)</f>
        <v/>
      </c>
      <c r="C1893" s="50"/>
      <c r="D1893" s="49" t="str">
        <f t="shared" si="59"/>
        <v/>
      </c>
      <c r="E1893" s="92"/>
      <c r="F1893" s="49"/>
      <c r="G1893" s="14"/>
      <c r="H1893" s="14"/>
      <c r="I1893" s="76"/>
      <c r="J1893" s="73"/>
      <c r="K1893" s="74"/>
      <c r="L1893" s="72"/>
      <c r="M1893" s="72"/>
      <c r="N1893" s="72" t="str">
        <f>IF(AND(C1893="",J1893=0,K1893=0,L1893=0,M1893=0),"",CADASTROS!$B$4+SUM($J$2:J1893)+SUM($M$2:M1893)-SUM($K$2:K1893)-SUM($L$2:L1893))</f>
        <v/>
      </c>
      <c r="O1893" s="72" t="str">
        <f>IF(A1893="","",SUMIF(RATEIOS!$A$2:$A$3142,$A1893,RATEIOS!$F$2:$F$3142))</f>
        <v/>
      </c>
      <c r="P1893" s="15" t="str">
        <f t="shared" si="60"/>
        <v/>
      </c>
      <c r="Q1893" s="49" t="str">
        <f>IF(AND(J1893=0,K1893=0,L1893=0,M1893=0),"",IF(O1893=0,"PENDENTE DE RATEIO",IF(ABS(P1893)&gt;0.005,"DIVERGÊNCIA",IF(COUNTIF(RATEIOS!$A$2:$A$3142,$A1893)-COUNTIFS(RATEIOS!$A$2:$A$3142,$A1893,RATEIOS!$D$2:$D$3142,"&lt;&gt;")&gt;0,"NÃO CLASSIFICADO","RATEIO OK"))))</f>
        <v/>
      </c>
      <c r="R1893" s="49"/>
      <c r="S1893" s="14"/>
    </row>
    <row r="1894" spans="1:19" ht="30" customHeight="1" x14ac:dyDescent="0.25">
      <c r="A1894" s="49" t="str">
        <f>IF(C1894="","","BAN-01893")</f>
        <v/>
      </c>
      <c r="B1894" s="98" t="str">
        <f>IF(C1894="","",1893)</f>
        <v/>
      </c>
      <c r="C1894" s="50"/>
      <c r="D1894" s="49" t="str">
        <f t="shared" si="59"/>
        <v/>
      </c>
      <c r="E1894" s="92"/>
      <c r="F1894" s="49"/>
      <c r="G1894" s="14"/>
      <c r="H1894" s="14"/>
      <c r="I1894" s="76"/>
      <c r="J1894" s="73"/>
      <c r="K1894" s="74"/>
      <c r="L1894" s="72"/>
      <c r="M1894" s="72"/>
      <c r="N1894" s="72" t="str">
        <f>IF(AND(C1894="",J1894=0,K1894=0,L1894=0,M1894=0),"",CADASTROS!$B$4+SUM($J$2:J1894)+SUM($M$2:M1894)-SUM($K$2:K1894)-SUM($L$2:L1894))</f>
        <v/>
      </c>
      <c r="O1894" s="72" t="str">
        <f>IF(A1894="","",SUMIF(RATEIOS!$A$2:$A$3142,$A1894,RATEIOS!$F$2:$F$3142))</f>
        <v/>
      </c>
      <c r="P1894" s="15" t="str">
        <f t="shared" si="60"/>
        <v/>
      </c>
      <c r="Q1894" s="49" t="str">
        <f>IF(AND(J1894=0,K1894=0,L1894=0,M1894=0),"",IF(O1894=0,"PENDENTE DE RATEIO",IF(ABS(P1894)&gt;0.005,"DIVERGÊNCIA",IF(COUNTIF(RATEIOS!$A$2:$A$3142,$A1894)-COUNTIFS(RATEIOS!$A$2:$A$3142,$A1894,RATEIOS!$D$2:$D$3142,"&lt;&gt;")&gt;0,"NÃO CLASSIFICADO","RATEIO OK"))))</f>
        <v/>
      </c>
      <c r="R1894" s="49"/>
      <c r="S1894" s="14"/>
    </row>
    <row r="1895" spans="1:19" ht="30" customHeight="1" x14ac:dyDescent="0.25">
      <c r="A1895" s="49" t="str">
        <f>IF(C1895="","","BAN-01894")</f>
        <v/>
      </c>
      <c r="B1895" s="98" t="str">
        <f>IF(C1895="","",1894)</f>
        <v/>
      </c>
      <c r="C1895" s="50"/>
      <c r="D1895" s="49" t="str">
        <f t="shared" si="59"/>
        <v/>
      </c>
      <c r="E1895" s="92"/>
      <c r="F1895" s="49"/>
      <c r="G1895" s="14"/>
      <c r="H1895" s="14"/>
      <c r="I1895" s="76"/>
      <c r="J1895" s="73"/>
      <c r="K1895" s="74"/>
      <c r="L1895" s="72"/>
      <c r="M1895" s="72"/>
      <c r="N1895" s="72" t="str">
        <f>IF(AND(C1895="",J1895=0,K1895=0,L1895=0,M1895=0),"",CADASTROS!$B$4+SUM($J$2:J1895)+SUM($M$2:M1895)-SUM($K$2:K1895)-SUM($L$2:L1895))</f>
        <v/>
      </c>
      <c r="O1895" s="72" t="str">
        <f>IF(A1895="","",SUMIF(RATEIOS!$A$2:$A$3142,$A1895,RATEIOS!$F$2:$F$3142))</f>
        <v/>
      </c>
      <c r="P1895" s="15" t="str">
        <f t="shared" si="60"/>
        <v/>
      </c>
      <c r="Q1895" s="49" t="str">
        <f>IF(AND(J1895=0,K1895=0,L1895=0,M1895=0),"",IF(O1895=0,"PENDENTE DE RATEIO",IF(ABS(P1895)&gt;0.005,"DIVERGÊNCIA",IF(COUNTIF(RATEIOS!$A$2:$A$3142,$A1895)-COUNTIFS(RATEIOS!$A$2:$A$3142,$A1895,RATEIOS!$D$2:$D$3142,"&lt;&gt;")&gt;0,"NÃO CLASSIFICADO","RATEIO OK"))))</f>
        <v/>
      </c>
      <c r="R1895" s="49"/>
      <c r="S1895" s="14"/>
    </row>
    <row r="1896" spans="1:19" ht="30" customHeight="1" x14ac:dyDescent="0.25">
      <c r="A1896" s="49" t="str">
        <f>IF(C1896="","","BAN-01895")</f>
        <v/>
      </c>
      <c r="B1896" s="98" t="str">
        <f>IF(C1896="","",1895)</f>
        <v/>
      </c>
      <c r="C1896" s="50"/>
      <c r="D1896" s="49" t="str">
        <f t="shared" si="59"/>
        <v/>
      </c>
      <c r="E1896" s="92"/>
      <c r="F1896" s="49"/>
      <c r="G1896" s="14"/>
      <c r="H1896" s="14"/>
      <c r="I1896" s="76"/>
      <c r="J1896" s="73"/>
      <c r="K1896" s="74"/>
      <c r="L1896" s="72"/>
      <c r="M1896" s="72"/>
      <c r="N1896" s="72" t="str">
        <f>IF(AND(C1896="",J1896=0,K1896=0,L1896=0,M1896=0),"",CADASTROS!$B$4+SUM($J$2:J1896)+SUM($M$2:M1896)-SUM($K$2:K1896)-SUM($L$2:L1896))</f>
        <v/>
      </c>
      <c r="O1896" s="72" t="str">
        <f>IF(A1896="","",SUMIF(RATEIOS!$A$2:$A$3142,$A1896,RATEIOS!$F$2:$F$3142))</f>
        <v/>
      </c>
      <c r="P1896" s="15" t="str">
        <f t="shared" si="60"/>
        <v/>
      </c>
      <c r="Q1896" s="49" t="str">
        <f>IF(AND(J1896=0,K1896=0,L1896=0,M1896=0),"",IF(O1896=0,"PENDENTE DE RATEIO",IF(ABS(P1896)&gt;0.005,"DIVERGÊNCIA",IF(COUNTIF(RATEIOS!$A$2:$A$3142,$A1896)-COUNTIFS(RATEIOS!$A$2:$A$3142,$A1896,RATEIOS!$D$2:$D$3142,"&lt;&gt;")&gt;0,"NÃO CLASSIFICADO","RATEIO OK"))))</f>
        <v/>
      </c>
      <c r="R1896" s="49"/>
      <c r="S1896" s="14"/>
    </row>
    <row r="1897" spans="1:19" ht="30" customHeight="1" x14ac:dyDescent="0.25">
      <c r="A1897" s="49" t="str">
        <f>IF(C1897="","","BAN-01896")</f>
        <v/>
      </c>
      <c r="B1897" s="98" t="str">
        <f>IF(C1897="","",1896)</f>
        <v/>
      </c>
      <c r="C1897" s="50"/>
      <c r="D1897" s="49" t="str">
        <f t="shared" si="59"/>
        <v/>
      </c>
      <c r="E1897" s="92"/>
      <c r="F1897" s="49"/>
      <c r="G1897" s="14"/>
      <c r="H1897" s="14"/>
      <c r="I1897" s="76"/>
      <c r="J1897" s="73"/>
      <c r="K1897" s="74"/>
      <c r="L1897" s="72"/>
      <c r="M1897" s="72"/>
      <c r="N1897" s="72" t="str">
        <f>IF(AND(C1897="",J1897=0,K1897=0,L1897=0,M1897=0),"",CADASTROS!$B$4+SUM($J$2:J1897)+SUM($M$2:M1897)-SUM($K$2:K1897)-SUM($L$2:L1897))</f>
        <v/>
      </c>
      <c r="O1897" s="72" t="str">
        <f>IF(A1897="","",SUMIF(RATEIOS!$A$2:$A$3142,$A1897,RATEIOS!$F$2:$F$3142))</f>
        <v/>
      </c>
      <c r="P1897" s="15" t="str">
        <f t="shared" si="60"/>
        <v/>
      </c>
      <c r="Q1897" s="49" t="str">
        <f>IF(AND(J1897=0,K1897=0,L1897=0,M1897=0),"",IF(O1897=0,"PENDENTE DE RATEIO",IF(ABS(P1897)&gt;0.005,"DIVERGÊNCIA",IF(COUNTIF(RATEIOS!$A$2:$A$3142,$A1897)-COUNTIFS(RATEIOS!$A$2:$A$3142,$A1897,RATEIOS!$D$2:$D$3142,"&lt;&gt;")&gt;0,"NÃO CLASSIFICADO","RATEIO OK"))))</f>
        <v/>
      </c>
      <c r="R1897" s="49"/>
      <c r="S1897" s="14"/>
    </row>
    <row r="1898" spans="1:19" ht="30" customHeight="1" x14ac:dyDescent="0.25">
      <c r="A1898" s="49" t="str">
        <f>IF(C1898="","","BAN-01897")</f>
        <v/>
      </c>
      <c r="B1898" s="98" t="str">
        <f>IF(C1898="","",1897)</f>
        <v/>
      </c>
      <c r="C1898" s="50"/>
      <c r="D1898" s="49" t="str">
        <f t="shared" si="59"/>
        <v/>
      </c>
      <c r="E1898" s="92"/>
      <c r="F1898" s="49"/>
      <c r="G1898" s="14"/>
      <c r="H1898" s="14"/>
      <c r="I1898" s="76"/>
      <c r="J1898" s="73"/>
      <c r="K1898" s="74"/>
      <c r="L1898" s="72"/>
      <c r="M1898" s="72"/>
      <c r="N1898" s="72" t="str">
        <f>IF(AND(C1898="",J1898=0,K1898=0,L1898=0,M1898=0),"",CADASTROS!$B$4+SUM($J$2:J1898)+SUM($M$2:M1898)-SUM($K$2:K1898)-SUM($L$2:L1898))</f>
        <v/>
      </c>
      <c r="O1898" s="72" t="str">
        <f>IF(A1898="","",SUMIF(RATEIOS!$A$2:$A$3142,$A1898,RATEIOS!$F$2:$F$3142))</f>
        <v/>
      </c>
      <c r="P1898" s="15" t="str">
        <f t="shared" si="60"/>
        <v/>
      </c>
      <c r="Q1898" s="49" t="str">
        <f>IF(AND(J1898=0,K1898=0,L1898=0,M1898=0),"",IF(O1898=0,"PENDENTE DE RATEIO",IF(ABS(P1898)&gt;0.005,"DIVERGÊNCIA",IF(COUNTIF(RATEIOS!$A$2:$A$3142,$A1898)-COUNTIFS(RATEIOS!$A$2:$A$3142,$A1898,RATEIOS!$D$2:$D$3142,"&lt;&gt;")&gt;0,"NÃO CLASSIFICADO","RATEIO OK"))))</f>
        <v/>
      </c>
      <c r="R1898" s="49"/>
      <c r="S1898" s="14"/>
    </row>
    <row r="1899" spans="1:19" ht="30" customHeight="1" x14ac:dyDescent="0.25">
      <c r="A1899" s="49" t="str">
        <f>IF(C1899="","","BAN-01898")</f>
        <v/>
      </c>
      <c r="B1899" s="98" t="str">
        <f>IF(C1899="","",1898)</f>
        <v/>
      </c>
      <c r="C1899" s="50"/>
      <c r="D1899" s="49" t="str">
        <f t="shared" si="59"/>
        <v/>
      </c>
      <c r="E1899" s="92"/>
      <c r="F1899" s="49"/>
      <c r="G1899" s="14"/>
      <c r="H1899" s="14"/>
      <c r="I1899" s="76"/>
      <c r="J1899" s="73"/>
      <c r="K1899" s="74"/>
      <c r="L1899" s="72"/>
      <c r="M1899" s="72"/>
      <c r="N1899" s="72" t="str">
        <f>IF(AND(C1899="",J1899=0,K1899=0,L1899=0,M1899=0),"",CADASTROS!$B$4+SUM($J$2:J1899)+SUM($M$2:M1899)-SUM($K$2:K1899)-SUM($L$2:L1899))</f>
        <v/>
      </c>
      <c r="O1899" s="72" t="str">
        <f>IF(A1899="","",SUMIF(RATEIOS!$A$2:$A$3142,$A1899,RATEIOS!$F$2:$F$3142))</f>
        <v/>
      </c>
      <c r="P1899" s="15" t="str">
        <f t="shared" si="60"/>
        <v/>
      </c>
      <c r="Q1899" s="49" t="str">
        <f>IF(AND(J1899=0,K1899=0,L1899=0,M1899=0),"",IF(O1899=0,"PENDENTE DE RATEIO",IF(ABS(P1899)&gt;0.005,"DIVERGÊNCIA",IF(COUNTIF(RATEIOS!$A$2:$A$3142,$A1899)-COUNTIFS(RATEIOS!$A$2:$A$3142,$A1899,RATEIOS!$D$2:$D$3142,"&lt;&gt;")&gt;0,"NÃO CLASSIFICADO","RATEIO OK"))))</f>
        <v/>
      </c>
      <c r="R1899" s="49"/>
      <c r="S1899" s="14"/>
    </row>
    <row r="1900" spans="1:19" ht="30" customHeight="1" x14ac:dyDescent="0.25">
      <c r="A1900" s="49" t="str">
        <f>IF(C1900="","","BAN-01899")</f>
        <v/>
      </c>
      <c r="B1900" s="98" t="str">
        <f>IF(C1900="","",1899)</f>
        <v/>
      </c>
      <c r="C1900" s="50"/>
      <c r="D1900" s="49" t="str">
        <f t="shared" si="59"/>
        <v/>
      </c>
      <c r="E1900" s="92"/>
      <c r="F1900" s="49"/>
      <c r="G1900" s="14"/>
      <c r="H1900" s="14"/>
      <c r="I1900" s="76"/>
      <c r="J1900" s="73"/>
      <c r="K1900" s="74"/>
      <c r="L1900" s="72"/>
      <c r="M1900" s="72"/>
      <c r="N1900" s="72" t="str">
        <f>IF(AND(C1900="",J1900=0,K1900=0,L1900=0,M1900=0),"",CADASTROS!$B$4+SUM($J$2:J1900)+SUM($M$2:M1900)-SUM($K$2:K1900)-SUM($L$2:L1900))</f>
        <v/>
      </c>
      <c r="O1900" s="72" t="str">
        <f>IF(A1900="","",SUMIF(RATEIOS!$A$2:$A$3142,$A1900,RATEIOS!$F$2:$F$3142))</f>
        <v/>
      </c>
      <c r="P1900" s="15" t="str">
        <f t="shared" si="60"/>
        <v/>
      </c>
      <c r="Q1900" s="49" t="str">
        <f>IF(AND(J1900=0,K1900=0,L1900=0,M1900=0),"",IF(O1900=0,"PENDENTE DE RATEIO",IF(ABS(P1900)&gt;0.005,"DIVERGÊNCIA",IF(COUNTIF(RATEIOS!$A$2:$A$3142,$A1900)-COUNTIFS(RATEIOS!$A$2:$A$3142,$A1900,RATEIOS!$D$2:$D$3142,"&lt;&gt;")&gt;0,"NÃO CLASSIFICADO","RATEIO OK"))))</f>
        <v/>
      </c>
      <c r="R1900" s="49"/>
      <c r="S1900" s="14"/>
    </row>
    <row r="1901" spans="1:19" ht="30" customHeight="1" x14ac:dyDescent="0.25">
      <c r="A1901" s="49" t="str">
        <f>IF(C1901="","","BAN-01900")</f>
        <v/>
      </c>
      <c r="B1901" s="98" t="str">
        <f>IF(C1901="","",1900)</f>
        <v/>
      </c>
      <c r="C1901" s="50"/>
      <c r="D1901" s="49" t="str">
        <f t="shared" si="59"/>
        <v/>
      </c>
      <c r="E1901" s="92"/>
      <c r="F1901" s="49"/>
      <c r="G1901" s="14"/>
      <c r="H1901" s="14"/>
      <c r="I1901" s="76"/>
      <c r="J1901" s="73"/>
      <c r="K1901" s="74"/>
      <c r="L1901" s="72"/>
      <c r="M1901" s="72"/>
      <c r="N1901" s="72" t="str">
        <f>IF(AND(C1901="",J1901=0,K1901=0,L1901=0,M1901=0),"",CADASTROS!$B$4+SUM($J$2:J1901)+SUM($M$2:M1901)-SUM($K$2:K1901)-SUM($L$2:L1901))</f>
        <v/>
      </c>
      <c r="O1901" s="72" t="str">
        <f>IF(A1901="","",SUMIF(RATEIOS!$A$2:$A$3142,$A1901,RATEIOS!$F$2:$F$3142))</f>
        <v/>
      </c>
      <c r="P1901" s="15" t="str">
        <f t="shared" si="60"/>
        <v/>
      </c>
      <c r="Q1901" s="49" t="str">
        <f>IF(AND(J1901=0,K1901=0,L1901=0,M1901=0),"",IF(O1901=0,"PENDENTE DE RATEIO",IF(ABS(P1901)&gt;0.005,"DIVERGÊNCIA",IF(COUNTIF(RATEIOS!$A$2:$A$3142,$A1901)-COUNTIFS(RATEIOS!$A$2:$A$3142,$A1901,RATEIOS!$D$2:$D$3142,"&lt;&gt;")&gt;0,"NÃO CLASSIFICADO","RATEIO OK"))))</f>
        <v/>
      </c>
      <c r="R1901" s="49"/>
      <c r="S1901" s="14"/>
    </row>
    <row r="1902" spans="1:19" ht="30" customHeight="1" x14ac:dyDescent="0.25">
      <c r="A1902" s="49" t="str">
        <f>IF(C1902="","","BAN-01901")</f>
        <v/>
      </c>
      <c r="B1902" s="98" t="str">
        <f>IF(C1902="","",1901)</f>
        <v/>
      </c>
      <c r="C1902" s="50"/>
      <c r="D1902" s="49" t="str">
        <f t="shared" si="59"/>
        <v/>
      </c>
      <c r="E1902" s="92"/>
      <c r="F1902" s="49"/>
      <c r="G1902" s="14"/>
      <c r="H1902" s="14"/>
      <c r="I1902" s="76"/>
      <c r="J1902" s="73"/>
      <c r="K1902" s="74"/>
      <c r="L1902" s="72"/>
      <c r="M1902" s="72"/>
      <c r="N1902" s="72" t="str">
        <f>IF(AND(C1902="",J1902=0,K1902=0,L1902=0,M1902=0),"",CADASTROS!$B$4+SUM($J$2:J1902)+SUM($M$2:M1902)-SUM($K$2:K1902)-SUM($L$2:L1902))</f>
        <v/>
      </c>
      <c r="O1902" s="72" t="str">
        <f>IF(A1902="","",SUMIF(RATEIOS!$A$2:$A$3142,$A1902,RATEIOS!$F$2:$F$3142))</f>
        <v/>
      </c>
      <c r="P1902" s="15" t="str">
        <f t="shared" si="60"/>
        <v/>
      </c>
      <c r="Q1902" s="49" t="str">
        <f>IF(AND(J1902=0,K1902=0,L1902=0,M1902=0),"",IF(O1902=0,"PENDENTE DE RATEIO",IF(ABS(P1902)&gt;0.005,"DIVERGÊNCIA",IF(COUNTIF(RATEIOS!$A$2:$A$3142,$A1902)-COUNTIFS(RATEIOS!$A$2:$A$3142,$A1902,RATEIOS!$D$2:$D$3142,"&lt;&gt;")&gt;0,"NÃO CLASSIFICADO","RATEIO OK"))))</f>
        <v/>
      </c>
      <c r="R1902" s="49"/>
      <c r="S1902" s="14"/>
    </row>
    <row r="1903" spans="1:19" ht="30" customHeight="1" x14ac:dyDescent="0.25">
      <c r="A1903" s="49" t="str">
        <f>IF(C1903="","","BAN-01902")</f>
        <v/>
      </c>
      <c r="B1903" s="98" t="str">
        <f>IF(C1903="","",1902)</f>
        <v/>
      </c>
      <c r="C1903" s="50"/>
      <c r="D1903" s="49" t="str">
        <f t="shared" si="59"/>
        <v/>
      </c>
      <c r="E1903" s="92"/>
      <c r="F1903" s="49"/>
      <c r="G1903" s="14"/>
      <c r="H1903" s="14"/>
      <c r="I1903" s="76"/>
      <c r="J1903" s="73"/>
      <c r="K1903" s="74"/>
      <c r="L1903" s="72"/>
      <c r="M1903" s="72"/>
      <c r="N1903" s="72" t="str">
        <f>IF(AND(C1903="",J1903=0,K1903=0,L1903=0,M1903=0),"",CADASTROS!$B$4+SUM($J$2:J1903)+SUM($M$2:M1903)-SUM($K$2:K1903)-SUM($L$2:L1903))</f>
        <v/>
      </c>
      <c r="O1903" s="72" t="str">
        <f>IF(A1903="","",SUMIF(RATEIOS!$A$2:$A$3142,$A1903,RATEIOS!$F$2:$F$3142))</f>
        <v/>
      </c>
      <c r="P1903" s="15" t="str">
        <f t="shared" si="60"/>
        <v/>
      </c>
      <c r="Q1903" s="49" t="str">
        <f>IF(AND(J1903=0,K1903=0,L1903=0,M1903=0),"",IF(O1903=0,"PENDENTE DE RATEIO",IF(ABS(P1903)&gt;0.005,"DIVERGÊNCIA",IF(COUNTIF(RATEIOS!$A$2:$A$3142,$A1903)-COUNTIFS(RATEIOS!$A$2:$A$3142,$A1903,RATEIOS!$D$2:$D$3142,"&lt;&gt;")&gt;0,"NÃO CLASSIFICADO","RATEIO OK"))))</f>
        <v/>
      </c>
      <c r="R1903" s="49"/>
      <c r="S1903" s="14"/>
    </row>
    <row r="1904" spans="1:19" ht="30" customHeight="1" x14ac:dyDescent="0.25">
      <c r="A1904" s="49" t="str">
        <f>IF(C1904="","","BAN-01903")</f>
        <v/>
      </c>
      <c r="B1904" s="98" t="str">
        <f>IF(C1904="","",1903)</f>
        <v/>
      </c>
      <c r="C1904" s="50"/>
      <c r="D1904" s="49" t="str">
        <f t="shared" si="59"/>
        <v/>
      </c>
      <c r="E1904" s="92"/>
      <c r="F1904" s="49"/>
      <c r="G1904" s="14"/>
      <c r="H1904" s="14"/>
      <c r="I1904" s="76"/>
      <c r="J1904" s="73"/>
      <c r="K1904" s="74"/>
      <c r="L1904" s="72"/>
      <c r="M1904" s="72"/>
      <c r="N1904" s="72" t="str">
        <f>IF(AND(C1904="",J1904=0,K1904=0,L1904=0,M1904=0),"",CADASTROS!$B$4+SUM($J$2:J1904)+SUM($M$2:M1904)-SUM($K$2:K1904)-SUM($L$2:L1904))</f>
        <v/>
      </c>
      <c r="O1904" s="72" t="str">
        <f>IF(A1904="","",SUMIF(RATEIOS!$A$2:$A$3142,$A1904,RATEIOS!$F$2:$F$3142))</f>
        <v/>
      </c>
      <c r="P1904" s="15" t="str">
        <f t="shared" si="60"/>
        <v/>
      </c>
      <c r="Q1904" s="49" t="str">
        <f>IF(AND(J1904=0,K1904=0,L1904=0,M1904=0),"",IF(O1904=0,"PENDENTE DE RATEIO",IF(ABS(P1904)&gt;0.005,"DIVERGÊNCIA",IF(COUNTIF(RATEIOS!$A$2:$A$3142,$A1904)-COUNTIFS(RATEIOS!$A$2:$A$3142,$A1904,RATEIOS!$D$2:$D$3142,"&lt;&gt;")&gt;0,"NÃO CLASSIFICADO","RATEIO OK"))))</f>
        <v/>
      </c>
      <c r="R1904" s="49"/>
      <c r="S1904" s="14"/>
    </row>
    <row r="1905" spans="1:19" ht="30" customHeight="1" x14ac:dyDescent="0.25">
      <c r="A1905" s="49" t="str">
        <f>IF(C1905="","","BAN-01904")</f>
        <v/>
      </c>
      <c r="B1905" s="98" t="str">
        <f>IF(C1905="","",1904)</f>
        <v/>
      </c>
      <c r="C1905" s="50"/>
      <c r="D1905" s="49" t="str">
        <f t="shared" si="59"/>
        <v/>
      </c>
      <c r="E1905" s="92"/>
      <c r="F1905" s="49"/>
      <c r="G1905" s="14"/>
      <c r="H1905" s="14"/>
      <c r="I1905" s="76"/>
      <c r="J1905" s="73"/>
      <c r="K1905" s="74"/>
      <c r="L1905" s="72"/>
      <c r="M1905" s="72"/>
      <c r="N1905" s="72" t="str">
        <f>IF(AND(C1905="",J1905=0,K1905=0,L1905=0,M1905=0),"",CADASTROS!$B$4+SUM($J$2:J1905)+SUM($M$2:M1905)-SUM($K$2:K1905)-SUM($L$2:L1905))</f>
        <v/>
      </c>
      <c r="O1905" s="72" t="str">
        <f>IF(A1905="","",SUMIF(RATEIOS!$A$2:$A$3142,$A1905,RATEIOS!$F$2:$F$3142))</f>
        <v/>
      </c>
      <c r="P1905" s="15" t="str">
        <f t="shared" si="60"/>
        <v/>
      </c>
      <c r="Q1905" s="49" t="str">
        <f>IF(AND(J1905=0,K1905=0,L1905=0,M1905=0),"",IF(O1905=0,"PENDENTE DE RATEIO",IF(ABS(P1905)&gt;0.005,"DIVERGÊNCIA",IF(COUNTIF(RATEIOS!$A$2:$A$3142,$A1905)-COUNTIFS(RATEIOS!$A$2:$A$3142,$A1905,RATEIOS!$D$2:$D$3142,"&lt;&gt;")&gt;0,"NÃO CLASSIFICADO","RATEIO OK"))))</f>
        <v/>
      </c>
      <c r="R1905" s="49"/>
      <c r="S1905" s="14"/>
    </row>
    <row r="1906" spans="1:19" ht="30" customHeight="1" x14ac:dyDescent="0.25">
      <c r="A1906" s="49" t="str">
        <f>IF(C1906="","","BAN-01905")</f>
        <v/>
      </c>
      <c r="B1906" s="98" t="str">
        <f>IF(C1906="","",1905)</f>
        <v/>
      </c>
      <c r="C1906" s="50"/>
      <c r="D1906" s="49" t="str">
        <f t="shared" si="59"/>
        <v/>
      </c>
      <c r="E1906" s="92"/>
      <c r="F1906" s="49"/>
      <c r="G1906" s="14"/>
      <c r="H1906" s="14"/>
      <c r="I1906" s="76"/>
      <c r="J1906" s="73"/>
      <c r="K1906" s="74"/>
      <c r="L1906" s="72"/>
      <c r="M1906" s="72"/>
      <c r="N1906" s="72" t="str">
        <f>IF(AND(C1906="",J1906=0,K1906=0,L1906=0,M1906=0),"",CADASTROS!$B$4+SUM($J$2:J1906)+SUM($M$2:M1906)-SUM($K$2:K1906)-SUM($L$2:L1906))</f>
        <v/>
      </c>
      <c r="O1906" s="72" t="str">
        <f>IF(A1906="","",SUMIF(RATEIOS!$A$2:$A$3142,$A1906,RATEIOS!$F$2:$F$3142))</f>
        <v/>
      </c>
      <c r="P1906" s="15" t="str">
        <f t="shared" si="60"/>
        <v/>
      </c>
      <c r="Q1906" s="49" t="str">
        <f>IF(AND(J1906=0,K1906=0,L1906=0,M1906=0),"",IF(O1906=0,"PENDENTE DE RATEIO",IF(ABS(P1906)&gt;0.005,"DIVERGÊNCIA",IF(COUNTIF(RATEIOS!$A$2:$A$3142,$A1906)-COUNTIFS(RATEIOS!$A$2:$A$3142,$A1906,RATEIOS!$D$2:$D$3142,"&lt;&gt;")&gt;0,"NÃO CLASSIFICADO","RATEIO OK"))))</f>
        <v/>
      </c>
      <c r="R1906" s="49"/>
      <c r="S1906" s="14"/>
    </row>
    <row r="1907" spans="1:19" ht="30" customHeight="1" x14ac:dyDescent="0.25">
      <c r="A1907" s="49" t="str">
        <f>IF(C1907="","","BAN-01906")</f>
        <v/>
      </c>
      <c r="B1907" s="98" t="str">
        <f>IF(C1907="","",1906)</f>
        <v/>
      </c>
      <c r="C1907" s="50"/>
      <c r="D1907" s="49" t="str">
        <f t="shared" si="59"/>
        <v/>
      </c>
      <c r="E1907" s="92"/>
      <c r="F1907" s="49"/>
      <c r="G1907" s="14"/>
      <c r="H1907" s="14"/>
      <c r="I1907" s="76"/>
      <c r="J1907" s="73"/>
      <c r="K1907" s="74"/>
      <c r="L1907" s="72"/>
      <c r="M1907" s="72"/>
      <c r="N1907" s="72" t="str">
        <f>IF(AND(C1907="",J1907=0,K1907=0,L1907=0,M1907=0),"",CADASTROS!$B$4+SUM($J$2:J1907)+SUM($M$2:M1907)-SUM($K$2:K1907)-SUM($L$2:L1907))</f>
        <v/>
      </c>
      <c r="O1907" s="72" t="str">
        <f>IF(A1907="","",SUMIF(RATEIOS!$A$2:$A$3142,$A1907,RATEIOS!$F$2:$F$3142))</f>
        <v/>
      </c>
      <c r="P1907" s="15" t="str">
        <f t="shared" si="60"/>
        <v/>
      </c>
      <c r="Q1907" s="49" t="str">
        <f>IF(AND(J1907=0,K1907=0,L1907=0,M1907=0),"",IF(O1907=0,"PENDENTE DE RATEIO",IF(ABS(P1907)&gt;0.005,"DIVERGÊNCIA",IF(COUNTIF(RATEIOS!$A$2:$A$3142,$A1907)-COUNTIFS(RATEIOS!$A$2:$A$3142,$A1907,RATEIOS!$D$2:$D$3142,"&lt;&gt;")&gt;0,"NÃO CLASSIFICADO","RATEIO OK"))))</f>
        <v/>
      </c>
      <c r="R1907" s="49"/>
      <c r="S1907" s="14"/>
    </row>
    <row r="1908" spans="1:19" ht="30" customHeight="1" x14ac:dyDescent="0.25">
      <c r="A1908" s="49" t="str">
        <f>IF(C1908="","","BAN-01907")</f>
        <v/>
      </c>
      <c r="B1908" s="98" t="str">
        <f>IF(C1908="","",1907)</f>
        <v/>
      </c>
      <c r="C1908" s="50"/>
      <c r="D1908" s="49" t="str">
        <f t="shared" si="59"/>
        <v/>
      </c>
      <c r="E1908" s="92"/>
      <c r="F1908" s="49"/>
      <c r="G1908" s="14"/>
      <c r="H1908" s="14"/>
      <c r="I1908" s="76"/>
      <c r="J1908" s="73"/>
      <c r="K1908" s="74"/>
      <c r="L1908" s="72"/>
      <c r="M1908" s="72"/>
      <c r="N1908" s="72" t="str">
        <f>IF(AND(C1908="",J1908=0,K1908=0,L1908=0,M1908=0),"",CADASTROS!$B$4+SUM($J$2:J1908)+SUM($M$2:M1908)-SUM($K$2:K1908)-SUM($L$2:L1908))</f>
        <v/>
      </c>
      <c r="O1908" s="72" t="str">
        <f>IF(A1908="","",SUMIF(RATEIOS!$A$2:$A$3142,$A1908,RATEIOS!$F$2:$F$3142))</f>
        <v/>
      </c>
      <c r="P1908" s="15" t="str">
        <f t="shared" si="60"/>
        <v/>
      </c>
      <c r="Q1908" s="49" t="str">
        <f>IF(AND(J1908=0,K1908=0,L1908=0,M1908=0),"",IF(O1908=0,"PENDENTE DE RATEIO",IF(ABS(P1908)&gt;0.005,"DIVERGÊNCIA",IF(COUNTIF(RATEIOS!$A$2:$A$3142,$A1908)-COUNTIFS(RATEIOS!$A$2:$A$3142,$A1908,RATEIOS!$D$2:$D$3142,"&lt;&gt;")&gt;0,"NÃO CLASSIFICADO","RATEIO OK"))))</f>
        <v/>
      </c>
      <c r="R1908" s="49"/>
      <c r="S1908" s="14"/>
    </row>
    <row r="1909" spans="1:19" ht="30" customHeight="1" x14ac:dyDescent="0.25">
      <c r="A1909" s="49" t="str">
        <f>IF(C1909="","","BAN-01908")</f>
        <v/>
      </c>
      <c r="B1909" s="98" t="str">
        <f>IF(C1909="","",1908)</f>
        <v/>
      </c>
      <c r="C1909" s="50"/>
      <c r="D1909" s="49" t="str">
        <f t="shared" si="59"/>
        <v/>
      </c>
      <c r="E1909" s="92"/>
      <c r="F1909" s="49"/>
      <c r="G1909" s="14"/>
      <c r="H1909" s="14"/>
      <c r="I1909" s="76"/>
      <c r="J1909" s="73"/>
      <c r="K1909" s="74"/>
      <c r="L1909" s="72"/>
      <c r="M1909" s="72"/>
      <c r="N1909" s="72" t="str">
        <f>IF(AND(C1909="",J1909=0,K1909=0,L1909=0,M1909=0),"",CADASTROS!$B$4+SUM($J$2:J1909)+SUM($M$2:M1909)-SUM($K$2:K1909)-SUM($L$2:L1909))</f>
        <v/>
      </c>
      <c r="O1909" s="72" t="str">
        <f>IF(A1909="","",SUMIF(RATEIOS!$A$2:$A$3142,$A1909,RATEIOS!$F$2:$F$3142))</f>
        <v/>
      </c>
      <c r="P1909" s="15" t="str">
        <f t="shared" si="60"/>
        <v/>
      </c>
      <c r="Q1909" s="49" t="str">
        <f>IF(AND(J1909=0,K1909=0,L1909=0,M1909=0),"",IF(O1909=0,"PENDENTE DE RATEIO",IF(ABS(P1909)&gt;0.005,"DIVERGÊNCIA",IF(COUNTIF(RATEIOS!$A$2:$A$3142,$A1909)-COUNTIFS(RATEIOS!$A$2:$A$3142,$A1909,RATEIOS!$D$2:$D$3142,"&lt;&gt;")&gt;0,"NÃO CLASSIFICADO","RATEIO OK"))))</f>
        <v/>
      </c>
      <c r="R1909" s="49"/>
      <c r="S1909" s="14"/>
    </row>
    <row r="1910" spans="1:19" ht="30" customHeight="1" x14ac:dyDescent="0.25">
      <c r="A1910" s="49" t="str">
        <f>IF(C1910="","","BAN-01909")</f>
        <v/>
      </c>
      <c r="B1910" s="98" t="str">
        <f>IF(C1910="","",1909)</f>
        <v/>
      </c>
      <c r="C1910" s="50"/>
      <c r="D1910" s="49" t="str">
        <f t="shared" si="59"/>
        <v/>
      </c>
      <c r="E1910" s="92"/>
      <c r="F1910" s="49"/>
      <c r="G1910" s="14"/>
      <c r="H1910" s="14"/>
      <c r="I1910" s="76"/>
      <c r="J1910" s="73"/>
      <c r="K1910" s="74"/>
      <c r="L1910" s="72"/>
      <c r="M1910" s="72"/>
      <c r="N1910" s="72" t="str">
        <f>IF(AND(C1910="",J1910=0,K1910=0,L1910=0,M1910=0),"",CADASTROS!$B$4+SUM($J$2:J1910)+SUM($M$2:M1910)-SUM($K$2:K1910)-SUM($L$2:L1910))</f>
        <v/>
      </c>
      <c r="O1910" s="72" t="str">
        <f>IF(A1910="","",SUMIF(RATEIOS!$A$2:$A$3142,$A1910,RATEIOS!$F$2:$F$3142))</f>
        <v/>
      </c>
      <c r="P1910" s="15" t="str">
        <f t="shared" si="60"/>
        <v/>
      </c>
      <c r="Q1910" s="49" t="str">
        <f>IF(AND(J1910=0,K1910=0,L1910=0,M1910=0),"",IF(O1910=0,"PENDENTE DE RATEIO",IF(ABS(P1910)&gt;0.005,"DIVERGÊNCIA",IF(COUNTIF(RATEIOS!$A$2:$A$3142,$A1910)-COUNTIFS(RATEIOS!$A$2:$A$3142,$A1910,RATEIOS!$D$2:$D$3142,"&lt;&gt;")&gt;0,"NÃO CLASSIFICADO","RATEIO OK"))))</f>
        <v/>
      </c>
      <c r="R1910" s="49"/>
      <c r="S1910" s="14"/>
    </row>
    <row r="1911" spans="1:19" ht="30" customHeight="1" x14ac:dyDescent="0.25">
      <c r="A1911" s="49" t="str">
        <f>IF(C1911="","","BAN-01910")</f>
        <v/>
      </c>
      <c r="B1911" s="98" t="str">
        <f>IF(C1911="","",1910)</f>
        <v/>
      </c>
      <c r="C1911" s="50"/>
      <c r="D1911" s="49" t="str">
        <f t="shared" si="59"/>
        <v/>
      </c>
      <c r="E1911" s="92"/>
      <c r="F1911" s="49"/>
      <c r="G1911" s="14"/>
      <c r="H1911" s="14"/>
      <c r="I1911" s="76"/>
      <c r="J1911" s="73"/>
      <c r="K1911" s="74"/>
      <c r="L1911" s="72"/>
      <c r="M1911" s="72"/>
      <c r="N1911" s="72" t="str">
        <f>IF(AND(C1911="",J1911=0,K1911=0,L1911=0,M1911=0),"",CADASTROS!$B$4+SUM($J$2:J1911)+SUM($M$2:M1911)-SUM($K$2:K1911)-SUM($L$2:L1911))</f>
        <v/>
      </c>
      <c r="O1911" s="72" t="str">
        <f>IF(A1911="","",SUMIF(RATEIOS!$A$2:$A$3142,$A1911,RATEIOS!$F$2:$F$3142))</f>
        <v/>
      </c>
      <c r="P1911" s="15" t="str">
        <f t="shared" si="60"/>
        <v/>
      </c>
      <c r="Q1911" s="49" t="str">
        <f>IF(AND(J1911=0,K1911=0,L1911=0,M1911=0),"",IF(O1911=0,"PENDENTE DE RATEIO",IF(ABS(P1911)&gt;0.005,"DIVERGÊNCIA",IF(COUNTIF(RATEIOS!$A$2:$A$3142,$A1911)-COUNTIFS(RATEIOS!$A$2:$A$3142,$A1911,RATEIOS!$D$2:$D$3142,"&lt;&gt;")&gt;0,"NÃO CLASSIFICADO","RATEIO OK"))))</f>
        <v/>
      </c>
      <c r="R1911" s="49"/>
      <c r="S1911" s="14"/>
    </row>
    <row r="1912" spans="1:19" ht="30" customHeight="1" x14ac:dyDescent="0.25">
      <c r="A1912" s="49" t="str">
        <f>IF(C1912="","","BAN-01911")</f>
        <v/>
      </c>
      <c r="B1912" s="98" t="str">
        <f>IF(C1912="","",1911)</f>
        <v/>
      </c>
      <c r="C1912" s="50"/>
      <c r="D1912" s="49" t="str">
        <f t="shared" si="59"/>
        <v/>
      </c>
      <c r="E1912" s="92"/>
      <c r="F1912" s="49"/>
      <c r="G1912" s="14"/>
      <c r="H1912" s="14"/>
      <c r="I1912" s="76"/>
      <c r="J1912" s="73"/>
      <c r="K1912" s="74"/>
      <c r="L1912" s="72"/>
      <c r="M1912" s="72"/>
      <c r="N1912" s="72" t="str">
        <f>IF(AND(C1912="",J1912=0,K1912=0,L1912=0,M1912=0),"",CADASTROS!$B$4+SUM($J$2:J1912)+SUM($M$2:M1912)-SUM($K$2:K1912)-SUM($L$2:L1912))</f>
        <v/>
      </c>
      <c r="O1912" s="72" t="str">
        <f>IF(A1912="","",SUMIF(RATEIOS!$A$2:$A$3142,$A1912,RATEIOS!$F$2:$F$3142))</f>
        <v/>
      </c>
      <c r="P1912" s="15" t="str">
        <f t="shared" si="60"/>
        <v/>
      </c>
      <c r="Q1912" s="49" t="str">
        <f>IF(AND(J1912=0,K1912=0,L1912=0,M1912=0),"",IF(O1912=0,"PENDENTE DE RATEIO",IF(ABS(P1912)&gt;0.005,"DIVERGÊNCIA",IF(COUNTIF(RATEIOS!$A$2:$A$3142,$A1912)-COUNTIFS(RATEIOS!$A$2:$A$3142,$A1912,RATEIOS!$D$2:$D$3142,"&lt;&gt;")&gt;0,"NÃO CLASSIFICADO","RATEIO OK"))))</f>
        <v/>
      </c>
      <c r="R1912" s="49"/>
      <c r="S1912" s="14"/>
    </row>
    <row r="1913" spans="1:19" ht="30" customHeight="1" x14ac:dyDescent="0.25">
      <c r="A1913" s="49" t="str">
        <f>IF(C1913="","","BAN-01912")</f>
        <v/>
      </c>
      <c r="B1913" s="98" t="str">
        <f>IF(C1913="","",1912)</f>
        <v/>
      </c>
      <c r="C1913" s="50"/>
      <c r="D1913" s="49" t="str">
        <f t="shared" si="59"/>
        <v/>
      </c>
      <c r="E1913" s="92"/>
      <c r="F1913" s="49"/>
      <c r="G1913" s="14"/>
      <c r="H1913" s="14"/>
      <c r="I1913" s="76"/>
      <c r="J1913" s="73"/>
      <c r="K1913" s="74"/>
      <c r="L1913" s="72"/>
      <c r="M1913" s="72"/>
      <c r="N1913" s="72" t="str">
        <f>IF(AND(C1913="",J1913=0,K1913=0,L1913=0,M1913=0),"",CADASTROS!$B$4+SUM($J$2:J1913)+SUM($M$2:M1913)-SUM($K$2:K1913)-SUM($L$2:L1913))</f>
        <v/>
      </c>
      <c r="O1913" s="72" t="str">
        <f>IF(A1913="","",SUMIF(RATEIOS!$A$2:$A$3142,$A1913,RATEIOS!$F$2:$F$3142))</f>
        <v/>
      </c>
      <c r="P1913" s="15" t="str">
        <f t="shared" si="60"/>
        <v/>
      </c>
      <c r="Q1913" s="49" t="str">
        <f>IF(AND(J1913=0,K1913=0,L1913=0,M1913=0),"",IF(O1913=0,"PENDENTE DE RATEIO",IF(ABS(P1913)&gt;0.005,"DIVERGÊNCIA",IF(COUNTIF(RATEIOS!$A$2:$A$3142,$A1913)-COUNTIFS(RATEIOS!$A$2:$A$3142,$A1913,RATEIOS!$D$2:$D$3142,"&lt;&gt;")&gt;0,"NÃO CLASSIFICADO","RATEIO OK"))))</f>
        <v/>
      </c>
      <c r="R1913" s="49"/>
      <c r="S1913" s="14"/>
    </row>
    <row r="1914" spans="1:19" ht="30" customHeight="1" x14ac:dyDescent="0.25">
      <c r="A1914" s="49" t="str">
        <f>IF(C1914="","","BAN-01913")</f>
        <v/>
      </c>
      <c r="B1914" s="98" t="str">
        <f>IF(C1914="","",1913)</f>
        <v/>
      </c>
      <c r="C1914" s="50"/>
      <c r="D1914" s="49" t="str">
        <f t="shared" si="59"/>
        <v/>
      </c>
      <c r="E1914" s="92"/>
      <c r="F1914" s="49"/>
      <c r="G1914" s="14"/>
      <c r="H1914" s="14"/>
      <c r="I1914" s="76"/>
      <c r="J1914" s="73"/>
      <c r="K1914" s="74"/>
      <c r="L1914" s="72"/>
      <c r="M1914" s="72"/>
      <c r="N1914" s="72" t="str">
        <f>IF(AND(C1914="",J1914=0,K1914=0,L1914=0,M1914=0),"",CADASTROS!$B$4+SUM($J$2:J1914)+SUM($M$2:M1914)-SUM($K$2:K1914)-SUM($L$2:L1914))</f>
        <v/>
      </c>
      <c r="O1914" s="72" t="str">
        <f>IF(A1914="","",SUMIF(RATEIOS!$A$2:$A$3142,$A1914,RATEIOS!$F$2:$F$3142))</f>
        <v/>
      </c>
      <c r="P1914" s="15" t="str">
        <f t="shared" si="60"/>
        <v/>
      </c>
      <c r="Q1914" s="49" t="str">
        <f>IF(AND(J1914=0,K1914=0,L1914=0,M1914=0),"",IF(O1914=0,"PENDENTE DE RATEIO",IF(ABS(P1914)&gt;0.005,"DIVERGÊNCIA",IF(COUNTIF(RATEIOS!$A$2:$A$3142,$A1914)-COUNTIFS(RATEIOS!$A$2:$A$3142,$A1914,RATEIOS!$D$2:$D$3142,"&lt;&gt;")&gt;0,"NÃO CLASSIFICADO","RATEIO OK"))))</f>
        <v/>
      </c>
      <c r="R1914" s="49"/>
      <c r="S1914" s="14"/>
    </row>
    <row r="1915" spans="1:19" ht="30" customHeight="1" x14ac:dyDescent="0.25">
      <c r="A1915" s="49" t="str">
        <f>IF(C1915="","","BAN-01914")</f>
        <v/>
      </c>
      <c r="B1915" s="98" t="str">
        <f>IF(C1915="","",1914)</f>
        <v/>
      </c>
      <c r="C1915" s="50"/>
      <c r="D1915" s="49" t="str">
        <f t="shared" si="59"/>
        <v/>
      </c>
      <c r="E1915" s="92"/>
      <c r="F1915" s="49"/>
      <c r="G1915" s="14"/>
      <c r="H1915" s="14"/>
      <c r="I1915" s="76"/>
      <c r="J1915" s="73"/>
      <c r="K1915" s="74"/>
      <c r="L1915" s="72"/>
      <c r="M1915" s="72"/>
      <c r="N1915" s="72" t="str">
        <f>IF(AND(C1915="",J1915=0,K1915=0,L1915=0,M1915=0),"",CADASTROS!$B$4+SUM($J$2:J1915)+SUM($M$2:M1915)-SUM($K$2:K1915)-SUM($L$2:L1915))</f>
        <v/>
      </c>
      <c r="O1915" s="72" t="str">
        <f>IF(A1915="","",SUMIF(RATEIOS!$A$2:$A$3142,$A1915,RATEIOS!$F$2:$F$3142))</f>
        <v/>
      </c>
      <c r="P1915" s="15" t="str">
        <f t="shared" si="60"/>
        <v/>
      </c>
      <c r="Q1915" s="49" t="str">
        <f>IF(AND(J1915=0,K1915=0,L1915=0,M1915=0),"",IF(O1915=0,"PENDENTE DE RATEIO",IF(ABS(P1915)&gt;0.005,"DIVERGÊNCIA",IF(COUNTIF(RATEIOS!$A$2:$A$3142,$A1915)-COUNTIFS(RATEIOS!$A$2:$A$3142,$A1915,RATEIOS!$D$2:$D$3142,"&lt;&gt;")&gt;0,"NÃO CLASSIFICADO","RATEIO OK"))))</f>
        <v/>
      </c>
      <c r="R1915" s="49"/>
      <c r="S1915" s="14"/>
    </row>
    <row r="1916" spans="1:19" ht="30" customHeight="1" x14ac:dyDescent="0.25">
      <c r="A1916" s="49" t="str">
        <f>IF(C1916="","","BAN-01915")</f>
        <v/>
      </c>
      <c r="B1916" s="98" t="str">
        <f>IF(C1916="","",1915)</f>
        <v/>
      </c>
      <c r="C1916" s="50"/>
      <c r="D1916" s="49" t="str">
        <f t="shared" si="59"/>
        <v/>
      </c>
      <c r="E1916" s="92"/>
      <c r="F1916" s="49"/>
      <c r="G1916" s="14"/>
      <c r="H1916" s="14"/>
      <c r="I1916" s="76"/>
      <c r="J1916" s="73"/>
      <c r="K1916" s="74"/>
      <c r="L1916" s="72"/>
      <c r="M1916" s="72"/>
      <c r="N1916" s="72" t="str">
        <f>IF(AND(C1916="",J1916=0,K1916=0,L1916=0,M1916=0),"",CADASTROS!$B$4+SUM($J$2:J1916)+SUM($M$2:M1916)-SUM($K$2:K1916)-SUM($L$2:L1916))</f>
        <v/>
      </c>
      <c r="O1916" s="72" t="str">
        <f>IF(A1916="","",SUMIF(RATEIOS!$A$2:$A$3142,$A1916,RATEIOS!$F$2:$F$3142))</f>
        <v/>
      </c>
      <c r="P1916" s="15" t="str">
        <f t="shared" si="60"/>
        <v/>
      </c>
      <c r="Q1916" s="49" t="str">
        <f>IF(AND(J1916=0,K1916=0,L1916=0,M1916=0),"",IF(O1916=0,"PENDENTE DE RATEIO",IF(ABS(P1916)&gt;0.005,"DIVERGÊNCIA",IF(COUNTIF(RATEIOS!$A$2:$A$3142,$A1916)-COUNTIFS(RATEIOS!$A$2:$A$3142,$A1916,RATEIOS!$D$2:$D$3142,"&lt;&gt;")&gt;0,"NÃO CLASSIFICADO","RATEIO OK"))))</f>
        <v/>
      </c>
      <c r="R1916" s="49"/>
      <c r="S1916" s="14"/>
    </row>
    <row r="1917" spans="1:19" ht="30" customHeight="1" x14ac:dyDescent="0.25">
      <c r="A1917" s="49" t="str">
        <f>IF(C1917="","","BAN-01916")</f>
        <v/>
      </c>
      <c r="B1917" s="98" t="str">
        <f>IF(C1917="","",1916)</f>
        <v/>
      </c>
      <c r="C1917" s="50"/>
      <c r="D1917" s="49" t="str">
        <f t="shared" si="59"/>
        <v/>
      </c>
      <c r="E1917" s="92"/>
      <c r="F1917" s="49"/>
      <c r="G1917" s="14"/>
      <c r="H1917" s="14"/>
      <c r="I1917" s="76"/>
      <c r="J1917" s="73"/>
      <c r="K1917" s="74"/>
      <c r="L1917" s="72"/>
      <c r="M1917" s="72"/>
      <c r="N1917" s="72" t="str">
        <f>IF(AND(C1917="",J1917=0,K1917=0,L1917=0,M1917=0),"",CADASTROS!$B$4+SUM($J$2:J1917)+SUM($M$2:M1917)-SUM($K$2:K1917)-SUM($L$2:L1917))</f>
        <v/>
      </c>
      <c r="O1917" s="72" t="str">
        <f>IF(A1917="","",SUMIF(RATEIOS!$A$2:$A$3142,$A1917,RATEIOS!$F$2:$F$3142))</f>
        <v/>
      </c>
      <c r="P1917" s="15" t="str">
        <f t="shared" si="60"/>
        <v/>
      </c>
      <c r="Q1917" s="49" t="str">
        <f>IF(AND(J1917=0,K1917=0,L1917=0,M1917=0),"",IF(O1917=0,"PENDENTE DE RATEIO",IF(ABS(P1917)&gt;0.005,"DIVERGÊNCIA",IF(COUNTIF(RATEIOS!$A$2:$A$3142,$A1917)-COUNTIFS(RATEIOS!$A$2:$A$3142,$A1917,RATEIOS!$D$2:$D$3142,"&lt;&gt;")&gt;0,"NÃO CLASSIFICADO","RATEIO OK"))))</f>
        <v/>
      </c>
      <c r="R1917" s="49"/>
      <c r="S1917" s="14"/>
    </row>
    <row r="1918" spans="1:19" ht="30" customHeight="1" x14ac:dyDescent="0.25">
      <c r="A1918" s="49" t="str">
        <f>IF(C1918="","","BAN-01917")</f>
        <v/>
      </c>
      <c r="B1918" s="98" t="str">
        <f>IF(C1918="","",1917)</f>
        <v/>
      </c>
      <c r="C1918" s="50"/>
      <c r="D1918" s="49" t="str">
        <f t="shared" si="59"/>
        <v/>
      </c>
      <c r="E1918" s="92"/>
      <c r="F1918" s="49"/>
      <c r="G1918" s="14"/>
      <c r="H1918" s="14"/>
      <c r="I1918" s="76"/>
      <c r="J1918" s="73"/>
      <c r="K1918" s="74"/>
      <c r="L1918" s="72"/>
      <c r="M1918" s="72"/>
      <c r="N1918" s="72" t="str">
        <f>IF(AND(C1918="",J1918=0,K1918=0,L1918=0,M1918=0),"",CADASTROS!$B$4+SUM($J$2:J1918)+SUM($M$2:M1918)-SUM($K$2:K1918)-SUM($L$2:L1918))</f>
        <v/>
      </c>
      <c r="O1918" s="72" t="str">
        <f>IF(A1918="","",SUMIF(RATEIOS!$A$2:$A$3142,$A1918,RATEIOS!$F$2:$F$3142))</f>
        <v/>
      </c>
      <c r="P1918" s="15" t="str">
        <f t="shared" si="60"/>
        <v/>
      </c>
      <c r="Q1918" s="49" t="str">
        <f>IF(AND(J1918=0,K1918=0,L1918=0,M1918=0),"",IF(O1918=0,"PENDENTE DE RATEIO",IF(ABS(P1918)&gt;0.005,"DIVERGÊNCIA",IF(COUNTIF(RATEIOS!$A$2:$A$3142,$A1918)-COUNTIFS(RATEIOS!$A$2:$A$3142,$A1918,RATEIOS!$D$2:$D$3142,"&lt;&gt;")&gt;0,"NÃO CLASSIFICADO","RATEIO OK"))))</f>
        <v/>
      </c>
      <c r="R1918" s="49"/>
      <c r="S1918" s="14"/>
    </row>
    <row r="1919" spans="1:19" ht="30" customHeight="1" x14ac:dyDescent="0.25">
      <c r="A1919" s="49" t="str">
        <f>IF(C1919="","","BAN-01918")</f>
        <v/>
      </c>
      <c r="B1919" s="98" t="str">
        <f>IF(C1919="","",1918)</f>
        <v/>
      </c>
      <c r="C1919" s="50"/>
      <c r="D1919" s="49" t="str">
        <f t="shared" si="59"/>
        <v/>
      </c>
      <c r="E1919" s="92"/>
      <c r="F1919" s="49"/>
      <c r="G1919" s="14"/>
      <c r="H1919" s="14"/>
      <c r="I1919" s="76"/>
      <c r="J1919" s="73"/>
      <c r="K1919" s="74"/>
      <c r="L1919" s="72"/>
      <c r="M1919" s="72"/>
      <c r="N1919" s="72" t="str">
        <f>IF(AND(C1919="",J1919=0,K1919=0,L1919=0,M1919=0),"",CADASTROS!$B$4+SUM($J$2:J1919)+SUM($M$2:M1919)-SUM($K$2:K1919)-SUM($L$2:L1919))</f>
        <v/>
      </c>
      <c r="O1919" s="72" t="str">
        <f>IF(A1919="","",SUMIF(RATEIOS!$A$2:$A$3142,$A1919,RATEIOS!$F$2:$F$3142))</f>
        <v/>
      </c>
      <c r="P1919" s="15" t="str">
        <f t="shared" si="60"/>
        <v/>
      </c>
      <c r="Q1919" s="49" t="str">
        <f>IF(AND(J1919=0,K1919=0,L1919=0,M1919=0),"",IF(O1919=0,"PENDENTE DE RATEIO",IF(ABS(P1919)&gt;0.005,"DIVERGÊNCIA",IF(COUNTIF(RATEIOS!$A$2:$A$3142,$A1919)-COUNTIFS(RATEIOS!$A$2:$A$3142,$A1919,RATEIOS!$D$2:$D$3142,"&lt;&gt;")&gt;0,"NÃO CLASSIFICADO","RATEIO OK"))))</f>
        <v/>
      </c>
      <c r="R1919" s="49"/>
      <c r="S1919" s="14"/>
    </row>
    <row r="1920" spans="1:19" ht="30" customHeight="1" x14ac:dyDescent="0.25">
      <c r="A1920" s="49" t="str">
        <f>IF(C1920="","","BAN-01919")</f>
        <v/>
      </c>
      <c r="B1920" s="98" t="str">
        <f>IF(C1920="","",1919)</f>
        <v/>
      </c>
      <c r="C1920" s="50"/>
      <c r="D1920" s="49" t="str">
        <f t="shared" si="59"/>
        <v/>
      </c>
      <c r="E1920" s="92"/>
      <c r="F1920" s="49"/>
      <c r="G1920" s="14"/>
      <c r="H1920" s="14"/>
      <c r="I1920" s="76"/>
      <c r="J1920" s="73"/>
      <c r="K1920" s="74"/>
      <c r="L1920" s="72"/>
      <c r="M1920" s="72"/>
      <c r="N1920" s="72" t="str">
        <f>IF(AND(C1920="",J1920=0,K1920=0,L1920=0,M1920=0),"",CADASTROS!$B$4+SUM($J$2:J1920)+SUM($M$2:M1920)-SUM($K$2:K1920)-SUM($L$2:L1920))</f>
        <v/>
      </c>
      <c r="O1920" s="72" t="str">
        <f>IF(A1920="","",SUMIF(RATEIOS!$A$2:$A$3142,$A1920,RATEIOS!$F$2:$F$3142))</f>
        <v/>
      </c>
      <c r="P1920" s="15" t="str">
        <f t="shared" si="60"/>
        <v/>
      </c>
      <c r="Q1920" s="49" t="str">
        <f>IF(AND(J1920=0,K1920=0,L1920=0,M1920=0),"",IF(O1920=0,"PENDENTE DE RATEIO",IF(ABS(P1920)&gt;0.005,"DIVERGÊNCIA",IF(COUNTIF(RATEIOS!$A$2:$A$3142,$A1920)-COUNTIFS(RATEIOS!$A$2:$A$3142,$A1920,RATEIOS!$D$2:$D$3142,"&lt;&gt;")&gt;0,"NÃO CLASSIFICADO","RATEIO OK"))))</f>
        <v/>
      </c>
      <c r="R1920" s="49"/>
      <c r="S1920" s="14"/>
    </row>
    <row r="1921" spans="1:19" ht="30" customHeight="1" x14ac:dyDescent="0.25">
      <c r="A1921" s="49" t="str">
        <f>IF(C1921="","","BAN-01920")</f>
        <v/>
      </c>
      <c r="B1921" s="98" t="str">
        <f>IF(C1921="","",1920)</f>
        <v/>
      </c>
      <c r="C1921" s="50"/>
      <c r="D1921" s="49" t="str">
        <f t="shared" si="59"/>
        <v/>
      </c>
      <c r="E1921" s="92"/>
      <c r="F1921" s="49"/>
      <c r="G1921" s="14"/>
      <c r="H1921" s="14"/>
      <c r="I1921" s="76"/>
      <c r="J1921" s="73"/>
      <c r="K1921" s="74"/>
      <c r="L1921" s="72"/>
      <c r="M1921" s="72"/>
      <c r="N1921" s="72" t="str">
        <f>IF(AND(C1921="",J1921=0,K1921=0,L1921=0,M1921=0),"",CADASTROS!$B$4+SUM($J$2:J1921)+SUM($M$2:M1921)-SUM($K$2:K1921)-SUM($L$2:L1921))</f>
        <v/>
      </c>
      <c r="O1921" s="72" t="str">
        <f>IF(A1921="","",SUMIF(RATEIOS!$A$2:$A$3142,$A1921,RATEIOS!$F$2:$F$3142))</f>
        <v/>
      </c>
      <c r="P1921" s="15" t="str">
        <f t="shared" si="60"/>
        <v/>
      </c>
      <c r="Q1921" s="49" t="str">
        <f>IF(AND(J1921=0,K1921=0,L1921=0,M1921=0),"",IF(O1921=0,"PENDENTE DE RATEIO",IF(ABS(P1921)&gt;0.005,"DIVERGÊNCIA",IF(COUNTIF(RATEIOS!$A$2:$A$3142,$A1921)-COUNTIFS(RATEIOS!$A$2:$A$3142,$A1921,RATEIOS!$D$2:$D$3142,"&lt;&gt;")&gt;0,"NÃO CLASSIFICADO","RATEIO OK"))))</f>
        <v/>
      </c>
      <c r="R1921" s="49"/>
      <c r="S1921" s="14"/>
    </row>
    <row r="1922" spans="1:19" ht="30" customHeight="1" x14ac:dyDescent="0.25">
      <c r="A1922" s="49" t="str">
        <f>IF(C1922="","","BAN-01921")</f>
        <v/>
      </c>
      <c r="B1922" s="98" t="str">
        <f>IF(C1922="","",1921)</f>
        <v/>
      </c>
      <c r="C1922" s="50"/>
      <c r="D1922" s="49" t="str">
        <f t="shared" ref="D1922:D1985" si="61">IF(C1922="","",MONTH(C1922))</f>
        <v/>
      </c>
      <c r="E1922" s="92"/>
      <c r="F1922" s="49"/>
      <c r="G1922" s="14"/>
      <c r="H1922" s="14"/>
      <c r="I1922" s="76"/>
      <c r="J1922" s="73"/>
      <c r="K1922" s="74"/>
      <c r="L1922" s="72"/>
      <c r="M1922" s="72"/>
      <c r="N1922" s="72" t="str">
        <f>IF(AND(C1922="",J1922=0,K1922=0,L1922=0,M1922=0),"",CADASTROS!$B$4+SUM($J$2:J1922)+SUM($M$2:M1922)-SUM($K$2:K1922)-SUM($L$2:L1922))</f>
        <v/>
      </c>
      <c r="O1922" s="72" t="str">
        <f>IF(A1922="","",SUMIF(RATEIOS!$A$2:$A$3142,$A1922,RATEIOS!$F$2:$F$3142))</f>
        <v/>
      </c>
      <c r="P1922" s="15" t="str">
        <f t="shared" ref="P1922:P1985" si="62">IF(A1922="","",(J1922+K1922+L1922+M1922)-O1922)</f>
        <v/>
      </c>
      <c r="Q1922" s="49" t="str">
        <f>IF(AND(J1922=0,K1922=0,L1922=0,M1922=0),"",IF(O1922=0,"PENDENTE DE RATEIO",IF(ABS(P1922)&gt;0.005,"DIVERGÊNCIA",IF(COUNTIF(RATEIOS!$A$2:$A$3142,$A1922)-COUNTIFS(RATEIOS!$A$2:$A$3142,$A1922,RATEIOS!$D$2:$D$3142,"&lt;&gt;")&gt;0,"NÃO CLASSIFICADO","RATEIO OK"))))</f>
        <v/>
      </c>
      <c r="R1922" s="49"/>
      <c r="S1922" s="14"/>
    </row>
    <row r="1923" spans="1:19" ht="30" customHeight="1" x14ac:dyDescent="0.25">
      <c r="A1923" s="49" t="str">
        <f>IF(C1923="","","BAN-01922")</f>
        <v/>
      </c>
      <c r="B1923" s="98" t="str">
        <f>IF(C1923="","",1922)</f>
        <v/>
      </c>
      <c r="C1923" s="50"/>
      <c r="D1923" s="49" t="str">
        <f t="shared" si="61"/>
        <v/>
      </c>
      <c r="E1923" s="92"/>
      <c r="F1923" s="49"/>
      <c r="G1923" s="14"/>
      <c r="H1923" s="14"/>
      <c r="I1923" s="76"/>
      <c r="J1923" s="73"/>
      <c r="K1923" s="74"/>
      <c r="L1923" s="72"/>
      <c r="M1923" s="72"/>
      <c r="N1923" s="72" t="str">
        <f>IF(AND(C1923="",J1923=0,K1923=0,L1923=0,M1923=0),"",CADASTROS!$B$4+SUM($J$2:J1923)+SUM($M$2:M1923)-SUM($K$2:K1923)-SUM($L$2:L1923))</f>
        <v/>
      </c>
      <c r="O1923" s="72" t="str">
        <f>IF(A1923="","",SUMIF(RATEIOS!$A$2:$A$3142,$A1923,RATEIOS!$F$2:$F$3142))</f>
        <v/>
      </c>
      <c r="P1923" s="15" t="str">
        <f t="shared" si="62"/>
        <v/>
      </c>
      <c r="Q1923" s="49" t="str">
        <f>IF(AND(J1923=0,K1923=0,L1923=0,M1923=0),"",IF(O1923=0,"PENDENTE DE RATEIO",IF(ABS(P1923)&gt;0.005,"DIVERGÊNCIA",IF(COUNTIF(RATEIOS!$A$2:$A$3142,$A1923)-COUNTIFS(RATEIOS!$A$2:$A$3142,$A1923,RATEIOS!$D$2:$D$3142,"&lt;&gt;")&gt;0,"NÃO CLASSIFICADO","RATEIO OK"))))</f>
        <v/>
      </c>
      <c r="R1923" s="49"/>
      <c r="S1923" s="14"/>
    </row>
    <row r="1924" spans="1:19" ht="30" customHeight="1" x14ac:dyDescent="0.25">
      <c r="A1924" s="49" t="str">
        <f>IF(C1924="","","BAN-01923")</f>
        <v/>
      </c>
      <c r="B1924" s="98" t="str">
        <f>IF(C1924="","",1923)</f>
        <v/>
      </c>
      <c r="C1924" s="50"/>
      <c r="D1924" s="49" t="str">
        <f t="shared" si="61"/>
        <v/>
      </c>
      <c r="E1924" s="92"/>
      <c r="F1924" s="49"/>
      <c r="G1924" s="14"/>
      <c r="H1924" s="14"/>
      <c r="I1924" s="76"/>
      <c r="J1924" s="73"/>
      <c r="K1924" s="74"/>
      <c r="L1924" s="72"/>
      <c r="M1924" s="72"/>
      <c r="N1924" s="72" t="str">
        <f>IF(AND(C1924="",J1924=0,K1924=0,L1924=0,M1924=0),"",CADASTROS!$B$4+SUM($J$2:J1924)+SUM($M$2:M1924)-SUM($K$2:K1924)-SUM($L$2:L1924))</f>
        <v/>
      </c>
      <c r="O1924" s="72" t="str">
        <f>IF(A1924="","",SUMIF(RATEIOS!$A$2:$A$3142,$A1924,RATEIOS!$F$2:$F$3142))</f>
        <v/>
      </c>
      <c r="P1924" s="15" t="str">
        <f t="shared" si="62"/>
        <v/>
      </c>
      <c r="Q1924" s="49" t="str">
        <f>IF(AND(J1924=0,K1924=0,L1924=0,M1924=0),"",IF(O1924=0,"PENDENTE DE RATEIO",IF(ABS(P1924)&gt;0.005,"DIVERGÊNCIA",IF(COUNTIF(RATEIOS!$A$2:$A$3142,$A1924)-COUNTIFS(RATEIOS!$A$2:$A$3142,$A1924,RATEIOS!$D$2:$D$3142,"&lt;&gt;")&gt;0,"NÃO CLASSIFICADO","RATEIO OK"))))</f>
        <v/>
      </c>
      <c r="R1924" s="49"/>
      <c r="S1924" s="14"/>
    </row>
    <row r="1925" spans="1:19" ht="30" customHeight="1" x14ac:dyDescent="0.25">
      <c r="A1925" s="49" t="str">
        <f>IF(C1925="","","BAN-01924")</f>
        <v/>
      </c>
      <c r="B1925" s="98" t="str">
        <f>IF(C1925="","",1924)</f>
        <v/>
      </c>
      <c r="C1925" s="50"/>
      <c r="D1925" s="49" t="str">
        <f t="shared" si="61"/>
        <v/>
      </c>
      <c r="E1925" s="92"/>
      <c r="F1925" s="49"/>
      <c r="G1925" s="14"/>
      <c r="H1925" s="14"/>
      <c r="I1925" s="76"/>
      <c r="J1925" s="73"/>
      <c r="K1925" s="74"/>
      <c r="L1925" s="72"/>
      <c r="M1925" s="72"/>
      <c r="N1925" s="72" t="str">
        <f>IF(AND(C1925="",J1925=0,K1925=0,L1925=0,M1925=0),"",CADASTROS!$B$4+SUM($J$2:J1925)+SUM($M$2:M1925)-SUM($K$2:K1925)-SUM($L$2:L1925))</f>
        <v/>
      </c>
      <c r="O1925" s="72" t="str">
        <f>IF(A1925="","",SUMIF(RATEIOS!$A$2:$A$3142,$A1925,RATEIOS!$F$2:$F$3142))</f>
        <v/>
      </c>
      <c r="P1925" s="15" t="str">
        <f t="shared" si="62"/>
        <v/>
      </c>
      <c r="Q1925" s="49" t="str">
        <f>IF(AND(J1925=0,K1925=0,L1925=0,M1925=0),"",IF(O1925=0,"PENDENTE DE RATEIO",IF(ABS(P1925)&gt;0.005,"DIVERGÊNCIA",IF(COUNTIF(RATEIOS!$A$2:$A$3142,$A1925)-COUNTIFS(RATEIOS!$A$2:$A$3142,$A1925,RATEIOS!$D$2:$D$3142,"&lt;&gt;")&gt;0,"NÃO CLASSIFICADO","RATEIO OK"))))</f>
        <v/>
      </c>
      <c r="R1925" s="49"/>
      <c r="S1925" s="14"/>
    </row>
    <row r="1926" spans="1:19" ht="30" customHeight="1" x14ac:dyDescent="0.25">
      <c r="A1926" s="49" t="str">
        <f>IF(C1926="","","BAN-01925")</f>
        <v/>
      </c>
      <c r="B1926" s="98" t="str">
        <f>IF(C1926="","",1925)</f>
        <v/>
      </c>
      <c r="C1926" s="50"/>
      <c r="D1926" s="49" t="str">
        <f t="shared" si="61"/>
        <v/>
      </c>
      <c r="E1926" s="92"/>
      <c r="F1926" s="49"/>
      <c r="G1926" s="14"/>
      <c r="H1926" s="14"/>
      <c r="I1926" s="76"/>
      <c r="J1926" s="73"/>
      <c r="K1926" s="74"/>
      <c r="L1926" s="72"/>
      <c r="M1926" s="72"/>
      <c r="N1926" s="72" t="str">
        <f>IF(AND(C1926="",J1926=0,K1926=0,L1926=0,M1926=0),"",CADASTROS!$B$4+SUM($J$2:J1926)+SUM($M$2:M1926)-SUM($K$2:K1926)-SUM($L$2:L1926))</f>
        <v/>
      </c>
      <c r="O1926" s="72" t="str">
        <f>IF(A1926="","",SUMIF(RATEIOS!$A$2:$A$3142,$A1926,RATEIOS!$F$2:$F$3142))</f>
        <v/>
      </c>
      <c r="P1926" s="15" t="str">
        <f t="shared" si="62"/>
        <v/>
      </c>
      <c r="Q1926" s="49" t="str">
        <f>IF(AND(J1926=0,K1926=0,L1926=0,M1926=0),"",IF(O1926=0,"PENDENTE DE RATEIO",IF(ABS(P1926)&gt;0.005,"DIVERGÊNCIA",IF(COUNTIF(RATEIOS!$A$2:$A$3142,$A1926)-COUNTIFS(RATEIOS!$A$2:$A$3142,$A1926,RATEIOS!$D$2:$D$3142,"&lt;&gt;")&gt;0,"NÃO CLASSIFICADO","RATEIO OK"))))</f>
        <v/>
      </c>
      <c r="R1926" s="49"/>
      <c r="S1926" s="14"/>
    </row>
    <row r="1927" spans="1:19" ht="30" customHeight="1" x14ac:dyDescent="0.25">
      <c r="A1927" s="49" t="str">
        <f>IF(C1927="","","BAN-01926")</f>
        <v/>
      </c>
      <c r="B1927" s="98" t="str">
        <f>IF(C1927="","",1926)</f>
        <v/>
      </c>
      <c r="C1927" s="50"/>
      <c r="D1927" s="49" t="str">
        <f t="shared" si="61"/>
        <v/>
      </c>
      <c r="E1927" s="92"/>
      <c r="F1927" s="49"/>
      <c r="G1927" s="14"/>
      <c r="H1927" s="14"/>
      <c r="I1927" s="76"/>
      <c r="J1927" s="73"/>
      <c r="K1927" s="74"/>
      <c r="L1927" s="72"/>
      <c r="M1927" s="72"/>
      <c r="N1927" s="72" t="str">
        <f>IF(AND(C1927="",J1927=0,K1927=0,L1927=0,M1927=0),"",CADASTROS!$B$4+SUM($J$2:J1927)+SUM($M$2:M1927)-SUM($K$2:K1927)-SUM($L$2:L1927))</f>
        <v/>
      </c>
      <c r="O1927" s="72" t="str">
        <f>IF(A1927="","",SUMIF(RATEIOS!$A$2:$A$3142,$A1927,RATEIOS!$F$2:$F$3142))</f>
        <v/>
      </c>
      <c r="P1927" s="15" t="str">
        <f t="shared" si="62"/>
        <v/>
      </c>
      <c r="Q1927" s="49" t="str">
        <f>IF(AND(J1927=0,K1927=0,L1927=0,M1927=0),"",IF(O1927=0,"PENDENTE DE RATEIO",IF(ABS(P1927)&gt;0.005,"DIVERGÊNCIA",IF(COUNTIF(RATEIOS!$A$2:$A$3142,$A1927)-COUNTIFS(RATEIOS!$A$2:$A$3142,$A1927,RATEIOS!$D$2:$D$3142,"&lt;&gt;")&gt;0,"NÃO CLASSIFICADO","RATEIO OK"))))</f>
        <v/>
      </c>
      <c r="R1927" s="49"/>
      <c r="S1927" s="14"/>
    </row>
    <row r="1928" spans="1:19" ht="30" customHeight="1" x14ac:dyDescent="0.25">
      <c r="A1928" s="49" t="str">
        <f>IF(C1928="","","BAN-01927")</f>
        <v/>
      </c>
      <c r="B1928" s="98" t="str">
        <f>IF(C1928="","",1927)</f>
        <v/>
      </c>
      <c r="C1928" s="50"/>
      <c r="D1928" s="49" t="str">
        <f t="shared" si="61"/>
        <v/>
      </c>
      <c r="E1928" s="92"/>
      <c r="F1928" s="49"/>
      <c r="G1928" s="14"/>
      <c r="H1928" s="14"/>
      <c r="I1928" s="76"/>
      <c r="J1928" s="73"/>
      <c r="K1928" s="74"/>
      <c r="L1928" s="72"/>
      <c r="M1928" s="72"/>
      <c r="N1928" s="72" t="str">
        <f>IF(AND(C1928="",J1928=0,K1928=0,L1928=0,M1928=0),"",CADASTROS!$B$4+SUM($J$2:J1928)+SUM($M$2:M1928)-SUM($K$2:K1928)-SUM($L$2:L1928))</f>
        <v/>
      </c>
      <c r="O1928" s="72" t="str">
        <f>IF(A1928="","",SUMIF(RATEIOS!$A$2:$A$3142,$A1928,RATEIOS!$F$2:$F$3142))</f>
        <v/>
      </c>
      <c r="P1928" s="15" t="str">
        <f t="shared" si="62"/>
        <v/>
      </c>
      <c r="Q1928" s="49" t="str">
        <f>IF(AND(J1928=0,K1928=0,L1928=0,M1928=0),"",IF(O1928=0,"PENDENTE DE RATEIO",IF(ABS(P1928)&gt;0.005,"DIVERGÊNCIA",IF(COUNTIF(RATEIOS!$A$2:$A$3142,$A1928)-COUNTIFS(RATEIOS!$A$2:$A$3142,$A1928,RATEIOS!$D$2:$D$3142,"&lt;&gt;")&gt;0,"NÃO CLASSIFICADO","RATEIO OK"))))</f>
        <v/>
      </c>
      <c r="R1928" s="49"/>
      <c r="S1928" s="14"/>
    </row>
    <row r="1929" spans="1:19" ht="30" customHeight="1" x14ac:dyDescent="0.25">
      <c r="A1929" s="49" t="str">
        <f>IF(C1929="","","BAN-01928")</f>
        <v/>
      </c>
      <c r="B1929" s="98" t="str">
        <f>IF(C1929="","",1928)</f>
        <v/>
      </c>
      <c r="C1929" s="50"/>
      <c r="D1929" s="49" t="str">
        <f t="shared" si="61"/>
        <v/>
      </c>
      <c r="E1929" s="92"/>
      <c r="F1929" s="49"/>
      <c r="G1929" s="14"/>
      <c r="H1929" s="14"/>
      <c r="I1929" s="76"/>
      <c r="J1929" s="73"/>
      <c r="K1929" s="74"/>
      <c r="L1929" s="72"/>
      <c r="M1929" s="72"/>
      <c r="N1929" s="72" t="str">
        <f>IF(AND(C1929="",J1929=0,K1929=0,L1929=0,M1929=0),"",CADASTROS!$B$4+SUM($J$2:J1929)+SUM($M$2:M1929)-SUM($K$2:K1929)-SUM($L$2:L1929))</f>
        <v/>
      </c>
      <c r="O1929" s="72" t="str">
        <f>IF(A1929="","",SUMIF(RATEIOS!$A$2:$A$3142,$A1929,RATEIOS!$F$2:$F$3142))</f>
        <v/>
      </c>
      <c r="P1929" s="15" t="str">
        <f t="shared" si="62"/>
        <v/>
      </c>
      <c r="Q1929" s="49" t="str">
        <f>IF(AND(J1929=0,K1929=0,L1929=0,M1929=0),"",IF(O1929=0,"PENDENTE DE RATEIO",IF(ABS(P1929)&gt;0.005,"DIVERGÊNCIA",IF(COUNTIF(RATEIOS!$A$2:$A$3142,$A1929)-COUNTIFS(RATEIOS!$A$2:$A$3142,$A1929,RATEIOS!$D$2:$D$3142,"&lt;&gt;")&gt;0,"NÃO CLASSIFICADO","RATEIO OK"))))</f>
        <v/>
      </c>
      <c r="R1929" s="49"/>
      <c r="S1929" s="14"/>
    </row>
    <row r="1930" spans="1:19" ht="30" customHeight="1" x14ac:dyDescent="0.25">
      <c r="A1930" s="49" t="str">
        <f>IF(C1930="","","BAN-01929")</f>
        <v/>
      </c>
      <c r="B1930" s="98" t="str">
        <f>IF(C1930="","",1929)</f>
        <v/>
      </c>
      <c r="C1930" s="50"/>
      <c r="D1930" s="49" t="str">
        <f t="shared" si="61"/>
        <v/>
      </c>
      <c r="E1930" s="92"/>
      <c r="F1930" s="49"/>
      <c r="G1930" s="14"/>
      <c r="H1930" s="14"/>
      <c r="I1930" s="76"/>
      <c r="J1930" s="73"/>
      <c r="K1930" s="74"/>
      <c r="L1930" s="72"/>
      <c r="M1930" s="72"/>
      <c r="N1930" s="72" t="str">
        <f>IF(AND(C1930="",J1930=0,K1930=0,L1930=0,M1930=0),"",CADASTROS!$B$4+SUM($J$2:J1930)+SUM($M$2:M1930)-SUM($K$2:K1930)-SUM($L$2:L1930))</f>
        <v/>
      </c>
      <c r="O1930" s="72" t="str">
        <f>IF(A1930="","",SUMIF(RATEIOS!$A$2:$A$3142,$A1930,RATEIOS!$F$2:$F$3142))</f>
        <v/>
      </c>
      <c r="P1930" s="15" t="str">
        <f t="shared" si="62"/>
        <v/>
      </c>
      <c r="Q1930" s="49" t="str">
        <f>IF(AND(J1930=0,K1930=0,L1930=0,M1930=0),"",IF(O1930=0,"PENDENTE DE RATEIO",IF(ABS(P1930)&gt;0.005,"DIVERGÊNCIA",IF(COUNTIF(RATEIOS!$A$2:$A$3142,$A1930)-COUNTIFS(RATEIOS!$A$2:$A$3142,$A1930,RATEIOS!$D$2:$D$3142,"&lt;&gt;")&gt;0,"NÃO CLASSIFICADO","RATEIO OK"))))</f>
        <v/>
      </c>
      <c r="R1930" s="49"/>
      <c r="S1930" s="14"/>
    </row>
    <row r="1931" spans="1:19" ht="30" customHeight="1" x14ac:dyDescent="0.25">
      <c r="A1931" s="49" t="str">
        <f>IF(C1931="","","BAN-01930")</f>
        <v/>
      </c>
      <c r="B1931" s="98" t="str">
        <f>IF(C1931="","",1930)</f>
        <v/>
      </c>
      <c r="C1931" s="50"/>
      <c r="D1931" s="49" t="str">
        <f t="shared" si="61"/>
        <v/>
      </c>
      <c r="E1931" s="92"/>
      <c r="F1931" s="49"/>
      <c r="G1931" s="14"/>
      <c r="H1931" s="14"/>
      <c r="I1931" s="76"/>
      <c r="J1931" s="73"/>
      <c r="K1931" s="74"/>
      <c r="L1931" s="72"/>
      <c r="M1931" s="72"/>
      <c r="N1931" s="72" t="str">
        <f>IF(AND(C1931="",J1931=0,K1931=0,L1931=0,M1931=0),"",CADASTROS!$B$4+SUM($J$2:J1931)+SUM($M$2:M1931)-SUM($K$2:K1931)-SUM($L$2:L1931))</f>
        <v/>
      </c>
      <c r="O1931" s="72" t="str">
        <f>IF(A1931="","",SUMIF(RATEIOS!$A$2:$A$3142,$A1931,RATEIOS!$F$2:$F$3142))</f>
        <v/>
      </c>
      <c r="P1931" s="15" t="str">
        <f t="shared" si="62"/>
        <v/>
      </c>
      <c r="Q1931" s="49" t="str">
        <f>IF(AND(J1931=0,K1931=0,L1931=0,M1931=0),"",IF(O1931=0,"PENDENTE DE RATEIO",IF(ABS(P1931)&gt;0.005,"DIVERGÊNCIA",IF(COUNTIF(RATEIOS!$A$2:$A$3142,$A1931)-COUNTIFS(RATEIOS!$A$2:$A$3142,$A1931,RATEIOS!$D$2:$D$3142,"&lt;&gt;")&gt;0,"NÃO CLASSIFICADO","RATEIO OK"))))</f>
        <v/>
      </c>
      <c r="R1931" s="49"/>
      <c r="S1931" s="14"/>
    </row>
    <row r="1932" spans="1:19" ht="30" customHeight="1" x14ac:dyDescent="0.25">
      <c r="A1932" s="49" t="str">
        <f>IF(C1932="","","BAN-01931")</f>
        <v/>
      </c>
      <c r="B1932" s="98" t="str">
        <f>IF(C1932="","",1931)</f>
        <v/>
      </c>
      <c r="C1932" s="50"/>
      <c r="D1932" s="49" t="str">
        <f t="shared" si="61"/>
        <v/>
      </c>
      <c r="E1932" s="92"/>
      <c r="F1932" s="49"/>
      <c r="G1932" s="14"/>
      <c r="H1932" s="14"/>
      <c r="I1932" s="76"/>
      <c r="J1932" s="73"/>
      <c r="K1932" s="74"/>
      <c r="L1932" s="72"/>
      <c r="M1932" s="72"/>
      <c r="N1932" s="72" t="str">
        <f>IF(AND(C1932="",J1932=0,K1932=0,L1932=0,M1932=0),"",CADASTROS!$B$4+SUM($J$2:J1932)+SUM($M$2:M1932)-SUM($K$2:K1932)-SUM($L$2:L1932))</f>
        <v/>
      </c>
      <c r="O1932" s="72" t="str">
        <f>IF(A1932="","",SUMIF(RATEIOS!$A$2:$A$3142,$A1932,RATEIOS!$F$2:$F$3142))</f>
        <v/>
      </c>
      <c r="P1932" s="15" t="str">
        <f t="shared" si="62"/>
        <v/>
      </c>
      <c r="Q1932" s="49" t="str">
        <f>IF(AND(J1932=0,K1932=0,L1932=0,M1932=0),"",IF(O1932=0,"PENDENTE DE RATEIO",IF(ABS(P1932)&gt;0.005,"DIVERGÊNCIA",IF(COUNTIF(RATEIOS!$A$2:$A$3142,$A1932)-COUNTIFS(RATEIOS!$A$2:$A$3142,$A1932,RATEIOS!$D$2:$D$3142,"&lt;&gt;")&gt;0,"NÃO CLASSIFICADO","RATEIO OK"))))</f>
        <v/>
      </c>
      <c r="R1932" s="49"/>
      <c r="S1932" s="14"/>
    </row>
    <row r="1933" spans="1:19" ht="30" customHeight="1" x14ac:dyDescent="0.25">
      <c r="A1933" s="49" t="str">
        <f>IF(C1933="","","BAN-01932")</f>
        <v/>
      </c>
      <c r="B1933" s="98" t="str">
        <f>IF(C1933="","",1932)</f>
        <v/>
      </c>
      <c r="C1933" s="50"/>
      <c r="D1933" s="49" t="str">
        <f t="shared" si="61"/>
        <v/>
      </c>
      <c r="E1933" s="92"/>
      <c r="F1933" s="49"/>
      <c r="G1933" s="14"/>
      <c r="H1933" s="14"/>
      <c r="I1933" s="76"/>
      <c r="J1933" s="73"/>
      <c r="K1933" s="74"/>
      <c r="L1933" s="72"/>
      <c r="M1933" s="72"/>
      <c r="N1933" s="72" t="str">
        <f>IF(AND(C1933="",J1933=0,K1933=0,L1933=0,M1933=0),"",CADASTROS!$B$4+SUM($J$2:J1933)+SUM($M$2:M1933)-SUM($K$2:K1933)-SUM($L$2:L1933))</f>
        <v/>
      </c>
      <c r="O1933" s="72" t="str">
        <f>IF(A1933="","",SUMIF(RATEIOS!$A$2:$A$3142,$A1933,RATEIOS!$F$2:$F$3142))</f>
        <v/>
      </c>
      <c r="P1933" s="15" t="str">
        <f t="shared" si="62"/>
        <v/>
      </c>
      <c r="Q1933" s="49" t="str">
        <f>IF(AND(J1933=0,K1933=0,L1933=0,M1933=0),"",IF(O1933=0,"PENDENTE DE RATEIO",IF(ABS(P1933)&gt;0.005,"DIVERGÊNCIA",IF(COUNTIF(RATEIOS!$A$2:$A$3142,$A1933)-COUNTIFS(RATEIOS!$A$2:$A$3142,$A1933,RATEIOS!$D$2:$D$3142,"&lt;&gt;")&gt;0,"NÃO CLASSIFICADO","RATEIO OK"))))</f>
        <v/>
      </c>
      <c r="R1933" s="49"/>
      <c r="S1933" s="14"/>
    </row>
    <row r="1934" spans="1:19" ht="30" customHeight="1" x14ac:dyDescent="0.25">
      <c r="A1934" s="49" t="str">
        <f>IF(C1934="","","BAN-01933")</f>
        <v/>
      </c>
      <c r="B1934" s="98" t="str">
        <f>IF(C1934="","",1933)</f>
        <v/>
      </c>
      <c r="C1934" s="50"/>
      <c r="D1934" s="49" t="str">
        <f t="shared" si="61"/>
        <v/>
      </c>
      <c r="E1934" s="92"/>
      <c r="F1934" s="49"/>
      <c r="G1934" s="14"/>
      <c r="H1934" s="14"/>
      <c r="I1934" s="76"/>
      <c r="J1934" s="73"/>
      <c r="K1934" s="74"/>
      <c r="L1934" s="72"/>
      <c r="M1934" s="72"/>
      <c r="N1934" s="72" t="str">
        <f>IF(AND(C1934="",J1934=0,K1934=0,L1934=0,M1934=0),"",CADASTROS!$B$4+SUM($J$2:J1934)+SUM($M$2:M1934)-SUM($K$2:K1934)-SUM($L$2:L1934))</f>
        <v/>
      </c>
      <c r="O1934" s="72" t="str">
        <f>IF(A1934="","",SUMIF(RATEIOS!$A$2:$A$3142,$A1934,RATEIOS!$F$2:$F$3142))</f>
        <v/>
      </c>
      <c r="P1934" s="15" t="str">
        <f t="shared" si="62"/>
        <v/>
      </c>
      <c r="Q1934" s="49" t="str">
        <f>IF(AND(J1934=0,K1934=0,L1934=0,M1934=0),"",IF(O1934=0,"PENDENTE DE RATEIO",IF(ABS(P1934)&gt;0.005,"DIVERGÊNCIA",IF(COUNTIF(RATEIOS!$A$2:$A$3142,$A1934)-COUNTIFS(RATEIOS!$A$2:$A$3142,$A1934,RATEIOS!$D$2:$D$3142,"&lt;&gt;")&gt;0,"NÃO CLASSIFICADO","RATEIO OK"))))</f>
        <v/>
      </c>
      <c r="R1934" s="49"/>
      <c r="S1934" s="14"/>
    </row>
    <row r="1935" spans="1:19" ht="30" customHeight="1" x14ac:dyDescent="0.25">
      <c r="A1935" s="49" t="str">
        <f>IF(C1935="","","BAN-01934")</f>
        <v/>
      </c>
      <c r="B1935" s="98" t="str">
        <f>IF(C1935="","",1934)</f>
        <v/>
      </c>
      <c r="C1935" s="50"/>
      <c r="D1935" s="49" t="str">
        <f t="shared" si="61"/>
        <v/>
      </c>
      <c r="E1935" s="92"/>
      <c r="F1935" s="49"/>
      <c r="G1935" s="14"/>
      <c r="H1935" s="14"/>
      <c r="I1935" s="76"/>
      <c r="J1935" s="73"/>
      <c r="K1935" s="74"/>
      <c r="L1935" s="72"/>
      <c r="M1935" s="72"/>
      <c r="N1935" s="72" t="str">
        <f>IF(AND(C1935="",J1935=0,K1935=0,L1935=0,M1935=0),"",CADASTROS!$B$4+SUM($J$2:J1935)+SUM($M$2:M1935)-SUM($K$2:K1935)-SUM($L$2:L1935))</f>
        <v/>
      </c>
      <c r="O1935" s="72" t="str">
        <f>IF(A1935="","",SUMIF(RATEIOS!$A$2:$A$3142,$A1935,RATEIOS!$F$2:$F$3142))</f>
        <v/>
      </c>
      <c r="P1935" s="15" t="str">
        <f t="shared" si="62"/>
        <v/>
      </c>
      <c r="Q1935" s="49" t="str">
        <f>IF(AND(J1935=0,K1935=0,L1935=0,M1935=0),"",IF(O1935=0,"PENDENTE DE RATEIO",IF(ABS(P1935)&gt;0.005,"DIVERGÊNCIA",IF(COUNTIF(RATEIOS!$A$2:$A$3142,$A1935)-COUNTIFS(RATEIOS!$A$2:$A$3142,$A1935,RATEIOS!$D$2:$D$3142,"&lt;&gt;")&gt;0,"NÃO CLASSIFICADO","RATEIO OK"))))</f>
        <v/>
      </c>
      <c r="R1935" s="49"/>
      <c r="S1935" s="14"/>
    </row>
    <row r="1936" spans="1:19" ht="30" customHeight="1" x14ac:dyDescent="0.25">
      <c r="A1936" s="49" t="str">
        <f>IF(C1936="","","BAN-01935")</f>
        <v/>
      </c>
      <c r="B1936" s="98" t="str">
        <f>IF(C1936="","",1935)</f>
        <v/>
      </c>
      <c r="C1936" s="50"/>
      <c r="D1936" s="49" t="str">
        <f t="shared" si="61"/>
        <v/>
      </c>
      <c r="E1936" s="92"/>
      <c r="F1936" s="49"/>
      <c r="G1936" s="14"/>
      <c r="H1936" s="14"/>
      <c r="I1936" s="76"/>
      <c r="J1936" s="73"/>
      <c r="K1936" s="74"/>
      <c r="L1936" s="72"/>
      <c r="M1936" s="72"/>
      <c r="N1936" s="72" t="str">
        <f>IF(AND(C1936="",J1936=0,K1936=0,L1936=0,M1936=0),"",CADASTROS!$B$4+SUM($J$2:J1936)+SUM($M$2:M1936)-SUM($K$2:K1936)-SUM($L$2:L1936))</f>
        <v/>
      </c>
      <c r="O1936" s="72" t="str">
        <f>IF(A1936="","",SUMIF(RATEIOS!$A$2:$A$3142,$A1936,RATEIOS!$F$2:$F$3142))</f>
        <v/>
      </c>
      <c r="P1936" s="15" t="str">
        <f t="shared" si="62"/>
        <v/>
      </c>
      <c r="Q1936" s="49" t="str">
        <f>IF(AND(J1936=0,K1936=0,L1936=0,M1936=0),"",IF(O1936=0,"PENDENTE DE RATEIO",IF(ABS(P1936)&gt;0.005,"DIVERGÊNCIA",IF(COUNTIF(RATEIOS!$A$2:$A$3142,$A1936)-COUNTIFS(RATEIOS!$A$2:$A$3142,$A1936,RATEIOS!$D$2:$D$3142,"&lt;&gt;")&gt;0,"NÃO CLASSIFICADO","RATEIO OK"))))</f>
        <v/>
      </c>
      <c r="R1936" s="49"/>
      <c r="S1936" s="14"/>
    </row>
    <row r="1937" spans="1:19" ht="30" customHeight="1" x14ac:dyDescent="0.25">
      <c r="A1937" s="49" t="str">
        <f>IF(C1937="","","BAN-01936")</f>
        <v/>
      </c>
      <c r="B1937" s="98" t="str">
        <f>IF(C1937="","",1936)</f>
        <v/>
      </c>
      <c r="C1937" s="50"/>
      <c r="D1937" s="49" t="str">
        <f t="shared" si="61"/>
        <v/>
      </c>
      <c r="E1937" s="92"/>
      <c r="F1937" s="49"/>
      <c r="G1937" s="14"/>
      <c r="H1937" s="14"/>
      <c r="I1937" s="76"/>
      <c r="J1937" s="73"/>
      <c r="K1937" s="74"/>
      <c r="L1937" s="72"/>
      <c r="M1937" s="72"/>
      <c r="N1937" s="72" t="str">
        <f>IF(AND(C1937="",J1937=0,K1937=0,L1937=0,M1937=0),"",CADASTROS!$B$4+SUM($J$2:J1937)+SUM($M$2:M1937)-SUM($K$2:K1937)-SUM($L$2:L1937))</f>
        <v/>
      </c>
      <c r="O1937" s="72" t="str">
        <f>IF(A1937="","",SUMIF(RATEIOS!$A$2:$A$3142,$A1937,RATEIOS!$F$2:$F$3142))</f>
        <v/>
      </c>
      <c r="P1937" s="15" t="str">
        <f t="shared" si="62"/>
        <v/>
      </c>
      <c r="Q1937" s="49" t="str">
        <f>IF(AND(J1937=0,K1937=0,L1937=0,M1937=0),"",IF(O1937=0,"PENDENTE DE RATEIO",IF(ABS(P1937)&gt;0.005,"DIVERGÊNCIA",IF(COUNTIF(RATEIOS!$A$2:$A$3142,$A1937)-COUNTIFS(RATEIOS!$A$2:$A$3142,$A1937,RATEIOS!$D$2:$D$3142,"&lt;&gt;")&gt;0,"NÃO CLASSIFICADO","RATEIO OK"))))</f>
        <v/>
      </c>
      <c r="R1937" s="49"/>
      <c r="S1937" s="14"/>
    </row>
    <row r="1938" spans="1:19" ht="30" customHeight="1" x14ac:dyDescent="0.25">
      <c r="A1938" s="49" t="str">
        <f>IF(C1938="","","BAN-01937")</f>
        <v/>
      </c>
      <c r="B1938" s="98" t="str">
        <f>IF(C1938="","",1937)</f>
        <v/>
      </c>
      <c r="C1938" s="50"/>
      <c r="D1938" s="49" t="str">
        <f t="shared" si="61"/>
        <v/>
      </c>
      <c r="E1938" s="92"/>
      <c r="F1938" s="49"/>
      <c r="G1938" s="14"/>
      <c r="H1938" s="14"/>
      <c r="I1938" s="76"/>
      <c r="J1938" s="73"/>
      <c r="K1938" s="74"/>
      <c r="L1938" s="72"/>
      <c r="M1938" s="72"/>
      <c r="N1938" s="72" t="str">
        <f>IF(AND(C1938="",J1938=0,K1938=0,L1938=0,M1938=0),"",CADASTROS!$B$4+SUM($J$2:J1938)+SUM($M$2:M1938)-SUM($K$2:K1938)-SUM($L$2:L1938))</f>
        <v/>
      </c>
      <c r="O1938" s="72" t="str">
        <f>IF(A1938="","",SUMIF(RATEIOS!$A$2:$A$3142,$A1938,RATEIOS!$F$2:$F$3142))</f>
        <v/>
      </c>
      <c r="P1938" s="15" t="str">
        <f t="shared" si="62"/>
        <v/>
      </c>
      <c r="Q1938" s="49" t="str">
        <f>IF(AND(J1938=0,K1938=0,L1938=0,M1938=0),"",IF(O1938=0,"PENDENTE DE RATEIO",IF(ABS(P1938)&gt;0.005,"DIVERGÊNCIA",IF(COUNTIF(RATEIOS!$A$2:$A$3142,$A1938)-COUNTIFS(RATEIOS!$A$2:$A$3142,$A1938,RATEIOS!$D$2:$D$3142,"&lt;&gt;")&gt;0,"NÃO CLASSIFICADO","RATEIO OK"))))</f>
        <v/>
      </c>
      <c r="R1938" s="49"/>
      <c r="S1938" s="14"/>
    </row>
    <row r="1939" spans="1:19" ht="30" customHeight="1" x14ac:dyDescent="0.25">
      <c r="A1939" s="49" t="str">
        <f>IF(C1939="","","BAN-01938")</f>
        <v/>
      </c>
      <c r="B1939" s="98" t="str">
        <f>IF(C1939="","",1938)</f>
        <v/>
      </c>
      <c r="C1939" s="50"/>
      <c r="D1939" s="49" t="str">
        <f t="shared" si="61"/>
        <v/>
      </c>
      <c r="E1939" s="92"/>
      <c r="F1939" s="49"/>
      <c r="G1939" s="14"/>
      <c r="H1939" s="14"/>
      <c r="I1939" s="76"/>
      <c r="J1939" s="73"/>
      <c r="K1939" s="74"/>
      <c r="L1939" s="72"/>
      <c r="M1939" s="72"/>
      <c r="N1939" s="72" t="str">
        <f>IF(AND(C1939="",J1939=0,K1939=0,L1939=0,M1939=0),"",CADASTROS!$B$4+SUM($J$2:J1939)+SUM($M$2:M1939)-SUM($K$2:K1939)-SUM($L$2:L1939))</f>
        <v/>
      </c>
      <c r="O1939" s="72" t="str">
        <f>IF(A1939="","",SUMIF(RATEIOS!$A$2:$A$3142,$A1939,RATEIOS!$F$2:$F$3142))</f>
        <v/>
      </c>
      <c r="P1939" s="15" t="str">
        <f t="shared" si="62"/>
        <v/>
      </c>
      <c r="Q1939" s="49" t="str">
        <f>IF(AND(J1939=0,K1939=0,L1939=0,M1939=0),"",IF(O1939=0,"PENDENTE DE RATEIO",IF(ABS(P1939)&gt;0.005,"DIVERGÊNCIA",IF(COUNTIF(RATEIOS!$A$2:$A$3142,$A1939)-COUNTIFS(RATEIOS!$A$2:$A$3142,$A1939,RATEIOS!$D$2:$D$3142,"&lt;&gt;")&gt;0,"NÃO CLASSIFICADO","RATEIO OK"))))</f>
        <v/>
      </c>
      <c r="R1939" s="49"/>
      <c r="S1939" s="14"/>
    </row>
    <row r="1940" spans="1:19" ht="30" customHeight="1" x14ac:dyDescent="0.25">
      <c r="A1940" s="49" t="str">
        <f>IF(C1940="","","BAN-01939")</f>
        <v/>
      </c>
      <c r="B1940" s="98" t="str">
        <f>IF(C1940="","",1939)</f>
        <v/>
      </c>
      <c r="C1940" s="50"/>
      <c r="D1940" s="49" t="str">
        <f t="shared" si="61"/>
        <v/>
      </c>
      <c r="E1940" s="92"/>
      <c r="F1940" s="49"/>
      <c r="G1940" s="14"/>
      <c r="H1940" s="14"/>
      <c r="I1940" s="76"/>
      <c r="J1940" s="73"/>
      <c r="K1940" s="74"/>
      <c r="L1940" s="72"/>
      <c r="M1940" s="72"/>
      <c r="N1940" s="72" t="str">
        <f>IF(AND(C1940="",J1940=0,K1940=0,L1940=0,M1940=0),"",CADASTROS!$B$4+SUM($J$2:J1940)+SUM($M$2:M1940)-SUM($K$2:K1940)-SUM($L$2:L1940))</f>
        <v/>
      </c>
      <c r="O1940" s="72" t="str">
        <f>IF(A1940="","",SUMIF(RATEIOS!$A$2:$A$3142,$A1940,RATEIOS!$F$2:$F$3142))</f>
        <v/>
      </c>
      <c r="P1940" s="15" t="str">
        <f t="shared" si="62"/>
        <v/>
      </c>
      <c r="Q1940" s="49" t="str">
        <f>IF(AND(J1940=0,K1940=0,L1940=0,M1940=0),"",IF(O1940=0,"PENDENTE DE RATEIO",IF(ABS(P1940)&gt;0.005,"DIVERGÊNCIA",IF(COUNTIF(RATEIOS!$A$2:$A$3142,$A1940)-COUNTIFS(RATEIOS!$A$2:$A$3142,$A1940,RATEIOS!$D$2:$D$3142,"&lt;&gt;")&gt;0,"NÃO CLASSIFICADO","RATEIO OK"))))</f>
        <v/>
      </c>
      <c r="R1940" s="49"/>
      <c r="S1940" s="14"/>
    </row>
    <row r="1941" spans="1:19" ht="30" customHeight="1" x14ac:dyDescent="0.25">
      <c r="A1941" s="49" t="str">
        <f>IF(C1941="","","BAN-01940")</f>
        <v/>
      </c>
      <c r="B1941" s="98" t="str">
        <f>IF(C1941="","",1940)</f>
        <v/>
      </c>
      <c r="C1941" s="50"/>
      <c r="D1941" s="49" t="str">
        <f t="shared" si="61"/>
        <v/>
      </c>
      <c r="E1941" s="92"/>
      <c r="F1941" s="49"/>
      <c r="G1941" s="14"/>
      <c r="H1941" s="14"/>
      <c r="I1941" s="76"/>
      <c r="J1941" s="73"/>
      <c r="K1941" s="74"/>
      <c r="L1941" s="72"/>
      <c r="M1941" s="72"/>
      <c r="N1941" s="72" t="str">
        <f>IF(AND(C1941="",J1941=0,K1941=0,L1941=0,M1941=0),"",CADASTROS!$B$4+SUM($J$2:J1941)+SUM($M$2:M1941)-SUM($K$2:K1941)-SUM($L$2:L1941))</f>
        <v/>
      </c>
      <c r="O1941" s="72" t="str">
        <f>IF(A1941="","",SUMIF(RATEIOS!$A$2:$A$3142,$A1941,RATEIOS!$F$2:$F$3142))</f>
        <v/>
      </c>
      <c r="P1941" s="15" t="str">
        <f t="shared" si="62"/>
        <v/>
      </c>
      <c r="Q1941" s="49" t="str">
        <f>IF(AND(J1941=0,K1941=0,L1941=0,M1941=0),"",IF(O1941=0,"PENDENTE DE RATEIO",IF(ABS(P1941)&gt;0.005,"DIVERGÊNCIA",IF(COUNTIF(RATEIOS!$A$2:$A$3142,$A1941)-COUNTIFS(RATEIOS!$A$2:$A$3142,$A1941,RATEIOS!$D$2:$D$3142,"&lt;&gt;")&gt;0,"NÃO CLASSIFICADO","RATEIO OK"))))</f>
        <v/>
      </c>
      <c r="R1941" s="49"/>
      <c r="S1941" s="14"/>
    </row>
    <row r="1942" spans="1:19" ht="30" customHeight="1" x14ac:dyDescent="0.25">
      <c r="A1942" s="49" t="str">
        <f>IF(C1942="","","BAN-01941")</f>
        <v/>
      </c>
      <c r="B1942" s="98" t="str">
        <f>IF(C1942="","",1941)</f>
        <v/>
      </c>
      <c r="C1942" s="50"/>
      <c r="D1942" s="49" t="str">
        <f t="shared" si="61"/>
        <v/>
      </c>
      <c r="E1942" s="92"/>
      <c r="F1942" s="49"/>
      <c r="G1942" s="14"/>
      <c r="H1942" s="14"/>
      <c r="I1942" s="76"/>
      <c r="J1942" s="73"/>
      <c r="K1942" s="74"/>
      <c r="L1942" s="72"/>
      <c r="M1942" s="72"/>
      <c r="N1942" s="72" t="str">
        <f>IF(AND(C1942="",J1942=0,K1942=0,L1942=0,M1942=0),"",CADASTROS!$B$4+SUM($J$2:J1942)+SUM($M$2:M1942)-SUM($K$2:K1942)-SUM($L$2:L1942))</f>
        <v/>
      </c>
      <c r="O1942" s="72" t="str">
        <f>IF(A1942="","",SUMIF(RATEIOS!$A$2:$A$3142,$A1942,RATEIOS!$F$2:$F$3142))</f>
        <v/>
      </c>
      <c r="P1942" s="15" t="str">
        <f t="shared" si="62"/>
        <v/>
      </c>
      <c r="Q1942" s="49" t="str">
        <f>IF(AND(J1942=0,K1942=0,L1942=0,M1942=0),"",IF(O1942=0,"PENDENTE DE RATEIO",IF(ABS(P1942)&gt;0.005,"DIVERGÊNCIA",IF(COUNTIF(RATEIOS!$A$2:$A$3142,$A1942)-COUNTIFS(RATEIOS!$A$2:$A$3142,$A1942,RATEIOS!$D$2:$D$3142,"&lt;&gt;")&gt;0,"NÃO CLASSIFICADO","RATEIO OK"))))</f>
        <v/>
      </c>
      <c r="R1942" s="49"/>
      <c r="S1942" s="14"/>
    </row>
    <row r="1943" spans="1:19" ht="30" customHeight="1" x14ac:dyDescent="0.25">
      <c r="A1943" s="49" t="str">
        <f>IF(C1943="","","BAN-01942")</f>
        <v/>
      </c>
      <c r="B1943" s="98" t="str">
        <f>IF(C1943="","",1942)</f>
        <v/>
      </c>
      <c r="C1943" s="50"/>
      <c r="D1943" s="49" t="str">
        <f t="shared" si="61"/>
        <v/>
      </c>
      <c r="E1943" s="92"/>
      <c r="F1943" s="49"/>
      <c r="G1943" s="14"/>
      <c r="H1943" s="14"/>
      <c r="I1943" s="76"/>
      <c r="J1943" s="73"/>
      <c r="K1943" s="74"/>
      <c r="L1943" s="72"/>
      <c r="M1943" s="72"/>
      <c r="N1943" s="72" t="str">
        <f>IF(AND(C1943="",J1943=0,K1943=0,L1943=0,M1943=0),"",CADASTROS!$B$4+SUM($J$2:J1943)+SUM($M$2:M1943)-SUM($K$2:K1943)-SUM($L$2:L1943))</f>
        <v/>
      </c>
      <c r="O1943" s="72" t="str">
        <f>IF(A1943="","",SUMIF(RATEIOS!$A$2:$A$3142,$A1943,RATEIOS!$F$2:$F$3142))</f>
        <v/>
      </c>
      <c r="P1943" s="15" t="str">
        <f t="shared" si="62"/>
        <v/>
      </c>
      <c r="Q1943" s="49" t="str">
        <f>IF(AND(J1943=0,K1943=0,L1943=0,M1943=0),"",IF(O1943=0,"PENDENTE DE RATEIO",IF(ABS(P1943)&gt;0.005,"DIVERGÊNCIA",IF(COUNTIF(RATEIOS!$A$2:$A$3142,$A1943)-COUNTIFS(RATEIOS!$A$2:$A$3142,$A1943,RATEIOS!$D$2:$D$3142,"&lt;&gt;")&gt;0,"NÃO CLASSIFICADO","RATEIO OK"))))</f>
        <v/>
      </c>
      <c r="R1943" s="49"/>
      <c r="S1943" s="14"/>
    </row>
    <row r="1944" spans="1:19" ht="30" customHeight="1" x14ac:dyDescent="0.25">
      <c r="A1944" s="49" t="str">
        <f>IF(C1944="","","BAN-01943")</f>
        <v/>
      </c>
      <c r="B1944" s="98" t="str">
        <f>IF(C1944="","",1943)</f>
        <v/>
      </c>
      <c r="C1944" s="50"/>
      <c r="D1944" s="49" t="str">
        <f t="shared" si="61"/>
        <v/>
      </c>
      <c r="E1944" s="92"/>
      <c r="F1944" s="49"/>
      <c r="G1944" s="14"/>
      <c r="H1944" s="14"/>
      <c r="I1944" s="76"/>
      <c r="J1944" s="73"/>
      <c r="K1944" s="74"/>
      <c r="L1944" s="72"/>
      <c r="M1944" s="72"/>
      <c r="N1944" s="72" t="str">
        <f>IF(AND(C1944="",J1944=0,K1944=0,L1944=0,M1944=0),"",CADASTROS!$B$4+SUM($J$2:J1944)+SUM($M$2:M1944)-SUM($K$2:K1944)-SUM($L$2:L1944))</f>
        <v/>
      </c>
      <c r="O1944" s="72" t="str">
        <f>IF(A1944="","",SUMIF(RATEIOS!$A$2:$A$3142,$A1944,RATEIOS!$F$2:$F$3142))</f>
        <v/>
      </c>
      <c r="P1944" s="15" t="str">
        <f t="shared" si="62"/>
        <v/>
      </c>
      <c r="Q1944" s="49" t="str">
        <f>IF(AND(J1944=0,K1944=0,L1944=0,M1944=0),"",IF(O1944=0,"PENDENTE DE RATEIO",IF(ABS(P1944)&gt;0.005,"DIVERGÊNCIA",IF(COUNTIF(RATEIOS!$A$2:$A$3142,$A1944)-COUNTIFS(RATEIOS!$A$2:$A$3142,$A1944,RATEIOS!$D$2:$D$3142,"&lt;&gt;")&gt;0,"NÃO CLASSIFICADO","RATEIO OK"))))</f>
        <v/>
      </c>
      <c r="R1944" s="49"/>
      <c r="S1944" s="14"/>
    </row>
    <row r="1945" spans="1:19" ht="30" customHeight="1" x14ac:dyDescent="0.25">
      <c r="A1945" s="49" t="str">
        <f>IF(C1945="","","BAN-01944")</f>
        <v/>
      </c>
      <c r="B1945" s="98" t="str">
        <f>IF(C1945="","",1944)</f>
        <v/>
      </c>
      <c r="C1945" s="50"/>
      <c r="D1945" s="49" t="str">
        <f t="shared" si="61"/>
        <v/>
      </c>
      <c r="E1945" s="92"/>
      <c r="F1945" s="49"/>
      <c r="G1945" s="14"/>
      <c r="H1945" s="14"/>
      <c r="I1945" s="76"/>
      <c r="J1945" s="73"/>
      <c r="K1945" s="74"/>
      <c r="L1945" s="72"/>
      <c r="M1945" s="72"/>
      <c r="N1945" s="72" t="str">
        <f>IF(AND(C1945="",J1945=0,K1945=0,L1945=0,M1945=0),"",CADASTROS!$B$4+SUM($J$2:J1945)+SUM($M$2:M1945)-SUM($K$2:K1945)-SUM($L$2:L1945))</f>
        <v/>
      </c>
      <c r="O1945" s="72" t="str">
        <f>IF(A1945="","",SUMIF(RATEIOS!$A$2:$A$3142,$A1945,RATEIOS!$F$2:$F$3142))</f>
        <v/>
      </c>
      <c r="P1945" s="15" t="str">
        <f t="shared" si="62"/>
        <v/>
      </c>
      <c r="Q1945" s="49" t="str">
        <f>IF(AND(J1945=0,K1945=0,L1945=0,M1945=0),"",IF(O1945=0,"PENDENTE DE RATEIO",IF(ABS(P1945)&gt;0.005,"DIVERGÊNCIA",IF(COUNTIF(RATEIOS!$A$2:$A$3142,$A1945)-COUNTIFS(RATEIOS!$A$2:$A$3142,$A1945,RATEIOS!$D$2:$D$3142,"&lt;&gt;")&gt;0,"NÃO CLASSIFICADO","RATEIO OK"))))</f>
        <v/>
      </c>
      <c r="R1945" s="49"/>
      <c r="S1945" s="14"/>
    </row>
    <row r="1946" spans="1:19" ht="30" customHeight="1" x14ac:dyDescent="0.25">
      <c r="A1946" s="49" t="str">
        <f>IF(C1946="","","BAN-01945")</f>
        <v/>
      </c>
      <c r="B1946" s="98" t="str">
        <f>IF(C1946="","",1945)</f>
        <v/>
      </c>
      <c r="C1946" s="50"/>
      <c r="D1946" s="49" t="str">
        <f t="shared" si="61"/>
        <v/>
      </c>
      <c r="E1946" s="92"/>
      <c r="F1946" s="49"/>
      <c r="G1946" s="14"/>
      <c r="H1946" s="14"/>
      <c r="I1946" s="76"/>
      <c r="J1946" s="73"/>
      <c r="K1946" s="74"/>
      <c r="L1946" s="72"/>
      <c r="M1946" s="72"/>
      <c r="N1946" s="72" t="str">
        <f>IF(AND(C1946="",J1946=0,K1946=0,L1946=0,M1946=0),"",CADASTROS!$B$4+SUM($J$2:J1946)+SUM($M$2:M1946)-SUM($K$2:K1946)-SUM($L$2:L1946))</f>
        <v/>
      </c>
      <c r="O1946" s="72" t="str">
        <f>IF(A1946="","",SUMIF(RATEIOS!$A$2:$A$3142,$A1946,RATEIOS!$F$2:$F$3142))</f>
        <v/>
      </c>
      <c r="P1946" s="15" t="str">
        <f t="shared" si="62"/>
        <v/>
      </c>
      <c r="Q1946" s="49" t="str">
        <f>IF(AND(J1946=0,K1946=0,L1946=0,M1946=0),"",IF(O1946=0,"PENDENTE DE RATEIO",IF(ABS(P1946)&gt;0.005,"DIVERGÊNCIA",IF(COUNTIF(RATEIOS!$A$2:$A$3142,$A1946)-COUNTIFS(RATEIOS!$A$2:$A$3142,$A1946,RATEIOS!$D$2:$D$3142,"&lt;&gt;")&gt;0,"NÃO CLASSIFICADO","RATEIO OK"))))</f>
        <v/>
      </c>
      <c r="R1946" s="49"/>
      <c r="S1946" s="14"/>
    </row>
    <row r="1947" spans="1:19" ht="30" customHeight="1" x14ac:dyDescent="0.25">
      <c r="A1947" s="49" t="str">
        <f>IF(C1947="","","BAN-01946")</f>
        <v/>
      </c>
      <c r="B1947" s="98" t="str">
        <f>IF(C1947="","",1946)</f>
        <v/>
      </c>
      <c r="C1947" s="50"/>
      <c r="D1947" s="49" t="str">
        <f t="shared" si="61"/>
        <v/>
      </c>
      <c r="E1947" s="92"/>
      <c r="F1947" s="49"/>
      <c r="G1947" s="14"/>
      <c r="H1947" s="14"/>
      <c r="I1947" s="76"/>
      <c r="J1947" s="73"/>
      <c r="K1947" s="74"/>
      <c r="L1947" s="72"/>
      <c r="M1947" s="72"/>
      <c r="N1947" s="72" t="str">
        <f>IF(AND(C1947="",J1947=0,K1947=0,L1947=0,M1947=0),"",CADASTROS!$B$4+SUM($J$2:J1947)+SUM($M$2:M1947)-SUM($K$2:K1947)-SUM($L$2:L1947))</f>
        <v/>
      </c>
      <c r="O1947" s="72" t="str">
        <f>IF(A1947="","",SUMIF(RATEIOS!$A$2:$A$3142,$A1947,RATEIOS!$F$2:$F$3142))</f>
        <v/>
      </c>
      <c r="P1947" s="15" t="str">
        <f t="shared" si="62"/>
        <v/>
      </c>
      <c r="Q1947" s="49" t="str">
        <f>IF(AND(J1947=0,K1947=0,L1947=0,M1947=0),"",IF(O1947=0,"PENDENTE DE RATEIO",IF(ABS(P1947)&gt;0.005,"DIVERGÊNCIA",IF(COUNTIF(RATEIOS!$A$2:$A$3142,$A1947)-COUNTIFS(RATEIOS!$A$2:$A$3142,$A1947,RATEIOS!$D$2:$D$3142,"&lt;&gt;")&gt;0,"NÃO CLASSIFICADO","RATEIO OK"))))</f>
        <v/>
      </c>
      <c r="R1947" s="49"/>
      <c r="S1947" s="14"/>
    </row>
    <row r="1948" spans="1:19" ht="30" customHeight="1" x14ac:dyDescent="0.25">
      <c r="A1948" s="49" t="str">
        <f>IF(C1948="","","BAN-01947")</f>
        <v/>
      </c>
      <c r="B1948" s="98" t="str">
        <f>IF(C1948="","",1947)</f>
        <v/>
      </c>
      <c r="C1948" s="50"/>
      <c r="D1948" s="49" t="str">
        <f t="shared" si="61"/>
        <v/>
      </c>
      <c r="E1948" s="92"/>
      <c r="F1948" s="49"/>
      <c r="G1948" s="14"/>
      <c r="H1948" s="14"/>
      <c r="I1948" s="76"/>
      <c r="J1948" s="73"/>
      <c r="K1948" s="74"/>
      <c r="L1948" s="72"/>
      <c r="M1948" s="72"/>
      <c r="N1948" s="72" t="str">
        <f>IF(AND(C1948="",J1948=0,K1948=0,L1948=0,M1948=0),"",CADASTROS!$B$4+SUM($J$2:J1948)+SUM($M$2:M1948)-SUM($K$2:K1948)-SUM($L$2:L1948))</f>
        <v/>
      </c>
      <c r="O1948" s="72" t="str">
        <f>IF(A1948="","",SUMIF(RATEIOS!$A$2:$A$3142,$A1948,RATEIOS!$F$2:$F$3142))</f>
        <v/>
      </c>
      <c r="P1948" s="15" t="str">
        <f t="shared" si="62"/>
        <v/>
      </c>
      <c r="Q1948" s="49" t="str">
        <f>IF(AND(J1948=0,K1948=0,L1948=0,M1948=0),"",IF(O1948=0,"PENDENTE DE RATEIO",IF(ABS(P1948)&gt;0.005,"DIVERGÊNCIA",IF(COUNTIF(RATEIOS!$A$2:$A$3142,$A1948)-COUNTIFS(RATEIOS!$A$2:$A$3142,$A1948,RATEIOS!$D$2:$D$3142,"&lt;&gt;")&gt;0,"NÃO CLASSIFICADO","RATEIO OK"))))</f>
        <v/>
      </c>
      <c r="R1948" s="49"/>
      <c r="S1948" s="14"/>
    </row>
    <row r="1949" spans="1:19" ht="30" customHeight="1" x14ac:dyDescent="0.25">
      <c r="A1949" s="49" t="str">
        <f>IF(C1949="","","BAN-01948")</f>
        <v/>
      </c>
      <c r="B1949" s="98" t="str">
        <f>IF(C1949="","",1948)</f>
        <v/>
      </c>
      <c r="C1949" s="50"/>
      <c r="D1949" s="49" t="str">
        <f t="shared" si="61"/>
        <v/>
      </c>
      <c r="E1949" s="92"/>
      <c r="F1949" s="49"/>
      <c r="G1949" s="14"/>
      <c r="H1949" s="14"/>
      <c r="I1949" s="76"/>
      <c r="J1949" s="73"/>
      <c r="K1949" s="74"/>
      <c r="L1949" s="72"/>
      <c r="M1949" s="72"/>
      <c r="N1949" s="72" t="str">
        <f>IF(AND(C1949="",J1949=0,K1949=0,L1949=0,M1949=0),"",CADASTROS!$B$4+SUM($J$2:J1949)+SUM($M$2:M1949)-SUM($K$2:K1949)-SUM($L$2:L1949))</f>
        <v/>
      </c>
      <c r="O1949" s="72" t="str">
        <f>IF(A1949="","",SUMIF(RATEIOS!$A$2:$A$3142,$A1949,RATEIOS!$F$2:$F$3142))</f>
        <v/>
      </c>
      <c r="P1949" s="15" t="str">
        <f t="shared" si="62"/>
        <v/>
      </c>
      <c r="Q1949" s="49" t="str">
        <f>IF(AND(J1949=0,K1949=0,L1949=0,M1949=0),"",IF(O1949=0,"PENDENTE DE RATEIO",IF(ABS(P1949)&gt;0.005,"DIVERGÊNCIA",IF(COUNTIF(RATEIOS!$A$2:$A$3142,$A1949)-COUNTIFS(RATEIOS!$A$2:$A$3142,$A1949,RATEIOS!$D$2:$D$3142,"&lt;&gt;")&gt;0,"NÃO CLASSIFICADO","RATEIO OK"))))</f>
        <v/>
      </c>
      <c r="R1949" s="49"/>
      <c r="S1949" s="14"/>
    </row>
    <row r="1950" spans="1:19" ht="30" customHeight="1" x14ac:dyDescent="0.25">
      <c r="A1950" s="49" t="str">
        <f>IF(C1950="","","BAN-01949")</f>
        <v/>
      </c>
      <c r="B1950" s="98" t="str">
        <f>IF(C1950="","",1949)</f>
        <v/>
      </c>
      <c r="C1950" s="50"/>
      <c r="D1950" s="49" t="str">
        <f t="shared" si="61"/>
        <v/>
      </c>
      <c r="E1950" s="92"/>
      <c r="F1950" s="49"/>
      <c r="G1950" s="14"/>
      <c r="H1950" s="14"/>
      <c r="I1950" s="76"/>
      <c r="J1950" s="73"/>
      <c r="K1950" s="74"/>
      <c r="L1950" s="72"/>
      <c r="M1950" s="72"/>
      <c r="N1950" s="72" t="str">
        <f>IF(AND(C1950="",J1950=0,K1950=0,L1950=0,M1950=0),"",CADASTROS!$B$4+SUM($J$2:J1950)+SUM($M$2:M1950)-SUM($K$2:K1950)-SUM($L$2:L1950))</f>
        <v/>
      </c>
      <c r="O1950" s="72" t="str">
        <f>IF(A1950="","",SUMIF(RATEIOS!$A$2:$A$3142,$A1950,RATEIOS!$F$2:$F$3142))</f>
        <v/>
      </c>
      <c r="P1950" s="15" t="str">
        <f t="shared" si="62"/>
        <v/>
      </c>
      <c r="Q1950" s="49" t="str">
        <f>IF(AND(J1950=0,K1950=0,L1950=0,M1950=0),"",IF(O1950=0,"PENDENTE DE RATEIO",IF(ABS(P1950)&gt;0.005,"DIVERGÊNCIA",IF(COUNTIF(RATEIOS!$A$2:$A$3142,$A1950)-COUNTIFS(RATEIOS!$A$2:$A$3142,$A1950,RATEIOS!$D$2:$D$3142,"&lt;&gt;")&gt;0,"NÃO CLASSIFICADO","RATEIO OK"))))</f>
        <v/>
      </c>
      <c r="R1950" s="49"/>
      <c r="S1950" s="14"/>
    </row>
    <row r="1951" spans="1:19" ht="30" customHeight="1" x14ac:dyDescent="0.25">
      <c r="A1951" s="49" t="str">
        <f>IF(C1951="","","BAN-01950")</f>
        <v/>
      </c>
      <c r="B1951" s="98" t="str">
        <f>IF(C1951="","",1950)</f>
        <v/>
      </c>
      <c r="C1951" s="50"/>
      <c r="D1951" s="49" t="str">
        <f t="shared" si="61"/>
        <v/>
      </c>
      <c r="E1951" s="92"/>
      <c r="F1951" s="49"/>
      <c r="G1951" s="14"/>
      <c r="H1951" s="14"/>
      <c r="I1951" s="76"/>
      <c r="J1951" s="73"/>
      <c r="K1951" s="74"/>
      <c r="L1951" s="72"/>
      <c r="M1951" s="72"/>
      <c r="N1951" s="72" t="str">
        <f>IF(AND(C1951="",J1951=0,K1951=0,L1951=0,M1951=0),"",CADASTROS!$B$4+SUM($J$2:J1951)+SUM($M$2:M1951)-SUM($K$2:K1951)-SUM($L$2:L1951))</f>
        <v/>
      </c>
      <c r="O1951" s="72" t="str">
        <f>IF(A1951="","",SUMIF(RATEIOS!$A$2:$A$3142,$A1951,RATEIOS!$F$2:$F$3142))</f>
        <v/>
      </c>
      <c r="P1951" s="15" t="str">
        <f t="shared" si="62"/>
        <v/>
      </c>
      <c r="Q1951" s="49" t="str">
        <f>IF(AND(J1951=0,K1951=0,L1951=0,M1951=0),"",IF(O1951=0,"PENDENTE DE RATEIO",IF(ABS(P1951)&gt;0.005,"DIVERGÊNCIA",IF(COUNTIF(RATEIOS!$A$2:$A$3142,$A1951)-COUNTIFS(RATEIOS!$A$2:$A$3142,$A1951,RATEIOS!$D$2:$D$3142,"&lt;&gt;")&gt;0,"NÃO CLASSIFICADO","RATEIO OK"))))</f>
        <v/>
      </c>
      <c r="R1951" s="49"/>
      <c r="S1951" s="14"/>
    </row>
    <row r="1952" spans="1:19" ht="30" customHeight="1" x14ac:dyDescent="0.25">
      <c r="A1952" s="49" t="str">
        <f>IF(C1952="","","BAN-01951")</f>
        <v/>
      </c>
      <c r="B1952" s="98" t="str">
        <f>IF(C1952="","",1951)</f>
        <v/>
      </c>
      <c r="C1952" s="50"/>
      <c r="D1952" s="49" t="str">
        <f t="shared" si="61"/>
        <v/>
      </c>
      <c r="E1952" s="92"/>
      <c r="F1952" s="49"/>
      <c r="G1952" s="14"/>
      <c r="H1952" s="14"/>
      <c r="I1952" s="76"/>
      <c r="J1952" s="73"/>
      <c r="K1952" s="74"/>
      <c r="L1952" s="72"/>
      <c r="M1952" s="72"/>
      <c r="N1952" s="72" t="str">
        <f>IF(AND(C1952="",J1952=0,K1952=0,L1952=0,M1952=0),"",CADASTROS!$B$4+SUM($J$2:J1952)+SUM($M$2:M1952)-SUM($K$2:K1952)-SUM($L$2:L1952))</f>
        <v/>
      </c>
      <c r="O1952" s="72" t="str">
        <f>IF(A1952="","",SUMIF(RATEIOS!$A$2:$A$3142,$A1952,RATEIOS!$F$2:$F$3142))</f>
        <v/>
      </c>
      <c r="P1952" s="15" t="str">
        <f t="shared" si="62"/>
        <v/>
      </c>
      <c r="Q1952" s="49" t="str">
        <f>IF(AND(J1952=0,K1952=0,L1952=0,M1952=0),"",IF(O1952=0,"PENDENTE DE RATEIO",IF(ABS(P1952)&gt;0.005,"DIVERGÊNCIA",IF(COUNTIF(RATEIOS!$A$2:$A$3142,$A1952)-COUNTIFS(RATEIOS!$A$2:$A$3142,$A1952,RATEIOS!$D$2:$D$3142,"&lt;&gt;")&gt;0,"NÃO CLASSIFICADO","RATEIO OK"))))</f>
        <v/>
      </c>
      <c r="R1952" s="49"/>
      <c r="S1952" s="14"/>
    </row>
    <row r="1953" spans="1:19" ht="30" customHeight="1" x14ac:dyDescent="0.25">
      <c r="A1953" s="49" t="str">
        <f>IF(C1953="","","BAN-01952")</f>
        <v/>
      </c>
      <c r="B1953" s="98" t="str">
        <f>IF(C1953="","",1952)</f>
        <v/>
      </c>
      <c r="C1953" s="50"/>
      <c r="D1953" s="49" t="str">
        <f t="shared" si="61"/>
        <v/>
      </c>
      <c r="E1953" s="92"/>
      <c r="F1953" s="49"/>
      <c r="G1953" s="14"/>
      <c r="H1953" s="14"/>
      <c r="I1953" s="76"/>
      <c r="J1953" s="73"/>
      <c r="K1953" s="74"/>
      <c r="L1953" s="72"/>
      <c r="M1953" s="72"/>
      <c r="N1953" s="72" t="str">
        <f>IF(AND(C1953="",J1953=0,K1953=0,L1953=0,M1953=0),"",CADASTROS!$B$4+SUM($J$2:J1953)+SUM($M$2:M1953)-SUM($K$2:K1953)-SUM($L$2:L1953))</f>
        <v/>
      </c>
      <c r="O1953" s="72" t="str">
        <f>IF(A1953="","",SUMIF(RATEIOS!$A$2:$A$3142,$A1953,RATEIOS!$F$2:$F$3142))</f>
        <v/>
      </c>
      <c r="P1953" s="15" t="str">
        <f t="shared" si="62"/>
        <v/>
      </c>
      <c r="Q1953" s="49" t="str">
        <f>IF(AND(J1953=0,K1953=0,L1953=0,M1953=0),"",IF(O1953=0,"PENDENTE DE RATEIO",IF(ABS(P1953)&gt;0.005,"DIVERGÊNCIA",IF(COUNTIF(RATEIOS!$A$2:$A$3142,$A1953)-COUNTIFS(RATEIOS!$A$2:$A$3142,$A1953,RATEIOS!$D$2:$D$3142,"&lt;&gt;")&gt;0,"NÃO CLASSIFICADO","RATEIO OK"))))</f>
        <v/>
      </c>
      <c r="R1953" s="49"/>
      <c r="S1953" s="14"/>
    </row>
    <row r="1954" spans="1:19" ht="30" customHeight="1" x14ac:dyDescent="0.25">
      <c r="A1954" s="49" t="str">
        <f>IF(C1954="","","BAN-01953")</f>
        <v/>
      </c>
      <c r="B1954" s="98" t="str">
        <f>IF(C1954="","",1953)</f>
        <v/>
      </c>
      <c r="C1954" s="50"/>
      <c r="D1954" s="49" t="str">
        <f t="shared" si="61"/>
        <v/>
      </c>
      <c r="E1954" s="92"/>
      <c r="F1954" s="49"/>
      <c r="G1954" s="14"/>
      <c r="H1954" s="14"/>
      <c r="I1954" s="76"/>
      <c r="J1954" s="73"/>
      <c r="K1954" s="74"/>
      <c r="L1954" s="72"/>
      <c r="M1954" s="72"/>
      <c r="N1954" s="72" t="str">
        <f>IF(AND(C1954="",J1954=0,K1954=0,L1954=0,M1954=0),"",CADASTROS!$B$4+SUM($J$2:J1954)+SUM($M$2:M1954)-SUM($K$2:K1954)-SUM($L$2:L1954))</f>
        <v/>
      </c>
      <c r="O1954" s="72" t="str">
        <f>IF(A1954="","",SUMIF(RATEIOS!$A$2:$A$3142,$A1954,RATEIOS!$F$2:$F$3142))</f>
        <v/>
      </c>
      <c r="P1954" s="15" t="str">
        <f t="shared" si="62"/>
        <v/>
      </c>
      <c r="Q1954" s="49" t="str">
        <f>IF(AND(J1954=0,K1954=0,L1954=0,M1954=0),"",IF(O1954=0,"PENDENTE DE RATEIO",IF(ABS(P1954)&gt;0.005,"DIVERGÊNCIA",IF(COUNTIF(RATEIOS!$A$2:$A$3142,$A1954)-COUNTIFS(RATEIOS!$A$2:$A$3142,$A1954,RATEIOS!$D$2:$D$3142,"&lt;&gt;")&gt;0,"NÃO CLASSIFICADO","RATEIO OK"))))</f>
        <v/>
      </c>
      <c r="R1954" s="49"/>
      <c r="S1954" s="14"/>
    </row>
    <row r="1955" spans="1:19" ht="30" customHeight="1" x14ac:dyDescent="0.25">
      <c r="A1955" s="49" t="str">
        <f>IF(C1955="","","BAN-01954")</f>
        <v/>
      </c>
      <c r="B1955" s="98" t="str">
        <f>IF(C1955="","",1954)</f>
        <v/>
      </c>
      <c r="C1955" s="50"/>
      <c r="D1955" s="49" t="str">
        <f t="shared" si="61"/>
        <v/>
      </c>
      <c r="E1955" s="92"/>
      <c r="F1955" s="49"/>
      <c r="G1955" s="14"/>
      <c r="H1955" s="14"/>
      <c r="I1955" s="76"/>
      <c r="J1955" s="73"/>
      <c r="K1955" s="74"/>
      <c r="L1955" s="72"/>
      <c r="M1955" s="72"/>
      <c r="N1955" s="72" t="str">
        <f>IF(AND(C1955="",J1955=0,K1955=0,L1955=0,M1955=0),"",CADASTROS!$B$4+SUM($J$2:J1955)+SUM($M$2:M1955)-SUM($K$2:K1955)-SUM($L$2:L1955))</f>
        <v/>
      </c>
      <c r="O1955" s="72" t="str">
        <f>IF(A1955="","",SUMIF(RATEIOS!$A$2:$A$3142,$A1955,RATEIOS!$F$2:$F$3142))</f>
        <v/>
      </c>
      <c r="P1955" s="15" t="str">
        <f t="shared" si="62"/>
        <v/>
      </c>
      <c r="Q1955" s="49" t="str">
        <f>IF(AND(J1955=0,K1955=0,L1955=0,M1955=0),"",IF(O1955=0,"PENDENTE DE RATEIO",IF(ABS(P1955)&gt;0.005,"DIVERGÊNCIA",IF(COUNTIF(RATEIOS!$A$2:$A$3142,$A1955)-COUNTIFS(RATEIOS!$A$2:$A$3142,$A1955,RATEIOS!$D$2:$D$3142,"&lt;&gt;")&gt;0,"NÃO CLASSIFICADO","RATEIO OK"))))</f>
        <v/>
      </c>
      <c r="R1955" s="49"/>
      <c r="S1955" s="14"/>
    </row>
    <row r="1956" spans="1:19" ht="30" customHeight="1" x14ac:dyDescent="0.25">
      <c r="A1956" s="49" t="str">
        <f>IF(C1956="","","BAN-01955")</f>
        <v/>
      </c>
      <c r="B1956" s="98" t="str">
        <f>IF(C1956="","",1955)</f>
        <v/>
      </c>
      <c r="C1956" s="50"/>
      <c r="D1956" s="49" t="str">
        <f t="shared" si="61"/>
        <v/>
      </c>
      <c r="E1956" s="92"/>
      <c r="F1956" s="49"/>
      <c r="G1956" s="14"/>
      <c r="H1956" s="14"/>
      <c r="I1956" s="76"/>
      <c r="J1956" s="73"/>
      <c r="K1956" s="74"/>
      <c r="L1956" s="72"/>
      <c r="M1956" s="72"/>
      <c r="N1956" s="72" t="str">
        <f>IF(AND(C1956="",J1956=0,K1956=0,L1956=0,M1956=0),"",CADASTROS!$B$4+SUM($J$2:J1956)+SUM($M$2:M1956)-SUM($K$2:K1956)-SUM($L$2:L1956))</f>
        <v/>
      </c>
      <c r="O1956" s="72" t="str">
        <f>IF(A1956="","",SUMIF(RATEIOS!$A$2:$A$3142,$A1956,RATEIOS!$F$2:$F$3142))</f>
        <v/>
      </c>
      <c r="P1956" s="15" t="str">
        <f t="shared" si="62"/>
        <v/>
      </c>
      <c r="Q1956" s="49" t="str">
        <f>IF(AND(J1956=0,K1956=0,L1956=0,M1956=0),"",IF(O1956=0,"PENDENTE DE RATEIO",IF(ABS(P1956)&gt;0.005,"DIVERGÊNCIA",IF(COUNTIF(RATEIOS!$A$2:$A$3142,$A1956)-COUNTIFS(RATEIOS!$A$2:$A$3142,$A1956,RATEIOS!$D$2:$D$3142,"&lt;&gt;")&gt;0,"NÃO CLASSIFICADO","RATEIO OK"))))</f>
        <v/>
      </c>
      <c r="R1956" s="49"/>
      <c r="S1956" s="14"/>
    </row>
    <row r="1957" spans="1:19" ht="30" customHeight="1" x14ac:dyDescent="0.25">
      <c r="A1957" s="49" t="str">
        <f>IF(C1957="","","BAN-01956")</f>
        <v/>
      </c>
      <c r="B1957" s="98" t="str">
        <f>IF(C1957="","",1956)</f>
        <v/>
      </c>
      <c r="C1957" s="50"/>
      <c r="D1957" s="49" t="str">
        <f t="shared" si="61"/>
        <v/>
      </c>
      <c r="E1957" s="92"/>
      <c r="F1957" s="49"/>
      <c r="G1957" s="14"/>
      <c r="H1957" s="14"/>
      <c r="I1957" s="76"/>
      <c r="J1957" s="73"/>
      <c r="K1957" s="74"/>
      <c r="L1957" s="72"/>
      <c r="M1957" s="72"/>
      <c r="N1957" s="72" t="str">
        <f>IF(AND(C1957="",J1957=0,K1957=0,L1957=0,M1957=0),"",CADASTROS!$B$4+SUM($J$2:J1957)+SUM($M$2:M1957)-SUM($K$2:K1957)-SUM($L$2:L1957))</f>
        <v/>
      </c>
      <c r="O1957" s="72" t="str">
        <f>IF(A1957="","",SUMIF(RATEIOS!$A$2:$A$3142,$A1957,RATEIOS!$F$2:$F$3142))</f>
        <v/>
      </c>
      <c r="P1957" s="15" t="str">
        <f t="shared" si="62"/>
        <v/>
      </c>
      <c r="Q1957" s="49" t="str">
        <f>IF(AND(J1957=0,K1957=0,L1957=0,M1957=0),"",IF(O1957=0,"PENDENTE DE RATEIO",IF(ABS(P1957)&gt;0.005,"DIVERGÊNCIA",IF(COUNTIF(RATEIOS!$A$2:$A$3142,$A1957)-COUNTIFS(RATEIOS!$A$2:$A$3142,$A1957,RATEIOS!$D$2:$D$3142,"&lt;&gt;")&gt;0,"NÃO CLASSIFICADO","RATEIO OK"))))</f>
        <v/>
      </c>
      <c r="R1957" s="49"/>
      <c r="S1957" s="14"/>
    </row>
    <row r="1958" spans="1:19" ht="30" customHeight="1" x14ac:dyDescent="0.25">
      <c r="A1958" s="49" t="str">
        <f>IF(C1958="","","BAN-01957")</f>
        <v/>
      </c>
      <c r="B1958" s="98" t="str">
        <f>IF(C1958="","",1957)</f>
        <v/>
      </c>
      <c r="C1958" s="50"/>
      <c r="D1958" s="49" t="str">
        <f t="shared" si="61"/>
        <v/>
      </c>
      <c r="E1958" s="92"/>
      <c r="F1958" s="49"/>
      <c r="G1958" s="14"/>
      <c r="H1958" s="14"/>
      <c r="I1958" s="76"/>
      <c r="J1958" s="73"/>
      <c r="K1958" s="74"/>
      <c r="L1958" s="72"/>
      <c r="M1958" s="72"/>
      <c r="N1958" s="72" t="str">
        <f>IF(AND(C1958="",J1958=0,K1958=0,L1958=0,M1958=0),"",CADASTROS!$B$4+SUM($J$2:J1958)+SUM($M$2:M1958)-SUM($K$2:K1958)-SUM($L$2:L1958))</f>
        <v/>
      </c>
      <c r="O1958" s="72" t="str">
        <f>IF(A1958="","",SUMIF(RATEIOS!$A$2:$A$3142,$A1958,RATEIOS!$F$2:$F$3142))</f>
        <v/>
      </c>
      <c r="P1958" s="15" t="str">
        <f t="shared" si="62"/>
        <v/>
      </c>
      <c r="Q1958" s="49" t="str">
        <f>IF(AND(J1958=0,K1958=0,L1958=0,M1958=0),"",IF(O1958=0,"PENDENTE DE RATEIO",IF(ABS(P1958)&gt;0.005,"DIVERGÊNCIA",IF(COUNTIF(RATEIOS!$A$2:$A$3142,$A1958)-COUNTIFS(RATEIOS!$A$2:$A$3142,$A1958,RATEIOS!$D$2:$D$3142,"&lt;&gt;")&gt;0,"NÃO CLASSIFICADO","RATEIO OK"))))</f>
        <v/>
      </c>
      <c r="R1958" s="49"/>
      <c r="S1958" s="14"/>
    </row>
    <row r="1959" spans="1:19" ht="30" customHeight="1" x14ac:dyDescent="0.25">
      <c r="A1959" s="49" t="str">
        <f>IF(C1959="","","BAN-01958")</f>
        <v/>
      </c>
      <c r="B1959" s="98" t="str">
        <f>IF(C1959="","",1958)</f>
        <v/>
      </c>
      <c r="C1959" s="50"/>
      <c r="D1959" s="49" t="str">
        <f t="shared" si="61"/>
        <v/>
      </c>
      <c r="E1959" s="92"/>
      <c r="F1959" s="49"/>
      <c r="G1959" s="14"/>
      <c r="H1959" s="14"/>
      <c r="I1959" s="76"/>
      <c r="J1959" s="73"/>
      <c r="K1959" s="74"/>
      <c r="L1959" s="72"/>
      <c r="M1959" s="72"/>
      <c r="N1959" s="72" t="str">
        <f>IF(AND(C1959="",J1959=0,K1959=0,L1959=0,M1959=0),"",CADASTROS!$B$4+SUM($J$2:J1959)+SUM($M$2:M1959)-SUM($K$2:K1959)-SUM($L$2:L1959))</f>
        <v/>
      </c>
      <c r="O1959" s="72" t="str">
        <f>IF(A1959="","",SUMIF(RATEIOS!$A$2:$A$3142,$A1959,RATEIOS!$F$2:$F$3142))</f>
        <v/>
      </c>
      <c r="P1959" s="15" t="str">
        <f t="shared" si="62"/>
        <v/>
      </c>
      <c r="Q1959" s="49" t="str">
        <f>IF(AND(J1959=0,K1959=0,L1959=0,M1959=0),"",IF(O1959=0,"PENDENTE DE RATEIO",IF(ABS(P1959)&gt;0.005,"DIVERGÊNCIA",IF(COUNTIF(RATEIOS!$A$2:$A$3142,$A1959)-COUNTIFS(RATEIOS!$A$2:$A$3142,$A1959,RATEIOS!$D$2:$D$3142,"&lt;&gt;")&gt;0,"NÃO CLASSIFICADO","RATEIO OK"))))</f>
        <v/>
      </c>
      <c r="R1959" s="49"/>
      <c r="S1959" s="14"/>
    </row>
    <row r="1960" spans="1:19" ht="30" customHeight="1" x14ac:dyDescent="0.25">
      <c r="A1960" s="49" t="str">
        <f>IF(C1960="","","BAN-01959")</f>
        <v/>
      </c>
      <c r="B1960" s="98" t="str">
        <f>IF(C1960="","",1959)</f>
        <v/>
      </c>
      <c r="C1960" s="50"/>
      <c r="D1960" s="49" t="str">
        <f t="shared" si="61"/>
        <v/>
      </c>
      <c r="E1960" s="92"/>
      <c r="F1960" s="49"/>
      <c r="G1960" s="14"/>
      <c r="H1960" s="14"/>
      <c r="I1960" s="76"/>
      <c r="J1960" s="73"/>
      <c r="K1960" s="74"/>
      <c r="L1960" s="72"/>
      <c r="M1960" s="72"/>
      <c r="N1960" s="72" t="str">
        <f>IF(AND(C1960="",J1960=0,K1960=0,L1960=0,M1960=0),"",CADASTROS!$B$4+SUM($J$2:J1960)+SUM($M$2:M1960)-SUM($K$2:K1960)-SUM($L$2:L1960))</f>
        <v/>
      </c>
      <c r="O1960" s="72" t="str">
        <f>IF(A1960="","",SUMIF(RATEIOS!$A$2:$A$3142,$A1960,RATEIOS!$F$2:$F$3142))</f>
        <v/>
      </c>
      <c r="P1960" s="15" t="str">
        <f t="shared" si="62"/>
        <v/>
      </c>
      <c r="Q1960" s="49" t="str">
        <f>IF(AND(J1960=0,K1960=0,L1960=0,M1960=0),"",IF(O1960=0,"PENDENTE DE RATEIO",IF(ABS(P1960)&gt;0.005,"DIVERGÊNCIA",IF(COUNTIF(RATEIOS!$A$2:$A$3142,$A1960)-COUNTIFS(RATEIOS!$A$2:$A$3142,$A1960,RATEIOS!$D$2:$D$3142,"&lt;&gt;")&gt;0,"NÃO CLASSIFICADO","RATEIO OK"))))</f>
        <v/>
      </c>
      <c r="R1960" s="49"/>
      <c r="S1960" s="14"/>
    </row>
    <row r="1961" spans="1:19" ht="30" customHeight="1" x14ac:dyDescent="0.25">
      <c r="A1961" s="49" t="str">
        <f>IF(C1961="","","BAN-01960")</f>
        <v/>
      </c>
      <c r="B1961" s="98" t="str">
        <f>IF(C1961="","",1960)</f>
        <v/>
      </c>
      <c r="C1961" s="50"/>
      <c r="D1961" s="49" t="str">
        <f t="shared" si="61"/>
        <v/>
      </c>
      <c r="E1961" s="92"/>
      <c r="F1961" s="49"/>
      <c r="G1961" s="14"/>
      <c r="H1961" s="14"/>
      <c r="I1961" s="76"/>
      <c r="J1961" s="73"/>
      <c r="K1961" s="74"/>
      <c r="L1961" s="72"/>
      <c r="M1961" s="72"/>
      <c r="N1961" s="72" t="str">
        <f>IF(AND(C1961="",J1961=0,K1961=0,L1961=0,M1961=0),"",CADASTROS!$B$4+SUM($J$2:J1961)+SUM($M$2:M1961)-SUM($K$2:K1961)-SUM($L$2:L1961))</f>
        <v/>
      </c>
      <c r="O1961" s="72" t="str">
        <f>IF(A1961="","",SUMIF(RATEIOS!$A$2:$A$3142,$A1961,RATEIOS!$F$2:$F$3142))</f>
        <v/>
      </c>
      <c r="P1961" s="15" t="str">
        <f t="shared" si="62"/>
        <v/>
      </c>
      <c r="Q1961" s="49" t="str">
        <f>IF(AND(J1961=0,K1961=0,L1961=0,M1961=0),"",IF(O1961=0,"PENDENTE DE RATEIO",IF(ABS(P1961)&gt;0.005,"DIVERGÊNCIA",IF(COUNTIF(RATEIOS!$A$2:$A$3142,$A1961)-COUNTIFS(RATEIOS!$A$2:$A$3142,$A1961,RATEIOS!$D$2:$D$3142,"&lt;&gt;")&gt;0,"NÃO CLASSIFICADO","RATEIO OK"))))</f>
        <v/>
      </c>
      <c r="R1961" s="49"/>
      <c r="S1961" s="14"/>
    </row>
    <row r="1962" spans="1:19" ht="30" customHeight="1" x14ac:dyDescent="0.25">
      <c r="A1962" s="49" t="str">
        <f>IF(C1962="","","BAN-01961")</f>
        <v/>
      </c>
      <c r="B1962" s="98" t="str">
        <f>IF(C1962="","",1961)</f>
        <v/>
      </c>
      <c r="C1962" s="50"/>
      <c r="D1962" s="49" t="str">
        <f t="shared" si="61"/>
        <v/>
      </c>
      <c r="E1962" s="92"/>
      <c r="F1962" s="49"/>
      <c r="G1962" s="14"/>
      <c r="H1962" s="14"/>
      <c r="I1962" s="76"/>
      <c r="J1962" s="73"/>
      <c r="K1962" s="74"/>
      <c r="L1962" s="72"/>
      <c r="M1962" s="72"/>
      <c r="N1962" s="72" t="str">
        <f>IF(AND(C1962="",J1962=0,K1962=0,L1962=0,M1962=0),"",CADASTROS!$B$4+SUM($J$2:J1962)+SUM($M$2:M1962)-SUM($K$2:K1962)-SUM($L$2:L1962))</f>
        <v/>
      </c>
      <c r="O1962" s="72" t="str">
        <f>IF(A1962="","",SUMIF(RATEIOS!$A$2:$A$3142,$A1962,RATEIOS!$F$2:$F$3142))</f>
        <v/>
      </c>
      <c r="P1962" s="15" t="str">
        <f t="shared" si="62"/>
        <v/>
      </c>
      <c r="Q1962" s="49" t="str">
        <f>IF(AND(J1962=0,K1962=0,L1962=0,M1962=0),"",IF(O1962=0,"PENDENTE DE RATEIO",IF(ABS(P1962)&gt;0.005,"DIVERGÊNCIA",IF(COUNTIF(RATEIOS!$A$2:$A$3142,$A1962)-COUNTIFS(RATEIOS!$A$2:$A$3142,$A1962,RATEIOS!$D$2:$D$3142,"&lt;&gt;")&gt;0,"NÃO CLASSIFICADO","RATEIO OK"))))</f>
        <v/>
      </c>
      <c r="R1962" s="49"/>
      <c r="S1962" s="14"/>
    </row>
    <row r="1963" spans="1:19" ht="30" customHeight="1" x14ac:dyDescent="0.25">
      <c r="A1963" s="49" t="str">
        <f>IF(C1963="","","BAN-01962")</f>
        <v/>
      </c>
      <c r="B1963" s="98" t="str">
        <f>IF(C1963="","",1962)</f>
        <v/>
      </c>
      <c r="C1963" s="50"/>
      <c r="D1963" s="49" t="str">
        <f t="shared" si="61"/>
        <v/>
      </c>
      <c r="E1963" s="92"/>
      <c r="F1963" s="49"/>
      <c r="G1963" s="14"/>
      <c r="H1963" s="14"/>
      <c r="I1963" s="76"/>
      <c r="J1963" s="73"/>
      <c r="K1963" s="74"/>
      <c r="L1963" s="72"/>
      <c r="M1963" s="72"/>
      <c r="N1963" s="72" t="str">
        <f>IF(AND(C1963="",J1963=0,K1963=0,L1963=0,M1963=0),"",CADASTROS!$B$4+SUM($J$2:J1963)+SUM($M$2:M1963)-SUM($K$2:K1963)-SUM($L$2:L1963))</f>
        <v/>
      </c>
      <c r="O1963" s="72" t="str">
        <f>IF(A1963="","",SUMIF(RATEIOS!$A$2:$A$3142,$A1963,RATEIOS!$F$2:$F$3142))</f>
        <v/>
      </c>
      <c r="P1963" s="15" t="str">
        <f t="shared" si="62"/>
        <v/>
      </c>
      <c r="Q1963" s="49" t="str">
        <f>IF(AND(J1963=0,K1963=0,L1963=0,M1963=0),"",IF(O1963=0,"PENDENTE DE RATEIO",IF(ABS(P1963)&gt;0.005,"DIVERGÊNCIA",IF(COUNTIF(RATEIOS!$A$2:$A$3142,$A1963)-COUNTIFS(RATEIOS!$A$2:$A$3142,$A1963,RATEIOS!$D$2:$D$3142,"&lt;&gt;")&gt;0,"NÃO CLASSIFICADO","RATEIO OK"))))</f>
        <v/>
      </c>
      <c r="R1963" s="49"/>
      <c r="S1963" s="14"/>
    </row>
    <row r="1964" spans="1:19" ht="30" customHeight="1" x14ac:dyDescent="0.25">
      <c r="A1964" s="49" t="str">
        <f>IF(C1964="","","BAN-01963")</f>
        <v/>
      </c>
      <c r="B1964" s="98" t="str">
        <f>IF(C1964="","",1963)</f>
        <v/>
      </c>
      <c r="C1964" s="50"/>
      <c r="D1964" s="49" t="str">
        <f t="shared" si="61"/>
        <v/>
      </c>
      <c r="E1964" s="92"/>
      <c r="F1964" s="49"/>
      <c r="G1964" s="14"/>
      <c r="H1964" s="14"/>
      <c r="I1964" s="76"/>
      <c r="J1964" s="73"/>
      <c r="K1964" s="74"/>
      <c r="L1964" s="72"/>
      <c r="M1964" s="72"/>
      <c r="N1964" s="72" t="str">
        <f>IF(AND(C1964="",J1964=0,K1964=0,L1964=0,M1964=0),"",CADASTROS!$B$4+SUM($J$2:J1964)+SUM($M$2:M1964)-SUM($K$2:K1964)-SUM($L$2:L1964))</f>
        <v/>
      </c>
      <c r="O1964" s="72" t="str">
        <f>IF(A1964="","",SUMIF(RATEIOS!$A$2:$A$3142,$A1964,RATEIOS!$F$2:$F$3142))</f>
        <v/>
      </c>
      <c r="P1964" s="15" t="str">
        <f t="shared" si="62"/>
        <v/>
      </c>
      <c r="Q1964" s="49" t="str">
        <f>IF(AND(J1964=0,K1964=0,L1964=0,M1964=0),"",IF(O1964=0,"PENDENTE DE RATEIO",IF(ABS(P1964)&gt;0.005,"DIVERGÊNCIA",IF(COUNTIF(RATEIOS!$A$2:$A$3142,$A1964)-COUNTIFS(RATEIOS!$A$2:$A$3142,$A1964,RATEIOS!$D$2:$D$3142,"&lt;&gt;")&gt;0,"NÃO CLASSIFICADO","RATEIO OK"))))</f>
        <v/>
      </c>
      <c r="R1964" s="49"/>
      <c r="S1964" s="14"/>
    </row>
    <row r="1965" spans="1:19" ht="30" customHeight="1" x14ac:dyDescent="0.25">
      <c r="A1965" s="49" t="str">
        <f>IF(C1965="","","BAN-01964")</f>
        <v/>
      </c>
      <c r="B1965" s="98" t="str">
        <f>IF(C1965="","",1964)</f>
        <v/>
      </c>
      <c r="C1965" s="50"/>
      <c r="D1965" s="49" t="str">
        <f t="shared" si="61"/>
        <v/>
      </c>
      <c r="E1965" s="92"/>
      <c r="F1965" s="49"/>
      <c r="G1965" s="14"/>
      <c r="H1965" s="14"/>
      <c r="I1965" s="76"/>
      <c r="J1965" s="73"/>
      <c r="K1965" s="74"/>
      <c r="L1965" s="72"/>
      <c r="M1965" s="72"/>
      <c r="N1965" s="72" t="str">
        <f>IF(AND(C1965="",J1965=0,K1965=0,L1965=0,M1965=0),"",CADASTROS!$B$4+SUM($J$2:J1965)+SUM($M$2:M1965)-SUM($K$2:K1965)-SUM($L$2:L1965))</f>
        <v/>
      </c>
      <c r="O1965" s="72" t="str">
        <f>IF(A1965="","",SUMIF(RATEIOS!$A$2:$A$3142,$A1965,RATEIOS!$F$2:$F$3142))</f>
        <v/>
      </c>
      <c r="P1965" s="15" t="str">
        <f t="shared" si="62"/>
        <v/>
      </c>
      <c r="Q1965" s="49" t="str">
        <f>IF(AND(J1965=0,K1965=0,L1965=0,M1965=0),"",IF(O1965=0,"PENDENTE DE RATEIO",IF(ABS(P1965)&gt;0.005,"DIVERGÊNCIA",IF(COUNTIF(RATEIOS!$A$2:$A$3142,$A1965)-COUNTIFS(RATEIOS!$A$2:$A$3142,$A1965,RATEIOS!$D$2:$D$3142,"&lt;&gt;")&gt;0,"NÃO CLASSIFICADO","RATEIO OK"))))</f>
        <v/>
      </c>
      <c r="R1965" s="49"/>
      <c r="S1965" s="14"/>
    </row>
    <row r="1966" spans="1:19" ht="30" customHeight="1" x14ac:dyDescent="0.25">
      <c r="A1966" s="49" t="str">
        <f>IF(C1966="","","BAN-01965")</f>
        <v/>
      </c>
      <c r="B1966" s="98" t="str">
        <f>IF(C1966="","",1965)</f>
        <v/>
      </c>
      <c r="C1966" s="50"/>
      <c r="D1966" s="49" t="str">
        <f t="shared" si="61"/>
        <v/>
      </c>
      <c r="E1966" s="92"/>
      <c r="F1966" s="49"/>
      <c r="G1966" s="14"/>
      <c r="H1966" s="14"/>
      <c r="I1966" s="76"/>
      <c r="J1966" s="73"/>
      <c r="K1966" s="74"/>
      <c r="L1966" s="72"/>
      <c r="M1966" s="72"/>
      <c r="N1966" s="72" t="str">
        <f>IF(AND(C1966="",J1966=0,K1966=0,L1966=0,M1966=0),"",CADASTROS!$B$4+SUM($J$2:J1966)+SUM($M$2:M1966)-SUM($K$2:K1966)-SUM($L$2:L1966))</f>
        <v/>
      </c>
      <c r="O1966" s="72" t="str">
        <f>IF(A1966="","",SUMIF(RATEIOS!$A$2:$A$3142,$A1966,RATEIOS!$F$2:$F$3142))</f>
        <v/>
      </c>
      <c r="P1966" s="15" t="str">
        <f t="shared" si="62"/>
        <v/>
      </c>
      <c r="Q1966" s="49" t="str">
        <f>IF(AND(J1966=0,K1966=0,L1966=0,M1966=0),"",IF(O1966=0,"PENDENTE DE RATEIO",IF(ABS(P1966)&gt;0.005,"DIVERGÊNCIA",IF(COUNTIF(RATEIOS!$A$2:$A$3142,$A1966)-COUNTIFS(RATEIOS!$A$2:$A$3142,$A1966,RATEIOS!$D$2:$D$3142,"&lt;&gt;")&gt;0,"NÃO CLASSIFICADO","RATEIO OK"))))</f>
        <v/>
      </c>
      <c r="R1966" s="49"/>
      <c r="S1966" s="14"/>
    </row>
    <row r="1967" spans="1:19" ht="30" customHeight="1" x14ac:dyDescent="0.25">
      <c r="A1967" s="49" t="str">
        <f>IF(C1967="","","BAN-01966")</f>
        <v/>
      </c>
      <c r="B1967" s="98" t="str">
        <f>IF(C1967="","",1966)</f>
        <v/>
      </c>
      <c r="C1967" s="50"/>
      <c r="D1967" s="49" t="str">
        <f t="shared" si="61"/>
        <v/>
      </c>
      <c r="E1967" s="92"/>
      <c r="F1967" s="49"/>
      <c r="G1967" s="14"/>
      <c r="H1967" s="14"/>
      <c r="I1967" s="76"/>
      <c r="J1967" s="73"/>
      <c r="K1967" s="74"/>
      <c r="L1967" s="72"/>
      <c r="M1967" s="72"/>
      <c r="N1967" s="72" t="str">
        <f>IF(AND(C1967="",J1967=0,K1967=0,L1967=0,M1967=0),"",CADASTROS!$B$4+SUM($J$2:J1967)+SUM($M$2:M1967)-SUM($K$2:K1967)-SUM($L$2:L1967))</f>
        <v/>
      </c>
      <c r="O1967" s="72" t="str">
        <f>IF(A1967="","",SUMIF(RATEIOS!$A$2:$A$3142,$A1967,RATEIOS!$F$2:$F$3142))</f>
        <v/>
      </c>
      <c r="P1967" s="15" t="str">
        <f t="shared" si="62"/>
        <v/>
      </c>
      <c r="Q1967" s="49" t="str">
        <f>IF(AND(J1967=0,K1967=0,L1967=0,M1967=0),"",IF(O1967=0,"PENDENTE DE RATEIO",IF(ABS(P1967)&gt;0.005,"DIVERGÊNCIA",IF(COUNTIF(RATEIOS!$A$2:$A$3142,$A1967)-COUNTIFS(RATEIOS!$A$2:$A$3142,$A1967,RATEIOS!$D$2:$D$3142,"&lt;&gt;")&gt;0,"NÃO CLASSIFICADO","RATEIO OK"))))</f>
        <v/>
      </c>
      <c r="R1967" s="49"/>
      <c r="S1967" s="14"/>
    </row>
    <row r="1968" spans="1:19" ht="30" customHeight="1" x14ac:dyDescent="0.25">
      <c r="A1968" s="49" t="str">
        <f>IF(C1968="","","BAN-01967")</f>
        <v/>
      </c>
      <c r="B1968" s="98" t="str">
        <f>IF(C1968="","",1967)</f>
        <v/>
      </c>
      <c r="C1968" s="50"/>
      <c r="D1968" s="49" t="str">
        <f t="shared" si="61"/>
        <v/>
      </c>
      <c r="E1968" s="92"/>
      <c r="F1968" s="49"/>
      <c r="G1968" s="14"/>
      <c r="H1968" s="14"/>
      <c r="I1968" s="76"/>
      <c r="J1968" s="73"/>
      <c r="K1968" s="74"/>
      <c r="L1968" s="72"/>
      <c r="M1968" s="72"/>
      <c r="N1968" s="72" t="str">
        <f>IF(AND(C1968="",J1968=0,K1968=0,L1968=0,M1968=0),"",CADASTROS!$B$4+SUM($J$2:J1968)+SUM($M$2:M1968)-SUM($K$2:K1968)-SUM($L$2:L1968))</f>
        <v/>
      </c>
      <c r="O1968" s="72" t="str">
        <f>IF(A1968="","",SUMIF(RATEIOS!$A$2:$A$3142,$A1968,RATEIOS!$F$2:$F$3142))</f>
        <v/>
      </c>
      <c r="P1968" s="15" t="str">
        <f t="shared" si="62"/>
        <v/>
      </c>
      <c r="Q1968" s="49" t="str">
        <f>IF(AND(J1968=0,K1968=0,L1968=0,M1968=0),"",IF(O1968=0,"PENDENTE DE RATEIO",IF(ABS(P1968)&gt;0.005,"DIVERGÊNCIA",IF(COUNTIF(RATEIOS!$A$2:$A$3142,$A1968)-COUNTIFS(RATEIOS!$A$2:$A$3142,$A1968,RATEIOS!$D$2:$D$3142,"&lt;&gt;")&gt;0,"NÃO CLASSIFICADO","RATEIO OK"))))</f>
        <v/>
      </c>
      <c r="R1968" s="49"/>
      <c r="S1968" s="14"/>
    </row>
    <row r="1969" spans="1:19" ht="30" customHeight="1" x14ac:dyDescent="0.25">
      <c r="A1969" s="49" t="str">
        <f>IF(C1969="","","BAN-01968")</f>
        <v/>
      </c>
      <c r="B1969" s="98" t="str">
        <f>IF(C1969="","",1968)</f>
        <v/>
      </c>
      <c r="C1969" s="50"/>
      <c r="D1969" s="49" t="str">
        <f t="shared" si="61"/>
        <v/>
      </c>
      <c r="E1969" s="92"/>
      <c r="F1969" s="49"/>
      <c r="G1969" s="14"/>
      <c r="H1969" s="14"/>
      <c r="I1969" s="76"/>
      <c r="J1969" s="73"/>
      <c r="K1969" s="74"/>
      <c r="L1969" s="72"/>
      <c r="M1969" s="72"/>
      <c r="N1969" s="72" t="str">
        <f>IF(AND(C1969="",J1969=0,K1969=0,L1969=0,M1969=0),"",CADASTROS!$B$4+SUM($J$2:J1969)+SUM($M$2:M1969)-SUM($K$2:K1969)-SUM($L$2:L1969))</f>
        <v/>
      </c>
      <c r="O1969" s="72" t="str">
        <f>IF(A1969="","",SUMIF(RATEIOS!$A$2:$A$3142,$A1969,RATEIOS!$F$2:$F$3142))</f>
        <v/>
      </c>
      <c r="P1969" s="15" t="str">
        <f t="shared" si="62"/>
        <v/>
      </c>
      <c r="Q1969" s="49" t="str">
        <f>IF(AND(J1969=0,K1969=0,L1969=0,M1969=0),"",IF(O1969=0,"PENDENTE DE RATEIO",IF(ABS(P1969)&gt;0.005,"DIVERGÊNCIA",IF(COUNTIF(RATEIOS!$A$2:$A$3142,$A1969)-COUNTIFS(RATEIOS!$A$2:$A$3142,$A1969,RATEIOS!$D$2:$D$3142,"&lt;&gt;")&gt;0,"NÃO CLASSIFICADO","RATEIO OK"))))</f>
        <v/>
      </c>
      <c r="R1969" s="49"/>
      <c r="S1969" s="14"/>
    </row>
    <row r="1970" spans="1:19" ht="30" customHeight="1" x14ac:dyDescent="0.25">
      <c r="A1970" s="49" t="str">
        <f>IF(C1970="","","BAN-01969")</f>
        <v/>
      </c>
      <c r="B1970" s="98" t="str">
        <f>IF(C1970="","",1969)</f>
        <v/>
      </c>
      <c r="C1970" s="50"/>
      <c r="D1970" s="49" t="str">
        <f t="shared" si="61"/>
        <v/>
      </c>
      <c r="E1970" s="92"/>
      <c r="F1970" s="49"/>
      <c r="G1970" s="14"/>
      <c r="H1970" s="14"/>
      <c r="I1970" s="76"/>
      <c r="J1970" s="73"/>
      <c r="K1970" s="74"/>
      <c r="L1970" s="72"/>
      <c r="M1970" s="72"/>
      <c r="N1970" s="72" t="str">
        <f>IF(AND(C1970="",J1970=0,K1970=0,L1970=0,M1970=0),"",CADASTROS!$B$4+SUM($J$2:J1970)+SUM($M$2:M1970)-SUM($K$2:K1970)-SUM($L$2:L1970))</f>
        <v/>
      </c>
      <c r="O1970" s="72" t="str">
        <f>IF(A1970="","",SUMIF(RATEIOS!$A$2:$A$3142,$A1970,RATEIOS!$F$2:$F$3142))</f>
        <v/>
      </c>
      <c r="P1970" s="15" t="str">
        <f t="shared" si="62"/>
        <v/>
      </c>
      <c r="Q1970" s="49" t="str">
        <f>IF(AND(J1970=0,K1970=0,L1970=0,M1970=0),"",IF(O1970=0,"PENDENTE DE RATEIO",IF(ABS(P1970)&gt;0.005,"DIVERGÊNCIA",IF(COUNTIF(RATEIOS!$A$2:$A$3142,$A1970)-COUNTIFS(RATEIOS!$A$2:$A$3142,$A1970,RATEIOS!$D$2:$D$3142,"&lt;&gt;")&gt;0,"NÃO CLASSIFICADO","RATEIO OK"))))</f>
        <v/>
      </c>
      <c r="R1970" s="49"/>
      <c r="S1970" s="14"/>
    </row>
    <row r="1971" spans="1:19" ht="30" customHeight="1" x14ac:dyDescent="0.25">
      <c r="A1971" s="49" t="str">
        <f>IF(C1971="","","BAN-01970")</f>
        <v/>
      </c>
      <c r="B1971" s="98" t="str">
        <f>IF(C1971="","",1970)</f>
        <v/>
      </c>
      <c r="C1971" s="50"/>
      <c r="D1971" s="49" t="str">
        <f t="shared" si="61"/>
        <v/>
      </c>
      <c r="E1971" s="92"/>
      <c r="F1971" s="49"/>
      <c r="G1971" s="14"/>
      <c r="H1971" s="14"/>
      <c r="I1971" s="76"/>
      <c r="J1971" s="73"/>
      <c r="K1971" s="74"/>
      <c r="L1971" s="72"/>
      <c r="M1971" s="72"/>
      <c r="N1971" s="72" t="str">
        <f>IF(AND(C1971="",J1971=0,K1971=0,L1971=0,M1971=0),"",CADASTROS!$B$4+SUM($J$2:J1971)+SUM($M$2:M1971)-SUM($K$2:K1971)-SUM($L$2:L1971))</f>
        <v/>
      </c>
      <c r="O1971" s="72" t="str">
        <f>IF(A1971="","",SUMIF(RATEIOS!$A$2:$A$3142,$A1971,RATEIOS!$F$2:$F$3142))</f>
        <v/>
      </c>
      <c r="P1971" s="15" t="str">
        <f t="shared" si="62"/>
        <v/>
      </c>
      <c r="Q1971" s="49" t="str">
        <f>IF(AND(J1971=0,K1971=0,L1971=0,M1971=0),"",IF(O1971=0,"PENDENTE DE RATEIO",IF(ABS(P1971)&gt;0.005,"DIVERGÊNCIA",IF(COUNTIF(RATEIOS!$A$2:$A$3142,$A1971)-COUNTIFS(RATEIOS!$A$2:$A$3142,$A1971,RATEIOS!$D$2:$D$3142,"&lt;&gt;")&gt;0,"NÃO CLASSIFICADO","RATEIO OK"))))</f>
        <v/>
      </c>
      <c r="R1971" s="49"/>
      <c r="S1971" s="14"/>
    </row>
    <row r="1972" spans="1:19" ht="30" customHeight="1" x14ac:dyDescent="0.25">
      <c r="A1972" s="49" t="str">
        <f>IF(C1972="","","BAN-01971")</f>
        <v/>
      </c>
      <c r="B1972" s="98" t="str">
        <f>IF(C1972="","",1971)</f>
        <v/>
      </c>
      <c r="C1972" s="50"/>
      <c r="D1972" s="49" t="str">
        <f t="shared" si="61"/>
        <v/>
      </c>
      <c r="E1972" s="92"/>
      <c r="F1972" s="49"/>
      <c r="G1972" s="14"/>
      <c r="H1972" s="14"/>
      <c r="I1972" s="76"/>
      <c r="J1972" s="73"/>
      <c r="K1972" s="74"/>
      <c r="L1972" s="72"/>
      <c r="M1972" s="72"/>
      <c r="N1972" s="72" t="str">
        <f>IF(AND(C1972="",J1972=0,K1972=0,L1972=0,M1972=0),"",CADASTROS!$B$4+SUM($J$2:J1972)+SUM($M$2:M1972)-SUM($K$2:K1972)-SUM($L$2:L1972))</f>
        <v/>
      </c>
      <c r="O1972" s="72" t="str">
        <f>IF(A1972="","",SUMIF(RATEIOS!$A$2:$A$3142,$A1972,RATEIOS!$F$2:$F$3142))</f>
        <v/>
      </c>
      <c r="P1972" s="15" t="str">
        <f t="shared" si="62"/>
        <v/>
      </c>
      <c r="Q1972" s="49" t="str">
        <f>IF(AND(J1972=0,K1972=0,L1972=0,M1972=0),"",IF(O1972=0,"PENDENTE DE RATEIO",IF(ABS(P1972)&gt;0.005,"DIVERGÊNCIA",IF(COUNTIF(RATEIOS!$A$2:$A$3142,$A1972)-COUNTIFS(RATEIOS!$A$2:$A$3142,$A1972,RATEIOS!$D$2:$D$3142,"&lt;&gt;")&gt;0,"NÃO CLASSIFICADO","RATEIO OK"))))</f>
        <v/>
      </c>
      <c r="R1972" s="49"/>
      <c r="S1972" s="14"/>
    </row>
    <row r="1973" spans="1:19" ht="30" customHeight="1" x14ac:dyDescent="0.25">
      <c r="A1973" s="49" t="str">
        <f>IF(C1973="","","BAN-01972")</f>
        <v/>
      </c>
      <c r="B1973" s="98" t="str">
        <f>IF(C1973="","",1972)</f>
        <v/>
      </c>
      <c r="C1973" s="50"/>
      <c r="D1973" s="49" t="str">
        <f t="shared" si="61"/>
        <v/>
      </c>
      <c r="E1973" s="92"/>
      <c r="F1973" s="49"/>
      <c r="G1973" s="14"/>
      <c r="H1973" s="14"/>
      <c r="I1973" s="76"/>
      <c r="J1973" s="73"/>
      <c r="K1973" s="74"/>
      <c r="L1973" s="72"/>
      <c r="M1973" s="72"/>
      <c r="N1973" s="72" t="str">
        <f>IF(AND(C1973="",J1973=0,K1973=0,L1973=0,M1973=0),"",CADASTROS!$B$4+SUM($J$2:J1973)+SUM($M$2:M1973)-SUM($K$2:K1973)-SUM($L$2:L1973))</f>
        <v/>
      </c>
      <c r="O1973" s="72" t="str">
        <f>IF(A1973="","",SUMIF(RATEIOS!$A$2:$A$3142,$A1973,RATEIOS!$F$2:$F$3142))</f>
        <v/>
      </c>
      <c r="P1973" s="15" t="str">
        <f t="shared" si="62"/>
        <v/>
      </c>
      <c r="Q1973" s="49" t="str">
        <f>IF(AND(J1973=0,K1973=0,L1973=0,M1973=0),"",IF(O1973=0,"PENDENTE DE RATEIO",IF(ABS(P1973)&gt;0.005,"DIVERGÊNCIA",IF(COUNTIF(RATEIOS!$A$2:$A$3142,$A1973)-COUNTIFS(RATEIOS!$A$2:$A$3142,$A1973,RATEIOS!$D$2:$D$3142,"&lt;&gt;")&gt;0,"NÃO CLASSIFICADO","RATEIO OK"))))</f>
        <v/>
      </c>
      <c r="R1973" s="49"/>
      <c r="S1973" s="14"/>
    </row>
    <row r="1974" spans="1:19" ht="30" customHeight="1" x14ac:dyDescent="0.25">
      <c r="A1974" s="49" t="str">
        <f>IF(C1974="","","BAN-01973")</f>
        <v/>
      </c>
      <c r="B1974" s="98" t="str">
        <f>IF(C1974="","",1973)</f>
        <v/>
      </c>
      <c r="C1974" s="50"/>
      <c r="D1974" s="49" t="str">
        <f t="shared" si="61"/>
        <v/>
      </c>
      <c r="E1974" s="92"/>
      <c r="F1974" s="49"/>
      <c r="G1974" s="14"/>
      <c r="H1974" s="14"/>
      <c r="I1974" s="76"/>
      <c r="J1974" s="73"/>
      <c r="K1974" s="74"/>
      <c r="L1974" s="72"/>
      <c r="M1974" s="72"/>
      <c r="N1974" s="72" t="str">
        <f>IF(AND(C1974="",J1974=0,K1974=0,L1974=0,M1974=0),"",CADASTROS!$B$4+SUM($J$2:J1974)+SUM($M$2:M1974)-SUM($K$2:K1974)-SUM($L$2:L1974))</f>
        <v/>
      </c>
      <c r="O1974" s="72" t="str">
        <f>IF(A1974="","",SUMIF(RATEIOS!$A$2:$A$3142,$A1974,RATEIOS!$F$2:$F$3142))</f>
        <v/>
      </c>
      <c r="P1974" s="15" t="str">
        <f t="shared" si="62"/>
        <v/>
      </c>
      <c r="Q1974" s="49" t="str">
        <f>IF(AND(J1974=0,K1974=0,L1974=0,M1974=0),"",IF(O1974=0,"PENDENTE DE RATEIO",IF(ABS(P1974)&gt;0.005,"DIVERGÊNCIA",IF(COUNTIF(RATEIOS!$A$2:$A$3142,$A1974)-COUNTIFS(RATEIOS!$A$2:$A$3142,$A1974,RATEIOS!$D$2:$D$3142,"&lt;&gt;")&gt;0,"NÃO CLASSIFICADO","RATEIO OK"))))</f>
        <v/>
      </c>
      <c r="R1974" s="49"/>
      <c r="S1974" s="14"/>
    </row>
    <row r="1975" spans="1:19" ht="30" customHeight="1" x14ac:dyDescent="0.25">
      <c r="A1975" s="49" t="str">
        <f>IF(C1975="","","BAN-01974")</f>
        <v/>
      </c>
      <c r="B1975" s="98" t="str">
        <f>IF(C1975="","",1974)</f>
        <v/>
      </c>
      <c r="C1975" s="50"/>
      <c r="D1975" s="49" t="str">
        <f t="shared" si="61"/>
        <v/>
      </c>
      <c r="E1975" s="92"/>
      <c r="F1975" s="49"/>
      <c r="G1975" s="14"/>
      <c r="H1975" s="14"/>
      <c r="I1975" s="76"/>
      <c r="J1975" s="73"/>
      <c r="K1975" s="74"/>
      <c r="L1975" s="72"/>
      <c r="M1975" s="72"/>
      <c r="N1975" s="72" t="str">
        <f>IF(AND(C1975="",J1975=0,K1975=0,L1975=0,M1975=0),"",CADASTROS!$B$4+SUM($J$2:J1975)+SUM($M$2:M1975)-SUM($K$2:K1975)-SUM($L$2:L1975))</f>
        <v/>
      </c>
      <c r="O1975" s="72" t="str">
        <f>IF(A1975="","",SUMIF(RATEIOS!$A$2:$A$3142,$A1975,RATEIOS!$F$2:$F$3142))</f>
        <v/>
      </c>
      <c r="P1975" s="15" t="str">
        <f t="shared" si="62"/>
        <v/>
      </c>
      <c r="Q1975" s="49" t="str">
        <f>IF(AND(J1975=0,K1975=0,L1975=0,M1975=0),"",IF(O1975=0,"PENDENTE DE RATEIO",IF(ABS(P1975)&gt;0.005,"DIVERGÊNCIA",IF(COUNTIF(RATEIOS!$A$2:$A$3142,$A1975)-COUNTIFS(RATEIOS!$A$2:$A$3142,$A1975,RATEIOS!$D$2:$D$3142,"&lt;&gt;")&gt;0,"NÃO CLASSIFICADO","RATEIO OK"))))</f>
        <v/>
      </c>
      <c r="R1975" s="49"/>
      <c r="S1975" s="14"/>
    </row>
    <row r="1976" spans="1:19" ht="30" customHeight="1" x14ac:dyDescent="0.25">
      <c r="A1976" s="49" t="str">
        <f>IF(C1976="","","BAN-01975")</f>
        <v/>
      </c>
      <c r="B1976" s="98" t="str">
        <f>IF(C1976="","",1975)</f>
        <v/>
      </c>
      <c r="C1976" s="50"/>
      <c r="D1976" s="49" t="str">
        <f t="shared" si="61"/>
        <v/>
      </c>
      <c r="E1976" s="92"/>
      <c r="F1976" s="49"/>
      <c r="G1976" s="14"/>
      <c r="H1976" s="14"/>
      <c r="I1976" s="76"/>
      <c r="J1976" s="73"/>
      <c r="K1976" s="74"/>
      <c r="L1976" s="72"/>
      <c r="M1976" s="72"/>
      <c r="N1976" s="72" t="str">
        <f>IF(AND(C1976="",J1976=0,K1976=0,L1976=0,M1976=0),"",CADASTROS!$B$4+SUM($J$2:J1976)+SUM($M$2:M1976)-SUM($K$2:K1976)-SUM($L$2:L1976))</f>
        <v/>
      </c>
      <c r="O1976" s="72" t="str">
        <f>IF(A1976="","",SUMIF(RATEIOS!$A$2:$A$3142,$A1976,RATEIOS!$F$2:$F$3142))</f>
        <v/>
      </c>
      <c r="P1976" s="15" t="str">
        <f t="shared" si="62"/>
        <v/>
      </c>
      <c r="Q1976" s="49" t="str">
        <f>IF(AND(J1976=0,K1976=0,L1976=0,M1976=0),"",IF(O1976=0,"PENDENTE DE RATEIO",IF(ABS(P1976)&gt;0.005,"DIVERGÊNCIA",IF(COUNTIF(RATEIOS!$A$2:$A$3142,$A1976)-COUNTIFS(RATEIOS!$A$2:$A$3142,$A1976,RATEIOS!$D$2:$D$3142,"&lt;&gt;")&gt;0,"NÃO CLASSIFICADO","RATEIO OK"))))</f>
        <v/>
      </c>
      <c r="R1976" s="49"/>
      <c r="S1976" s="14"/>
    </row>
    <row r="1977" spans="1:19" ht="30" customHeight="1" x14ac:dyDescent="0.25">
      <c r="A1977" s="49" t="str">
        <f>IF(C1977="","","BAN-01976")</f>
        <v/>
      </c>
      <c r="B1977" s="98" t="str">
        <f>IF(C1977="","",1976)</f>
        <v/>
      </c>
      <c r="C1977" s="50"/>
      <c r="D1977" s="49" t="str">
        <f t="shared" si="61"/>
        <v/>
      </c>
      <c r="E1977" s="92"/>
      <c r="F1977" s="49"/>
      <c r="G1977" s="14"/>
      <c r="H1977" s="14"/>
      <c r="I1977" s="76"/>
      <c r="J1977" s="73"/>
      <c r="K1977" s="74"/>
      <c r="L1977" s="72"/>
      <c r="M1977" s="72"/>
      <c r="N1977" s="72" t="str">
        <f>IF(AND(C1977="",J1977=0,K1977=0,L1977=0,M1977=0),"",CADASTROS!$B$4+SUM($J$2:J1977)+SUM($M$2:M1977)-SUM($K$2:K1977)-SUM($L$2:L1977))</f>
        <v/>
      </c>
      <c r="O1977" s="72" t="str">
        <f>IF(A1977="","",SUMIF(RATEIOS!$A$2:$A$3142,$A1977,RATEIOS!$F$2:$F$3142))</f>
        <v/>
      </c>
      <c r="P1977" s="15" t="str">
        <f t="shared" si="62"/>
        <v/>
      </c>
      <c r="Q1977" s="49" t="str">
        <f>IF(AND(J1977=0,K1977=0,L1977=0,M1977=0),"",IF(O1977=0,"PENDENTE DE RATEIO",IF(ABS(P1977)&gt;0.005,"DIVERGÊNCIA",IF(COUNTIF(RATEIOS!$A$2:$A$3142,$A1977)-COUNTIFS(RATEIOS!$A$2:$A$3142,$A1977,RATEIOS!$D$2:$D$3142,"&lt;&gt;")&gt;0,"NÃO CLASSIFICADO","RATEIO OK"))))</f>
        <v/>
      </c>
      <c r="R1977" s="49"/>
      <c r="S1977" s="14"/>
    </row>
    <row r="1978" spans="1:19" ht="30" customHeight="1" x14ac:dyDescent="0.25">
      <c r="A1978" s="49" t="str">
        <f>IF(C1978="","","BAN-01977")</f>
        <v/>
      </c>
      <c r="B1978" s="98" t="str">
        <f>IF(C1978="","",1977)</f>
        <v/>
      </c>
      <c r="C1978" s="50"/>
      <c r="D1978" s="49" t="str">
        <f t="shared" si="61"/>
        <v/>
      </c>
      <c r="E1978" s="92"/>
      <c r="F1978" s="49"/>
      <c r="G1978" s="14"/>
      <c r="H1978" s="14"/>
      <c r="I1978" s="76"/>
      <c r="J1978" s="73"/>
      <c r="K1978" s="74"/>
      <c r="L1978" s="72"/>
      <c r="M1978" s="72"/>
      <c r="N1978" s="72" t="str">
        <f>IF(AND(C1978="",J1978=0,K1978=0,L1978=0,M1978=0),"",CADASTROS!$B$4+SUM($J$2:J1978)+SUM($M$2:M1978)-SUM($K$2:K1978)-SUM($L$2:L1978))</f>
        <v/>
      </c>
      <c r="O1978" s="72" t="str">
        <f>IF(A1978="","",SUMIF(RATEIOS!$A$2:$A$3142,$A1978,RATEIOS!$F$2:$F$3142))</f>
        <v/>
      </c>
      <c r="P1978" s="15" t="str">
        <f t="shared" si="62"/>
        <v/>
      </c>
      <c r="Q1978" s="49" t="str">
        <f>IF(AND(J1978=0,K1978=0,L1978=0,M1978=0),"",IF(O1978=0,"PENDENTE DE RATEIO",IF(ABS(P1978)&gt;0.005,"DIVERGÊNCIA",IF(COUNTIF(RATEIOS!$A$2:$A$3142,$A1978)-COUNTIFS(RATEIOS!$A$2:$A$3142,$A1978,RATEIOS!$D$2:$D$3142,"&lt;&gt;")&gt;0,"NÃO CLASSIFICADO","RATEIO OK"))))</f>
        <v/>
      </c>
      <c r="R1978" s="49"/>
      <c r="S1978" s="14"/>
    </row>
    <row r="1979" spans="1:19" ht="30" customHeight="1" x14ac:dyDescent="0.25">
      <c r="A1979" s="49" t="str">
        <f>IF(C1979="","","BAN-01978")</f>
        <v/>
      </c>
      <c r="B1979" s="98" t="str">
        <f>IF(C1979="","",1978)</f>
        <v/>
      </c>
      <c r="C1979" s="50"/>
      <c r="D1979" s="49" t="str">
        <f t="shared" si="61"/>
        <v/>
      </c>
      <c r="E1979" s="92"/>
      <c r="F1979" s="49"/>
      <c r="G1979" s="14"/>
      <c r="H1979" s="14"/>
      <c r="I1979" s="76"/>
      <c r="J1979" s="73"/>
      <c r="K1979" s="74"/>
      <c r="L1979" s="72"/>
      <c r="M1979" s="72"/>
      <c r="N1979" s="72" t="str">
        <f>IF(AND(C1979="",J1979=0,K1979=0,L1979=0,M1979=0),"",CADASTROS!$B$4+SUM($J$2:J1979)+SUM($M$2:M1979)-SUM($K$2:K1979)-SUM($L$2:L1979))</f>
        <v/>
      </c>
      <c r="O1979" s="72" t="str">
        <f>IF(A1979="","",SUMIF(RATEIOS!$A$2:$A$3142,$A1979,RATEIOS!$F$2:$F$3142))</f>
        <v/>
      </c>
      <c r="P1979" s="15" t="str">
        <f t="shared" si="62"/>
        <v/>
      </c>
      <c r="Q1979" s="49" t="str">
        <f>IF(AND(J1979=0,K1979=0,L1979=0,M1979=0),"",IF(O1979=0,"PENDENTE DE RATEIO",IF(ABS(P1979)&gt;0.005,"DIVERGÊNCIA",IF(COUNTIF(RATEIOS!$A$2:$A$3142,$A1979)-COUNTIFS(RATEIOS!$A$2:$A$3142,$A1979,RATEIOS!$D$2:$D$3142,"&lt;&gt;")&gt;0,"NÃO CLASSIFICADO","RATEIO OK"))))</f>
        <v/>
      </c>
      <c r="R1979" s="49"/>
      <c r="S1979" s="14"/>
    </row>
    <row r="1980" spans="1:19" ht="30" customHeight="1" x14ac:dyDescent="0.25">
      <c r="A1980" s="49" t="str">
        <f>IF(C1980="","","BAN-01979")</f>
        <v/>
      </c>
      <c r="B1980" s="98" t="str">
        <f>IF(C1980="","",1979)</f>
        <v/>
      </c>
      <c r="C1980" s="50"/>
      <c r="D1980" s="49" t="str">
        <f t="shared" si="61"/>
        <v/>
      </c>
      <c r="E1980" s="92"/>
      <c r="F1980" s="49"/>
      <c r="G1980" s="14"/>
      <c r="H1980" s="14"/>
      <c r="I1980" s="76"/>
      <c r="J1980" s="73"/>
      <c r="K1980" s="74"/>
      <c r="L1980" s="72"/>
      <c r="M1980" s="72"/>
      <c r="N1980" s="72" t="str">
        <f>IF(AND(C1980="",J1980=0,K1980=0,L1980=0,M1980=0),"",CADASTROS!$B$4+SUM($J$2:J1980)+SUM($M$2:M1980)-SUM($K$2:K1980)-SUM($L$2:L1980))</f>
        <v/>
      </c>
      <c r="O1980" s="72" t="str">
        <f>IF(A1980="","",SUMIF(RATEIOS!$A$2:$A$3142,$A1980,RATEIOS!$F$2:$F$3142))</f>
        <v/>
      </c>
      <c r="P1980" s="15" t="str">
        <f t="shared" si="62"/>
        <v/>
      </c>
      <c r="Q1980" s="49" t="str">
        <f>IF(AND(J1980=0,K1980=0,L1980=0,M1980=0),"",IF(O1980=0,"PENDENTE DE RATEIO",IF(ABS(P1980)&gt;0.005,"DIVERGÊNCIA",IF(COUNTIF(RATEIOS!$A$2:$A$3142,$A1980)-COUNTIFS(RATEIOS!$A$2:$A$3142,$A1980,RATEIOS!$D$2:$D$3142,"&lt;&gt;")&gt;0,"NÃO CLASSIFICADO","RATEIO OK"))))</f>
        <v/>
      </c>
      <c r="R1980" s="49"/>
      <c r="S1980" s="14"/>
    </row>
    <row r="1981" spans="1:19" ht="30" customHeight="1" x14ac:dyDescent="0.25">
      <c r="A1981" s="49" t="str">
        <f>IF(C1981="","","BAN-01980")</f>
        <v/>
      </c>
      <c r="B1981" s="98" t="str">
        <f>IF(C1981="","",1980)</f>
        <v/>
      </c>
      <c r="C1981" s="50"/>
      <c r="D1981" s="49" t="str">
        <f t="shared" si="61"/>
        <v/>
      </c>
      <c r="E1981" s="92"/>
      <c r="F1981" s="49"/>
      <c r="G1981" s="14"/>
      <c r="H1981" s="14"/>
      <c r="I1981" s="76"/>
      <c r="J1981" s="73"/>
      <c r="K1981" s="74"/>
      <c r="L1981" s="72"/>
      <c r="M1981" s="72"/>
      <c r="N1981" s="72" t="str">
        <f>IF(AND(C1981="",J1981=0,K1981=0,L1981=0,M1981=0),"",CADASTROS!$B$4+SUM($J$2:J1981)+SUM($M$2:M1981)-SUM($K$2:K1981)-SUM($L$2:L1981))</f>
        <v/>
      </c>
      <c r="O1981" s="72" t="str">
        <f>IF(A1981="","",SUMIF(RATEIOS!$A$2:$A$3142,$A1981,RATEIOS!$F$2:$F$3142))</f>
        <v/>
      </c>
      <c r="P1981" s="15" t="str">
        <f t="shared" si="62"/>
        <v/>
      </c>
      <c r="Q1981" s="49" t="str">
        <f>IF(AND(J1981=0,K1981=0,L1981=0,M1981=0),"",IF(O1981=0,"PENDENTE DE RATEIO",IF(ABS(P1981)&gt;0.005,"DIVERGÊNCIA",IF(COUNTIF(RATEIOS!$A$2:$A$3142,$A1981)-COUNTIFS(RATEIOS!$A$2:$A$3142,$A1981,RATEIOS!$D$2:$D$3142,"&lt;&gt;")&gt;0,"NÃO CLASSIFICADO","RATEIO OK"))))</f>
        <v/>
      </c>
      <c r="R1981" s="49"/>
      <c r="S1981" s="14"/>
    </row>
    <row r="1982" spans="1:19" ht="30" customHeight="1" x14ac:dyDescent="0.25">
      <c r="A1982" s="49" t="str">
        <f>IF(C1982="","","BAN-01981")</f>
        <v/>
      </c>
      <c r="B1982" s="98" t="str">
        <f>IF(C1982="","",1981)</f>
        <v/>
      </c>
      <c r="C1982" s="50"/>
      <c r="D1982" s="49" t="str">
        <f t="shared" si="61"/>
        <v/>
      </c>
      <c r="E1982" s="92"/>
      <c r="F1982" s="49"/>
      <c r="G1982" s="14"/>
      <c r="H1982" s="14"/>
      <c r="I1982" s="76"/>
      <c r="J1982" s="73"/>
      <c r="K1982" s="74"/>
      <c r="L1982" s="72"/>
      <c r="M1982" s="72"/>
      <c r="N1982" s="72" t="str">
        <f>IF(AND(C1982="",J1982=0,K1982=0,L1982=0,M1982=0),"",CADASTROS!$B$4+SUM($J$2:J1982)+SUM($M$2:M1982)-SUM($K$2:K1982)-SUM($L$2:L1982))</f>
        <v/>
      </c>
      <c r="O1982" s="72" t="str">
        <f>IF(A1982="","",SUMIF(RATEIOS!$A$2:$A$3142,$A1982,RATEIOS!$F$2:$F$3142))</f>
        <v/>
      </c>
      <c r="P1982" s="15" t="str">
        <f t="shared" si="62"/>
        <v/>
      </c>
      <c r="Q1982" s="49" t="str">
        <f>IF(AND(J1982=0,K1982=0,L1982=0,M1982=0),"",IF(O1982=0,"PENDENTE DE RATEIO",IF(ABS(P1982)&gt;0.005,"DIVERGÊNCIA",IF(COUNTIF(RATEIOS!$A$2:$A$3142,$A1982)-COUNTIFS(RATEIOS!$A$2:$A$3142,$A1982,RATEIOS!$D$2:$D$3142,"&lt;&gt;")&gt;0,"NÃO CLASSIFICADO","RATEIO OK"))))</f>
        <v/>
      </c>
      <c r="R1982" s="49"/>
      <c r="S1982" s="14"/>
    </row>
    <row r="1983" spans="1:19" ht="30" customHeight="1" x14ac:dyDescent="0.25">
      <c r="A1983" s="49" t="str">
        <f>IF(C1983="","","BAN-01982")</f>
        <v/>
      </c>
      <c r="B1983" s="98" t="str">
        <f>IF(C1983="","",1982)</f>
        <v/>
      </c>
      <c r="C1983" s="50"/>
      <c r="D1983" s="49" t="str">
        <f t="shared" si="61"/>
        <v/>
      </c>
      <c r="E1983" s="92"/>
      <c r="F1983" s="49"/>
      <c r="G1983" s="14"/>
      <c r="H1983" s="14"/>
      <c r="I1983" s="76"/>
      <c r="J1983" s="73"/>
      <c r="K1983" s="74"/>
      <c r="L1983" s="72"/>
      <c r="M1983" s="72"/>
      <c r="N1983" s="72" t="str">
        <f>IF(AND(C1983="",J1983=0,K1983=0,L1983=0,M1983=0),"",CADASTROS!$B$4+SUM($J$2:J1983)+SUM($M$2:M1983)-SUM($K$2:K1983)-SUM($L$2:L1983))</f>
        <v/>
      </c>
      <c r="O1983" s="72" t="str">
        <f>IF(A1983="","",SUMIF(RATEIOS!$A$2:$A$3142,$A1983,RATEIOS!$F$2:$F$3142))</f>
        <v/>
      </c>
      <c r="P1983" s="15" t="str">
        <f t="shared" si="62"/>
        <v/>
      </c>
      <c r="Q1983" s="49" t="str">
        <f>IF(AND(J1983=0,K1983=0,L1983=0,M1983=0),"",IF(O1983=0,"PENDENTE DE RATEIO",IF(ABS(P1983)&gt;0.005,"DIVERGÊNCIA",IF(COUNTIF(RATEIOS!$A$2:$A$3142,$A1983)-COUNTIFS(RATEIOS!$A$2:$A$3142,$A1983,RATEIOS!$D$2:$D$3142,"&lt;&gt;")&gt;0,"NÃO CLASSIFICADO","RATEIO OK"))))</f>
        <v/>
      </c>
      <c r="R1983" s="49"/>
      <c r="S1983" s="14"/>
    </row>
    <row r="1984" spans="1:19" ht="30" customHeight="1" x14ac:dyDescent="0.25">
      <c r="A1984" s="49" t="str">
        <f>IF(C1984="","","BAN-01983")</f>
        <v/>
      </c>
      <c r="B1984" s="98" t="str">
        <f>IF(C1984="","",1983)</f>
        <v/>
      </c>
      <c r="C1984" s="50"/>
      <c r="D1984" s="49" t="str">
        <f t="shared" si="61"/>
        <v/>
      </c>
      <c r="E1984" s="92"/>
      <c r="F1984" s="49"/>
      <c r="G1984" s="14"/>
      <c r="H1984" s="14"/>
      <c r="I1984" s="76"/>
      <c r="J1984" s="73"/>
      <c r="K1984" s="74"/>
      <c r="L1984" s="72"/>
      <c r="M1984" s="72"/>
      <c r="N1984" s="72" t="str">
        <f>IF(AND(C1984="",J1984=0,K1984=0,L1984=0,M1984=0),"",CADASTROS!$B$4+SUM($J$2:J1984)+SUM($M$2:M1984)-SUM($K$2:K1984)-SUM($L$2:L1984))</f>
        <v/>
      </c>
      <c r="O1984" s="72" t="str">
        <f>IF(A1984="","",SUMIF(RATEIOS!$A$2:$A$3142,$A1984,RATEIOS!$F$2:$F$3142))</f>
        <v/>
      </c>
      <c r="P1984" s="15" t="str">
        <f t="shared" si="62"/>
        <v/>
      </c>
      <c r="Q1984" s="49" t="str">
        <f>IF(AND(J1984=0,K1984=0,L1984=0,M1984=0),"",IF(O1984=0,"PENDENTE DE RATEIO",IF(ABS(P1984)&gt;0.005,"DIVERGÊNCIA",IF(COUNTIF(RATEIOS!$A$2:$A$3142,$A1984)-COUNTIFS(RATEIOS!$A$2:$A$3142,$A1984,RATEIOS!$D$2:$D$3142,"&lt;&gt;")&gt;0,"NÃO CLASSIFICADO","RATEIO OK"))))</f>
        <v/>
      </c>
      <c r="R1984" s="49"/>
      <c r="S1984" s="14"/>
    </row>
    <row r="1985" spans="1:19" ht="30" customHeight="1" x14ac:dyDescent="0.25">
      <c r="A1985" s="49" t="str">
        <f>IF(C1985="","","BAN-01984")</f>
        <v/>
      </c>
      <c r="B1985" s="98" t="str">
        <f>IF(C1985="","",1984)</f>
        <v/>
      </c>
      <c r="C1985" s="50"/>
      <c r="D1985" s="49" t="str">
        <f t="shared" si="61"/>
        <v/>
      </c>
      <c r="E1985" s="92"/>
      <c r="F1985" s="49"/>
      <c r="G1985" s="14"/>
      <c r="H1985" s="14"/>
      <c r="I1985" s="76"/>
      <c r="J1985" s="73"/>
      <c r="K1985" s="74"/>
      <c r="L1985" s="72"/>
      <c r="M1985" s="72"/>
      <c r="N1985" s="72" t="str">
        <f>IF(AND(C1985="",J1985=0,K1985=0,L1985=0,M1985=0),"",CADASTROS!$B$4+SUM($J$2:J1985)+SUM($M$2:M1985)-SUM($K$2:K1985)-SUM($L$2:L1985))</f>
        <v/>
      </c>
      <c r="O1985" s="72" t="str">
        <f>IF(A1985="","",SUMIF(RATEIOS!$A$2:$A$3142,$A1985,RATEIOS!$F$2:$F$3142))</f>
        <v/>
      </c>
      <c r="P1985" s="15" t="str">
        <f t="shared" si="62"/>
        <v/>
      </c>
      <c r="Q1985" s="49" t="str">
        <f>IF(AND(J1985=0,K1985=0,L1985=0,M1985=0),"",IF(O1985=0,"PENDENTE DE RATEIO",IF(ABS(P1985)&gt;0.005,"DIVERGÊNCIA",IF(COUNTIF(RATEIOS!$A$2:$A$3142,$A1985)-COUNTIFS(RATEIOS!$A$2:$A$3142,$A1985,RATEIOS!$D$2:$D$3142,"&lt;&gt;")&gt;0,"NÃO CLASSIFICADO","RATEIO OK"))))</f>
        <v/>
      </c>
      <c r="R1985" s="49"/>
      <c r="S1985" s="14"/>
    </row>
    <row r="1986" spans="1:19" ht="30" customHeight="1" x14ac:dyDescent="0.25">
      <c r="A1986" s="49" t="str">
        <f>IF(C1986="","","BAN-01985")</f>
        <v/>
      </c>
      <c r="B1986" s="98" t="str">
        <f>IF(C1986="","",1985)</f>
        <v/>
      </c>
      <c r="C1986" s="50"/>
      <c r="D1986" s="49" t="str">
        <f t="shared" ref="D1986:D2049" si="63">IF(C1986="","",MONTH(C1986))</f>
        <v/>
      </c>
      <c r="E1986" s="92"/>
      <c r="F1986" s="49"/>
      <c r="G1986" s="14"/>
      <c r="H1986" s="14"/>
      <c r="I1986" s="76"/>
      <c r="J1986" s="73"/>
      <c r="K1986" s="74"/>
      <c r="L1986" s="72"/>
      <c r="M1986" s="72"/>
      <c r="N1986" s="72" t="str">
        <f>IF(AND(C1986="",J1986=0,K1986=0,L1986=0,M1986=0),"",CADASTROS!$B$4+SUM($J$2:J1986)+SUM($M$2:M1986)-SUM($K$2:K1986)-SUM($L$2:L1986))</f>
        <v/>
      </c>
      <c r="O1986" s="72" t="str">
        <f>IF(A1986="","",SUMIF(RATEIOS!$A$2:$A$3142,$A1986,RATEIOS!$F$2:$F$3142))</f>
        <v/>
      </c>
      <c r="P1986" s="15" t="str">
        <f t="shared" ref="P1986:P2049" si="64">IF(A1986="","",(J1986+K1986+L1986+M1986)-O1986)</f>
        <v/>
      </c>
      <c r="Q1986" s="49" t="str">
        <f>IF(AND(J1986=0,K1986=0,L1986=0,M1986=0),"",IF(O1986=0,"PENDENTE DE RATEIO",IF(ABS(P1986)&gt;0.005,"DIVERGÊNCIA",IF(COUNTIF(RATEIOS!$A$2:$A$3142,$A1986)-COUNTIFS(RATEIOS!$A$2:$A$3142,$A1986,RATEIOS!$D$2:$D$3142,"&lt;&gt;")&gt;0,"NÃO CLASSIFICADO","RATEIO OK"))))</f>
        <v/>
      </c>
      <c r="R1986" s="49"/>
      <c r="S1986" s="14"/>
    </row>
    <row r="1987" spans="1:19" ht="30" customHeight="1" x14ac:dyDescent="0.25">
      <c r="A1987" s="49" t="str">
        <f>IF(C1987="","","BAN-01986")</f>
        <v/>
      </c>
      <c r="B1987" s="98" t="str">
        <f>IF(C1987="","",1986)</f>
        <v/>
      </c>
      <c r="C1987" s="50"/>
      <c r="D1987" s="49" t="str">
        <f t="shared" si="63"/>
        <v/>
      </c>
      <c r="E1987" s="92"/>
      <c r="F1987" s="49"/>
      <c r="G1987" s="14"/>
      <c r="H1987" s="14"/>
      <c r="I1987" s="76"/>
      <c r="J1987" s="73"/>
      <c r="K1987" s="74"/>
      <c r="L1987" s="72"/>
      <c r="M1987" s="72"/>
      <c r="N1987" s="72" t="str">
        <f>IF(AND(C1987="",J1987=0,K1987=0,L1987=0,M1987=0),"",CADASTROS!$B$4+SUM($J$2:J1987)+SUM($M$2:M1987)-SUM($K$2:K1987)-SUM($L$2:L1987))</f>
        <v/>
      </c>
      <c r="O1987" s="72" t="str">
        <f>IF(A1987="","",SUMIF(RATEIOS!$A$2:$A$3142,$A1987,RATEIOS!$F$2:$F$3142))</f>
        <v/>
      </c>
      <c r="P1987" s="15" t="str">
        <f t="shared" si="64"/>
        <v/>
      </c>
      <c r="Q1987" s="49" t="str">
        <f>IF(AND(J1987=0,K1987=0,L1987=0,M1987=0),"",IF(O1987=0,"PENDENTE DE RATEIO",IF(ABS(P1987)&gt;0.005,"DIVERGÊNCIA",IF(COUNTIF(RATEIOS!$A$2:$A$3142,$A1987)-COUNTIFS(RATEIOS!$A$2:$A$3142,$A1987,RATEIOS!$D$2:$D$3142,"&lt;&gt;")&gt;0,"NÃO CLASSIFICADO","RATEIO OK"))))</f>
        <v/>
      </c>
      <c r="R1987" s="49"/>
      <c r="S1987" s="14"/>
    </row>
    <row r="1988" spans="1:19" ht="30" customHeight="1" x14ac:dyDescent="0.25">
      <c r="A1988" s="49" t="str">
        <f>IF(C1988="","","BAN-01987")</f>
        <v/>
      </c>
      <c r="B1988" s="98" t="str">
        <f>IF(C1988="","",1987)</f>
        <v/>
      </c>
      <c r="C1988" s="50"/>
      <c r="D1988" s="49" t="str">
        <f t="shared" si="63"/>
        <v/>
      </c>
      <c r="E1988" s="92"/>
      <c r="F1988" s="49"/>
      <c r="G1988" s="14"/>
      <c r="H1988" s="14"/>
      <c r="I1988" s="76"/>
      <c r="J1988" s="73"/>
      <c r="K1988" s="74"/>
      <c r="L1988" s="72"/>
      <c r="M1988" s="72"/>
      <c r="N1988" s="72" t="str">
        <f>IF(AND(C1988="",J1988=0,K1988=0,L1988=0,M1988=0),"",CADASTROS!$B$4+SUM($J$2:J1988)+SUM($M$2:M1988)-SUM($K$2:K1988)-SUM($L$2:L1988))</f>
        <v/>
      </c>
      <c r="O1988" s="72" t="str">
        <f>IF(A1988="","",SUMIF(RATEIOS!$A$2:$A$3142,$A1988,RATEIOS!$F$2:$F$3142))</f>
        <v/>
      </c>
      <c r="P1988" s="15" t="str">
        <f t="shared" si="64"/>
        <v/>
      </c>
      <c r="Q1988" s="49" t="str">
        <f>IF(AND(J1988=0,K1988=0,L1988=0,M1988=0),"",IF(O1988=0,"PENDENTE DE RATEIO",IF(ABS(P1988)&gt;0.005,"DIVERGÊNCIA",IF(COUNTIF(RATEIOS!$A$2:$A$3142,$A1988)-COUNTIFS(RATEIOS!$A$2:$A$3142,$A1988,RATEIOS!$D$2:$D$3142,"&lt;&gt;")&gt;0,"NÃO CLASSIFICADO","RATEIO OK"))))</f>
        <v/>
      </c>
      <c r="R1988" s="49"/>
      <c r="S1988" s="14"/>
    </row>
    <row r="1989" spans="1:19" ht="30" customHeight="1" x14ac:dyDescent="0.25">
      <c r="A1989" s="49" t="str">
        <f>IF(C1989="","","BAN-01988")</f>
        <v/>
      </c>
      <c r="B1989" s="98" t="str">
        <f>IF(C1989="","",1988)</f>
        <v/>
      </c>
      <c r="C1989" s="50"/>
      <c r="D1989" s="49" t="str">
        <f t="shared" si="63"/>
        <v/>
      </c>
      <c r="E1989" s="92"/>
      <c r="F1989" s="49"/>
      <c r="G1989" s="14"/>
      <c r="H1989" s="14"/>
      <c r="I1989" s="76"/>
      <c r="J1989" s="73"/>
      <c r="K1989" s="74"/>
      <c r="L1989" s="72"/>
      <c r="M1989" s="72"/>
      <c r="N1989" s="72" t="str">
        <f>IF(AND(C1989="",J1989=0,K1989=0,L1989=0,M1989=0),"",CADASTROS!$B$4+SUM($J$2:J1989)+SUM($M$2:M1989)-SUM($K$2:K1989)-SUM($L$2:L1989))</f>
        <v/>
      </c>
      <c r="O1989" s="72" t="str">
        <f>IF(A1989="","",SUMIF(RATEIOS!$A$2:$A$3142,$A1989,RATEIOS!$F$2:$F$3142))</f>
        <v/>
      </c>
      <c r="P1989" s="15" t="str">
        <f t="shared" si="64"/>
        <v/>
      </c>
      <c r="Q1989" s="49" t="str">
        <f>IF(AND(J1989=0,K1989=0,L1989=0,M1989=0),"",IF(O1989=0,"PENDENTE DE RATEIO",IF(ABS(P1989)&gt;0.005,"DIVERGÊNCIA",IF(COUNTIF(RATEIOS!$A$2:$A$3142,$A1989)-COUNTIFS(RATEIOS!$A$2:$A$3142,$A1989,RATEIOS!$D$2:$D$3142,"&lt;&gt;")&gt;0,"NÃO CLASSIFICADO","RATEIO OK"))))</f>
        <v/>
      </c>
      <c r="R1989" s="49"/>
      <c r="S1989" s="14"/>
    </row>
    <row r="1990" spans="1:19" ht="30" customHeight="1" x14ac:dyDescent="0.25">
      <c r="A1990" s="49" t="str">
        <f>IF(C1990="","","BAN-01989")</f>
        <v/>
      </c>
      <c r="B1990" s="98" t="str">
        <f>IF(C1990="","",1989)</f>
        <v/>
      </c>
      <c r="C1990" s="50"/>
      <c r="D1990" s="49" t="str">
        <f t="shared" si="63"/>
        <v/>
      </c>
      <c r="E1990" s="92"/>
      <c r="F1990" s="49"/>
      <c r="G1990" s="14"/>
      <c r="H1990" s="14"/>
      <c r="I1990" s="76"/>
      <c r="J1990" s="73"/>
      <c r="K1990" s="74"/>
      <c r="L1990" s="72"/>
      <c r="M1990" s="72"/>
      <c r="N1990" s="72" t="str">
        <f>IF(AND(C1990="",J1990=0,K1990=0,L1990=0,M1990=0),"",CADASTROS!$B$4+SUM($J$2:J1990)+SUM($M$2:M1990)-SUM($K$2:K1990)-SUM($L$2:L1990))</f>
        <v/>
      </c>
      <c r="O1990" s="72" t="str">
        <f>IF(A1990="","",SUMIF(RATEIOS!$A$2:$A$3142,$A1990,RATEIOS!$F$2:$F$3142))</f>
        <v/>
      </c>
      <c r="P1990" s="15" t="str">
        <f t="shared" si="64"/>
        <v/>
      </c>
      <c r="Q1990" s="49" t="str">
        <f>IF(AND(J1990=0,K1990=0,L1990=0,M1990=0),"",IF(O1990=0,"PENDENTE DE RATEIO",IF(ABS(P1990)&gt;0.005,"DIVERGÊNCIA",IF(COUNTIF(RATEIOS!$A$2:$A$3142,$A1990)-COUNTIFS(RATEIOS!$A$2:$A$3142,$A1990,RATEIOS!$D$2:$D$3142,"&lt;&gt;")&gt;0,"NÃO CLASSIFICADO","RATEIO OK"))))</f>
        <v/>
      </c>
      <c r="R1990" s="49"/>
      <c r="S1990" s="14"/>
    </row>
    <row r="1991" spans="1:19" ht="30" customHeight="1" x14ac:dyDescent="0.25">
      <c r="A1991" s="49" t="str">
        <f>IF(C1991="","","BAN-01990")</f>
        <v/>
      </c>
      <c r="B1991" s="98" t="str">
        <f>IF(C1991="","",1990)</f>
        <v/>
      </c>
      <c r="C1991" s="50"/>
      <c r="D1991" s="49" t="str">
        <f t="shared" si="63"/>
        <v/>
      </c>
      <c r="E1991" s="92"/>
      <c r="F1991" s="49"/>
      <c r="G1991" s="14"/>
      <c r="H1991" s="14"/>
      <c r="I1991" s="76"/>
      <c r="J1991" s="73"/>
      <c r="K1991" s="74"/>
      <c r="L1991" s="72"/>
      <c r="M1991" s="72"/>
      <c r="N1991" s="72" t="str">
        <f>IF(AND(C1991="",J1991=0,K1991=0,L1991=0,M1991=0),"",CADASTROS!$B$4+SUM($J$2:J1991)+SUM($M$2:M1991)-SUM($K$2:K1991)-SUM($L$2:L1991))</f>
        <v/>
      </c>
      <c r="O1991" s="72" t="str">
        <f>IF(A1991="","",SUMIF(RATEIOS!$A$2:$A$3142,$A1991,RATEIOS!$F$2:$F$3142))</f>
        <v/>
      </c>
      <c r="P1991" s="15" t="str">
        <f t="shared" si="64"/>
        <v/>
      </c>
      <c r="Q1991" s="49" t="str">
        <f>IF(AND(J1991=0,K1991=0,L1991=0,M1991=0),"",IF(O1991=0,"PENDENTE DE RATEIO",IF(ABS(P1991)&gt;0.005,"DIVERGÊNCIA",IF(COUNTIF(RATEIOS!$A$2:$A$3142,$A1991)-COUNTIFS(RATEIOS!$A$2:$A$3142,$A1991,RATEIOS!$D$2:$D$3142,"&lt;&gt;")&gt;0,"NÃO CLASSIFICADO","RATEIO OK"))))</f>
        <v/>
      </c>
      <c r="R1991" s="49"/>
      <c r="S1991" s="14"/>
    </row>
    <row r="1992" spans="1:19" ht="30" customHeight="1" x14ac:dyDescent="0.25">
      <c r="A1992" s="49" t="str">
        <f>IF(C1992="","","BAN-01991")</f>
        <v/>
      </c>
      <c r="B1992" s="98" t="str">
        <f>IF(C1992="","",1991)</f>
        <v/>
      </c>
      <c r="C1992" s="50"/>
      <c r="D1992" s="49" t="str">
        <f t="shared" si="63"/>
        <v/>
      </c>
      <c r="E1992" s="92"/>
      <c r="F1992" s="49"/>
      <c r="G1992" s="14"/>
      <c r="H1992" s="14"/>
      <c r="I1992" s="76"/>
      <c r="J1992" s="73"/>
      <c r="K1992" s="74"/>
      <c r="L1992" s="72"/>
      <c r="M1992" s="72"/>
      <c r="N1992" s="72" t="str">
        <f>IF(AND(C1992="",J1992=0,K1992=0,L1992=0,M1992=0),"",CADASTROS!$B$4+SUM($J$2:J1992)+SUM($M$2:M1992)-SUM($K$2:K1992)-SUM($L$2:L1992))</f>
        <v/>
      </c>
      <c r="O1992" s="72" t="str">
        <f>IF(A1992="","",SUMIF(RATEIOS!$A$2:$A$3142,$A1992,RATEIOS!$F$2:$F$3142))</f>
        <v/>
      </c>
      <c r="P1992" s="15" t="str">
        <f t="shared" si="64"/>
        <v/>
      </c>
      <c r="Q1992" s="49" t="str">
        <f>IF(AND(J1992=0,K1992=0,L1992=0,M1992=0),"",IF(O1992=0,"PENDENTE DE RATEIO",IF(ABS(P1992)&gt;0.005,"DIVERGÊNCIA",IF(COUNTIF(RATEIOS!$A$2:$A$3142,$A1992)-COUNTIFS(RATEIOS!$A$2:$A$3142,$A1992,RATEIOS!$D$2:$D$3142,"&lt;&gt;")&gt;0,"NÃO CLASSIFICADO","RATEIO OK"))))</f>
        <v/>
      </c>
      <c r="R1992" s="49"/>
      <c r="S1992" s="14"/>
    </row>
    <row r="1993" spans="1:19" ht="30" customHeight="1" x14ac:dyDescent="0.25">
      <c r="A1993" s="49" t="str">
        <f>IF(C1993="","","BAN-01992")</f>
        <v/>
      </c>
      <c r="B1993" s="98" t="str">
        <f>IF(C1993="","",1992)</f>
        <v/>
      </c>
      <c r="C1993" s="50"/>
      <c r="D1993" s="49" t="str">
        <f t="shared" si="63"/>
        <v/>
      </c>
      <c r="E1993" s="92"/>
      <c r="F1993" s="49"/>
      <c r="G1993" s="14"/>
      <c r="H1993" s="14"/>
      <c r="I1993" s="76"/>
      <c r="J1993" s="73"/>
      <c r="K1993" s="74"/>
      <c r="L1993" s="72"/>
      <c r="M1993" s="72"/>
      <c r="N1993" s="72" t="str">
        <f>IF(AND(C1993="",J1993=0,K1993=0,L1993=0,M1993=0),"",CADASTROS!$B$4+SUM($J$2:J1993)+SUM($M$2:M1993)-SUM($K$2:K1993)-SUM($L$2:L1993))</f>
        <v/>
      </c>
      <c r="O1993" s="72" t="str">
        <f>IF(A1993="","",SUMIF(RATEIOS!$A$2:$A$3142,$A1993,RATEIOS!$F$2:$F$3142))</f>
        <v/>
      </c>
      <c r="P1993" s="15" t="str">
        <f t="shared" si="64"/>
        <v/>
      </c>
      <c r="Q1993" s="49" t="str">
        <f>IF(AND(J1993=0,K1993=0,L1993=0,M1993=0),"",IF(O1993=0,"PENDENTE DE RATEIO",IF(ABS(P1993)&gt;0.005,"DIVERGÊNCIA",IF(COUNTIF(RATEIOS!$A$2:$A$3142,$A1993)-COUNTIFS(RATEIOS!$A$2:$A$3142,$A1993,RATEIOS!$D$2:$D$3142,"&lt;&gt;")&gt;0,"NÃO CLASSIFICADO","RATEIO OK"))))</f>
        <v/>
      </c>
      <c r="R1993" s="49"/>
      <c r="S1993" s="14"/>
    </row>
    <row r="1994" spans="1:19" ht="30" customHeight="1" x14ac:dyDescent="0.25">
      <c r="A1994" s="49" t="str">
        <f>IF(C1994="","","BAN-01993")</f>
        <v/>
      </c>
      <c r="B1994" s="98" t="str">
        <f>IF(C1994="","",1993)</f>
        <v/>
      </c>
      <c r="C1994" s="50"/>
      <c r="D1994" s="49" t="str">
        <f t="shared" si="63"/>
        <v/>
      </c>
      <c r="E1994" s="92"/>
      <c r="F1994" s="49"/>
      <c r="G1994" s="14"/>
      <c r="H1994" s="14"/>
      <c r="I1994" s="76"/>
      <c r="J1994" s="73"/>
      <c r="K1994" s="74"/>
      <c r="L1994" s="72"/>
      <c r="M1994" s="72"/>
      <c r="N1994" s="72" t="str">
        <f>IF(AND(C1994="",J1994=0,K1994=0,L1994=0,M1994=0),"",CADASTROS!$B$4+SUM($J$2:J1994)+SUM($M$2:M1994)-SUM($K$2:K1994)-SUM($L$2:L1994))</f>
        <v/>
      </c>
      <c r="O1994" s="72" t="str">
        <f>IF(A1994="","",SUMIF(RATEIOS!$A$2:$A$3142,$A1994,RATEIOS!$F$2:$F$3142))</f>
        <v/>
      </c>
      <c r="P1994" s="15" t="str">
        <f t="shared" si="64"/>
        <v/>
      </c>
      <c r="Q1994" s="49" t="str">
        <f>IF(AND(J1994=0,K1994=0,L1994=0,M1994=0),"",IF(O1994=0,"PENDENTE DE RATEIO",IF(ABS(P1994)&gt;0.005,"DIVERGÊNCIA",IF(COUNTIF(RATEIOS!$A$2:$A$3142,$A1994)-COUNTIFS(RATEIOS!$A$2:$A$3142,$A1994,RATEIOS!$D$2:$D$3142,"&lt;&gt;")&gt;0,"NÃO CLASSIFICADO","RATEIO OK"))))</f>
        <v/>
      </c>
      <c r="R1994" s="49"/>
      <c r="S1994" s="14"/>
    </row>
    <row r="1995" spans="1:19" ht="30" customHeight="1" x14ac:dyDescent="0.25">
      <c r="A1995" s="49" t="str">
        <f>IF(C1995="","","BAN-01994")</f>
        <v/>
      </c>
      <c r="B1995" s="98" t="str">
        <f>IF(C1995="","",1994)</f>
        <v/>
      </c>
      <c r="C1995" s="50"/>
      <c r="D1995" s="49" t="str">
        <f t="shared" si="63"/>
        <v/>
      </c>
      <c r="E1995" s="92"/>
      <c r="F1995" s="49"/>
      <c r="G1995" s="14"/>
      <c r="H1995" s="14"/>
      <c r="I1995" s="76"/>
      <c r="J1995" s="73"/>
      <c r="K1995" s="74"/>
      <c r="L1995" s="72"/>
      <c r="M1995" s="72"/>
      <c r="N1995" s="72" t="str">
        <f>IF(AND(C1995="",J1995=0,K1995=0,L1995=0,M1995=0),"",CADASTROS!$B$4+SUM($J$2:J1995)+SUM($M$2:M1995)-SUM($K$2:K1995)-SUM($L$2:L1995))</f>
        <v/>
      </c>
      <c r="O1995" s="72" t="str">
        <f>IF(A1995="","",SUMIF(RATEIOS!$A$2:$A$3142,$A1995,RATEIOS!$F$2:$F$3142))</f>
        <v/>
      </c>
      <c r="P1995" s="15" t="str">
        <f t="shared" si="64"/>
        <v/>
      </c>
      <c r="Q1995" s="49" t="str">
        <f>IF(AND(J1995=0,K1995=0,L1995=0,M1995=0),"",IF(O1995=0,"PENDENTE DE RATEIO",IF(ABS(P1995)&gt;0.005,"DIVERGÊNCIA",IF(COUNTIF(RATEIOS!$A$2:$A$3142,$A1995)-COUNTIFS(RATEIOS!$A$2:$A$3142,$A1995,RATEIOS!$D$2:$D$3142,"&lt;&gt;")&gt;0,"NÃO CLASSIFICADO","RATEIO OK"))))</f>
        <v/>
      </c>
      <c r="R1995" s="49"/>
      <c r="S1995" s="14"/>
    </row>
    <row r="1996" spans="1:19" ht="30" customHeight="1" x14ac:dyDescent="0.25">
      <c r="A1996" s="49" t="str">
        <f>IF(C1996="","","BAN-01995")</f>
        <v/>
      </c>
      <c r="B1996" s="98" t="str">
        <f>IF(C1996="","",1995)</f>
        <v/>
      </c>
      <c r="C1996" s="50"/>
      <c r="D1996" s="49" t="str">
        <f t="shared" si="63"/>
        <v/>
      </c>
      <c r="E1996" s="92"/>
      <c r="F1996" s="49"/>
      <c r="G1996" s="14"/>
      <c r="H1996" s="14"/>
      <c r="I1996" s="76"/>
      <c r="J1996" s="73"/>
      <c r="K1996" s="74"/>
      <c r="L1996" s="72"/>
      <c r="M1996" s="72"/>
      <c r="N1996" s="72" t="str">
        <f>IF(AND(C1996="",J1996=0,K1996=0,L1996=0,M1996=0),"",CADASTROS!$B$4+SUM($J$2:J1996)+SUM($M$2:M1996)-SUM($K$2:K1996)-SUM($L$2:L1996))</f>
        <v/>
      </c>
      <c r="O1996" s="72" t="str">
        <f>IF(A1996="","",SUMIF(RATEIOS!$A$2:$A$3142,$A1996,RATEIOS!$F$2:$F$3142))</f>
        <v/>
      </c>
      <c r="P1996" s="15" t="str">
        <f t="shared" si="64"/>
        <v/>
      </c>
      <c r="Q1996" s="49" t="str">
        <f>IF(AND(J1996=0,K1996=0,L1996=0,M1996=0),"",IF(O1996=0,"PENDENTE DE RATEIO",IF(ABS(P1996)&gt;0.005,"DIVERGÊNCIA",IF(COUNTIF(RATEIOS!$A$2:$A$3142,$A1996)-COUNTIFS(RATEIOS!$A$2:$A$3142,$A1996,RATEIOS!$D$2:$D$3142,"&lt;&gt;")&gt;0,"NÃO CLASSIFICADO","RATEIO OK"))))</f>
        <v/>
      </c>
      <c r="R1996" s="49"/>
      <c r="S1996" s="14"/>
    </row>
    <row r="1997" spans="1:19" ht="30" customHeight="1" x14ac:dyDescent="0.25">
      <c r="A1997" s="49" t="str">
        <f>IF(C1997="","","BAN-01996")</f>
        <v/>
      </c>
      <c r="B1997" s="98" t="str">
        <f>IF(C1997="","",1996)</f>
        <v/>
      </c>
      <c r="C1997" s="50"/>
      <c r="D1997" s="49" t="str">
        <f t="shared" si="63"/>
        <v/>
      </c>
      <c r="E1997" s="92"/>
      <c r="F1997" s="49"/>
      <c r="G1997" s="14"/>
      <c r="H1997" s="14"/>
      <c r="I1997" s="76"/>
      <c r="J1997" s="73"/>
      <c r="K1997" s="74"/>
      <c r="L1997" s="72"/>
      <c r="M1997" s="72"/>
      <c r="N1997" s="72" t="str">
        <f>IF(AND(C1997="",J1997=0,K1997=0,L1997=0,M1997=0),"",CADASTROS!$B$4+SUM($J$2:J1997)+SUM($M$2:M1997)-SUM($K$2:K1997)-SUM($L$2:L1997))</f>
        <v/>
      </c>
      <c r="O1997" s="72" t="str">
        <f>IF(A1997="","",SUMIF(RATEIOS!$A$2:$A$3142,$A1997,RATEIOS!$F$2:$F$3142))</f>
        <v/>
      </c>
      <c r="P1997" s="15" t="str">
        <f t="shared" si="64"/>
        <v/>
      </c>
      <c r="Q1997" s="49" t="str">
        <f>IF(AND(J1997=0,K1997=0,L1997=0,M1997=0),"",IF(O1997=0,"PENDENTE DE RATEIO",IF(ABS(P1997)&gt;0.005,"DIVERGÊNCIA",IF(COUNTIF(RATEIOS!$A$2:$A$3142,$A1997)-COUNTIFS(RATEIOS!$A$2:$A$3142,$A1997,RATEIOS!$D$2:$D$3142,"&lt;&gt;")&gt;0,"NÃO CLASSIFICADO","RATEIO OK"))))</f>
        <v/>
      </c>
      <c r="R1997" s="49"/>
      <c r="S1997" s="14"/>
    </row>
    <row r="1998" spans="1:19" ht="30" customHeight="1" x14ac:dyDescent="0.25">
      <c r="A1998" s="49" t="str">
        <f>IF(C1998="","","BAN-01997")</f>
        <v/>
      </c>
      <c r="B1998" s="98" t="str">
        <f>IF(C1998="","",1997)</f>
        <v/>
      </c>
      <c r="C1998" s="50"/>
      <c r="D1998" s="49" t="str">
        <f t="shared" si="63"/>
        <v/>
      </c>
      <c r="E1998" s="92"/>
      <c r="F1998" s="49"/>
      <c r="G1998" s="14"/>
      <c r="H1998" s="14"/>
      <c r="I1998" s="76"/>
      <c r="J1998" s="73"/>
      <c r="K1998" s="74"/>
      <c r="L1998" s="72"/>
      <c r="M1998" s="72"/>
      <c r="N1998" s="72" t="str">
        <f>IF(AND(C1998="",J1998=0,K1998=0,L1998=0,M1998=0),"",CADASTROS!$B$4+SUM($J$2:J1998)+SUM($M$2:M1998)-SUM($K$2:K1998)-SUM($L$2:L1998))</f>
        <v/>
      </c>
      <c r="O1998" s="72" t="str">
        <f>IF(A1998="","",SUMIF(RATEIOS!$A$2:$A$3142,$A1998,RATEIOS!$F$2:$F$3142))</f>
        <v/>
      </c>
      <c r="P1998" s="15" t="str">
        <f t="shared" si="64"/>
        <v/>
      </c>
      <c r="Q1998" s="49" t="str">
        <f>IF(AND(J1998=0,K1998=0,L1998=0,M1998=0),"",IF(O1998=0,"PENDENTE DE RATEIO",IF(ABS(P1998)&gt;0.005,"DIVERGÊNCIA",IF(COUNTIF(RATEIOS!$A$2:$A$3142,$A1998)-COUNTIFS(RATEIOS!$A$2:$A$3142,$A1998,RATEIOS!$D$2:$D$3142,"&lt;&gt;")&gt;0,"NÃO CLASSIFICADO","RATEIO OK"))))</f>
        <v/>
      </c>
      <c r="R1998" s="49"/>
      <c r="S1998" s="14"/>
    </row>
    <row r="1999" spans="1:19" ht="30" customHeight="1" x14ac:dyDescent="0.25">
      <c r="A1999" s="49" t="str">
        <f>IF(C1999="","","BAN-01998")</f>
        <v/>
      </c>
      <c r="B1999" s="98" t="str">
        <f>IF(C1999="","",1998)</f>
        <v/>
      </c>
      <c r="C1999" s="50"/>
      <c r="D1999" s="49" t="str">
        <f t="shared" si="63"/>
        <v/>
      </c>
      <c r="E1999" s="92"/>
      <c r="F1999" s="49"/>
      <c r="G1999" s="14"/>
      <c r="H1999" s="14"/>
      <c r="I1999" s="76"/>
      <c r="J1999" s="73"/>
      <c r="K1999" s="74"/>
      <c r="L1999" s="72"/>
      <c r="M1999" s="72"/>
      <c r="N1999" s="72" t="str">
        <f>IF(AND(C1999="",J1999=0,K1999=0,L1999=0,M1999=0),"",CADASTROS!$B$4+SUM($J$2:J1999)+SUM($M$2:M1999)-SUM($K$2:K1999)-SUM($L$2:L1999))</f>
        <v/>
      </c>
      <c r="O1999" s="72" t="str">
        <f>IF(A1999="","",SUMIF(RATEIOS!$A$2:$A$3142,$A1999,RATEIOS!$F$2:$F$3142))</f>
        <v/>
      </c>
      <c r="P1999" s="15" t="str">
        <f t="shared" si="64"/>
        <v/>
      </c>
      <c r="Q1999" s="49" t="str">
        <f>IF(AND(J1999=0,K1999=0,L1999=0,M1999=0),"",IF(O1999=0,"PENDENTE DE RATEIO",IF(ABS(P1999)&gt;0.005,"DIVERGÊNCIA",IF(COUNTIF(RATEIOS!$A$2:$A$3142,$A1999)-COUNTIFS(RATEIOS!$A$2:$A$3142,$A1999,RATEIOS!$D$2:$D$3142,"&lt;&gt;")&gt;0,"NÃO CLASSIFICADO","RATEIO OK"))))</f>
        <v/>
      </c>
      <c r="R1999" s="49"/>
      <c r="S1999" s="14"/>
    </row>
    <row r="2000" spans="1:19" ht="30" customHeight="1" x14ac:dyDescent="0.25">
      <c r="A2000" s="49" t="str">
        <f>IF(C2000="","","BAN-01999")</f>
        <v/>
      </c>
      <c r="B2000" s="98" t="str">
        <f>IF(C2000="","",1999)</f>
        <v/>
      </c>
      <c r="C2000" s="50"/>
      <c r="D2000" s="49" t="str">
        <f t="shared" si="63"/>
        <v/>
      </c>
      <c r="E2000" s="92"/>
      <c r="F2000" s="49"/>
      <c r="G2000" s="14"/>
      <c r="H2000" s="14"/>
      <c r="I2000" s="76"/>
      <c r="J2000" s="73"/>
      <c r="K2000" s="74"/>
      <c r="L2000" s="72"/>
      <c r="M2000" s="72"/>
      <c r="N2000" s="72" t="str">
        <f>IF(AND(C2000="",J2000=0,K2000=0,L2000=0,M2000=0),"",CADASTROS!$B$4+SUM($J$2:J2000)+SUM($M$2:M2000)-SUM($K$2:K2000)-SUM($L$2:L2000))</f>
        <v/>
      </c>
      <c r="O2000" s="72" t="str">
        <f>IF(A2000="","",SUMIF(RATEIOS!$A$2:$A$3142,$A2000,RATEIOS!$F$2:$F$3142))</f>
        <v/>
      </c>
      <c r="P2000" s="15" t="str">
        <f t="shared" si="64"/>
        <v/>
      </c>
      <c r="Q2000" s="49" t="str">
        <f>IF(AND(J2000=0,K2000=0,L2000=0,M2000=0),"",IF(O2000=0,"PENDENTE DE RATEIO",IF(ABS(P2000)&gt;0.005,"DIVERGÊNCIA",IF(COUNTIF(RATEIOS!$A$2:$A$3142,$A2000)-COUNTIFS(RATEIOS!$A$2:$A$3142,$A2000,RATEIOS!$D$2:$D$3142,"&lt;&gt;")&gt;0,"NÃO CLASSIFICADO","RATEIO OK"))))</f>
        <v/>
      </c>
      <c r="R2000" s="49"/>
      <c r="S2000" s="14"/>
    </row>
    <row r="2001" spans="1:19" ht="30" customHeight="1" x14ac:dyDescent="0.25">
      <c r="A2001" s="49" t="str">
        <f>IF(C2001="","","BAN-02000")</f>
        <v/>
      </c>
      <c r="B2001" s="98" t="str">
        <f>IF(C2001="","",2000)</f>
        <v/>
      </c>
      <c r="C2001" s="50"/>
      <c r="D2001" s="49" t="str">
        <f t="shared" si="63"/>
        <v/>
      </c>
      <c r="E2001" s="92"/>
      <c r="F2001" s="49"/>
      <c r="G2001" s="14"/>
      <c r="H2001" s="14"/>
      <c r="I2001" s="76"/>
      <c r="J2001" s="73"/>
      <c r="K2001" s="74"/>
      <c r="L2001" s="72"/>
      <c r="M2001" s="72"/>
      <c r="N2001" s="72" t="str">
        <f>IF(AND(C2001="",J2001=0,K2001=0,L2001=0,M2001=0),"",CADASTROS!$B$4+SUM($J$2:J2001)+SUM($M$2:M2001)-SUM($K$2:K2001)-SUM($L$2:L2001))</f>
        <v/>
      </c>
      <c r="O2001" s="72" t="str">
        <f>IF(A2001="","",SUMIF(RATEIOS!$A$2:$A$3142,$A2001,RATEIOS!$F$2:$F$3142))</f>
        <v/>
      </c>
      <c r="P2001" s="15" t="str">
        <f t="shared" si="64"/>
        <v/>
      </c>
      <c r="Q2001" s="49" t="str">
        <f>IF(AND(J2001=0,K2001=0,L2001=0,M2001=0),"",IF(O2001=0,"PENDENTE DE RATEIO",IF(ABS(P2001)&gt;0.005,"DIVERGÊNCIA",IF(COUNTIF(RATEIOS!$A$2:$A$3142,$A2001)-COUNTIFS(RATEIOS!$A$2:$A$3142,$A2001,RATEIOS!$D$2:$D$3142,"&lt;&gt;")&gt;0,"NÃO CLASSIFICADO","RATEIO OK"))))</f>
        <v/>
      </c>
      <c r="R2001" s="49"/>
      <c r="S2001" s="14"/>
    </row>
    <row r="2002" spans="1:19" ht="30" customHeight="1" x14ac:dyDescent="0.25">
      <c r="A2002" s="49" t="str">
        <f>IF(C2002="","","BAN-02001")</f>
        <v/>
      </c>
      <c r="B2002" s="98" t="str">
        <f>IF(C2002="","",2001)</f>
        <v/>
      </c>
      <c r="C2002" s="50"/>
      <c r="D2002" s="49" t="str">
        <f t="shared" si="63"/>
        <v/>
      </c>
      <c r="E2002" s="92"/>
      <c r="F2002" s="49"/>
      <c r="G2002" s="14"/>
      <c r="H2002" s="14"/>
      <c r="I2002" s="76"/>
      <c r="J2002" s="73"/>
      <c r="K2002" s="74"/>
      <c r="L2002" s="72"/>
      <c r="M2002" s="72"/>
      <c r="N2002" s="72" t="str">
        <f>IF(AND(C2002="",J2002=0,K2002=0,L2002=0,M2002=0),"",CADASTROS!$B$4+SUM($J$2:J2002)+SUM($M$2:M2002)-SUM($K$2:K2002)-SUM($L$2:L2002))</f>
        <v/>
      </c>
      <c r="O2002" s="72" t="str">
        <f>IF(A2002="","",SUMIF(RATEIOS!$A$2:$A$3142,$A2002,RATEIOS!$F$2:$F$3142))</f>
        <v/>
      </c>
      <c r="P2002" s="15" t="str">
        <f t="shared" si="64"/>
        <v/>
      </c>
      <c r="Q2002" s="49" t="str">
        <f>IF(AND(J2002=0,K2002=0,L2002=0,M2002=0),"",IF(O2002=0,"PENDENTE DE RATEIO",IF(ABS(P2002)&gt;0.005,"DIVERGÊNCIA",IF(COUNTIF(RATEIOS!$A$2:$A$3142,$A2002)-COUNTIFS(RATEIOS!$A$2:$A$3142,$A2002,RATEIOS!$D$2:$D$3142,"&lt;&gt;")&gt;0,"NÃO CLASSIFICADO","RATEIO OK"))))</f>
        <v/>
      </c>
      <c r="R2002" s="49"/>
      <c r="S2002" s="14"/>
    </row>
    <row r="2003" spans="1:19" ht="30" customHeight="1" x14ac:dyDescent="0.25">
      <c r="A2003" s="49" t="str">
        <f>IF(C2003="","","BAN-02002")</f>
        <v/>
      </c>
      <c r="B2003" s="98" t="str">
        <f>IF(C2003="","",2002)</f>
        <v/>
      </c>
      <c r="C2003" s="50"/>
      <c r="D2003" s="49" t="str">
        <f t="shared" si="63"/>
        <v/>
      </c>
      <c r="E2003" s="92"/>
      <c r="F2003" s="49"/>
      <c r="G2003" s="14"/>
      <c r="H2003" s="14"/>
      <c r="I2003" s="76"/>
      <c r="J2003" s="73"/>
      <c r="K2003" s="74"/>
      <c r="L2003" s="72"/>
      <c r="M2003" s="72"/>
      <c r="N2003" s="72" t="str">
        <f>IF(AND(C2003="",J2003=0,K2003=0,L2003=0,M2003=0),"",CADASTROS!$B$4+SUM($J$2:J2003)+SUM($M$2:M2003)-SUM($K$2:K2003)-SUM($L$2:L2003))</f>
        <v/>
      </c>
      <c r="O2003" s="72" t="str">
        <f>IF(A2003="","",SUMIF(RATEIOS!$A$2:$A$3142,$A2003,RATEIOS!$F$2:$F$3142))</f>
        <v/>
      </c>
      <c r="P2003" s="15" t="str">
        <f t="shared" si="64"/>
        <v/>
      </c>
      <c r="Q2003" s="49" t="str">
        <f>IF(AND(J2003=0,K2003=0,L2003=0,M2003=0),"",IF(O2003=0,"PENDENTE DE RATEIO",IF(ABS(P2003)&gt;0.005,"DIVERGÊNCIA",IF(COUNTIF(RATEIOS!$A$2:$A$3142,$A2003)-COUNTIFS(RATEIOS!$A$2:$A$3142,$A2003,RATEIOS!$D$2:$D$3142,"&lt;&gt;")&gt;0,"NÃO CLASSIFICADO","RATEIO OK"))))</f>
        <v/>
      </c>
      <c r="R2003" s="49"/>
      <c r="S2003" s="14"/>
    </row>
    <row r="2004" spans="1:19" ht="30" customHeight="1" x14ac:dyDescent="0.25">
      <c r="A2004" s="49" t="str">
        <f>IF(C2004="","","BAN-02003")</f>
        <v/>
      </c>
      <c r="B2004" s="98" t="str">
        <f>IF(C2004="","",2003)</f>
        <v/>
      </c>
      <c r="C2004" s="50"/>
      <c r="D2004" s="49" t="str">
        <f t="shared" si="63"/>
        <v/>
      </c>
      <c r="E2004" s="92"/>
      <c r="F2004" s="49"/>
      <c r="G2004" s="14"/>
      <c r="H2004" s="14"/>
      <c r="I2004" s="76"/>
      <c r="J2004" s="73"/>
      <c r="K2004" s="74"/>
      <c r="L2004" s="72"/>
      <c r="M2004" s="72"/>
      <c r="N2004" s="72" t="str">
        <f>IF(AND(C2004="",J2004=0,K2004=0,L2004=0,M2004=0),"",CADASTROS!$B$4+SUM($J$2:J2004)+SUM($M$2:M2004)-SUM($K$2:K2004)-SUM($L$2:L2004))</f>
        <v/>
      </c>
      <c r="O2004" s="72" t="str">
        <f>IF(A2004="","",SUMIF(RATEIOS!$A$2:$A$3142,$A2004,RATEIOS!$F$2:$F$3142))</f>
        <v/>
      </c>
      <c r="P2004" s="15" t="str">
        <f t="shared" si="64"/>
        <v/>
      </c>
      <c r="Q2004" s="49" t="str">
        <f>IF(AND(J2004=0,K2004=0,L2004=0,M2004=0),"",IF(O2004=0,"PENDENTE DE RATEIO",IF(ABS(P2004)&gt;0.005,"DIVERGÊNCIA",IF(COUNTIF(RATEIOS!$A$2:$A$3142,$A2004)-COUNTIFS(RATEIOS!$A$2:$A$3142,$A2004,RATEIOS!$D$2:$D$3142,"&lt;&gt;")&gt;0,"NÃO CLASSIFICADO","RATEIO OK"))))</f>
        <v/>
      </c>
      <c r="R2004" s="49"/>
      <c r="S2004" s="14"/>
    </row>
    <row r="2005" spans="1:19" ht="30" customHeight="1" x14ac:dyDescent="0.25">
      <c r="A2005" s="49" t="str">
        <f>IF(C2005="","","BAN-02004")</f>
        <v/>
      </c>
      <c r="B2005" s="98" t="str">
        <f>IF(C2005="","",2004)</f>
        <v/>
      </c>
      <c r="C2005" s="50"/>
      <c r="D2005" s="49" t="str">
        <f t="shared" si="63"/>
        <v/>
      </c>
      <c r="E2005" s="92"/>
      <c r="F2005" s="49"/>
      <c r="G2005" s="14"/>
      <c r="H2005" s="14"/>
      <c r="I2005" s="76"/>
      <c r="J2005" s="73"/>
      <c r="K2005" s="74"/>
      <c r="L2005" s="72"/>
      <c r="M2005" s="72"/>
      <c r="N2005" s="72" t="str">
        <f>IF(AND(C2005="",J2005=0,K2005=0,L2005=0,M2005=0),"",CADASTROS!$B$4+SUM($J$2:J2005)+SUM($M$2:M2005)-SUM($K$2:K2005)-SUM($L$2:L2005))</f>
        <v/>
      </c>
      <c r="O2005" s="72" t="str">
        <f>IF(A2005="","",SUMIF(RATEIOS!$A$2:$A$3142,$A2005,RATEIOS!$F$2:$F$3142))</f>
        <v/>
      </c>
      <c r="P2005" s="15" t="str">
        <f t="shared" si="64"/>
        <v/>
      </c>
      <c r="Q2005" s="49" t="str">
        <f>IF(AND(J2005=0,K2005=0,L2005=0,M2005=0),"",IF(O2005=0,"PENDENTE DE RATEIO",IF(ABS(P2005)&gt;0.005,"DIVERGÊNCIA",IF(COUNTIF(RATEIOS!$A$2:$A$3142,$A2005)-COUNTIFS(RATEIOS!$A$2:$A$3142,$A2005,RATEIOS!$D$2:$D$3142,"&lt;&gt;")&gt;0,"NÃO CLASSIFICADO","RATEIO OK"))))</f>
        <v/>
      </c>
      <c r="R2005" s="49"/>
      <c r="S2005" s="14"/>
    </row>
    <row r="2006" spans="1:19" ht="30" customHeight="1" x14ac:dyDescent="0.25">
      <c r="A2006" s="49" t="str">
        <f>IF(C2006="","","BAN-02005")</f>
        <v/>
      </c>
      <c r="B2006" s="98" t="str">
        <f>IF(C2006="","",2005)</f>
        <v/>
      </c>
      <c r="C2006" s="50"/>
      <c r="D2006" s="49" t="str">
        <f t="shared" si="63"/>
        <v/>
      </c>
      <c r="E2006" s="92"/>
      <c r="F2006" s="49"/>
      <c r="G2006" s="14"/>
      <c r="H2006" s="14"/>
      <c r="I2006" s="76"/>
      <c r="J2006" s="73"/>
      <c r="K2006" s="74"/>
      <c r="L2006" s="72"/>
      <c r="M2006" s="72"/>
      <c r="N2006" s="72" t="str">
        <f>IF(AND(C2006="",J2006=0,K2006=0,L2006=0,M2006=0),"",CADASTROS!$B$4+SUM($J$2:J2006)+SUM($M$2:M2006)-SUM($K$2:K2006)-SUM($L$2:L2006))</f>
        <v/>
      </c>
      <c r="O2006" s="72" t="str">
        <f>IF(A2006="","",SUMIF(RATEIOS!$A$2:$A$3142,$A2006,RATEIOS!$F$2:$F$3142))</f>
        <v/>
      </c>
      <c r="P2006" s="15" t="str">
        <f t="shared" si="64"/>
        <v/>
      </c>
      <c r="Q2006" s="49" t="str">
        <f>IF(AND(J2006=0,K2006=0,L2006=0,M2006=0),"",IF(O2006=0,"PENDENTE DE RATEIO",IF(ABS(P2006)&gt;0.005,"DIVERGÊNCIA",IF(COUNTIF(RATEIOS!$A$2:$A$3142,$A2006)-COUNTIFS(RATEIOS!$A$2:$A$3142,$A2006,RATEIOS!$D$2:$D$3142,"&lt;&gt;")&gt;0,"NÃO CLASSIFICADO","RATEIO OK"))))</f>
        <v/>
      </c>
      <c r="R2006" s="49"/>
      <c r="S2006" s="14"/>
    </row>
    <row r="2007" spans="1:19" ht="30" customHeight="1" x14ac:dyDescent="0.25">
      <c r="A2007" s="49" t="str">
        <f>IF(C2007="","","BAN-02006")</f>
        <v/>
      </c>
      <c r="B2007" s="98" t="str">
        <f>IF(C2007="","",2006)</f>
        <v/>
      </c>
      <c r="C2007" s="50"/>
      <c r="D2007" s="49" t="str">
        <f t="shared" si="63"/>
        <v/>
      </c>
      <c r="E2007" s="92"/>
      <c r="F2007" s="49"/>
      <c r="G2007" s="14"/>
      <c r="H2007" s="14"/>
      <c r="I2007" s="76"/>
      <c r="J2007" s="73"/>
      <c r="K2007" s="74"/>
      <c r="L2007" s="72"/>
      <c r="M2007" s="72"/>
      <c r="N2007" s="72" t="str">
        <f>IF(AND(C2007="",J2007=0,K2007=0,L2007=0,M2007=0),"",CADASTROS!$B$4+SUM($J$2:J2007)+SUM($M$2:M2007)-SUM($K$2:K2007)-SUM($L$2:L2007))</f>
        <v/>
      </c>
      <c r="O2007" s="72" t="str">
        <f>IF(A2007="","",SUMIF(RATEIOS!$A$2:$A$3142,$A2007,RATEIOS!$F$2:$F$3142))</f>
        <v/>
      </c>
      <c r="P2007" s="15" t="str">
        <f t="shared" si="64"/>
        <v/>
      </c>
      <c r="Q2007" s="49" t="str">
        <f>IF(AND(J2007=0,K2007=0,L2007=0,M2007=0),"",IF(O2007=0,"PENDENTE DE RATEIO",IF(ABS(P2007)&gt;0.005,"DIVERGÊNCIA",IF(COUNTIF(RATEIOS!$A$2:$A$3142,$A2007)-COUNTIFS(RATEIOS!$A$2:$A$3142,$A2007,RATEIOS!$D$2:$D$3142,"&lt;&gt;")&gt;0,"NÃO CLASSIFICADO","RATEIO OK"))))</f>
        <v/>
      </c>
      <c r="R2007" s="49"/>
      <c r="S2007" s="14"/>
    </row>
    <row r="2008" spans="1:19" ht="30" customHeight="1" x14ac:dyDescent="0.25">
      <c r="A2008" s="49" t="str">
        <f>IF(C2008="","","BAN-02007")</f>
        <v/>
      </c>
      <c r="B2008" s="98" t="str">
        <f>IF(C2008="","",2007)</f>
        <v/>
      </c>
      <c r="C2008" s="50"/>
      <c r="D2008" s="49" t="str">
        <f t="shared" si="63"/>
        <v/>
      </c>
      <c r="E2008" s="92"/>
      <c r="F2008" s="49"/>
      <c r="G2008" s="14"/>
      <c r="H2008" s="14"/>
      <c r="I2008" s="76"/>
      <c r="J2008" s="73"/>
      <c r="K2008" s="74"/>
      <c r="L2008" s="72"/>
      <c r="M2008" s="72"/>
      <c r="N2008" s="72" t="str">
        <f>IF(AND(C2008="",J2008=0,K2008=0,L2008=0,M2008=0),"",CADASTROS!$B$4+SUM($J$2:J2008)+SUM($M$2:M2008)-SUM($K$2:K2008)-SUM($L$2:L2008))</f>
        <v/>
      </c>
      <c r="O2008" s="72" t="str">
        <f>IF(A2008="","",SUMIF(RATEIOS!$A$2:$A$3142,$A2008,RATEIOS!$F$2:$F$3142))</f>
        <v/>
      </c>
      <c r="P2008" s="15" t="str">
        <f t="shared" si="64"/>
        <v/>
      </c>
      <c r="Q2008" s="49" t="str">
        <f>IF(AND(J2008=0,K2008=0,L2008=0,M2008=0),"",IF(O2008=0,"PENDENTE DE RATEIO",IF(ABS(P2008)&gt;0.005,"DIVERGÊNCIA",IF(COUNTIF(RATEIOS!$A$2:$A$3142,$A2008)-COUNTIFS(RATEIOS!$A$2:$A$3142,$A2008,RATEIOS!$D$2:$D$3142,"&lt;&gt;")&gt;0,"NÃO CLASSIFICADO","RATEIO OK"))))</f>
        <v/>
      </c>
      <c r="R2008" s="49"/>
      <c r="S2008" s="14"/>
    </row>
    <row r="2009" spans="1:19" ht="30" customHeight="1" x14ac:dyDescent="0.25">
      <c r="A2009" s="49" t="str">
        <f>IF(C2009="","","BAN-02008")</f>
        <v/>
      </c>
      <c r="B2009" s="98" t="str">
        <f>IF(C2009="","",2008)</f>
        <v/>
      </c>
      <c r="C2009" s="50"/>
      <c r="D2009" s="49" t="str">
        <f t="shared" si="63"/>
        <v/>
      </c>
      <c r="E2009" s="92"/>
      <c r="F2009" s="49"/>
      <c r="G2009" s="14"/>
      <c r="H2009" s="14"/>
      <c r="I2009" s="76"/>
      <c r="J2009" s="73"/>
      <c r="K2009" s="74"/>
      <c r="L2009" s="72"/>
      <c r="M2009" s="72"/>
      <c r="N2009" s="72" t="str">
        <f>IF(AND(C2009="",J2009=0,K2009=0,L2009=0,M2009=0),"",CADASTROS!$B$4+SUM($J$2:J2009)+SUM($M$2:M2009)-SUM($K$2:K2009)-SUM($L$2:L2009))</f>
        <v/>
      </c>
      <c r="O2009" s="72" t="str">
        <f>IF(A2009="","",SUMIF(RATEIOS!$A$2:$A$3142,$A2009,RATEIOS!$F$2:$F$3142))</f>
        <v/>
      </c>
      <c r="P2009" s="15" t="str">
        <f t="shared" si="64"/>
        <v/>
      </c>
      <c r="Q2009" s="49" t="str">
        <f>IF(AND(J2009=0,K2009=0,L2009=0,M2009=0),"",IF(O2009=0,"PENDENTE DE RATEIO",IF(ABS(P2009)&gt;0.005,"DIVERGÊNCIA",IF(COUNTIF(RATEIOS!$A$2:$A$3142,$A2009)-COUNTIFS(RATEIOS!$A$2:$A$3142,$A2009,RATEIOS!$D$2:$D$3142,"&lt;&gt;")&gt;0,"NÃO CLASSIFICADO","RATEIO OK"))))</f>
        <v/>
      </c>
      <c r="R2009" s="49"/>
      <c r="S2009" s="14"/>
    </row>
    <row r="2010" spans="1:19" ht="30" customHeight="1" x14ac:dyDescent="0.25">
      <c r="A2010" s="49" t="str">
        <f>IF(C2010="","","BAN-02009")</f>
        <v/>
      </c>
      <c r="B2010" s="98" t="str">
        <f>IF(C2010="","",2009)</f>
        <v/>
      </c>
      <c r="C2010" s="50"/>
      <c r="D2010" s="49" t="str">
        <f t="shared" si="63"/>
        <v/>
      </c>
      <c r="E2010" s="92"/>
      <c r="F2010" s="49"/>
      <c r="G2010" s="14"/>
      <c r="H2010" s="14"/>
      <c r="I2010" s="76"/>
      <c r="J2010" s="73"/>
      <c r="K2010" s="74"/>
      <c r="L2010" s="72"/>
      <c r="M2010" s="72"/>
      <c r="N2010" s="72" t="str">
        <f>IF(AND(C2010="",J2010=0,K2010=0,L2010=0,M2010=0),"",CADASTROS!$B$4+SUM($J$2:J2010)+SUM($M$2:M2010)-SUM($K$2:K2010)-SUM($L$2:L2010))</f>
        <v/>
      </c>
      <c r="O2010" s="72" t="str">
        <f>IF(A2010="","",SUMIF(RATEIOS!$A$2:$A$3142,$A2010,RATEIOS!$F$2:$F$3142))</f>
        <v/>
      </c>
      <c r="P2010" s="15" t="str">
        <f t="shared" si="64"/>
        <v/>
      </c>
      <c r="Q2010" s="49" t="str">
        <f>IF(AND(J2010=0,K2010=0,L2010=0,M2010=0),"",IF(O2010=0,"PENDENTE DE RATEIO",IF(ABS(P2010)&gt;0.005,"DIVERGÊNCIA",IF(COUNTIF(RATEIOS!$A$2:$A$3142,$A2010)-COUNTIFS(RATEIOS!$A$2:$A$3142,$A2010,RATEIOS!$D$2:$D$3142,"&lt;&gt;")&gt;0,"NÃO CLASSIFICADO","RATEIO OK"))))</f>
        <v/>
      </c>
      <c r="R2010" s="49"/>
      <c r="S2010" s="14"/>
    </row>
    <row r="2011" spans="1:19" ht="30" customHeight="1" x14ac:dyDescent="0.25">
      <c r="A2011" s="49" t="str">
        <f>IF(C2011="","","BAN-02010")</f>
        <v/>
      </c>
      <c r="B2011" s="98" t="str">
        <f>IF(C2011="","",2010)</f>
        <v/>
      </c>
      <c r="C2011" s="50"/>
      <c r="D2011" s="49" t="str">
        <f t="shared" si="63"/>
        <v/>
      </c>
      <c r="E2011" s="92"/>
      <c r="F2011" s="49"/>
      <c r="G2011" s="14"/>
      <c r="H2011" s="14"/>
      <c r="I2011" s="76"/>
      <c r="J2011" s="73"/>
      <c r="K2011" s="74"/>
      <c r="L2011" s="72"/>
      <c r="M2011" s="72"/>
      <c r="N2011" s="72" t="str">
        <f>IF(AND(C2011="",J2011=0,K2011=0,L2011=0,M2011=0),"",CADASTROS!$B$4+SUM($J$2:J2011)+SUM($M$2:M2011)-SUM($K$2:K2011)-SUM($L$2:L2011))</f>
        <v/>
      </c>
      <c r="O2011" s="72" t="str">
        <f>IF(A2011="","",SUMIF(RATEIOS!$A$2:$A$3142,$A2011,RATEIOS!$F$2:$F$3142))</f>
        <v/>
      </c>
      <c r="P2011" s="15" t="str">
        <f t="shared" si="64"/>
        <v/>
      </c>
      <c r="Q2011" s="49" t="str">
        <f>IF(AND(J2011=0,K2011=0,L2011=0,M2011=0),"",IF(O2011=0,"PENDENTE DE RATEIO",IF(ABS(P2011)&gt;0.005,"DIVERGÊNCIA",IF(COUNTIF(RATEIOS!$A$2:$A$3142,$A2011)-COUNTIFS(RATEIOS!$A$2:$A$3142,$A2011,RATEIOS!$D$2:$D$3142,"&lt;&gt;")&gt;0,"NÃO CLASSIFICADO","RATEIO OK"))))</f>
        <v/>
      </c>
      <c r="R2011" s="49"/>
      <c r="S2011" s="14"/>
    </row>
    <row r="2012" spans="1:19" ht="30" customHeight="1" x14ac:dyDescent="0.25">
      <c r="A2012" s="49" t="str">
        <f>IF(C2012="","","BAN-02011")</f>
        <v/>
      </c>
      <c r="B2012" s="98" t="str">
        <f>IF(C2012="","",2011)</f>
        <v/>
      </c>
      <c r="C2012" s="50"/>
      <c r="D2012" s="49" t="str">
        <f t="shared" si="63"/>
        <v/>
      </c>
      <c r="E2012" s="92"/>
      <c r="F2012" s="49"/>
      <c r="G2012" s="14"/>
      <c r="H2012" s="14"/>
      <c r="I2012" s="76"/>
      <c r="J2012" s="73"/>
      <c r="K2012" s="74"/>
      <c r="L2012" s="72"/>
      <c r="M2012" s="72"/>
      <c r="N2012" s="72" t="str">
        <f>IF(AND(C2012="",J2012=0,K2012=0,L2012=0,M2012=0),"",CADASTROS!$B$4+SUM($J$2:J2012)+SUM($M$2:M2012)-SUM($K$2:K2012)-SUM($L$2:L2012))</f>
        <v/>
      </c>
      <c r="O2012" s="72" t="str">
        <f>IF(A2012="","",SUMIF(RATEIOS!$A$2:$A$3142,$A2012,RATEIOS!$F$2:$F$3142))</f>
        <v/>
      </c>
      <c r="P2012" s="15" t="str">
        <f t="shared" si="64"/>
        <v/>
      </c>
      <c r="Q2012" s="49" t="str">
        <f>IF(AND(J2012=0,K2012=0,L2012=0,M2012=0),"",IF(O2012=0,"PENDENTE DE RATEIO",IF(ABS(P2012)&gt;0.005,"DIVERGÊNCIA",IF(COUNTIF(RATEIOS!$A$2:$A$3142,$A2012)-COUNTIFS(RATEIOS!$A$2:$A$3142,$A2012,RATEIOS!$D$2:$D$3142,"&lt;&gt;")&gt;0,"NÃO CLASSIFICADO","RATEIO OK"))))</f>
        <v/>
      </c>
      <c r="R2012" s="49"/>
      <c r="S2012" s="14"/>
    </row>
    <row r="2013" spans="1:19" ht="30" customHeight="1" x14ac:dyDescent="0.25">
      <c r="A2013" s="49" t="str">
        <f>IF(C2013="","","BAN-02012")</f>
        <v/>
      </c>
      <c r="B2013" s="98" t="str">
        <f>IF(C2013="","",2012)</f>
        <v/>
      </c>
      <c r="C2013" s="50"/>
      <c r="D2013" s="49" t="str">
        <f t="shared" si="63"/>
        <v/>
      </c>
      <c r="E2013" s="92"/>
      <c r="F2013" s="49"/>
      <c r="G2013" s="14"/>
      <c r="H2013" s="14"/>
      <c r="I2013" s="76"/>
      <c r="J2013" s="73"/>
      <c r="K2013" s="74"/>
      <c r="L2013" s="72"/>
      <c r="M2013" s="72"/>
      <c r="N2013" s="72" t="str">
        <f>IF(AND(C2013="",J2013=0,K2013=0,L2013=0,M2013=0),"",CADASTROS!$B$4+SUM($J$2:J2013)+SUM($M$2:M2013)-SUM($K$2:K2013)-SUM($L$2:L2013))</f>
        <v/>
      </c>
      <c r="O2013" s="72" t="str">
        <f>IF(A2013="","",SUMIF(RATEIOS!$A$2:$A$3142,$A2013,RATEIOS!$F$2:$F$3142))</f>
        <v/>
      </c>
      <c r="P2013" s="15" t="str">
        <f t="shared" si="64"/>
        <v/>
      </c>
      <c r="Q2013" s="49" t="str">
        <f>IF(AND(J2013=0,K2013=0,L2013=0,M2013=0),"",IF(O2013=0,"PENDENTE DE RATEIO",IF(ABS(P2013)&gt;0.005,"DIVERGÊNCIA",IF(COUNTIF(RATEIOS!$A$2:$A$3142,$A2013)-COUNTIFS(RATEIOS!$A$2:$A$3142,$A2013,RATEIOS!$D$2:$D$3142,"&lt;&gt;")&gt;0,"NÃO CLASSIFICADO","RATEIO OK"))))</f>
        <v/>
      </c>
      <c r="R2013" s="49"/>
      <c r="S2013" s="14"/>
    </row>
    <row r="2014" spans="1:19" ht="30" customHeight="1" x14ac:dyDescent="0.25">
      <c r="A2014" s="49" t="str">
        <f>IF(C2014="","","BAN-02013")</f>
        <v/>
      </c>
      <c r="B2014" s="98" t="str">
        <f>IF(C2014="","",2013)</f>
        <v/>
      </c>
      <c r="C2014" s="50"/>
      <c r="D2014" s="49" t="str">
        <f t="shared" si="63"/>
        <v/>
      </c>
      <c r="E2014" s="92"/>
      <c r="F2014" s="49"/>
      <c r="G2014" s="14"/>
      <c r="H2014" s="14"/>
      <c r="I2014" s="76"/>
      <c r="J2014" s="73"/>
      <c r="K2014" s="74"/>
      <c r="L2014" s="72"/>
      <c r="M2014" s="72"/>
      <c r="N2014" s="72" t="str">
        <f>IF(AND(C2014="",J2014=0,K2014=0,L2014=0,M2014=0),"",CADASTROS!$B$4+SUM($J$2:J2014)+SUM($M$2:M2014)-SUM($K$2:K2014)-SUM($L$2:L2014))</f>
        <v/>
      </c>
      <c r="O2014" s="72" t="str">
        <f>IF(A2014="","",SUMIF(RATEIOS!$A$2:$A$3142,$A2014,RATEIOS!$F$2:$F$3142))</f>
        <v/>
      </c>
      <c r="P2014" s="15" t="str">
        <f t="shared" si="64"/>
        <v/>
      </c>
      <c r="Q2014" s="49" t="str">
        <f>IF(AND(J2014=0,K2014=0,L2014=0,M2014=0),"",IF(O2014=0,"PENDENTE DE RATEIO",IF(ABS(P2014)&gt;0.005,"DIVERGÊNCIA",IF(COUNTIF(RATEIOS!$A$2:$A$3142,$A2014)-COUNTIFS(RATEIOS!$A$2:$A$3142,$A2014,RATEIOS!$D$2:$D$3142,"&lt;&gt;")&gt;0,"NÃO CLASSIFICADO","RATEIO OK"))))</f>
        <v/>
      </c>
      <c r="R2014" s="49"/>
      <c r="S2014" s="14"/>
    </row>
    <row r="2015" spans="1:19" ht="30" customHeight="1" x14ac:dyDescent="0.25">
      <c r="A2015" s="49" t="str">
        <f>IF(C2015="","","BAN-02014")</f>
        <v/>
      </c>
      <c r="B2015" s="98" t="str">
        <f>IF(C2015="","",2014)</f>
        <v/>
      </c>
      <c r="C2015" s="50"/>
      <c r="D2015" s="49" t="str">
        <f t="shared" si="63"/>
        <v/>
      </c>
      <c r="E2015" s="92"/>
      <c r="F2015" s="49"/>
      <c r="G2015" s="14"/>
      <c r="H2015" s="14"/>
      <c r="I2015" s="76"/>
      <c r="J2015" s="73"/>
      <c r="K2015" s="74"/>
      <c r="L2015" s="72"/>
      <c r="M2015" s="72"/>
      <c r="N2015" s="72" t="str">
        <f>IF(AND(C2015="",J2015=0,K2015=0,L2015=0,M2015=0),"",CADASTROS!$B$4+SUM($J$2:J2015)+SUM($M$2:M2015)-SUM($K$2:K2015)-SUM($L$2:L2015))</f>
        <v/>
      </c>
      <c r="O2015" s="72" t="str">
        <f>IF(A2015="","",SUMIF(RATEIOS!$A$2:$A$3142,$A2015,RATEIOS!$F$2:$F$3142))</f>
        <v/>
      </c>
      <c r="P2015" s="15" t="str">
        <f t="shared" si="64"/>
        <v/>
      </c>
      <c r="Q2015" s="49" t="str">
        <f>IF(AND(J2015=0,K2015=0,L2015=0,M2015=0),"",IF(O2015=0,"PENDENTE DE RATEIO",IF(ABS(P2015)&gt;0.005,"DIVERGÊNCIA",IF(COUNTIF(RATEIOS!$A$2:$A$3142,$A2015)-COUNTIFS(RATEIOS!$A$2:$A$3142,$A2015,RATEIOS!$D$2:$D$3142,"&lt;&gt;")&gt;0,"NÃO CLASSIFICADO","RATEIO OK"))))</f>
        <v/>
      </c>
      <c r="R2015" s="49"/>
      <c r="S2015" s="14"/>
    </row>
    <row r="2016" spans="1:19" ht="30" customHeight="1" x14ac:dyDescent="0.25">
      <c r="A2016" s="49" t="str">
        <f>IF(C2016="","","BAN-02015")</f>
        <v/>
      </c>
      <c r="B2016" s="98" t="str">
        <f>IF(C2016="","",2015)</f>
        <v/>
      </c>
      <c r="C2016" s="50"/>
      <c r="D2016" s="49" t="str">
        <f t="shared" si="63"/>
        <v/>
      </c>
      <c r="E2016" s="92"/>
      <c r="F2016" s="49"/>
      <c r="G2016" s="14"/>
      <c r="H2016" s="14"/>
      <c r="I2016" s="76"/>
      <c r="J2016" s="73"/>
      <c r="K2016" s="74"/>
      <c r="L2016" s="72"/>
      <c r="M2016" s="72"/>
      <c r="N2016" s="72" t="str">
        <f>IF(AND(C2016="",J2016=0,K2016=0,L2016=0,M2016=0),"",CADASTROS!$B$4+SUM($J$2:J2016)+SUM($M$2:M2016)-SUM($K$2:K2016)-SUM($L$2:L2016))</f>
        <v/>
      </c>
      <c r="O2016" s="72" t="str">
        <f>IF(A2016="","",SUMIF(RATEIOS!$A$2:$A$3142,$A2016,RATEIOS!$F$2:$F$3142))</f>
        <v/>
      </c>
      <c r="P2016" s="15" t="str">
        <f t="shared" si="64"/>
        <v/>
      </c>
      <c r="Q2016" s="49" t="str">
        <f>IF(AND(J2016=0,K2016=0,L2016=0,M2016=0),"",IF(O2016=0,"PENDENTE DE RATEIO",IF(ABS(P2016)&gt;0.005,"DIVERGÊNCIA",IF(COUNTIF(RATEIOS!$A$2:$A$3142,$A2016)-COUNTIFS(RATEIOS!$A$2:$A$3142,$A2016,RATEIOS!$D$2:$D$3142,"&lt;&gt;")&gt;0,"NÃO CLASSIFICADO","RATEIO OK"))))</f>
        <v/>
      </c>
      <c r="R2016" s="49"/>
      <c r="S2016" s="14"/>
    </row>
    <row r="2017" spans="1:19" ht="30" customHeight="1" x14ac:dyDescent="0.25">
      <c r="A2017" s="49" t="str">
        <f>IF(C2017="","","BAN-02016")</f>
        <v/>
      </c>
      <c r="B2017" s="98" t="str">
        <f>IF(C2017="","",2016)</f>
        <v/>
      </c>
      <c r="C2017" s="50"/>
      <c r="D2017" s="49" t="str">
        <f t="shared" si="63"/>
        <v/>
      </c>
      <c r="E2017" s="92"/>
      <c r="F2017" s="49"/>
      <c r="G2017" s="14"/>
      <c r="H2017" s="14"/>
      <c r="I2017" s="76"/>
      <c r="J2017" s="73"/>
      <c r="K2017" s="74"/>
      <c r="L2017" s="72"/>
      <c r="M2017" s="72"/>
      <c r="N2017" s="72" t="str">
        <f>IF(AND(C2017="",J2017=0,K2017=0,L2017=0,M2017=0),"",CADASTROS!$B$4+SUM($J$2:J2017)+SUM($M$2:M2017)-SUM($K$2:K2017)-SUM($L$2:L2017))</f>
        <v/>
      </c>
      <c r="O2017" s="72" t="str">
        <f>IF(A2017="","",SUMIF(RATEIOS!$A$2:$A$3142,$A2017,RATEIOS!$F$2:$F$3142))</f>
        <v/>
      </c>
      <c r="P2017" s="15" t="str">
        <f t="shared" si="64"/>
        <v/>
      </c>
      <c r="Q2017" s="49" t="str">
        <f>IF(AND(J2017=0,K2017=0,L2017=0,M2017=0),"",IF(O2017=0,"PENDENTE DE RATEIO",IF(ABS(P2017)&gt;0.005,"DIVERGÊNCIA",IF(COUNTIF(RATEIOS!$A$2:$A$3142,$A2017)-COUNTIFS(RATEIOS!$A$2:$A$3142,$A2017,RATEIOS!$D$2:$D$3142,"&lt;&gt;")&gt;0,"NÃO CLASSIFICADO","RATEIO OK"))))</f>
        <v/>
      </c>
      <c r="R2017" s="49"/>
      <c r="S2017" s="14"/>
    </row>
    <row r="2018" spans="1:19" ht="30" customHeight="1" x14ac:dyDescent="0.25">
      <c r="A2018" s="49" t="str">
        <f>IF(C2018="","","BAN-02017")</f>
        <v/>
      </c>
      <c r="B2018" s="98" t="str">
        <f>IF(C2018="","",2017)</f>
        <v/>
      </c>
      <c r="C2018" s="50"/>
      <c r="D2018" s="49" t="str">
        <f t="shared" si="63"/>
        <v/>
      </c>
      <c r="E2018" s="92"/>
      <c r="F2018" s="49"/>
      <c r="G2018" s="14"/>
      <c r="H2018" s="14"/>
      <c r="I2018" s="76"/>
      <c r="J2018" s="73"/>
      <c r="K2018" s="74"/>
      <c r="L2018" s="72"/>
      <c r="M2018" s="72"/>
      <c r="N2018" s="72" t="str">
        <f>IF(AND(C2018="",J2018=0,K2018=0,L2018=0,M2018=0),"",CADASTROS!$B$4+SUM($J$2:J2018)+SUM($M$2:M2018)-SUM($K$2:K2018)-SUM($L$2:L2018))</f>
        <v/>
      </c>
      <c r="O2018" s="72" t="str">
        <f>IF(A2018="","",SUMIF(RATEIOS!$A$2:$A$3142,$A2018,RATEIOS!$F$2:$F$3142))</f>
        <v/>
      </c>
      <c r="P2018" s="15" t="str">
        <f t="shared" si="64"/>
        <v/>
      </c>
      <c r="Q2018" s="49" t="str">
        <f>IF(AND(J2018=0,K2018=0,L2018=0,M2018=0),"",IF(O2018=0,"PENDENTE DE RATEIO",IF(ABS(P2018)&gt;0.005,"DIVERGÊNCIA",IF(COUNTIF(RATEIOS!$A$2:$A$3142,$A2018)-COUNTIFS(RATEIOS!$A$2:$A$3142,$A2018,RATEIOS!$D$2:$D$3142,"&lt;&gt;")&gt;0,"NÃO CLASSIFICADO","RATEIO OK"))))</f>
        <v/>
      </c>
      <c r="R2018" s="49"/>
      <c r="S2018" s="14"/>
    </row>
    <row r="2019" spans="1:19" ht="30" customHeight="1" x14ac:dyDescent="0.25">
      <c r="A2019" s="49" t="str">
        <f>IF(C2019="","","BAN-02018")</f>
        <v/>
      </c>
      <c r="B2019" s="98" t="str">
        <f>IF(C2019="","",2018)</f>
        <v/>
      </c>
      <c r="C2019" s="50"/>
      <c r="D2019" s="49" t="str">
        <f t="shared" si="63"/>
        <v/>
      </c>
      <c r="E2019" s="92"/>
      <c r="F2019" s="49"/>
      <c r="G2019" s="14"/>
      <c r="H2019" s="14"/>
      <c r="I2019" s="76"/>
      <c r="J2019" s="73"/>
      <c r="K2019" s="74"/>
      <c r="L2019" s="72"/>
      <c r="M2019" s="72"/>
      <c r="N2019" s="72" t="str">
        <f>IF(AND(C2019="",J2019=0,K2019=0,L2019=0,M2019=0),"",CADASTROS!$B$4+SUM($J$2:J2019)+SUM($M$2:M2019)-SUM($K$2:K2019)-SUM($L$2:L2019))</f>
        <v/>
      </c>
      <c r="O2019" s="72" t="str">
        <f>IF(A2019="","",SUMIF(RATEIOS!$A$2:$A$3142,$A2019,RATEIOS!$F$2:$F$3142))</f>
        <v/>
      </c>
      <c r="P2019" s="15" t="str">
        <f t="shared" si="64"/>
        <v/>
      </c>
      <c r="Q2019" s="49" t="str">
        <f>IF(AND(J2019=0,K2019=0,L2019=0,M2019=0),"",IF(O2019=0,"PENDENTE DE RATEIO",IF(ABS(P2019)&gt;0.005,"DIVERGÊNCIA",IF(COUNTIF(RATEIOS!$A$2:$A$3142,$A2019)-COUNTIFS(RATEIOS!$A$2:$A$3142,$A2019,RATEIOS!$D$2:$D$3142,"&lt;&gt;")&gt;0,"NÃO CLASSIFICADO","RATEIO OK"))))</f>
        <v/>
      </c>
      <c r="R2019" s="49"/>
      <c r="S2019" s="14"/>
    </row>
    <row r="2020" spans="1:19" ht="30" customHeight="1" x14ac:dyDescent="0.25">
      <c r="A2020" s="49" t="str">
        <f>IF(C2020="","","BAN-02019")</f>
        <v/>
      </c>
      <c r="B2020" s="98" t="str">
        <f>IF(C2020="","",2019)</f>
        <v/>
      </c>
      <c r="C2020" s="50"/>
      <c r="D2020" s="49" t="str">
        <f t="shared" si="63"/>
        <v/>
      </c>
      <c r="E2020" s="92"/>
      <c r="F2020" s="49"/>
      <c r="G2020" s="14"/>
      <c r="H2020" s="14"/>
      <c r="I2020" s="76"/>
      <c r="J2020" s="73"/>
      <c r="K2020" s="74"/>
      <c r="L2020" s="72"/>
      <c r="M2020" s="72"/>
      <c r="N2020" s="72" t="str">
        <f>IF(AND(C2020="",J2020=0,K2020=0,L2020=0,M2020=0),"",CADASTROS!$B$4+SUM($J$2:J2020)+SUM($M$2:M2020)-SUM($K$2:K2020)-SUM($L$2:L2020))</f>
        <v/>
      </c>
      <c r="O2020" s="72" t="str">
        <f>IF(A2020="","",SUMIF(RATEIOS!$A$2:$A$3142,$A2020,RATEIOS!$F$2:$F$3142))</f>
        <v/>
      </c>
      <c r="P2020" s="15" t="str">
        <f t="shared" si="64"/>
        <v/>
      </c>
      <c r="Q2020" s="49" t="str">
        <f>IF(AND(J2020=0,K2020=0,L2020=0,M2020=0),"",IF(O2020=0,"PENDENTE DE RATEIO",IF(ABS(P2020)&gt;0.005,"DIVERGÊNCIA",IF(COUNTIF(RATEIOS!$A$2:$A$3142,$A2020)-COUNTIFS(RATEIOS!$A$2:$A$3142,$A2020,RATEIOS!$D$2:$D$3142,"&lt;&gt;")&gt;0,"NÃO CLASSIFICADO","RATEIO OK"))))</f>
        <v/>
      </c>
      <c r="R2020" s="49"/>
      <c r="S2020" s="14"/>
    </row>
    <row r="2021" spans="1:19" ht="30" customHeight="1" x14ac:dyDescent="0.25">
      <c r="A2021" s="49" t="str">
        <f>IF(C2021="","","BAN-02020")</f>
        <v/>
      </c>
      <c r="B2021" s="98" t="str">
        <f>IF(C2021="","",2020)</f>
        <v/>
      </c>
      <c r="C2021" s="50"/>
      <c r="D2021" s="49" t="str">
        <f t="shared" si="63"/>
        <v/>
      </c>
      <c r="E2021" s="92"/>
      <c r="F2021" s="49"/>
      <c r="G2021" s="14"/>
      <c r="H2021" s="14"/>
      <c r="I2021" s="76"/>
      <c r="J2021" s="73"/>
      <c r="K2021" s="74"/>
      <c r="L2021" s="72"/>
      <c r="M2021" s="72"/>
      <c r="N2021" s="72" t="str">
        <f>IF(AND(C2021="",J2021=0,K2021=0,L2021=0,M2021=0),"",CADASTROS!$B$4+SUM($J$2:J2021)+SUM($M$2:M2021)-SUM($K$2:K2021)-SUM($L$2:L2021))</f>
        <v/>
      </c>
      <c r="O2021" s="72" t="str">
        <f>IF(A2021="","",SUMIF(RATEIOS!$A$2:$A$3142,$A2021,RATEIOS!$F$2:$F$3142))</f>
        <v/>
      </c>
      <c r="P2021" s="15" t="str">
        <f t="shared" si="64"/>
        <v/>
      </c>
      <c r="Q2021" s="49" t="str">
        <f>IF(AND(J2021=0,K2021=0,L2021=0,M2021=0),"",IF(O2021=0,"PENDENTE DE RATEIO",IF(ABS(P2021)&gt;0.005,"DIVERGÊNCIA",IF(COUNTIF(RATEIOS!$A$2:$A$3142,$A2021)-COUNTIFS(RATEIOS!$A$2:$A$3142,$A2021,RATEIOS!$D$2:$D$3142,"&lt;&gt;")&gt;0,"NÃO CLASSIFICADO","RATEIO OK"))))</f>
        <v/>
      </c>
      <c r="R2021" s="49"/>
      <c r="S2021" s="14"/>
    </row>
    <row r="2022" spans="1:19" ht="30" customHeight="1" x14ac:dyDescent="0.25">
      <c r="A2022" s="49" t="str">
        <f>IF(C2022="","","BAN-02021")</f>
        <v/>
      </c>
      <c r="B2022" s="98" t="str">
        <f>IF(C2022="","",2021)</f>
        <v/>
      </c>
      <c r="C2022" s="50"/>
      <c r="D2022" s="49" t="str">
        <f t="shared" si="63"/>
        <v/>
      </c>
      <c r="E2022" s="92"/>
      <c r="F2022" s="49"/>
      <c r="G2022" s="14"/>
      <c r="H2022" s="14"/>
      <c r="I2022" s="76"/>
      <c r="J2022" s="73"/>
      <c r="K2022" s="74"/>
      <c r="L2022" s="72"/>
      <c r="M2022" s="72"/>
      <c r="N2022" s="72" t="str">
        <f>IF(AND(C2022="",J2022=0,K2022=0,L2022=0,M2022=0),"",CADASTROS!$B$4+SUM($J$2:J2022)+SUM($M$2:M2022)-SUM($K$2:K2022)-SUM($L$2:L2022))</f>
        <v/>
      </c>
      <c r="O2022" s="72" t="str">
        <f>IF(A2022="","",SUMIF(RATEIOS!$A$2:$A$3142,$A2022,RATEIOS!$F$2:$F$3142))</f>
        <v/>
      </c>
      <c r="P2022" s="15" t="str">
        <f t="shared" si="64"/>
        <v/>
      </c>
      <c r="Q2022" s="49" t="str">
        <f>IF(AND(J2022=0,K2022=0,L2022=0,M2022=0),"",IF(O2022=0,"PENDENTE DE RATEIO",IF(ABS(P2022)&gt;0.005,"DIVERGÊNCIA",IF(COUNTIF(RATEIOS!$A$2:$A$3142,$A2022)-COUNTIFS(RATEIOS!$A$2:$A$3142,$A2022,RATEIOS!$D$2:$D$3142,"&lt;&gt;")&gt;0,"NÃO CLASSIFICADO","RATEIO OK"))))</f>
        <v/>
      </c>
      <c r="R2022" s="49"/>
      <c r="S2022" s="14"/>
    </row>
    <row r="2023" spans="1:19" ht="30" customHeight="1" x14ac:dyDescent="0.25">
      <c r="A2023" s="49" t="str">
        <f>IF(C2023="","","BAN-02022")</f>
        <v/>
      </c>
      <c r="B2023" s="98" t="str">
        <f>IF(C2023="","",2022)</f>
        <v/>
      </c>
      <c r="C2023" s="50"/>
      <c r="D2023" s="49" t="str">
        <f t="shared" si="63"/>
        <v/>
      </c>
      <c r="E2023" s="92"/>
      <c r="F2023" s="49"/>
      <c r="G2023" s="14"/>
      <c r="H2023" s="14"/>
      <c r="I2023" s="76"/>
      <c r="J2023" s="73"/>
      <c r="K2023" s="74"/>
      <c r="L2023" s="72"/>
      <c r="M2023" s="72"/>
      <c r="N2023" s="72" t="str">
        <f>IF(AND(C2023="",J2023=0,K2023=0,L2023=0,M2023=0),"",CADASTROS!$B$4+SUM($J$2:J2023)+SUM($M$2:M2023)-SUM($K$2:K2023)-SUM($L$2:L2023))</f>
        <v/>
      </c>
      <c r="O2023" s="72" t="str">
        <f>IF(A2023="","",SUMIF(RATEIOS!$A$2:$A$3142,$A2023,RATEIOS!$F$2:$F$3142))</f>
        <v/>
      </c>
      <c r="P2023" s="15" t="str">
        <f t="shared" si="64"/>
        <v/>
      </c>
      <c r="Q2023" s="49" t="str">
        <f>IF(AND(J2023=0,K2023=0,L2023=0,M2023=0),"",IF(O2023=0,"PENDENTE DE RATEIO",IF(ABS(P2023)&gt;0.005,"DIVERGÊNCIA",IF(COUNTIF(RATEIOS!$A$2:$A$3142,$A2023)-COUNTIFS(RATEIOS!$A$2:$A$3142,$A2023,RATEIOS!$D$2:$D$3142,"&lt;&gt;")&gt;0,"NÃO CLASSIFICADO","RATEIO OK"))))</f>
        <v/>
      </c>
      <c r="R2023" s="49"/>
      <c r="S2023" s="14"/>
    </row>
    <row r="2024" spans="1:19" ht="30" customHeight="1" x14ac:dyDescent="0.25">
      <c r="A2024" s="49" t="str">
        <f>IF(C2024="","","BAN-02023")</f>
        <v/>
      </c>
      <c r="B2024" s="98" t="str">
        <f>IF(C2024="","",2023)</f>
        <v/>
      </c>
      <c r="C2024" s="50"/>
      <c r="D2024" s="49" t="str">
        <f t="shared" si="63"/>
        <v/>
      </c>
      <c r="E2024" s="92"/>
      <c r="F2024" s="49"/>
      <c r="G2024" s="14"/>
      <c r="H2024" s="14"/>
      <c r="I2024" s="76"/>
      <c r="J2024" s="73"/>
      <c r="K2024" s="74"/>
      <c r="L2024" s="72"/>
      <c r="M2024" s="72"/>
      <c r="N2024" s="72" t="str">
        <f>IF(AND(C2024="",J2024=0,K2024=0,L2024=0,M2024=0),"",CADASTROS!$B$4+SUM($J$2:J2024)+SUM($M$2:M2024)-SUM($K$2:K2024)-SUM($L$2:L2024))</f>
        <v/>
      </c>
      <c r="O2024" s="72" t="str">
        <f>IF(A2024="","",SUMIF(RATEIOS!$A$2:$A$3142,$A2024,RATEIOS!$F$2:$F$3142))</f>
        <v/>
      </c>
      <c r="P2024" s="15" t="str">
        <f t="shared" si="64"/>
        <v/>
      </c>
      <c r="Q2024" s="49" t="str">
        <f>IF(AND(J2024=0,K2024=0,L2024=0,M2024=0),"",IF(O2024=0,"PENDENTE DE RATEIO",IF(ABS(P2024)&gt;0.005,"DIVERGÊNCIA",IF(COUNTIF(RATEIOS!$A$2:$A$3142,$A2024)-COUNTIFS(RATEIOS!$A$2:$A$3142,$A2024,RATEIOS!$D$2:$D$3142,"&lt;&gt;")&gt;0,"NÃO CLASSIFICADO","RATEIO OK"))))</f>
        <v/>
      </c>
      <c r="R2024" s="49"/>
      <c r="S2024" s="14"/>
    </row>
    <row r="2025" spans="1:19" ht="30" customHeight="1" x14ac:dyDescent="0.25">
      <c r="A2025" s="49" t="str">
        <f>IF(C2025="","","BAN-02024")</f>
        <v/>
      </c>
      <c r="B2025" s="98" t="str">
        <f>IF(C2025="","",2024)</f>
        <v/>
      </c>
      <c r="C2025" s="50"/>
      <c r="D2025" s="49" t="str">
        <f t="shared" si="63"/>
        <v/>
      </c>
      <c r="E2025" s="92"/>
      <c r="F2025" s="49"/>
      <c r="G2025" s="14"/>
      <c r="H2025" s="14"/>
      <c r="I2025" s="76"/>
      <c r="J2025" s="73"/>
      <c r="K2025" s="74"/>
      <c r="L2025" s="72"/>
      <c r="M2025" s="72"/>
      <c r="N2025" s="72" t="str">
        <f>IF(AND(C2025="",J2025=0,K2025=0,L2025=0,M2025=0),"",CADASTROS!$B$4+SUM($J$2:J2025)+SUM($M$2:M2025)-SUM($K$2:K2025)-SUM($L$2:L2025))</f>
        <v/>
      </c>
      <c r="O2025" s="72" t="str">
        <f>IF(A2025="","",SUMIF(RATEIOS!$A$2:$A$3142,$A2025,RATEIOS!$F$2:$F$3142))</f>
        <v/>
      </c>
      <c r="P2025" s="15" t="str">
        <f t="shared" si="64"/>
        <v/>
      </c>
      <c r="Q2025" s="49" t="str">
        <f>IF(AND(J2025=0,K2025=0,L2025=0,M2025=0),"",IF(O2025=0,"PENDENTE DE RATEIO",IF(ABS(P2025)&gt;0.005,"DIVERGÊNCIA",IF(COUNTIF(RATEIOS!$A$2:$A$3142,$A2025)-COUNTIFS(RATEIOS!$A$2:$A$3142,$A2025,RATEIOS!$D$2:$D$3142,"&lt;&gt;")&gt;0,"NÃO CLASSIFICADO","RATEIO OK"))))</f>
        <v/>
      </c>
      <c r="R2025" s="49"/>
      <c r="S2025" s="14"/>
    </row>
    <row r="2026" spans="1:19" ht="30" customHeight="1" x14ac:dyDescent="0.25">
      <c r="A2026" s="49" t="str">
        <f>IF(C2026="","","BAN-02025")</f>
        <v/>
      </c>
      <c r="B2026" s="98" t="str">
        <f>IF(C2026="","",2025)</f>
        <v/>
      </c>
      <c r="C2026" s="50"/>
      <c r="D2026" s="49" t="str">
        <f t="shared" si="63"/>
        <v/>
      </c>
      <c r="E2026" s="92"/>
      <c r="F2026" s="49"/>
      <c r="G2026" s="14"/>
      <c r="H2026" s="14"/>
      <c r="I2026" s="76"/>
      <c r="J2026" s="73"/>
      <c r="K2026" s="74"/>
      <c r="L2026" s="72"/>
      <c r="M2026" s="72"/>
      <c r="N2026" s="72" t="str">
        <f>IF(AND(C2026="",J2026=0,K2026=0,L2026=0,M2026=0),"",CADASTROS!$B$4+SUM($J$2:J2026)+SUM($M$2:M2026)-SUM($K$2:K2026)-SUM($L$2:L2026))</f>
        <v/>
      </c>
      <c r="O2026" s="72" t="str">
        <f>IF(A2026="","",SUMIF(RATEIOS!$A$2:$A$3142,$A2026,RATEIOS!$F$2:$F$3142))</f>
        <v/>
      </c>
      <c r="P2026" s="15" t="str">
        <f t="shared" si="64"/>
        <v/>
      </c>
      <c r="Q2026" s="49" t="str">
        <f>IF(AND(J2026=0,K2026=0,L2026=0,M2026=0),"",IF(O2026=0,"PENDENTE DE RATEIO",IF(ABS(P2026)&gt;0.005,"DIVERGÊNCIA",IF(COUNTIF(RATEIOS!$A$2:$A$3142,$A2026)-COUNTIFS(RATEIOS!$A$2:$A$3142,$A2026,RATEIOS!$D$2:$D$3142,"&lt;&gt;")&gt;0,"NÃO CLASSIFICADO","RATEIO OK"))))</f>
        <v/>
      </c>
      <c r="R2026" s="49"/>
      <c r="S2026" s="14"/>
    </row>
    <row r="2027" spans="1:19" ht="30" customHeight="1" x14ac:dyDescent="0.25">
      <c r="A2027" s="49" t="str">
        <f>IF(C2027="","","BAN-02026")</f>
        <v/>
      </c>
      <c r="B2027" s="98" t="str">
        <f>IF(C2027="","",2026)</f>
        <v/>
      </c>
      <c r="C2027" s="50"/>
      <c r="D2027" s="49" t="str">
        <f t="shared" si="63"/>
        <v/>
      </c>
      <c r="E2027" s="92"/>
      <c r="F2027" s="49"/>
      <c r="G2027" s="14"/>
      <c r="H2027" s="14"/>
      <c r="I2027" s="76"/>
      <c r="J2027" s="73"/>
      <c r="K2027" s="74"/>
      <c r="L2027" s="72"/>
      <c r="M2027" s="72"/>
      <c r="N2027" s="72" t="str">
        <f>IF(AND(C2027="",J2027=0,K2027=0,L2027=0,M2027=0),"",CADASTROS!$B$4+SUM($J$2:J2027)+SUM($M$2:M2027)-SUM($K$2:K2027)-SUM($L$2:L2027))</f>
        <v/>
      </c>
      <c r="O2027" s="72" t="str">
        <f>IF(A2027="","",SUMIF(RATEIOS!$A$2:$A$3142,$A2027,RATEIOS!$F$2:$F$3142))</f>
        <v/>
      </c>
      <c r="P2027" s="15" t="str">
        <f t="shared" si="64"/>
        <v/>
      </c>
      <c r="Q2027" s="49" t="str">
        <f>IF(AND(J2027=0,K2027=0,L2027=0,M2027=0),"",IF(O2027=0,"PENDENTE DE RATEIO",IF(ABS(P2027)&gt;0.005,"DIVERGÊNCIA",IF(COUNTIF(RATEIOS!$A$2:$A$3142,$A2027)-COUNTIFS(RATEIOS!$A$2:$A$3142,$A2027,RATEIOS!$D$2:$D$3142,"&lt;&gt;")&gt;0,"NÃO CLASSIFICADO","RATEIO OK"))))</f>
        <v/>
      </c>
      <c r="R2027" s="49"/>
      <c r="S2027" s="14"/>
    </row>
    <row r="2028" spans="1:19" ht="30" customHeight="1" x14ac:dyDescent="0.25">
      <c r="A2028" s="49" t="str">
        <f>IF(C2028="","","BAN-02027")</f>
        <v/>
      </c>
      <c r="B2028" s="98" t="str">
        <f>IF(C2028="","",2027)</f>
        <v/>
      </c>
      <c r="C2028" s="50"/>
      <c r="D2028" s="49" t="str">
        <f t="shared" si="63"/>
        <v/>
      </c>
      <c r="E2028" s="92"/>
      <c r="F2028" s="49"/>
      <c r="G2028" s="14"/>
      <c r="H2028" s="14"/>
      <c r="I2028" s="76"/>
      <c r="J2028" s="73"/>
      <c r="K2028" s="74"/>
      <c r="L2028" s="72"/>
      <c r="M2028" s="72"/>
      <c r="N2028" s="72" t="str">
        <f>IF(AND(C2028="",J2028=0,K2028=0,L2028=0,M2028=0),"",CADASTROS!$B$4+SUM($J$2:J2028)+SUM($M$2:M2028)-SUM($K$2:K2028)-SUM($L$2:L2028))</f>
        <v/>
      </c>
      <c r="O2028" s="72" t="str">
        <f>IF(A2028="","",SUMIF(RATEIOS!$A$2:$A$3142,$A2028,RATEIOS!$F$2:$F$3142))</f>
        <v/>
      </c>
      <c r="P2028" s="15" t="str">
        <f t="shared" si="64"/>
        <v/>
      </c>
      <c r="Q2028" s="49" t="str">
        <f>IF(AND(J2028=0,K2028=0,L2028=0,M2028=0),"",IF(O2028=0,"PENDENTE DE RATEIO",IF(ABS(P2028)&gt;0.005,"DIVERGÊNCIA",IF(COUNTIF(RATEIOS!$A$2:$A$3142,$A2028)-COUNTIFS(RATEIOS!$A$2:$A$3142,$A2028,RATEIOS!$D$2:$D$3142,"&lt;&gt;")&gt;0,"NÃO CLASSIFICADO","RATEIO OK"))))</f>
        <v/>
      </c>
      <c r="R2028" s="49"/>
      <c r="S2028" s="14"/>
    </row>
    <row r="2029" spans="1:19" ht="30" customHeight="1" x14ac:dyDescent="0.25">
      <c r="A2029" s="49" t="str">
        <f>IF(C2029="","","BAN-02028")</f>
        <v/>
      </c>
      <c r="B2029" s="98" t="str">
        <f>IF(C2029="","",2028)</f>
        <v/>
      </c>
      <c r="C2029" s="50"/>
      <c r="D2029" s="49" t="str">
        <f t="shared" si="63"/>
        <v/>
      </c>
      <c r="E2029" s="92"/>
      <c r="F2029" s="49"/>
      <c r="G2029" s="14"/>
      <c r="H2029" s="14"/>
      <c r="I2029" s="76"/>
      <c r="J2029" s="73"/>
      <c r="K2029" s="74"/>
      <c r="L2029" s="72"/>
      <c r="M2029" s="72"/>
      <c r="N2029" s="72" t="str">
        <f>IF(AND(C2029="",J2029=0,K2029=0,L2029=0,M2029=0),"",CADASTROS!$B$4+SUM($J$2:J2029)+SUM($M$2:M2029)-SUM($K$2:K2029)-SUM($L$2:L2029))</f>
        <v/>
      </c>
      <c r="O2029" s="72" t="str">
        <f>IF(A2029="","",SUMIF(RATEIOS!$A$2:$A$3142,$A2029,RATEIOS!$F$2:$F$3142))</f>
        <v/>
      </c>
      <c r="P2029" s="15" t="str">
        <f t="shared" si="64"/>
        <v/>
      </c>
      <c r="Q2029" s="49" t="str">
        <f>IF(AND(J2029=0,K2029=0,L2029=0,M2029=0),"",IF(O2029=0,"PENDENTE DE RATEIO",IF(ABS(P2029)&gt;0.005,"DIVERGÊNCIA",IF(COUNTIF(RATEIOS!$A$2:$A$3142,$A2029)-COUNTIFS(RATEIOS!$A$2:$A$3142,$A2029,RATEIOS!$D$2:$D$3142,"&lt;&gt;")&gt;0,"NÃO CLASSIFICADO","RATEIO OK"))))</f>
        <v/>
      </c>
      <c r="R2029" s="49"/>
      <c r="S2029" s="14"/>
    </row>
    <row r="2030" spans="1:19" ht="30" customHeight="1" x14ac:dyDescent="0.25">
      <c r="A2030" s="49" t="str">
        <f>IF(C2030="","","BAN-02029")</f>
        <v/>
      </c>
      <c r="B2030" s="98" t="str">
        <f>IF(C2030="","",2029)</f>
        <v/>
      </c>
      <c r="C2030" s="50"/>
      <c r="D2030" s="49" t="str">
        <f t="shared" si="63"/>
        <v/>
      </c>
      <c r="E2030" s="92"/>
      <c r="F2030" s="49"/>
      <c r="G2030" s="14"/>
      <c r="H2030" s="14"/>
      <c r="I2030" s="76"/>
      <c r="J2030" s="73"/>
      <c r="K2030" s="74"/>
      <c r="L2030" s="72"/>
      <c r="M2030" s="72"/>
      <c r="N2030" s="72" t="str">
        <f>IF(AND(C2030="",J2030=0,K2030=0,L2030=0,M2030=0),"",CADASTROS!$B$4+SUM($J$2:J2030)+SUM($M$2:M2030)-SUM($K$2:K2030)-SUM($L$2:L2030))</f>
        <v/>
      </c>
      <c r="O2030" s="72" t="str">
        <f>IF(A2030="","",SUMIF(RATEIOS!$A$2:$A$3142,$A2030,RATEIOS!$F$2:$F$3142))</f>
        <v/>
      </c>
      <c r="P2030" s="15" t="str">
        <f t="shared" si="64"/>
        <v/>
      </c>
      <c r="Q2030" s="49" t="str">
        <f>IF(AND(J2030=0,K2030=0,L2030=0,M2030=0),"",IF(O2030=0,"PENDENTE DE RATEIO",IF(ABS(P2030)&gt;0.005,"DIVERGÊNCIA",IF(COUNTIF(RATEIOS!$A$2:$A$3142,$A2030)-COUNTIFS(RATEIOS!$A$2:$A$3142,$A2030,RATEIOS!$D$2:$D$3142,"&lt;&gt;")&gt;0,"NÃO CLASSIFICADO","RATEIO OK"))))</f>
        <v/>
      </c>
      <c r="R2030" s="49"/>
      <c r="S2030" s="14"/>
    </row>
    <row r="2031" spans="1:19" ht="30" customHeight="1" x14ac:dyDescent="0.25">
      <c r="A2031" s="49" t="str">
        <f>IF(C2031="","","BAN-02030")</f>
        <v/>
      </c>
      <c r="B2031" s="98" t="str">
        <f>IF(C2031="","",2030)</f>
        <v/>
      </c>
      <c r="C2031" s="50"/>
      <c r="D2031" s="49" t="str">
        <f t="shared" si="63"/>
        <v/>
      </c>
      <c r="E2031" s="92"/>
      <c r="F2031" s="49"/>
      <c r="G2031" s="14"/>
      <c r="H2031" s="14"/>
      <c r="I2031" s="76"/>
      <c r="J2031" s="73"/>
      <c r="K2031" s="74"/>
      <c r="L2031" s="72"/>
      <c r="M2031" s="72"/>
      <c r="N2031" s="72" t="str">
        <f>IF(AND(C2031="",J2031=0,K2031=0,L2031=0,M2031=0),"",CADASTROS!$B$4+SUM($J$2:J2031)+SUM($M$2:M2031)-SUM($K$2:K2031)-SUM($L$2:L2031))</f>
        <v/>
      </c>
      <c r="O2031" s="72" t="str">
        <f>IF(A2031="","",SUMIF(RATEIOS!$A$2:$A$3142,$A2031,RATEIOS!$F$2:$F$3142))</f>
        <v/>
      </c>
      <c r="P2031" s="15" t="str">
        <f t="shared" si="64"/>
        <v/>
      </c>
      <c r="Q2031" s="49" t="str">
        <f>IF(AND(J2031=0,K2031=0,L2031=0,M2031=0),"",IF(O2031=0,"PENDENTE DE RATEIO",IF(ABS(P2031)&gt;0.005,"DIVERGÊNCIA",IF(COUNTIF(RATEIOS!$A$2:$A$3142,$A2031)-COUNTIFS(RATEIOS!$A$2:$A$3142,$A2031,RATEIOS!$D$2:$D$3142,"&lt;&gt;")&gt;0,"NÃO CLASSIFICADO","RATEIO OK"))))</f>
        <v/>
      </c>
      <c r="R2031" s="49"/>
      <c r="S2031" s="14"/>
    </row>
    <row r="2032" spans="1:19" ht="30" customHeight="1" x14ac:dyDescent="0.25">
      <c r="A2032" s="49" t="str">
        <f>IF(C2032="","","BAN-02031")</f>
        <v/>
      </c>
      <c r="B2032" s="98" t="str">
        <f>IF(C2032="","",2031)</f>
        <v/>
      </c>
      <c r="C2032" s="50"/>
      <c r="D2032" s="49" t="str">
        <f t="shared" si="63"/>
        <v/>
      </c>
      <c r="E2032" s="92"/>
      <c r="F2032" s="49"/>
      <c r="G2032" s="14"/>
      <c r="H2032" s="14"/>
      <c r="I2032" s="76"/>
      <c r="J2032" s="73"/>
      <c r="K2032" s="74"/>
      <c r="L2032" s="72"/>
      <c r="M2032" s="72"/>
      <c r="N2032" s="72" t="str">
        <f>IF(AND(C2032="",J2032=0,K2032=0,L2032=0,M2032=0),"",CADASTROS!$B$4+SUM($J$2:J2032)+SUM($M$2:M2032)-SUM($K$2:K2032)-SUM($L$2:L2032))</f>
        <v/>
      </c>
      <c r="O2032" s="72" t="str">
        <f>IF(A2032="","",SUMIF(RATEIOS!$A$2:$A$3142,$A2032,RATEIOS!$F$2:$F$3142))</f>
        <v/>
      </c>
      <c r="P2032" s="15" t="str">
        <f t="shared" si="64"/>
        <v/>
      </c>
      <c r="Q2032" s="49" t="str">
        <f>IF(AND(J2032=0,K2032=0,L2032=0,M2032=0),"",IF(O2032=0,"PENDENTE DE RATEIO",IF(ABS(P2032)&gt;0.005,"DIVERGÊNCIA",IF(COUNTIF(RATEIOS!$A$2:$A$3142,$A2032)-COUNTIFS(RATEIOS!$A$2:$A$3142,$A2032,RATEIOS!$D$2:$D$3142,"&lt;&gt;")&gt;0,"NÃO CLASSIFICADO","RATEIO OK"))))</f>
        <v/>
      </c>
      <c r="R2032" s="49"/>
      <c r="S2032" s="14"/>
    </row>
    <row r="2033" spans="1:19" ht="30" customHeight="1" x14ac:dyDescent="0.25">
      <c r="A2033" s="49" t="str">
        <f>IF(C2033="","","BAN-02032")</f>
        <v/>
      </c>
      <c r="B2033" s="98" t="str">
        <f>IF(C2033="","",2032)</f>
        <v/>
      </c>
      <c r="C2033" s="50"/>
      <c r="D2033" s="49" t="str">
        <f t="shared" si="63"/>
        <v/>
      </c>
      <c r="E2033" s="92"/>
      <c r="F2033" s="49"/>
      <c r="G2033" s="14"/>
      <c r="H2033" s="14"/>
      <c r="I2033" s="76"/>
      <c r="J2033" s="73"/>
      <c r="K2033" s="74"/>
      <c r="L2033" s="72"/>
      <c r="M2033" s="72"/>
      <c r="N2033" s="72" t="str">
        <f>IF(AND(C2033="",J2033=0,K2033=0,L2033=0,M2033=0),"",CADASTROS!$B$4+SUM($J$2:J2033)+SUM($M$2:M2033)-SUM($K$2:K2033)-SUM($L$2:L2033))</f>
        <v/>
      </c>
      <c r="O2033" s="72" t="str">
        <f>IF(A2033="","",SUMIF(RATEIOS!$A$2:$A$3142,$A2033,RATEIOS!$F$2:$F$3142))</f>
        <v/>
      </c>
      <c r="P2033" s="15" t="str">
        <f t="shared" si="64"/>
        <v/>
      </c>
      <c r="Q2033" s="49" t="str">
        <f>IF(AND(J2033=0,K2033=0,L2033=0,M2033=0),"",IF(O2033=0,"PENDENTE DE RATEIO",IF(ABS(P2033)&gt;0.005,"DIVERGÊNCIA",IF(COUNTIF(RATEIOS!$A$2:$A$3142,$A2033)-COUNTIFS(RATEIOS!$A$2:$A$3142,$A2033,RATEIOS!$D$2:$D$3142,"&lt;&gt;")&gt;0,"NÃO CLASSIFICADO","RATEIO OK"))))</f>
        <v/>
      </c>
      <c r="R2033" s="49"/>
      <c r="S2033" s="14"/>
    </row>
    <row r="2034" spans="1:19" ht="30" customHeight="1" x14ac:dyDescent="0.25">
      <c r="A2034" s="49" t="str">
        <f>IF(C2034="","","BAN-02033")</f>
        <v/>
      </c>
      <c r="B2034" s="98" t="str">
        <f>IF(C2034="","",2033)</f>
        <v/>
      </c>
      <c r="C2034" s="50"/>
      <c r="D2034" s="49" t="str">
        <f t="shared" si="63"/>
        <v/>
      </c>
      <c r="E2034" s="92"/>
      <c r="F2034" s="49"/>
      <c r="G2034" s="14"/>
      <c r="H2034" s="14"/>
      <c r="I2034" s="76"/>
      <c r="J2034" s="73"/>
      <c r="K2034" s="74"/>
      <c r="L2034" s="72"/>
      <c r="M2034" s="72"/>
      <c r="N2034" s="72" t="str">
        <f>IF(AND(C2034="",J2034=0,K2034=0,L2034=0,M2034=0),"",CADASTROS!$B$4+SUM($J$2:J2034)+SUM($M$2:M2034)-SUM($K$2:K2034)-SUM($L$2:L2034))</f>
        <v/>
      </c>
      <c r="O2034" s="72" t="str">
        <f>IF(A2034="","",SUMIF(RATEIOS!$A$2:$A$3142,$A2034,RATEIOS!$F$2:$F$3142))</f>
        <v/>
      </c>
      <c r="P2034" s="15" t="str">
        <f t="shared" si="64"/>
        <v/>
      </c>
      <c r="Q2034" s="49" t="str">
        <f>IF(AND(J2034=0,K2034=0,L2034=0,M2034=0),"",IF(O2034=0,"PENDENTE DE RATEIO",IF(ABS(P2034)&gt;0.005,"DIVERGÊNCIA",IF(COUNTIF(RATEIOS!$A$2:$A$3142,$A2034)-COUNTIFS(RATEIOS!$A$2:$A$3142,$A2034,RATEIOS!$D$2:$D$3142,"&lt;&gt;")&gt;0,"NÃO CLASSIFICADO","RATEIO OK"))))</f>
        <v/>
      </c>
      <c r="R2034" s="49"/>
      <c r="S2034" s="14"/>
    </row>
    <row r="2035" spans="1:19" ht="30" customHeight="1" x14ac:dyDescent="0.25">
      <c r="A2035" s="49" t="str">
        <f>IF(C2035="","","BAN-02034")</f>
        <v/>
      </c>
      <c r="B2035" s="98" t="str">
        <f>IF(C2035="","",2034)</f>
        <v/>
      </c>
      <c r="C2035" s="50"/>
      <c r="D2035" s="49" t="str">
        <f t="shared" si="63"/>
        <v/>
      </c>
      <c r="E2035" s="92"/>
      <c r="F2035" s="49"/>
      <c r="G2035" s="14"/>
      <c r="H2035" s="14"/>
      <c r="I2035" s="76"/>
      <c r="J2035" s="73"/>
      <c r="K2035" s="74"/>
      <c r="L2035" s="72"/>
      <c r="M2035" s="72"/>
      <c r="N2035" s="72" t="str">
        <f>IF(AND(C2035="",J2035=0,K2035=0,L2035=0,M2035=0),"",CADASTROS!$B$4+SUM($J$2:J2035)+SUM($M$2:M2035)-SUM($K$2:K2035)-SUM($L$2:L2035))</f>
        <v/>
      </c>
      <c r="O2035" s="72" t="str">
        <f>IF(A2035="","",SUMIF(RATEIOS!$A$2:$A$3142,$A2035,RATEIOS!$F$2:$F$3142))</f>
        <v/>
      </c>
      <c r="P2035" s="15" t="str">
        <f t="shared" si="64"/>
        <v/>
      </c>
      <c r="Q2035" s="49" t="str">
        <f>IF(AND(J2035=0,K2035=0,L2035=0,M2035=0),"",IF(O2035=0,"PENDENTE DE RATEIO",IF(ABS(P2035)&gt;0.005,"DIVERGÊNCIA",IF(COUNTIF(RATEIOS!$A$2:$A$3142,$A2035)-COUNTIFS(RATEIOS!$A$2:$A$3142,$A2035,RATEIOS!$D$2:$D$3142,"&lt;&gt;")&gt;0,"NÃO CLASSIFICADO","RATEIO OK"))))</f>
        <v/>
      </c>
      <c r="R2035" s="49"/>
      <c r="S2035" s="14"/>
    </row>
    <row r="2036" spans="1:19" ht="30" customHeight="1" x14ac:dyDescent="0.25">
      <c r="A2036" s="49" t="str">
        <f>IF(C2036="","","BAN-02035")</f>
        <v/>
      </c>
      <c r="B2036" s="98" t="str">
        <f>IF(C2036="","",2035)</f>
        <v/>
      </c>
      <c r="C2036" s="50"/>
      <c r="D2036" s="49" t="str">
        <f t="shared" si="63"/>
        <v/>
      </c>
      <c r="E2036" s="92"/>
      <c r="F2036" s="49"/>
      <c r="G2036" s="14"/>
      <c r="H2036" s="14"/>
      <c r="I2036" s="76"/>
      <c r="J2036" s="73"/>
      <c r="K2036" s="74"/>
      <c r="L2036" s="72"/>
      <c r="M2036" s="72"/>
      <c r="N2036" s="72" t="str">
        <f>IF(AND(C2036="",J2036=0,K2036=0,L2036=0,M2036=0),"",CADASTROS!$B$4+SUM($J$2:J2036)+SUM($M$2:M2036)-SUM($K$2:K2036)-SUM($L$2:L2036))</f>
        <v/>
      </c>
      <c r="O2036" s="72" t="str">
        <f>IF(A2036="","",SUMIF(RATEIOS!$A$2:$A$3142,$A2036,RATEIOS!$F$2:$F$3142))</f>
        <v/>
      </c>
      <c r="P2036" s="15" t="str">
        <f t="shared" si="64"/>
        <v/>
      </c>
      <c r="Q2036" s="49" t="str">
        <f>IF(AND(J2036=0,K2036=0,L2036=0,M2036=0),"",IF(O2036=0,"PENDENTE DE RATEIO",IF(ABS(P2036)&gt;0.005,"DIVERGÊNCIA",IF(COUNTIF(RATEIOS!$A$2:$A$3142,$A2036)-COUNTIFS(RATEIOS!$A$2:$A$3142,$A2036,RATEIOS!$D$2:$D$3142,"&lt;&gt;")&gt;0,"NÃO CLASSIFICADO","RATEIO OK"))))</f>
        <v/>
      </c>
      <c r="R2036" s="49"/>
      <c r="S2036" s="14"/>
    </row>
    <row r="2037" spans="1:19" ht="30" customHeight="1" x14ac:dyDescent="0.25">
      <c r="A2037" s="49" t="str">
        <f>IF(C2037="","","BAN-02036")</f>
        <v/>
      </c>
      <c r="B2037" s="98" t="str">
        <f>IF(C2037="","",2036)</f>
        <v/>
      </c>
      <c r="C2037" s="50"/>
      <c r="D2037" s="49" t="str">
        <f t="shared" si="63"/>
        <v/>
      </c>
      <c r="E2037" s="92"/>
      <c r="F2037" s="49"/>
      <c r="G2037" s="14"/>
      <c r="H2037" s="14"/>
      <c r="I2037" s="76"/>
      <c r="J2037" s="73"/>
      <c r="K2037" s="74"/>
      <c r="L2037" s="72"/>
      <c r="M2037" s="72"/>
      <c r="N2037" s="72" t="str">
        <f>IF(AND(C2037="",J2037=0,K2037=0,L2037=0,M2037=0),"",CADASTROS!$B$4+SUM($J$2:J2037)+SUM($M$2:M2037)-SUM($K$2:K2037)-SUM($L$2:L2037))</f>
        <v/>
      </c>
      <c r="O2037" s="72" t="str">
        <f>IF(A2037="","",SUMIF(RATEIOS!$A$2:$A$3142,$A2037,RATEIOS!$F$2:$F$3142))</f>
        <v/>
      </c>
      <c r="P2037" s="15" t="str">
        <f t="shared" si="64"/>
        <v/>
      </c>
      <c r="Q2037" s="49" t="str">
        <f>IF(AND(J2037=0,K2037=0,L2037=0,M2037=0),"",IF(O2037=0,"PENDENTE DE RATEIO",IF(ABS(P2037)&gt;0.005,"DIVERGÊNCIA",IF(COUNTIF(RATEIOS!$A$2:$A$3142,$A2037)-COUNTIFS(RATEIOS!$A$2:$A$3142,$A2037,RATEIOS!$D$2:$D$3142,"&lt;&gt;")&gt;0,"NÃO CLASSIFICADO","RATEIO OK"))))</f>
        <v/>
      </c>
      <c r="R2037" s="49"/>
      <c r="S2037" s="14"/>
    </row>
    <row r="2038" spans="1:19" ht="30" customHeight="1" x14ac:dyDescent="0.25">
      <c r="A2038" s="49" t="str">
        <f>IF(C2038="","","BAN-02037")</f>
        <v/>
      </c>
      <c r="B2038" s="98" t="str">
        <f>IF(C2038="","",2037)</f>
        <v/>
      </c>
      <c r="C2038" s="50"/>
      <c r="D2038" s="49" t="str">
        <f t="shared" si="63"/>
        <v/>
      </c>
      <c r="E2038" s="92"/>
      <c r="F2038" s="49"/>
      <c r="G2038" s="14"/>
      <c r="H2038" s="14"/>
      <c r="I2038" s="76"/>
      <c r="J2038" s="73"/>
      <c r="K2038" s="74"/>
      <c r="L2038" s="72"/>
      <c r="M2038" s="72"/>
      <c r="N2038" s="72" t="str">
        <f>IF(AND(C2038="",J2038=0,K2038=0,L2038=0,M2038=0),"",CADASTROS!$B$4+SUM($J$2:J2038)+SUM($M$2:M2038)-SUM($K$2:K2038)-SUM($L$2:L2038))</f>
        <v/>
      </c>
      <c r="O2038" s="72" t="str">
        <f>IF(A2038="","",SUMIF(RATEIOS!$A$2:$A$3142,$A2038,RATEIOS!$F$2:$F$3142))</f>
        <v/>
      </c>
      <c r="P2038" s="15" t="str">
        <f t="shared" si="64"/>
        <v/>
      </c>
      <c r="Q2038" s="49" t="str">
        <f>IF(AND(J2038=0,K2038=0,L2038=0,M2038=0),"",IF(O2038=0,"PENDENTE DE RATEIO",IF(ABS(P2038)&gt;0.005,"DIVERGÊNCIA",IF(COUNTIF(RATEIOS!$A$2:$A$3142,$A2038)-COUNTIFS(RATEIOS!$A$2:$A$3142,$A2038,RATEIOS!$D$2:$D$3142,"&lt;&gt;")&gt;0,"NÃO CLASSIFICADO","RATEIO OK"))))</f>
        <v/>
      </c>
      <c r="R2038" s="49"/>
      <c r="S2038" s="14"/>
    </row>
    <row r="2039" spans="1:19" ht="30" customHeight="1" x14ac:dyDescent="0.25">
      <c r="A2039" s="49" t="str">
        <f>IF(C2039="","","BAN-02038")</f>
        <v/>
      </c>
      <c r="B2039" s="98" t="str">
        <f>IF(C2039="","",2038)</f>
        <v/>
      </c>
      <c r="C2039" s="50"/>
      <c r="D2039" s="49" t="str">
        <f t="shared" si="63"/>
        <v/>
      </c>
      <c r="E2039" s="92"/>
      <c r="F2039" s="49"/>
      <c r="G2039" s="14"/>
      <c r="H2039" s="14"/>
      <c r="I2039" s="76"/>
      <c r="J2039" s="73"/>
      <c r="K2039" s="74"/>
      <c r="L2039" s="72"/>
      <c r="M2039" s="72"/>
      <c r="N2039" s="72" t="str">
        <f>IF(AND(C2039="",J2039=0,K2039=0,L2039=0,M2039=0),"",CADASTROS!$B$4+SUM($J$2:J2039)+SUM($M$2:M2039)-SUM($K$2:K2039)-SUM($L$2:L2039))</f>
        <v/>
      </c>
      <c r="O2039" s="72" t="str">
        <f>IF(A2039="","",SUMIF(RATEIOS!$A$2:$A$3142,$A2039,RATEIOS!$F$2:$F$3142))</f>
        <v/>
      </c>
      <c r="P2039" s="15" t="str">
        <f t="shared" si="64"/>
        <v/>
      </c>
      <c r="Q2039" s="49" t="str">
        <f>IF(AND(J2039=0,K2039=0,L2039=0,M2039=0),"",IF(O2039=0,"PENDENTE DE RATEIO",IF(ABS(P2039)&gt;0.005,"DIVERGÊNCIA",IF(COUNTIF(RATEIOS!$A$2:$A$3142,$A2039)-COUNTIFS(RATEIOS!$A$2:$A$3142,$A2039,RATEIOS!$D$2:$D$3142,"&lt;&gt;")&gt;0,"NÃO CLASSIFICADO","RATEIO OK"))))</f>
        <v/>
      </c>
      <c r="R2039" s="49"/>
      <c r="S2039" s="14"/>
    </row>
    <row r="2040" spans="1:19" ht="30" customHeight="1" x14ac:dyDescent="0.25">
      <c r="A2040" s="49" t="str">
        <f>IF(C2040="","","BAN-02039")</f>
        <v/>
      </c>
      <c r="B2040" s="98" t="str">
        <f>IF(C2040="","",2039)</f>
        <v/>
      </c>
      <c r="C2040" s="50"/>
      <c r="D2040" s="49" t="str">
        <f t="shared" si="63"/>
        <v/>
      </c>
      <c r="E2040" s="92"/>
      <c r="F2040" s="49"/>
      <c r="G2040" s="14"/>
      <c r="H2040" s="14"/>
      <c r="I2040" s="76"/>
      <c r="J2040" s="73"/>
      <c r="K2040" s="74"/>
      <c r="L2040" s="72"/>
      <c r="M2040" s="72"/>
      <c r="N2040" s="72" t="str">
        <f>IF(AND(C2040="",J2040=0,K2040=0,L2040=0,M2040=0),"",CADASTROS!$B$4+SUM($J$2:J2040)+SUM($M$2:M2040)-SUM($K$2:K2040)-SUM($L$2:L2040))</f>
        <v/>
      </c>
      <c r="O2040" s="72" t="str">
        <f>IF(A2040="","",SUMIF(RATEIOS!$A$2:$A$3142,$A2040,RATEIOS!$F$2:$F$3142))</f>
        <v/>
      </c>
      <c r="P2040" s="15" t="str">
        <f t="shared" si="64"/>
        <v/>
      </c>
      <c r="Q2040" s="49" t="str">
        <f>IF(AND(J2040=0,K2040=0,L2040=0,M2040=0),"",IF(O2040=0,"PENDENTE DE RATEIO",IF(ABS(P2040)&gt;0.005,"DIVERGÊNCIA",IF(COUNTIF(RATEIOS!$A$2:$A$3142,$A2040)-COUNTIFS(RATEIOS!$A$2:$A$3142,$A2040,RATEIOS!$D$2:$D$3142,"&lt;&gt;")&gt;0,"NÃO CLASSIFICADO","RATEIO OK"))))</f>
        <v/>
      </c>
      <c r="R2040" s="49"/>
      <c r="S2040" s="14"/>
    </row>
    <row r="2041" spans="1:19" ht="30" customHeight="1" x14ac:dyDescent="0.25">
      <c r="A2041" s="49" t="str">
        <f>IF(C2041="","","BAN-02040")</f>
        <v/>
      </c>
      <c r="B2041" s="98" t="str">
        <f>IF(C2041="","",2040)</f>
        <v/>
      </c>
      <c r="C2041" s="50"/>
      <c r="D2041" s="49" t="str">
        <f t="shared" si="63"/>
        <v/>
      </c>
      <c r="E2041" s="92"/>
      <c r="F2041" s="49"/>
      <c r="G2041" s="14"/>
      <c r="H2041" s="14"/>
      <c r="I2041" s="76"/>
      <c r="J2041" s="73"/>
      <c r="K2041" s="74"/>
      <c r="L2041" s="72"/>
      <c r="M2041" s="72"/>
      <c r="N2041" s="72" t="str">
        <f>IF(AND(C2041="",J2041=0,K2041=0,L2041=0,M2041=0),"",CADASTROS!$B$4+SUM($J$2:J2041)+SUM($M$2:M2041)-SUM($K$2:K2041)-SUM($L$2:L2041))</f>
        <v/>
      </c>
      <c r="O2041" s="72" t="str">
        <f>IF(A2041="","",SUMIF(RATEIOS!$A$2:$A$3142,$A2041,RATEIOS!$F$2:$F$3142))</f>
        <v/>
      </c>
      <c r="P2041" s="15" t="str">
        <f t="shared" si="64"/>
        <v/>
      </c>
      <c r="Q2041" s="49" t="str">
        <f>IF(AND(J2041=0,K2041=0,L2041=0,M2041=0),"",IF(O2041=0,"PENDENTE DE RATEIO",IF(ABS(P2041)&gt;0.005,"DIVERGÊNCIA",IF(COUNTIF(RATEIOS!$A$2:$A$3142,$A2041)-COUNTIFS(RATEIOS!$A$2:$A$3142,$A2041,RATEIOS!$D$2:$D$3142,"&lt;&gt;")&gt;0,"NÃO CLASSIFICADO","RATEIO OK"))))</f>
        <v/>
      </c>
      <c r="R2041" s="49"/>
      <c r="S2041" s="14"/>
    </row>
    <row r="2042" spans="1:19" ht="30" customHeight="1" x14ac:dyDescent="0.25">
      <c r="A2042" s="49" t="str">
        <f>IF(C2042="","","BAN-02041")</f>
        <v/>
      </c>
      <c r="B2042" s="98" t="str">
        <f>IF(C2042="","",2041)</f>
        <v/>
      </c>
      <c r="C2042" s="50"/>
      <c r="D2042" s="49" t="str">
        <f t="shared" si="63"/>
        <v/>
      </c>
      <c r="E2042" s="92"/>
      <c r="F2042" s="49"/>
      <c r="G2042" s="14"/>
      <c r="H2042" s="14"/>
      <c r="I2042" s="76"/>
      <c r="J2042" s="73"/>
      <c r="K2042" s="74"/>
      <c r="L2042" s="72"/>
      <c r="M2042" s="72"/>
      <c r="N2042" s="72" t="str">
        <f>IF(AND(C2042="",J2042=0,K2042=0,L2042=0,M2042=0),"",CADASTROS!$B$4+SUM($J$2:J2042)+SUM($M$2:M2042)-SUM($K$2:K2042)-SUM($L$2:L2042))</f>
        <v/>
      </c>
      <c r="O2042" s="72" t="str">
        <f>IF(A2042="","",SUMIF(RATEIOS!$A$2:$A$3142,$A2042,RATEIOS!$F$2:$F$3142))</f>
        <v/>
      </c>
      <c r="P2042" s="15" t="str">
        <f t="shared" si="64"/>
        <v/>
      </c>
      <c r="Q2042" s="49" t="str">
        <f>IF(AND(J2042=0,K2042=0,L2042=0,M2042=0),"",IF(O2042=0,"PENDENTE DE RATEIO",IF(ABS(P2042)&gt;0.005,"DIVERGÊNCIA",IF(COUNTIF(RATEIOS!$A$2:$A$3142,$A2042)-COUNTIFS(RATEIOS!$A$2:$A$3142,$A2042,RATEIOS!$D$2:$D$3142,"&lt;&gt;")&gt;0,"NÃO CLASSIFICADO","RATEIO OK"))))</f>
        <v/>
      </c>
      <c r="R2042" s="49"/>
      <c r="S2042" s="14"/>
    </row>
    <row r="2043" spans="1:19" ht="30" customHeight="1" x14ac:dyDescent="0.25">
      <c r="A2043" s="49" t="str">
        <f>IF(C2043="","","BAN-02042")</f>
        <v/>
      </c>
      <c r="B2043" s="98" t="str">
        <f>IF(C2043="","",2042)</f>
        <v/>
      </c>
      <c r="C2043" s="50"/>
      <c r="D2043" s="49" t="str">
        <f t="shared" si="63"/>
        <v/>
      </c>
      <c r="E2043" s="92"/>
      <c r="F2043" s="49"/>
      <c r="G2043" s="14"/>
      <c r="H2043" s="14"/>
      <c r="I2043" s="76"/>
      <c r="J2043" s="73"/>
      <c r="K2043" s="74"/>
      <c r="L2043" s="72"/>
      <c r="M2043" s="72"/>
      <c r="N2043" s="72" t="str">
        <f>IF(AND(C2043="",J2043=0,K2043=0,L2043=0,M2043=0),"",CADASTROS!$B$4+SUM($J$2:J2043)+SUM($M$2:M2043)-SUM($K$2:K2043)-SUM($L$2:L2043))</f>
        <v/>
      </c>
      <c r="O2043" s="72" t="str">
        <f>IF(A2043="","",SUMIF(RATEIOS!$A$2:$A$3142,$A2043,RATEIOS!$F$2:$F$3142))</f>
        <v/>
      </c>
      <c r="P2043" s="15" t="str">
        <f t="shared" si="64"/>
        <v/>
      </c>
      <c r="Q2043" s="49" t="str">
        <f>IF(AND(J2043=0,K2043=0,L2043=0,M2043=0),"",IF(O2043=0,"PENDENTE DE RATEIO",IF(ABS(P2043)&gt;0.005,"DIVERGÊNCIA",IF(COUNTIF(RATEIOS!$A$2:$A$3142,$A2043)-COUNTIFS(RATEIOS!$A$2:$A$3142,$A2043,RATEIOS!$D$2:$D$3142,"&lt;&gt;")&gt;0,"NÃO CLASSIFICADO","RATEIO OK"))))</f>
        <v/>
      </c>
      <c r="R2043" s="49"/>
      <c r="S2043" s="14"/>
    </row>
    <row r="2044" spans="1:19" ht="30" customHeight="1" x14ac:dyDescent="0.25">
      <c r="A2044" s="49" t="str">
        <f>IF(C2044="","","BAN-02043")</f>
        <v/>
      </c>
      <c r="B2044" s="98" t="str">
        <f>IF(C2044="","",2043)</f>
        <v/>
      </c>
      <c r="C2044" s="50"/>
      <c r="D2044" s="49" t="str">
        <f t="shared" si="63"/>
        <v/>
      </c>
      <c r="E2044" s="92"/>
      <c r="F2044" s="49"/>
      <c r="G2044" s="14"/>
      <c r="H2044" s="14"/>
      <c r="I2044" s="76"/>
      <c r="J2044" s="73"/>
      <c r="K2044" s="74"/>
      <c r="L2044" s="72"/>
      <c r="M2044" s="72"/>
      <c r="N2044" s="72" t="str">
        <f>IF(AND(C2044="",J2044=0,K2044=0,L2044=0,M2044=0),"",CADASTROS!$B$4+SUM($J$2:J2044)+SUM($M$2:M2044)-SUM($K$2:K2044)-SUM($L$2:L2044))</f>
        <v/>
      </c>
      <c r="O2044" s="72" t="str">
        <f>IF(A2044="","",SUMIF(RATEIOS!$A$2:$A$3142,$A2044,RATEIOS!$F$2:$F$3142))</f>
        <v/>
      </c>
      <c r="P2044" s="15" t="str">
        <f t="shared" si="64"/>
        <v/>
      </c>
      <c r="Q2044" s="49" t="str">
        <f>IF(AND(J2044=0,K2044=0,L2044=0,M2044=0),"",IF(O2044=0,"PENDENTE DE RATEIO",IF(ABS(P2044)&gt;0.005,"DIVERGÊNCIA",IF(COUNTIF(RATEIOS!$A$2:$A$3142,$A2044)-COUNTIFS(RATEIOS!$A$2:$A$3142,$A2044,RATEIOS!$D$2:$D$3142,"&lt;&gt;")&gt;0,"NÃO CLASSIFICADO","RATEIO OK"))))</f>
        <v/>
      </c>
      <c r="R2044" s="49"/>
      <c r="S2044" s="14"/>
    </row>
    <row r="2045" spans="1:19" ht="30" customHeight="1" x14ac:dyDescent="0.25">
      <c r="A2045" s="49" t="str">
        <f>IF(C2045="","","BAN-02044")</f>
        <v/>
      </c>
      <c r="B2045" s="98" t="str">
        <f>IF(C2045="","",2044)</f>
        <v/>
      </c>
      <c r="C2045" s="50"/>
      <c r="D2045" s="49" t="str">
        <f t="shared" si="63"/>
        <v/>
      </c>
      <c r="E2045" s="92"/>
      <c r="F2045" s="49"/>
      <c r="G2045" s="14"/>
      <c r="H2045" s="14"/>
      <c r="I2045" s="76"/>
      <c r="J2045" s="73"/>
      <c r="K2045" s="74"/>
      <c r="L2045" s="72"/>
      <c r="M2045" s="72"/>
      <c r="N2045" s="72" t="str">
        <f>IF(AND(C2045="",J2045=0,K2045=0,L2045=0,M2045=0),"",CADASTROS!$B$4+SUM($J$2:J2045)+SUM($M$2:M2045)-SUM($K$2:K2045)-SUM($L$2:L2045))</f>
        <v/>
      </c>
      <c r="O2045" s="72" t="str">
        <f>IF(A2045="","",SUMIF(RATEIOS!$A$2:$A$3142,$A2045,RATEIOS!$F$2:$F$3142))</f>
        <v/>
      </c>
      <c r="P2045" s="15" t="str">
        <f t="shared" si="64"/>
        <v/>
      </c>
      <c r="Q2045" s="49" t="str">
        <f>IF(AND(J2045=0,K2045=0,L2045=0,M2045=0),"",IF(O2045=0,"PENDENTE DE RATEIO",IF(ABS(P2045)&gt;0.005,"DIVERGÊNCIA",IF(COUNTIF(RATEIOS!$A$2:$A$3142,$A2045)-COUNTIFS(RATEIOS!$A$2:$A$3142,$A2045,RATEIOS!$D$2:$D$3142,"&lt;&gt;")&gt;0,"NÃO CLASSIFICADO","RATEIO OK"))))</f>
        <v/>
      </c>
      <c r="R2045" s="49"/>
      <c r="S2045" s="14"/>
    </row>
    <row r="2046" spans="1:19" ht="30" customHeight="1" x14ac:dyDescent="0.25">
      <c r="A2046" s="49" t="str">
        <f>IF(C2046="","","BAN-02045")</f>
        <v/>
      </c>
      <c r="B2046" s="98" t="str">
        <f>IF(C2046="","",2045)</f>
        <v/>
      </c>
      <c r="C2046" s="50"/>
      <c r="D2046" s="49" t="str">
        <f t="shared" si="63"/>
        <v/>
      </c>
      <c r="E2046" s="92"/>
      <c r="F2046" s="49"/>
      <c r="G2046" s="14"/>
      <c r="H2046" s="14"/>
      <c r="I2046" s="76"/>
      <c r="J2046" s="73"/>
      <c r="K2046" s="74"/>
      <c r="L2046" s="72"/>
      <c r="M2046" s="72"/>
      <c r="N2046" s="72" t="str">
        <f>IF(AND(C2046="",J2046=0,K2046=0,L2046=0,M2046=0),"",CADASTROS!$B$4+SUM($J$2:J2046)+SUM($M$2:M2046)-SUM($K$2:K2046)-SUM($L$2:L2046))</f>
        <v/>
      </c>
      <c r="O2046" s="72" t="str">
        <f>IF(A2046="","",SUMIF(RATEIOS!$A$2:$A$3142,$A2046,RATEIOS!$F$2:$F$3142))</f>
        <v/>
      </c>
      <c r="P2046" s="15" t="str">
        <f t="shared" si="64"/>
        <v/>
      </c>
      <c r="Q2046" s="49" t="str">
        <f>IF(AND(J2046=0,K2046=0,L2046=0,M2046=0),"",IF(O2046=0,"PENDENTE DE RATEIO",IF(ABS(P2046)&gt;0.005,"DIVERGÊNCIA",IF(COUNTIF(RATEIOS!$A$2:$A$3142,$A2046)-COUNTIFS(RATEIOS!$A$2:$A$3142,$A2046,RATEIOS!$D$2:$D$3142,"&lt;&gt;")&gt;0,"NÃO CLASSIFICADO","RATEIO OK"))))</f>
        <v/>
      </c>
      <c r="R2046" s="49"/>
      <c r="S2046" s="14"/>
    </row>
    <row r="2047" spans="1:19" ht="30" customHeight="1" x14ac:dyDescent="0.25">
      <c r="A2047" s="49" t="str">
        <f>IF(C2047="","","BAN-02046")</f>
        <v/>
      </c>
      <c r="B2047" s="98" t="str">
        <f>IF(C2047="","",2046)</f>
        <v/>
      </c>
      <c r="C2047" s="50"/>
      <c r="D2047" s="49" t="str">
        <f t="shared" si="63"/>
        <v/>
      </c>
      <c r="E2047" s="92"/>
      <c r="F2047" s="49"/>
      <c r="G2047" s="14"/>
      <c r="H2047" s="14"/>
      <c r="I2047" s="76"/>
      <c r="J2047" s="73"/>
      <c r="K2047" s="74"/>
      <c r="L2047" s="72"/>
      <c r="M2047" s="72"/>
      <c r="N2047" s="72" t="str">
        <f>IF(AND(C2047="",J2047=0,K2047=0,L2047=0,M2047=0),"",CADASTROS!$B$4+SUM($J$2:J2047)+SUM($M$2:M2047)-SUM($K$2:K2047)-SUM($L$2:L2047))</f>
        <v/>
      </c>
      <c r="O2047" s="72" t="str">
        <f>IF(A2047="","",SUMIF(RATEIOS!$A$2:$A$3142,$A2047,RATEIOS!$F$2:$F$3142))</f>
        <v/>
      </c>
      <c r="P2047" s="15" t="str">
        <f t="shared" si="64"/>
        <v/>
      </c>
      <c r="Q2047" s="49" t="str">
        <f>IF(AND(J2047=0,K2047=0,L2047=0,M2047=0),"",IF(O2047=0,"PENDENTE DE RATEIO",IF(ABS(P2047)&gt;0.005,"DIVERGÊNCIA",IF(COUNTIF(RATEIOS!$A$2:$A$3142,$A2047)-COUNTIFS(RATEIOS!$A$2:$A$3142,$A2047,RATEIOS!$D$2:$D$3142,"&lt;&gt;")&gt;0,"NÃO CLASSIFICADO","RATEIO OK"))))</f>
        <v/>
      </c>
      <c r="R2047" s="49"/>
      <c r="S2047" s="14"/>
    </row>
    <row r="2048" spans="1:19" ht="30" customHeight="1" x14ac:dyDescent="0.25">
      <c r="A2048" s="49" t="str">
        <f>IF(C2048="","","BAN-02047")</f>
        <v/>
      </c>
      <c r="B2048" s="98" t="str">
        <f>IF(C2048="","",2047)</f>
        <v/>
      </c>
      <c r="C2048" s="50"/>
      <c r="D2048" s="49" t="str">
        <f t="shared" si="63"/>
        <v/>
      </c>
      <c r="E2048" s="92"/>
      <c r="F2048" s="49"/>
      <c r="G2048" s="14"/>
      <c r="H2048" s="14"/>
      <c r="I2048" s="76"/>
      <c r="J2048" s="73"/>
      <c r="K2048" s="74"/>
      <c r="L2048" s="72"/>
      <c r="M2048" s="72"/>
      <c r="N2048" s="72" t="str">
        <f>IF(AND(C2048="",J2048=0,K2048=0,L2048=0,M2048=0),"",CADASTROS!$B$4+SUM($J$2:J2048)+SUM($M$2:M2048)-SUM($K$2:K2048)-SUM($L$2:L2048))</f>
        <v/>
      </c>
      <c r="O2048" s="72" t="str">
        <f>IF(A2048="","",SUMIF(RATEIOS!$A$2:$A$3142,$A2048,RATEIOS!$F$2:$F$3142))</f>
        <v/>
      </c>
      <c r="P2048" s="15" t="str">
        <f t="shared" si="64"/>
        <v/>
      </c>
      <c r="Q2048" s="49" t="str">
        <f>IF(AND(J2048=0,K2048=0,L2048=0,M2048=0),"",IF(O2048=0,"PENDENTE DE RATEIO",IF(ABS(P2048)&gt;0.005,"DIVERGÊNCIA",IF(COUNTIF(RATEIOS!$A$2:$A$3142,$A2048)-COUNTIFS(RATEIOS!$A$2:$A$3142,$A2048,RATEIOS!$D$2:$D$3142,"&lt;&gt;")&gt;0,"NÃO CLASSIFICADO","RATEIO OK"))))</f>
        <v/>
      </c>
      <c r="R2048" s="49"/>
      <c r="S2048" s="14"/>
    </row>
    <row r="2049" spans="1:19" ht="30" customHeight="1" x14ac:dyDescent="0.25">
      <c r="A2049" s="49" t="str">
        <f>IF(C2049="","","BAN-02048")</f>
        <v/>
      </c>
      <c r="B2049" s="98" t="str">
        <f>IF(C2049="","",2048)</f>
        <v/>
      </c>
      <c r="C2049" s="50"/>
      <c r="D2049" s="49" t="str">
        <f t="shared" si="63"/>
        <v/>
      </c>
      <c r="E2049" s="92"/>
      <c r="F2049" s="49"/>
      <c r="G2049" s="14"/>
      <c r="H2049" s="14"/>
      <c r="I2049" s="76"/>
      <c r="J2049" s="73"/>
      <c r="K2049" s="74"/>
      <c r="L2049" s="72"/>
      <c r="M2049" s="72"/>
      <c r="N2049" s="72" t="str">
        <f>IF(AND(C2049="",J2049=0,K2049=0,L2049=0,M2049=0),"",CADASTROS!$B$4+SUM($J$2:J2049)+SUM($M$2:M2049)-SUM($K$2:K2049)-SUM($L$2:L2049))</f>
        <v/>
      </c>
      <c r="O2049" s="72" t="str">
        <f>IF(A2049="","",SUMIF(RATEIOS!$A$2:$A$3142,$A2049,RATEIOS!$F$2:$F$3142))</f>
        <v/>
      </c>
      <c r="P2049" s="15" t="str">
        <f t="shared" si="64"/>
        <v/>
      </c>
      <c r="Q2049" s="49" t="str">
        <f>IF(AND(J2049=0,K2049=0,L2049=0,M2049=0),"",IF(O2049=0,"PENDENTE DE RATEIO",IF(ABS(P2049)&gt;0.005,"DIVERGÊNCIA",IF(COUNTIF(RATEIOS!$A$2:$A$3142,$A2049)-COUNTIFS(RATEIOS!$A$2:$A$3142,$A2049,RATEIOS!$D$2:$D$3142,"&lt;&gt;")&gt;0,"NÃO CLASSIFICADO","RATEIO OK"))))</f>
        <v/>
      </c>
      <c r="R2049" s="49"/>
      <c r="S2049" s="14"/>
    </row>
    <row r="2050" spans="1:19" ht="30" customHeight="1" x14ac:dyDescent="0.25">
      <c r="A2050" s="49" t="str">
        <f>IF(C2050="","","BAN-02049")</f>
        <v/>
      </c>
      <c r="B2050" s="98" t="str">
        <f>IF(C2050="","",2049)</f>
        <v/>
      </c>
      <c r="C2050" s="50"/>
      <c r="D2050" s="49" t="str">
        <f t="shared" ref="D2050:D2113" si="65">IF(C2050="","",MONTH(C2050))</f>
        <v/>
      </c>
      <c r="E2050" s="92"/>
      <c r="F2050" s="49"/>
      <c r="G2050" s="14"/>
      <c r="H2050" s="14"/>
      <c r="I2050" s="76"/>
      <c r="J2050" s="73"/>
      <c r="K2050" s="74"/>
      <c r="L2050" s="72"/>
      <c r="M2050" s="72"/>
      <c r="N2050" s="72" t="str">
        <f>IF(AND(C2050="",J2050=0,K2050=0,L2050=0,M2050=0),"",CADASTROS!$B$4+SUM($J$2:J2050)+SUM($M$2:M2050)-SUM($K$2:K2050)-SUM($L$2:L2050))</f>
        <v/>
      </c>
      <c r="O2050" s="72" t="str">
        <f>IF(A2050="","",SUMIF(RATEIOS!$A$2:$A$3142,$A2050,RATEIOS!$F$2:$F$3142))</f>
        <v/>
      </c>
      <c r="P2050" s="15" t="str">
        <f t="shared" ref="P2050:P2113" si="66">IF(A2050="","",(J2050+K2050+L2050+M2050)-O2050)</f>
        <v/>
      </c>
      <c r="Q2050" s="49" t="str">
        <f>IF(AND(J2050=0,K2050=0,L2050=0,M2050=0),"",IF(O2050=0,"PENDENTE DE RATEIO",IF(ABS(P2050)&gt;0.005,"DIVERGÊNCIA",IF(COUNTIF(RATEIOS!$A$2:$A$3142,$A2050)-COUNTIFS(RATEIOS!$A$2:$A$3142,$A2050,RATEIOS!$D$2:$D$3142,"&lt;&gt;")&gt;0,"NÃO CLASSIFICADO","RATEIO OK"))))</f>
        <v/>
      </c>
      <c r="R2050" s="49"/>
      <c r="S2050" s="14"/>
    </row>
    <row r="2051" spans="1:19" ht="30" customHeight="1" x14ac:dyDescent="0.25">
      <c r="A2051" s="49" t="str">
        <f>IF(C2051="","","BAN-02050")</f>
        <v/>
      </c>
      <c r="B2051" s="98" t="str">
        <f>IF(C2051="","",2050)</f>
        <v/>
      </c>
      <c r="C2051" s="50"/>
      <c r="D2051" s="49" t="str">
        <f t="shared" si="65"/>
        <v/>
      </c>
      <c r="E2051" s="92"/>
      <c r="F2051" s="49"/>
      <c r="G2051" s="14"/>
      <c r="H2051" s="14"/>
      <c r="I2051" s="76"/>
      <c r="J2051" s="73"/>
      <c r="K2051" s="74"/>
      <c r="L2051" s="72"/>
      <c r="M2051" s="72"/>
      <c r="N2051" s="72" t="str">
        <f>IF(AND(C2051="",J2051=0,K2051=0,L2051=0,M2051=0),"",CADASTROS!$B$4+SUM($J$2:J2051)+SUM($M$2:M2051)-SUM($K$2:K2051)-SUM($L$2:L2051))</f>
        <v/>
      </c>
      <c r="O2051" s="72" t="str">
        <f>IF(A2051="","",SUMIF(RATEIOS!$A$2:$A$3142,$A2051,RATEIOS!$F$2:$F$3142))</f>
        <v/>
      </c>
      <c r="P2051" s="15" t="str">
        <f t="shared" si="66"/>
        <v/>
      </c>
      <c r="Q2051" s="49" t="str">
        <f>IF(AND(J2051=0,K2051=0,L2051=0,M2051=0),"",IF(O2051=0,"PENDENTE DE RATEIO",IF(ABS(P2051)&gt;0.005,"DIVERGÊNCIA",IF(COUNTIF(RATEIOS!$A$2:$A$3142,$A2051)-COUNTIFS(RATEIOS!$A$2:$A$3142,$A2051,RATEIOS!$D$2:$D$3142,"&lt;&gt;")&gt;0,"NÃO CLASSIFICADO","RATEIO OK"))))</f>
        <v/>
      </c>
      <c r="R2051" s="49"/>
      <c r="S2051" s="14"/>
    </row>
    <row r="2052" spans="1:19" ht="30" customHeight="1" x14ac:dyDescent="0.25">
      <c r="A2052" s="49" t="str">
        <f>IF(C2052="","","BAN-02051")</f>
        <v/>
      </c>
      <c r="B2052" s="98" t="str">
        <f>IF(C2052="","",2051)</f>
        <v/>
      </c>
      <c r="C2052" s="50"/>
      <c r="D2052" s="49" t="str">
        <f t="shared" si="65"/>
        <v/>
      </c>
      <c r="E2052" s="92"/>
      <c r="F2052" s="49"/>
      <c r="G2052" s="14"/>
      <c r="H2052" s="14"/>
      <c r="I2052" s="76"/>
      <c r="J2052" s="73"/>
      <c r="K2052" s="74"/>
      <c r="L2052" s="72"/>
      <c r="M2052" s="72"/>
      <c r="N2052" s="72" t="str">
        <f>IF(AND(C2052="",J2052=0,K2052=0,L2052=0,M2052=0),"",CADASTROS!$B$4+SUM($J$2:J2052)+SUM($M$2:M2052)-SUM($K$2:K2052)-SUM($L$2:L2052))</f>
        <v/>
      </c>
      <c r="O2052" s="72" t="str">
        <f>IF(A2052="","",SUMIF(RATEIOS!$A$2:$A$3142,$A2052,RATEIOS!$F$2:$F$3142))</f>
        <v/>
      </c>
      <c r="P2052" s="15" t="str">
        <f t="shared" si="66"/>
        <v/>
      </c>
      <c r="Q2052" s="49" t="str">
        <f>IF(AND(J2052=0,K2052=0,L2052=0,M2052=0),"",IF(O2052=0,"PENDENTE DE RATEIO",IF(ABS(P2052)&gt;0.005,"DIVERGÊNCIA",IF(COUNTIF(RATEIOS!$A$2:$A$3142,$A2052)-COUNTIFS(RATEIOS!$A$2:$A$3142,$A2052,RATEIOS!$D$2:$D$3142,"&lt;&gt;")&gt;0,"NÃO CLASSIFICADO","RATEIO OK"))))</f>
        <v/>
      </c>
      <c r="R2052" s="49"/>
      <c r="S2052" s="14"/>
    </row>
    <row r="2053" spans="1:19" ht="30" customHeight="1" x14ac:dyDescent="0.25">
      <c r="A2053" s="49" t="str">
        <f>IF(C2053="","","BAN-02052")</f>
        <v/>
      </c>
      <c r="B2053" s="98" t="str">
        <f>IF(C2053="","",2052)</f>
        <v/>
      </c>
      <c r="C2053" s="50"/>
      <c r="D2053" s="49" t="str">
        <f t="shared" si="65"/>
        <v/>
      </c>
      <c r="E2053" s="92"/>
      <c r="F2053" s="49"/>
      <c r="G2053" s="14"/>
      <c r="H2053" s="14"/>
      <c r="I2053" s="76"/>
      <c r="J2053" s="73"/>
      <c r="K2053" s="74"/>
      <c r="L2053" s="72"/>
      <c r="M2053" s="72"/>
      <c r="N2053" s="72" t="str">
        <f>IF(AND(C2053="",J2053=0,K2053=0,L2053=0,M2053=0),"",CADASTROS!$B$4+SUM($J$2:J2053)+SUM($M$2:M2053)-SUM($K$2:K2053)-SUM($L$2:L2053))</f>
        <v/>
      </c>
      <c r="O2053" s="72" t="str">
        <f>IF(A2053="","",SUMIF(RATEIOS!$A$2:$A$3142,$A2053,RATEIOS!$F$2:$F$3142))</f>
        <v/>
      </c>
      <c r="P2053" s="15" t="str">
        <f t="shared" si="66"/>
        <v/>
      </c>
      <c r="Q2053" s="49" t="str">
        <f>IF(AND(J2053=0,K2053=0,L2053=0,M2053=0),"",IF(O2053=0,"PENDENTE DE RATEIO",IF(ABS(P2053)&gt;0.005,"DIVERGÊNCIA",IF(COUNTIF(RATEIOS!$A$2:$A$3142,$A2053)-COUNTIFS(RATEIOS!$A$2:$A$3142,$A2053,RATEIOS!$D$2:$D$3142,"&lt;&gt;")&gt;0,"NÃO CLASSIFICADO","RATEIO OK"))))</f>
        <v/>
      </c>
      <c r="R2053" s="49"/>
      <c r="S2053" s="14"/>
    </row>
    <row r="2054" spans="1:19" ht="30" customHeight="1" x14ac:dyDescent="0.25">
      <c r="A2054" s="49" t="str">
        <f>IF(C2054="","","BAN-02053")</f>
        <v/>
      </c>
      <c r="B2054" s="98" t="str">
        <f>IF(C2054="","",2053)</f>
        <v/>
      </c>
      <c r="C2054" s="50"/>
      <c r="D2054" s="49" t="str">
        <f t="shared" si="65"/>
        <v/>
      </c>
      <c r="E2054" s="92"/>
      <c r="F2054" s="49"/>
      <c r="G2054" s="14"/>
      <c r="H2054" s="14"/>
      <c r="I2054" s="76"/>
      <c r="J2054" s="73"/>
      <c r="K2054" s="74"/>
      <c r="L2054" s="72"/>
      <c r="M2054" s="72"/>
      <c r="N2054" s="72" t="str">
        <f>IF(AND(C2054="",J2054=0,K2054=0,L2054=0,M2054=0),"",CADASTROS!$B$4+SUM($J$2:J2054)+SUM($M$2:M2054)-SUM($K$2:K2054)-SUM($L$2:L2054))</f>
        <v/>
      </c>
      <c r="O2054" s="72" t="str">
        <f>IF(A2054="","",SUMIF(RATEIOS!$A$2:$A$3142,$A2054,RATEIOS!$F$2:$F$3142))</f>
        <v/>
      </c>
      <c r="P2054" s="15" t="str">
        <f t="shared" si="66"/>
        <v/>
      </c>
      <c r="Q2054" s="49" t="str">
        <f>IF(AND(J2054=0,K2054=0,L2054=0,M2054=0),"",IF(O2054=0,"PENDENTE DE RATEIO",IF(ABS(P2054)&gt;0.005,"DIVERGÊNCIA",IF(COUNTIF(RATEIOS!$A$2:$A$3142,$A2054)-COUNTIFS(RATEIOS!$A$2:$A$3142,$A2054,RATEIOS!$D$2:$D$3142,"&lt;&gt;")&gt;0,"NÃO CLASSIFICADO","RATEIO OK"))))</f>
        <v/>
      </c>
      <c r="R2054" s="49"/>
      <c r="S2054" s="14"/>
    </row>
    <row r="2055" spans="1:19" ht="30" customHeight="1" x14ac:dyDescent="0.25">
      <c r="A2055" s="49" t="str">
        <f>IF(C2055="","","BAN-02054")</f>
        <v/>
      </c>
      <c r="B2055" s="98" t="str">
        <f>IF(C2055="","",2054)</f>
        <v/>
      </c>
      <c r="C2055" s="50"/>
      <c r="D2055" s="49" t="str">
        <f t="shared" si="65"/>
        <v/>
      </c>
      <c r="E2055" s="92"/>
      <c r="F2055" s="49"/>
      <c r="G2055" s="14"/>
      <c r="H2055" s="14"/>
      <c r="I2055" s="76"/>
      <c r="J2055" s="73"/>
      <c r="K2055" s="74"/>
      <c r="L2055" s="72"/>
      <c r="M2055" s="72"/>
      <c r="N2055" s="72" t="str">
        <f>IF(AND(C2055="",J2055=0,K2055=0,L2055=0,M2055=0),"",CADASTROS!$B$4+SUM($J$2:J2055)+SUM($M$2:M2055)-SUM($K$2:K2055)-SUM($L$2:L2055))</f>
        <v/>
      </c>
      <c r="O2055" s="72" t="str">
        <f>IF(A2055="","",SUMIF(RATEIOS!$A$2:$A$3142,$A2055,RATEIOS!$F$2:$F$3142))</f>
        <v/>
      </c>
      <c r="P2055" s="15" t="str">
        <f t="shared" si="66"/>
        <v/>
      </c>
      <c r="Q2055" s="49" t="str">
        <f>IF(AND(J2055=0,K2055=0,L2055=0,M2055=0),"",IF(O2055=0,"PENDENTE DE RATEIO",IF(ABS(P2055)&gt;0.005,"DIVERGÊNCIA",IF(COUNTIF(RATEIOS!$A$2:$A$3142,$A2055)-COUNTIFS(RATEIOS!$A$2:$A$3142,$A2055,RATEIOS!$D$2:$D$3142,"&lt;&gt;")&gt;0,"NÃO CLASSIFICADO","RATEIO OK"))))</f>
        <v/>
      </c>
      <c r="R2055" s="49"/>
      <c r="S2055" s="14"/>
    </row>
    <row r="2056" spans="1:19" ht="30" customHeight="1" x14ac:dyDescent="0.25">
      <c r="A2056" s="49" t="str">
        <f>IF(C2056="","","BAN-02055")</f>
        <v/>
      </c>
      <c r="B2056" s="98" t="str">
        <f>IF(C2056="","",2055)</f>
        <v/>
      </c>
      <c r="C2056" s="50"/>
      <c r="D2056" s="49" t="str">
        <f t="shared" si="65"/>
        <v/>
      </c>
      <c r="E2056" s="92"/>
      <c r="F2056" s="49"/>
      <c r="G2056" s="14"/>
      <c r="H2056" s="14"/>
      <c r="I2056" s="76"/>
      <c r="J2056" s="73"/>
      <c r="K2056" s="74"/>
      <c r="L2056" s="72"/>
      <c r="M2056" s="72"/>
      <c r="N2056" s="72" t="str">
        <f>IF(AND(C2056="",J2056=0,K2056=0,L2056=0,M2056=0),"",CADASTROS!$B$4+SUM($J$2:J2056)+SUM($M$2:M2056)-SUM($K$2:K2056)-SUM($L$2:L2056))</f>
        <v/>
      </c>
      <c r="O2056" s="72" t="str">
        <f>IF(A2056="","",SUMIF(RATEIOS!$A$2:$A$3142,$A2056,RATEIOS!$F$2:$F$3142))</f>
        <v/>
      </c>
      <c r="P2056" s="15" t="str">
        <f t="shared" si="66"/>
        <v/>
      </c>
      <c r="Q2056" s="49" t="str">
        <f>IF(AND(J2056=0,K2056=0,L2056=0,M2056=0),"",IF(O2056=0,"PENDENTE DE RATEIO",IF(ABS(P2056)&gt;0.005,"DIVERGÊNCIA",IF(COUNTIF(RATEIOS!$A$2:$A$3142,$A2056)-COUNTIFS(RATEIOS!$A$2:$A$3142,$A2056,RATEIOS!$D$2:$D$3142,"&lt;&gt;")&gt;0,"NÃO CLASSIFICADO","RATEIO OK"))))</f>
        <v/>
      </c>
      <c r="R2056" s="49"/>
      <c r="S2056" s="14"/>
    </row>
    <row r="2057" spans="1:19" ht="30" customHeight="1" x14ac:dyDescent="0.25">
      <c r="A2057" s="49" t="str">
        <f>IF(C2057="","","BAN-02056")</f>
        <v/>
      </c>
      <c r="B2057" s="98" t="str">
        <f>IF(C2057="","",2056)</f>
        <v/>
      </c>
      <c r="C2057" s="50"/>
      <c r="D2057" s="49" t="str">
        <f t="shared" si="65"/>
        <v/>
      </c>
      <c r="E2057" s="92"/>
      <c r="F2057" s="49"/>
      <c r="G2057" s="14"/>
      <c r="H2057" s="14"/>
      <c r="I2057" s="76"/>
      <c r="J2057" s="73"/>
      <c r="K2057" s="74"/>
      <c r="L2057" s="72"/>
      <c r="M2057" s="72"/>
      <c r="N2057" s="72" t="str">
        <f>IF(AND(C2057="",J2057=0,K2057=0,L2057=0,M2057=0),"",CADASTROS!$B$4+SUM($J$2:J2057)+SUM($M$2:M2057)-SUM($K$2:K2057)-SUM($L$2:L2057))</f>
        <v/>
      </c>
      <c r="O2057" s="72" t="str">
        <f>IF(A2057="","",SUMIF(RATEIOS!$A$2:$A$3142,$A2057,RATEIOS!$F$2:$F$3142))</f>
        <v/>
      </c>
      <c r="P2057" s="15" t="str">
        <f t="shared" si="66"/>
        <v/>
      </c>
      <c r="Q2057" s="49" t="str">
        <f>IF(AND(J2057=0,K2057=0,L2057=0,M2057=0),"",IF(O2057=0,"PENDENTE DE RATEIO",IF(ABS(P2057)&gt;0.005,"DIVERGÊNCIA",IF(COUNTIF(RATEIOS!$A$2:$A$3142,$A2057)-COUNTIFS(RATEIOS!$A$2:$A$3142,$A2057,RATEIOS!$D$2:$D$3142,"&lt;&gt;")&gt;0,"NÃO CLASSIFICADO","RATEIO OK"))))</f>
        <v/>
      </c>
      <c r="R2057" s="49"/>
      <c r="S2057" s="14"/>
    </row>
    <row r="2058" spans="1:19" ht="30" customHeight="1" x14ac:dyDescent="0.25">
      <c r="A2058" s="49" t="str">
        <f>IF(C2058="","","BAN-02057")</f>
        <v/>
      </c>
      <c r="B2058" s="98" t="str">
        <f>IF(C2058="","",2057)</f>
        <v/>
      </c>
      <c r="C2058" s="50"/>
      <c r="D2058" s="49" t="str">
        <f t="shared" si="65"/>
        <v/>
      </c>
      <c r="E2058" s="92"/>
      <c r="F2058" s="49"/>
      <c r="G2058" s="14"/>
      <c r="H2058" s="14"/>
      <c r="I2058" s="76"/>
      <c r="J2058" s="73"/>
      <c r="K2058" s="74"/>
      <c r="L2058" s="72"/>
      <c r="M2058" s="72"/>
      <c r="N2058" s="72" t="str">
        <f>IF(AND(C2058="",J2058=0,K2058=0,L2058=0,M2058=0),"",CADASTROS!$B$4+SUM($J$2:J2058)+SUM($M$2:M2058)-SUM($K$2:K2058)-SUM($L$2:L2058))</f>
        <v/>
      </c>
      <c r="O2058" s="72" t="str">
        <f>IF(A2058="","",SUMIF(RATEIOS!$A$2:$A$3142,$A2058,RATEIOS!$F$2:$F$3142))</f>
        <v/>
      </c>
      <c r="P2058" s="15" t="str">
        <f t="shared" si="66"/>
        <v/>
      </c>
      <c r="Q2058" s="49" t="str">
        <f>IF(AND(J2058=0,K2058=0,L2058=0,M2058=0),"",IF(O2058=0,"PENDENTE DE RATEIO",IF(ABS(P2058)&gt;0.005,"DIVERGÊNCIA",IF(COUNTIF(RATEIOS!$A$2:$A$3142,$A2058)-COUNTIFS(RATEIOS!$A$2:$A$3142,$A2058,RATEIOS!$D$2:$D$3142,"&lt;&gt;")&gt;0,"NÃO CLASSIFICADO","RATEIO OK"))))</f>
        <v/>
      </c>
      <c r="R2058" s="49"/>
      <c r="S2058" s="14"/>
    </row>
    <row r="2059" spans="1:19" ht="30" customHeight="1" x14ac:dyDescent="0.25">
      <c r="A2059" s="49" t="str">
        <f>IF(C2059="","","BAN-02058")</f>
        <v/>
      </c>
      <c r="B2059" s="98" t="str">
        <f>IF(C2059="","",2058)</f>
        <v/>
      </c>
      <c r="C2059" s="50"/>
      <c r="D2059" s="49" t="str">
        <f t="shared" si="65"/>
        <v/>
      </c>
      <c r="E2059" s="92"/>
      <c r="F2059" s="49"/>
      <c r="G2059" s="14"/>
      <c r="H2059" s="14"/>
      <c r="I2059" s="76"/>
      <c r="J2059" s="73"/>
      <c r="K2059" s="74"/>
      <c r="L2059" s="72"/>
      <c r="M2059" s="72"/>
      <c r="N2059" s="72" t="str">
        <f>IF(AND(C2059="",J2059=0,K2059=0,L2059=0,M2059=0),"",CADASTROS!$B$4+SUM($J$2:J2059)+SUM($M$2:M2059)-SUM($K$2:K2059)-SUM($L$2:L2059))</f>
        <v/>
      </c>
      <c r="O2059" s="72" t="str">
        <f>IF(A2059="","",SUMIF(RATEIOS!$A$2:$A$3142,$A2059,RATEIOS!$F$2:$F$3142))</f>
        <v/>
      </c>
      <c r="P2059" s="15" t="str">
        <f t="shared" si="66"/>
        <v/>
      </c>
      <c r="Q2059" s="49" t="str">
        <f>IF(AND(J2059=0,K2059=0,L2059=0,M2059=0),"",IF(O2059=0,"PENDENTE DE RATEIO",IF(ABS(P2059)&gt;0.005,"DIVERGÊNCIA",IF(COUNTIF(RATEIOS!$A$2:$A$3142,$A2059)-COUNTIFS(RATEIOS!$A$2:$A$3142,$A2059,RATEIOS!$D$2:$D$3142,"&lt;&gt;")&gt;0,"NÃO CLASSIFICADO","RATEIO OK"))))</f>
        <v/>
      </c>
      <c r="R2059" s="49"/>
      <c r="S2059" s="14"/>
    </row>
    <row r="2060" spans="1:19" ht="30" customHeight="1" x14ac:dyDescent="0.25">
      <c r="A2060" s="49" t="str">
        <f>IF(C2060="","","BAN-02059")</f>
        <v/>
      </c>
      <c r="B2060" s="98" t="str">
        <f>IF(C2060="","",2059)</f>
        <v/>
      </c>
      <c r="C2060" s="50"/>
      <c r="D2060" s="49" t="str">
        <f t="shared" si="65"/>
        <v/>
      </c>
      <c r="E2060" s="92"/>
      <c r="F2060" s="49"/>
      <c r="G2060" s="14"/>
      <c r="H2060" s="14"/>
      <c r="I2060" s="76"/>
      <c r="J2060" s="73"/>
      <c r="K2060" s="74"/>
      <c r="L2060" s="72"/>
      <c r="M2060" s="72"/>
      <c r="N2060" s="72" t="str">
        <f>IF(AND(C2060="",J2060=0,K2060=0,L2060=0,M2060=0),"",CADASTROS!$B$4+SUM($J$2:J2060)+SUM($M$2:M2060)-SUM($K$2:K2060)-SUM($L$2:L2060))</f>
        <v/>
      </c>
      <c r="O2060" s="72" t="str">
        <f>IF(A2060="","",SUMIF(RATEIOS!$A$2:$A$3142,$A2060,RATEIOS!$F$2:$F$3142))</f>
        <v/>
      </c>
      <c r="P2060" s="15" t="str">
        <f t="shared" si="66"/>
        <v/>
      </c>
      <c r="Q2060" s="49" t="str">
        <f>IF(AND(J2060=0,K2060=0,L2060=0,M2060=0),"",IF(O2060=0,"PENDENTE DE RATEIO",IF(ABS(P2060)&gt;0.005,"DIVERGÊNCIA",IF(COUNTIF(RATEIOS!$A$2:$A$3142,$A2060)-COUNTIFS(RATEIOS!$A$2:$A$3142,$A2060,RATEIOS!$D$2:$D$3142,"&lt;&gt;")&gt;0,"NÃO CLASSIFICADO","RATEIO OK"))))</f>
        <v/>
      </c>
      <c r="R2060" s="49"/>
      <c r="S2060" s="14"/>
    </row>
    <row r="2061" spans="1:19" ht="30" customHeight="1" x14ac:dyDescent="0.25">
      <c r="A2061" s="49" t="str">
        <f>IF(C2061="","","BAN-02060")</f>
        <v/>
      </c>
      <c r="B2061" s="98" t="str">
        <f>IF(C2061="","",2060)</f>
        <v/>
      </c>
      <c r="C2061" s="50"/>
      <c r="D2061" s="49" t="str">
        <f t="shared" si="65"/>
        <v/>
      </c>
      <c r="E2061" s="92"/>
      <c r="F2061" s="49"/>
      <c r="G2061" s="14"/>
      <c r="H2061" s="14"/>
      <c r="I2061" s="76"/>
      <c r="J2061" s="73"/>
      <c r="K2061" s="74"/>
      <c r="L2061" s="72"/>
      <c r="M2061" s="72"/>
      <c r="N2061" s="72" t="str">
        <f>IF(AND(C2061="",J2061=0,K2061=0,L2061=0,M2061=0),"",CADASTROS!$B$4+SUM($J$2:J2061)+SUM($M$2:M2061)-SUM($K$2:K2061)-SUM($L$2:L2061))</f>
        <v/>
      </c>
      <c r="O2061" s="72" t="str">
        <f>IF(A2061="","",SUMIF(RATEIOS!$A$2:$A$3142,$A2061,RATEIOS!$F$2:$F$3142))</f>
        <v/>
      </c>
      <c r="P2061" s="15" t="str">
        <f t="shared" si="66"/>
        <v/>
      </c>
      <c r="Q2061" s="49" t="str">
        <f>IF(AND(J2061=0,K2061=0,L2061=0,M2061=0),"",IF(O2061=0,"PENDENTE DE RATEIO",IF(ABS(P2061)&gt;0.005,"DIVERGÊNCIA",IF(COUNTIF(RATEIOS!$A$2:$A$3142,$A2061)-COUNTIFS(RATEIOS!$A$2:$A$3142,$A2061,RATEIOS!$D$2:$D$3142,"&lt;&gt;")&gt;0,"NÃO CLASSIFICADO","RATEIO OK"))))</f>
        <v/>
      </c>
      <c r="R2061" s="49"/>
      <c r="S2061" s="14"/>
    </row>
    <row r="2062" spans="1:19" ht="30" customHeight="1" x14ac:dyDescent="0.25">
      <c r="A2062" s="49" t="str">
        <f>IF(C2062="","","BAN-02061")</f>
        <v/>
      </c>
      <c r="B2062" s="98" t="str">
        <f>IF(C2062="","",2061)</f>
        <v/>
      </c>
      <c r="C2062" s="50"/>
      <c r="D2062" s="49" t="str">
        <f t="shared" si="65"/>
        <v/>
      </c>
      <c r="E2062" s="92"/>
      <c r="F2062" s="49"/>
      <c r="G2062" s="14"/>
      <c r="H2062" s="14"/>
      <c r="I2062" s="76"/>
      <c r="J2062" s="73"/>
      <c r="K2062" s="74"/>
      <c r="L2062" s="72"/>
      <c r="M2062" s="72"/>
      <c r="N2062" s="72" t="str">
        <f>IF(AND(C2062="",J2062=0,K2062=0,L2062=0,M2062=0),"",CADASTROS!$B$4+SUM($J$2:J2062)+SUM($M$2:M2062)-SUM($K$2:K2062)-SUM($L$2:L2062))</f>
        <v/>
      </c>
      <c r="O2062" s="72" t="str">
        <f>IF(A2062="","",SUMIF(RATEIOS!$A$2:$A$3142,$A2062,RATEIOS!$F$2:$F$3142))</f>
        <v/>
      </c>
      <c r="P2062" s="15" t="str">
        <f t="shared" si="66"/>
        <v/>
      </c>
      <c r="Q2062" s="49" t="str">
        <f>IF(AND(J2062=0,K2062=0,L2062=0,M2062=0),"",IF(O2062=0,"PENDENTE DE RATEIO",IF(ABS(P2062)&gt;0.005,"DIVERGÊNCIA",IF(COUNTIF(RATEIOS!$A$2:$A$3142,$A2062)-COUNTIFS(RATEIOS!$A$2:$A$3142,$A2062,RATEIOS!$D$2:$D$3142,"&lt;&gt;")&gt;0,"NÃO CLASSIFICADO","RATEIO OK"))))</f>
        <v/>
      </c>
      <c r="R2062" s="49"/>
      <c r="S2062" s="14"/>
    </row>
    <row r="2063" spans="1:19" ht="30" customHeight="1" x14ac:dyDescent="0.25">
      <c r="A2063" s="49" t="str">
        <f>IF(C2063="","","BAN-02062")</f>
        <v/>
      </c>
      <c r="B2063" s="98" t="str">
        <f>IF(C2063="","",2062)</f>
        <v/>
      </c>
      <c r="C2063" s="50"/>
      <c r="D2063" s="49" t="str">
        <f t="shared" si="65"/>
        <v/>
      </c>
      <c r="E2063" s="92"/>
      <c r="F2063" s="49"/>
      <c r="G2063" s="14"/>
      <c r="H2063" s="14"/>
      <c r="I2063" s="76"/>
      <c r="J2063" s="73"/>
      <c r="K2063" s="74"/>
      <c r="L2063" s="72"/>
      <c r="M2063" s="72"/>
      <c r="N2063" s="72" t="str">
        <f>IF(AND(C2063="",J2063=0,K2063=0,L2063=0,M2063=0),"",CADASTROS!$B$4+SUM($J$2:J2063)+SUM($M$2:M2063)-SUM($K$2:K2063)-SUM($L$2:L2063))</f>
        <v/>
      </c>
      <c r="O2063" s="72" t="str">
        <f>IF(A2063="","",SUMIF(RATEIOS!$A$2:$A$3142,$A2063,RATEIOS!$F$2:$F$3142))</f>
        <v/>
      </c>
      <c r="P2063" s="15" t="str">
        <f t="shared" si="66"/>
        <v/>
      </c>
      <c r="Q2063" s="49" t="str">
        <f>IF(AND(J2063=0,K2063=0,L2063=0,M2063=0),"",IF(O2063=0,"PENDENTE DE RATEIO",IF(ABS(P2063)&gt;0.005,"DIVERGÊNCIA",IF(COUNTIF(RATEIOS!$A$2:$A$3142,$A2063)-COUNTIFS(RATEIOS!$A$2:$A$3142,$A2063,RATEIOS!$D$2:$D$3142,"&lt;&gt;")&gt;0,"NÃO CLASSIFICADO","RATEIO OK"))))</f>
        <v/>
      </c>
      <c r="R2063" s="49"/>
      <c r="S2063" s="14"/>
    </row>
    <row r="2064" spans="1:19" ht="30" customHeight="1" x14ac:dyDescent="0.25">
      <c r="A2064" s="49" t="str">
        <f>IF(C2064="","","BAN-02063")</f>
        <v/>
      </c>
      <c r="B2064" s="98" t="str">
        <f>IF(C2064="","",2063)</f>
        <v/>
      </c>
      <c r="C2064" s="50"/>
      <c r="D2064" s="49" t="str">
        <f t="shared" si="65"/>
        <v/>
      </c>
      <c r="E2064" s="92"/>
      <c r="F2064" s="49"/>
      <c r="G2064" s="14"/>
      <c r="H2064" s="14"/>
      <c r="I2064" s="76"/>
      <c r="J2064" s="73"/>
      <c r="K2064" s="74"/>
      <c r="L2064" s="72"/>
      <c r="M2064" s="72"/>
      <c r="N2064" s="72" t="str">
        <f>IF(AND(C2064="",J2064=0,K2064=0,L2064=0,M2064=0),"",CADASTROS!$B$4+SUM($J$2:J2064)+SUM($M$2:M2064)-SUM($K$2:K2064)-SUM($L$2:L2064))</f>
        <v/>
      </c>
      <c r="O2064" s="72" t="str">
        <f>IF(A2064="","",SUMIF(RATEIOS!$A$2:$A$3142,$A2064,RATEIOS!$F$2:$F$3142))</f>
        <v/>
      </c>
      <c r="P2064" s="15" t="str">
        <f t="shared" si="66"/>
        <v/>
      </c>
      <c r="Q2064" s="49" t="str">
        <f>IF(AND(J2064=0,K2064=0,L2064=0,M2064=0),"",IF(O2064=0,"PENDENTE DE RATEIO",IF(ABS(P2064)&gt;0.005,"DIVERGÊNCIA",IF(COUNTIF(RATEIOS!$A$2:$A$3142,$A2064)-COUNTIFS(RATEIOS!$A$2:$A$3142,$A2064,RATEIOS!$D$2:$D$3142,"&lt;&gt;")&gt;0,"NÃO CLASSIFICADO","RATEIO OK"))))</f>
        <v/>
      </c>
      <c r="R2064" s="49"/>
      <c r="S2064" s="14"/>
    </row>
    <row r="2065" spans="1:19" ht="30" customHeight="1" x14ac:dyDescent="0.25">
      <c r="A2065" s="49" t="str">
        <f>IF(C2065="","","BAN-02064")</f>
        <v/>
      </c>
      <c r="B2065" s="98" t="str">
        <f>IF(C2065="","",2064)</f>
        <v/>
      </c>
      <c r="C2065" s="50"/>
      <c r="D2065" s="49" t="str">
        <f t="shared" si="65"/>
        <v/>
      </c>
      <c r="E2065" s="92"/>
      <c r="F2065" s="49"/>
      <c r="G2065" s="14"/>
      <c r="H2065" s="14"/>
      <c r="I2065" s="76"/>
      <c r="J2065" s="73"/>
      <c r="K2065" s="74"/>
      <c r="L2065" s="72"/>
      <c r="M2065" s="72"/>
      <c r="N2065" s="72" t="str">
        <f>IF(AND(C2065="",J2065=0,K2065=0,L2065=0,M2065=0),"",CADASTROS!$B$4+SUM($J$2:J2065)+SUM($M$2:M2065)-SUM($K$2:K2065)-SUM($L$2:L2065))</f>
        <v/>
      </c>
      <c r="O2065" s="72" t="str">
        <f>IF(A2065="","",SUMIF(RATEIOS!$A$2:$A$3142,$A2065,RATEIOS!$F$2:$F$3142))</f>
        <v/>
      </c>
      <c r="P2065" s="15" t="str">
        <f t="shared" si="66"/>
        <v/>
      </c>
      <c r="Q2065" s="49" t="str">
        <f>IF(AND(J2065=0,K2065=0,L2065=0,M2065=0),"",IF(O2065=0,"PENDENTE DE RATEIO",IF(ABS(P2065)&gt;0.005,"DIVERGÊNCIA",IF(COUNTIF(RATEIOS!$A$2:$A$3142,$A2065)-COUNTIFS(RATEIOS!$A$2:$A$3142,$A2065,RATEIOS!$D$2:$D$3142,"&lt;&gt;")&gt;0,"NÃO CLASSIFICADO","RATEIO OK"))))</f>
        <v/>
      </c>
      <c r="R2065" s="49"/>
      <c r="S2065" s="14"/>
    </row>
    <row r="2066" spans="1:19" ht="30" customHeight="1" x14ac:dyDescent="0.25">
      <c r="A2066" s="49" t="str">
        <f>IF(C2066="","","BAN-02065")</f>
        <v/>
      </c>
      <c r="B2066" s="98" t="str">
        <f>IF(C2066="","",2065)</f>
        <v/>
      </c>
      <c r="C2066" s="50"/>
      <c r="D2066" s="49" t="str">
        <f t="shared" si="65"/>
        <v/>
      </c>
      <c r="E2066" s="92"/>
      <c r="F2066" s="49"/>
      <c r="G2066" s="14"/>
      <c r="H2066" s="14"/>
      <c r="I2066" s="76"/>
      <c r="J2066" s="73"/>
      <c r="K2066" s="74"/>
      <c r="L2066" s="72"/>
      <c r="M2066" s="72"/>
      <c r="N2066" s="72" t="str">
        <f>IF(AND(C2066="",J2066=0,K2066=0,L2066=0,M2066=0),"",CADASTROS!$B$4+SUM($J$2:J2066)+SUM($M$2:M2066)-SUM($K$2:K2066)-SUM($L$2:L2066))</f>
        <v/>
      </c>
      <c r="O2066" s="72" t="str">
        <f>IF(A2066="","",SUMIF(RATEIOS!$A$2:$A$3142,$A2066,RATEIOS!$F$2:$F$3142))</f>
        <v/>
      </c>
      <c r="P2066" s="15" t="str">
        <f t="shared" si="66"/>
        <v/>
      </c>
      <c r="Q2066" s="49" t="str">
        <f>IF(AND(J2066=0,K2066=0,L2066=0,M2066=0),"",IF(O2066=0,"PENDENTE DE RATEIO",IF(ABS(P2066)&gt;0.005,"DIVERGÊNCIA",IF(COUNTIF(RATEIOS!$A$2:$A$3142,$A2066)-COUNTIFS(RATEIOS!$A$2:$A$3142,$A2066,RATEIOS!$D$2:$D$3142,"&lt;&gt;")&gt;0,"NÃO CLASSIFICADO","RATEIO OK"))))</f>
        <v/>
      </c>
      <c r="R2066" s="49"/>
      <c r="S2066" s="14"/>
    </row>
    <row r="2067" spans="1:19" ht="30" customHeight="1" x14ac:dyDescent="0.25">
      <c r="A2067" s="49" t="str">
        <f>IF(C2067="","","BAN-02066")</f>
        <v/>
      </c>
      <c r="B2067" s="98" t="str">
        <f>IF(C2067="","",2066)</f>
        <v/>
      </c>
      <c r="C2067" s="50"/>
      <c r="D2067" s="49" t="str">
        <f t="shared" si="65"/>
        <v/>
      </c>
      <c r="E2067" s="92"/>
      <c r="F2067" s="49"/>
      <c r="G2067" s="14"/>
      <c r="H2067" s="14"/>
      <c r="I2067" s="76"/>
      <c r="J2067" s="73"/>
      <c r="K2067" s="74"/>
      <c r="L2067" s="72"/>
      <c r="M2067" s="72"/>
      <c r="N2067" s="72" t="str">
        <f>IF(AND(C2067="",J2067=0,K2067=0,L2067=0,M2067=0),"",CADASTROS!$B$4+SUM($J$2:J2067)+SUM($M$2:M2067)-SUM($K$2:K2067)-SUM($L$2:L2067))</f>
        <v/>
      </c>
      <c r="O2067" s="72" t="str">
        <f>IF(A2067="","",SUMIF(RATEIOS!$A$2:$A$3142,$A2067,RATEIOS!$F$2:$F$3142))</f>
        <v/>
      </c>
      <c r="P2067" s="15" t="str">
        <f t="shared" si="66"/>
        <v/>
      </c>
      <c r="Q2067" s="49" t="str">
        <f>IF(AND(J2067=0,K2067=0,L2067=0,M2067=0),"",IF(O2067=0,"PENDENTE DE RATEIO",IF(ABS(P2067)&gt;0.005,"DIVERGÊNCIA",IF(COUNTIF(RATEIOS!$A$2:$A$3142,$A2067)-COUNTIFS(RATEIOS!$A$2:$A$3142,$A2067,RATEIOS!$D$2:$D$3142,"&lt;&gt;")&gt;0,"NÃO CLASSIFICADO","RATEIO OK"))))</f>
        <v/>
      </c>
      <c r="R2067" s="49"/>
      <c r="S2067" s="14"/>
    </row>
    <row r="2068" spans="1:19" ht="30" customHeight="1" x14ac:dyDescent="0.25">
      <c r="A2068" s="49" t="str">
        <f>IF(C2068="","","BAN-02067")</f>
        <v/>
      </c>
      <c r="B2068" s="98" t="str">
        <f>IF(C2068="","",2067)</f>
        <v/>
      </c>
      <c r="C2068" s="50"/>
      <c r="D2068" s="49" t="str">
        <f t="shared" si="65"/>
        <v/>
      </c>
      <c r="E2068" s="92"/>
      <c r="F2068" s="49"/>
      <c r="G2068" s="14"/>
      <c r="H2068" s="14"/>
      <c r="I2068" s="76"/>
      <c r="J2068" s="73"/>
      <c r="K2068" s="74"/>
      <c r="L2068" s="72"/>
      <c r="M2068" s="72"/>
      <c r="N2068" s="72" t="str">
        <f>IF(AND(C2068="",J2068=0,K2068=0,L2068=0,M2068=0),"",CADASTROS!$B$4+SUM($J$2:J2068)+SUM($M$2:M2068)-SUM($K$2:K2068)-SUM($L$2:L2068))</f>
        <v/>
      </c>
      <c r="O2068" s="72" t="str">
        <f>IF(A2068="","",SUMIF(RATEIOS!$A$2:$A$3142,$A2068,RATEIOS!$F$2:$F$3142))</f>
        <v/>
      </c>
      <c r="P2068" s="15" t="str">
        <f t="shared" si="66"/>
        <v/>
      </c>
      <c r="Q2068" s="49" t="str">
        <f>IF(AND(J2068=0,K2068=0,L2068=0,M2068=0),"",IF(O2068=0,"PENDENTE DE RATEIO",IF(ABS(P2068)&gt;0.005,"DIVERGÊNCIA",IF(COUNTIF(RATEIOS!$A$2:$A$3142,$A2068)-COUNTIFS(RATEIOS!$A$2:$A$3142,$A2068,RATEIOS!$D$2:$D$3142,"&lt;&gt;")&gt;0,"NÃO CLASSIFICADO","RATEIO OK"))))</f>
        <v/>
      </c>
      <c r="R2068" s="49"/>
      <c r="S2068" s="14"/>
    </row>
    <row r="2069" spans="1:19" ht="30" customHeight="1" x14ac:dyDescent="0.25">
      <c r="A2069" s="49" t="str">
        <f>IF(C2069="","","BAN-02068")</f>
        <v/>
      </c>
      <c r="B2069" s="98" t="str">
        <f>IF(C2069="","",2068)</f>
        <v/>
      </c>
      <c r="C2069" s="50"/>
      <c r="D2069" s="49" t="str">
        <f t="shared" si="65"/>
        <v/>
      </c>
      <c r="E2069" s="92"/>
      <c r="F2069" s="49"/>
      <c r="G2069" s="14"/>
      <c r="H2069" s="14"/>
      <c r="I2069" s="76"/>
      <c r="J2069" s="73"/>
      <c r="K2069" s="74"/>
      <c r="L2069" s="72"/>
      <c r="M2069" s="72"/>
      <c r="N2069" s="72" t="str">
        <f>IF(AND(C2069="",J2069=0,K2069=0,L2069=0,M2069=0),"",CADASTROS!$B$4+SUM($J$2:J2069)+SUM($M$2:M2069)-SUM($K$2:K2069)-SUM($L$2:L2069))</f>
        <v/>
      </c>
      <c r="O2069" s="72" t="str">
        <f>IF(A2069="","",SUMIF(RATEIOS!$A$2:$A$3142,$A2069,RATEIOS!$F$2:$F$3142))</f>
        <v/>
      </c>
      <c r="P2069" s="15" t="str">
        <f t="shared" si="66"/>
        <v/>
      </c>
      <c r="Q2069" s="49" t="str">
        <f>IF(AND(J2069=0,K2069=0,L2069=0,M2069=0),"",IF(O2069=0,"PENDENTE DE RATEIO",IF(ABS(P2069)&gt;0.005,"DIVERGÊNCIA",IF(COUNTIF(RATEIOS!$A$2:$A$3142,$A2069)-COUNTIFS(RATEIOS!$A$2:$A$3142,$A2069,RATEIOS!$D$2:$D$3142,"&lt;&gt;")&gt;0,"NÃO CLASSIFICADO","RATEIO OK"))))</f>
        <v/>
      </c>
      <c r="R2069" s="49"/>
      <c r="S2069" s="14"/>
    </row>
    <row r="2070" spans="1:19" ht="30" customHeight="1" x14ac:dyDescent="0.25">
      <c r="A2070" s="49" t="str">
        <f>IF(C2070="","","BAN-02069")</f>
        <v/>
      </c>
      <c r="B2070" s="98" t="str">
        <f>IF(C2070="","",2069)</f>
        <v/>
      </c>
      <c r="C2070" s="50"/>
      <c r="D2070" s="49" t="str">
        <f t="shared" si="65"/>
        <v/>
      </c>
      <c r="E2070" s="92"/>
      <c r="F2070" s="49"/>
      <c r="G2070" s="14"/>
      <c r="H2070" s="14"/>
      <c r="I2070" s="76"/>
      <c r="J2070" s="73"/>
      <c r="K2070" s="74"/>
      <c r="L2070" s="72"/>
      <c r="M2070" s="72"/>
      <c r="N2070" s="72" t="str">
        <f>IF(AND(C2070="",J2070=0,K2070=0,L2070=0,M2070=0),"",CADASTROS!$B$4+SUM($J$2:J2070)+SUM($M$2:M2070)-SUM($K$2:K2070)-SUM($L$2:L2070))</f>
        <v/>
      </c>
      <c r="O2070" s="72" t="str">
        <f>IF(A2070="","",SUMIF(RATEIOS!$A$2:$A$3142,$A2070,RATEIOS!$F$2:$F$3142))</f>
        <v/>
      </c>
      <c r="P2070" s="15" t="str">
        <f t="shared" si="66"/>
        <v/>
      </c>
      <c r="Q2070" s="49" t="str">
        <f>IF(AND(J2070=0,K2070=0,L2070=0,M2070=0),"",IF(O2070=0,"PENDENTE DE RATEIO",IF(ABS(P2070)&gt;0.005,"DIVERGÊNCIA",IF(COUNTIF(RATEIOS!$A$2:$A$3142,$A2070)-COUNTIFS(RATEIOS!$A$2:$A$3142,$A2070,RATEIOS!$D$2:$D$3142,"&lt;&gt;")&gt;0,"NÃO CLASSIFICADO","RATEIO OK"))))</f>
        <v/>
      </c>
      <c r="R2070" s="49"/>
      <c r="S2070" s="14"/>
    </row>
    <row r="2071" spans="1:19" ht="30" customHeight="1" x14ac:dyDescent="0.25">
      <c r="A2071" s="49" t="str">
        <f>IF(C2071="","","BAN-02070")</f>
        <v/>
      </c>
      <c r="B2071" s="98" t="str">
        <f>IF(C2071="","",2070)</f>
        <v/>
      </c>
      <c r="C2071" s="50"/>
      <c r="D2071" s="49" t="str">
        <f t="shared" si="65"/>
        <v/>
      </c>
      <c r="E2071" s="92"/>
      <c r="F2071" s="49"/>
      <c r="G2071" s="14"/>
      <c r="H2071" s="14"/>
      <c r="I2071" s="76"/>
      <c r="J2071" s="73"/>
      <c r="K2071" s="74"/>
      <c r="L2071" s="72"/>
      <c r="M2071" s="72"/>
      <c r="N2071" s="72" t="str">
        <f>IF(AND(C2071="",J2071=0,K2071=0,L2071=0,M2071=0),"",CADASTROS!$B$4+SUM($J$2:J2071)+SUM($M$2:M2071)-SUM($K$2:K2071)-SUM($L$2:L2071))</f>
        <v/>
      </c>
      <c r="O2071" s="72" t="str">
        <f>IF(A2071="","",SUMIF(RATEIOS!$A$2:$A$3142,$A2071,RATEIOS!$F$2:$F$3142))</f>
        <v/>
      </c>
      <c r="P2071" s="15" t="str">
        <f t="shared" si="66"/>
        <v/>
      </c>
      <c r="Q2071" s="49" t="str">
        <f>IF(AND(J2071=0,K2071=0,L2071=0,M2071=0),"",IF(O2071=0,"PENDENTE DE RATEIO",IF(ABS(P2071)&gt;0.005,"DIVERGÊNCIA",IF(COUNTIF(RATEIOS!$A$2:$A$3142,$A2071)-COUNTIFS(RATEIOS!$A$2:$A$3142,$A2071,RATEIOS!$D$2:$D$3142,"&lt;&gt;")&gt;0,"NÃO CLASSIFICADO","RATEIO OK"))))</f>
        <v/>
      </c>
      <c r="R2071" s="49"/>
      <c r="S2071" s="14"/>
    </row>
    <row r="2072" spans="1:19" ht="30" customHeight="1" x14ac:dyDescent="0.25">
      <c r="A2072" s="49" t="str">
        <f>IF(C2072="","","BAN-02071")</f>
        <v/>
      </c>
      <c r="B2072" s="98" t="str">
        <f>IF(C2072="","",2071)</f>
        <v/>
      </c>
      <c r="C2072" s="50"/>
      <c r="D2072" s="49" t="str">
        <f t="shared" si="65"/>
        <v/>
      </c>
      <c r="E2072" s="92"/>
      <c r="F2072" s="49"/>
      <c r="G2072" s="14"/>
      <c r="H2072" s="14"/>
      <c r="I2072" s="76"/>
      <c r="J2072" s="73"/>
      <c r="K2072" s="74"/>
      <c r="L2072" s="72"/>
      <c r="M2072" s="72"/>
      <c r="N2072" s="72" t="str">
        <f>IF(AND(C2072="",J2072=0,K2072=0,L2072=0,M2072=0),"",CADASTROS!$B$4+SUM($J$2:J2072)+SUM($M$2:M2072)-SUM($K$2:K2072)-SUM($L$2:L2072))</f>
        <v/>
      </c>
      <c r="O2072" s="72" t="str">
        <f>IF(A2072="","",SUMIF(RATEIOS!$A$2:$A$3142,$A2072,RATEIOS!$F$2:$F$3142))</f>
        <v/>
      </c>
      <c r="P2072" s="15" t="str">
        <f t="shared" si="66"/>
        <v/>
      </c>
      <c r="Q2072" s="49" t="str">
        <f>IF(AND(J2072=0,K2072=0,L2072=0,M2072=0),"",IF(O2072=0,"PENDENTE DE RATEIO",IF(ABS(P2072)&gt;0.005,"DIVERGÊNCIA",IF(COUNTIF(RATEIOS!$A$2:$A$3142,$A2072)-COUNTIFS(RATEIOS!$A$2:$A$3142,$A2072,RATEIOS!$D$2:$D$3142,"&lt;&gt;")&gt;0,"NÃO CLASSIFICADO","RATEIO OK"))))</f>
        <v/>
      </c>
      <c r="R2072" s="49"/>
      <c r="S2072" s="14"/>
    </row>
    <row r="2073" spans="1:19" ht="30" customHeight="1" x14ac:dyDescent="0.25">
      <c r="A2073" s="49" t="str">
        <f>IF(C2073="","","BAN-02072")</f>
        <v/>
      </c>
      <c r="B2073" s="98" t="str">
        <f>IF(C2073="","",2072)</f>
        <v/>
      </c>
      <c r="C2073" s="50"/>
      <c r="D2073" s="49" t="str">
        <f t="shared" si="65"/>
        <v/>
      </c>
      <c r="E2073" s="92"/>
      <c r="F2073" s="49"/>
      <c r="G2073" s="14"/>
      <c r="H2073" s="14"/>
      <c r="I2073" s="76"/>
      <c r="J2073" s="73"/>
      <c r="K2073" s="74"/>
      <c r="L2073" s="72"/>
      <c r="M2073" s="72"/>
      <c r="N2073" s="72" t="str">
        <f>IF(AND(C2073="",J2073=0,K2073=0,L2073=0,M2073=0),"",CADASTROS!$B$4+SUM($J$2:J2073)+SUM($M$2:M2073)-SUM($K$2:K2073)-SUM($L$2:L2073))</f>
        <v/>
      </c>
      <c r="O2073" s="72" t="str">
        <f>IF(A2073="","",SUMIF(RATEIOS!$A$2:$A$3142,$A2073,RATEIOS!$F$2:$F$3142))</f>
        <v/>
      </c>
      <c r="P2073" s="15" t="str">
        <f t="shared" si="66"/>
        <v/>
      </c>
      <c r="Q2073" s="49" t="str">
        <f>IF(AND(J2073=0,K2073=0,L2073=0,M2073=0),"",IF(O2073=0,"PENDENTE DE RATEIO",IF(ABS(P2073)&gt;0.005,"DIVERGÊNCIA",IF(COUNTIF(RATEIOS!$A$2:$A$3142,$A2073)-COUNTIFS(RATEIOS!$A$2:$A$3142,$A2073,RATEIOS!$D$2:$D$3142,"&lt;&gt;")&gt;0,"NÃO CLASSIFICADO","RATEIO OK"))))</f>
        <v/>
      </c>
      <c r="R2073" s="49"/>
      <c r="S2073" s="14"/>
    </row>
    <row r="2074" spans="1:19" ht="30" customHeight="1" x14ac:dyDescent="0.25">
      <c r="A2074" s="49" t="str">
        <f>IF(C2074="","","BAN-02073")</f>
        <v/>
      </c>
      <c r="B2074" s="98" t="str">
        <f>IF(C2074="","",2073)</f>
        <v/>
      </c>
      <c r="C2074" s="50"/>
      <c r="D2074" s="49" t="str">
        <f t="shared" si="65"/>
        <v/>
      </c>
      <c r="E2074" s="92"/>
      <c r="F2074" s="49"/>
      <c r="G2074" s="14"/>
      <c r="H2074" s="14"/>
      <c r="I2074" s="76"/>
      <c r="J2074" s="73"/>
      <c r="K2074" s="74"/>
      <c r="L2074" s="72"/>
      <c r="M2074" s="72"/>
      <c r="N2074" s="72" t="str">
        <f>IF(AND(C2074="",J2074=0,K2074=0,L2074=0,M2074=0),"",CADASTROS!$B$4+SUM($J$2:J2074)+SUM($M$2:M2074)-SUM($K$2:K2074)-SUM($L$2:L2074))</f>
        <v/>
      </c>
      <c r="O2074" s="72" t="str">
        <f>IF(A2074="","",SUMIF(RATEIOS!$A$2:$A$3142,$A2074,RATEIOS!$F$2:$F$3142))</f>
        <v/>
      </c>
      <c r="P2074" s="15" t="str">
        <f t="shared" si="66"/>
        <v/>
      </c>
      <c r="Q2074" s="49" t="str">
        <f>IF(AND(J2074=0,K2074=0,L2074=0,M2074=0),"",IF(O2074=0,"PENDENTE DE RATEIO",IF(ABS(P2074)&gt;0.005,"DIVERGÊNCIA",IF(COUNTIF(RATEIOS!$A$2:$A$3142,$A2074)-COUNTIFS(RATEIOS!$A$2:$A$3142,$A2074,RATEIOS!$D$2:$D$3142,"&lt;&gt;")&gt;0,"NÃO CLASSIFICADO","RATEIO OK"))))</f>
        <v/>
      </c>
      <c r="R2074" s="49"/>
      <c r="S2074" s="14"/>
    </row>
    <row r="2075" spans="1:19" ht="30" customHeight="1" x14ac:dyDescent="0.25">
      <c r="A2075" s="49" t="str">
        <f>IF(C2075="","","BAN-02074")</f>
        <v/>
      </c>
      <c r="B2075" s="98" t="str">
        <f>IF(C2075="","",2074)</f>
        <v/>
      </c>
      <c r="C2075" s="50"/>
      <c r="D2075" s="49" t="str">
        <f t="shared" si="65"/>
        <v/>
      </c>
      <c r="E2075" s="92"/>
      <c r="F2075" s="49"/>
      <c r="G2075" s="14"/>
      <c r="H2075" s="14"/>
      <c r="I2075" s="76"/>
      <c r="J2075" s="73"/>
      <c r="K2075" s="74"/>
      <c r="L2075" s="72"/>
      <c r="M2075" s="72"/>
      <c r="N2075" s="72" t="str">
        <f>IF(AND(C2075="",J2075=0,K2075=0,L2075=0,M2075=0),"",CADASTROS!$B$4+SUM($J$2:J2075)+SUM($M$2:M2075)-SUM($K$2:K2075)-SUM($L$2:L2075))</f>
        <v/>
      </c>
      <c r="O2075" s="72" t="str">
        <f>IF(A2075="","",SUMIF(RATEIOS!$A$2:$A$3142,$A2075,RATEIOS!$F$2:$F$3142))</f>
        <v/>
      </c>
      <c r="P2075" s="15" t="str">
        <f t="shared" si="66"/>
        <v/>
      </c>
      <c r="Q2075" s="49" t="str">
        <f>IF(AND(J2075=0,K2075=0,L2075=0,M2075=0),"",IF(O2075=0,"PENDENTE DE RATEIO",IF(ABS(P2075)&gt;0.005,"DIVERGÊNCIA",IF(COUNTIF(RATEIOS!$A$2:$A$3142,$A2075)-COUNTIFS(RATEIOS!$A$2:$A$3142,$A2075,RATEIOS!$D$2:$D$3142,"&lt;&gt;")&gt;0,"NÃO CLASSIFICADO","RATEIO OK"))))</f>
        <v/>
      </c>
      <c r="R2075" s="49"/>
      <c r="S2075" s="14"/>
    </row>
    <row r="2076" spans="1:19" ht="30" customHeight="1" x14ac:dyDescent="0.25">
      <c r="A2076" s="49" t="str">
        <f>IF(C2076="","","BAN-02075")</f>
        <v/>
      </c>
      <c r="B2076" s="98" t="str">
        <f>IF(C2076="","",2075)</f>
        <v/>
      </c>
      <c r="C2076" s="50"/>
      <c r="D2076" s="49" t="str">
        <f t="shared" si="65"/>
        <v/>
      </c>
      <c r="E2076" s="92"/>
      <c r="F2076" s="49"/>
      <c r="G2076" s="14"/>
      <c r="H2076" s="14"/>
      <c r="I2076" s="76"/>
      <c r="J2076" s="73"/>
      <c r="K2076" s="74"/>
      <c r="L2076" s="72"/>
      <c r="M2076" s="72"/>
      <c r="N2076" s="72" t="str">
        <f>IF(AND(C2076="",J2076=0,K2076=0,L2076=0,M2076=0),"",CADASTROS!$B$4+SUM($J$2:J2076)+SUM($M$2:M2076)-SUM($K$2:K2076)-SUM($L$2:L2076))</f>
        <v/>
      </c>
      <c r="O2076" s="72" t="str">
        <f>IF(A2076="","",SUMIF(RATEIOS!$A$2:$A$3142,$A2076,RATEIOS!$F$2:$F$3142))</f>
        <v/>
      </c>
      <c r="P2076" s="15" t="str">
        <f t="shared" si="66"/>
        <v/>
      </c>
      <c r="Q2076" s="49" t="str">
        <f>IF(AND(J2076=0,K2076=0,L2076=0,M2076=0),"",IF(O2076=0,"PENDENTE DE RATEIO",IF(ABS(P2076)&gt;0.005,"DIVERGÊNCIA",IF(COUNTIF(RATEIOS!$A$2:$A$3142,$A2076)-COUNTIFS(RATEIOS!$A$2:$A$3142,$A2076,RATEIOS!$D$2:$D$3142,"&lt;&gt;")&gt;0,"NÃO CLASSIFICADO","RATEIO OK"))))</f>
        <v/>
      </c>
      <c r="R2076" s="49"/>
      <c r="S2076" s="14"/>
    </row>
    <row r="2077" spans="1:19" ht="30" customHeight="1" x14ac:dyDescent="0.25">
      <c r="A2077" s="49" t="str">
        <f>IF(C2077="","","BAN-02076")</f>
        <v/>
      </c>
      <c r="B2077" s="98" t="str">
        <f>IF(C2077="","",2076)</f>
        <v/>
      </c>
      <c r="C2077" s="50"/>
      <c r="D2077" s="49" t="str">
        <f t="shared" si="65"/>
        <v/>
      </c>
      <c r="E2077" s="92"/>
      <c r="F2077" s="49"/>
      <c r="G2077" s="14"/>
      <c r="H2077" s="14"/>
      <c r="I2077" s="76"/>
      <c r="J2077" s="73"/>
      <c r="K2077" s="74"/>
      <c r="L2077" s="72"/>
      <c r="M2077" s="72"/>
      <c r="N2077" s="72" t="str">
        <f>IF(AND(C2077="",J2077=0,K2077=0,L2077=0,M2077=0),"",CADASTROS!$B$4+SUM($J$2:J2077)+SUM($M$2:M2077)-SUM($K$2:K2077)-SUM($L$2:L2077))</f>
        <v/>
      </c>
      <c r="O2077" s="72" t="str">
        <f>IF(A2077="","",SUMIF(RATEIOS!$A$2:$A$3142,$A2077,RATEIOS!$F$2:$F$3142))</f>
        <v/>
      </c>
      <c r="P2077" s="15" t="str">
        <f t="shared" si="66"/>
        <v/>
      </c>
      <c r="Q2077" s="49" t="str">
        <f>IF(AND(J2077=0,K2077=0,L2077=0,M2077=0),"",IF(O2077=0,"PENDENTE DE RATEIO",IF(ABS(P2077)&gt;0.005,"DIVERGÊNCIA",IF(COUNTIF(RATEIOS!$A$2:$A$3142,$A2077)-COUNTIFS(RATEIOS!$A$2:$A$3142,$A2077,RATEIOS!$D$2:$D$3142,"&lt;&gt;")&gt;0,"NÃO CLASSIFICADO","RATEIO OK"))))</f>
        <v/>
      </c>
      <c r="R2077" s="49"/>
      <c r="S2077" s="14"/>
    </row>
    <row r="2078" spans="1:19" ht="30" customHeight="1" x14ac:dyDescent="0.25">
      <c r="A2078" s="49" t="str">
        <f>IF(C2078="","","BAN-02077")</f>
        <v/>
      </c>
      <c r="B2078" s="98" t="str">
        <f>IF(C2078="","",2077)</f>
        <v/>
      </c>
      <c r="C2078" s="50"/>
      <c r="D2078" s="49" t="str">
        <f t="shared" si="65"/>
        <v/>
      </c>
      <c r="E2078" s="92"/>
      <c r="F2078" s="49"/>
      <c r="G2078" s="14"/>
      <c r="H2078" s="14"/>
      <c r="I2078" s="76"/>
      <c r="J2078" s="73"/>
      <c r="K2078" s="74"/>
      <c r="L2078" s="72"/>
      <c r="M2078" s="72"/>
      <c r="N2078" s="72" t="str">
        <f>IF(AND(C2078="",J2078=0,K2078=0,L2078=0,M2078=0),"",CADASTROS!$B$4+SUM($J$2:J2078)+SUM($M$2:M2078)-SUM($K$2:K2078)-SUM($L$2:L2078))</f>
        <v/>
      </c>
      <c r="O2078" s="72" t="str">
        <f>IF(A2078="","",SUMIF(RATEIOS!$A$2:$A$3142,$A2078,RATEIOS!$F$2:$F$3142))</f>
        <v/>
      </c>
      <c r="P2078" s="15" t="str">
        <f t="shared" si="66"/>
        <v/>
      </c>
      <c r="Q2078" s="49" t="str">
        <f>IF(AND(J2078=0,K2078=0,L2078=0,M2078=0),"",IF(O2078=0,"PENDENTE DE RATEIO",IF(ABS(P2078)&gt;0.005,"DIVERGÊNCIA",IF(COUNTIF(RATEIOS!$A$2:$A$3142,$A2078)-COUNTIFS(RATEIOS!$A$2:$A$3142,$A2078,RATEIOS!$D$2:$D$3142,"&lt;&gt;")&gt;0,"NÃO CLASSIFICADO","RATEIO OK"))))</f>
        <v/>
      </c>
      <c r="R2078" s="49"/>
      <c r="S2078" s="14"/>
    </row>
    <row r="2079" spans="1:19" ht="30" customHeight="1" x14ac:dyDescent="0.25">
      <c r="A2079" s="49" t="str">
        <f>IF(C2079="","","BAN-02078")</f>
        <v/>
      </c>
      <c r="B2079" s="98" t="str">
        <f>IF(C2079="","",2078)</f>
        <v/>
      </c>
      <c r="C2079" s="50"/>
      <c r="D2079" s="49" t="str">
        <f t="shared" si="65"/>
        <v/>
      </c>
      <c r="E2079" s="92"/>
      <c r="F2079" s="49"/>
      <c r="G2079" s="14"/>
      <c r="H2079" s="14"/>
      <c r="I2079" s="76"/>
      <c r="J2079" s="73"/>
      <c r="K2079" s="74"/>
      <c r="L2079" s="72"/>
      <c r="M2079" s="72"/>
      <c r="N2079" s="72" t="str">
        <f>IF(AND(C2079="",J2079=0,K2079=0,L2079=0,M2079=0),"",CADASTROS!$B$4+SUM($J$2:J2079)+SUM($M$2:M2079)-SUM($K$2:K2079)-SUM($L$2:L2079))</f>
        <v/>
      </c>
      <c r="O2079" s="72" t="str">
        <f>IF(A2079="","",SUMIF(RATEIOS!$A$2:$A$3142,$A2079,RATEIOS!$F$2:$F$3142))</f>
        <v/>
      </c>
      <c r="P2079" s="15" t="str">
        <f t="shared" si="66"/>
        <v/>
      </c>
      <c r="Q2079" s="49" t="str">
        <f>IF(AND(J2079=0,K2079=0,L2079=0,M2079=0),"",IF(O2079=0,"PENDENTE DE RATEIO",IF(ABS(P2079)&gt;0.005,"DIVERGÊNCIA",IF(COUNTIF(RATEIOS!$A$2:$A$3142,$A2079)-COUNTIFS(RATEIOS!$A$2:$A$3142,$A2079,RATEIOS!$D$2:$D$3142,"&lt;&gt;")&gt;0,"NÃO CLASSIFICADO","RATEIO OK"))))</f>
        <v/>
      </c>
      <c r="R2079" s="49"/>
      <c r="S2079" s="14"/>
    </row>
    <row r="2080" spans="1:19" ht="30" customHeight="1" x14ac:dyDescent="0.25">
      <c r="A2080" s="49" t="str">
        <f>IF(C2080="","","BAN-02079")</f>
        <v/>
      </c>
      <c r="B2080" s="98" t="str">
        <f>IF(C2080="","",2079)</f>
        <v/>
      </c>
      <c r="C2080" s="50"/>
      <c r="D2080" s="49" t="str">
        <f t="shared" si="65"/>
        <v/>
      </c>
      <c r="E2080" s="92"/>
      <c r="F2080" s="49"/>
      <c r="G2080" s="14"/>
      <c r="H2080" s="14"/>
      <c r="I2080" s="76"/>
      <c r="J2080" s="73"/>
      <c r="K2080" s="74"/>
      <c r="L2080" s="72"/>
      <c r="M2080" s="72"/>
      <c r="N2080" s="72" t="str">
        <f>IF(AND(C2080="",J2080=0,K2080=0,L2080=0,M2080=0),"",CADASTROS!$B$4+SUM($J$2:J2080)+SUM($M$2:M2080)-SUM($K$2:K2080)-SUM($L$2:L2080))</f>
        <v/>
      </c>
      <c r="O2080" s="72" t="str">
        <f>IF(A2080="","",SUMIF(RATEIOS!$A$2:$A$3142,$A2080,RATEIOS!$F$2:$F$3142))</f>
        <v/>
      </c>
      <c r="P2080" s="15" t="str">
        <f t="shared" si="66"/>
        <v/>
      </c>
      <c r="Q2080" s="49" t="str">
        <f>IF(AND(J2080=0,K2080=0,L2080=0,M2080=0),"",IF(O2080=0,"PENDENTE DE RATEIO",IF(ABS(P2080)&gt;0.005,"DIVERGÊNCIA",IF(COUNTIF(RATEIOS!$A$2:$A$3142,$A2080)-COUNTIFS(RATEIOS!$A$2:$A$3142,$A2080,RATEIOS!$D$2:$D$3142,"&lt;&gt;")&gt;0,"NÃO CLASSIFICADO","RATEIO OK"))))</f>
        <v/>
      </c>
      <c r="R2080" s="49"/>
      <c r="S2080" s="14"/>
    </row>
    <row r="2081" spans="1:19" ht="30" customHeight="1" x14ac:dyDescent="0.25">
      <c r="A2081" s="49" t="str">
        <f>IF(C2081="","","BAN-02080")</f>
        <v/>
      </c>
      <c r="B2081" s="98" t="str">
        <f>IF(C2081="","",2080)</f>
        <v/>
      </c>
      <c r="C2081" s="50"/>
      <c r="D2081" s="49" t="str">
        <f t="shared" si="65"/>
        <v/>
      </c>
      <c r="E2081" s="92"/>
      <c r="F2081" s="49"/>
      <c r="G2081" s="14"/>
      <c r="H2081" s="14"/>
      <c r="I2081" s="76"/>
      <c r="J2081" s="73"/>
      <c r="K2081" s="74"/>
      <c r="L2081" s="72"/>
      <c r="M2081" s="72"/>
      <c r="N2081" s="72" t="str">
        <f>IF(AND(C2081="",J2081=0,K2081=0,L2081=0,M2081=0),"",CADASTROS!$B$4+SUM($J$2:J2081)+SUM($M$2:M2081)-SUM($K$2:K2081)-SUM($L$2:L2081))</f>
        <v/>
      </c>
      <c r="O2081" s="72" t="str">
        <f>IF(A2081="","",SUMIF(RATEIOS!$A$2:$A$3142,$A2081,RATEIOS!$F$2:$F$3142))</f>
        <v/>
      </c>
      <c r="P2081" s="15" t="str">
        <f t="shared" si="66"/>
        <v/>
      </c>
      <c r="Q2081" s="49" t="str">
        <f>IF(AND(J2081=0,K2081=0,L2081=0,M2081=0),"",IF(O2081=0,"PENDENTE DE RATEIO",IF(ABS(P2081)&gt;0.005,"DIVERGÊNCIA",IF(COUNTIF(RATEIOS!$A$2:$A$3142,$A2081)-COUNTIFS(RATEIOS!$A$2:$A$3142,$A2081,RATEIOS!$D$2:$D$3142,"&lt;&gt;")&gt;0,"NÃO CLASSIFICADO","RATEIO OK"))))</f>
        <v/>
      </c>
      <c r="R2081" s="49"/>
      <c r="S2081" s="14"/>
    </row>
    <row r="2082" spans="1:19" ht="30" customHeight="1" x14ac:dyDescent="0.25">
      <c r="A2082" s="49" t="str">
        <f>IF(C2082="","","BAN-02081")</f>
        <v/>
      </c>
      <c r="B2082" s="98" t="str">
        <f>IF(C2082="","",2081)</f>
        <v/>
      </c>
      <c r="C2082" s="50"/>
      <c r="D2082" s="49" t="str">
        <f t="shared" si="65"/>
        <v/>
      </c>
      <c r="E2082" s="92"/>
      <c r="F2082" s="49"/>
      <c r="G2082" s="14"/>
      <c r="H2082" s="14"/>
      <c r="I2082" s="76"/>
      <c r="J2082" s="73"/>
      <c r="K2082" s="74"/>
      <c r="L2082" s="72"/>
      <c r="M2082" s="72"/>
      <c r="N2082" s="72" t="str">
        <f>IF(AND(C2082="",J2082=0,K2082=0,L2082=0,M2082=0),"",CADASTROS!$B$4+SUM($J$2:J2082)+SUM($M$2:M2082)-SUM($K$2:K2082)-SUM($L$2:L2082))</f>
        <v/>
      </c>
      <c r="O2082" s="72" t="str">
        <f>IF(A2082="","",SUMIF(RATEIOS!$A$2:$A$3142,$A2082,RATEIOS!$F$2:$F$3142))</f>
        <v/>
      </c>
      <c r="P2082" s="15" t="str">
        <f t="shared" si="66"/>
        <v/>
      </c>
      <c r="Q2082" s="49" t="str">
        <f>IF(AND(J2082=0,K2082=0,L2082=0,M2082=0),"",IF(O2082=0,"PENDENTE DE RATEIO",IF(ABS(P2082)&gt;0.005,"DIVERGÊNCIA",IF(COUNTIF(RATEIOS!$A$2:$A$3142,$A2082)-COUNTIFS(RATEIOS!$A$2:$A$3142,$A2082,RATEIOS!$D$2:$D$3142,"&lt;&gt;")&gt;0,"NÃO CLASSIFICADO","RATEIO OK"))))</f>
        <v/>
      </c>
      <c r="R2082" s="49"/>
      <c r="S2082" s="14"/>
    </row>
    <row r="2083" spans="1:19" ht="30" customHeight="1" x14ac:dyDescent="0.25">
      <c r="A2083" s="49" t="str">
        <f>IF(C2083="","","BAN-02082")</f>
        <v/>
      </c>
      <c r="B2083" s="98" t="str">
        <f>IF(C2083="","",2082)</f>
        <v/>
      </c>
      <c r="C2083" s="50"/>
      <c r="D2083" s="49" t="str">
        <f t="shared" si="65"/>
        <v/>
      </c>
      <c r="E2083" s="92"/>
      <c r="F2083" s="49"/>
      <c r="G2083" s="14"/>
      <c r="H2083" s="14"/>
      <c r="I2083" s="76"/>
      <c r="J2083" s="73"/>
      <c r="K2083" s="74"/>
      <c r="L2083" s="72"/>
      <c r="M2083" s="72"/>
      <c r="N2083" s="72" t="str">
        <f>IF(AND(C2083="",J2083=0,K2083=0,L2083=0,M2083=0),"",CADASTROS!$B$4+SUM($J$2:J2083)+SUM($M$2:M2083)-SUM($K$2:K2083)-SUM($L$2:L2083))</f>
        <v/>
      </c>
      <c r="O2083" s="72" t="str">
        <f>IF(A2083="","",SUMIF(RATEIOS!$A$2:$A$3142,$A2083,RATEIOS!$F$2:$F$3142))</f>
        <v/>
      </c>
      <c r="P2083" s="15" t="str">
        <f t="shared" si="66"/>
        <v/>
      </c>
      <c r="Q2083" s="49" t="str">
        <f>IF(AND(J2083=0,K2083=0,L2083=0,M2083=0),"",IF(O2083=0,"PENDENTE DE RATEIO",IF(ABS(P2083)&gt;0.005,"DIVERGÊNCIA",IF(COUNTIF(RATEIOS!$A$2:$A$3142,$A2083)-COUNTIFS(RATEIOS!$A$2:$A$3142,$A2083,RATEIOS!$D$2:$D$3142,"&lt;&gt;")&gt;0,"NÃO CLASSIFICADO","RATEIO OK"))))</f>
        <v/>
      </c>
      <c r="R2083" s="49"/>
      <c r="S2083" s="14"/>
    </row>
    <row r="2084" spans="1:19" ht="30" customHeight="1" x14ac:dyDescent="0.25">
      <c r="A2084" s="49" t="str">
        <f>IF(C2084="","","BAN-02083")</f>
        <v/>
      </c>
      <c r="B2084" s="98" t="str">
        <f>IF(C2084="","",2083)</f>
        <v/>
      </c>
      <c r="C2084" s="50"/>
      <c r="D2084" s="49" t="str">
        <f t="shared" si="65"/>
        <v/>
      </c>
      <c r="E2084" s="92"/>
      <c r="F2084" s="49"/>
      <c r="G2084" s="14"/>
      <c r="H2084" s="14"/>
      <c r="I2084" s="76"/>
      <c r="J2084" s="73"/>
      <c r="K2084" s="74"/>
      <c r="L2084" s="72"/>
      <c r="M2084" s="72"/>
      <c r="N2084" s="72" t="str">
        <f>IF(AND(C2084="",J2084=0,K2084=0,L2084=0,M2084=0),"",CADASTROS!$B$4+SUM($J$2:J2084)+SUM($M$2:M2084)-SUM($K$2:K2084)-SUM($L$2:L2084))</f>
        <v/>
      </c>
      <c r="O2084" s="72" t="str">
        <f>IF(A2084="","",SUMIF(RATEIOS!$A$2:$A$3142,$A2084,RATEIOS!$F$2:$F$3142))</f>
        <v/>
      </c>
      <c r="P2084" s="15" t="str">
        <f t="shared" si="66"/>
        <v/>
      </c>
      <c r="Q2084" s="49" t="str">
        <f>IF(AND(J2084=0,K2084=0,L2084=0,M2084=0),"",IF(O2084=0,"PENDENTE DE RATEIO",IF(ABS(P2084)&gt;0.005,"DIVERGÊNCIA",IF(COUNTIF(RATEIOS!$A$2:$A$3142,$A2084)-COUNTIFS(RATEIOS!$A$2:$A$3142,$A2084,RATEIOS!$D$2:$D$3142,"&lt;&gt;")&gt;0,"NÃO CLASSIFICADO","RATEIO OK"))))</f>
        <v/>
      </c>
      <c r="R2084" s="49"/>
      <c r="S2084" s="14"/>
    </row>
    <row r="2085" spans="1:19" ht="30" customHeight="1" x14ac:dyDescent="0.25">
      <c r="A2085" s="49" t="str">
        <f>IF(C2085="","","BAN-02084")</f>
        <v/>
      </c>
      <c r="B2085" s="98" t="str">
        <f>IF(C2085="","",2084)</f>
        <v/>
      </c>
      <c r="C2085" s="50"/>
      <c r="D2085" s="49" t="str">
        <f t="shared" si="65"/>
        <v/>
      </c>
      <c r="E2085" s="92"/>
      <c r="F2085" s="49"/>
      <c r="G2085" s="14"/>
      <c r="H2085" s="14"/>
      <c r="I2085" s="76"/>
      <c r="J2085" s="73"/>
      <c r="K2085" s="74"/>
      <c r="L2085" s="72"/>
      <c r="M2085" s="72"/>
      <c r="N2085" s="72" t="str">
        <f>IF(AND(C2085="",J2085=0,K2085=0,L2085=0,M2085=0),"",CADASTROS!$B$4+SUM($J$2:J2085)+SUM($M$2:M2085)-SUM($K$2:K2085)-SUM($L$2:L2085))</f>
        <v/>
      </c>
      <c r="O2085" s="72" t="str">
        <f>IF(A2085="","",SUMIF(RATEIOS!$A$2:$A$3142,$A2085,RATEIOS!$F$2:$F$3142))</f>
        <v/>
      </c>
      <c r="P2085" s="15" t="str">
        <f t="shared" si="66"/>
        <v/>
      </c>
      <c r="Q2085" s="49" t="str">
        <f>IF(AND(J2085=0,K2085=0,L2085=0,M2085=0),"",IF(O2085=0,"PENDENTE DE RATEIO",IF(ABS(P2085)&gt;0.005,"DIVERGÊNCIA",IF(COUNTIF(RATEIOS!$A$2:$A$3142,$A2085)-COUNTIFS(RATEIOS!$A$2:$A$3142,$A2085,RATEIOS!$D$2:$D$3142,"&lt;&gt;")&gt;0,"NÃO CLASSIFICADO","RATEIO OK"))))</f>
        <v/>
      </c>
      <c r="R2085" s="49"/>
      <c r="S2085" s="14"/>
    </row>
    <row r="2086" spans="1:19" ht="30" customHeight="1" x14ac:dyDescent="0.25">
      <c r="A2086" s="49" t="str">
        <f>IF(C2086="","","BAN-02085")</f>
        <v/>
      </c>
      <c r="B2086" s="98" t="str">
        <f>IF(C2086="","",2085)</f>
        <v/>
      </c>
      <c r="C2086" s="50"/>
      <c r="D2086" s="49" t="str">
        <f t="shared" si="65"/>
        <v/>
      </c>
      <c r="E2086" s="92"/>
      <c r="F2086" s="49"/>
      <c r="G2086" s="14"/>
      <c r="H2086" s="14"/>
      <c r="I2086" s="76"/>
      <c r="J2086" s="73"/>
      <c r="K2086" s="74"/>
      <c r="L2086" s="72"/>
      <c r="M2086" s="72"/>
      <c r="N2086" s="72" t="str">
        <f>IF(AND(C2086="",J2086=0,K2086=0,L2086=0,M2086=0),"",CADASTROS!$B$4+SUM($J$2:J2086)+SUM($M$2:M2086)-SUM($K$2:K2086)-SUM($L$2:L2086))</f>
        <v/>
      </c>
      <c r="O2086" s="72" t="str">
        <f>IF(A2086="","",SUMIF(RATEIOS!$A$2:$A$3142,$A2086,RATEIOS!$F$2:$F$3142))</f>
        <v/>
      </c>
      <c r="P2086" s="15" t="str">
        <f t="shared" si="66"/>
        <v/>
      </c>
      <c r="Q2086" s="49" t="str">
        <f>IF(AND(J2086=0,K2086=0,L2086=0,M2086=0),"",IF(O2086=0,"PENDENTE DE RATEIO",IF(ABS(P2086)&gt;0.005,"DIVERGÊNCIA",IF(COUNTIF(RATEIOS!$A$2:$A$3142,$A2086)-COUNTIFS(RATEIOS!$A$2:$A$3142,$A2086,RATEIOS!$D$2:$D$3142,"&lt;&gt;")&gt;0,"NÃO CLASSIFICADO","RATEIO OK"))))</f>
        <v/>
      </c>
      <c r="R2086" s="49"/>
      <c r="S2086" s="14"/>
    </row>
    <row r="2087" spans="1:19" ht="30" customHeight="1" x14ac:dyDescent="0.25">
      <c r="A2087" s="49" t="str">
        <f>IF(C2087="","","BAN-02086")</f>
        <v/>
      </c>
      <c r="B2087" s="98" t="str">
        <f>IF(C2087="","",2086)</f>
        <v/>
      </c>
      <c r="C2087" s="50"/>
      <c r="D2087" s="49" t="str">
        <f t="shared" si="65"/>
        <v/>
      </c>
      <c r="E2087" s="92"/>
      <c r="F2087" s="49"/>
      <c r="G2087" s="14"/>
      <c r="H2087" s="14"/>
      <c r="I2087" s="76"/>
      <c r="J2087" s="73"/>
      <c r="K2087" s="74"/>
      <c r="L2087" s="72"/>
      <c r="M2087" s="72"/>
      <c r="N2087" s="72" t="str">
        <f>IF(AND(C2087="",J2087=0,K2087=0,L2087=0,M2087=0),"",CADASTROS!$B$4+SUM($J$2:J2087)+SUM($M$2:M2087)-SUM($K$2:K2087)-SUM($L$2:L2087))</f>
        <v/>
      </c>
      <c r="O2087" s="72" t="str">
        <f>IF(A2087="","",SUMIF(RATEIOS!$A$2:$A$3142,$A2087,RATEIOS!$F$2:$F$3142))</f>
        <v/>
      </c>
      <c r="P2087" s="15" t="str">
        <f t="shared" si="66"/>
        <v/>
      </c>
      <c r="Q2087" s="49" t="str">
        <f>IF(AND(J2087=0,K2087=0,L2087=0,M2087=0),"",IF(O2087=0,"PENDENTE DE RATEIO",IF(ABS(P2087)&gt;0.005,"DIVERGÊNCIA",IF(COUNTIF(RATEIOS!$A$2:$A$3142,$A2087)-COUNTIFS(RATEIOS!$A$2:$A$3142,$A2087,RATEIOS!$D$2:$D$3142,"&lt;&gt;")&gt;0,"NÃO CLASSIFICADO","RATEIO OK"))))</f>
        <v/>
      </c>
      <c r="R2087" s="49"/>
      <c r="S2087" s="14"/>
    </row>
    <row r="2088" spans="1:19" ht="30" customHeight="1" x14ac:dyDescent="0.25">
      <c r="A2088" s="49" t="str">
        <f>IF(C2088="","","BAN-02087")</f>
        <v/>
      </c>
      <c r="B2088" s="98" t="str">
        <f>IF(C2088="","",2087)</f>
        <v/>
      </c>
      <c r="C2088" s="50"/>
      <c r="D2088" s="49" t="str">
        <f t="shared" si="65"/>
        <v/>
      </c>
      <c r="E2088" s="92"/>
      <c r="F2088" s="49"/>
      <c r="G2088" s="14"/>
      <c r="H2088" s="14"/>
      <c r="I2088" s="76"/>
      <c r="J2088" s="73"/>
      <c r="K2088" s="74"/>
      <c r="L2088" s="72"/>
      <c r="M2088" s="72"/>
      <c r="N2088" s="72" t="str">
        <f>IF(AND(C2088="",J2088=0,K2088=0,L2088=0,M2088=0),"",CADASTROS!$B$4+SUM($J$2:J2088)+SUM($M$2:M2088)-SUM($K$2:K2088)-SUM($L$2:L2088))</f>
        <v/>
      </c>
      <c r="O2088" s="72" t="str">
        <f>IF(A2088="","",SUMIF(RATEIOS!$A$2:$A$3142,$A2088,RATEIOS!$F$2:$F$3142))</f>
        <v/>
      </c>
      <c r="P2088" s="15" t="str">
        <f t="shared" si="66"/>
        <v/>
      </c>
      <c r="Q2088" s="49" t="str">
        <f>IF(AND(J2088=0,K2088=0,L2088=0,M2088=0),"",IF(O2088=0,"PENDENTE DE RATEIO",IF(ABS(P2088)&gt;0.005,"DIVERGÊNCIA",IF(COUNTIF(RATEIOS!$A$2:$A$3142,$A2088)-COUNTIFS(RATEIOS!$A$2:$A$3142,$A2088,RATEIOS!$D$2:$D$3142,"&lt;&gt;")&gt;0,"NÃO CLASSIFICADO","RATEIO OK"))))</f>
        <v/>
      </c>
      <c r="R2088" s="49"/>
      <c r="S2088" s="14"/>
    </row>
    <row r="2089" spans="1:19" ht="30" customHeight="1" x14ac:dyDescent="0.25">
      <c r="A2089" s="49" t="str">
        <f>IF(C2089="","","BAN-02088")</f>
        <v/>
      </c>
      <c r="B2089" s="98" t="str">
        <f>IF(C2089="","",2088)</f>
        <v/>
      </c>
      <c r="C2089" s="50"/>
      <c r="D2089" s="49" t="str">
        <f t="shared" si="65"/>
        <v/>
      </c>
      <c r="E2089" s="92"/>
      <c r="F2089" s="49"/>
      <c r="G2089" s="14"/>
      <c r="H2089" s="14"/>
      <c r="I2089" s="76"/>
      <c r="J2089" s="73"/>
      <c r="K2089" s="74"/>
      <c r="L2089" s="72"/>
      <c r="M2089" s="72"/>
      <c r="N2089" s="72" t="str">
        <f>IF(AND(C2089="",J2089=0,K2089=0,L2089=0,M2089=0),"",CADASTROS!$B$4+SUM($J$2:J2089)+SUM($M$2:M2089)-SUM($K$2:K2089)-SUM($L$2:L2089))</f>
        <v/>
      </c>
      <c r="O2089" s="72" t="str">
        <f>IF(A2089="","",SUMIF(RATEIOS!$A$2:$A$3142,$A2089,RATEIOS!$F$2:$F$3142))</f>
        <v/>
      </c>
      <c r="P2089" s="15" t="str">
        <f t="shared" si="66"/>
        <v/>
      </c>
      <c r="Q2089" s="49" t="str">
        <f>IF(AND(J2089=0,K2089=0,L2089=0,M2089=0),"",IF(O2089=0,"PENDENTE DE RATEIO",IF(ABS(P2089)&gt;0.005,"DIVERGÊNCIA",IF(COUNTIF(RATEIOS!$A$2:$A$3142,$A2089)-COUNTIFS(RATEIOS!$A$2:$A$3142,$A2089,RATEIOS!$D$2:$D$3142,"&lt;&gt;")&gt;0,"NÃO CLASSIFICADO","RATEIO OK"))))</f>
        <v/>
      </c>
      <c r="R2089" s="49"/>
      <c r="S2089" s="14"/>
    </row>
    <row r="2090" spans="1:19" ht="30" customHeight="1" x14ac:dyDescent="0.25">
      <c r="A2090" s="49" t="str">
        <f>IF(C2090="","","BAN-02089")</f>
        <v/>
      </c>
      <c r="B2090" s="98" t="str">
        <f>IF(C2090="","",2089)</f>
        <v/>
      </c>
      <c r="C2090" s="50"/>
      <c r="D2090" s="49" t="str">
        <f t="shared" si="65"/>
        <v/>
      </c>
      <c r="E2090" s="92"/>
      <c r="F2090" s="49"/>
      <c r="G2090" s="14"/>
      <c r="H2090" s="14"/>
      <c r="I2090" s="76"/>
      <c r="J2090" s="73"/>
      <c r="K2090" s="74"/>
      <c r="L2090" s="72"/>
      <c r="M2090" s="72"/>
      <c r="N2090" s="72" t="str">
        <f>IF(AND(C2090="",J2090=0,K2090=0,L2090=0,M2090=0),"",CADASTROS!$B$4+SUM($J$2:J2090)+SUM($M$2:M2090)-SUM($K$2:K2090)-SUM($L$2:L2090))</f>
        <v/>
      </c>
      <c r="O2090" s="72" t="str">
        <f>IF(A2090="","",SUMIF(RATEIOS!$A$2:$A$3142,$A2090,RATEIOS!$F$2:$F$3142))</f>
        <v/>
      </c>
      <c r="P2090" s="15" t="str">
        <f t="shared" si="66"/>
        <v/>
      </c>
      <c r="Q2090" s="49" t="str">
        <f>IF(AND(J2090=0,K2090=0,L2090=0,M2090=0),"",IF(O2090=0,"PENDENTE DE RATEIO",IF(ABS(P2090)&gt;0.005,"DIVERGÊNCIA",IF(COUNTIF(RATEIOS!$A$2:$A$3142,$A2090)-COUNTIFS(RATEIOS!$A$2:$A$3142,$A2090,RATEIOS!$D$2:$D$3142,"&lt;&gt;")&gt;0,"NÃO CLASSIFICADO","RATEIO OK"))))</f>
        <v/>
      </c>
      <c r="R2090" s="49"/>
      <c r="S2090" s="14"/>
    </row>
    <row r="2091" spans="1:19" ht="30" customHeight="1" x14ac:dyDescent="0.25">
      <c r="A2091" s="49" t="str">
        <f>IF(C2091="","","BAN-02090")</f>
        <v/>
      </c>
      <c r="B2091" s="98" t="str">
        <f>IF(C2091="","",2090)</f>
        <v/>
      </c>
      <c r="C2091" s="50"/>
      <c r="D2091" s="49" t="str">
        <f t="shared" si="65"/>
        <v/>
      </c>
      <c r="E2091" s="92"/>
      <c r="F2091" s="49"/>
      <c r="G2091" s="14"/>
      <c r="H2091" s="14"/>
      <c r="I2091" s="76"/>
      <c r="J2091" s="73"/>
      <c r="K2091" s="74"/>
      <c r="L2091" s="72"/>
      <c r="M2091" s="72"/>
      <c r="N2091" s="72" t="str">
        <f>IF(AND(C2091="",J2091=0,K2091=0,L2091=0,M2091=0),"",CADASTROS!$B$4+SUM($J$2:J2091)+SUM($M$2:M2091)-SUM($K$2:K2091)-SUM($L$2:L2091))</f>
        <v/>
      </c>
      <c r="O2091" s="72" t="str">
        <f>IF(A2091="","",SUMIF(RATEIOS!$A$2:$A$3142,$A2091,RATEIOS!$F$2:$F$3142))</f>
        <v/>
      </c>
      <c r="P2091" s="15" t="str">
        <f t="shared" si="66"/>
        <v/>
      </c>
      <c r="Q2091" s="49" t="str">
        <f>IF(AND(J2091=0,K2091=0,L2091=0,M2091=0),"",IF(O2091=0,"PENDENTE DE RATEIO",IF(ABS(P2091)&gt;0.005,"DIVERGÊNCIA",IF(COUNTIF(RATEIOS!$A$2:$A$3142,$A2091)-COUNTIFS(RATEIOS!$A$2:$A$3142,$A2091,RATEIOS!$D$2:$D$3142,"&lt;&gt;")&gt;0,"NÃO CLASSIFICADO","RATEIO OK"))))</f>
        <v/>
      </c>
      <c r="R2091" s="49"/>
      <c r="S2091" s="14"/>
    </row>
    <row r="2092" spans="1:19" ht="30" customHeight="1" x14ac:dyDescent="0.25">
      <c r="A2092" s="49" t="str">
        <f>IF(C2092="","","BAN-02091")</f>
        <v/>
      </c>
      <c r="B2092" s="98" t="str">
        <f>IF(C2092="","",2091)</f>
        <v/>
      </c>
      <c r="C2092" s="50"/>
      <c r="D2092" s="49" t="str">
        <f t="shared" si="65"/>
        <v/>
      </c>
      <c r="E2092" s="92"/>
      <c r="F2092" s="49"/>
      <c r="G2092" s="14"/>
      <c r="H2092" s="14"/>
      <c r="I2092" s="76"/>
      <c r="J2092" s="73"/>
      <c r="K2092" s="74"/>
      <c r="L2092" s="72"/>
      <c r="M2092" s="72"/>
      <c r="N2092" s="72" t="str">
        <f>IF(AND(C2092="",J2092=0,K2092=0,L2092=0,M2092=0),"",CADASTROS!$B$4+SUM($J$2:J2092)+SUM($M$2:M2092)-SUM($K$2:K2092)-SUM($L$2:L2092))</f>
        <v/>
      </c>
      <c r="O2092" s="72" t="str">
        <f>IF(A2092="","",SUMIF(RATEIOS!$A$2:$A$3142,$A2092,RATEIOS!$F$2:$F$3142))</f>
        <v/>
      </c>
      <c r="P2092" s="15" t="str">
        <f t="shared" si="66"/>
        <v/>
      </c>
      <c r="Q2092" s="49" t="str">
        <f>IF(AND(J2092=0,K2092=0,L2092=0,M2092=0),"",IF(O2092=0,"PENDENTE DE RATEIO",IF(ABS(P2092)&gt;0.005,"DIVERGÊNCIA",IF(COUNTIF(RATEIOS!$A$2:$A$3142,$A2092)-COUNTIFS(RATEIOS!$A$2:$A$3142,$A2092,RATEIOS!$D$2:$D$3142,"&lt;&gt;")&gt;0,"NÃO CLASSIFICADO","RATEIO OK"))))</f>
        <v/>
      </c>
      <c r="R2092" s="49"/>
      <c r="S2092" s="14"/>
    </row>
    <row r="2093" spans="1:19" ht="30" customHeight="1" x14ac:dyDescent="0.25">
      <c r="A2093" s="49" t="str">
        <f>IF(C2093="","","BAN-02092")</f>
        <v/>
      </c>
      <c r="B2093" s="98" t="str">
        <f>IF(C2093="","",2092)</f>
        <v/>
      </c>
      <c r="C2093" s="50"/>
      <c r="D2093" s="49" t="str">
        <f t="shared" si="65"/>
        <v/>
      </c>
      <c r="E2093" s="92"/>
      <c r="F2093" s="49"/>
      <c r="G2093" s="14"/>
      <c r="H2093" s="14"/>
      <c r="I2093" s="76"/>
      <c r="J2093" s="73"/>
      <c r="K2093" s="74"/>
      <c r="L2093" s="72"/>
      <c r="M2093" s="72"/>
      <c r="N2093" s="72" t="str">
        <f>IF(AND(C2093="",J2093=0,K2093=0,L2093=0,M2093=0),"",CADASTROS!$B$4+SUM($J$2:J2093)+SUM($M$2:M2093)-SUM($K$2:K2093)-SUM($L$2:L2093))</f>
        <v/>
      </c>
      <c r="O2093" s="72" t="str">
        <f>IF(A2093="","",SUMIF(RATEIOS!$A$2:$A$3142,$A2093,RATEIOS!$F$2:$F$3142))</f>
        <v/>
      </c>
      <c r="P2093" s="15" t="str">
        <f t="shared" si="66"/>
        <v/>
      </c>
      <c r="Q2093" s="49" t="str">
        <f>IF(AND(J2093=0,K2093=0,L2093=0,M2093=0),"",IF(O2093=0,"PENDENTE DE RATEIO",IF(ABS(P2093)&gt;0.005,"DIVERGÊNCIA",IF(COUNTIF(RATEIOS!$A$2:$A$3142,$A2093)-COUNTIFS(RATEIOS!$A$2:$A$3142,$A2093,RATEIOS!$D$2:$D$3142,"&lt;&gt;")&gt;0,"NÃO CLASSIFICADO","RATEIO OK"))))</f>
        <v/>
      </c>
      <c r="R2093" s="49"/>
      <c r="S2093" s="14"/>
    </row>
    <row r="2094" spans="1:19" ht="30" customHeight="1" x14ac:dyDescent="0.25">
      <c r="A2094" s="49" t="str">
        <f>IF(C2094="","","BAN-02093")</f>
        <v/>
      </c>
      <c r="B2094" s="98" t="str">
        <f>IF(C2094="","",2093)</f>
        <v/>
      </c>
      <c r="C2094" s="50"/>
      <c r="D2094" s="49" t="str">
        <f t="shared" si="65"/>
        <v/>
      </c>
      <c r="E2094" s="92"/>
      <c r="F2094" s="49"/>
      <c r="G2094" s="14"/>
      <c r="H2094" s="14"/>
      <c r="I2094" s="76"/>
      <c r="J2094" s="73"/>
      <c r="K2094" s="74"/>
      <c r="L2094" s="72"/>
      <c r="M2094" s="72"/>
      <c r="N2094" s="72" t="str">
        <f>IF(AND(C2094="",J2094=0,K2094=0,L2094=0,M2094=0),"",CADASTROS!$B$4+SUM($J$2:J2094)+SUM($M$2:M2094)-SUM($K$2:K2094)-SUM($L$2:L2094))</f>
        <v/>
      </c>
      <c r="O2094" s="72" t="str">
        <f>IF(A2094="","",SUMIF(RATEIOS!$A$2:$A$3142,$A2094,RATEIOS!$F$2:$F$3142))</f>
        <v/>
      </c>
      <c r="P2094" s="15" t="str">
        <f t="shared" si="66"/>
        <v/>
      </c>
      <c r="Q2094" s="49" t="str">
        <f>IF(AND(J2094=0,K2094=0,L2094=0,M2094=0),"",IF(O2094=0,"PENDENTE DE RATEIO",IF(ABS(P2094)&gt;0.005,"DIVERGÊNCIA",IF(COUNTIF(RATEIOS!$A$2:$A$3142,$A2094)-COUNTIFS(RATEIOS!$A$2:$A$3142,$A2094,RATEIOS!$D$2:$D$3142,"&lt;&gt;")&gt;0,"NÃO CLASSIFICADO","RATEIO OK"))))</f>
        <v/>
      </c>
      <c r="R2094" s="49"/>
      <c r="S2094" s="14"/>
    </row>
    <row r="2095" spans="1:19" ht="30" customHeight="1" x14ac:dyDescent="0.25">
      <c r="A2095" s="49" t="str">
        <f>IF(C2095="","","BAN-02094")</f>
        <v/>
      </c>
      <c r="B2095" s="98" t="str">
        <f>IF(C2095="","",2094)</f>
        <v/>
      </c>
      <c r="C2095" s="50"/>
      <c r="D2095" s="49" t="str">
        <f t="shared" si="65"/>
        <v/>
      </c>
      <c r="E2095" s="92"/>
      <c r="F2095" s="49"/>
      <c r="G2095" s="14"/>
      <c r="H2095" s="14"/>
      <c r="I2095" s="76"/>
      <c r="J2095" s="73"/>
      <c r="K2095" s="74"/>
      <c r="L2095" s="72"/>
      <c r="M2095" s="72"/>
      <c r="N2095" s="72" t="str">
        <f>IF(AND(C2095="",J2095=0,K2095=0,L2095=0,M2095=0),"",CADASTROS!$B$4+SUM($J$2:J2095)+SUM($M$2:M2095)-SUM($K$2:K2095)-SUM($L$2:L2095))</f>
        <v/>
      </c>
      <c r="O2095" s="72" t="str">
        <f>IF(A2095="","",SUMIF(RATEIOS!$A$2:$A$3142,$A2095,RATEIOS!$F$2:$F$3142))</f>
        <v/>
      </c>
      <c r="P2095" s="15" t="str">
        <f t="shared" si="66"/>
        <v/>
      </c>
      <c r="Q2095" s="49" t="str">
        <f>IF(AND(J2095=0,K2095=0,L2095=0,M2095=0),"",IF(O2095=0,"PENDENTE DE RATEIO",IF(ABS(P2095)&gt;0.005,"DIVERGÊNCIA",IF(COUNTIF(RATEIOS!$A$2:$A$3142,$A2095)-COUNTIFS(RATEIOS!$A$2:$A$3142,$A2095,RATEIOS!$D$2:$D$3142,"&lt;&gt;")&gt;0,"NÃO CLASSIFICADO","RATEIO OK"))))</f>
        <v/>
      </c>
      <c r="R2095" s="49"/>
      <c r="S2095" s="14"/>
    </row>
    <row r="2096" spans="1:19" ht="30" customHeight="1" x14ac:dyDescent="0.25">
      <c r="A2096" s="49" t="str">
        <f>IF(C2096="","","BAN-02095")</f>
        <v/>
      </c>
      <c r="B2096" s="98" t="str">
        <f>IF(C2096="","",2095)</f>
        <v/>
      </c>
      <c r="C2096" s="50"/>
      <c r="D2096" s="49" t="str">
        <f t="shared" si="65"/>
        <v/>
      </c>
      <c r="E2096" s="92"/>
      <c r="F2096" s="49"/>
      <c r="G2096" s="14"/>
      <c r="H2096" s="14"/>
      <c r="I2096" s="76"/>
      <c r="J2096" s="73"/>
      <c r="K2096" s="74"/>
      <c r="L2096" s="72"/>
      <c r="M2096" s="72"/>
      <c r="N2096" s="72" t="str">
        <f>IF(AND(C2096="",J2096=0,K2096=0,L2096=0,M2096=0),"",CADASTROS!$B$4+SUM($J$2:J2096)+SUM($M$2:M2096)-SUM($K$2:K2096)-SUM($L$2:L2096))</f>
        <v/>
      </c>
      <c r="O2096" s="72" t="str">
        <f>IF(A2096="","",SUMIF(RATEIOS!$A$2:$A$3142,$A2096,RATEIOS!$F$2:$F$3142))</f>
        <v/>
      </c>
      <c r="P2096" s="15" t="str">
        <f t="shared" si="66"/>
        <v/>
      </c>
      <c r="Q2096" s="49" t="str">
        <f>IF(AND(J2096=0,K2096=0,L2096=0,M2096=0),"",IF(O2096=0,"PENDENTE DE RATEIO",IF(ABS(P2096)&gt;0.005,"DIVERGÊNCIA",IF(COUNTIF(RATEIOS!$A$2:$A$3142,$A2096)-COUNTIFS(RATEIOS!$A$2:$A$3142,$A2096,RATEIOS!$D$2:$D$3142,"&lt;&gt;")&gt;0,"NÃO CLASSIFICADO","RATEIO OK"))))</f>
        <v/>
      </c>
      <c r="R2096" s="49"/>
      <c r="S2096" s="14"/>
    </row>
    <row r="2097" spans="1:19" ht="30" customHeight="1" x14ac:dyDescent="0.25">
      <c r="A2097" s="49" t="str">
        <f>IF(C2097="","","BAN-02096")</f>
        <v/>
      </c>
      <c r="B2097" s="98" t="str">
        <f>IF(C2097="","",2096)</f>
        <v/>
      </c>
      <c r="C2097" s="50"/>
      <c r="D2097" s="49" t="str">
        <f t="shared" si="65"/>
        <v/>
      </c>
      <c r="E2097" s="92"/>
      <c r="F2097" s="49"/>
      <c r="G2097" s="14"/>
      <c r="H2097" s="14"/>
      <c r="I2097" s="76"/>
      <c r="J2097" s="73"/>
      <c r="K2097" s="74"/>
      <c r="L2097" s="72"/>
      <c r="M2097" s="72"/>
      <c r="N2097" s="72" t="str">
        <f>IF(AND(C2097="",J2097=0,K2097=0,L2097=0,M2097=0),"",CADASTROS!$B$4+SUM($J$2:J2097)+SUM($M$2:M2097)-SUM($K$2:K2097)-SUM($L$2:L2097))</f>
        <v/>
      </c>
      <c r="O2097" s="72" t="str">
        <f>IF(A2097="","",SUMIF(RATEIOS!$A$2:$A$3142,$A2097,RATEIOS!$F$2:$F$3142))</f>
        <v/>
      </c>
      <c r="P2097" s="15" t="str">
        <f t="shared" si="66"/>
        <v/>
      </c>
      <c r="Q2097" s="49" t="str">
        <f>IF(AND(J2097=0,K2097=0,L2097=0,M2097=0),"",IF(O2097=0,"PENDENTE DE RATEIO",IF(ABS(P2097)&gt;0.005,"DIVERGÊNCIA",IF(COUNTIF(RATEIOS!$A$2:$A$3142,$A2097)-COUNTIFS(RATEIOS!$A$2:$A$3142,$A2097,RATEIOS!$D$2:$D$3142,"&lt;&gt;")&gt;0,"NÃO CLASSIFICADO","RATEIO OK"))))</f>
        <v/>
      </c>
      <c r="R2097" s="49"/>
      <c r="S2097" s="14"/>
    </row>
    <row r="2098" spans="1:19" ht="30" customHeight="1" x14ac:dyDescent="0.25">
      <c r="A2098" s="49" t="str">
        <f>IF(C2098="","","BAN-02097")</f>
        <v/>
      </c>
      <c r="B2098" s="98" t="str">
        <f>IF(C2098="","",2097)</f>
        <v/>
      </c>
      <c r="C2098" s="50"/>
      <c r="D2098" s="49" t="str">
        <f t="shared" si="65"/>
        <v/>
      </c>
      <c r="E2098" s="92"/>
      <c r="F2098" s="49"/>
      <c r="G2098" s="14"/>
      <c r="H2098" s="14"/>
      <c r="I2098" s="76"/>
      <c r="J2098" s="73"/>
      <c r="K2098" s="74"/>
      <c r="L2098" s="72"/>
      <c r="M2098" s="72"/>
      <c r="N2098" s="72" t="str">
        <f>IF(AND(C2098="",J2098=0,K2098=0,L2098=0,M2098=0),"",CADASTROS!$B$4+SUM($J$2:J2098)+SUM($M$2:M2098)-SUM($K$2:K2098)-SUM($L$2:L2098))</f>
        <v/>
      </c>
      <c r="O2098" s="72" t="str">
        <f>IF(A2098="","",SUMIF(RATEIOS!$A$2:$A$3142,$A2098,RATEIOS!$F$2:$F$3142))</f>
        <v/>
      </c>
      <c r="P2098" s="15" t="str">
        <f t="shared" si="66"/>
        <v/>
      </c>
      <c r="Q2098" s="49" t="str">
        <f>IF(AND(J2098=0,K2098=0,L2098=0,M2098=0),"",IF(O2098=0,"PENDENTE DE RATEIO",IF(ABS(P2098)&gt;0.005,"DIVERGÊNCIA",IF(COUNTIF(RATEIOS!$A$2:$A$3142,$A2098)-COUNTIFS(RATEIOS!$A$2:$A$3142,$A2098,RATEIOS!$D$2:$D$3142,"&lt;&gt;")&gt;0,"NÃO CLASSIFICADO","RATEIO OK"))))</f>
        <v/>
      </c>
      <c r="R2098" s="49"/>
      <c r="S2098" s="14"/>
    </row>
    <row r="2099" spans="1:19" ht="30" customHeight="1" x14ac:dyDescent="0.25">
      <c r="A2099" s="49" t="str">
        <f>IF(C2099="","","BAN-02098")</f>
        <v/>
      </c>
      <c r="B2099" s="98" t="str">
        <f>IF(C2099="","",2098)</f>
        <v/>
      </c>
      <c r="C2099" s="50"/>
      <c r="D2099" s="49" t="str">
        <f t="shared" si="65"/>
        <v/>
      </c>
      <c r="E2099" s="92"/>
      <c r="F2099" s="49"/>
      <c r="G2099" s="14"/>
      <c r="H2099" s="14"/>
      <c r="I2099" s="76"/>
      <c r="J2099" s="73"/>
      <c r="K2099" s="74"/>
      <c r="L2099" s="72"/>
      <c r="M2099" s="72"/>
      <c r="N2099" s="72" t="str">
        <f>IF(AND(C2099="",J2099=0,K2099=0,L2099=0,M2099=0),"",CADASTROS!$B$4+SUM($J$2:J2099)+SUM($M$2:M2099)-SUM($K$2:K2099)-SUM($L$2:L2099))</f>
        <v/>
      </c>
      <c r="O2099" s="72" t="str">
        <f>IF(A2099="","",SUMIF(RATEIOS!$A$2:$A$3142,$A2099,RATEIOS!$F$2:$F$3142))</f>
        <v/>
      </c>
      <c r="P2099" s="15" t="str">
        <f t="shared" si="66"/>
        <v/>
      </c>
      <c r="Q2099" s="49" t="str">
        <f>IF(AND(J2099=0,K2099=0,L2099=0,M2099=0),"",IF(O2099=0,"PENDENTE DE RATEIO",IF(ABS(P2099)&gt;0.005,"DIVERGÊNCIA",IF(COUNTIF(RATEIOS!$A$2:$A$3142,$A2099)-COUNTIFS(RATEIOS!$A$2:$A$3142,$A2099,RATEIOS!$D$2:$D$3142,"&lt;&gt;")&gt;0,"NÃO CLASSIFICADO","RATEIO OK"))))</f>
        <v/>
      </c>
      <c r="R2099" s="49"/>
      <c r="S2099" s="14"/>
    </row>
    <row r="2100" spans="1:19" ht="30" customHeight="1" x14ac:dyDescent="0.25">
      <c r="A2100" s="49" t="str">
        <f>IF(C2100="","","BAN-02099")</f>
        <v/>
      </c>
      <c r="B2100" s="98" t="str">
        <f>IF(C2100="","",2099)</f>
        <v/>
      </c>
      <c r="C2100" s="50"/>
      <c r="D2100" s="49" t="str">
        <f t="shared" si="65"/>
        <v/>
      </c>
      <c r="E2100" s="92"/>
      <c r="F2100" s="49"/>
      <c r="G2100" s="14"/>
      <c r="H2100" s="14"/>
      <c r="I2100" s="76"/>
      <c r="J2100" s="73"/>
      <c r="K2100" s="74"/>
      <c r="L2100" s="72"/>
      <c r="M2100" s="72"/>
      <c r="N2100" s="72" t="str">
        <f>IF(AND(C2100="",J2100=0,K2100=0,L2100=0,M2100=0),"",CADASTROS!$B$4+SUM($J$2:J2100)+SUM($M$2:M2100)-SUM($K$2:K2100)-SUM($L$2:L2100))</f>
        <v/>
      </c>
      <c r="O2100" s="72" t="str">
        <f>IF(A2100="","",SUMIF(RATEIOS!$A$2:$A$3142,$A2100,RATEIOS!$F$2:$F$3142))</f>
        <v/>
      </c>
      <c r="P2100" s="15" t="str">
        <f t="shared" si="66"/>
        <v/>
      </c>
      <c r="Q2100" s="49" t="str">
        <f>IF(AND(J2100=0,K2100=0,L2100=0,M2100=0),"",IF(O2100=0,"PENDENTE DE RATEIO",IF(ABS(P2100)&gt;0.005,"DIVERGÊNCIA",IF(COUNTIF(RATEIOS!$A$2:$A$3142,$A2100)-COUNTIFS(RATEIOS!$A$2:$A$3142,$A2100,RATEIOS!$D$2:$D$3142,"&lt;&gt;")&gt;0,"NÃO CLASSIFICADO","RATEIO OK"))))</f>
        <v/>
      </c>
      <c r="R2100" s="49"/>
      <c r="S2100" s="14"/>
    </row>
    <row r="2101" spans="1:19" ht="30" customHeight="1" x14ac:dyDescent="0.25">
      <c r="A2101" s="49" t="str">
        <f>IF(C2101="","","BAN-02100")</f>
        <v/>
      </c>
      <c r="B2101" s="98" t="str">
        <f>IF(C2101="","",2100)</f>
        <v/>
      </c>
      <c r="C2101" s="50"/>
      <c r="D2101" s="49" t="str">
        <f t="shared" si="65"/>
        <v/>
      </c>
      <c r="E2101" s="92"/>
      <c r="F2101" s="49"/>
      <c r="G2101" s="14"/>
      <c r="H2101" s="14"/>
      <c r="I2101" s="76"/>
      <c r="J2101" s="73"/>
      <c r="K2101" s="74"/>
      <c r="L2101" s="72"/>
      <c r="M2101" s="72"/>
      <c r="N2101" s="72" t="str">
        <f>IF(AND(C2101="",J2101=0,K2101=0,L2101=0,M2101=0),"",CADASTROS!$B$4+SUM($J$2:J2101)+SUM($M$2:M2101)-SUM($K$2:K2101)-SUM($L$2:L2101))</f>
        <v/>
      </c>
      <c r="O2101" s="72" t="str">
        <f>IF(A2101="","",SUMIF(RATEIOS!$A$2:$A$3142,$A2101,RATEIOS!$F$2:$F$3142))</f>
        <v/>
      </c>
      <c r="P2101" s="15" t="str">
        <f t="shared" si="66"/>
        <v/>
      </c>
      <c r="Q2101" s="49" t="str">
        <f>IF(AND(J2101=0,K2101=0,L2101=0,M2101=0),"",IF(O2101=0,"PENDENTE DE RATEIO",IF(ABS(P2101)&gt;0.005,"DIVERGÊNCIA",IF(COUNTIF(RATEIOS!$A$2:$A$3142,$A2101)-COUNTIFS(RATEIOS!$A$2:$A$3142,$A2101,RATEIOS!$D$2:$D$3142,"&lt;&gt;")&gt;0,"NÃO CLASSIFICADO","RATEIO OK"))))</f>
        <v/>
      </c>
      <c r="R2101" s="49"/>
      <c r="S2101" s="14"/>
    </row>
    <row r="2102" spans="1:19" ht="30" customHeight="1" x14ac:dyDescent="0.25">
      <c r="A2102" s="49" t="str">
        <f>IF(C2102="","","BAN-02101")</f>
        <v/>
      </c>
      <c r="B2102" s="98" t="str">
        <f>IF(C2102="","",2101)</f>
        <v/>
      </c>
      <c r="C2102" s="50"/>
      <c r="D2102" s="49" t="str">
        <f t="shared" si="65"/>
        <v/>
      </c>
      <c r="E2102" s="92"/>
      <c r="F2102" s="49"/>
      <c r="G2102" s="14"/>
      <c r="H2102" s="14"/>
      <c r="I2102" s="76"/>
      <c r="J2102" s="73"/>
      <c r="K2102" s="74"/>
      <c r="L2102" s="72"/>
      <c r="M2102" s="72"/>
      <c r="N2102" s="72" t="str">
        <f>IF(AND(C2102="",J2102=0,K2102=0,L2102=0,M2102=0),"",CADASTROS!$B$4+SUM($J$2:J2102)+SUM($M$2:M2102)-SUM($K$2:K2102)-SUM($L$2:L2102))</f>
        <v/>
      </c>
      <c r="O2102" s="72" t="str">
        <f>IF(A2102="","",SUMIF(RATEIOS!$A$2:$A$3142,$A2102,RATEIOS!$F$2:$F$3142))</f>
        <v/>
      </c>
      <c r="P2102" s="15" t="str">
        <f t="shared" si="66"/>
        <v/>
      </c>
      <c r="Q2102" s="49" t="str">
        <f>IF(AND(J2102=0,K2102=0,L2102=0,M2102=0),"",IF(O2102=0,"PENDENTE DE RATEIO",IF(ABS(P2102)&gt;0.005,"DIVERGÊNCIA",IF(COUNTIF(RATEIOS!$A$2:$A$3142,$A2102)-COUNTIFS(RATEIOS!$A$2:$A$3142,$A2102,RATEIOS!$D$2:$D$3142,"&lt;&gt;")&gt;0,"NÃO CLASSIFICADO","RATEIO OK"))))</f>
        <v/>
      </c>
      <c r="R2102" s="49"/>
      <c r="S2102" s="14"/>
    </row>
    <row r="2103" spans="1:19" ht="30" customHeight="1" x14ac:dyDescent="0.25">
      <c r="A2103" s="49" t="str">
        <f>IF(C2103="","","BAN-02102")</f>
        <v/>
      </c>
      <c r="B2103" s="98" t="str">
        <f>IF(C2103="","",2102)</f>
        <v/>
      </c>
      <c r="C2103" s="50"/>
      <c r="D2103" s="49" t="str">
        <f t="shared" si="65"/>
        <v/>
      </c>
      <c r="E2103" s="92"/>
      <c r="F2103" s="49"/>
      <c r="G2103" s="14"/>
      <c r="H2103" s="14"/>
      <c r="I2103" s="76"/>
      <c r="J2103" s="73"/>
      <c r="K2103" s="74"/>
      <c r="L2103" s="72"/>
      <c r="M2103" s="72"/>
      <c r="N2103" s="72" t="str">
        <f>IF(AND(C2103="",J2103=0,K2103=0,L2103=0,M2103=0),"",CADASTROS!$B$4+SUM($J$2:J2103)+SUM($M$2:M2103)-SUM($K$2:K2103)-SUM($L$2:L2103))</f>
        <v/>
      </c>
      <c r="O2103" s="72" t="str">
        <f>IF(A2103="","",SUMIF(RATEIOS!$A$2:$A$3142,$A2103,RATEIOS!$F$2:$F$3142))</f>
        <v/>
      </c>
      <c r="P2103" s="15" t="str">
        <f t="shared" si="66"/>
        <v/>
      </c>
      <c r="Q2103" s="49" t="str">
        <f>IF(AND(J2103=0,K2103=0,L2103=0,M2103=0),"",IF(O2103=0,"PENDENTE DE RATEIO",IF(ABS(P2103)&gt;0.005,"DIVERGÊNCIA",IF(COUNTIF(RATEIOS!$A$2:$A$3142,$A2103)-COUNTIFS(RATEIOS!$A$2:$A$3142,$A2103,RATEIOS!$D$2:$D$3142,"&lt;&gt;")&gt;0,"NÃO CLASSIFICADO","RATEIO OK"))))</f>
        <v/>
      </c>
      <c r="R2103" s="49"/>
      <c r="S2103" s="14"/>
    </row>
    <row r="2104" spans="1:19" ht="30" customHeight="1" x14ac:dyDescent="0.25">
      <c r="A2104" s="49" t="str">
        <f>IF(C2104="","","BAN-02103")</f>
        <v/>
      </c>
      <c r="B2104" s="98" t="str">
        <f>IF(C2104="","",2103)</f>
        <v/>
      </c>
      <c r="C2104" s="50"/>
      <c r="D2104" s="49" t="str">
        <f t="shared" si="65"/>
        <v/>
      </c>
      <c r="E2104" s="92"/>
      <c r="F2104" s="49"/>
      <c r="G2104" s="14"/>
      <c r="H2104" s="14"/>
      <c r="I2104" s="76"/>
      <c r="J2104" s="73"/>
      <c r="K2104" s="74"/>
      <c r="L2104" s="72"/>
      <c r="M2104" s="72"/>
      <c r="N2104" s="72" t="str">
        <f>IF(AND(C2104="",J2104=0,K2104=0,L2104=0,M2104=0),"",CADASTROS!$B$4+SUM($J$2:J2104)+SUM($M$2:M2104)-SUM($K$2:K2104)-SUM($L$2:L2104))</f>
        <v/>
      </c>
      <c r="O2104" s="72" t="str">
        <f>IF(A2104="","",SUMIF(RATEIOS!$A$2:$A$3142,$A2104,RATEIOS!$F$2:$F$3142))</f>
        <v/>
      </c>
      <c r="P2104" s="15" t="str">
        <f t="shared" si="66"/>
        <v/>
      </c>
      <c r="Q2104" s="49" t="str">
        <f>IF(AND(J2104=0,K2104=0,L2104=0,M2104=0),"",IF(O2104=0,"PENDENTE DE RATEIO",IF(ABS(P2104)&gt;0.005,"DIVERGÊNCIA",IF(COUNTIF(RATEIOS!$A$2:$A$3142,$A2104)-COUNTIFS(RATEIOS!$A$2:$A$3142,$A2104,RATEIOS!$D$2:$D$3142,"&lt;&gt;")&gt;0,"NÃO CLASSIFICADO","RATEIO OK"))))</f>
        <v/>
      </c>
      <c r="R2104" s="49"/>
      <c r="S2104" s="14"/>
    </row>
    <row r="2105" spans="1:19" ht="30" customHeight="1" x14ac:dyDescent="0.25">
      <c r="A2105" s="49" t="str">
        <f>IF(C2105="","","BAN-02104")</f>
        <v/>
      </c>
      <c r="B2105" s="98" t="str">
        <f>IF(C2105="","",2104)</f>
        <v/>
      </c>
      <c r="C2105" s="50"/>
      <c r="D2105" s="49" t="str">
        <f t="shared" si="65"/>
        <v/>
      </c>
      <c r="E2105" s="92"/>
      <c r="F2105" s="49"/>
      <c r="G2105" s="14"/>
      <c r="H2105" s="14"/>
      <c r="I2105" s="76"/>
      <c r="J2105" s="73"/>
      <c r="K2105" s="74"/>
      <c r="L2105" s="72"/>
      <c r="M2105" s="72"/>
      <c r="N2105" s="72" t="str">
        <f>IF(AND(C2105="",J2105=0,K2105=0,L2105=0,M2105=0),"",CADASTROS!$B$4+SUM($J$2:J2105)+SUM($M$2:M2105)-SUM($K$2:K2105)-SUM($L$2:L2105))</f>
        <v/>
      </c>
      <c r="O2105" s="72" t="str">
        <f>IF(A2105="","",SUMIF(RATEIOS!$A$2:$A$3142,$A2105,RATEIOS!$F$2:$F$3142))</f>
        <v/>
      </c>
      <c r="P2105" s="15" t="str">
        <f t="shared" si="66"/>
        <v/>
      </c>
      <c r="Q2105" s="49" t="str">
        <f>IF(AND(J2105=0,K2105=0,L2105=0,M2105=0),"",IF(O2105=0,"PENDENTE DE RATEIO",IF(ABS(P2105)&gt;0.005,"DIVERGÊNCIA",IF(COUNTIF(RATEIOS!$A$2:$A$3142,$A2105)-COUNTIFS(RATEIOS!$A$2:$A$3142,$A2105,RATEIOS!$D$2:$D$3142,"&lt;&gt;")&gt;0,"NÃO CLASSIFICADO","RATEIO OK"))))</f>
        <v/>
      </c>
      <c r="R2105" s="49"/>
      <c r="S2105" s="14"/>
    </row>
    <row r="2106" spans="1:19" ht="30" customHeight="1" x14ac:dyDescent="0.25">
      <c r="A2106" s="49" t="str">
        <f>IF(C2106="","","BAN-02105")</f>
        <v/>
      </c>
      <c r="B2106" s="98" t="str">
        <f>IF(C2106="","",2105)</f>
        <v/>
      </c>
      <c r="C2106" s="50"/>
      <c r="D2106" s="49" t="str">
        <f t="shared" si="65"/>
        <v/>
      </c>
      <c r="E2106" s="92"/>
      <c r="F2106" s="49"/>
      <c r="G2106" s="14"/>
      <c r="H2106" s="14"/>
      <c r="I2106" s="76"/>
      <c r="J2106" s="73"/>
      <c r="K2106" s="74"/>
      <c r="L2106" s="72"/>
      <c r="M2106" s="72"/>
      <c r="N2106" s="72" t="str">
        <f>IF(AND(C2106="",J2106=0,K2106=0,L2106=0,M2106=0),"",CADASTROS!$B$4+SUM($J$2:J2106)+SUM($M$2:M2106)-SUM($K$2:K2106)-SUM($L$2:L2106))</f>
        <v/>
      </c>
      <c r="O2106" s="72" t="str">
        <f>IF(A2106="","",SUMIF(RATEIOS!$A$2:$A$3142,$A2106,RATEIOS!$F$2:$F$3142))</f>
        <v/>
      </c>
      <c r="P2106" s="15" t="str">
        <f t="shared" si="66"/>
        <v/>
      </c>
      <c r="Q2106" s="49" t="str">
        <f>IF(AND(J2106=0,K2106=0,L2106=0,M2106=0),"",IF(O2106=0,"PENDENTE DE RATEIO",IF(ABS(P2106)&gt;0.005,"DIVERGÊNCIA",IF(COUNTIF(RATEIOS!$A$2:$A$3142,$A2106)-COUNTIFS(RATEIOS!$A$2:$A$3142,$A2106,RATEIOS!$D$2:$D$3142,"&lt;&gt;")&gt;0,"NÃO CLASSIFICADO","RATEIO OK"))))</f>
        <v/>
      </c>
      <c r="R2106" s="49"/>
      <c r="S2106" s="14"/>
    </row>
    <row r="2107" spans="1:19" ht="30" customHeight="1" x14ac:dyDescent="0.25">
      <c r="A2107" s="49" t="str">
        <f>IF(C2107="","","BAN-02106")</f>
        <v/>
      </c>
      <c r="B2107" s="98" t="str">
        <f>IF(C2107="","",2106)</f>
        <v/>
      </c>
      <c r="C2107" s="50"/>
      <c r="D2107" s="49" t="str">
        <f t="shared" si="65"/>
        <v/>
      </c>
      <c r="E2107" s="92"/>
      <c r="F2107" s="49"/>
      <c r="G2107" s="14"/>
      <c r="H2107" s="14"/>
      <c r="I2107" s="76"/>
      <c r="J2107" s="73"/>
      <c r="K2107" s="74"/>
      <c r="L2107" s="72"/>
      <c r="M2107" s="72"/>
      <c r="N2107" s="72" t="str">
        <f>IF(AND(C2107="",J2107=0,K2107=0,L2107=0,M2107=0),"",CADASTROS!$B$4+SUM($J$2:J2107)+SUM($M$2:M2107)-SUM($K$2:K2107)-SUM($L$2:L2107))</f>
        <v/>
      </c>
      <c r="O2107" s="72" t="str">
        <f>IF(A2107="","",SUMIF(RATEIOS!$A$2:$A$3142,$A2107,RATEIOS!$F$2:$F$3142))</f>
        <v/>
      </c>
      <c r="P2107" s="15" t="str">
        <f t="shared" si="66"/>
        <v/>
      </c>
      <c r="Q2107" s="49" t="str">
        <f>IF(AND(J2107=0,K2107=0,L2107=0,M2107=0),"",IF(O2107=0,"PENDENTE DE RATEIO",IF(ABS(P2107)&gt;0.005,"DIVERGÊNCIA",IF(COUNTIF(RATEIOS!$A$2:$A$3142,$A2107)-COUNTIFS(RATEIOS!$A$2:$A$3142,$A2107,RATEIOS!$D$2:$D$3142,"&lt;&gt;")&gt;0,"NÃO CLASSIFICADO","RATEIO OK"))))</f>
        <v/>
      </c>
      <c r="R2107" s="49"/>
      <c r="S2107" s="14"/>
    </row>
    <row r="2108" spans="1:19" ht="30" customHeight="1" x14ac:dyDescent="0.25">
      <c r="A2108" s="49" t="str">
        <f>IF(C2108="","","BAN-02107")</f>
        <v/>
      </c>
      <c r="B2108" s="98" t="str">
        <f>IF(C2108="","",2107)</f>
        <v/>
      </c>
      <c r="C2108" s="50"/>
      <c r="D2108" s="49" t="str">
        <f t="shared" si="65"/>
        <v/>
      </c>
      <c r="E2108" s="92"/>
      <c r="F2108" s="49"/>
      <c r="G2108" s="14"/>
      <c r="H2108" s="14"/>
      <c r="I2108" s="76"/>
      <c r="J2108" s="73"/>
      <c r="K2108" s="74"/>
      <c r="L2108" s="72"/>
      <c r="M2108" s="72"/>
      <c r="N2108" s="72" t="str">
        <f>IF(AND(C2108="",J2108=0,K2108=0,L2108=0,M2108=0),"",CADASTROS!$B$4+SUM($J$2:J2108)+SUM($M$2:M2108)-SUM($K$2:K2108)-SUM($L$2:L2108))</f>
        <v/>
      </c>
      <c r="O2108" s="72" t="str">
        <f>IF(A2108="","",SUMIF(RATEIOS!$A$2:$A$3142,$A2108,RATEIOS!$F$2:$F$3142))</f>
        <v/>
      </c>
      <c r="P2108" s="15" t="str">
        <f t="shared" si="66"/>
        <v/>
      </c>
      <c r="Q2108" s="49" t="str">
        <f>IF(AND(J2108=0,K2108=0,L2108=0,M2108=0),"",IF(O2108=0,"PENDENTE DE RATEIO",IF(ABS(P2108)&gt;0.005,"DIVERGÊNCIA",IF(COUNTIF(RATEIOS!$A$2:$A$3142,$A2108)-COUNTIFS(RATEIOS!$A$2:$A$3142,$A2108,RATEIOS!$D$2:$D$3142,"&lt;&gt;")&gt;0,"NÃO CLASSIFICADO","RATEIO OK"))))</f>
        <v/>
      </c>
      <c r="R2108" s="49"/>
      <c r="S2108" s="14"/>
    </row>
    <row r="2109" spans="1:19" ht="30" customHeight="1" x14ac:dyDescent="0.25">
      <c r="A2109" s="49" t="str">
        <f>IF(C2109="","","BAN-02108")</f>
        <v/>
      </c>
      <c r="B2109" s="98" t="str">
        <f>IF(C2109="","",2108)</f>
        <v/>
      </c>
      <c r="C2109" s="50"/>
      <c r="D2109" s="49" t="str">
        <f t="shared" si="65"/>
        <v/>
      </c>
      <c r="E2109" s="92"/>
      <c r="F2109" s="49"/>
      <c r="G2109" s="14"/>
      <c r="H2109" s="14"/>
      <c r="I2109" s="76"/>
      <c r="J2109" s="73"/>
      <c r="K2109" s="74"/>
      <c r="L2109" s="72"/>
      <c r="M2109" s="72"/>
      <c r="N2109" s="72" t="str">
        <f>IF(AND(C2109="",J2109=0,K2109=0,L2109=0,M2109=0),"",CADASTROS!$B$4+SUM($J$2:J2109)+SUM($M$2:M2109)-SUM($K$2:K2109)-SUM($L$2:L2109))</f>
        <v/>
      </c>
      <c r="O2109" s="72" t="str">
        <f>IF(A2109="","",SUMIF(RATEIOS!$A$2:$A$3142,$A2109,RATEIOS!$F$2:$F$3142))</f>
        <v/>
      </c>
      <c r="P2109" s="15" t="str">
        <f t="shared" si="66"/>
        <v/>
      </c>
      <c r="Q2109" s="49" t="str">
        <f>IF(AND(J2109=0,K2109=0,L2109=0,M2109=0),"",IF(O2109=0,"PENDENTE DE RATEIO",IF(ABS(P2109)&gt;0.005,"DIVERGÊNCIA",IF(COUNTIF(RATEIOS!$A$2:$A$3142,$A2109)-COUNTIFS(RATEIOS!$A$2:$A$3142,$A2109,RATEIOS!$D$2:$D$3142,"&lt;&gt;")&gt;0,"NÃO CLASSIFICADO","RATEIO OK"))))</f>
        <v/>
      </c>
      <c r="R2109" s="49"/>
      <c r="S2109" s="14"/>
    </row>
    <row r="2110" spans="1:19" ht="30" customHeight="1" x14ac:dyDescent="0.25">
      <c r="A2110" s="49" t="str">
        <f>IF(C2110="","","BAN-02109")</f>
        <v/>
      </c>
      <c r="B2110" s="98" t="str">
        <f>IF(C2110="","",2109)</f>
        <v/>
      </c>
      <c r="C2110" s="50"/>
      <c r="D2110" s="49" t="str">
        <f t="shared" si="65"/>
        <v/>
      </c>
      <c r="E2110" s="92"/>
      <c r="F2110" s="49"/>
      <c r="G2110" s="14"/>
      <c r="H2110" s="14"/>
      <c r="I2110" s="76"/>
      <c r="J2110" s="73"/>
      <c r="K2110" s="74"/>
      <c r="L2110" s="72"/>
      <c r="M2110" s="72"/>
      <c r="N2110" s="72" t="str">
        <f>IF(AND(C2110="",J2110=0,K2110=0,L2110=0,M2110=0),"",CADASTROS!$B$4+SUM($J$2:J2110)+SUM($M$2:M2110)-SUM($K$2:K2110)-SUM($L$2:L2110))</f>
        <v/>
      </c>
      <c r="O2110" s="72" t="str">
        <f>IF(A2110="","",SUMIF(RATEIOS!$A$2:$A$3142,$A2110,RATEIOS!$F$2:$F$3142))</f>
        <v/>
      </c>
      <c r="P2110" s="15" t="str">
        <f t="shared" si="66"/>
        <v/>
      </c>
      <c r="Q2110" s="49" t="str">
        <f>IF(AND(J2110=0,K2110=0,L2110=0,M2110=0),"",IF(O2110=0,"PENDENTE DE RATEIO",IF(ABS(P2110)&gt;0.005,"DIVERGÊNCIA",IF(COUNTIF(RATEIOS!$A$2:$A$3142,$A2110)-COUNTIFS(RATEIOS!$A$2:$A$3142,$A2110,RATEIOS!$D$2:$D$3142,"&lt;&gt;")&gt;0,"NÃO CLASSIFICADO","RATEIO OK"))))</f>
        <v/>
      </c>
      <c r="R2110" s="49"/>
      <c r="S2110" s="14"/>
    </row>
    <row r="2111" spans="1:19" ht="30" customHeight="1" x14ac:dyDescent="0.25">
      <c r="A2111" s="49" t="str">
        <f>IF(C2111="","","BAN-02110")</f>
        <v/>
      </c>
      <c r="B2111" s="98" t="str">
        <f>IF(C2111="","",2110)</f>
        <v/>
      </c>
      <c r="C2111" s="50"/>
      <c r="D2111" s="49" t="str">
        <f t="shared" si="65"/>
        <v/>
      </c>
      <c r="E2111" s="92"/>
      <c r="F2111" s="49"/>
      <c r="G2111" s="14"/>
      <c r="H2111" s="14"/>
      <c r="I2111" s="76"/>
      <c r="J2111" s="73"/>
      <c r="K2111" s="74"/>
      <c r="L2111" s="72"/>
      <c r="M2111" s="72"/>
      <c r="N2111" s="72" t="str">
        <f>IF(AND(C2111="",J2111=0,K2111=0,L2111=0,M2111=0),"",CADASTROS!$B$4+SUM($J$2:J2111)+SUM($M$2:M2111)-SUM($K$2:K2111)-SUM($L$2:L2111))</f>
        <v/>
      </c>
      <c r="O2111" s="72" t="str">
        <f>IF(A2111="","",SUMIF(RATEIOS!$A$2:$A$3142,$A2111,RATEIOS!$F$2:$F$3142))</f>
        <v/>
      </c>
      <c r="P2111" s="15" t="str">
        <f t="shared" si="66"/>
        <v/>
      </c>
      <c r="Q2111" s="49" t="str">
        <f>IF(AND(J2111=0,K2111=0,L2111=0,M2111=0),"",IF(O2111=0,"PENDENTE DE RATEIO",IF(ABS(P2111)&gt;0.005,"DIVERGÊNCIA",IF(COUNTIF(RATEIOS!$A$2:$A$3142,$A2111)-COUNTIFS(RATEIOS!$A$2:$A$3142,$A2111,RATEIOS!$D$2:$D$3142,"&lt;&gt;")&gt;0,"NÃO CLASSIFICADO","RATEIO OK"))))</f>
        <v/>
      </c>
      <c r="R2111" s="49"/>
      <c r="S2111" s="14"/>
    </row>
    <row r="2112" spans="1:19" ht="30" customHeight="1" x14ac:dyDescent="0.25">
      <c r="A2112" s="49" t="str">
        <f>IF(C2112="","","BAN-02111")</f>
        <v/>
      </c>
      <c r="B2112" s="98" t="str">
        <f>IF(C2112="","",2111)</f>
        <v/>
      </c>
      <c r="C2112" s="50"/>
      <c r="D2112" s="49" t="str">
        <f t="shared" si="65"/>
        <v/>
      </c>
      <c r="E2112" s="92"/>
      <c r="F2112" s="49"/>
      <c r="G2112" s="14"/>
      <c r="H2112" s="14"/>
      <c r="I2112" s="76"/>
      <c r="J2112" s="73"/>
      <c r="K2112" s="74"/>
      <c r="L2112" s="72"/>
      <c r="M2112" s="72"/>
      <c r="N2112" s="72" t="str">
        <f>IF(AND(C2112="",J2112=0,K2112=0,L2112=0,M2112=0),"",CADASTROS!$B$4+SUM($J$2:J2112)+SUM($M$2:M2112)-SUM($K$2:K2112)-SUM($L$2:L2112))</f>
        <v/>
      </c>
      <c r="O2112" s="72" t="str">
        <f>IF(A2112="","",SUMIF(RATEIOS!$A$2:$A$3142,$A2112,RATEIOS!$F$2:$F$3142))</f>
        <v/>
      </c>
      <c r="P2112" s="15" t="str">
        <f t="shared" si="66"/>
        <v/>
      </c>
      <c r="Q2112" s="49" t="str">
        <f>IF(AND(J2112=0,K2112=0,L2112=0,M2112=0),"",IF(O2112=0,"PENDENTE DE RATEIO",IF(ABS(P2112)&gt;0.005,"DIVERGÊNCIA",IF(COUNTIF(RATEIOS!$A$2:$A$3142,$A2112)-COUNTIFS(RATEIOS!$A$2:$A$3142,$A2112,RATEIOS!$D$2:$D$3142,"&lt;&gt;")&gt;0,"NÃO CLASSIFICADO","RATEIO OK"))))</f>
        <v/>
      </c>
      <c r="R2112" s="49"/>
      <c r="S2112" s="14"/>
    </row>
    <row r="2113" spans="1:19" ht="30" customHeight="1" x14ac:dyDescent="0.25">
      <c r="A2113" s="49" t="str">
        <f>IF(C2113="","","BAN-02112")</f>
        <v/>
      </c>
      <c r="B2113" s="98" t="str">
        <f>IF(C2113="","",2112)</f>
        <v/>
      </c>
      <c r="C2113" s="50"/>
      <c r="D2113" s="49" t="str">
        <f t="shared" si="65"/>
        <v/>
      </c>
      <c r="E2113" s="92"/>
      <c r="F2113" s="49"/>
      <c r="G2113" s="14"/>
      <c r="H2113" s="14"/>
      <c r="I2113" s="76"/>
      <c r="J2113" s="73"/>
      <c r="K2113" s="74"/>
      <c r="L2113" s="72"/>
      <c r="M2113" s="72"/>
      <c r="N2113" s="72" t="str">
        <f>IF(AND(C2113="",J2113=0,K2113=0,L2113=0,M2113=0),"",CADASTROS!$B$4+SUM($J$2:J2113)+SUM($M$2:M2113)-SUM($K$2:K2113)-SUM($L$2:L2113))</f>
        <v/>
      </c>
      <c r="O2113" s="72" t="str">
        <f>IF(A2113="","",SUMIF(RATEIOS!$A$2:$A$3142,$A2113,RATEIOS!$F$2:$F$3142))</f>
        <v/>
      </c>
      <c r="P2113" s="15" t="str">
        <f t="shared" si="66"/>
        <v/>
      </c>
      <c r="Q2113" s="49" t="str">
        <f>IF(AND(J2113=0,K2113=0,L2113=0,M2113=0),"",IF(O2113=0,"PENDENTE DE RATEIO",IF(ABS(P2113)&gt;0.005,"DIVERGÊNCIA",IF(COUNTIF(RATEIOS!$A$2:$A$3142,$A2113)-COUNTIFS(RATEIOS!$A$2:$A$3142,$A2113,RATEIOS!$D$2:$D$3142,"&lt;&gt;")&gt;0,"NÃO CLASSIFICADO","RATEIO OK"))))</f>
        <v/>
      </c>
      <c r="R2113" s="49"/>
      <c r="S2113" s="14"/>
    </row>
    <row r="2114" spans="1:19" ht="30" customHeight="1" x14ac:dyDescent="0.25">
      <c r="A2114" s="49" t="str">
        <f>IF(C2114="","","BAN-02113")</f>
        <v/>
      </c>
      <c r="B2114" s="98" t="str">
        <f>IF(C2114="","",2113)</f>
        <v/>
      </c>
      <c r="C2114" s="50"/>
      <c r="D2114" s="49" t="str">
        <f t="shared" ref="D2114:D2177" si="67">IF(C2114="","",MONTH(C2114))</f>
        <v/>
      </c>
      <c r="E2114" s="92"/>
      <c r="F2114" s="49"/>
      <c r="G2114" s="14"/>
      <c r="H2114" s="14"/>
      <c r="I2114" s="76"/>
      <c r="J2114" s="73"/>
      <c r="K2114" s="74"/>
      <c r="L2114" s="72"/>
      <c r="M2114" s="72"/>
      <c r="N2114" s="72" t="str">
        <f>IF(AND(C2114="",J2114=0,K2114=0,L2114=0,M2114=0),"",CADASTROS!$B$4+SUM($J$2:J2114)+SUM($M$2:M2114)-SUM($K$2:K2114)-SUM($L$2:L2114))</f>
        <v/>
      </c>
      <c r="O2114" s="72" t="str">
        <f>IF(A2114="","",SUMIF(RATEIOS!$A$2:$A$3142,$A2114,RATEIOS!$F$2:$F$3142))</f>
        <v/>
      </c>
      <c r="P2114" s="15" t="str">
        <f t="shared" ref="P2114:P2177" si="68">IF(A2114="","",(J2114+K2114+L2114+M2114)-O2114)</f>
        <v/>
      </c>
      <c r="Q2114" s="49" t="str">
        <f>IF(AND(J2114=0,K2114=0,L2114=0,M2114=0),"",IF(O2114=0,"PENDENTE DE RATEIO",IF(ABS(P2114)&gt;0.005,"DIVERGÊNCIA",IF(COUNTIF(RATEIOS!$A$2:$A$3142,$A2114)-COUNTIFS(RATEIOS!$A$2:$A$3142,$A2114,RATEIOS!$D$2:$D$3142,"&lt;&gt;")&gt;0,"NÃO CLASSIFICADO","RATEIO OK"))))</f>
        <v/>
      </c>
      <c r="R2114" s="49"/>
      <c r="S2114" s="14"/>
    </row>
    <row r="2115" spans="1:19" ht="30" customHeight="1" x14ac:dyDescent="0.25">
      <c r="A2115" s="49" t="str">
        <f>IF(C2115="","","BAN-02114")</f>
        <v/>
      </c>
      <c r="B2115" s="98" t="str">
        <f>IF(C2115="","",2114)</f>
        <v/>
      </c>
      <c r="C2115" s="50"/>
      <c r="D2115" s="49" t="str">
        <f t="shared" si="67"/>
        <v/>
      </c>
      <c r="E2115" s="92"/>
      <c r="F2115" s="49"/>
      <c r="G2115" s="14"/>
      <c r="H2115" s="14"/>
      <c r="I2115" s="76"/>
      <c r="J2115" s="73"/>
      <c r="K2115" s="74"/>
      <c r="L2115" s="72"/>
      <c r="M2115" s="72"/>
      <c r="N2115" s="72" t="str">
        <f>IF(AND(C2115="",J2115=0,K2115=0,L2115=0,M2115=0),"",CADASTROS!$B$4+SUM($J$2:J2115)+SUM($M$2:M2115)-SUM($K$2:K2115)-SUM($L$2:L2115))</f>
        <v/>
      </c>
      <c r="O2115" s="72" t="str">
        <f>IF(A2115="","",SUMIF(RATEIOS!$A$2:$A$3142,$A2115,RATEIOS!$F$2:$F$3142))</f>
        <v/>
      </c>
      <c r="P2115" s="15" t="str">
        <f t="shared" si="68"/>
        <v/>
      </c>
      <c r="Q2115" s="49" t="str">
        <f>IF(AND(J2115=0,K2115=0,L2115=0,M2115=0),"",IF(O2115=0,"PENDENTE DE RATEIO",IF(ABS(P2115)&gt;0.005,"DIVERGÊNCIA",IF(COUNTIF(RATEIOS!$A$2:$A$3142,$A2115)-COUNTIFS(RATEIOS!$A$2:$A$3142,$A2115,RATEIOS!$D$2:$D$3142,"&lt;&gt;")&gt;0,"NÃO CLASSIFICADO","RATEIO OK"))))</f>
        <v/>
      </c>
      <c r="R2115" s="49"/>
      <c r="S2115" s="14"/>
    </row>
    <row r="2116" spans="1:19" ht="30" customHeight="1" x14ac:dyDescent="0.25">
      <c r="A2116" s="49" t="str">
        <f>IF(C2116="","","BAN-02115")</f>
        <v/>
      </c>
      <c r="B2116" s="98" t="str">
        <f>IF(C2116="","",2115)</f>
        <v/>
      </c>
      <c r="C2116" s="50"/>
      <c r="D2116" s="49" t="str">
        <f t="shared" si="67"/>
        <v/>
      </c>
      <c r="E2116" s="92"/>
      <c r="F2116" s="49"/>
      <c r="G2116" s="14"/>
      <c r="H2116" s="14"/>
      <c r="I2116" s="76"/>
      <c r="J2116" s="73"/>
      <c r="K2116" s="74"/>
      <c r="L2116" s="72"/>
      <c r="M2116" s="72"/>
      <c r="N2116" s="72" t="str">
        <f>IF(AND(C2116="",J2116=0,K2116=0,L2116=0,M2116=0),"",CADASTROS!$B$4+SUM($J$2:J2116)+SUM($M$2:M2116)-SUM($K$2:K2116)-SUM($L$2:L2116))</f>
        <v/>
      </c>
      <c r="O2116" s="72" t="str">
        <f>IF(A2116="","",SUMIF(RATEIOS!$A$2:$A$3142,$A2116,RATEIOS!$F$2:$F$3142))</f>
        <v/>
      </c>
      <c r="P2116" s="15" t="str">
        <f t="shared" si="68"/>
        <v/>
      </c>
      <c r="Q2116" s="49" t="str">
        <f>IF(AND(J2116=0,K2116=0,L2116=0,M2116=0),"",IF(O2116=0,"PENDENTE DE RATEIO",IF(ABS(P2116)&gt;0.005,"DIVERGÊNCIA",IF(COUNTIF(RATEIOS!$A$2:$A$3142,$A2116)-COUNTIFS(RATEIOS!$A$2:$A$3142,$A2116,RATEIOS!$D$2:$D$3142,"&lt;&gt;")&gt;0,"NÃO CLASSIFICADO","RATEIO OK"))))</f>
        <v/>
      </c>
      <c r="R2116" s="49"/>
      <c r="S2116" s="14"/>
    </row>
    <row r="2117" spans="1:19" ht="30" customHeight="1" x14ac:dyDescent="0.25">
      <c r="A2117" s="49" t="str">
        <f>IF(C2117="","","BAN-02116")</f>
        <v/>
      </c>
      <c r="B2117" s="98" t="str">
        <f>IF(C2117="","",2116)</f>
        <v/>
      </c>
      <c r="C2117" s="50"/>
      <c r="D2117" s="49" t="str">
        <f t="shared" si="67"/>
        <v/>
      </c>
      <c r="E2117" s="92"/>
      <c r="F2117" s="49"/>
      <c r="G2117" s="14"/>
      <c r="H2117" s="14"/>
      <c r="I2117" s="76"/>
      <c r="J2117" s="73"/>
      <c r="K2117" s="74"/>
      <c r="L2117" s="72"/>
      <c r="M2117" s="72"/>
      <c r="N2117" s="72" t="str">
        <f>IF(AND(C2117="",J2117=0,K2117=0,L2117=0,M2117=0),"",CADASTROS!$B$4+SUM($J$2:J2117)+SUM($M$2:M2117)-SUM($K$2:K2117)-SUM($L$2:L2117))</f>
        <v/>
      </c>
      <c r="O2117" s="72" t="str">
        <f>IF(A2117="","",SUMIF(RATEIOS!$A$2:$A$3142,$A2117,RATEIOS!$F$2:$F$3142))</f>
        <v/>
      </c>
      <c r="P2117" s="15" t="str">
        <f t="shared" si="68"/>
        <v/>
      </c>
      <c r="Q2117" s="49" t="str">
        <f>IF(AND(J2117=0,K2117=0,L2117=0,M2117=0),"",IF(O2117=0,"PENDENTE DE RATEIO",IF(ABS(P2117)&gt;0.005,"DIVERGÊNCIA",IF(COUNTIF(RATEIOS!$A$2:$A$3142,$A2117)-COUNTIFS(RATEIOS!$A$2:$A$3142,$A2117,RATEIOS!$D$2:$D$3142,"&lt;&gt;")&gt;0,"NÃO CLASSIFICADO","RATEIO OK"))))</f>
        <v/>
      </c>
      <c r="R2117" s="49"/>
      <c r="S2117" s="14"/>
    </row>
    <row r="2118" spans="1:19" ht="30" customHeight="1" x14ac:dyDescent="0.25">
      <c r="A2118" s="49" t="str">
        <f>IF(C2118="","","BAN-02117")</f>
        <v/>
      </c>
      <c r="B2118" s="98" t="str">
        <f>IF(C2118="","",2117)</f>
        <v/>
      </c>
      <c r="C2118" s="50"/>
      <c r="D2118" s="49" t="str">
        <f t="shared" si="67"/>
        <v/>
      </c>
      <c r="E2118" s="92"/>
      <c r="F2118" s="49"/>
      <c r="G2118" s="14"/>
      <c r="H2118" s="14"/>
      <c r="I2118" s="76"/>
      <c r="J2118" s="73"/>
      <c r="K2118" s="74"/>
      <c r="L2118" s="72"/>
      <c r="M2118" s="72"/>
      <c r="N2118" s="72" t="str">
        <f>IF(AND(C2118="",J2118=0,K2118=0,L2118=0,M2118=0),"",CADASTROS!$B$4+SUM($J$2:J2118)+SUM($M$2:M2118)-SUM($K$2:K2118)-SUM($L$2:L2118))</f>
        <v/>
      </c>
      <c r="O2118" s="72" t="str">
        <f>IF(A2118="","",SUMIF(RATEIOS!$A$2:$A$3142,$A2118,RATEIOS!$F$2:$F$3142))</f>
        <v/>
      </c>
      <c r="P2118" s="15" t="str">
        <f t="shared" si="68"/>
        <v/>
      </c>
      <c r="Q2118" s="49" t="str">
        <f>IF(AND(J2118=0,K2118=0,L2118=0,M2118=0),"",IF(O2118=0,"PENDENTE DE RATEIO",IF(ABS(P2118)&gt;0.005,"DIVERGÊNCIA",IF(COUNTIF(RATEIOS!$A$2:$A$3142,$A2118)-COUNTIFS(RATEIOS!$A$2:$A$3142,$A2118,RATEIOS!$D$2:$D$3142,"&lt;&gt;")&gt;0,"NÃO CLASSIFICADO","RATEIO OK"))))</f>
        <v/>
      </c>
      <c r="R2118" s="49"/>
      <c r="S2118" s="14"/>
    </row>
    <row r="2119" spans="1:19" ht="30" customHeight="1" x14ac:dyDescent="0.25">
      <c r="A2119" s="49" t="str">
        <f>IF(C2119="","","BAN-02118")</f>
        <v/>
      </c>
      <c r="B2119" s="98" t="str">
        <f>IF(C2119="","",2118)</f>
        <v/>
      </c>
      <c r="C2119" s="50"/>
      <c r="D2119" s="49" t="str">
        <f t="shared" si="67"/>
        <v/>
      </c>
      <c r="E2119" s="92"/>
      <c r="F2119" s="49"/>
      <c r="G2119" s="14"/>
      <c r="H2119" s="14"/>
      <c r="I2119" s="76"/>
      <c r="J2119" s="73"/>
      <c r="K2119" s="74"/>
      <c r="L2119" s="72"/>
      <c r="M2119" s="72"/>
      <c r="N2119" s="72" t="str">
        <f>IF(AND(C2119="",J2119=0,K2119=0,L2119=0,M2119=0),"",CADASTROS!$B$4+SUM($J$2:J2119)+SUM($M$2:M2119)-SUM($K$2:K2119)-SUM($L$2:L2119))</f>
        <v/>
      </c>
      <c r="O2119" s="72" t="str">
        <f>IF(A2119="","",SUMIF(RATEIOS!$A$2:$A$3142,$A2119,RATEIOS!$F$2:$F$3142))</f>
        <v/>
      </c>
      <c r="P2119" s="15" t="str">
        <f t="shared" si="68"/>
        <v/>
      </c>
      <c r="Q2119" s="49" t="str">
        <f>IF(AND(J2119=0,K2119=0,L2119=0,M2119=0),"",IF(O2119=0,"PENDENTE DE RATEIO",IF(ABS(P2119)&gt;0.005,"DIVERGÊNCIA",IF(COUNTIF(RATEIOS!$A$2:$A$3142,$A2119)-COUNTIFS(RATEIOS!$A$2:$A$3142,$A2119,RATEIOS!$D$2:$D$3142,"&lt;&gt;")&gt;0,"NÃO CLASSIFICADO","RATEIO OK"))))</f>
        <v/>
      </c>
      <c r="R2119" s="49"/>
      <c r="S2119" s="14"/>
    </row>
    <row r="2120" spans="1:19" ht="30" customHeight="1" x14ac:dyDescent="0.25">
      <c r="A2120" s="49" t="str">
        <f>IF(C2120="","","BAN-02119")</f>
        <v/>
      </c>
      <c r="B2120" s="98" t="str">
        <f>IF(C2120="","",2119)</f>
        <v/>
      </c>
      <c r="C2120" s="50"/>
      <c r="D2120" s="49" t="str">
        <f t="shared" si="67"/>
        <v/>
      </c>
      <c r="E2120" s="92"/>
      <c r="F2120" s="49"/>
      <c r="G2120" s="14"/>
      <c r="H2120" s="14"/>
      <c r="I2120" s="76"/>
      <c r="J2120" s="73"/>
      <c r="K2120" s="74"/>
      <c r="L2120" s="72"/>
      <c r="M2120" s="72"/>
      <c r="N2120" s="72" t="str">
        <f>IF(AND(C2120="",J2120=0,K2120=0,L2120=0,M2120=0),"",CADASTROS!$B$4+SUM($J$2:J2120)+SUM($M$2:M2120)-SUM($K$2:K2120)-SUM($L$2:L2120))</f>
        <v/>
      </c>
      <c r="O2120" s="72" t="str">
        <f>IF(A2120="","",SUMIF(RATEIOS!$A$2:$A$3142,$A2120,RATEIOS!$F$2:$F$3142))</f>
        <v/>
      </c>
      <c r="P2120" s="15" t="str">
        <f t="shared" si="68"/>
        <v/>
      </c>
      <c r="Q2120" s="49" t="str">
        <f>IF(AND(J2120=0,K2120=0,L2120=0,M2120=0),"",IF(O2120=0,"PENDENTE DE RATEIO",IF(ABS(P2120)&gt;0.005,"DIVERGÊNCIA",IF(COUNTIF(RATEIOS!$A$2:$A$3142,$A2120)-COUNTIFS(RATEIOS!$A$2:$A$3142,$A2120,RATEIOS!$D$2:$D$3142,"&lt;&gt;")&gt;0,"NÃO CLASSIFICADO","RATEIO OK"))))</f>
        <v/>
      </c>
      <c r="R2120" s="49"/>
      <c r="S2120" s="14"/>
    </row>
    <row r="2121" spans="1:19" ht="30" customHeight="1" x14ac:dyDescent="0.25">
      <c r="A2121" s="49" t="str">
        <f>IF(C2121="","","BAN-02120")</f>
        <v/>
      </c>
      <c r="B2121" s="98" t="str">
        <f>IF(C2121="","",2120)</f>
        <v/>
      </c>
      <c r="C2121" s="50"/>
      <c r="D2121" s="49" t="str">
        <f t="shared" si="67"/>
        <v/>
      </c>
      <c r="E2121" s="92"/>
      <c r="F2121" s="49"/>
      <c r="G2121" s="14"/>
      <c r="H2121" s="14"/>
      <c r="I2121" s="76"/>
      <c r="J2121" s="73"/>
      <c r="K2121" s="74"/>
      <c r="L2121" s="72"/>
      <c r="M2121" s="72"/>
      <c r="N2121" s="72" t="str">
        <f>IF(AND(C2121="",J2121=0,K2121=0,L2121=0,M2121=0),"",CADASTROS!$B$4+SUM($J$2:J2121)+SUM($M$2:M2121)-SUM($K$2:K2121)-SUM($L$2:L2121))</f>
        <v/>
      </c>
      <c r="O2121" s="72" t="str">
        <f>IF(A2121="","",SUMIF(RATEIOS!$A$2:$A$3142,$A2121,RATEIOS!$F$2:$F$3142))</f>
        <v/>
      </c>
      <c r="P2121" s="15" t="str">
        <f t="shared" si="68"/>
        <v/>
      </c>
      <c r="Q2121" s="49" t="str">
        <f>IF(AND(J2121=0,K2121=0,L2121=0,M2121=0),"",IF(O2121=0,"PENDENTE DE RATEIO",IF(ABS(P2121)&gt;0.005,"DIVERGÊNCIA",IF(COUNTIF(RATEIOS!$A$2:$A$3142,$A2121)-COUNTIFS(RATEIOS!$A$2:$A$3142,$A2121,RATEIOS!$D$2:$D$3142,"&lt;&gt;")&gt;0,"NÃO CLASSIFICADO","RATEIO OK"))))</f>
        <v/>
      </c>
      <c r="R2121" s="49"/>
      <c r="S2121" s="14"/>
    </row>
    <row r="2122" spans="1:19" ht="30" customHeight="1" x14ac:dyDescent="0.25">
      <c r="A2122" s="49" t="str">
        <f>IF(C2122="","","BAN-02121")</f>
        <v/>
      </c>
      <c r="B2122" s="98" t="str">
        <f>IF(C2122="","",2121)</f>
        <v/>
      </c>
      <c r="C2122" s="50"/>
      <c r="D2122" s="49" t="str">
        <f t="shared" si="67"/>
        <v/>
      </c>
      <c r="E2122" s="92"/>
      <c r="F2122" s="49"/>
      <c r="G2122" s="14"/>
      <c r="H2122" s="14"/>
      <c r="I2122" s="76"/>
      <c r="J2122" s="73"/>
      <c r="K2122" s="74"/>
      <c r="L2122" s="72"/>
      <c r="M2122" s="72"/>
      <c r="N2122" s="72" t="str">
        <f>IF(AND(C2122="",J2122=0,K2122=0,L2122=0,M2122=0),"",CADASTROS!$B$4+SUM($J$2:J2122)+SUM($M$2:M2122)-SUM($K$2:K2122)-SUM($L$2:L2122))</f>
        <v/>
      </c>
      <c r="O2122" s="72" t="str">
        <f>IF(A2122="","",SUMIF(RATEIOS!$A$2:$A$3142,$A2122,RATEIOS!$F$2:$F$3142))</f>
        <v/>
      </c>
      <c r="P2122" s="15" t="str">
        <f t="shared" si="68"/>
        <v/>
      </c>
      <c r="Q2122" s="49" t="str">
        <f>IF(AND(J2122=0,K2122=0,L2122=0,M2122=0),"",IF(O2122=0,"PENDENTE DE RATEIO",IF(ABS(P2122)&gt;0.005,"DIVERGÊNCIA",IF(COUNTIF(RATEIOS!$A$2:$A$3142,$A2122)-COUNTIFS(RATEIOS!$A$2:$A$3142,$A2122,RATEIOS!$D$2:$D$3142,"&lt;&gt;")&gt;0,"NÃO CLASSIFICADO","RATEIO OK"))))</f>
        <v/>
      </c>
      <c r="R2122" s="49"/>
      <c r="S2122" s="14"/>
    </row>
    <row r="2123" spans="1:19" ht="30" customHeight="1" x14ac:dyDescent="0.25">
      <c r="A2123" s="49" t="str">
        <f>IF(C2123="","","BAN-02122")</f>
        <v/>
      </c>
      <c r="B2123" s="98" t="str">
        <f>IF(C2123="","",2122)</f>
        <v/>
      </c>
      <c r="C2123" s="50"/>
      <c r="D2123" s="49" t="str">
        <f t="shared" si="67"/>
        <v/>
      </c>
      <c r="E2123" s="92"/>
      <c r="F2123" s="49"/>
      <c r="G2123" s="14"/>
      <c r="H2123" s="14"/>
      <c r="I2123" s="76"/>
      <c r="J2123" s="73"/>
      <c r="K2123" s="74"/>
      <c r="L2123" s="72"/>
      <c r="M2123" s="72"/>
      <c r="N2123" s="72" t="str">
        <f>IF(AND(C2123="",J2123=0,K2123=0,L2123=0,M2123=0),"",CADASTROS!$B$4+SUM($J$2:J2123)+SUM($M$2:M2123)-SUM($K$2:K2123)-SUM($L$2:L2123))</f>
        <v/>
      </c>
      <c r="O2123" s="72" t="str">
        <f>IF(A2123="","",SUMIF(RATEIOS!$A$2:$A$3142,$A2123,RATEIOS!$F$2:$F$3142))</f>
        <v/>
      </c>
      <c r="P2123" s="15" t="str">
        <f t="shared" si="68"/>
        <v/>
      </c>
      <c r="Q2123" s="49" t="str">
        <f>IF(AND(J2123=0,K2123=0,L2123=0,M2123=0),"",IF(O2123=0,"PENDENTE DE RATEIO",IF(ABS(P2123)&gt;0.005,"DIVERGÊNCIA",IF(COUNTIF(RATEIOS!$A$2:$A$3142,$A2123)-COUNTIFS(RATEIOS!$A$2:$A$3142,$A2123,RATEIOS!$D$2:$D$3142,"&lt;&gt;")&gt;0,"NÃO CLASSIFICADO","RATEIO OK"))))</f>
        <v/>
      </c>
      <c r="R2123" s="49"/>
      <c r="S2123" s="14"/>
    </row>
    <row r="2124" spans="1:19" ht="30" customHeight="1" x14ac:dyDescent="0.25">
      <c r="A2124" s="49" t="str">
        <f>IF(C2124="","","BAN-02123")</f>
        <v/>
      </c>
      <c r="B2124" s="98" t="str">
        <f>IF(C2124="","",2123)</f>
        <v/>
      </c>
      <c r="C2124" s="50"/>
      <c r="D2124" s="49" t="str">
        <f t="shared" si="67"/>
        <v/>
      </c>
      <c r="E2124" s="92"/>
      <c r="F2124" s="49"/>
      <c r="G2124" s="14"/>
      <c r="H2124" s="14"/>
      <c r="I2124" s="76"/>
      <c r="J2124" s="73"/>
      <c r="K2124" s="74"/>
      <c r="L2124" s="72"/>
      <c r="M2124" s="72"/>
      <c r="N2124" s="72" t="str">
        <f>IF(AND(C2124="",J2124=0,K2124=0,L2124=0,M2124=0),"",CADASTROS!$B$4+SUM($J$2:J2124)+SUM($M$2:M2124)-SUM($K$2:K2124)-SUM($L$2:L2124))</f>
        <v/>
      </c>
      <c r="O2124" s="72" t="str">
        <f>IF(A2124="","",SUMIF(RATEIOS!$A$2:$A$3142,$A2124,RATEIOS!$F$2:$F$3142))</f>
        <v/>
      </c>
      <c r="P2124" s="15" t="str">
        <f t="shared" si="68"/>
        <v/>
      </c>
      <c r="Q2124" s="49" t="str">
        <f>IF(AND(J2124=0,K2124=0,L2124=0,M2124=0),"",IF(O2124=0,"PENDENTE DE RATEIO",IF(ABS(P2124)&gt;0.005,"DIVERGÊNCIA",IF(COUNTIF(RATEIOS!$A$2:$A$3142,$A2124)-COUNTIFS(RATEIOS!$A$2:$A$3142,$A2124,RATEIOS!$D$2:$D$3142,"&lt;&gt;")&gt;0,"NÃO CLASSIFICADO","RATEIO OK"))))</f>
        <v/>
      </c>
      <c r="R2124" s="49"/>
      <c r="S2124" s="14"/>
    </row>
    <row r="2125" spans="1:19" ht="30" customHeight="1" x14ac:dyDescent="0.25">
      <c r="A2125" s="49" t="str">
        <f>IF(C2125="","","BAN-02124")</f>
        <v/>
      </c>
      <c r="B2125" s="98" t="str">
        <f>IF(C2125="","",2124)</f>
        <v/>
      </c>
      <c r="C2125" s="50"/>
      <c r="D2125" s="49" t="str">
        <f t="shared" si="67"/>
        <v/>
      </c>
      <c r="E2125" s="92"/>
      <c r="F2125" s="49"/>
      <c r="G2125" s="14"/>
      <c r="H2125" s="14"/>
      <c r="I2125" s="76"/>
      <c r="J2125" s="73"/>
      <c r="K2125" s="74"/>
      <c r="L2125" s="72"/>
      <c r="M2125" s="72"/>
      <c r="N2125" s="72" t="str">
        <f>IF(AND(C2125="",J2125=0,K2125=0,L2125=0,M2125=0),"",CADASTROS!$B$4+SUM($J$2:J2125)+SUM($M$2:M2125)-SUM($K$2:K2125)-SUM($L$2:L2125))</f>
        <v/>
      </c>
      <c r="O2125" s="72" t="str">
        <f>IF(A2125="","",SUMIF(RATEIOS!$A$2:$A$3142,$A2125,RATEIOS!$F$2:$F$3142))</f>
        <v/>
      </c>
      <c r="P2125" s="15" t="str">
        <f t="shared" si="68"/>
        <v/>
      </c>
      <c r="Q2125" s="49" t="str">
        <f>IF(AND(J2125=0,K2125=0,L2125=0,M2125=0),"",IF(O2125=0,"PENDENTE DE RATEIO",IF(ABS(P2125)&gt;0.005,"DIVERGÊNCIA",IF(COUNTIF(RATEIOS!$A$2:$A$3142,$A2125)-COUNTIFS(RATEIOS!$A$2:$A$3142,$A2125,RATEIOS!$D$2:$D$3142,"&lt;&gt;")&gt;0,"NÃO CLASSIFICADO","RATEIO OK"))))</f>
        <v/>
      </c>
      <c r="R2125" s="49"/>
      <c r="S2125" s="14"/>
    </row>
    <row r="2126" spans="1:19" ht="30" customHeight="1" x14ac:dyDescent="0.25">
      <c r="A2126" s="49" t="str">
        <f>IF(C2126="","","BAN-02125")</f>
        <v/>
      </c>
      <c r="B2126" s="98" t="str">
        <f>IF(C2126="","",2125)</f>
        <v/>
      </c>
      <c r="C2126" s="50"/>
      <c r="D2126" s="49" t="str">
        <f t="shared" si="67"/>
        <v/>
      </c>
      <c r="E2126" s="92"/>
      <c r="F2126" s="49"/>
      <c r="G2126" s="14"/>
      <c r="H2126" s="14"/>
      <c r="I2126" s="76"/>
      <c r="J2126" s="73"/>
      <c r="K2126" s="74"/>
      <c r="L2126" s="72"/>
      <c r="M2126" s="72"/>
      <c r="N2126" s="72" t="str">
        <f>IF(AND(C2126="",J2126=0,K2126=0,L2126=0,M2126=0),"",CADASTROS!$B$4+SUM($J$2:J2126)+SUM($M$2:M2126)-SUM($K$2:K2126)-SUM($L$2:L2126))</f>
        <v/>
      </c>
      <c r="O2126" s="72" t="str">
        <f>IF(A2126="","",SUMIF(RATEIOS!$A$2:$A$3142,$A2126,RATEIOS!$F$2:$F$3142))</f>
        <v/>
      </c>
      <c r="P2126" s="15" t="str">
        <f t="shared" si="68"/>
        <v/>
      </c>
      <c r="Q2126" s="49" t="str">
        <f>IF(AND(J2126=0,K2126=0,L2126=0,M2126=0),"",IF(O2126=0,"PENDENTE DE RATEIO",IF(ABS(P2126)&gt;0.005,"DIVERGÊNCIA",IF(COUNTIF(RATEIOS!$A$2:$A$3142,$A2126)-COUNTIFS(RATEIOS!$A$2:$A$3142,$A2126,RATEIOS!$D$2:$D$3142,"&lt;&gt;")&gt;0,"NÃO CLASSIFICADO","RATEIO OK"))))</f>
        <v/>
      </c>
      <c r="R2126" s="49"/>
      <c r="S2126" s="14"/>
    </row>
    <row r="2127" spans="1:19" ht="30" customHeight="1" x14ac:dyDescent="0.25">
      <c r="A2127" s="49" t="str">
        <f>IF(C2127="","","BAN-02126")</f>
        <v/>
      </c>
      <c r="B2127" s="98" t="str">
        <f>IF(C2127="","",2126)</f>
        <v/>
      </c>
      <c r="C2127" s="50"/>
      <c r="D2127" s="49" t="str">
        <f t="shared" si="67"/>
        <v/>
      </c>
      <c r="E2127" s="92"/>
      <c r="F2127" s="49"/>
      <c r="G2127" s="14"/>
      <c r="H2127" s="14"/>
      <c r="I2127" s="76"/>
      <c r="J2127" s="73"/>
      <c r="K2127" s="74"/>
      <c r="L2127" s="72"/>
      <c r="M2127" s="72"/>
      <c r="N2127" s="72" t="str">
        <f>IF(AND(C2127="",J2127=0,K2127=0,L2127=0,M2127=0),"",CADASTROS!$B$4+SUM($J$2:J2127)+SUM($M$2:M2127)-SUM($K$2:K2127)-SUM($L$2:L2127))</f>
        <v/>
      </c>
      <c r="O2127" s="72" t="str">
        <f>IF(A2127="","",SUMIF(RATEIOS!$A$2:$A$3142,$A2127,RATEIOS!$F$2:$F$3142))</f>
        <v/>
      </c>
      <c r="P2127" s="15" t="str">
        <f t="shared" si="68"/>
        <v/>
      </c>
      <c r="Q2127" s="49" t="str">
        <f>IF(AND(J2127=0,K2127=0,L2127=0,M2127=0),"",IF(O2127=0,"PENDENTE DE RATEIO",IF(ABS(P2127)&gt;0.005,"DIVERGÊNCIA",IF(COUNTIF(RATEIOS!$A$2:$A$3142,$A2127)-COUNTIFS(RATEIOS!$A$2:$A$3142,$A2127,RATEIOS!$D$2:$D$3142,"&lt;&gt;")&gt;0,"NÃO CLASSIFICADO","RATEIO OK"))))</f>
        <v/>
      </c>
      <c r="R2127" s="49"/>
      <c r="S2127" s="14"/>
    </row>
    <row r="2128" spans="1:19" ht="30" customHeight="1" x14ac:dyDescent="0.25">
      <c r="A2128" s="49" t="str">
        <f>IF(C2128="","","BAN-02127")</f>
        <v/>
      </c>
      <c r="B2128" s="98" t="str">
        <f>IF(C2128="","",2127)</f>
        <v/>
      </c>
      <c r="C2128" s="50"/>
      <c r="D2128" s="49" t="str">
        <f t="shared" si="67"/>
        <v/>
      </c>
      <c r="E2128" s="92"/>
      <c r="F2128" s="49"/>
      <c r="G2128" s="14"/>
      <c r="H2128" s="14"/>
      <c r="I2128" s="76"/>
      <c r="J2128" s="73"/>
      <c r="K2128" s="74"/>
      <c r="L2128" s="72"/>
      <c r="M2128" s="72"/>
      <c r="N2128" s="72" t="str">
        <f>IF(AND(C2128="",J2128=0,K2128=0,L2128=0,M2128=0),"",CADASTROS!$B$4+SUM($J$2:J2128)+SUM($M$2:M2128)-SUM($K$2:K2128)-SUM($L$2:L2128))</f>
        <v/>
      </c>
      <c r="O2128" s="72" t="str">
        <f>IF(A2128="","",SUMIF(RATEIOS!$A$2:$A$3142,$A2128,RATEIOS!$F$2:$F$3142))</f>
        <v/>
      </c>
      <c r="P2128" s="15" t="str">
        <f t="shared" si="68"/>
        <v/>
      </c>
      <c r="Q2128" s="49" t="str">
        <f>IF(AND(J2128=0,K2128=0,L2128=0,M2128=0),"",IF(O2128=0,"PENDENTE DE RATEIO",IF(ABS(P2128)&gt;0.005,"DIVERGÊNCIA",IF(COUNTIF(RATEIOS!$A$2:$A$3142,$A2128)-COUNTIFS(RATEIOS!$A$2:$A$3142,$A2128,RATEIOS!$D$2:$D$3142,"&lt;&gt;")&gt;0,"NÃO CLASSIFICADO","RATEIO OK"))))</f>
        <v/>
      </c>
      <c r="R2128" s="49"/>
      <c r="S2128" s="14"/>
    </row>
    <row r="2129" spans="1:19" ht="30" customHeight="1" x14ac:dyDescent="0.25">
      <c r="A2129" s="49" t="str">
        <f>IF(C2129="","","BAN-02128")</f>
        <v/>
      </c>
      <c r="B2129" s="98" t="str">
        <f>IF(C2129="","",2128)</f>
        <v/>
      </c>
      <c r="C2129" s="50"/>
      <c r="D2129" s="49" t="str">
        <f t="shared" si="67"/>
        <v/>
      </c>
      <c r="E2129" s="92"/>
      <c r="F2129" s="49"/>
      <c r="G2129" s="14"/>
      <c r="H2129" s="14"/>
      <c r="I2129" s="76"/>
      <c r="J2129" s="73"/>
      <c r="K2129" s="74"/>
      <c r="L2129" s="72"/>
      <c r="M2129" s="72"/>
      <c r="N2129" s="72" t="str">
        <f>IF(AND(C2129="",J2129=0,K2129=0,L2129=0,M2129=0),"",CADASTROS!$B$4+SUM($J$2:J2129)+SUM($M$2:M2129)-SUM($K$2:K2129)-SUM($L$2:L2129))</f>
        <v/>
      </c>
      <c r="O2129" s="72" t="str">
        <f>IF(A2129="","",SUMIF(RATEIOS!$A$2:$A$3142,$A2129,RATEIOS!$F$2:$F$3142))</f>
        <v/>
      </c>
      <c r="P2129" s="15" t="str">
        <f t="shared" si="68"/>
        <v/>
      </c>
      <c r="Q2129" s="49" t="str">
        <f>IF(AND(J2129=0,K2129=0,L2129=0,M2129=0),"",IF(O2129=0,"PENDENTE DE RATEIO",IF(ABS(P2129)&gt;0.005,"DIVERGÊNCIA",IF(COUNTIF(RATEIOS!$A$2:$A$3142,$A2129)-COUNTIFS(RATEIOS!$A$2:$A$3142,$A2129,RATEIOS!$D$2:$D$3142,"&lt;&gt;")&gt;0,"NÃO CLASSIFICADO","RATEIO OK"))))</f>
        <v/>
      </c>
      <c r="R2129" s="49"/>
      <c r="S2129" s="14"/>
    </row>
    <row r="2130" spans="1:19" ht="30" customHeight="1" x14ac:dyDescent="0.25">
      <c r="A2130" s="49" t="str">
        <f>IF(C2130="","","BAN-02129")</f>
        <v/>
      </c>
      <c r="B2130" s="98" t="str">
        <f>IF(C2130="","",2129)</f>
        <v/>
      </c>
      <c r="C2130" s="50"/>
      <c r="D2130" s="49" t="str">
        <f t="shared" si="67"/>
        <v/>
      </c>
      <c r="E2130" s="92"/>
      <c r="F2130" s="49"/>
      <c r="G2130" s="14"/>
      <c r="H2130" s="14"/>
      <c r="I2130" s="76"/>
      <c r="J2130" s="73"/>
      <c r="K2130" s="74"/>
      <c r="L2130" s="72"/>
      <c r="M2130" s="72"/>
      <c r="N2130" s="72" t="str">
        <f>IF(AND(C2130="",J2130=0,K2130=0,L2130=0,M2130=0),"",CADASTROS!$B$4+SUM($J$2:J2130)+SUM($M$2:M2130)-SUM($K$2:K2130)-SUM($L$2:L2130))</f>
        <v/>
      </c>
      <c r="O2130" s="72" t="str">
        <f>IF(A2130="","",SUMIF(RATEIOS!$A$2:$A$3142,$A2130,RATEIOS!$F$2:$F$3142))</f>
        <v/>
      </c>
      <c r="P2130" s="15" t="str">
        <f t="shared" si="68"/>
        <v/>
      </c>
      <c r="Q2130" s="49" t="str">
        <f>IF(AND(J2130=0,K2130=0,L2130=0,M2130=0),"",IF(O2130=0,"PENDENTE DE RATEIO",IF(ABS(P2130)&gt;0.005,"DIVERGÊNCIA",IF(COUNTIF(RATEIOS!$A$2:$A$3142,$A2130)-COUNTIFS(RATEIOS!$A$2:$A$3142,$A2130,RATEIOS!$D$2:$D$3142,"&lt;&gt;")&gt;0,"NÃO CLASSIFICADO","RATEIO OK"))))</f>
        <v/>
      </c>
      <c r="R2130" s="49"/>
      <c r="S2130" s="14"/>
    </row>
    <row r="2131" spans="1:19" ht="30" customHeight="1" x14ac:dyDescent="0.25">
      <c r="A2131" s="49" t="str">
        <f>IF(C2131="","","BAN-02130")</f>
        <v/>
      </c>
      <c r="B2131" s="98" t="str">
        <f>IF(C2131="","",2130)</f>
        <v/>
      </c>
      <c r="C2131" s="50"/>
      <c r="D2131" s="49" t="str">
        <f t="shared" si="67"/>
        <v/>
      </c>
      <c r="E2131" s="92"/>
      <c r="F2131" s="49"/>
      <c r="G2131" s="14"/>
      <c r="H2131" s="14"/>
      <c r="I2131" s="76"/>
      <c r="J2131" s="73"/>
      <c r="K2131" s="74"/>
      <c r="L2131" s="72"/>
      <c r="M2131" s="72"/>
      <c r="N2131" s="72" t="str">
        <f>IF(AND(C2131="",J2131=0,K2131=0,L2131=0,M2131=0),"",CADASTROS!$B$4+SUM($J$2:J2131)+SUM($M$2:M2131)-SUM($K$2:K2131)-SUM($L$2:L2131))</f>
        <v/>
      </c>
      <c r="O2131" s="72" t="str">
        <f>IF(A2131="","",SUMIF(RATEIOS!$A$2:$A$3142,$A2131,RATEIOS!$F$2:$F$3142))</f>
        <v/>
      </c>
      <c r="P2131" s="15" t="str">
        <f t="shared" si="68"/>
        <v/>
      </c>
      <c r="Q2131" s="49" t="str">
        <f>IF(AND(J2131=0,K2131=0,L2131=0,M2131=0),"",IF(O2131=0,"PENDENTE DE RATEIO",IF(ABS(P2131)&gt;0.005,"DIVERGÊNCIA",IF(COUNTIF(RATEIOS!$A$2:$A$3142,$A2131)-COUNTIFS(RATEIOS!$A$2:$A$3142,$A2131,RATEIOS!$D$2:$D$3142,"&lt;&gt;")&gt;0,"NÃO CLASSIFICADO","RATEIO OK"))))</f>
        <v/>
      </c>
      <c r="R2131" s="49"/>
      <c r="S2131" s="14"/>
    </row>
    <row r="2132" spans="1:19" ht="30" customHeight="1" x14ac:dyDescent="0.25">
      <c r="A2132" s="49" t="str">
        <f>IF(C2132="","","BAN-02131")</f>
        <v/>
      </c>
      <c r="B2132" s="98" t="str">
        <f>IF(C2132="","",2131)</f>
        <v/>
      </c>
      <c r="C2132" s="50"/>
      <c r="D2132" s="49" t="str">
        <f t="shared" si="67"/>
        <v/>
      </c>
      <c r="E2132" s="92"/>
      <c r="F2132" s="49"/>
      <c r="G2132" s="14"/>
      <c r="H2132" s="14"/>
      <c r="I2132" s="76"/>
      <c r="J2132" s="73"/>
      <c r="K2132" s="74"/>
      <c r="L2132" s="72"/>
      <c r="M2132" s="72"/>
      <c r="N2132" s="72" t="str">
        <f>IF(AND(C2132="",J2132=0,K2132=0,L2132=0,M2132=0),"",CADASTROS!$B$4+SUM($J$2:J2132)+SUM($M$2:M2132)-SUM($K$2:K2132)-SUM($L$2:L2132))</f>
        <v/>
      </c>
      <c r="O2132" s="72" t="str">
        <f>IF(A2132="","",SUMIF(RATEIOS!$A$2:$A$3142,$A2132,RATEIOS!$F$2:$F$3142))</f>
        <v/>
      </c>
      <c r="P2132" s="15" t="str">
        <f t="shared" si="68"/>
        <v/>
      </c>
      <c r="Q2132" s="49" t="str">
        <f>IF(AND(J2132=0,K2132=0,L2132=0,M2132=0),"",IF(O2132=0,"PENDENTE DE RATEIO",IF(ABS(P2132)&gt;0.005,"DIVERGÊNCIA",IF(COUNTIF(RATEIOS!$A$2:$A$3142,$A2132)-COUNTIFS(RATEIOS!$A$2:$A$3142,$A2132,RATEIOS!$D$2:$D$3142,"&lt;&gt;")&gt;0,"NÃO CLASSIFICADO","RATEIO OK"))))</f>
        <v/>
      </c>
      <c r="R2132" s="49"/>
      <c r="S2132" s="14"/>
    </row>
    <row r="2133" spans="1:19" ht="30" customHeight="1" x14ac:dyDescent="0.25">
      <c r="A2133" s="49" t="str">
        <f>IF(C2133="","","BAN-02132")</f>
        <v/>
      </c>
      <c r="B2133" s="98" t="str">
        <f>IF(C2133="","",2132)</f>
        <v/>
      </c>
      <c r="C2133" s="50"/>
      <c r="D2133" s="49" t="str">
        <f t="shared" si="67"/>
        <v/>
      </c>
      <c r="E2133" s="92"/>
      <c r="F2133" s="49"/>
      <c r="G2133" s="14"/>
      <c r="H2133" s="14"/>
      <c r="I2133" s="76"/>
      <c r="J2133" s="73"/>
      <c r="K2133" s="74"/>
      <c r="L2133" s="72"/>
      <c r="M2133" s="72"/>
      <c r="N2133" s="72" t="str">
        <f>IF(AND(C2133="",J2133=0,K2133=0,L2133=0,M2133=0),"",CADASTROS!$B$4+SUM($J$2:J2133)+SUM($M$2:M2133)-SUM($K$2:K2133)-SUM($L$2:L2133))</f>
        <v/>
      </c>
      <c r="O2133" s="72" t="str">
        <f>IF(A2133="","",SUMIF(RATEIOS!$A$2:$A$3142,$A2133,RATEIOS!$F$2:$F$3142))</f>
        <v/>
      </c>
      <c r="P2133" s="15" t="str">
        <f t="shared" si="68"/>
        <v/>
      </c>
      <c r="Q2133" s="49" t="str">
        <f>IF(AND(J2133=0,K2133=0,L2133=0,M2133=0),"",IF(O2133=0,"PENDENTE DE RATEIO",IF(ABS(P2133)&gt;0.005,"DIVERGÊNCIA",IF(COUNTIF(RATEIOS!$A$2:$A$3142,$A2133)-COUNTIFS(RATEIOS!$A$2:$A$3142,$A2133,RATEIOS!$D$2:$D$3142,"&lt;&gt;")&gt;0,"NÃO CLASSIFICADO","RATEIO OK"))))</f>
        <v/>
      </c>
      <c r="R2133" s="49"/>
      <c r="S2133" s="14"/>
    </row>
    <row r="2134" spans="1:19" ht="30" customHeight="1" x14ac:dyDescent="0.25">
      <c r="A2134" s="49" t="str">
        <f>IF(C2134="","","BAN-02133")</f>
        <v/>
      </c>
      <c r="B2134" s="98" t="str">
        <f>IF(C2134="","",2133)</f>
        <v/>
      </c>
      <c r="C2134" s="50"/>
      <c r="D2134" s="49" t="str">
        <f t="shared" si="67"/>
        <v/>
      </c>
      <c r="E2134" s="92"/>
      <c r="F2134" s="49"/>
      <c r="G2134" s="14"/>
      <c r="H2134" s="14"/>
      <c r="I2134" s="76"/>
      <c r="J2134" s="73"/>
      <c r="K2134" s="74"/>
      <c r="L2134" s="72"/>
      <c r="M2134" s="72"/>
      <c r="N2134" s="72" t="str">
        <f>IF(AND(C2134="",J2134=0,K2134=0,L2134=0,M2134=0),"",CADASTROS!$B$4+SUM($J$2:J2134)+SUM($M$2:M2134)-SUM($K$2:K2134)-SUM($L$2:L2134))</f>
        <v/>
      </c>
      <c r="O2134" s="72" t="str">
        <f>IF(A2134="","",SUMIF(RATEIOS!$A$2:$A$3142,$A2134,RATEIOS!$F$2:$F$3142))</f>
        <v/>
      </c>
      <c r="P2134" s="15" t="str">
        <f t="shared" si="68"/>
        <v/>
      </c>
      <c r="Q2134" s="49" t="str">
        <f>IF(AND(J2134=0,K2134=0,L2134=0,M2134=0),"",IF(O2134=0,"PENDENTE DE RATEIO",IF(ABS(P2134)&gt;0.005,"DIVERGÊNCIA",IF(COUNTIF(RATEIOS!$A$2:$A$3142,$A2134)-COUNTIFS(RATEIOS!$A$2:$A$3142,$A2134,RATEIOS!$D$2:$D$3142,"&lt;&gt;")&gt;0,"NÃO CLASSIFICADO","RATEIO OK"))))</f>
        <v/>
      </c>
      <c r="R2134" s="49"/>
      <c r="S2134" s="14"/>
    </row>
    <row r="2135" spans="1:19" ht="30" customHeight="1" x14ac:dyDescent="0.25">
      <c r="A2135" s="49" t="str">
        <f>IF(C2135="","","BAN-02134")</f>
        <v/>
      </c>
      <c r="B2135" s="98" t="str">
        <f>IF(C2135="","",2134)</f>
        <v/>
      </c>
      <c r="C2135" s="50"/>
      <c r="D2135" s="49" t="str">
        <f t="shared" si="67"/>
        <v/>
      </c>
      <c r="E2135" s="92"/>
      <c r="F2135" s="49"/>
      <c r="G2135" s="14"/>
      <c r="H2135" s="14"/>
      <c r="I2135" s="76"/>
      <c r="J2135" s="73"/>
      <c r="K2135" s="74"/>
      <c r="L2135" s="72"/>
      <c r="M2135" s="72"/>
      <c r="N2135" s="72" t="str">
        <f>IF(AND(C2135="",J2135=0,K2135=0,L2135=0,M2135=0),"",CADASTROS!$B$4+SUM($J$2:J2135)+SUM($M$2:M2135)-SUM($K$2:K2135)-SUM($L$2:L2135))</f>
        <v/>
      </c>
      <c r="O2135" s="72" t="str">
        <f>IF(A2135="","",SUMIF(RATEIOS!$A$2:$A$3142,$A2135,RATEIOS!$F$2:$F$3142))</f>
        <v/>
      </c>
      <c r="P2135" s="15" t="str">
        <f t="shared" si="68"/>
        <v/>
      </c>
      <c r="Q2135" s="49" t="str">
        <f>IF(AND(J2135=0,K2135=0,L2135=0,M2135=0),"",IF(O2135=0,"PENDENTE DE RATEIO",IF(ABS(P2135)&gt;0.005,"DIVERGÊNCIA",IF(COUNTIF(RATEIOS!$A$2:$A$3142,$A2135)-COUNTIFS(RATEIOS!$A$2:$A$3142,$A2135,RATEIOS!$D$2:$D$3142,"&lt;&gt;")&gt;0,"NÃO CLASSIFICADO","RATEIO OK"))))</f>
        <v/>
      </c>
      <c r="R2135" s="49"/>
      <c r="S2135" s="14"/>
    </row>
    <row r="2136" spans="1:19" ht="30" customHeight="1" x14ac:dyDescent="0.25">
      <c r="A2136" s="49" t="str">
        <f>IF(C2136="","","BAN-02135")</f>
        <v/>
      </c>
      <c r="B2136" s="98" t="str">
        <f>IF(C2136="","",2135)</f>
        <v/>
      </c>
      <c r="C2136" s="50"/>
      <c r="D2136" s="49" t="str">
        <f t="shared" si="67"/>
        <v/>
      </c>
      <c r="E2136" s="92"/>
      <c r="F2136" s="49"/>
      <c r="G2136" s="14"/>
      <c r="H2136" s="14"/>
      <c r="I2136" s="76"/>
      <c r="J2136" s="73"/>
      <c r="K2136" s="74"/>
      <c r="L2136" s="72"/>
      <c r="M2136" s="72"/>
      <c r="N2136" s="72" t="str">
        <f>IF(AND(C2136="",J2136=0,K2136=0,L2136=0,M2136=0),"",CADASTROS!$B$4+SUM($J$2:J2136)+SUM($M$2:M2136)-SUM($K$2:K2136)-SUM($L$2:L2136))</f>
        <v/>
      </c>
      <c r="O2136" s="72" t="str">
        <f>IF(A2136="","",SUMIF(RATEIOS!$A$2:$A$3142,$A2136,RATEIOS!$F$2:$F$3142))</f>
        <v/>
      </c>
      <c r="P2136" s="15" t="str">
        <f t="shared" si="68"/>
        <v/>
      </c>
      <c r="Q2136" s="49" t="str">
        <f>IF(AND(J2136=0,K2136=0,L2136=0,M2136=0),"",IF(O2136=0,"PENDENTE DE RATEIO",IF(ABS(P2136)&gt;0.005,"DIVERGÊNCIA",IF(COUNTIF(RATEIOS!$A$2:$A$3142,$A2136)-COUNTIFS(RATEIOS!$A$2:$A$3142,$A2136,RATEIOS!$D$2:$D$3142,"&lt;&gt;")&gt;0,"NÃO CLASSIFICADO","RATEIO OK"))))</f>
        <v/>
      </c>
      <c r="R2136" s="49"/>
      <c r="S2136" s="14"/>
    </row>
    <row r="2137" spans="1:19" ht="30" customHeight="1" x14ac:dyDescent="0.25">
      <c r="A2137" s="49" t="str">
        <f>IF(C2137="","","BAN-02136")</f>
        <v/>
      </c>
      <c r="B2137" s="98" t="str">
        <f>IF(C2137="","",2136)</f>
        <v/>
      </c>
      <c r="C2137" s="50"/>
      <c r="D2137" s="49" t="str">
        <f t="shared" si="67"/>
        <v/>
      </c>
      <c r="E2137" s="92"/>
      <c r="F2137" s="49"/>
      <c r="G2137" s="14"/>
      <c r="H2137" s="14"/>
      <c r="I2137" s="76"/>
      <c r="J2137" s="73"/>
      <c r="K2137" s="74"/>
      <c r="L2137" s="72"/>
      <c r="M2137" s="72"/>
      <c r="N2137" s="72" t="str">
        <f>IF(AND(C2137="",J2137=0,K2137=0,L2137=0,M2137=0),"",CADASTROS!$B$4+SUM($J$2:J2137)+SUM($M$2:M2137)-SUM($K$2:K2137)-SUM($L$2:L2137))</f>
        <v/>
      </c>
      <c r="O2137" s="72" t="str">
        <f>IF(A2137="","",SUMIF(RATEIOS!$A$2:$A$3142,$A2137,RATEIOS!$F$2:$F$3142))</f>
        <v/>
      </c>
      <c r="P2137" s="15" t="str">
        <f t="shared" si="68"/>
        <v/>
      </c>
      <c r="Q2137" s="49" t="str">
        <f>IF(AND(J2137=0,K2137=0,L2137=0,M2137=0),"",IF(O2137=0,"PENDENTE DE RATEIO",IF(ABS(P2137)&gt;0.005,"DIVERGÊNCIA",IF(COUNTIF(RATEIOS!$A$2:$A$3142,$A2137)-COUNTIFS(RATEIOS!$A$2:$A$3142,$A2137,RATEIOS!$D$2:$D$3142,"&lt;&gt;")&gt;0,"NÃO CLASSIFICADO","RATEIO OK"))))</f>
        <v/>
      </c>
      <c r="R2137" s="49"/>
      <c r="S2137" s="14"/>
    </row>
    <row r="2138" spans="1:19" ht="30" customHeight="1" x14ac:dyDescent="0.25">
      <c r="A2138" s="49" t="str">
        <f>IF(C2138="","","BAN-02137")</f>
        <v/>
      </c>
      <c r="B2138" s="98" t="str">
        <f>IF(C2138="","",2137)</f>
        <v/>
      </c>
      <c r="C2138" s="50"/>
      <c r="D2138" s="49" t="str">
        <f t="shared" si="67"/>
        <v/>
      </c>
      <c r="E2138" s="92"/>
      <c r="F2138" s="49"/>
      <c r="G2138" s="14"/>
      <c r="H2138" s="14"/>
      <c r="I2138" s="76"/>
      <c r="J2138" s="73"/>
      <c r="K2138" s="74"/>
      <c r="L2138" s="72"/>
      <c r="M2138" s="72"/>
      <c r="N2138" s="72" t="str">
        <f>IF(AND(C2138="",J2138=0,K2138=0,L2138=0,M2138=0),"",CADASTROS!$B$4+SUM($J$2:J2138)+SUM($M$2:M2138)-SUM($K$2:K2138)-SUM($L$2:L2138))</f>
        <v/>
      </c>
      <c r="O2138" s="72" t="str">
        <f>IF(A2138="","",SUMIF(RATEIOS!$A$2:$A$3142,$A2138,RATEIOS!$F$2:$F$3142))</f>
        <v/>
      </c>
      <c r="P2138" s="15" t="str">
        <f t="shared" si="68"/>
        <v/>
      </c>
      <c r="Q2138" s="49" t="str">
        <f>IF(AND(J2138=0,K2138=0,L2138=0,M2138=0),"",IF(O2138=0,"PENDENTE DE RATEIO",IF(ABS(P2138)&gt;0.005,"DIVERGÊNCIA",IF(COUNTIF(RATEIOS!$A$2:$A$3142,$A2138)-COUNTIFS(RATEIOS!$A$2:$A$3142,$A2138,RATEIOS!$D$2:$D$3142,"&lt;&gt;")&gt;0,"NÃO CLASSIFICADO","RATEIO OK"))))</f>
        <v/>
      </c>
      <c r="R2138" s="49"/>
      <c r="S2138" s="14"/>
    </row>
    <row r="2139" spans="1:19" ht="30" customHeight="1" x14ac:dyDescent="0.25">
      <c r="A2139" s="49" t="str">
        <f>IF(C2139="","","BAN-02138")</f>
        <v/>
      </c>
      <c r="B2139" s="98" t="str">
        <f>IF(C2139="","",2138)</f>
        <v/>
      </c>
      <c r="C2139" s="50"/>
      <c r="D2139" s="49" t="str">
        <f t="shared" si="67"/>
        <v/>
      </c>
      <c r="E2139" s="92"/>
      <c r="F2139" s="49"/>
      <c r="G2139" s="14"/>
      <c r="H2139" s="14"/>
      <c r="I2139" s="76"/>
      <c r="J2139" s="73"/>
      <c r="K2139" s="74"/>
      <c r="L2139" s="72"/>
      <c r="M2139" s="72"/>
      <c r="N2139" s="72" t="str">
        <f>IF(AND(C2139="",J2139=0,K2139=0,L2139=0,M2139=0),"",CADASTROS!$B$4+SUM($J$2:J2139)+SUM($M$2:M2139)-SUM($K$2:K2139)-SUM($L$2:L2139))</f>
        <v/>
      </c>
      <c r="O2139" s="72" t="str">
        <f>IF(A2139="","",SUMIF(RATEIOS!$A$2:$A$3142,$A2139,RATEIOS!$F$2:$F$3142))</f>
        <v/>
      </c>
      <c r="P2139" s="15" t="str">
        <f t="shared" si="68"/>
        <v/>
      </c>
      <c r="Q2139" s="49" t="str">
        <f>IF(AND(J2139=0,K2139=0,L2139=0,M2139=0),"",IF(O2139=0,"PENDENTE DE RATEIO",IF(ABS(P2139)&gt;0.005,"DIVERGÊNCIA",IF(COUNTIF(RATEIOS!$A$2:$A$3142,$A2139)-COUNTIFS(RATEIOS!$A$2:$A$3142,$A2139,RATEIOS!$D$2:$D$3142,"&lt;&gt;")&gt;0,"NÃO CLASSIFICADO","RATEIO OK"))))</f>
        <v/>
      </c>
      <c r="R2139" s="49"/>
      <c r="S2139" s="14"/>
    </row>
    <row r="2140" spans="1:19" ht="30" customHeight="1" x14ac:dyDescent="0.25">
      <c r="A2140" s="49" t="str">
        <f>IF(C2140="","","BAN-02139")</f>
        <v/>
      </c>
      <c r="B2140" s="98" t="str">
        <f>IF(C2140="","",2139)</f>
        <v/>
      </c>
      <c r="C2140" s="50"/>
      <c r="D2140" s="49" t="str">
        <f t="shared" si="67"/>
        <v/>
      </c>
      <c r="E2140" s="92"/>
      <c r="F2140" s="49"/>
      <c r="G2140" s="14"/>
      <c r="H2140" s="14"/>
      <c r="I2140" s="76"/>
      <c r="J2140" s="73"/>
      <c r="K2140" s="74"/>
      <c r="L2140" s="72"/>
      <c r="M2140" s="72"/>
      <c r="N2140" s="72" t="str">
        <f>IF(AND(C2140="",J2140=0,K2140=0,L2140=0,M2140=0),"",CADASTROS!$B$4+SUM($J$2:J2140)+SUM($M$2:M2140)-SUM($K$2:K2140)-SUM($L$2:L2140))</f>
        <v/>
      </c>
      <c r="O2140" s="72" t="str">
        <f>IF(A2140="","",SUMIF(RATEIOS!$A$2:$A$3142,$A2140,RATEIOS!$F$2:$F$3142))</f>
        <v/>
      </c>
      <c r="P2140" s="15" t="str">
        <f t="shared" si="68"/>
        <v/>
      </c>
      <c r="Q2140" s="49" t="str">
        <f>IF(AND(J2140=0,K2140=0,L2140=0,M2140=0),"",IF(O2140=0,"PENDENTE DE RATEIO",IF(ABS(P2140)&gt;0.005,"DIVERGÊNCIA",IF(COUNTIF(RATEIOS!$A$2:$A$3142,$A2140)-COUNTIFS(RATEIOS!$A$2:$A$3142,$A2140,RATEIOS!$D$2:$D$3142,"&lt;&gt;")&gt;0,"NÃO CLASSIFICADO","RATEIO OK"))))</f>
        <v/>
      </c>
      <c r="R2140" s="49"/>
      <c r="S2140" s="14"/>
    </row>
    <row r="2141" spans="1:19" ht="30" customHeight="1" x14ac:dyDescent="0.25">
      <c r="A2141" s="49" t="str">
        <f>IF(C2141="","","BAN-02140")</f>
        <v/>
      </c>
      <c r="B2141" s="98" t="str">
        <f>IF(C2141="","",2140)</f>
        <v/>
      </c>
      <c r="C2141" s="50"/>
      <c r="D2141" s="49" t="str">
        <f t="shared" si="67"/>
        <v/>
      </c>
      <c r="E2141" s="92"/>
      <c r="F2141" s="49"/>
      <c r="G2141" s="14"/>
      <c r="H2141" s="14"/>
      <c r="I2141" s="76"/>
      <c r="J2141" s="73"/>
      <c r="K2141" s="74"/>
      <c r="L2141" s="72"/>
      <c r="M2141" s="72"/>
      <c r="N2141" s="72" t="str">
        <f>IF(AND(C2141="",J2141=0,K2141=0,L2141=0,M2141=0),"",CADASTROS!$B$4+SUM($J$2:J2141)+SUM($M$2:M2141)-SUM($K$2:K2141)-SUM($L$2:L2141))</f>
        <v/>
      </c>
      <c r="O2141" s="72" t="str">
        <f>IF(A2141="","",SUMIF(RATEIOS!$A$2:$A$3142,$A2141,RATEIOS!$F$2:$F$3142))</f>
        <v/>
      </c>
      <c r="P2141" s="15" t="str">
        <f t="shared" si="68"/>
        <v/>
      </c>
      <c r="Q2141" s="49" t="str">
        <f>IF(AND(J2141=0,K2141=0,L2141=0,M2141=0),"",IF(O2141=0,"PENDENTE DE RATEIO",IF(ABS(P2141)&gt;0.005,"DIVERGÊNCIA",IF(COUNTIF(RATEIOS!$A$2:$A$3142,$A2141)-COUNTIFS(RATEIOS!$A$2:$A$3142,$A2141,RATEIOS!$D$2:$D$3142,"&lt;&gt;")&gt;0,"NÃO CLASSIFICADO","RATEIO OK"))))</f>
        <v/>
      </c>
      <c r="R2141" s="49"/>
      <c r="S2141" s="14"/>
    </row>
    <row r="2142" spans="1:19" ht="30" customHeight="1" x14ac:dyDescent="0.25">
      <c r="A2142" s="49" t="str">
        <f>IF(C2142="","","BAN-02141")</f>
        <v/>
      </c>
      <c r="B2142" s="98" t="str">
        <f>IF(C2142="","",2141)</f>
        <v/>
      </c>
      <c r="C2142" s="50"/>
      <c r="D2142" s="49" t="str">
        <f t="shared" si="67"/>
        <v/>
      </c>
      <c r="E2142" s="92"/>
      <c r="F2142" s="49"/>
      <c r="G2142" s="14"/>
      <c r="H2142" s="14"/>
      <c r="I2142" s="76"/>
      <c r="J2142" s="73"/>
      <c r="K2142" s="74"/>
      <c r="L2142" s="72"/>
      <c r="M2142" s="72"/>
      <c r="N2142" s="72" t="str">
        <f>IF(AND(C2142="",J2142=0,K2142=0,L2142=0,M2142=0),"",CADASTROS!$B$4+SUM($J$2:J2142)+SUM($M$2:M2142)-SUM($K$2:K2142)-SUM($L$2:L2142))</f>
        <v/>
      </c>
      <c r="O2142" s="72" t="str">
        <f>IF(A2142="","",SUMIF(RATEIOS!$A$2:$A$3142,$A2142,RATEIOS!$F$2:$F$3142))</f>
        <v/>
      </c>
      <c r="P2142" s="15" t="str">
        <f t="shared" si="68"/>
        <v/>
      </c>
      <c r="Q2142" s="49" t="str">
        <f>IF(AND(J2142=0,K2142=0,L2142=0,M2142=0),"",IF(O2142=0,"PENDENTE DE RATEIO",IF(ABS(P2142)&gt;0.005,"DIVERGÊNCIA",IF(COUNTIF(RATEIOS!$A$2:$A$3142,$A2142)-COUNTIFS(RATEIOS!$A$2:$A$3142,$A2142,RATEIOS!$D$2:$D$3142,"&lt;&gt;")&gt;0,"NÃO CLASSIFICADO","RATEIO OK"))))</f>
        <v/>
      </c>
      <c r="R2142" s="49"/>
      <c r="S2142" s="14"/>
    </row>
    <row r="2143" spans="1:19" ht="30" customHeight="1" x14ac:dyDescent="0.25">
      <c r="A2143" s="49" t="str">
        <f>IF(C2143="","","BAN-02142")</f>
        <v/>
      </c>
      <c r="B2143" s="98" t="str">
        <f>IF(C2143="","",2142)</f>
        <v/>
      </c>
      <c r="C2143" s="50"/>
      <c r="D2143" s="49" t="str">
        <f t="shared" si="67"/>
        <v/>
      </c>
      <c r="E2143" s="92"/>
      <c r="F2143" s="49"/>
      <c r="G2143" s="14"/>
      <c r="H2143" s="14"/>
      <c r="I2143" s="76"/>
      <c r="J2143" s="73"/>
      <c r="K2143" s="74"/>
      <c r="L2143" s="72"/>
      <c r="M2143" s="72"/>
      <c r="N2143" s="72" t="str">
        <f>IF(AND(C2143="",J2143=0,K2143=0,L2143=0,M2143=0),"",CADASTROS!$B$4+SUM($J$2:J2143)+SUM($M$2:M2143)-SUM($K$2:K2143)-SUM($L$2:L2143))</f>
        <v/>
      </c>
      <c r="O2143" s="72" t="str">
        <f>IF(A2143="","",SUMIF(RATEIOS!$A$2:$A$3142,$A2143,RATEIOS!$F$2:$F$3142))</f>
        <v/>
      </c>
      <c r="P2143" s="15" t="str">
        <f t="shared" si="68"/>
        <v/>
      </c>
      <c r="Q2143" s="49" t="str">
        <f>IF(AND(J2143=0,K2143=0,L2143=0,M2143=0),"",IF(O2143=0,"PENDENTE DE RATEIO",IF(ABS(P2143)&gt;0.005,"DIVERGÊNCIA",IF(COUNTIF(RATEIOS!$A$2:$A$3142,$A2143)-COUNTIFS(RATEIOS!$A$2:$A$3142,$A2143,RATEIOS!$D$2:$D$3142,"&lt;&gt;")&gt;0,"NÃO CLASSIFICADO","RATEIO OK"))))</f>
        <v/>
      </c>
      <c r="R2143" s="49"/>
      <c r="S2143" s="14"/>
    </row>
    <row r="2144" spans="1:19" ht="30" customHeight="1" x14ac:dyDescent="0.25">
      <c r="A2144" s="49" t="str">
        <f>IF(C2144="","","BAN-02143")</f>
        <v/>
      </c>
      <c r="B2144" s="98" t="str">
        <f>IF(C2144="","",2143)</f>
        <v/>
      </c>
      <c r="C2144" s="50"/>
      <c r="D2144" s="49" t="str">
        <f t="shared" si="67"/>
        <v/>
      </c>
      <c r="E2144" s="92"/>
      <c r="F2144" s="49"/>
      <c r="G2144" s="14"/>
      <c r="H2144" s="14"/>
      <c r="I2144" s="76"/>
      <c r="J2144" s="73"/>
      <c r="K2144" s="74"/>
      <c r="L2144" s="72"/>
      <c r="M2144" s="72"/>
      <c r="N2144" s="72" t="str">
        <f>IF(AND(C2144="",J2144=0,K2144=0,L2144=0,M2144=0),"",CADASTROS!$B$4+SUM($J$2:J2144)+SUM($M$2:M2144)-SUM($K$2:K2144)-SUM($L$2:L2144))</f>
        <v/>
      </c>
      <c r="O2144" s="72" t="str">
        <f>IF(A2144="","",SUMIF(RATEIOS!$A$2:$A$3142,$A2144,RATEIOS!$F$2:$F$3142))</f>
        <v/>
      </c>
      <c r="P2144" s="15" t="str">
        <f t="shared" si="68"/>
        <v/>
      </c>
      <c r="Q2144" s="49" t="str">
        <f>IF(AND(J2144=0,K2144=0,L2144=0,M2144=0),"",IF(O2144=0,"PENDENTE DE RATEIO",IF(ABS(P2144)&gt;0.005,"DIVERGÊNCIA",IF(COUNTIF(RATEIOS!$A$2:$A$3142,$A2144)-COUNTIFS(RATEIOS!$A$2:$A$3142,$A2144,RATEIOS!$D$2:$D$3142,"&lt;&gt;")&gt;0,"NÃO CLASSIFICADO","RATEIO OK"))))</f>
        <v/>
      </c>
      <c r="R2144" s="49"/>
      <c r="S2144" s="14"/>
    </row>
    <row r="2145" spans="1:19" ht="30" customHeight="1" x14ac:dyDescent="0.25">
      <c r="A2145" s="49" t="str">
        <f>IF(C2145="","","BAN-02144")</f>
        <v/>
      </c>
      <c r="B2145" s="98" t="str">
        <f>IF(C2145="","",2144)</f>
        <v/>
      </c>
      <c r="C2145" s="50"/>
      <c r="D2145" s="49" t="str">
        <f t="shared" si="67"/>
        <v/>
      </c>
      <c r="E2145" s="92"/>
      <c r="F2145" s="49"/>
      <c r="G2145" s="14"/>
      <c r="H2145" s="14"/>
      <c r="I2145" s="76"/>
      <c r="J2145" s="73"/>
      <c r="K2145" s="74"/>
      <c r="L2145" s="72"/>
      <c r="M2145" s="72"/>
      <c r="N2145" s="72" t="str">
        <f>IF(AND(C2145="",J2145=0,K2145=0,L2145=0,M2145=0),"",CADASTROS!$B$4+SUM($J$2:J2145)+SUM($M$2:M2145)-SUM($K$2:K2145)-SUM($L$2:L2145))</f>
        <v/>
      </c>
      <c r="O2145" s="72" t="str">
        <f>IF(A2145="","",SUMIF(RATEIOS!$A$2:$A$3142,$A2145,RATEIOS!$F$2:$F$3142))</f>
        <v/>
      </c>
      <c r="P2145" s="15" t="str">
        <f t="shared" si="68"/>
        <v/>
      </c>
      <c r="Q2145" s="49" t="str">
        <f>IF(AND(J2145=0,K2145=0,L2145=0,M2145=0),"",IF(O2145=0,"PENDENTE DE RATEIO",IF(ABS(P2145)&gt;0.005,"DIVERGÊNCIA",IF(COUNTIF(RATEIOS!$A$2:$A$3142,$A2145)-COUNTIFS(RATEIOS!$A$2:$A$3142,$A2145,RATEIOS!$D$2:$D$3142,"&lt;&gt;")&gt;0,"NÃO CLASSIFICADO","RATEIO OK"))))</f>
        <v/>
      </c>
      <c r="R2145" s="49"/>
      <c r="S2145" s="14"/>
    </row>
    <row r="2146" spans="1:19" ht="30" customHeight="1" x14ac:dyDescent="0.25">
      <c r="A2146" s="49" t="str">
        <f>IF(C2146="","","BAN-02145")</f>
        <v/>
      </c>
      <c r="B2146" s="98" t="str">
        <f>IF(C2146="","",2145)</f>
        <v/>
      </c>
      <c r="C2146" s="50"/>
      <c r="D2146" s="49" t="str">
        <f t="shared" si="67"/>
        <v/>
      </c>
      <c r="E2146" s="92"/>
      <c r="F2146" s="49"/>
      <c r="G2146" s="14"/>
      <c r="H2146" s="14"/>
      <c r="I2146" s="76"/>
      <c r="J2146" s="73"/>
      <c r="K2146" s="74"/>
      <c r="L2146" s="72"/>
      <c r="M2146" s="72"/>
      <c r="N2146" s="72" t="str">
        <f>IF(AND(C2146="",J2146=0,K2146=0,L2146=0,M2146=0),"",CADASTROS!$B$4+SUM($J$2:J2146)+SUM($M$2:M2146)-SUM($K$2:K2146)-SUM($L$2:L2146))</f>
        <v/>
      </c>
      <c r="O2146" s="72" t="str">
        <f>IF(A2146="","",SUMIF(RATEIOS!$A$2:$A$3142,$A2146,RATEIOS!$F$2:$F$3142))</f>
        <v/>
      </c>
      <c r="P2146" s="15" t="str">
        <f t="shared" si="68"/>
        <v/>
      </c>
      <c r="Q2146" s="49" t="str">
        <f>IF(AND(J2146=0,K2146=0,L2146=0,M2146=0),"",IF(O2146=0,"PENDENTE DE RATEIO",IF(ABS(P2146)&gt;0.005,"DIVERGÊNCIA",IF(COUNTIF(RATEIOS!$A$2:$A$3142,$A2146)-COUNTIFS(RATEIOS!$A$2:$A$3142,$A2146,RATEIOS!$D$2:$D$3142,"&lt;&gt;")&gt;0,"NÃO CLASSIFICADO","RATEIO OK"))))</f>
        <v/>
      </c>
      <c r="R2146" s="49"/>
      <c r="S2146" s="14"/>
    </row>
    <row r="2147" spans="1:19" ht="30" customHeight="1" x14ac:dyDescent="0.25">
      <c r="A2147" s="49" t="str">
        <f>IF(C2147="","","BAN-02146")</f>
        <v/>
      </c>
      <c r="B2147" s="98" t="str">
        <f>IF(C2147="","",2146)</f>
        <v/>
      </c>
      <c r="C2147" s="50"/>
      <c r="D2147" s="49" t="str">
        <f t="shared" si="67"/>
        <v/>
      </c>
      <c r="E2147" s="92"/>
      <c r="F2147" s="49"/>
      <c r="G2147" s="14"/>
      <c r="H2147" s="14"/>
      <c r="I2147" s="76"/>
      <c r="J2147" s="73"/>
      <c r="K2147" s="74"/>
      <c r="L2147" s="72"/>
      <c r="M2147" s="72"/>
      <c r="N2147" s="72" t="str">
        <f>IF(AND(C2147="",J2147=0,K2147=0,L2147=0,M2147=0),"",CADASTROS!$B$4+SUM($J$2:J2147)+SUM($M$2:M2147)-SUM($K$2:K2147)-SUM($L$2:L2147))</f>
        <v/>
      </c>
      <c r="O2147" s="72" t="str">
        <f>IF(A2147="","",SUMIF(RATEIOS!$A$2:$A$3142,$A2147,RATEIOS!$F$2:$F$3142))</f>
        <v/>
      </c>
      <c r="P2147" s="15" t="str">
        <f t="shared" si="68"/>
        <v/>
      </c>
      <c r="Q2147" s="49" t="str">
        <f>IF(AND(J2147=0,K2147=0,L2147=0,M2147=0),"",IF(O2147=0,"PENDENTE DE RATEIO",IF(ABS(P2147)&gt;0.005,"DIVERGÊNCIA",IF(COUNTIF(RATEIOS!$A$2:$A$3142,$A2147)-COUNTIFS(RATEIOS!$A$2:$A$3142,$A2147,RATEIOS!$D$2:$D$3142,"&lt;&gt;")&gt;0,"NÃO CLASSIFICADO","RATEIO OK"))))</f>
        <v/>
      </c>
      <c r="R2147" s="49"/>
      <c r="S2147" s="14"/>
    </row>
    <row r="2148" spans="1:19" ht="30" customHeight="1" x14ac:dyDescent="0.25">
      <c r="A2148" s="49" t="str">
        <f>IF(C2148="","","BAN-02147")</f>
        <v/>
      </c>
      <c r="B2148" s="98" t="str">
        <f>IF(C2148="","",2147)</f>
        <v/>
      </c>
      <c r="C2148" s="50"/>
      <c r="D2148" s="49" t="str">
        <f t="shared" si="67"/>
        <v/>
      </c>
      <c r="E2148" s="92"/>
      <c r="F2148" s="49"/>
      <c r="G2148" s="14"/>
      <c r="H2148" s="14"/>
      <c r="I2148" s="76"/>
      <c r="J2148" s="73"/>
      <c r="K2148" s="74"/>
      <c r="L2148" s="72"/>
      <c r="M2148" s="72"/>
      <c r="N2148" s="72" t="str">
        <f>IF(AND(C2148="",J2148=0,K2148=0,L2148=0,M2148=0),"",CADASTROS!$B$4+SUM($J$2:J2148)+SUM($M$2:M2148)-SUM($K$2:K2148)-SUM($L$2:L2148))</f>
        <v/>
      </c>
      <c r="O2148" s="72" t="str">
        <f>IF(A2148="","",SUMIF(RATEIOS!$A$2:$A$3142,$A2148,RATEIOS!$F$2:$F$3142))</f>
        <v/>
      </c>
      <c r="P2148" s="15" t="str">
        <f t="shared" si="68"/>
        <v/>
      </c>
      <c r="Q2148" s="49" t="str">
        <f>IF(AND(J2148=0,K2148=0,L2148=0,M2148=0),"",IF(O2148=0,"PENDENTE DE RATEIO",IF(ABS(P2148)&gt;0.005,"DIVERGÊNCIA",IF(COUNTIF(RATEIOS!$A$2:$A$3142,$A2148)-COUNTIFS(RATEIOS!$A$2:$A$3142,$A2148,RATEIOS!$D$2:$D$3142,"&lt;&gt;")&gt;0,"NÃO CLASSIFICADO","RATEIO OK"))))</f>
        <v/>
      </c>
      <c r="R2148" s="49"/>
      <c r="S2148" s="14"/>
    </row>
    <row r="2149" spans="1:19" ht="30" customHeight="1" x14ac:dyDescent="0.25">
      <c r="A2149" s="49" t="str">
        <f>IF(C2149="","","BAN-02148")</f>
        <v/>
      </c>
      <c r="B2149" s="98" t="str">
        <f>IF(C2149="","",2148)</f>
        <v/>
      </c>
      <c r="C2149" s="50"/>
      <c r="D2149" s="49" t="str">
        <f t="shared" si="67"/>
        <v/>
      </c>
      <c r="E2149" s="92"/>
      <c r="F2149" s="49"/>
      <c r="G2149" s="14"/>
      <c r="H2149" s="14"/>
      <c r="I2149" s="76"/>
      <c r="J2149" s="73"/>
      <c r="K2149" s="74"/>
      <c r="L2149" s="72"/>
      <c r="M2149" s="72"/>
      <c r="N2149" s="72" t="str">
        <f>IF(AND(C2149="",J2149=0,K2149=0,L2149=0,M2149=0),"",CADASTROS!$B$4+SUM($J$2:J2149)+SUM($M$2:M2149)-SUM($K$2:K2149)-SUM($L$2:L2149))</f>
        <v/>
      </c>
      <c r="O2149" s="72" t="str">
        <f>IF(A2149="","",SUMIF(RATEIOS!$A$2:$A$3142,$A2149,RATEIOS!$F$2:$F$3142))</f>
        <v/>
      </c>
      <c r="P2149" s="15" t="str">
        <f t="shared" si="68"/>
        <v/>
      </c>
      <c r="Q2149" s="49" t="str">
        <f>IF(AND(J2149=0,K2149=0,L2149=0,M2149=0),"",IF(O2149=0,"PENDENTE DE RATEIO",IF(ABS(P2149)&gt;0.005,"DIVERGÊNCIA",IF(COUNTIF(RATEIOS!$A$2:$A$3142,$A2149)-COUNTIFS(RATEIOS!$A$2:$A$3142,$A2149,RATEIOS!$D$2:$D$3142,"&lt;&gt;")&gt;0,"NÃO CLASSIFICADO","RATEIO OK"))))</f>
        <v/>
      </c>
      <c r="R2149" s="49"/>
      <c r="S2149" s="14"/>
    </row>
    <row r="2150" spans="1:19" ht="30" customHeight="1" x14ac:dyDescent="0.25">
      <c r="A2150" s="49" t="str">
        <f>IF(C2150="","","BAN-02149")</f>
        <v/>
      </c>
      <c r="B2150" s="98" t="str">
        <f>IF(C2150="","",2149)</f>
        <v/>
      </c>
      <c r="C2150" s="50"/>
      <c r="D2150" s="49" t="str">
        <f t="shared" si="67"/>
        <v/>
      </c>
      <c r="E2150" s="92"/>
      <c r="F2150" s="49"/>
      <c r="G2150" s="14"/>
      <c r="H2150" s="14"/>
      <c r="I2150" s="76"/>
      <c r="J2150" s="73"/>
      <c r="K2150" s="74"/>
      <c r="L2150" s="72"/>
      <c r="M2150" s="72"/>
      <c r="N2150" s="72" t="str">
        <f>IF(AND(C2150="",J2150=0,K2150=0,L2150=0,M2150=0),"",CADASTROS!$B$4+SUM($J$2:J2150)+SUM($M$2:M2150)-SUM($K$2:K2150)-SUM($L$2:L2150))</f>
        <v/>
      </c>
      <c r="O2150" s="72" t="str">
        <f>IF(A2150="","",SUMIF(RATEIOS!$A$2:$A$3142,$A2150,RATEIOS!$F$2:$F$3142))</f>
        <v/>
      </c>
      <c r="P2150" s="15" t="str">
        <f t="shared" si="68"/>
        <v/>
      </c>
      <c r="Q2150" s="49" t="str">
        <f>IF(AND(J2150=0,K2150=0,L2150=0,M2150=0),"",IF(O2150=0,"PENDENTE DE RATEIO",IF(ABS(P2150)&gt;0.005,"DIVERGÊNCIA",IF(COUNTIF(RATEIOS!$A$2:$A$3142,$A2150)-COUNTIFS(RATEIOS!$A$2:$A$3142,$A2150,RATEIOS!$D$2:$D$3142,"&lt;&gt;")&gt;0,"NÃO CLASSIFICADO","RATEIO OK"))))</f>
        <v/>
      </c>
      <c r="R2150" s="49"/>
      <c r="S2150" s="14"/>
    </row>
    <row r="2151" spans="1:19" ht="30" customHeight="1" x14ac:dyDescent="0.25">
      <c r="A2151" s="49" t="str">
        <f>IF(C2151="","","BAN-02150")</f>
        <v/>
      </c>
      <c r="B2151" s="98" t="str">
        <f>IF(C2151="","",2150)</f>
        <v/>
      </c>
      <c r="C2151" s="50"/>
      <c r="D2151" s="49" t="str">
        <f t="shared" si="67"/>
        <v/>
      </c>
      <c r="E2151" s="92"/>
      <c r="F2151" s="49"/>
      <c r="G2151" s="14"/>
      <c r="H2151" s="14"/>
      <c r="I2151" s="76"/>
      <c r="J2151" s="73"/>
      <c r="K2151" s="74"/>
      <c r="L2151" s="72"/>
      <c r="M2151" s="72"/>
      <c r="N2151" s="72" t="str">
        <f>IF(AND(C2151="",J2151=0,K2151=0,L2151=0,M2151=0),"",CADASTROS!$B$4+SUM($J$2:J2151)+SUM($M$2:M2151)-SUM($K$2:K2151)-SUM($L$2:L2151))</f>
        <v/>
      </c>
      <c r="O2151" s="72" t="str">
        <f>IF(A2151="","",SUMIF(RATEIOS!$A$2:$A$3142,$A2151,RATEIOS!$F$2:$F$3142))</f>
        <v/>
      </c>
      <c r="P2151" s="15" t="str">
        <f t="shared" si="68"/>
        <v/>
      </c>
      <c r="Q2151" s="49" t="str">
        <f>IF(AND(J2151=0,K2151=0,L2151=0,M2151=0),"",IF(O2151=0,"PENDENTE DE RATEIO",IF(ABS(P2151)&gt;0.005,"DIVERGÊNCIA",IF(COUNTIF(RATEIOS!$A$2:$A$3142,$A2151)-COUNTIFS(RATEIOS!$A$2:$A$3142,$A2151,RATEIOS!$D$2:$D$3142,"&lt;&gt;")&gt;0,"NÃO CLASSIFICADO","RATEIO OK"))))</f>
        <v/>
      </c>
      <c r="R2151" s="49"/>
      <c r="S2151" s="14"/>
    </row>
    <row r="2152" spans="1:19" ht="30" customHeight="1" x14ac:dyDescent="0.25">
      <c r="A2152" s="49" t="str">
        <f>IF(C2152="","","BAN-02151")</f>
        <v/>
      </c>
      <c r="B2152" s="98" t="str">
        <f>IF(C2152="","",2151)</f>
        <v/>
      </c>
      <c r="C2152" s="50"/>
      <c r="D2152" s="49" t="str">
        <f t="shared" si="67"/>
        <v/>
      </c>
      <c r="E2152" s="92"/>
      <c r="F2152" s="49"/>
      <c r="G2152" s="14"/>
      <c r="H2152" s="14"/>
      <c r="I2152" s="76"/>
      <c r="J2152" s="73"/>
      <c r="K2152" s="74"/>
      <c r="L2152" s="72"/>
      <c r="M2152" s="72"/>
      <c r="N2152" s="72" t="str">
        <f>IF(AND(C2152="",J2152=0,K2152=0,L2152=0,M2152=0),"",CADASTROS!$B$4+SUM($J$2:J2152)+SUM($M$2:M2152)-SUM($K$2:K2152)-SUM($L$2:L2152))</f>
        <v/>
      </c>
      <c r="O2152" s="72" t="str">
        <f>IF(A2152="","",SUMIF(RATEIOS!$A$2:$A$3142,$A2152,RATEIOS!$F$2:$F$3142))</f>
        <v/>
      </c>
      <c r="P2152" s="15" t="str">
        <f t="shared" si="68"/>
        <v/>
      </c>
      <c r="Q2152" s="49" t="str">
        <f>IF(AND(J2152=0,K2152=0,L2152=0,M2152=0),"",IF(O2152=0,"PENDENTE DE RATEIO",IF(ABS(P2152)&gt;0.005,"DIVERGÊNCIA",IF(COUNTIF(RATEIOS!$A$2:$A$3142,$A2152)-COUNTIFS(RATEIOS!$A$2:$A$3142,$A2152,RATEIOS!$D$2:$D$3142,"&lt;&gt;")&gt;0,"NÃO CLASSIFICADO","RATEIO OK"))))</f>
        <v/>
      </c>
      <c r="R2152" s="49"/>
      <c r="S2152" s="14"/>
    </row>
    <row r="2153" spans="1:19" ht="30" customHeight="1" x14ac:dyDescent="0.25">
      <c r="A2153" s="49" t="str">
        <f>IF(C2153="","","BAN-02152")</f>
        <v/>
      </c>
      <c r="B2153" s="98" t="str">
        <f>IF(C2153="","",2152)</f>
        <v/>
      </c>
      <c r="C2153" s="50"/>
      <c r="D2153" s="49" t="str">
        <f t="shared" si="67"/>
        <v/>
      </c>
      <c r="E2153" s="92"/>
      <c r="F2153" s="49"/>
      <c r="G2153" s="14"/>
      <c r="H2153" s="14"/>
      <c r="I2153" s="76"/>
      <c r="J2153" s="73"/>
      <c r="K2153" s="74"/>
      <c r="L2153" s="72"/>
      <c r="M2153" s="72"/>
      <c r="N2153" s="72" t="str">
        <f>IF(AND(C2153="",J2153=0,K2153=0,L2153=0,M2153=0),"",CADASTROS!$B$4+SUM($J$2:J2153)+SUM($M$2:M2153)-SUM($K$2:K2153)-SUM($L$2:L2153))</f>
        <v/>
      </c>
      <c r="O2153" s="72" t="str">
        <f>IF(A2153="","",SUMIF(RATEIOS!$A$2:$A$3142,$A2153,RATEIOS!$F$2:$F$3142))</f>
        <v/>
      </c>
      <c r="P2153" s="15" t="str">
        <f t="shared" si="68"/>
        <v/>
      </c>
      <c r="Q2153" s="49" t="str">
        <f>IF(AND(J2153=0,K2153=0,L2153=0,M2153=0),"",IF(O2153=0,"PENDENTE DE RATEIO",IF(ABS(P2153)&gt;0.005,"DIVERGÊNCIA",IF(COUNTIF(RATEIOS!$A$2:$A$3142,$A2153)-COUNTIFS(RATEIOS!$A$2:$A$3142,$A2153,RATEIOS!$D$2:$D$3142,"&lt;&gt;")&gt;0,"NÃO CLASSIFICADO","RATEIO OK"))))</f>
        <v/>
      </c>
      <c r="R2153" s="49"/>
      <c r="S2153" s="14"/>
    </row>
    <row r="2154" spans="1:19" ht="30" customHeight="1" x14ac:dyDescent="0.25">
      <c r="A2154" s="49" t="str">
        <f>IF(C2154="","","BAN-02153")</f>
        <v/>
      </c>
      <c r="B2154" s="98" t="str">
        <f>IF(C2154="","",2153)</f>
        <v/>
      </c>
      <c r="C2154" s="50"/>
      <c r="D2154" s="49" t="str">
        <f t="shared" si="67"/>
        <v/>
      </c>
      <c r="E2154" s="92"/>
      <c r="F2154" s="49"/>
      <c r="G2154" s="14"/>
      <c r="H2154" s="14"/>
      <c r="I2154" s="76"/>
      <c r="J2154" s="73"/>
      <c r="K2154" s="74"/>
      <c r="L2154" s="72"/>
      <c r="M2154" s="72"/>
      <c r="N2154" s="72" t="str">
        <f>IF(AND(C2154="",J2154=0,K2154=0,L2154=0,M2154=0),"",CADASTROS!$B$4+SUM($J$2:J2154)+SUM($M$2:M2154)-SUM($K$2:K2154)-SUM($L$2:L2154))</f>
        <v/>
      </c>
      <c r="O2154" s="72" t="str">
        <f>IF(A2154="","",SUMIF(RATEIOS!$A$2:$A$3142,$A2154,RATEIOS!$F$2:$F$3142))</f>
        <v/>
      </c>
      <c r="P2154" s="15" t="str">
        <f t="shared" si="68"/>
        <v/>
      </c>
      <c r="Q2154" s="49" t="str">
        <f>IF(AND(J2154=0,K2154=0,L2154=0,M2154=0),"",IF(O2154=0,"PENDENTE DE RATEIO",IF(ABS(P2154)&gt;0.005,"DIVERGÊNCIA",IF(COUNTIF(RATEIOS!$A$2:$A$3142,$A2154)-COUNTIFS(RATEIOS!$A$2:$A$3142,$A2154,RATEIOS!$D$2:$D$3142,"&lt;&gt;")&gt;0,"NÃO CLASSIFICADO","RATEIO OK"))))</f>
        <v/>
      </c>
      <c r="R2154" s="49"/>
      <c r="S2154" s="14"/>
    </row>
    <row r="2155" spans="1:19" ht="30" customHeight="1" x14ac:dyDescent="0.25">
      <c r="A2155" s="49" t="str">
        <f>IF(C2155="","","BAN-02154")</f>
        <v/>
      </c>
      <c r="B2155" s="98" t="str">
        <f>IF(C2155="","",2154)</f>
        <v/>
      </c>
      <c r="C2155" s="50"/>
      <c r="D2155" s="49" t="str">
        <f t="shared" si="67"/>
        <v/>
      </c>
      <c r="E2155" s="92"/>
      <c r="F2155" s="49"/>
      <c r="G2155" s="14"/>
      <c r="H2155" s="14"/>
      <c r="I2155" s="76"/>
      <c r="J2155" s="73"/>
      <c r="K2155" s="74"/>
      <c r="L2155" s="72"/>
      <c r="M2155" s="72"/>
      <c r="N2155" s="72" t="str">
        <f>IF(AND(C2155="",J2155=0,K2155=0,L2155=0,M2155=0),"",CADASTROS!$B$4+SUM($J$2:J2155)+SUM($M$2:M2155)-SUM($K$2:K2155)-SUM($L$2:L2155))</f>
        <v/>
      </c>
      <c r="O2155" s="72" t="str">
        <f>IF(A2155="","",SUMIF(RATEIOS!$A$2:$A$3142,$A2155,RATEIOS!$F$2:$F$3142))</f>
        <v/>
      </c>
      <c r="P2155" s="15" t="str">
        <f t="shared" si="68"/>
        <v/>
      </c>
      <c r="Q2155" s="49" t="str">
        <f>IF(AND(J2155=0,K2155=0,L2155=0,M2155=0),"",IF(O2155=0,"PENDENTE DE RATEIO",IF(ABS(P2155)&gt;0.005,"DIVERGÊNCIA",IF(COUNTIF(RATEIOS!$A$2:$A$3142,$A2155)-COUNTIFS(RATEIOS!$A$2:$A$3142,$A2155,RATEIOS!$D$2:$D$3142,"&lt;&gt;")&gt;0,"NÃO CLASSIFICADO","RATEIO OK"))))</f>
        <v/>
      </c>
      <c r="R2155" s="49"/>
      <c r="S2155" s="14"/>
    </row>
    <row r="2156" spans="1:19" ht="30" customHeight="1" x14ac:dyDescent="0.25">
      <c r="A2156" s="49" t="str">
        <f>IF(C2156="","","BAN-02155")</f>
        <v/>
      </c>
      <c r="B2156" s="98" t="str">
        <f>IF(C2156="","",2155)</f>
        <v/>
      </c>
      <c r="C2156" s="50"/>
      <c r="D2156" s="49" t="str">
        <f t="shared" si="67"/>
        <v/>
      </c>
      <c r="E2156" s="92"/>
      <c r="F2156" s="49"/>
      <c r="G2156" s="14"/>
      <c r="H2156" s="14"/>
      <c r="I2156" s="76"/>
      <c r="J2156" s="73"/>
      <c r="K2156" s="74"/>
      <c r="L2156" s="72"/>
      <c r="M2156" s="72"/>
      <c r="N2156" s="72" t="str">
        <f>IF(AND(C2156="",J2156=0,K2156=0,L2156=0,M2156=0),"",CADASTROS!$B$4+SUM($J$2:J2156)+SUM($M$2:M2156)-SUM($K$2:K2156)-SUM($L$2:L2156))</f>
        <v/>
      </c>
      <c r="O2156" s="72" t="str">
        <f>IF(A2156="","",SUMIF(RATEIOS!$A$2:$A$3142,$A2156,RATEIOS!$F$2:$F$3142))</f>
        <v/>
      </c>
      <c r="P2156" s="15" t="str">
        <f t="shared" si="68"/>
        <v/>
      </c>
      <c r="Q2156" s="49" t="str">
        <f>IF(AND(J2156=0,K2156=0,L2156=0,M2156=0),"",IF(O2156=0,"PENDENTE DE RATEIO",IF(ABS(P2156)&gt;0.005,"DIVERGÊNCIA",IF(COUNTIF(RATEIOS!$A$2:$A$3142,$A2156)-COUNTIFS(RATEIOS!$A$2:$A$3142,$A2156,RATEIOS!$D$2:$D$3142,"&lt;&gt;")&gt;0,"NÃO CLASSIFICADO","RATEIO OK"))))</f>
        <v/>
      </c>
      <c r="R2156" s="49"/>
      <c r="S2156" s="14"/>
    </row>
    <row r="2157" spans="1:19" ht="30" customHeight="1" x14ac:dyDescent="0.25">
      <c r="A2157" s="49" t="str">
        <f>IF(C2157="","","BAN-02156")</f>
        <v/>
      </c>
      <c r="B2157" s="98" t="str">
        <f>IF(C2157="","",2156)</f>
        <v/>
      </c>
      <c r="C2157" s="50"/>
      <c r="D2157" s="49" t="str">
        <f t="shared" si="67"/>
        <v/>
      </c>
      <c r="E2157" s="92"/>
      <c r="F2157" s="49"/>
      <c r="G2157" s="14"/>
      <c r="H2157" s="14"/>
      <c r="I2157" s="76"/>
      <c r="J2157" s="73"/>
      <c r="K2157" s="74"/>
      <c r="L2157" s="72"/>
      <c r="M2157" s="72"/>
      <c r="N2157" s="72" t="str">
        <f>IF(AND(C2157="",J2157=0,K2157=0,L2157=0,M2157=0),"",CADASTROS!$B$4+SUM($J$2:J2157)+SUM($M$2:M2157)-SUM($K$2:K2157)-SUM($L$2:L2157))</f>
        <v/>
      </c>
      <c r="O2157" s="72" t="str">
        <f>IF(A2157="","",SUMIF(RATEIOS!$A$2:$A$3142,$A2157,RATEIOS!$F$2:$F$3142))</f>
        <v/>
      </c>
      <c r="P2157" s="15" t="str">
        <f t="shared" si="68"/>
        <v/>
      </c>
      <c r="Q2157" s="49" t="str">
        <f>IF(AND(J2157=0,K2157=0,L2157=0,M2157=0),"",IF(O2157=0,"PENDENTE DE RATEIO",IF(ABS(P2157)&gt;0.005,"DIVERGÊNCIA",IF(COUNTIF(RATEIOS!$A$2:$A$3142,$A2157)-COUNTIFS(RATEIOS!$A$2:$A$3142,$A2157,RATEIOS!$D$2:$D$3142,"&lt;&gt;")&gt;0,"NÃO CLASSIFICADO","RATEIO OK"))))</f>
        <v/>
      </c>
      <c r="R2157" s="49"/>
      <c r="S2157" s="14"/>
    </row>
    <row r="2158" spans="1:19" ht="30" customHeight="1" x14ac:dyDescent="0.25">
      <c r="A2158" s="49" t="str">
        <f>IF(C2158="","","BAN-02157")</f>
        <v/>
      </c>
      <c r="B2158" s="98" t="str">
        <f>IF(C2158="","",2157)</f>
        <v/>
      </c>
      <c r="C2158" s="50"/>
      <c r="D2158" s="49" t="str">
        <f t="shared" si="67"/>
        <v/>
      </c>
      <c r="E2158" s="92"/>
      <c r="F2158" s="49"/>
      <c r="G2158" s="14"/>
      <c r="H2158" s="14"/>
      <c r="I2158" s="76"/>
      <c r="J2158" s="73"/>
      <c r="K2158" s="74"/>
      <c r="L2158" s="72"/>
      <c r="M2158" s="72"/>
      <c r="N2158" s="72" t="str">
        <f>IF(AND(C2158="",J2158=0,K2158=0,L2158=0,M2158=0),"",CADASTROS!$B$4+SUM($J$2:J2158)+SUM($M$2:M2158)-SUM($K$2:K2158)-SUM($L$2:L2158))</f>
        <v/>
      </c>
      <c r="O2158" s="72" t="str">
        <f>IF(A2158="","",SUMIF(RATEIOS!$A$2:$A$3142,$A2158,RATEIOS!$F$2:$F$3142))</f>
        <v/>
      </c>
      <c r="P2158" s="15" t="str">
        <f t="shared" si="68"/>
        <v/>
      </c>
      <c r="Q2158" s="49" t="str">
        <f>IF(AND(J2158=0,K2158=0,L2158=0,M2158=0),"",IF(O2158=0,"PENDENTE DE RATEIO",IF(ABS(P2158)&gt;0.005,"DIVERGÊNCIA",IF(COUNTIF(RATEIOS!$A$2:$A$3142,$A2158)-COUNTIFS(RATEIOS!$A$2:$A$3142,$A2158,RATEIOS!$D$2:$D$3142,"&lt;&gt;")&gt;0,"NÃO CLASSIFICADO","RATEIO OK"))))</f>
        <v/>
      </c>
      <c r="R2158" s="49"/>
      <c r="S2158" s="14"/>
    </row>
    <row r="2159" spans="1:19" ht="30" customHeight="1" x14ac:dyDescent="0.25">
      <c r="A2159" s="49" t="str">
        <f>IF(C2159="","","BAN-02158")</f>
        <v/>
      </c>
      <c r="B2159" s="98" t="str">
        <f>IF(C2159="","",2158)</f>
        <v/>
      </c>
      <c r="C2159" s="50"/>
      <c r="D2159" s="49" t="str">
        <f t="shared" si="67"/>
        <v/>
      </c>
      <c r="E2159" s="92"/>
      <c r="F2159" s="49"/>
      <c r="G2159" s="14"/>
      <c r="H2159" s="14"/>
      <c r="I2159" s="76"/>
      <c r="J2159" s="73"/>
      <c r="K2159" s="74"/>
      <c r="L2159" s="72"/>
      <c r="M2159" s="72"/>
      <c r="N2159" s="72" t="str">
        <f>IF(AND(C2159="",J2159=0,K2159=0,L2159=0,M2159=0),"",CADASTROS!$B$4+SUM($J$2:J2159)+SUM($M$2:M2159)-SUM($K$2:K2159)-SUM($L$2:L2159))</f>
        <v/>
      </c>
      <c r="O2159" s="72" t="str">
        <f>IF(A2159="","",SUMIF(RATEIOS!$A$2:$A$3142,$A2159,RATEIOS!$F$2:$F$3142))</f>
        <v/>
      </c>
      <c r="P2159" s="15" t="str">
        <f t="shared" si="68"/>
        <v/>
      </c>
      <c r="Q2159" s="49" t="str">
        <f>IF(AND(J2159=0,K2159=0,L2159=0,M2159=0),"",IF(O2159=0,"PENDENTE DE RATEIO",IF(ABS(P2159)&gt;0.005,"DIVERGÊNCIA",IF(COUNTIF(RATEIOS!$A$2:$A$3142,$A2159)-COUNTIFS(RATEIOS!$A$2:$A$3142,$A2159,RATEIOS!$D$2:$D$3142,"&lt;&gt;")&gt;0,"NÃO CLASSIFICADO","RATEIO OK"))))</f>
        <v/>
      </c>
      <c r="R2159" s="49"/>
      <c r="S2159" s="14"/>
    </row>
    <row r="2160" spans="1:19" ht="30" customHeight="1" x14ac:dyDescent="0.25">
      <c r="A2160" s="49" t="str">
        <f>IF(C2160="","","BAN-02159")</f>
        <v/>
      </c>
      <c r="B2160" s="98" t="str">
        <f>IF(C2160="","",2159)</f>
        <v/>
      </c>
      <c r="C2160" s="50"/>
      <c r="D2160" s="49" t="str">
        <f t="shared" si="67"/>
        <v/>
      </c>
      <c r="E2160" s="92"/>
      <c r="F2160" s="49"/>
      <c r="G2160" s="14"/>
      <c r="H2160" s="14"/>
      <c r="I2160" s="76"/>
      <c r="J2160" s="73"/>
      <c r="K2160" s="74"/>
      <c r="L2160" s="72"/>
      <c r="M2160" s="72"/>
      <c r="N2160" s="72" t="str">
        <f>IF(AND(C2160="",J2160=0,K2160=0,L2160=0,M2160=0),"",CADASTROS!$B$4+SUM($J$2:J2160)+SUM($M$2:M2160)-SUM($K$2:K2160)-SUM($L$2:L2160))</f>
        <v/>
      </c>
      <c r="O2160" s="72" t="str">
        <f>IF(A2160="","",SUMIF(RATEIOS!$A$2:$A$3142,$A2160,RATEIOS!$F$2:$F$3142))</f>
        <v/>
      </c>
      <c r="P2160" s="15" t="str">
        <f t="shared" si="68"/>
        <v/>
      </c>
      <c r="Q2160" s="49" t="str">
        <f>IF(AND(J2160=0,K2160=0,L2160=0,M2160=0),"",IF(O2160=0,"PENDENTE DE RATEIO",IF(ABS(P2160)&gt;0.005,"DIVERGÊNCIA",IF(COUNTIF(RATEIOS!$A$2:$A$3142,$A2160)-COUNTIFS(RATEIOS!$A$2:$A$3142,$A2160,RATEIOS!$D$2:$D$3142,"&lt;&gt;")&gt;0,"NÃO CLASSIFICADO","RATEIO OK"))))</f>
        <v/>
      </c>
      <c r="R2160" s="49"/>
      <c r="S2160" s="14"/>
    </row>
    <row r="2161" spans="1:19" ht="30" customHeight="1" x14ac:dyDescent="0.25">
      <c r="A2161" s="49" t="str">
        <f>IF(C2161="","","BAN-02160")</f>
        <v/>
      </c>
      <c r="B2161" s="98" t="str">
        <f>IF(C2161="","",2160)</f>
        <v/>
      </c>
      <c r="C2161" s="50"/>
      <c r="D2161" s="49" t="str">
        <f t="shared" si="67"/>
        <v/>
      </c>
      <c r="E2161" s="92"/>
      <c r="F2161" s="49"/>
      <c r="G2161" s="14"/>
      <c r="H2161" s="14"/>
      <c r="I2161" s="76"/>
      <c r="J2161" s="73"/>
      <c r="K2161" s="74"/>
      <c r="L2161" s="72"/>
      <c r="M2161" s="72"/>
      <c r="N2161" s="72" t="str">
        <f>IF(AND(C2161="",J2161=0,K2161=0,L2161=0,M2161=0),"",CADASTROS!$B$4+SUM($J$2:J2161)+SUM($M$2:M2161)-SUM($K$2:K2161)-SUM($L$2:L2161))</f>
        <v/>
      </c>
      <c r="O2161" s="72" t="str">
        <f>IF(A2161="","",SUMIF(RATEIOS!$A$2:$A$3142,$A2161,RATEIOS!$F$2:$F$3142))</f>
        <v/>
      </c>
      <c r="P2161" s="15" t="str">
        <f t="shared" si="68"/>
        <v/>
      </c>
      <c r="Q2161" s="49" t="str">
        <f>IF(AND(J2161=0,K2161=0,L2161=0,M2161=0),"",IF(O2161=0,"PENDENTE DE RATEIO",IF(ABS(P2161)&gt;0.005,"DIVERGÊNCIA",IF(COUNTIF(RATEIOS!$A$2:$A$3142,$A2161)-COUNTIFS(RATEIOS!$A$2:$A$3142,$A2161,RATEIOS!$D$2:$D$3142,"&lt;&gt;")&gt;0,"NÃO CLASSIFICADO","RATEIO OK"))))</f>
        <v/>
      </c>
      <c r="R2161" s="49"/>
      <c r="S2161" s="14"/>
    </row>
    <row r="2162" spans="1:19" ht="30" customHeight="1" x14ac:dyDescent="0.25">
      <c r="A2162" s="49" t="str">
        <f>IF(C2162="","","BAN-02161")</f>
        <v/>
      </c>
      <c r="B2162" s="98" t="str">
        <f>IF(C2162="","",2161)</f>
        <v/>
      </c>
      <c r="C2162" s="50"/>
      <c r="D2162" s="49" t="str">
        <f t="shared" si="67"/>
        <v/>
      </c>
      <c r="E2162" s="92"/>
      <c r="F2162" s="49"/>
      <c r="G2162" s="14"/>
      <c r="H2162" s="14"/>
      <c r="I2162" s="76"/>
      <c r="J2162" s="73"/>
      <c r="K2162" s="74"/>
      <c r="L2162" s="72"/>
      <c r="M2162" s="72"/>
      <c r="N2162" s="72" t="str">
        <f>IF(AND(C2162="",J2162=0,K2162=0,L2162=0,M2162=0),"",CADASTROS!$B$4+SUM($J$2:J2162)+SUM($M$2:M2162)-SUM($K$2:K2162)-SUM($L$2:L2162))</f>
        <v/>
      </c>
      <c r="O2162" s="72" t="str">
        <f>IF(A2162="","",SUMIF(RATEIOS!$A$2:$A$3142,$A2162,RATEIOS!$F$2:$F$3142))</f>
        <v/>
      </c>
      <c r="P2162" s="15" t="str">
        <f t="shared" si="68"/>
        <v/>
      </c>
      <c r="Q2162" s="49" t="str">
        <f>IF(AND(J2162=0,K2162=0,L2162=0,M2162=0),"",IF(O2162=0,"PENDENTE DE RATEIO",IF(ABS(P2162)&gt;0.005,"DIVERGÊNCIA",IF(COUNTIF(RATEIOS!$A$2:$A$3142,$A2162)-COUNTIFS(RATEIOS!$A$2:$A$3142,$A2162,RATEIOS!$D$2:$D$3142,"&lt;&gt;")&gt;0,"NÃO CLASSIFICADO","RATEIO OK"))))</f>
        <v/>
      </c>
      <c r="R2162" s="49"/>
      <c r="S2162" s="14"/>
    </row>
    <row r="2163" spans="1:19" ht="30" customHeight="1" x14ac:dyDescent="0.25">
      <c r="A2163" s="49" t="str">
        <f>IF(C2163="","","BAN-02162")</f>
        <v/>
      </c>
      <c r="B2163" s="98" t="str">
        <f>IF(C2163="","",2162)</f>
        <v/>
      </c>
      <c r="C2163" s="50"/>
      <c r="D2163" s="49" t="str">
        <f t="shared" si="67"/>
        <v/>
      </c>
      <c r="E2163" s="92"/>
      <c r="F2163" s="49"/>
      <c r="G2163" s="14"/>
      <c r="H2163" s="14"/>
      <c r="I2163" s="76"/>
      <c r="J2163" s="73"/>
      <c r="K2163" s="74"/>
      <c r="L2163" s="72"/>
      <c r="M2163" s="72"/>
      <c r="N2163" s="72" t="str">
        <f>IF(AND(C2163="",J2163=0,K2163=0,L2163=0,M2163=0),"",CADASTROS!$B$4+SUM($J$2:J2163)+SUM($M$2:M2163)-SUM($K$2:K2163)-SUM($L$2:L2163))</f>
        <v/>
      </c>
      <c r="O2163" s="72" t="str">
        <f>IF(A2163="","",SUMIF(RATEIOS!$A$2:$A$3142,$A2163,RATEIOS!$F$2:$F$3142))</f>
        <v/>
      </c>
      <c r="P2163" s="15" t="str">
        <f t="shared" si="68"/>
        <v/>
      </c>
      <c r="Q2163" s="49" t="str">
        <f>IF(AND(J2163=0,K2163=0,L2163=0,M2163=0),"",IF(O2163=0,"PENDENTE DE RATEIO",IF(ABS(P2163)&gt;0.005,"DIVERGÊNCIA",IF(COUNTIF(RATEIOS!$A$2:$A$3142,$A2163)-COUNTIFS(RATEIOS!$A$2:$A$3142,$A2163,RATEIOS!$D$2:$D$3142,"&lt;&gt;")&gt;0,"NÃO CLASSIFICADO","RATEIO OK"))))</f>
        <v/>
      </c>
      <c r="R2163" s="49"/>
      <c r="S2163" s="14"/>
    </row>
    <row r="2164" spans="1:19" ht="30" customHeight="1" x14ac:dyDescent="0.25">
      <c r="A2164" s="49" t="str">
        <f>IF(C2164="","","BAN-02163")</f>
        <v/>
      </c>
      <c r="B2164" s="98" t="str">
        <f>IF(C2164="","",2163)</f>
        <v/>
      </c>
      <c r="C2164" s="50"/>
      <c r="D2164" s="49" t="str">
        <f t="shared" si="67"/>
        <v/>
      </c>
      <c r="E2164" s="92"/>
      <c r="F2164" s="49"/>
      <c r="G2164" s="14"/>
      <c r="H2164" s="14"/>
      <c r="I2164" s="76"/>
      <c r="J2164" s="73"/>
      <c r="K2164" s="74"/>
      <c r="L2164" s="72"/>
      <c r="M2164" s="72"/>
      <c r="N2164" s="72" t="str">
        <f>IF(AND(C2164="",J2164=0,K2164=0,L2164=0,M2164=0),"",CADASTROS!$B$4+SUM($J$2:J2164)+SUM($M$2:M2164)-SUM($K$2:K2164)-SUM($L$2:L2164))</f>
        <v/>
      </c>
      <c r="O2164" s="72" t="str">
        <f>IF(A2164="","",SUMIF(RATEIOS!$A$2:$A$3142,$A2164,RATEIOS!$F$2:$F$3142))</f>
        <v/>
      </c>
      <c r="P2164" s="15" t="str">
        <f t="shared" si="68"/>
        <v/>
      </c>
      <c r="Q2164" s="49" t="str">
        <f>IF(AND(J2164=0,K2164=0,L2164=0,M2164=0),"",IF(O2164=0,"PENDENTE DE RATEIO",IF(ABS(P2164)&gt;0.005,"DIVERGÊNCIA",IF(COUNTIF(RATEIOS!$A$2:$A$3142,$A2164)-COUNTIFS(RATEIOS!$A$2:$A$3142,$A2164,RATEIOS!$D$2:$D$3142,"&lt;&gt;")&gt;0,"NÃO CLASSIFICADO","RATEIO OK"))))</f>
        <v/>
      </c>
      <c r="R2164" s="49"/>
      <c r="S2164" s="14"/>
    </row>
    <row r="2165" spans="1:19" ht="30" customHeight="1" x14ac:dyDescent="0.25">
      <c r="A2165" s="49" t="str">
        <f>IF(C2165="","","BAN-02164")</f>
        <v/>
      </c>
      <c r="B2165" s="98" t="str">
        <f>IF(C2165="","",2164)</f>
        <v/>
      </c>
      <c r="C2165" s="50"/>
      <c r="D2165" s="49" t="str">
        <f t="shared" si="67"/>
        <v/>
      </c>
      <c r="E2165" s="92"/>
      <c r="F2165" s="49"/>
      <c r="G2165" s="14"/>
      <c r="H2165" s="14"/>
      <c r="I2165" s="76"/>
      <c r="J2165" s="73"/>
      <c r="K2165" s="74"/>
      <c r="L2165" s="72"/>
      <c r="M2165" s="72"/>
      <c r="N2165" s="72" t="str">
        <f>IF(AND(C2165="",J2165=0,K2165=0,L2165=0,M2165=0),"",CADASTROS!$B$4+SUM($J$2:J2165)+SUM($M$2:M2165)-SUM($K$2:K2165)-SUM($L$2:L2165))</f>
        <v/>
      </c>
      <c r="O2165" s="72" t="str">
        <f>IF(A2165="","",SUMIF(RATEIOS!$A$2:$A$3142,$A2165,RATEIOS!$F$2:$F$3142))</f>
        <v/>
      </c>
      <c r="P2165" s="15" t="str">
        <f t="shared" si="68"/>
        <v/>
      </c>
      <c r="Q2165" s="49" t="str">
        <f>IF(AND(J2165=0,K2165=0,L2165=0,M2165=0),"",IF(O2165=0,"PENDENTE DE RATEIO",IF(ABS(P2165)&gt;0.005,"DIVERGÊNCIA",IF(COUNTIF(RATEIOS!$A$2:$A$3142,$A2165)-COUNTIFS(RATEIOS!$A$2:$A$3142,$A2165,RATEIOS!$D$2:$D$3142,"&lt;&gt;")&gt;0,"NÃO CLASSIFICADO","RATEIO OK"))))</f>
        <v/>
      </c>
      <c r="R2165" s="49"/>
      <c r="S2165" s="14"/>
    </row>
    <row r="2166" spans="1:19" ht="30" customHeight="1" x14ac:dyDescent="0.25">
      <c r="A2166" s="49" t="str">
        <f>IF(C2166="","","BAN-02165")</f>
        <v/>
      </c>
      <c r="B2166" s="98" t="str">
        <f>IF(C2166="","",2165)</f>
        <v/>
      </c>
      <c r="C2166" s="50"/>
      <c r="D2166" s="49" t="str">
        <f t="shared" si="67"/>
        <v/>
      </c>
      <c r="E2166" s="92"/>
      <c r="F2166" s="49"/>
      <c r="G2166" s="14"/>
      <c r="H2166" s="14"/>
      <c r="I2166" s="76"/>
      <c r="J2166" s="73"/>
      <c r="K2166" s="74"/>
      <c r="L2166" s="72"/>
      <c r="M2166" s="72"/>
      <c r="N2166" s="72" t="str">
        <f>IF(AND(C2166="",J2166=0,K2166=0,L2166=0,M2166=0),"",CADASTROS!$B$4+SUM($J$2:J2166)+SUM($M$2:M2166)-SUM($K$2:K2166)-SUM($L$2:L2166))</f>
        <v/>
      </c>
      <c r="O2166" s="72" t="str">
        <f>IF(A2166="","",SUMIF(RATEIOS!$A$2:$A$3142,$A2166,RATEIOS!$F$2:$F$3142))</f>
        <v/>
      </c>
      <c r="P2166" s="15" t="str">
        <f t="shared" si="68"/>
        <v/>
      </c>
      <c r="Q2166" s="49" t="str">
        <f>IF(AND(J2166=0,K2166=0,L2166=0,M2166=0),"",IF(O2166=0,"PENDENTE DE RATEIO",IF(ABS(P2166)&gt;0.005,"DIVERGÊNCIA",IF(COUNTIF(RATEIOS!$A$2:$A$3142,$A2166)-COUNTIFS(RATEIOS!$A$2:$A$3142,$A2166,RATEIOS!$D$2:$D$3142,"&lt;&gt;")&gt;0,"NÃO CLASSIFICADO","RATEIO OK"))))</f>
        <v/>
      </c>
      <c r="R2166" s="49"/>
      <c r="S2166" s="14"/>
    </row>
    <row r="2167" spans="1:19" ht="30" customHeight="1" x14ac:dyDescent="0.25">
      <c r="A2167" s="49" t="str">
        <f>IF(C2167="","","BAN-02166")</f>
        <v/>
      </c>
      <c r="B2167" s="98" t="str">
        <f>IF(C2167="","",2166)</f>
        <v/>
      </c>
      <c r="C2167" s="50"/>
      <c r="D2167" s="49" t="str">
        <f t="shared" si="67"/>
        <v/>
      </c>
      <c r="E2167" s="92"/>
      <c r="F2167" s="49"/>
      <c r="G2167" s="14"/>
      <c r="H2167" s="14"/>
      <c r="I2167" s="76"/>
      <c r="J2167" s="73"/>
      <c r="K2167" s="74"/>
      <c r="L2167" s="72"/>
      <c r="M2167" s="72"/>
      <c r="N2167" s="72" t="str">
        <f>IF(AND(C2167="",J2167=0,K2167=0,L2167=0,M2167=0),"",CADASTROS!$B$4+SUM($J$2:J2167)+SUM($M$2:M2167)-SUM($K$2:K2167)-SUM($L$2:L2167))</f>
        <v/>
      </c>
      <c r="O2167" s="72" t="str">
        <f>IF(A2167="","",SUMIF(RATEIOS!$A$2:$A$3142,$A2167,RATEIOS!$F$2:$F$3142))</f>
        <v/>
      </c>
      <c r="P2167" s="15" t="str">
        <f t="shared" si="68"/>
        <v/>
      </c>
      <c r="Q2167" s="49" t="str">
        <f>IF(AND(J2167=0,K2167=0,L2167=0,M2167=0),"",IF(O2167=0,"PENDENTE DE RATEIO",IF(ABS(P2167)&gt;0.005,"DIVERGÊNCIA",IF(COUNTIF(RATEIOS!$A$2:$A$3142,$A2167)-COUNTIFS(RATEIOS!$A$2:$A$3142,$A2167,RATEIOS!$D$2:$D$3142,"&lt;&gt;")&gt;0,"NÃO CLASSIFICADO","RATEIO OK"))))</f>
        <v/>
      </c>
      <c r="R2167" s="49"/>
      <c r="S2167" s="14"/>
    </row>
    <row r="2168" spans="1:19" ht="30" customHeight="1" x14ac:dyDescent="0.25">
      <c r="A2168" s="49" t="str">
        <f>IF(C2168="","","BAN-02167")</f>
        <v/>
      </c>
      <c r="B2168" s="98" t="str">
        <f>IF(C2168="","",2167)</f>
        <v/>
      </c>
      <c r="C2168" s="50"/>
      <c r="D2168" s="49" t="str">
        <f t="shared" si="67"/>
        <v/>
      </c>
      <c r="E2168" s="92"/>
      <c r="F2168" s="49"/>
      <c r="G2168" s="14"/>
      <c r="H2168" s="14"/>
      <c r="I2168" s="76"/>
      <c r="J2168" s="73"/>
      <c r="K2168" s="74"/>
      <c r="L2168" s="72"/>
      <c r="M2168" s="72"/>
      <c r="N2168" s="72" t="str">
        <f>IF(AND(C2168="",J2168=0,K2168=0,L2168=0,M2168=0),"",CADASTROS!$B$4+SUM($J$2:J2168)+SUM($M$2:M2168)-SUM($K$2:K2168)-SUM($L$2:L2168))</f>
        <v/>
      </c>
      <c r="O2168" s="72" t="str">
        <f>IF(A2168="","",SUMIF(RATEIOS!$A$2:$A$3142,$A2168,RATEIOS!$F$2:$F$3142))</f>
        <v/>
      </c>
      <c r="P2168" s="15" t="str">
        <f t="shared" si="68"/>
        <v/>
      </c>
      <c r="Q2168" s="49" t="str">
        <f>IF(AND(J2168=0,K2168=0,L2168=0,M2168=0),"",IF(O2168=0,"PENDENTE DE RATEIO",IF(ABS(P2168)&gt;0.005,"DIVERGÊNCIA",IF(COUNTIF(RATEIOS!$A$2:$A$3142,$A2168)-COUNTIFS(RATEIOS!$A$2:$A$3142,$A2168,RATEIOS!$D$2:$D$3142,"&lt;&gt;")&gt;0,"NÃO CLASSIFICADO","RATEIO OK"))))</f>
        <v/>
      </c>
      <c r="R2168" s="49"/>
      <c r="S2168" s="14"/>
    </row>
    <row r="2169" spans="1:19" ht="30" customHeight="1" x14ac:dyDescent="0.25">
      <c r="A2169" s="49" t="str">
        <f>IF(C2169="","","BAN-02168")</f>
        <v/>
      </c>
      <c r="B2169" s="98" t="str">
        <f>IF(C2169="","",2168)</f>
        <v/>
      </c>
      <c r="C2169" s="50"/>
      <c r="D2169" s="49" t="str">
        <f t="shared" si="67"/>
        <v/>
      </c>
      <c r="E2169" s="92"/>
      <c r="F2169" s="49"/>
      <c r="G2169" s="14"/>
      <c r="H2169" s="14"/>
      <c r="I2169" s="76"/>
      <c r="J2169" s="73"/>
      <c r="K2169" s="74"/>
      <c r="L2169" s="72"/>
      <c r="M2169" s="72"/>
      <c r="N2169" s="72" t="str">
        <f>IF(AND(C2169="",J2169=0,K2169=0,L2169=0,M2169=0),"",CADASTROS!$B$4+SUM($J$2:J2169)+SUM($M$2:M2169)-SUM($K$2:K2169)-SUM($L$2:L2169))</f>
        <v/>
      </c>
      <c r="O2169" s="72" t="str">
        <f>IF(A2169="","",SUMIF(RATEIOS!$A$2:$A$3142,$A2169,RATEIOS!$F$2:$F$3142))</f>
        <v/>
      </c>
      <c r="P2169" s="15" t="str">
        <f t="shared" si="68"/>
        <v/>
      </c>
      <c r="Q2169" s="49" t="str">
        <f>IF(AND(J2169=0,K2169=0,L2169=0,M2169=0),"",IF(O2169=0,"PENDENTE DE RATEIO",IF(ABS(P2169)&gt;0.005,"DIVERGÊNCIA",IF(COUNTIF(RATEIOS!$A$2:$A$3142,$A2169)-COUNTIFS(RATEIOS!$A$2:$A$3142,$A2169,RATEIOS!$D$2:$D$3142,"&lt;&gt;")&gt;0,"NÃO CLASSIFICADO","RATEIO OK"))))</f>
        <v/>
      </c>
      <c r="R2169" s="49"/>
      <c r="S2169" s="14"/>
    </row>
    <row r="2170" spans="1:19" ht="30" customHeight="1" x14ac:dyDescent="0.25">
      <c r="A2170" s="49" t="str">
        <f>IF(C2170="","","BAN-02169")</f>
        <v/>
      </c>
      <c r="B2170" s="98" t="str">
        <f>IF(C2170="","",2169)</f>
        <v/>
      </c>
      <c r="C2170" s="50"/>
      <c r="D2170" s="49" t="str">
        <f t="shared" si="67"/>
        <v/>
      </c>
      <c r="E2170" s="92"/>
      <c r="F2170" s="49"/>
      <c r="G2170" s="14"/>
      <c r="H2170" s="14"/>
      <c r="I2170" s="76"/>
      <c r="J2170" s="73"/>
      <c r="K2170" s="74"/>
      <c r="L2170" s="72"/>
      <c r="M2170" s="72"/>
      <c r="N2170" s="72" t="str">
        <f>IF(AND(C2170="",J2170=0,K2170=0,L2170=0,M2170=0),"",CADASTROS!$B$4+SUM($J$2:J2170)+SUM($M$2:M2170)-SUM($K$2:K2170)-SUM($L$2:L2170))</f>
        <v/>
      </c>
      <c r="O2170" s="72" t="str">
        <f>IF(A2170="","",SUMIF(RATEIOS!$A$2:$A$3142,$A2170,RATEIOS!$F$2:$F$3142))</f>
        <v/>
      </c>
      <c r="P2170" s="15" t="str">
        <f t="shared" si="68"/>
        <v/>
      </c>
      <c r="Q2170" s="49" t="str">
        <f>IF(AND(J2170=0,K2170=0,L2170=0,M2170=0),"",IF(O2170=0,"PENDENTE DE RATEIO",IF(ABS(P2170)&gt;0.005,"DIVERGÊNCIA",IF(COUNTIF(RATEIOS!$A$2:$A$3142,$A2170)-COUNTIFS(RATEIOS!$A$2:$A$3142,$A2170,RATEIOS!$D$2:$D$3142,"&lt;&gt;")&gt;0,"NÃO CLASSIFICADO","RATEIO OK"))))</f>
        <v/>
      </c>
      <c r="R2170" s="49"/>
      <c r="S2170" s="14"/>
    </row>
    <row r="2171" spans="1:19" ht="30" customHeight="1" x14ac:dyDescent="0.25">
      <c r="A2171" s="49" t="str">
        <f>IF(C2171="","","BAN-02170")</f>
        <v/>
      </c>
      <c r="B2171" s="98" t="str">
        <f>IF(C2171="","",2170)</f>
        <v/>
      </c>
      <c r="C2171" s="50"/>
      <c r="D2171" s="49" t="str">
        <f t="shared" si="67"/>
        <v/>
      </c>
      <c r="E2171" s="92"/>
      <c r="F2171" s="49"/>
      <c r="G2171" s="14"/>
      <c r="H2171" s="14"/>
      <c r="I2171" s="76"/>
      <c r="J2171" s="73"/>
      <c r="K2171" s="74"/>
      <c r="L2171" s="72"/>
      <c r="M2171" s="72"/>
      <c r="N2171" s="72" t="str">
        <f>IF(AND(C2171="",J2171=0,K2171=0,L2171=0,M2171=0),"",CADASTROS!$B$4+SUM($J$2:J2171)+SUM($M$2:M2171)-SUM($K$2:K2171)-SUM($L$2:L2171))</f>
        <v/>
      </c>
      <c r="O2171" s="72" t="str">
        <f>IF(A2171="","",SUMIF(RATEIOS!$A$2:$A$3142,$A2171,RATEIOS!$F$2:$F$3142))</f>
        <v/>
      </c>
      <c r="P2171" s="15" t="str">
        <f t="shared" si="68"/>
        <v/>
      </c>
      <c r="Q2171" s="49" t="str">
        <f>IF(AND(J2171=0,K2171=0,L2171=0,M2171=0),"",IF(O2171=0,"PENDENTE DE RATEIO",IF(ABS(P2171)&gt;0.005,"DIVERGÊNCIA",IF(COUNTIF(RATEIOS!$A$2:$A$3142,$A2171)-COUNTIFS(RATEIOS!$A$2:$A$3142,$A2171,RATEIOS!$D$2:$D$3142,"&lt;&gt;")&gt;0,"NÃO CLASSIFICADO","RATEIO OK"))))</f>
        <v/>
      </c>
      <c r="R2171" s="49"/>
      <c r="S2171" s="14"/>
    </row>
    <row r="2172" spans="1:19" ht="30" customHeight="1" x14ac:dyDescent="0.25">
      <c r="A2172" s="49" t="str">
        <f>IF(C2172="","","BAN-02171")</f>
        <v/>
      </c>
      <c r="B2172" s="98" t="str">
        <f>IF(C2172="","",2171)</f>
        <v/>
      </c>
      <c r="C2172" s="50"/>
      <c r="D2172" s="49" t="str">
        <f t="shared" si="67"/>
        <v/>
      </c>
      <c r="E2172" s="92"/>
      <c r="F2172" s="49"/>
      <c r="G2172" s="14"/>
      <c r="H2172" s="14"/>
      <c r="I2172" s="76"/>
      <c r="J2172" s="73"/>
      <c r="K2172" s="74"/>
      <c r="L2172" s="72"/>
      <c r="M2172" s="72"/>
      <c r="N2172" s="72" t="str">
        <f>IF(AND(C2172="",J2172=0,K2172=0,L2172=0,M2172=0),"",CADASTROS!$B$4+SUM($J$2:J2172)+SUM($M$2:M2172)-SUM($K$2:K2172)-SUM($L$2:L2172))</f>
        <v/>
      </c>
      <c r="O2172" s="72" t="str">
        <f>IF(A2172="","",SUMIF(RATEIOS!$A$2:$A$3142,$A2172,RATEIOS!$F$2:$F$3142))</f>
        <v/>
      </c>
      <c r="P2172" s="15" t="str">
        <f t="shared" si="68"/>
        <v/>
      </c>
      <c r="Q2172" s="49" t="str">
        <f>IF(AND(J2172=0,K2172=0,L2172=0,M2172=0),"",IF(O2172=0,"PENDENTE DE RATEIO",IF(ABS(P2172)&gt;0.005,"DIVERGÊNCIA",IF(COUNTIF(RATEIOS!$A$2:$A$3142,$A2172)-COUNTIFS(RATEIOS!$A$2:$A$3142,$A2172,RATEIOS!$D$2:$D$3142,"&lt;&gt;")&gt;0,"NÃO CLASSIFICADO","RATEIO OK"))))</f>
        <v/>
      </c>
      <c r="R2172" s="49"/>
      <c r="S2172" s="14"/>
    </row>
    <row r="2173" spans="1:19" ht="30" customHeight="1" x14ac:dyDescent="0.25">
      <c r="A2173" s="49" t="str">
        <f>IF(C2173="","","BAN-02172")</f>
        <v/>
      </c>
      <c r="B2173" s="98" t="str">
        <f>IF(C2173="","",2172)</f>
        <v/>
      </c>
      <c r="C2173" s="50"/>
      <c r="D2173" s="49" t="str">
        <f t="shared" si="67"/>
        <v/>
      </c>
      <c r="E2173" s="92"/>
      <c r="F2173" s="49"/>
      <c r="G2173" s="14"/>
      <c r="H2173" s="14"/>
      <c r="I2173" s="76"/>
      <c r="J2173" s="73"/>
      <c r="K2173" s="74"/>
      <c r="L2173" s="72"/>
      <c r="M2173" s="72"/>
      <c r="N2173" s="72" t="str">
        <f>IF(AND(C2173="",J2173=0,K2173=0,L2173=0,M2173=0),"",CADASTROS!$B$4+SUM($J$2:J2173)+SUM($M$2:M2173)-SUM($K$2:K2173)-SUM($L$2:L2173))</f>
        <v/>
      </c>
      <c r="O2173" s="72" t="str">
        <f>IF(A2173="","",SUMIF(RATEIOS!$A$2:$A$3142,$A2173,RATEIOS!$F$2:$F$3142))</f>
        <v/>
      </c>
      <c r="P2173" s="15" t="str">
        <f t="shared" si="68"/>
        <v/>
      </c>
      <c r="Q2173" s="49" t="str">
        <f>IF(AND(J2173=0,K2173=0,L2173=0,M2173=0),"",IF(O2173=0,"PENDENTE DE RATEIO",IF(ABS(P2173)&gt;0.005,"DIVERGÊNCIA",IF(COUNTIF(RATEIOS!$A$2:$A$3142,$A2173)-COUNTIFS(RATEIOS!$A$2:$A$3142,$A2173,RATEIOS!$D$2:$D$3142,"&lt;&gt;")&gt;0,"NÃO CLASSIFICADO","RATEIO OK"))))</f>
        <v/>
      </c>
      <c r="R2173" s="49"/>
      <c r="S2173" s="14"/>
    </row>
    <row r="2174" spans="1:19" ht="30" customHeight="1" x14ac:dyDescent="0.25">
      <c r="A2174" s="49" t="str">
        <f>IF(C2174="","","BAN-02173")</f>
        <v/>
      </c>
      <c r="B2174" s="98" t="str">
        <f>IF(C2174="","",2173)</f>
        <v/>
      </c>
      <c r="C2174" s="50"/>
      <c r="D2174" s="49" t="str">
        <f t="shared" si="67"/>
        <v/>
      </c>
      <c r="E2174" s="92"/>
      <c r="F2174" s="49"/>
      <c r="G2174" s="14"/>
      <c r="H2174" s="14"/>
      <c r="I2174" s="76"/>
      <c r="J2174" s="73"/>
      <c r="K2174" s="74"/>
      <c r="L2174" s="72"/>
      <c r="M2174" s="72"/>
      <c r="N2174" s="72" t="str">
        <f>IF(AND(C2174="",J2174=0,K2174=0,L2174=0,M2174=0),"",CADASTROS!$B$4+SUM($J$2:J2174)+SUM($M$2:M2174)-SUM($K$2:K2174)-SUM($L$2:L2174))</f>
        <v/>
      </c>
      <c r="O2174" s="72" t="str">
        <f>IF(A2174="","",SUMIF(RATEIOS!$A$2:$A$3142,$A2174,RATEIOS!$F$2:$F$3142))</f>
        <v/>
      </c>
      <c r="P2174" s="15" t="str">
        <f t="shared" si="68"/>
        <v/>
      </c>
      <c r="Q2174" s="49" t="str">
        <f>IF(AND(J2174=0,K2174=0,L2174=0,M2174=0),"",IF(O2174=0,"PENDENTE DE RATEIO",IF(ABS(P2174)&gt;0.005,"DIVERGÊNCIA",IF(COUNTIF(RATEIOS!$A$2:$A$3142,$A2174)-COUNTIFS(RATEIOS!$A$2:$A$3142,$A2174,RATEIOS!$D$2:$D$3142,"&lt;&gt;")&gt;0,"NÃO CLASSIFICADO","RATEIO OK"))))</f>
        <v/>
      </c>
      <c r="R2174" s="49"/>
      <c r="S2174" s="14"/>
    </row>
    <row r="2175" spans="1:19" ht="30" customHeight="1" x14ac:dyDescent="0.25">
      <c r="A2175" s="49" t="str">
        <f>IF(C2175="","","BAN-02174")</f>
        <v/>
      </c>
      <c r="B2175" s="98" t="str">
        <f>IF(C2175="","",2174)</f>
        <v/>
      </c>
      <c r="C2175" s="50"/>
      <c r="D2175" s="49" t="str">
        <f t="shared" si="67"/>
        <v/>
      </c>
      <c r="E2175" s="92"/>
      <c r="F2175" s="49"/>
      <c r="G2175" s="14"/>
      <c r="H2175" s="14"/>
      <c r="I2175" s="76"/>
      <c r="J2175" s="73"/>
      <c r="K2175" s="74"/>
      <c r="L2175" s="72"/>
      <c r="M2175" s="72"/>
      <c r="N2175" s="72" t="str">
        <f>IF(AND(C2175="",J2175=0,K2175=0,L2175=0,M2175=0),"",CADASTROS!$B$4+SUM($J$2:J2175)+SUM($M$2:M2175)-SUM($K$2:K2175)-SUM($L$2:L2175))</f>
        <v/>
      </c>
      <c r="O2175" s="72" t="str">
        <f>IF(A2175="","",SUMIF(RATEIOS!$A$2:$A$3142,$A2175,RATEIOS!$F$2:$F$3142))</f>
        <v/>
      </c>
      <c r="P2175" s="15" t="str">
        <f t="shared" si="68"/>
        <v/>
      </c>
      <c r="Q2175" s="49" t="str">
        <f>IF(AND(J2175=0,K2175=0,L2175=0,M2175=0),"",IF(O2175=0,"PENDENTE DE RATEIO",IF(ABS(P2175)&gt;0.005,"DIVERGÊNCIA",IF(COUNTIF(RATEIOS!$A$2:$A$3142,$A2175)-COUNTIFS(RATEIOS!$A$2:$A$3142,$A2175,RATEIOS!$D$2:$D$3142,"&lt;&gt;")&gt;0,"NÃO CLASSIFICADO","RATEIO OK"))))</f>
        <v/>
      </c>
      <c r="R2175" s="49"/>
      <c r="S2175" s="14"/>
    </row>
    <row r="2176" spans="1:19" ht="30" customHeight="1" x14ac:dyDescent="0.25">
      <c r="A2176" s="49" t="str">
        <f>IF(C2176="","","BAN-02175")</f>
        <v/>
      </c>
      <c r="B2176" s="98" t="str">
        <f>IF(C2176="","",2175)</f>
        <v/>
      </c>
      <c r="C2176" s="50"/>
      <c r="D2176" s="49" t="str">
        <f t="shared" si="67"/>
        <v/>
      </c>
      <c r="E2176" s="92"/>
      <c r="F2176" s="49"/>
      <c r="G2176" s="14"/>
      <c r="H2176" s="14"/>
      <c r="I2176" s="76"/>
      <c r="J2176" s="73"/>
      <c r="K2176" s="74"/>
      <c r="L2176" s="72"/>
      <c r="M2176" s="72"/>
      <c r="N2176" s="72" t="str">
        <f>IF(AND(C2176="",J2176=0,K2176=0,L2176=0,M2176=0),"",CADASTROS!$B$4+SUM($J$2:J2176)+SUM($M$2:M2176)-SUM($K$2:K2176)-SUM($L$2:L2176))</f>
        <v/>
      </c>
      <c r="O2176" s="72" t="str">
        <f>IF(A2176="","",SUMIF(RATEIOS!$A$2:$A$3142,$A2176,RATEIOS!$F$2:$F$3142))</f>
        <v/>
      </c>
      <c r="P2176" s="15" t="str">
        <f t="shared" si="68"/>
        <v/>
      </c>
      <c r="Q2176" s="49" t="str">
        <f>IF(AND(J2176=0,K2176=0,L2176=0,M2176=0),"",IF(O2176=0,"PENDENTE DE RATEIO",IF(ABS(P2176)&gt;0.005,"DIVERGÊNCIA",IF(COUNTIF(RATEIOS!$A$2:$A$3142,$A2176)-COUNTIFS(RATEIOS!$A$2:$A$3142,$A2176,RATEIOS!$D$2:$D$3142,"&lt;&gt;")&gt;0,"NÃO CLASSIFICADO","RATEIO OK"))))</f>
        <v/>
      </c>
      <c r="R2176" s="49"/>
      <c r="S2176" s="14"/>
    </row>
    <row r="2177" spans="1:19" ht="30" customHeight="1" x14ac:dyDescent="0.25">
      <c r="A2177" s="49" t="str">
        <f>IF(C2177="","","BAN-02176")</f>
        <v/>
      </c>
      <c r="B2177" s="98" t="str">
        <f>IF(C2177="","",2176)</f>
        <v/>
      </c>
      <c r="C2177" s="50"/>
      <c r="D2177" s="49" t="str">
        <f t="shared" si="67"/>
        <v/>
      </c>
      <c r="E2177" s="92"/>
      <c r="F2177" s="49"/>
      <c r="G2177" s="14"/>
      <c r="H2177" s="14"/>
      <c r="I2177" s="76"/>
      <c r="J2177" s="73"/>
      <c r="K2177" s="74"/>
      <c r="L2177" s="72"/>
      <c r="M2177" s="72"/>
      <c r="N2177" s="72" t="str">
        <f>IF(AND(C2177="",J2177=0,K2177=0,L2177=0,M2177=0),"",CADASTROS!$B$4+SUM($J$2:J2177)+SUM($M$2:M2177)-SUM($K$2:K2177)-SUM($L$2:L2177))</f>
        <v/>
      </c>
      <c r="O2177" s="72" t="str">
        <f>IF(A2177="","",SUMIF(RATEIOS!$A$2:$A$3142,$A2177,RATEIOS!$F$2:$F$3142))</f>
        <v/>
      </c>
      <c r="P2177" s="15" t="str">
        <f t="shared" si="68"/>
        <v/>
      </c>
      <c r="Q2177" s="49" t="str">
        <f>IF(AND(J2177=0,K2177=0,L2177=0,M2177=0),"",IF(O2177=0,"PENDENTE DE RATEIO",IF(ABS(P2177)&gt;0.005,"DIVERGÊNCIA",IF(COUNTIF(RATEIOS!$A$2:$A$3142,$A2177)-COUNTIFS(RATEIOS!$A$2:$A$3142,$A2177,RATEIOS!$D$2:$D$3142,"&lt;&gt;")&gt;0,"NÃO CLASSIFICADO","RATEIO OK"))))</f>
        <v/>
      </c>
      <c r="R2177" s="49"/>
      <c r="S2177" s="14"/>
    </row>
    <row r="2178" spans="1:19" ht="30" customHeight="1" x14ac:dyDescent="0.25">
      <c r="A2178" s="49" t="str">
        <f>IF(C2178="","","BAN-02177")</f>
        <v/>
      </c>
      <c r="B2178" s="98" t="str">
        <f>IF(C2178="","",2177)</f>
        <v/>
      </c>
      <c r="C2178" s="50"/>
      <c r="D2178" s="49" t="str">
        <f t="shared" ref="D2178:D2241" si="69">IF(C2178="","",MONTH(C2178))</f>
        <v/>
      </c>
      <c r="E2178" s="92"/>
      <c r="F2178" s="49"/>
      <c r="G2178" s="14"/>
      <c r="H2178" s="14"/>
      <c r="I2178" s="76"/>
      <c r="J2178" s="73"/>
      <c r="K2178" s="74"/>
      <c r="L2178" s="72"/>
      <c r="M2178" s="72"/>
      <c r="N2178" s="72" t="str">
        <f>IF(AND(C2178="",J2178=0,K2178=0,L2178=0,M2178=0),"",CADASTROS!$B$4+SUM($J$2:J2178)+SUM($M$2:M2178)-SUM($K$2:K2178)-SUM($L$2:L2178))</f>
        <v/>
      </c>
      <c r="O2178" s="72" t="str">
        <f>IF(A2178="","",SUMIF(RATEIOS!$A$2:$A$3142,$A2178,RATEIOS!$F$2:$F$3142))</f>
        <v/>
      </c>
      <c r="P2178" s="15" t="str">
        <f t="shared" ref="P2178:P2241" si="70">IF(A2178="","",(J2178+K2178+L2178+M2178)-O2178)</f>
        <v/>
      </c>
      <c r="Q2178" s="49" t="str">
        <f>IF(AND(J2178=0,K2178=0,L2178=0,M2178=0),"",IF(O2178=0,"PENDENTE DE RATEIO",IF(ABS(P2178)&gt;0.005,"DIVERGÊNCIA",IF(COUNTIF(RATEIOS!$A$2:$A$3142,$A2178)-COUNTIFS(RATEIOS!$A$2:$A$3142,$A2178,RATEIOS!$D$2:$D$3142,"&lt;&gt;")&gt;0,"NÃO CLASSIFICADO","RATEIO OK"))))</f>
        <v/>
      </c>
      <c r="R2178" s="49"/>
      <c r="S2178" s="14"/>
    </row>
    <row r="2179" spans="1:19" ht="30" customHeight="1" x14ac:dyDescent="0.25">
      <c r="A2179" s="49" t="str">
        <f>IF(C2179="","","BAN-02178")</f>
        <v/>
      </c>
      <c r="B2179" s="98" t="str">
        <f>IF(C2179="","",2178)</f>
        <v/>
      </c>
      <c r="C2179" s="50"/>
      <c r="D2179" s="49" t="str">
        <f t="shared" si="69"/>
        <v/>
      </c>
      <c r="E2179" s="92"/>
      <c r="F2179" s="49"/>
      <c r="G2179" s="14"/>
      <c r="H2179" s="14"/>
      <c r="I2179" s="76"/>
      <c r="J2179" s="73"/>
      <c r="K2179" s="74"/>
      <c r="L2179" s="72"/>
      <c r="M2179" s="72"/>
      <c r="N2179" s="72" t="str">
        <f>IF(AND(C2179="",J2179=0,K2179=0,L2179=0,M2179=0),"",CADASTROS!$B$4+SUM($J$2:J2179)+SUM($M$2:M2179)-SUM($K$2:K2179)-SUM($L$2:L2179))</f>
        <v/>
      </c>
      <c r="O2179" s="72" t="str">
        <f>IF(A2179="","",SUMIF(RATEIOS!$A$2:$A$3142,$A2179,RATEIOS!$F$2:$F$3142))</f>
        <v/>
      </c>
      <c r="P2179" s="15" t="str">
        <f t="shared" si="70"/>
        <v/>
      </c>
      <c r="Q2179" s="49" t="str">
        <f>IF(AND(J2179=0,K2179=0,L2179=0,M2179=0),"",IF(O2179=0,"PENDENTE DE RATEIO",IF(ABS(P2179)&gt;0.005,"DIVERGÊNCIA",IF(COUNTIF(RATEIOS!$A$2:$A$3142,$A2179)-COUNTIFS(RATEIOS!$A$2:$A$3142,$A2179,RATEIOS!$D$2:$D$3142,"&lt;&gt;")&gt;0,"NÃO CLASSIFICADO","RATEIO OK"))))</f>
        <v/>
      </c>
      <c r="R2179" s="49"/>
      <c r="S2179" s="14"/>
    </row>
    <row r="2180" spans="1:19" ht="30" customHeight="1" x14ac:dyDescent="0.25">
      <c r="A2180" s="49" t="str">
        <f>IF(C2180="","","BAN-02179")</f>
        <v/>
      </c>
      <c r="B2180" s="98" t="str">
        <f>IF(C2180="","",2179)</f>
        <v/>
      </c>
      <c r="C2180" s="50"/>
      <c r="D2180" s="49" t="str">
        <f t="shared" si="69"/>
        <v/>
      </c>
      <c r="E2180" s="92"/>
      <c r="F2180" s="49"/>
      <c r="G2180" s="14"/>
      <c r="H2180" s="14"/>
      <c r="I2180" s="76"/>
      <c r="J2180" s="73"/>
      <c r="K2180" s="74"/>
      <c r="L2180" s="72"/>
      <c r="M2180" s="72"/>
      <c r="N2180" s="72" t="str">
        <f>IF(AND(C2180="",J2180=0,K2180=0,L2180=0,M2180=0),"",CADASTROS!$B$4+SUM($J$2:J2180)+SUM($M$2:M2180)-SUM($K$2:K2180)-SUM($L$2:L2180))</f>
        <v/>
      </c>
      <c r="O2180" s="72" t="str">
        <f>IF(A2180="","",SUMIF(RATEIOS!$A$2:$A$3142,$A2180,RATEIOS!$F$2:$F$3142))</f>
        <v/>
      </c>
      <c r="P2180" s="15" t="str">
        <f t="shared" si="70"/>
        <v/>
      </c>
      <c r="Q2180" s="49" t="str">
        <f>IF(AND(J2180=0,K2180=0,L2180=0,M2180=0),"",IF(O2180=0,"PENDENTE DE RATEIO",IF(ABS(P2180)&gt;0.005,"DIVERGÊNCIA",IF(COUNTIF(RATEIOS!$A$2:$A$3142,$A2180)-COUNTIFS(RATEIOS!$A$2:$A$3142,$A2180,RATEIOS!$D$2:$D$3142,"&lt;&gt;")&gt;0,"NÃO CLASSIFICADO","RATEIO OK"))))</f>
        <v/>
      </c>
      <c r="R2180" s="49"/>
      <c r="S2180" s="14"/>
    </row>
    <row r="2181" spans="1:19" ht="30" customHeight="1" x14ac:dyDescent="0.25">
      <c r="A2181" s="49" t="str">
        <f>IF(C2181="","","BAN-02180")</f>
        <v/>
      </c>
      <c r="B2181" s="98" t="str">
        <f>IF(C2181="","",2180)</f>
        <v/>
      </c>
      <c r="C2181" s="50"/>
      <c r="D2181" s="49" t="str">
        <f t="shared" si="69"/>
        <v/>
      </c>
      <c r="E2181" s="92"/>
      <c r="F2181" s="49"/>
      <c r="G2181" s="14"/>
      <c r="H2181" s="14"/>
      <c r="I2181" s="76"/>
      <c r="J2181" s="73"/>
      <c r="K2181" s="74"/>
      <c r="L2181" s="72"/>
      <c r="M2181" s="72"/>
      <c r="N2181" s="72" t="str">
        <f>IF(AND(C2181="",J2181=0,K2181=0,L2181=0,M2181=0),"",CADASTROS!$B$4+SUM($J$2:J2181)+SUM($M$2:M2181)-SUM($K$2:K2181)-SUM($L$2:L2181))</f>
        <v/>
      </c>
      <c r="O2181" s="72" t="str">
        <f>IF(A2181="","",SUMIF(RATEIOS!$A$2:$A$3142,$A2181,RATEIOS!$F$2:$F$3142))</f>
        <v/>
      </c>
      <c r="P2181" s="15" t="str">
        <f t="shared" si="70"/>
        <v/>
      </c>
      <c r="Q2181" s="49" t="str">
        <f>IF(AND(J2181=0,K2181=0,L2181=0,M2181=0),"",IF(O2181=0,"PENDENTE DE RATEIO",IF(ABS(P2181)&gt;0.005,"DIVERGÊNCIA",IF(COUNTIF(RATEIOS!$A$2:$A$3142,$A2181)-COUNTIFS(RATEIOS!$A$2:$A$3142,$A2181,RATEIOS!$D$2:$D$3142,"&lt;&gt;")&gt;0,"NÃO CLASSIFICADO","RATEIO OK"))))</f>
        <v/>
      </c>
      <c r="R2181" s="49"/>
      <c r="S2181" s="14"/>
    </row>
    <row r="2182" spans="1:19" ht="30" customHeight="1" x14ac:dyDescent="0.25">
      <c r="A2182" s="49" t="str">
        <f>IF(C2182="","","BAN-02181")</f>
        <v/>
      </c>
      <c r="B2182" s="98" t="str">
        <f>IF(C2182="","",2181)</f>
        <v/>
      </c>
      <c r="C2182" s="50"/>
      <c r="D2182" s="49" t="str">
        <f t="shared" si="69"/>
        <v/>
      </c>
      <c r="E2182" s="92"/>
      <c r="F2182" s="49"/>
      <c r="G2182" s="14"/>
      <c r="H2182" s="14"/>
      <c r="I2182" s="76"/>
      <c r="J2182" s="73"/>
      <c r="K2182" s="74"/>
      <c r="L2182" s="72"/>
      <c r="M2182" s="72"/>
      <c r="N2182" s="72" t="str">
        <f>IF(AND(C2182="",J2182=0,K2182=0,L2182=0,M2182=0),"",CADASTROS!$B$4+SUM($J$2:J2182)+SUM($M$2:M2182)-SUM($K$2:K2182)-SUM($L$2:L2182))</f>
        <v/>
      </c>
      <c r="O2182" s="72" t="str">
        <f>IF(A2182="","",SUMIF(RATEIOS!$A$2:$A$3142,$A2182,RATEIOS!$F$2:$F$3142))</f>
        <v/>
      </c>
      <c r="P2182" s="15" t="str">
        <f t="shared" si="70"/>
        <v/>
      </c>
      <c r="Q2182" s="49" t="str">
        <f>IF(AND(J2182=0,K2182=0,L2182=0,M2182=0),"",IF(O2182=0,"PENDENTE DE RATEIO",IF(ABS(P2182)&gt;0.005,"DIVERGÊNCIA",IF(COUNTIF(RATEIOS!$A$2:$A$3142,$A2182)-COUNTIFS(RATEIOS!$A$2:$A$3142,$A2182,RATEIOS!$D$2:$D$3142,"&lt;&gt;")&gt;0,"NÃO CLASSIFICADO","RATEIO OK"))))</f>
        <v/>
      </c>
      <c r="R2182" s="49"/>
      <c r="S2182" s="14"/>
    </row>
    <row r="2183" spans="1:19" ht="30" customHeight="1" x14ac:dyDescent="0.25">
      <c r="A2183" s="49" t="str">
        <f>IF(C2183="","","BAN-02182")</f>
        <v/>
      </c>
      <c r="B2183" s="98" t="str">
        <f>IF(C2183="","",2182)</f>
        <v/>
      </c>
      <c r="C2183" s="50"/>
      <c r="D2183" s="49" t="str">
        <f t="shared" si="69"/>
        <v/>
      </c>
      <c r="E2183" s="92"/>
      <c r="F2183" s="49"/>
      <c r="G2183" s="14"/>
      <c r="H2183" s="14"/>
      <c r="I2183" s="76"/>
      <c r="J2183" s="73"/>
      <c r="K2183" s="74"/>
      <c r="L2183" s="72"/>
      <c r="M2183" s="72"/>
      <c r="N2183" s="72" t="str">
        <f>IF(AND(C2183="",J2183=0,K2183=0,L2183=0,M2183=0),"",CADASTROS!$B$4+SUM($J$2:J2183)+SUM($M$2:M2183)-SUM($K$2:K2183)-SUM($L$2:L2183))</f>
        <v/>
      </c>
      <c r="O2183" s="72" t="str">
        <f>IF(A2183="","",SUMIF(RATEIOS!$A$2:$A$3142,$A2183,RATEIOS!$F$2:$F$3142))</f>
        <v/>
      </c>
      <c r="P2183" s="15" t="str">
        <f t="shared" si="70"/>
        <v/>
      </c>
      <c r="Q2183" s="49" t="str">
        <f>IF(AND(J2183=0,K2183=0,L2183=0,M2183=0),"",IF(O2183=0,"PENDENTE DE RATEIO",IF(ABS(P2183)&gt;0.005,"DIVERGÊNCIA",IF(COUNTIF(RATEIOS!$A$2:$A$3142,$A2183)-COUNTIFS(RATEIOS!$A$2:$A$3142,$A2183,RATEIOS!$D$2:$D$3142,"&lt;&gt;")&gt;0,"NÃO CLASSIFICADO","RATEIO OK"))))</f>
        <v/>
      </c>
      <c r="R2183" s="49"/>
      <c r="S2183" s="14"/>
    </row>
    <row r="2184" spans="1:19" ht="30" customHeight="1" x14ac:dyDescent="0.25">
      <c r="A2184" s="49" t="str">
        <f>IF(C2184="","","BAN-02183")</f>
        <v/>
      </c>
      <c r="B2184" s="98" t="str">
        <f>IF(C2184="","",2183)</f>
        <v/>
      </c>
      <c r="C2184" s="50"/>
      <c r="D2184" s="49" t="str">
        <f t="shared" si="69"/>
        <v/>
      </c>
      <c r="E2184" s="92"/>
      <c r="F2184" s="49"/>
      <c r="G2184" s="14"/>
      <c r="H2184" s="14"/>
      <c r="I2184" s="76"/>
      <c r="J2184" s="73"/>
      <c r="K2184" s="74"/>
      <c r="L2184" s="72"/>
      <c r="M2184" s="72"/>
      <c r="N2184" s="72" t="str">
        <f>IF(AND(C2184="",J2184=0,K2184=0,L2184=0,M2184=0),"",CADASTROS!$B$4+SUM($J$2:J2184)+SUM($M$2:M2184)-SUM($K$2:K2184)-SUM($L$2:L2184))</f>
        <v/>
      </c>
      <c r="O2184" s="72" t="str">
        <f>IF(A2184="","",SUMIF(RATEIOS!$A$2:$A$3142,$A2184,RATEIOS!$F$2:$F$3142))</f>
        <v/>
      </c>
      <c r="P2184" s="15" t="str">
        <f t="shared" si="70"/>
        <v/>
      </c>
      <c r="Q2184" s="49" t="str">
        <f>IF(AND(J2184=0,K2184=0,L2184=0,M2184=0),"",IF(O2184=0,"PENDENTE DE RATEIO",IF(ABS(P2184)&gt;0.005,"DIVERGÊNCIA",IF(COUNTIF(RATEIOS!$A$2:$A$3142,$A2184)-COUNTIFS(RATEIOS!$A$2:$A$3142,$A2184,RATEIOS!$D$2:$D$3142,"&lt;&gt;")&gt;0,"NÃO CLASSIFICADO","RATEIO OK"))))</f>
        <v/>
      </c>
      <c r="R2184" s="49"/>
      <c r="S2184" s="14"/>
    </row>
    <row r="2185" spans="1:19" ht="30" customHeight="1" x14ac:dyDescent="0.25">
      <c r="A2185" s="49" t="str">
        <f>IF(C2185="","","BAN-02184")</f>
        <v/>
      </c>
      <c r="B2185" s="98" t="str">
        <f>IF(C2185="","",2184)</f>
        <v/>
      </c>
      <c r="C2185" s="50"/>
      <c r="D2185" s="49" t="str">
        <f t="shared" si="69"/>
        <v/>
      </c>
      <c r="E2185" s="92"/>
      <c r="F2185" s="49"/>
      <c r="G2185" s="14"/>
      <c r="H2185" s="14"/>
      <c r="I2185" s="76"/>
      <c r="J2185" s="73"/>
      <c r="K2185" s="74"/>
      <c r="L2185" s="72"/>
      <c r="M2185" s="72"/>
      <c r="N2185" s="72" t="str">
        <f>IF(AND(C2185="",J2185=0,K2185=0,L2185=0,M2185=0),"",CADASTROS!$B$4+SUM($J$2:J2185)+SUM($M$2:M2185)-SUM($K$2:K2185)-SUM($L$2:L2185))</f>
        <v/>
      </c>
      <c r="O2185" s="72" t="str">
        <f>IF(A2185="","",SUMIF(RATEIOS!$A$2:$A$3142,$A2185,RATEIOS!$F$2:$F$3142))</f>
        <v/>
      </c>
      <c r="P2185" s="15" t="str">
        <f t="shared" si="70"/>
        <v/>
      </c>
      <c r="Q2185" s="49" t="str">
        <f>IF(AND(J2185=0,K2185=0,L2185=0,M2185=0),"",IF(O2185=0,"PENDENTE DE RATEIO",IF(ABS(P2185)&gt;0.005,"DIVERGÊNCIA",IF(COUNTIF(RATEIOS!$A$2:$A$3142,$A2185)-COUNTIFS(RATEIOS!$A$2:$A$3142,$A2185,RATEIOS!$D$2:$D$3142,"&lt;&gt;")&gt;0,"NÃO CLASSIFICADO","RATEIO OK"))))</f>
        <v/>
      </c>
      <c r="R2185" s="49"/>
      <c r="S2185" s="14"/>
    </row>
    <row r="2186" spans="1:19" ht="30" customHeight="1" x14ac:dyDescent="0.25">
      <c r="A2186" s="49" t="str">
        <f>IF(C2186="","","BAN-02185")</f>
        <v/>
      </c>
      <c r="B2186" s="98" t="str">
        <f>IF(C2186="","",2185)</f>
        <v/>
      </c>
      <c r="C2186" s="50"/>
      <c r="D2186" s="49" t="str">
        <f t="shared" si="69"/>
        <v/>
      </c>
      <c r="E2186" s="92"/>
      <c r="F2186" s="49"/>
      <c r="G2186" s="14"/>
      <c r="H2186" s="14"/>
      <c r="I2186" s="76"/>
      <c r="J2186" s="73"/>
      <c r="K2186" s="74"/>
      <c r="L2186" s="72"/>
      <c r="M2186" s="72"/>
      <c r="N2186" s="72" t="str">
        <f>IF(AND(C2186="",J2186=0,K2186=0,L2186=0,M2186=0),"",CADASTROS!$B$4+SUM($J$2:J2186)+SUM($M$2:M2186)-SUM($K$2:K2186)-SUM($L$2:L2186))</f>
        <v/>
      </c>
      <c r="O2186" s="72" t="str">
        <f>IF(A2186="","",SUMIF(RATEIOS!$A$2:$A$3142,$A2186,RATEIOS!$F$2:$F$3142))</f>
        <v/>
      </c>
      <c r="P2186" s="15" t="str">
        <f t="shared" si="70"/>
        <v/>
      </c>
      <c r="Q2186" s="49" t="str">
        <f>IF(AND(J2186=0,K2186=0,L2186=0,M2186=0),"",IF(O2186=0,"PENDENTE DE RATEIO",IF(ABS(P2186)&gt;0.005,"DIVERGÊNCIA",IF(COUNTIF(RATEIOS!$A$2:$A$3142,$A2186)-COUNTIFS(RATEIOS!$A$2:$A$3142,$A2186,RATEIOS!$D$2:$D$3142,"&lt;&gt;")&gt;0,"NÃO CLASSIFICADO","RATEIO OK"))))</f>
        <v/>
      </c>
      <c r="R2186" s="49"/>
      <c r="S2186" s="14"/>
    </row>
    <row r="2187" spans="1:19" ht="30" customHeight="1" x14ac:dyDescent="0.25">
      <c r="A2187" s="49" t="str">
        <f>IF(C2187="","","BAN-02186")</f>
        <v/>
      </c>
      <c r="B2187" s="98" t="str">
        <f>IF(C2187="","",2186)</f>
        <v/>
      </c>
      <c r="C2187" s="50"/>
      <c r="D2187" s="49" t="str">
        <f t="shared" si="69"/>
        <v/>
      </c>
      <c r="E2187" s="92"/>
      <c r="F2187" s="49"/>
      <c r="G2187" s="14"/>
      <c r="H2187" s="14"/>
      <c r="I2187" s="76"/>
      <c r="J2187" s="73"/>
      <c r="K2187" s="74"/>
      <c r="L2187" s="72"/>
      <c r="M2187" s="72"/>
      <c r="N2187" s="72" t="str">
        <f>IF(AND(C2187="",J2187=0,K2187=0,L2187=0,M2187=0),"",CADASTROS!$B$4+SUM($J$2:J2187)+SUM($M$2:M2187)-SUM($K$2:K2187)-SUM($L$2:L2187))</f>
        <v/>
      </c>
      <c r="O2187" s="72" t="str">
        <f>IF(A2187="","",SUMIF(RATEIOS!$A$2:$A$3142,$A2187,RATEIOS!$F$2:$F$3142))</f>
        <v/>
      </c>
      <c r="P2187" s="15" t="str">
        <f t="shared" si="70"/>
        <v/>
      </c>
      <c r="Q2187" s="49" t="str">
        <f>IF(AND(J2187=0,K2187=0,L2187=0,M2187=0),"",IF(O2187=0,"PENDENTE DE RATEIO",IF(ABS(P2187)&gt;0.005,"DIVERGÊNCIA",IF(COUNTIF(RATEIOS!$A$2:$A$3142,$A2187)-COUNTIFS(RATEIOS!$A$2:$A$3142,$A2187,RATEIOS!$D$2:$D$3142,"&lt;&gt;")&gt;0,"NÃO CLASSIFICADO","RATEIO OK"))))</f>
        <v/>
      </c>
      <c r="R2187" s="49"/>
      <c r="S2187" s="14"/>
    </row>
    <row r="2188" spans="1:19" ht="30" customHeight="1" x14ac:dyDescent="0.25">
      <c r="A2188" s="49" t="str">
        <f>IF(C2188="","","BAN-02187")</f>
        <v/>
      </c>
      <c r="B2188" s="98" t="str">
        <f>IF(C2188="","",2187)</f>
        <v/>
      </c>
      <c r="C2188" s="50"/>
      <c r="D2188" s="49" t="str">
        <f t="shared" si="69"/>
        <v/>
      </c>
      <c r="E2188" s="92"/>
      <c r="F2188" s="49"/>
      <c r="G2188" s="14"/>
      <c r="H2188" s="14"/>
      <c r="I2188" s="76"/>
      <c r="J2188" s="73"/>
      <c r="K2188" s="74"/>
      <c r="L2188" s="72"/>
      <c r="M2188" s="72"/>
      <c r="N2188" s="72" t="str">
        <f>IF(AND(C2188="",J2188=0,K2188=0,L2188=0,M2188=0),"",CADASTROS!$B$4+SUM($J$2:J2188)+SUM($M$2:M2188)-SUM($K$2:K2188)-SUM($L$2:L2188))</f>
        <v/>
      </c>
      <c r="O2188" s="72" t="str">
        <f>IF(A2188="","",SUMIF(RATEIOS!$A$2:$A$3142,$A2188,RATEIOS!$F$2:$F$3142))</f>
        <v/>
      </c>
      <c r="P2188" s="15" t="str">
        <f t="shared" si="70"/>
        <v/>
      </c>
      <c r="Q2188" s="49" t="str">
        <f>IF(AND(J2188=0,K2188=0,L2188=0,M2188=0),"",IF(O2188=0,"PENDENTE DE RATEIO",IF(ABS(P2188)&gt;0.005,"DIVERGÊNCIA",IF(COUNTIF(RATEIOS!$A$2:$A$3142,$A2188)-COUNTIFS(RATEIOS!$A$2:$A$3142,$A2188,RATEIOS!$D$2:$D$3142,"&lt;&gt;")&gt;0,"NÃO CLASSIFICADO","RATEIO OK"))))</f>
        <v/>
      </c>
      <c r="R2188" s="49"/>
      <c r="S2188" s="14"/>
    </row>
    <row r="2189" spans="1:19" ht="30" customHeight="1" x14ac:dyDescent="0.25">
      <c r="A2189" s="49" t="str">
        <f>IF(C2189="","","BAN-02188")</f>
        <v/>
      </c>
      <c r="B2189" s="98" t="str">
        <f>IF(C2189="","",2188)</f>
        <v/>
      </c>
      <c r="C2189" s="50"/>
      <c r="D2189" s="49" t="str">
        <f t="shared" si="69"/>
        <v/>
      </c>
      <c r="E2189" s="92"/>
      <c r="F2189" s="49"/>
      <c r="G2189" s="14"/>
      <c r="H2189" s="14"/>
      <c r="I2189" s="76"/>
      <c r="J2189" s="73"/>
      <c r="K2189" s="74"/>
      <c r="L2189" s="72"/>
      <c r="M2189" s="72"/>
      <c r="N2189" s="72" t="str">
        <f>IF(AND(C2189="",J2189=0,K2189=0,L2189=0,M2189=0),"",CADASTROS!$B$4+SUM($J$2:J2189)+SUM($M$2:M2189)-SUM($K$2:K2189)-SUM($L$2:L2189))</f>
        <v/>
      </c>
      <c r="O2189" s="72" t="str">
        <f>IF(A2189="","",SUMIF(RATEIOS!$A$2:$A$3142,$A2189,RATEIOS!$F$2:$F$3142))</f>
        <v/>
      </c>
      <c r="P2189" s="15" t="str">
        <f t="shared" si="70"/>
        <v/>
      </c>
      <c r="Q2189" s="49" t="str">
        <f>IF(AND(J2189=0,K2189=0,L2189=0,M2189=0),"",IF(O2189=0,"PENDENTE DE RATEIO",IF(ABS(P2189)&gt;0.005,"DIVERGÊNCIA",IF(COUNTIF(RATEIOS!$A$2:$A$3142,$A2189)-COUNTIFS(RATEIOS!$A$2:$A$3142,$A2189,RATEIOS!$D$2:$D$3142,"&lt;&gt;")&gt;0,"NÃO CLASSIFICADO","RATEIO OK"))))</f>
        <v/>
      </c>
      <c r="R2189" s="49"/>
      <c r="S2189" s="14"/>
    </row>
    <row r="2190" spans="1:19" ht="30" customHeight="1" x14ac:dyDescent="0.25">
      <c r="A2190" s="49" t="str">
        <f>IF(C2190="","","BAN-02189")</f>
        <v/>
      </c>
      <c r="B2190" s="98" t="str">
        <f>IF(C2190="","",2189)</f>
        <v/>
      </c>
      <c r="C2190" s="50"/>
      <c r="D2190" s="49" t="str">
        <f t="shared" si="69"/>
        <v/>
      </c>
      <c r="E2190" s="92"/>
      <c r="F2190" s="49"/>
      <c r="G2190" s="14"/>
      <c r="H2190" s="14"/>
      <c r="I2190" s="76"/>
      <c r="J2190" s="73"/>
      <c r="K2190" s="74"/>
      <c r="L2190" s="72"/>
      <c r="M2190" s="72"/>
      <c r="N2190" s="72" t="str">
        <f>IF(AND(C2190="",J2190=0,K2190=0,L2190=0,M2190=0),"",CADASTROS!$B$4+SUM($J$2:J2190)+SUM($M$2:M2190)-SUM($K$2:K2190)-SUM($L$2:L2190))</f>
        <v/>
      </c>
      <c r="O2190" s="72" t="str">
        <f>IF(A2190="","",SUMIF(RATEIOS!$A$2:$A$3142,$A2190,RATEIOS!$F$2:$F$3142))</f>
        <v/>
      </c>
      <c r="P2190" s="15" t="str">
        <f t="shared" si="70"/>
        <v/>
      </c>
      <c r="Q2190" s="49" t="str">
        <f>IF(AND(J2190=0,K2190=0,L2190=0,M2190=0),"",IF(O2190=0,"PENDENTE DE RATEIO",IF(ABS(P2190)&gt;0.005,"DIVERGÊNCIA",IF(COUNTIF(RATEIOS!$A$2:$A$3142,$A2190)-COUNTIFS(RATEIOS!$A$2:$A$3142,$A2190,RATEIOS!$D$2:$D$3142,"&lt;&gt;")&gt;0,"NÃO CLASSIFICADO","RATEIO OK"))))</f>
        <v/>
      </c>
      <c r="R2190" s="49"/>
      <c r="S2190" s="14"/>
    </row>
    <row r="2191" spans="1:19" ht="30" customHeight="1" x14ac:dyDescent="0.25">
      <c r="A2191" s="49" t="str">
        <f>IF(C2191="","","BAN-02190")</f>
        <v/>
      </c>
      <c r="B2191" s="98" t="str">
        <f>IF(C2191="","",2190)</f>
        <v/>
      </c>
      <c r="C2191" s="50"/>
      <c r="D2191" s="49" t="str">
        <f t="shared" si="69"/>
        <v/>
      </c>
      <c r="E2191" s="92"/>
      <c r="F2191" s="49"/>
      <c r="G2191" s="14"/>
      <c r="H2191" s="14"/>
      <c r="I2191" s="76"/>
      <c r="J2191" s="73"/>
      <c r="K2191" s="74"/>
      <c r="L2191" s="72"/>
      <c r="M2191" s="72"/>
      <c r="N2191" s="72" t="str">
        <f>IF(AND(C2191="",J2191=0,K2191=0,L2191=0,M2191=0),"",CADASTROS!$B$4+SUM($J$2:J2191)+SUM($M$2:M2191)-SUM($K$2:K2191)-SUM($L$2:L2191))</f>
        <v/>
      </c>
      <c r="O2191" s="72" t="str">
        <f>IF(A2191="","",SUMIF(RATEIOS!$A$2:$A$3142,$A2191,RATEIOS!$F$2:$F$3142))</f>
        <v/>
      </c>
      <c r="P2191" s="15" t="str">
        <f t="shared" si="70"/>
        <v/>
      </c>
      <c r="Q2191" s="49" t="str">
        <f>IF(AND(J2191=0,K2191=0,L2191=0,M2191=0),"",IF(O2191=0,"PENDENTE DE RATEIO",IF(ABS(P2191)&gt;0.005,"DIVERGÊNCIA",IF(COUNTIF(RATEIOS!$A$2:$A$3142,$A2191)-COUNTIFS(RATEIOS!$A$2:$A$3142,$A2191,RATEIOS!$D$2:$D$3142,"&lt;&gt;")&gt;0,"NÃO CLASSIFICADO","RATEIO OK"))))</f>
        <v/>
      </c>
      <c r="R2191" s="49"/>
      <c r="S2191" s="14"/>
    </row>
    <row r="2192" spans="1:19" ht="30" customHeight="1" x14ac:dyDescent="0.25">
      <c r="A2192" s="49" t="str">
        <f>IF(C2192="","","BAN-02191")</f>
        <v/>
      </c>
      <c r="B2192" s="98" t="str">
        <f>IF(C2192="","",2191)</f>
        <v/>
      </c>
      <c r="C2192" s="50"/>
      <c r="D2192" s="49" t="str">
        <f t="shared" si="69"/>
        <v/>
      </c>
      <c r="E2192" s="92"/>
      <c r="F2192" s="49"/>
      <c r="G2192" s="14"/>
      <c r="H2192" s="14"/>
      <c r="I2192" s="76"/>
      <c r="J2192" s="73"/>
      <c r="K2192" s="74"/>
      <c r="L2192" s="72"/>
      <c r="M2192" s="72"/>
      <c r="N2192" s="72" t="str">
        <f>IF(AND(C2192="",J2192=0,K2192=0,L2192=0,M2192=0),"",CADASTROS!$B$4+SUM($J$2:J2192)+SUM($M$2:M2192)-SUM($K$2:K2192)-SUM($L$2:L2192))</f>
        <v/>
      </c>
      <c r="O2192" s="72" t="str">
        <f>IF(A2192="","",SUMIF(RATEIOS!$A$2:$A$3142,$A2192,RATEIOS!$F$2:$F$3142))</f>
        <v/>
      </c>
      <c r="P2192" s="15" t="str">
        <f t="shared" si="70"/>
        <v/>
      </c>
      <c r="Q2192" s="49" t="str">
        <f>IF(AND(J2192=0,K2192=0,L2192=0,M2192=0),"",IF(O2192=0,"PENDENTE DE RATEIO",IF(ABS(P2192)&gt;0.005,"DIVERGÊNCIA",IF(COUNTIF(RATEIOS!$A$2:$A$3142,$A2192)-COUNTIFS(RATEIOS!$A$2:$A$3142,$A2192,RATEIOS!$D$2:$D$3142,"&lt;&gt;")&gt;0,"NÃO CLASSIFICADO","RATEIO OK"))))</f>
        <v/>
      </c>
      <c r="R2192" s="49"/>
      <c r="S2192" s="14"/>
    </row>
    <row r="2193" spans="1:19" ht="30" customHeight="1" x14ac:dyDescent="0.25">
      <c r="A2193" s="49" t="str">
        <f>IF(C2193="","","BAN-02192")</f>
        <v/>
      </c>
      <c r="B2193" s="98" t="str">
        <f>IF(C2193="","",2192)</f>
        <v/>
      </c>
      <c r="C2193" s="50"/>
      <c r="D2193" s="49" t="str">
        <f t="shared" si="69"/>
        <v/>
      </c>
      <c r="E2193" s="92"/>
      <c r="F2193" s="49"/>
      <c r="G2193" s="14"/>
      <c r="H2193" s="14"/>
      <c r="I2193" s="76"/>
      <c r="J2193" s="73"/>
      <c r="K2193" s="74"/>
      <c r="L2193" s="72"/>
      <c r="M2193" s="72"/>
      <c r="N2193" s="72" t="str">
        <f>IF(AND(C2193="",J2193=0,K2193=0,L2193=0,M2193=0),"",CADASTROS!$B$4+SUM($J$2:J2193)+SUM($M$2:M2193)-SUM($K$2:K2193)-SUM($L$2:L2193))</f>
        <v/>
      </c>
      <c r="O2193" s="72" t="str">
        <f>IF(A2193="","",SUMIF(RATEIOS!$A$2:$A$3142,$A2193,RATEIOS!$F$2:$F$3142))</f>
        <v/>
      </c>
      <c r="P2193" s="15" t="str">
        <f t="shared" si="70"/>
        <v/>
      </c>
      <c r="Q2193" s="49" t="str">
        <f>IF(AND(J2193=0,K2193=0,L2193=0,M2193=0),"",IF(O2193=0,"PENDENTE DE RATEIO",IF(ABS(P2193)&gt;0.005,"DIVERGÊNCIA",IF(COUNTIF(RATEIOS!$A$2:$A$3142,$A2193)-COUNTIFS(RATEIOS!$A$2:$A$3142,$A2193,RATEIOS!$D$2:$D$3142,"&lt;&gt;")&gt;0,"NÃO CLASSIFICADO","RATEIO OK"))))</f>
        <v/>
      </c>
      <c r="R2193" s="49"/>
      <c r="S2193" s="14"/>
    </row>
    <row r="2194" spans="1:19" ht="30" customHeight="1" x14ac:dyDescent="0.25">
      <c r="A2194" s="49" t="str">
        <f>IF(C2194="","","BAN-02193")</f>
        <v/>
      </c>
      <c r="B2194" s="98" t="str">
        <f>IF(C2194="","",2193)</f>
        <v/>
      </c>
      <c r="C2194" s="50"/>
      <c r="D2194" s="49" t="str">
        <f t="shared" si="69"/>
        <v/>
      </c>
      <c r="E2194" s="92"/>
      <c r="F2194" s="49"/>
      <c r="G2194" s="14"/>
      <c r="H2194" s="14"/>
      <c r="I2194" s="76"/>
      <c r="J2194" s="73"/>
      <c r="K2194" s="74"/>
      <c r="L2194" s="72"/>
      <c r="M2194" s="72"/>
      <c r="N2194" s="72" t="str">
        <f>IF(AND(C2194="",J2194=0,K2194=0,L2194=0,M2194=0),"",CADASTROS!$B$4+SUM($J$2:J2194)+SUM($M$2:M2194)-SUM($K$2:K2194)-SUM($L$2:L2194))</f>
        <v/>
      </c>
      <c r="O2194" s="72" t="str">
        <f>IF(A2194="","",SUMIF(RATEIOS!$A$2:$A$3142,$A2194,RATEIOS!$F$2:$F$3142))</f>
        <v/>
      </c>
      <c r="P2194" s="15" t="str">
        <f t="shared" si="70"/>
        <v/>
      </c>
      <c r="Q2194" s="49" t="str">
        <f>IF(AND(J2194=0,K2194=0,L2194=0,M2194=0),"",IF(O2194=0,"PENDENTE DE RATEIO",IF(ABS(P2194)&gt;0.005,"DIVERGÊNCIA",IF(COUNTIF(RATEIOS!$A$2:$A$3142,$A2194)-COUNTIFS(RATEIOS!$A$2:$A$3142,$A2194,RATEIOS!$D$2:$D$3142,"&lt;&gt;")&gt;0,"NÃO CLASSIFICADO","RATEIO OK"))))</f>
        <v/>
      </c>
      <c r="R2194" s="49"/>
      <c r="S2194" s="14"/>
    </row>
    <row r="2195" spans="1:19" ht="30" customHeight="1" x14ac:dyDescent="0.25">
      <c r="A2195" s="49" t="str">
        <f>IF(C2195="","","BAN-02194")</f>
        <v/>
      </c>
      <c r="B2195" s="98" t="str">
        <f>IF(C2195="","",2194)</f>
        <v/>
      </c>
      <c r="C2195" s="50"/>
      <c r="D2195" s="49" t="str">
        <f t="shared" si="69"/>
        <v/>
      </c>
      <c r="E2195" s="92"/>
      <c r="F2195" s="49"/>
      <c r="G2195" s="14"/>
      <c r="H2195" s="14"/>
      <c r="I2195" s="76"/>
      <c r="J2195" s="73"/>
      <c r="K2195" s="74"/>
      <c r="L2195" s="72"/>
      <c r="M2195" s="72"/>
      <c r="N2195" s="72" t="str">
        <f>IF(AND(C2195="",J2195=0,K2195=0,L2195=0,M2195=0),"",CADASTROS!$B$4+SUM($J$2:J2195)+SUM($M$2:M2195)-SUM($K$2:K2195)-SUM($L$2:L2195))</f>
        <v/>
      </c>
      <c r="O2195" s="72" t="str">
        <f>IF(A2195="","",SUMIF(RATEIOS!$A$2:$A$3142,$A2195,RATEIOS!$F$2:$F$3142))</f>
        <v/>
      </c>
      <c r="P2195" s="15" t="str">
        <f t="shared" si="70"/>
        <v/>
      </c>
      <c r="Q2195" s="49" t="str">
        <f>IF(AND(J2195=0,K2195=0,L2195=0,M2195=0),"",IF(O2195=0,"PENDENTE DE RATEIO",IF(ABS(P2195)&gt;0.005,"DIVERGÊNCIA",IF(COUNTIF(RATEIOS!$A$2:$A$3142,$A2195)-COUNTIFS(RATEIOS!$A$2:$A$3142,$A2195,RATEIOS!$D$2:$D$3142,"&lt;&gt;")&gt;0,"NÃO CLASSIFICADO","RATEIO OK"))))</f>
        <v/>
      </c>
      <c r="R2195" s="49"/>
      <c r="S2195" s="14"/>
    </row>
    <row r="2196" spans="1:19" ht="30" customHeight="1" x14ac:dyDescent="0.25">
      <c r="A2196" s="49" t="str">
        <f>IF(C2196="","","BAN-02195")</f>
        <v/>
      </c>
      <c r="B2196" s="98" t="str">
        <f>IF(C2196="","",2195)</f>
        <v/>
      </c>
      <c r="C2196" s="50"/>
      <c r="D2196" s="49" t="str">
        <f t="shared" si="69"/>
        <v/>
      </c>
      <c r="E2196" s="92"/>
      <c r="F2196" s="49"/>
      <c r="G2196" s="14"/>
      <c r="H2196" s="14"/>
      <c r="I2196" s="76"/>
      <c r="J2196" s="73"/>
      <c r="K2196" s="74"/>
      <c r="L2196" s="72"/>
      <c r="M2196" s="72"/>
      <c r="N2196" s="72" t="str">
        <f>IF(AND(C2196="",J2196=0,K2196=0,L2196=0,M2196=0),"",CADASTROS!$B$4+SUM($J$2:J2196)+SUM($M$2:M2196)-SUM($K$2:K2196)-SUM($L$2:L2196))</f>
        <v/>
      </c>
      <c r="O2196" s="72" t="str">
        <f>IF(A2196="","",SUMIF(RATEIOS!$A$2:$A$3142,$A2196,RATEIOS!$F$2:$F$3142))</f>
        <v/>
      </c>
      <c r="P2196" s="15" t="str">
        <f t="shared" si="70"/>
        <v/>
      </c>
      <c r="Q2196" s="49" t="str">
        <f>IF(AND(J2196=0,K2196=0,L2196=0,M2196=0),"",IF(O2196=0,"PENDENTE DE RATEIO",IF(ABS(P2196)&gt;0.005,"DIVERGÊNCIA",IF(COUNTIF(RATEIOS!$A$2:$A$3142,$A2196)-COUNTIFS(RATEIOS!$A$2:$A$3142,$A2196,RATEIOS!$D$2:$D$3142,"&lt;&gt;")&gt;0,"NÃO CLASSIFICADO","RATEIO OK"))))</f>
        <v/>
      </c>
      <c r="R2196" s="49"/>
      <c r="S2196" s="14"/>
    </row>
    <row r="2197" spans="1:19" ht="30" customHeight="1" x14ac:dyDescent="0.25">
      <c r="A2197" s="49" t="str">
        <f>IF(C2197="","","BAN-02196")</f>
        <v/>
      </c>
      <c r="B2197" s="98" t="str">
        <f>IF(C2197="","",2196)</f>
        <v/>
      </c>
      <c r="C2197" s="50"/>
      <c r="D2197" s="49" t="str">
        <f t="shared" si="69"/>
        <v/>
      </c>
      <c r="E2197" s="92"/>
      <c r="F2197" s="49"/>
      <c r="G2197" s="14"/>
      <c r="H2197" s="14"/>
      <c r="I2197" s="76"/>
      <c r="J2197" s="73"/>
      <c r="K2197" s="74"/>
      <c r="L2197" s="72"/>
      <c r="M2197" s="72"/>
      <c r="N2197" s="72" t="str">
        <f>IF(AND(C2197="",J2197=0,K2197=0,L2197=0,M2197=0),"",CADASTROS!$B$4+SUM($J$2:J2197)+SUM($M$2:M2197)-SUM($K$2:K2197)-SUM($L$2:L2197))</f>
        <v/>
      </c>
      <c r="O2197" s="72" t="str">
        <f>IF(A2197="","",SUMIF(RATEIOS!$A$2:$A$3142,$A2197,RATEIOS!$F$2:$F$3142))</f>
        <v/>
      </c>
      <c r="P2197" s="15" t="str">
        <f t="shared" si="70"/>
        <v/>
      </c>
      <c r="Q2197" s="49" t="str">
        <f>IF(AND(J2197=0,K2197=0,L2197=0,M2197=0),"",IF(O2197=0,"PENDENTE DE RATEIO",IF(ABS(P2197)&gt;0.005,"DIVERGÊNCIA",IF(COUNTIF(RATEIOS!$A$2:$A$3142,$A2197)-COUNTIFS(RATEIOS!$A$2:$A$3142,$A2197,RATEIOS!$D$2:$D$3142,"&lt;&gt;")&gt;0,"NÃO CLASSIFICADO","RATEIO OK"))))</f>
        <v/>
      </c>
      <c r="R2197" s="49"/>
      <c r="S2197" s="14"/>
    </row>
    <row r="2198" spans="1:19" ht="30" customHeight="1" x14ac:dyDescent="0.25">
      <c r="A2198" s="49" t="str">
        <f>IF(C2198="","","BAN-02197")</f>
        <v/>
      </c>
      <c r="B2198" s="98" t="str">
        <f>IF(C2198="","",2197)</f>
        <v/>
      </c>
      <c r="C2198" s="50"/>
      <c r="D2198" s="49" t="str">
        <f t="shared" si="69"/>
        <v/>
      </c>
      <c r="E2198" s="92"/>
      <c r="F2198" s="49"/>
      <c r="G2198" s="14"/>
      <c r="H2198" s="14"/>
      <c r="I2198" s="76"/>
      <c r="J2198" s="73"/>
      <c r="K2198" s="74"/>
      <c r="L2198" s="72"/>
      <c r="M2198" s="72"/>
      <c r="N2198" s="72" t="str">
        <f>IF(AND(C2198="",J2198=0,K2198=0,L2198=0,M2198=0),"",CADASTROS!$B$4+SUM($J$2:J2198)+SUM($M$2:M2198)-SUM($K$2:K2198)-SUM($L$2:L2198))</f>
        <v/>
      </c>
      <c r="O2198" s="72" t="str">
        <f>IF(A2198="","",SUMIF(RATEIOS!$A$2:$A$3142,$A2198,RATEIOS!$F$2:$F$3142))</f>
        <v/>
      </c>
      <c r="P2198" s="15" t="str">
        <f t="shared" si="70"/>
        <v/>
      </c>
      <c r="Q2198" s="49" t="str">
        <f>IF(AND(J2198=0,K2198=0,L2198=0,M2198=0),"",IF(O2198=0,"PENDENTE DE RATEIO",IF(ABS(P2198)&gt;0.005,"DIVERGÊNCIA",IF(COUNTIF(RATEIOS!$A$2:$A$3142,$A2198)-COUNTIFS(RATEIOS!$A$2:$A$3142,$A2198,RATEIOS!$D$2:$D$3142,"&lt;&gt;")&gt;0,"NÃO CLASSIFICADO","RATEIO OK"))))</f>
        <v/>
      </c>
      <c r="R2198" s="49"/>
      <c r="S2198" s="14"/>
    </row>
    <row r="2199" spans="1:19" ht="30" customHeight="1" x14ac:dyDescent="0.25">
      <c r="A2199" s="49" t="str">
        <f>IF(C2199="","","BAN-02198")</f>
        <v/>
      </c>
      <c r="B2199" s="98" t="str">
        <f>IF(C2199="","",2198)</f>
        <v/>
      </c>
      <c r="C2199" s="50"/>
      <c r="D2199" s="49" t="str">
        <f t="shared" si="69"/>
        <v/>
      </c>
      <c r="E2199" s="92"/>
      <c r="F2199" s="49"/>
      <c r="G2199" s="14"/>
      <c r="H2199" s="14"/>
      <c r="I2199" s="76"/>
      <c r="J2199" s="73"/>
      <c r="K2199" s="74"/>
      <c r="L2199" s="72"/>
      <c r="M2199" s="72"/>
      <c r="N2199" s="72" t="str">
        <f>IF(AND(C2199="",J2199=0,K2199=0,L2199=0,M2199=0),"",CADASTROS!$B$4+SUM($J$2:J2199)+SUM($M$2:M2199)-SUM($K$2:K2199)-SUM($L$2:L2199))</f>
        <v/>
      </c>
      <c r="O2199" s="72" t="str">
        <f>IF(A2199="","",SUMIF(RATEIOS!$A$2:$A$3142,$A2199,RATEIOS!$F$2:$F$3142))</f>
        <v/>
      </c>
      <c r="P2199" s="15" t="str">
        <f t="shared" si="70"/>
        <v/>
      </c>
      <c r="Q2199" s="49" t="str">
        <f>IF(AND(J2199=0,K2199=0,L2199=0,M2199=0),"",IF(O2199=0,"PENDENTE DE RATEIO",IF(ABS(P2199)&gt;0.005,"DIVERGÊNCIA",IF(COUNTIF(RATEIOS!$A$2:$A$3142,$A2199)-COUNTIFS(RATEIOS!$A$2:$A$3142,$A2199,RATEIOS!$D$2:$D$3142,"&lt;&gt;")&gt;0,"NÃO CLASSIFICADO","RATEIO OK"))))</f>
        <v/>
      </c>
      <c r="R2199" s="49"/>
      <c r="S2199" s="14"/>
    </row>
    <row r="2200" spans="1:19" ht="30" customHeight="1" x14ac:dyDescent="0.25">
      <c r="A2200" s="49" t="str">
        <f>IF(C2200="","","BAN-02199")</f>
        <v/>
      </c>
      <c r="B2200" s="98" t="str">
        <f>IF(C2200="","",2199)</f>
        <v/>
      </c>
      <c r="C2200" s="50"/>
      <c r="D2200" s="49" t="str">
        <f t="shared" si="69"/>
        <v/>
      </c>
      <c r="E2200" s="92"/>
      <c r="F2200" s="49"/>
      <c r="G2200" s="14"/>
      <c r="H2200" s="14"/>
      <c r="I2200" s="76"/>
      <c r="J2200" s="73"/>
      <c r="K2200" s="74"/>
      <c r="L2200" s="72"/>
      <c r="M2200" s="72"/>
      <c r="N2200" s="72" t="str">
        <f>IF(AND(C2200="",J2200=0,K2200=0,L2200=0,M2200=0),"",CADASTROS!$B$4+SUM($J$2:J2200)+SUM($M$2:M2200)-SUM($K$2:K2200)-SUM($L$2:L2200))</f>
        <v/>
      </c>
      <c r="O2200" s="72" t="str">
        <f>IF(A2200="","",SUMIF(RATEIOS!$A$2:$A$3142,$A2200,RATEIOS!$F$2:$F$3142))</f>
        <v/>
      </c>
      <c r="P2200" s="15" t="str">
        <f t="shared" si="70"/>
        <v/>
      </c>
      <c r="Q2200" s="49" t="str">
        <f>IF(AND(J2200=0,K2200=0,L2200=0,M2200=0),"",IF(O2200=0,"PENDENTE DE RATEIO",IF(ABS(P2200)&gt;0.005,"DIVERGÊNCIA",IF(COUNTIF(RATEIOS!$A$2:$A$3142,$A2200)-COUNTIFS(RATEIOS!$A$2:$A$3142,$A2200,RATEIOS!$D$2:$D$3142,"&lt;&gt;")&gt;0,"NÃO CLASSIFICADO","RATEIO OK"))))</f>
        <v/>
      </c>
      <c r="R2200" s="49"/>
      <c r="S2200" s="14"/>
    </row>
    <row r="2201" spans="1:19" ht="30" customHeight="1" x14ac:dyDescent="0.25">
      <c r="A2201" s="49" t="str">
        <f>IF(C2201="","","BAN-02200")</f>
        <v/>
      </c>
      <c r="B2201" s="98" t="str">
        <f>IF(C2201="","",2200)</f>
        <v/>
      </c>
      <c r="C2201" s="50"/>
      <c r="D2201" s="49" t="str">
        <f t="shared" si="69"/>
        <v/>
      </c>
      <c r="E2201" s="92"/>
      <c r="F2201" s="49"/>
      <c r="G2201" s="14"/>
      <c r="H2201" s="14"/>
      <c r="I2201" s="76"/>
      <c r="J2201" s="73"/>
      <c r="K2201" s="74"/>
      <c r="L2201" s="72"/>
      <c r="M2201" s="72"/>
      <c r="N2201" s="72" t="str">
        <f>IF(AND(C2201="",J2201=0,K2201=0,L2201=0,M2201=0),"",CADASTROS!$B$4+SUM($J$2:J2201)+SUM($M$2:M2201)-SUM($K$2:K2201)-SUM($L$2:L2201))</f>
        <v/>
      </c>
      <c r="O2201" s="72" t="str">
        <f>IF(A2201="","",SUMIF(RATEIOS!$A$2:$A$3142,$A2201,RATEIOS!$F$2:$F$3142))</f>
        <v/>
      </c>
      <c r="P2201" s="15" t="str">
        <f t="shared" si="70"/>
        <v/>
      </c>
      <c r="Q2201" s="49" t="str">
        <f>IF(AND(J2201=0,K2201=0,L2201=0,M2201=0),"",IF(O2201=0,"PENDENTE DE RATEIO",IF(ABS(P2201)&gt;0.005,"DIVERGÊNCIA",IF(COUNTIF(RATEIOS!$A$2:$A$3142,$A2201)-COUNTIFS(RATEIOS!$A$2:$A$3142,$A2201,RATEIOS!$D$2:$D$3142,"&lt;&gt;")&gt;0,"NÃO CLASSIFICADO","RATEIO OK"))))</f>
        <v/>
      </c>
      <c r="R2201" s="49"/>
      <c r="S2201" s="14"/>
    </row>
    <row r="2202" spans="1:19" ht="30" customHeight="1" x14ac:dyDescent="0.25">
      <c r="A2202" s="49" t="str">
        <f>IF(C2202="","","BAN-02201")</f>
        <v/>
      </c>
      <c r="B2202" s="98" t="str">
        <f>IF(C2202="","",2201)</f>
        <v/>
      </c>
      <c r="C2202" s="50"/>
      <c r="D2202" s="49" t="str">
        <f t="shared" si="69"/>
        <v/>
      </c>
      <c r="E2202" s="92"/>
      <c r="F2202" s="49"/>
      <c r="G2202" s="14"/>
      <c r="H2202" s="14"/>
      <c r="I2202" s="76"/>
      <c r="J2202" s="73"/>
      <c r="K2202" s="74"/>
      <c r="L2202" s="72"/>
      <c r="M2202" s="72"/>
      <c r="N2202" s="72" t="str">
        <f>IF(AND(C2202="",J2202=0,K2202=0,L2202=0,M2202=0),"",CADASTROS!$B$4+SUM($J$2:J2202)+SUM($M$2:M2202)-SUM($K$2:K2202)-SUM($L$2:L2202))</f>
        <v/>
      </c>
      <c r="O2202" s="72" t="str">
        <f>IF(A2202="","",SUMIF(RATEIOS!$A$2:$A$3142,$A2202,RATEIOS!$F$2:$F$3142))</f>
        <v/>
      </c>
      <c r="P2202" s="15" t="str">
        <f t="shared" si="70"/>
        <v/>
      </c>
      <c r="Q2202" s="49" t="str">
        <f>IF(AND(J2202=0,K2202=0,L2202=0,M2202=0),"",IF(O2202=0,"PENDENTE DE RATEIO",IF(ABS(P2202)&gt;0.005,"DIVERGÊNCIA",IF(COUNTIF(RATEIOS!$A$2:$A$3142,$A2202)-COUNTIFS(RATEIOS!$A$2:$A$3142,$A2202,RATEIOS!$D$2:$D$3142,"&lt;&gt;")&gt;0,"NÃO CLASSIFICADO","RATEIO OK"))))</f>
        <v/>
      </c>
      <c r="R2202" s="49"/>
      <c r="S2202" s="14"/>
    </row>
    <row r="2203" spans="1:19" ht="30" customHeight="1" x14ac:dyDescent="0.25">
      <c r="A2203" s="49" t="str">
        <f>IF(C2203="","","BAN-02202")</f>
        <v/>
      </c>
      <c r="B2203" s="98" t="str">
        <f>IF(C2203="","",2202)</f>
        <v/>
      </c>
      <c r="C2203" s="50"/>
      <c r="D2203" s="49" t="str">
        <f t="shared" si="69"/>
        <v/>
      </c>
      <c r="E2203" s="92"/>
      <c r="F2203" s="49"/>
      <c r="G2203" s="14"/>
      <c r="H2203" s="14"/>
      <c r="I2203" s="76"/>
      <c r="J2203" s="73"/>
      <c r="K2203" s="74"/>
      <c r="L2203" s="72"/>
      <c r="M2203" s="72"/>
      <c r="N2203" s="72" t="str">
        <f>IF(AND(C2203="",J2203=0,K2203=0,L2203=0,M2203=0),"",CADASTROS!$B$4+SUM($J$2:J2203)+SUM($M$2:M2203)-SUM($K$2:K2203)-SUM($L$2:L2203))</f>
        <v/>
      </c>
      <c r="O2203" s="72" t="str">
        <f>IF(A2203="","",SUMIF(RATEIOS!$A$2:$A$3142,$A2203,RATEIOS!$F$2:$F$3142))</f>
        <v/>
      </c>
      <c r="P2203" s="15" t="str">
        <f t="shared" si="70"/>
        <v/>
      </c>
      <c r="Q2203" s="49" t="str">
        <f>IF(AND(J2203=0,K2203=0,L2203=0,M2203=0),"",IF(O2203=0,"PENDENTE DE RATEIO",IF(ABS(P2203)&gt;0.005,"DIVERGÊNCIA",IF(COUNTIF(RATEIOS!$A$2:$A$3142,$A2203)-COUNTIFS(RATEIOS!$A$2:$A$3142,$A2203,RATEIOS!$D$2:$D$3142,"&lt;&gt;")&gt;0,"NÃO CLASSIFICADO","RATEIO OK"))))</f>
        <v/>
      </c>
      <c r="R2203" s="49"/>
      <c r="S2203" s="14"/>
    </row>
    <row r="2204" spans="1:19" ht="30" customHeight="1" x14ac:dyDescent="0.25">
      <c r="A2204" s="49" t="str">
        <f>IF(C2204="","","BAN-02203")</f>
        <v/>
      </c>
      <c r="B2204" s="98" t="str">
        <f>IF(C2204="","",2203)</f>
        <v/>
      </c>
      <c r="C2204" s="50"/>
      <c r="D2204" s="49" t="str">
        <f t="shared" si="69"/>
        <v/>
      </c>
      <c r="E2204" s="92"/>
      <c r="F2204" s="49"/>
      <c r="G2204" s="14"/>
      <c r="H2204" s="14"/>
      <c r="I2204" s="76"/>
      <c r="J2204" s="73"/>
      <c r="K2204" s="74"/>
      <c r="L2204" s="72"/>
      <c r="M2204" s="72"/>
      <c r="N2204" s="72" t="str">
        <f>IF(AND(C2204="",J2204=0,K2204=0,L2204=0,M2204=0),"",CADASTROS!$B$4+SUM($J$2:J2204)+SUM($M$2:M2204)-SUM($K$2:K2204)-SUM($L$2:L2204))</f>
        <v/>
      </c>
      <c r="O2204" s="72" t="str">
        <f>IF(A2204="","",SUMIF(RATEIOS!$A$2:$A$3142,$A2204,RATEIOS!$F$2:$F$3142))</f>
        <v/>
      </c>
      <c r="P2204" s="15" t="str">
        <f t="shared" si="70"/>
        <v/>
      </c>
      <c r="Q2204" s="49" t="str">
        <f>IF(AND(J2204=0,K2204=0,L2204=0,M2204=0),"",IF(O2204=0,"PENDENTE DE RATEIO",IF(ABS(P2204)&gt;0.005,"DIVERGÊNCIA",IF(COUNTIF(RATEIOS!$A$2:$A$3142,$A2204)-COUNTIFS(RATEIOS!$A$2:$A$3142,$A2204,RATEIOS!$D$2:$D$3142,"&lt;&gt;")&gt;0,"NÃO CLASSIFICADO","RATEIO OK"))))</f>
        <v/>
      </c>
      <c r="R2204" s="49"/>
      <c r="S2204" s="14"/>
    </row>
    <row r="2205" spans="1:19" ht="30" customHeight="1" x14ac:dyDescent="0.25">
      <c r="A2205" s="49" t="str">
        <f>IF(C2205="","","BAN-02204")</f>
        <v/>
      </c>
      <c r="B2205" s="98" t="str">
        <f>IF(C2205="","",2204)</f>
        <v/>
      </c>
      <c r="C2205" s="50"/>
      <c r="D2205" s="49" t="str">
        <f t="shared" si="69"/>
        <v/>
      </c>
      <c r="E2205" s="92"/>
      <c r="F2205" s="49"/>
      <c r="G2205" s="14"/>
      <c r="H2205" s="14"/>
      <c r="I2205" s="76"/>
      <c r="J2205" s="73"/>
      <c r="K2205" s="74"/>
      <c r="L2205" s="72"/>
      <c r="M2205" s="72"/>
      <c r="N2205" s="72" t="str">
        <f>IF(AND(C2205="",J2205=0,K2205=0,L2205=0,M2205=0),"",CADASTROS!$B$4+SUM($J$2:J2205)+SUM($M$2:M2205)-SUM($K$2:K2205)-SUM($L$2:L2205))</f>
        <v/>
      </c>
      <c r="O2205" s="72" t="str">
        <f>IF(A2205="","",SUMIF(RATEIOS!$A$2:$A$3142,$A2205,RATEIOS!$F$2:$F$3142))</f>
        <v/>
      </c>
      <c r="P2205" s="15" t="str">
        <f t="shared" si="70"/>
        <v/>
      </c>
      <c r="Q2205" s="49" t="str">
        <f>IF(AND(J2205=0,K2205=0,L2205=0,M2205=0),"",IF(O2205=0,"PENDENTE DE RATEIO",IF(ABS(P2205)&gt;0.005,"DIVERGÊNCIA",IF(COUNTIF(RATEIOS!$A$2:$A$3142,$A2205)-COUNTIFS(RATEIOS!$A$2:$A$3142,$A2205,RATEIOS!$D$2:$D$3142,"&lt;&gt;")&gt;0,"NÃO CLASSIFICADO","RATEIO OK"))))</f>
        <v/>
      </c>
      <c r="R2205" s="49"/>
      <c r="S2205" s="14"/>
    </row>
    <row r="2206" spans="1:19" ht="30" customHeight="1" x14ac:dyDescent="0.25">
      <c r="A2206" s="49" t="str">
        <f>IF(C2206="","","BAN-02205")</f>
        <v/>
      </c>
      <c r="B2206" s="98" t="str">
        <f>IF(C2206="","",2205)</f>
        <v/>
      </c>
      <c r="C2206" s="50"/>
      <c r="D2206" s="49" t="str">
        <f t="shared" si="69"/>
        <v/>
      </c>
      <c r="E2206" s="92"/>
      <c r="F2206" s="49"/>
      <c r="G2206" s="14"/>
      <c r="H2206" s="14"/>
      <c r="I2206" s="76"/>
      <c r="J2206" s="73"/>
      <c r="K2206" s="74"/>
      <c r="L2206" s="72"/>
      <c r="M2206" s="72"/>
      <c r="N2206" s="72" t="str">
        <f>IF(AND(C2206="",J2206=0,K2206=0,L2206=0,M2206=0),"",CADASTROS!$B$4+SUM($J$2:J2206)+SUM($M$2:M2206)-SUM($K$2:K2206)-SUM($L$2:L2206))</f>
        <v/>
      </c>
      <c r="O2206" s="72" t="str">
        <f>IF(A2206="","",SUMIF(RATEIOS!$A$2:$A$3142,$A2206,RATEIOS!$F$2:$F$3142))</f>
        <v/>
      </c>
      <c r="P2206" s="15" t="str">
        <f t="shared" si="70"/>
        <v/>
      </c>
      <c r="Q2206" s="49" t="str">
        <f>IF(AND(J2206=0,K2206=0,L2206=0,M2206=0),"",IF(O2206=0,"PENDENTE DE RATEIO",IF(ABS(P2206)&gt;0.005,"DIVERGÊNCIA",IF(COUNTIF(RATEIOS!$A$2:$A$3142,$A2206)-COUNTIFS(RATEIOS!$A$2:$A$3142,$A2206,RATEIOS!$D$2:$D$3142,"&lt;&gt;")&gt;0,"NÃO CLASSIFICADO","RATEIO OK"))))</f>
        <v/>
      </c>
      <c r="R2206" s="49"/>
      <c r="S2206" s="14"/>
    </row>
    <row r="2207" spans="1:19" ht="30" customHeight="1" x14ac:dyDescent="0.25">
      <c r="A2207" s="49" t="str">
        <f>IF(C2207="","","BAN-02206")</f>
        <v/>
      </c>
      <c r="B2207" s="98" t="str">
        <f>IF(C2207="","",2206)</f>
        <v/>
      </c>
      <c r="C2207" s="50"/>
      <c r="D2207" s="49" t="str">
        <f t="shared" si="69"/>
        <v/>
      </c>
      <c r="E2207" s="92"/>
      <c r="F2207" s="49"/>
      <c r="G2207" s="14"/>
      <c r="H2207" s="14"/>
      <c r="I2207" s="76"/>
      <c r="J2207" s="73"/>
      <c r="K2207" s="74"/>
      <c r="L2207" s="72"/>
      <c r="M2207" s="72"/>
      <c r="N2207" s="72" t="str">
        <f>IF(AND(C2207="",J2207=0,K2207=0,L2207=0,M2207=0),"",CADASTROS!$B$4+SUM($J$2:J2207)+SUM($M$2:M2207)-SUM($K$2:K2207)-SUM($L$2:L2207))</f>
        <v/>
      </c>
      <c r="O2207" s="72" t="str">
        <f>IF(A2207="","",SUMIF(RATEIOS!$A$2:$A$3142,$A2207,RATEIOS!$F$2:$F$3142))</f>
        <v/>
      </c>
      <c r="P2207" s="15" t="str">
        <f t="shared" si="70"/>
        <v/>
      </c>
      <c r="Q2207" s="49" t="str">
        <f>IF(AND(J2207=0,K2207=0,L2207=0,M2207=0),"",IF(O2207=0,"PENDENTE DE RATEIO",IF(ABS(P2207)&gt;0.005,"DIVERGÊNCIA",IF(COUNTIF(RATEIOS!$A$2:$A$3142,$A2207)-COUNTIFS(RATEIOS!$A$2:$A$3142,$A2207,RATEIOS!$D$2:$D$3142,"&lt;&gt;")&gt;0,"NÃO CLASSIFICADO","RATEIO OK"))))</f>
        <v/>
      </c>
      <c r="R2207" s="49"/>
      <c r="S2207" s="14"/>
    </row>
    <row r="2208" spans="1:19" ht="30" customHeight="1" x14ac:dyDescent="0.25">
      <c r="A2208" s="49" t="str">
        <f>IF(C2208="","","BAN-02207")</f>
        <v/>
      </c>
      <c r="B2208" s="98" t="str">
        <f>IF(C2208="","",2207)</f>
        <v/>
      </c>
      <c r="C2208" s="50"/>
      <c r="D2208" s="49" t="str">
        <f t="shared" si="69"/>
        <v/>
      </c>
      <c r="E2208" s="92"/>
      <c r="F2208" s="49"/>
      <c r="G2208" s="14"/>
      <c r="H2208" s="14"/>
      <c r="I2208" s="76"/>
      <c r="J2208" s="73"/>
      <c r="K2208" s="74"/>
      <c r="L2208" s="72"/>
      <c r="M2208" s="72"/>
      <c r="N2208" s="72" t="str">
        <f>IF(AND(C2208="",J2208=0,K2208=0,L2208=0,M2208=0),"",CADASTROS!$B$4+SUM($J$2:J2208)+SUM($M$2:M2208)-SUM($K$2:K2208)-SUM($L$2:L2208))</f>
        <v/>
      </c>
      <c r="O2208" s="72" t="str">
        <f>IF(A2208="","",SUMIF(RATEIOS!$A$2:$A$3142,$A2208,RATEIOS!$F$2:$F$3142))</f>
        <v/>
      </c>
      <c r="P2208" s="15" t="str">
        <f t="shared" si="70"/>
        <v/>
      </c>
      <c r="Q2208" s="49" t="str">
        <f>IF(AND(J2208=0,K2208=0,L2208=0,M2208=0),"",IF(O2208=0,"PENDENTE DE RATEIO",IF(ABS(P2208)&gt;0.005,"DIVERGÊNCIA",IF(COUNTIF(RATEIOS!$A$2:$A$3142,$A2208)-COUNTIFS(RATEIOS!$A$2:$A$3142,$A2208,RATEIOS!$D$2:$D$3142,"&lt;&gt;")&gt;0,"NÃO CLASSIFICADO","RATEIO OK"))))</f>
        <v/>
      </c>
      <c r="R2208" s="49"/>
      <c r="S2208" s="14"/>
    </row>
    <row r="2209" spans="1:19" ht="30" customHeight="1" x14ac:dyDescent="0.25">
      <c r="A2209" s="49" t="str">
        <f>IF(C2209="","","BAN-02208")</f>
        <v/>
      </c>
      <c r="B2209" s="98" t="str">
        <f>IF(C2209="","",2208)</f>
        <v/>
      </c>
      <c r="C2209" s="50"/>
      <c r="D2209" s="49" t="str">
        <f t="shared" si="69"/>
        <v/>
      </c>
      <c r="E2209" s="92"/>
      <c r="F2209" s="49"/>
      <c r="G2209" s="14"/>
      <c r="H2209" s="14"/>
      <c r="I2209" s="76"/>
      <c r="J2209" s="73"/>
      <c r="K2209" s="74"/>
      <c r="L2209" s="72"/>
      <c r="M2209" s="72"/>
      <c r="N2209" s="72" t="str">
        <f>IF(AND(C2209="",J2209=0,K2209=0,L2209=0,M2209=0),"",CADASTROS!$B$4+SUM($J$2:J2209)+SUM($M$2:M2209)-SUM($K$2:K2209)-SUM($L$2:L2209))</f>
        <v/>
      </c>
      <c r="O2209" s="72" t="str">
        <f>IF(A2209="","",SUMIF(RATEIOS!$A$2:$A$3142,$A2209,RATEIOS!$F$2:$F$3142))</f>
        <v/>
      </c>
      <c r="P2209" s="15" t="str">
        <f t="shared" si="70"/>
        <v/>
      </c>
      <c r="Q2209" s="49" t="str">
        <f>IF(AND(J2209=0,K2209=0,L2209=0,M2209=0),"",IF(O2209=0,"PENDENTE DE RATEIO",IF(ABS(P2209)&gt;0.005,"DIVERGÊNCIA",IF(COUNTIF(RATEIOS!$A$2:$A$3142,$A2209)-COUNTIFS(RATEIOS!$A$2:$A$3142,$A2209,RATEIOS!$D$2:$D$3142,"&lt;&gt;")&gt;0,"NÃO CLASSIFICADO","RATEIO OK"))))</f>
        <v/>
      </c>
      <c r="R2209" s="49"/>
      <c r="S2209" s="14"/>
    </row>
    <row r="2210" spans="1:19" ht="30" customHeight="1" x14ac:dyDescent="0.25">
      <c r="A2210" s="49" t="str">
        <f>IF(C2210="","","BAN-02209")</f>
        <v/>
      </c>
      <c r="B2210" s="98" t="str">
        <f>IF(C2210="","",2209)</f>
        <v/>
      </c>
      <c r="C2210" s="50"/>
      <c r="D2210" s="49" t="str">
        <f t="shared" si="69"/>
        <v/>
      </c>
      <c r="E2210" s="92"/>
      <c r="F2210" s="49"/>
      <c r="G2210" s="14"/>
      <c r="H2210" s="14"/>
      <c r="I2210" s="76"/>
      <c r="J2210" s="73"/>
      <c r="K2210" s="74"/>
      <c r="L2210" s="72"/>
      <c r="M2210" s="72"/>
      <c r="N2210" s="72" t="str">
        <f>IF(AND(C2210="",J2210=0,K2210=0,L2210=0,M2210=0),"",CADASTROS!$B$4+SUM($J$2:J2210)+SUM($M$2:M2210)-SUM($K$2:K2210)-SUM($L$2:L2210))</f>
        <v/>
      </c>
      <c r="O2210" s="72" t="str">
        <f>IF(A2210="","",SUMIF(RATEIOS!$A$2:$A$3142,$A2210,RATEIOS!$F$2:$F$3142))</f>
        <v/>
      </c>
      <c r="P2210" s="15" t="str">
        <f t="shared" si="70"/>
        <v/>
      </c>
      <c r="Q2210" s="49" t="str">
        <f>IF(AND(J2210=0,K2210=0,L2210=0,M2210=0),"",IF(O2210=0,"PENDENTE DE RATEIO",IF(ABS(P2210)&gt;0.005,"DIVERGÊNCIA",IF(COUNTIF(RATEIOS!$A$2:$A$3142,$A2210)-COUNTIFS(RATEIOS!$A$2:$A$3142,$A2210,RATEIOS!$D$2:$D$3142,"&lt;&gt;")&gt;0,"NÃO CLASSIFICADO","RATEIO OK"))))</f>
        <v/>
      </c>
      <c r="R2210" s="49"/>
      <c r="S2210" s="14"/>
    </row>
    <row r="2211" spans="1:19" ht="30" customHeight="1" x14ac:dyDescent="0.25">
      <c r="A2211" s="49" t="str">
        <f>IF(C2211="","","BAN-02210")</f>
        <v/>
      </c>
      <c r="B2211" s="98" t="str">
        <f>IF(C2211="","",2210)</f>
        <v/>
      </c>
      <c r="C2211" s="50"/>
      <c r="D2211" s="49" t="str">
        <f t="shared" si="69"/>
        <v/>
      </c>
      <c r="E2211" s="92"/>
      <c r="F2211" s="49"/>
      <c r="G2211" s="14"/>
      <c r="H2211" s="14"/>
      <c r="I2211" s="76"/>
      <c r="J2211" s="73"/>
      <c r="K2211" s="74"/>
      <c r="L2211" s="72"/>
      <c r="M2211" s="72"/>
      <c r="N2211" s="72" t="str">
        <f>IF(AND(C2211="",J2211=0,K2211=0,L2211=0,M2211=0),"",CADASTROS!$B$4+SUM($J$2:J2211)+SUM($M$2:M2211)-SUM($K$2:K2211)-SUM($L$2:L2211))</f>
        <v/>
      </c>
      <c r="O2211" s="72" t="str">
        <f>IF(A2211="","",SUMIF(RATEIOS!$A$2:$A$3142,$A2211,RATEIOS!$F$2:$F$3142))</f>
        <v/>
      </c>
      <c r="P2211" s="15" t="str">
        <f t="shared" si="70"/>
        <v/>
      </c>
      <c r="Q2211" s="49" t="str">
        <f>IF(AND(J2211=0,K2211=0,L2211=0,M2211=0),"",IF(O2211=0,"PENDENTE DE RATEIO",IF(ABS(P2211)&gt;0.005,"DIVERGÊNCIA",IF(COUNTIF(RATEIOS!$A$2:$A$3142,$A2211)-COUNTIFS(RATEIOS!$A$2:$A$3142,$A2211,RATEIOS!$D$2:$D$3142,"&lt;&gt;")&gt;0,"NÃO CLASSIFICADO","RATEIO OK"))))</f>
        <v/>
      </c>
      <c r="R2211" s="49"/>
      <c r="S2211" s="14"/>
    </row>
    <row r="2212" spans="1:19" ht="30" customHeight="1" x14ac:dyDescent="0.25">
      <c r="A2212" s="49" t="str">
        <f>IF(C2212="","","BAN-02211")</f>
        <v/>
      </c>
      <c r="B2212" s="98" t="str">
        <f>IF(C2212="","",2211)</f>
        <v/>
      </c>
      <c r="C2212" s="50"/>
      <c r="D2212" s="49" t="str">
        <f t="shared" si="69"/>
        <v/>
      </c>
      <c r="E2212" s="92"/>
      <c r="F2212" s="49"/>
      <c r="G2212" s="14"/>
      <c r="H2212" s="14"/>
      <c r="I2212" s="76"/>
      <c r="J2212" s="73"/>
      <c r="K2212" s="74"/>
      <c r="L2212" s="72"/>
      <c r="M2212" s="72"/>
      <c r="N2212" s="72" t="str">
        <f>IF(AND(C2212="",J2212=0,K2212=0,L2212=0,M2212=0),"",CADASTROS!$B$4+SUM($J$2:J2212)+SUM($M$2:M2212)-SUM($K$2:K2212)-SUM($L$2:L2212))</f>
        <v/>
      </c>
      <c r="O2212" s="72" t="str">
        <f>IF(A2212="","",SUMIF(RATEIOS!$A$2:$A$3142,$A2212,RATEIOS!$F$2:$F$3142))</f>
        <v/>
      </c>
      <c r="P2212" s="15" t="str">
        <f t="shared" si="70"/>
        <v/>
      </c>
      <c r="Q2212" s="49" t="str">
        <f>IF(AND(J2212=0,K2212=0,L2212=0,M2212=0),"",IF(O2212=0,"PENDENTE DE RATEIO",IF(ABS(P2212)&gt;0.005,"DIVERGÊNCIA",IF(COUNTIF(RATEIOS!$A$2:$A$3142,$A2212)-COUNTIFS(RATEIOS!$A$2:$A$3142,$A2212,RATEIOS!$D$2:$D$3142,"&lt;&gt;")&gt;0,"NÃO CLASSIFICADO","RATEIO OK"))))</f>
        <v/>
      </c>
      <c r="R2212" s="49"/>
      <c r="S2212" s="14"/>
    </row>
    <row r="2213" spans="1:19" ht="30" customHeight="1" x14ac:dyDescent="0.25">
      <c r="A2213" s="49" t="str">
        <f>IF(C2213="","","BAN-02212")</f>
        <v/>
      </c>
      <c r="B2213" s="98" t="str">
        <f>IF(C2213="","",2212)</f>
        <v/>
      </c>
      <c r="C2213" s="50"/>
      <c r="D2213" s="49" t="str">
        <f t="shared" si="69"/>
        <v/>
      </c>
      <c r="E2213" s="92"/>
      <c r="F2213" s="49"/>
      <c r="G2213" s="14"/>
      <c r="H2213" s="14"/>
      <c r="I2213" s="76"/>
      <c r="J2213" s="73"/>
      <c r="K2213" s="74"/>
      <c r="L2213" s="72"/>
      <c r="M2213" s="72"/>
      <c r="N2213" s="72" t="str">
        <f>IF(AND(C2213="",J2213=0,K2213=0,L2213=0,M2213=0),"",CADASTROS!$B$4+SUM($J$2:J2213)+SUM($M$2:M2213)-SUM($K$2:K2213)-SUM($L$2:L2213))</f>
        <v/>
      </c>
      <c r="O2213" s="72" t="str">
        <f>IF(A2213="","",SUMIF(RATEIOS!$A$2:$A$3142,$A2213,RATEIOS!$F$2:$F$3142))</f>
        <v/>
      </c>
      <c r="P2213" s="15" t="str">
        <f t="shared" si="70"/>
        <v/>
      </c>
      <c r="Q2213" s="49" t="str">
        <f>IF(AND(J2213=0,K2213=0,L2213=0,M2213=0),"",IF(O2213=0,"PENDENTE DE RATEIO",IF(ABS(P2213)&gt;0.005,"DIVERGÊNCIA",IF(COUNTIF(RATEIOS!$A$2:$A$3142,$A2213)-COUNTIFS(RATEIOS!$A$2:$A$3142,$A2213,RATEIOS!$D$2:$D$3142,"&lt;&gt;")&gt;0,"NÃO CLASSIFICADO","RATEIO OK"))))</f>
        <v/>
      </c>
      <c r="R2213" s="49"/>
      <c r="S2213" s="14"/>
    </row>
    <row r="2214" spans="1:19" ht="30" customHeight="1" x14ac:dyDescent="0.25">
      <c r="A2214" s="49" t="str">
        <f>IF(C2214="","","BAN-02213")</f>
        <v/>
      </c>
      <c r="B2214" s="98" t="str">
        <f>IF(C2214="","",2213)</f>
        <v/>
      </c>
      <c r="C2214" s="50"/>
      <c r="D2214" s="49" t="str">
        <f t="shared" si="69"/>
        <v/>
      </c>
      <c r="E2214" s="92"/>
      <c r="F2214" s="49"/>
      <c r="G2214" s="14"/>
      <c r="H2214" s="14"/>
      <c r="I2214" s="76"/>
      <c r="J2214" s="73"/>
      <c r="K2214" s="74"/>
      <c r="L2214" s="72"/>
      <c r="M2214" s="72"/>
      <c r="N2214" s="72" t="str">
        <f>IF(AND(C2214="",J2214=0,K2214=0,L2214=0,M2214=0),"",CADASTROS!$B$4+SUM($J$2:J2214)+SUM($M$2:M2214)-SUM($K$2:K2214)-SUM($L$2:L2214))</f>
        <v/>
      </c>
      <c r="O2214" s="72" t="str">
        <f>IF(A2214="","",SUMIF(RATEIOS!$A$2:$A$3142,$A2214,RATEIOS!$F$2:$F$3142))</f>
        <v/>
      </c>
      <c r="P2214" s="15" t="str">
        <f t="shared" si="70"/>
        <v/>
      </c>
      <c r="Q2214" s="49" t="str">
        <f>IF(AND(J2214=0,K2214=0,L2214=0,M2214=0),"",IF(O2214=0,"PENDENTE DE RATEIO",IF(ABS(P2214)&gt;0.005,"DIVERGÊNCIA",IF(COUNTIF(RATEIOS!$A$2:$A$3142,$A2214)-COUNTIFS(RATEIOS!$A$2:$A$3142,$A2214,RATEIOS!$D$2:$D$3142,"&lt;&gt;")&gt;0,"NÃO CLASSIFICADO","RATEIO OK"))))</f>
        <v/>
      </c>
      <c r="R2214" s="49"/>
      <c r="S2214" s="14"/>
    </row>
    <row r="2215" spans="1:19" ht="30" customHeight="1" x14ac:dyDescent="0.25">
      <c r="A2215" s="49" t="str">
        <f>IF(C2215="","","BAN-02214")</f>
        <v/>
      </c>
      <c r="B2215" s="98" t="str">
        <f>IF(C2215="","",2214)</f>
        <v/>
      </c>
      <c r="C2215" s="50"/>
      <c r="D2215" s="49" t="str">
        <f t="shared" si="69"/>
        <v/>
      </c>
      <c r="E2215" s="92"/>
      <c r="F2215" s="49"/>
      <c r="G2215" s="14"/>
      <c r="H2215" s="14"/>
      <c r="I2215" s="76"/>
      <c r="J2215" s="73"/>
      <c r="K2215" s="74"/>
      <c r="L2215" s="72"/>
      <c r="M2215" s="72"/>
      <c r="N2215" s="72" t="str">
        <f>IF(AND(C2215="",J2215=0,K2215=0,L2215=0,M2215=0),"",CADASTROS!$B$4+SUM($J$2:J2215)+SUM($M$2:M2215)-SUM($K$2:K2215)-SUM($L$2:L2215))</f>
        <v/>
      </c>
      <c r="O2215" s="72" t="str">
        <f>IF(A2215="","",SUMIF(RATEIOS!$A$2:$A$3142,$A2215,RATEIOS!$F$2:$F$3142))</f>
        <v/>
      </c>
      <c r="P2215" s="15" t="str">
        <f t="shared" si="70"/>
        <v/>
      </c>
      <c r="Q2215" s="49" t="str">
        <f>IF(AND(J2215=0,K2215=0,L2215=0,M2215=0),"",IF(O2215=0,"PENDENTE DE RATEIO",IF(ABS(P2215)&gt;0.005,"DIVERGÊNCIA",IF(COUNTIF(RATEIOS!$A$2:$A$3142,$A2215)-COUNTIFS(RATEIOS!$A$2:$A$3142,$A2215,RATEIOS!$D$2:$D$3142,"&lt;&gt;")&gt;0,"NÃO CLASSIFICADO","RATEIO OK"))))</f>
        <v/>
      </c>
      <c r="R2215" s="49"/>
      <c r="S2215" s="14"/>
    </row>
    <row r="2216" spans="1:19" ht="30" customHeight="1" x14ac:dyDescent="0.25">
      <c r="A2216" s="49" t="str">
        <f>IF(C2216="","","BAN-02215")</f>
        <v/>
      </c>
      <c r="B2216" s="98" t="str">
        <f>IF(C2216="","",2215)</f>
        <v/>
      </c>
      <c r="C2216" s="50"/>
      <c r="D2216" s="49" t="str">
        <f t="shared" si="69"/>
        <v/>
      </c>
      <c r="E2216" s="92"/>
      <c r="F2216" s="49"/>
      <c r="G2216" s="14"/>
      <c r="H2216" s="14"/>
      <c r="I2216" s="76"/>
      <c r="J2216" s="73"/>
      <c r="K2216" s="74"/>
      <c r="L2216" s="72"/>
      <c r="M2216" s="72"/>
      <c r="N2216" s="72" t="str">
        <f>IF(AND(C2216="",J2216=0,K2216=0,L2216=0,M2216=0),"",CADASTROS!$B$4+SUM($J$2:J2216)+SUM($M$2:M2216)-SUM($K$2:K2216)-SUM($L$2:L2216))</f>
        <v/>
      </c>
      <c r="O2216" s="72" t="str">
        <f>IF(A2216="","",SUMIF(RATEIOS!$A$2:$A$3142,$A2216,RATEIOS!$F$2:$F$3142))</f>
        <v/>
      </c>
      <c r="P2216" s="15" t="str">
        <f t="shared" si="70"/>
        <v/>
      </c>
      <c r="Q2216" s="49" t="str">
        <f>IF(AND(J2216=0,K2216=0,L2216=0,M2216=0),"",IF(O2216=0,"PENDENTE DE RATEIO",IF(ABS(P2216)&gt;0.005,"DIVERGÊNCIA",IF(COUNTIF(RATEIOS!$A$2:$A$3142,$A2216)-COUNTIFS(RATEIOS!$A$2:$A$3142,$A2216,RATEIOS!$D$2:$D$3142,"&lt;&gt;")&gt;0,"NÃO CLASSIFICADO","RATEIO OK"))))</f>
        <v/>
      </c>
      <c r="R2216" s="49"/>
      <c r="S2216" s="14"/>
    </row>
    <row r="2217" spans="1:19" ht="30" customHeight="1" x14ac:dyDescent="0.25">
      <c r="A2217" s="49" t="str">
        <f>IF(C2217="","","BAN-02216")</f>
        <v/>
      </c>
      <c r="B2217" s="98" t="str">
        <f>IF(C2217="","",2216)</f>
        <v/>
      </c>
      <c r="C2217" s="50"/>
      <c r="D2217" s="49" t="str">
        <f t="shared" si="69"/>
        <v/>
      </c>
      <c r="E2217" s="92"/>
      <c r="F2217" s="49"/>
      <c r="G2217" s="14"/>
      <c r="H2217" s="14"/>
      <c r="I2217" s="76"/>
      <c r="J2217" s="73"/>
      <c r="K2217" s="74"/>
      <c r="L2217" s="72"/>
      <c r="M2217" s="72"/>
      <c r="N2217" s="72" t="str">
        <f>IF(AND(C2217="",J2217=0,K2217=0,L2217=0,M2217=0),"",CADASTROS!$B$4+SUM($J$2:J2217)+SUM($M$2:M2217)-SUM($K$2:K2217)-SUM($L$2:L2217))</f>
        <v/>
      </c>
      <c r="O2217" s="72" t="str">
        <f>IF(A2217="","",SUMIF(RATEIOS!$A$2:$A$3142,$A2217,RATEIOS!$F$2:$F$3142))</f>
        <v/>
      </c>
      <c r="P2217" s="15" t="str">
        <f t="shared" si="70"/>
        <v/>
      </c>
      <c r="Q2217" s="49" t="str">
        <f>IF(AND(J2217=0,K2217=0,L2217=0,M2217=0),"",IF(O2217=0,"PENDENTE DE RATEIO",IF(ABS(P2217)&gt;0.005,"DIVERGÊNCIA",IF(COUNTIF(RATEIOS!$A$2:$A$3142,$A2217)-COUNTIFS(RATEIOS!$A$2:$A$3142,$A2217,RATEIOS!$D$2:$D$3142,"&lt;&gt;")&gt;0,"NÃO CLASSIFICADO","RATEIO OK"))))</f>
        <v/>
      </c>
      <c r="R2217" s="49"/>
      <c r="S2217" s="14"/>
    </row>
    <row r="2218" spans="1:19" ht="30" customHeight="1" x14ac:dyDescent="0.25">
      <c r="A2218" s="49" t="str">
        <f>IF(C2218="","","BAN-02217")</f>
        <v/>
      </c>
      <c r="B2218" s="98" t="str">
        <f>IF(C2218="","",2217)</f>
        <v/>
      </c>
      <c r="C2218" s="50"/>
      <c r="D2218" s="49" t="str">
        <f t="shared" si="69"/>
        <v/>
      </c>
      <c r="E2218" s="92"/>
      <c r="F2218" s="49"/>
      <c r="G2218" s="14"/>
      <c r="H2218" s="14"/>
      <c r="I2218" s="76"/>
      <c r="J2218" s="73"/>
      <c r="K2218" s="74"/>
      <c r="L2218" s="72"/>
      <c r="M2218" s="72"/>
      <c r="N2218" s="72" t="str">
        <f>IF(AND(C2218="",J2218=0,K2218=0,L2218=0,M2218=0),"",CADASTROS!$B$4+SUM($J$2:J2218)+SUM($M$2:M2218)-SUM($K$2:K2218)-SUM($L$2:L2218))</f>
        <v/>
      </c>
      <c r="O2218" s="72" t="str">
        <f>IF(A2218="","",SUMIF(RATEIOS!$A$2:$A$3142,$A2218,RATEIOS!$F$2:$F$3142))</f>
        <v/>
      </c>
      <c r="P2218" s="15" t="str">
        <f t="shared" si="70"/>
        <v/>
      </c>
      <c r="Q2218" s="49" t="str">
        <f>IF(AND(J2218=0,K2218=0,L2218=0,M2218=0),"",IF(O2218=0,"PENDENTE DE RATEIO",IF(ABS(P2218)&gt;0.005,"DIVERGÊNCIA",IF(COUNTIF(RATEIOS!$A$2:$A$3142,$A2218)-COUNTIFS(RATEIOS!$A$2:$A$3142,$A2218,RATEIOS!$D$2:$D$3142,"&lt;&gt;")&gt;0,"NÃO CLASSIFICADO","RATEIO OK"))))</f>
        <v/>
      </c>
      <c r="R2218" s="49"/>
      <c r="S2218" s="14"/>
    </row>
    <row r="2219" spans="1:19" ht="30" customHeight="1" x14ac:dyDescent="0.25">
      <c r="A2219" s="49" t="str">
        <f>IF(C2219="","","BAN-02218")</f>
        <v/>
      </c>
      <c r="B2219" s="98" t="str">
        <f>IF(C2219="","",2218)</f>
        <v/>
      </c>
      <c r="C2219" s="50"/>
      <c r="D2219" s="49" t="str">
        <f t="shared" si="69"/>
        <v/>
      </c>
      <c r="E2219" s="92"/>
      <c r="F2219" s="49"/>
      <c r="G2219" s="14"/>
      <c r="H2219" s="14"/>
      <c r="I2219" s="76"/>
      <c r="J2219" s="73"/>
      <c r="K2219" s="74"/>
      <c r="L2219" s="72"/>
      <c r="M2219" s="72"/>
      <c r="N2219" s="72" t="str">
        <f>IF(AND(C2219="",J2219=0,K2219=0,L2219=0,M2219=0),"",CADASTROS!$B$4+SUM($J$2:J2219)+SUM($M$2:M2219)-SUM($K$2:K2219)-SUM($L$2:L2219))</f>
        <v/>
      </c>
      <c r="O2219" s="72" t="str">
        <f>IF(A2219="","",SUMIF(RATEIOS!$A$2:$A$3142,$A2219,RATEIOS!$F$2:$F$3142))</f>
        <v/>
      </c>
      <c r="P2219" s="15" t="str">
        <f t="shared" si="70"/>
        <v/>
      </c>
      <c r="Q2219" s="49" t="str">
        <f>IF(AND(J2219=0,K2219=0,L2219=0,M2219=0),"",IF(O2219=0,"PENDENTE DE RATEIO",IF(ABS(P2219)&gt;0.005,"DIVERGÊNCIA",IF(COUNTIF(RATEIOS!$A$2:$A$3142,$A2219)-COUNTIFS(RATEIOS!$A$2:$A$3142,$A2219,RATEIOS!$D$2:$D$3142,"&lt;&gt;")&gt;0,"NÃO CLASSIFICADO","RATEIO OK"))))</f>
        <v/>
      </c>
      <c r="R2219" s="49"/>
      <c r="S2219" s="14"/>
    </row>
    <row r="2220" spans="1:19" ht="30" customHeight="1" x14ac:dyDescent="0.25">
      <c r="A2220" s="49" t="str">
        <f>IF(C2220="","","BAN-02219")</f>
        <v/>
      </c>
      <c r="B2220" s="98" t="str">
        <f>IF(C2220="","",2219)</f>
        <v/>
      </c>
      <c r="C2220" s="50"/>
      <c r="D2220" s="49" t="str">
        <f t="shared" si="69"/>
        <v/>
      </c>
      <c r="E2220" s="92"/>
      <c r="F2220" s="49"/>
      <c r="G2220" s="14"/>
      <c r="H2220" s="14"/>
      <c r="I2220" s="76"/>
      <c r="J2220" s="73"/>
      <c r="K2220" s="74"/>
      <c r="L2220" s="72"/>
      <c r="M2220" s="72"/>
      <c r="N2220" s="72" t="str">
        <f>IF(AND(C2220="",J2220=0,K2220=0,L2220=0,M2220=0),"",CADASTROS!$B$4+SUM($J$2:J2220)+SUM($M$2:M2220)-SUM($K$2:K2220)-SUM($L$2:L2220))</f>
        <v/>
      </c>
      <c r="O2220" s="72" t="str">
        <f>IF(A2220="","",SUMIF(RATEIOS!$A$2:$A$3142,$A2220,RATEIOS!$F$2:$F$3142))</f>
        <v/>
      </c>
      <c r="P2220" s="15" t="str">
        <f t="shared" si="70"/>
        <v/>
      </c>
      <c r="Q2220" s="49" t="str">
        <f>IF(AND(J2220=0,K2220=0,L2220=0,M2220=0),"",IF(O2220=0,"PENDENTE DE RATEIO",IF(ABS(P2220)&gt;0.005,"DIVERGÊNCIA",IF(COUNTIF(RATEIOS!$A$2:$A$3142,$A2220)-COUNTIFS(RATEIOS!$A$2:$A$3142,$A2220,RATEIOS!$D$2:$D$3142,"&lt;&gt;")&gt;0,"NÃO CLASSIFICADO","RATEIO OK"))))</f>
        <v/>
      </c>
      <c r="R2220" s="49"/>
      <c r="S2220" s="14"/>
    </row>
    <row r="2221" spans="1:19" ht="30" customHeight="1" x14ac:dyDescent="0.25">
      <c r="A2221" s="49" t="str">
        <f>IF(C2221="","","BAN-02220")</f>
        <v/>
      </c>
      <c r="B2221" s="98" t="str">
        <f>IF(C2221="","",2220)</f>
        <v/>
      </c>
      <c r="C2221" s="50"/>
      <c r="D2221" s="49" t="str">
        <f t="shared" si="69"/>
        <v/>
      </c>
      <c r="E2221" s="92"/>
      <c r="F2221" s="49"/>
      <c r="G2221" s="14"/>
      <c r="H2221" s="14"/>
      <c r="I2221" s="76"/>
      <c r="J2221" s="73"/>
      <c r="K2221" s="74"/>
      <c r="L2221" s="72"/>
      <c r="M2221" s="72"/>
      <c r="N2221" s="72" t="str">
        <f>IF(AND(C2221="",J2221=0,K2221=0,L2221=0,M2221=0),"",CADASTROS!$B$4+SUM($J$2:J2221)+SUM($M$2:M2221)-SUM($K$2:K2221)-SUM($L$2:L2221))</f>
        <v/>
      </c>
      <c r="O2221" s="72" t="str">
        <f>IF(A2221="","",SUMIF(RATEIOS!$A$2:$A$3142,$A2221,RATEIOS!$F$2:$F$3142))</f>
        <v/>
      </c>
      <c r="P2221" s="15" t="str">
        <f t="shared" si="70"/>
        <v/>
      </c>
      <c r="Q2221" s="49" t="str">
        <f>IF(AND(J2221=0,K2221=0,L2221=0,M2221=0),"",IF(O2221=0,"PENDENTE DE RATEIO",IF(ABS(P2221)&gt;0.005,"DIVERGÊNCIA",IF(COUNTIF(RATEIOS!$A$2:$A$3142,$A2221)-COUNTIFS(RATEIOS!$A$2:$A$3142,$A2221,RATEIOS!$D$2:$D$3142,"&lt;&gt;")&gt;0,"NÃO CLASSIFICADO","RATEIO OK"))))</f>
        <v/>
      </c>
      <c r="R2221" s="49"/>
      <c r="S2221" s="14"/>
    </row>
    <row r="2222" spans="1:19" ht="30" customHeight="1" x14ac:dyDescent="0.25">
      <c r="A2222" s="49" t="str">
        <f>IF(C2222="","","BAN-02221")</f>
        <v/>
      </c>
      <c r="B2222" s="98" t="str">
        <f>IF(C2222="","",2221)</f>
        <v/>
      </c>
      <c r="C2222" s="50"/>
      <c r="D2222" s="49" t="str">
        <f t="shared" si="69"/>
        <v/>
      </c>
      <c r="E2222" s="92"/>
      <c r="F2222" s="49"/>
      <c r="G2222" s="14"/>
      <c r="H2222" s="14"/>
      <c r="I2222" s="76"/>
      <c r="J2222" s="73"/>
      <c r="K2222" s="74"/>
      <c r="L2222" s="72"/>
      <c r="M2222" s="72"/>
      <c r="N2222" s="72" t="str">
        <f>IF(AND(C2222="",J2222=0,K2222=0,L2222=0,M2222=0),"",CADASTROS!$B$4+SUM($J$2:J2222)+SUM($M$2:M2222)-SUM($K$2:K2222)-SUM($L$2:L2222))</f>
        <v/>
      </c>
      <c r="O2222" s="72" t="str">
        <f>IF(A2222="","",SUMIF(RATEIOS!$A$2:$A$3142,$A2222,RATEIOS!$F$2:$F$3142))</f>
        <v/>
      </c>
      <c r="P2222" s="15" t="str">
        <f t="shared" si="70"/>
        <v/>
      </c>
      <c r="Q2222" s="49" t="str">
        <f>IF(AND(J2222=0,K2222=0,L2222=0,M2222=0),"",IF(O2222=0,"PENDENTE DE RATEIO",IF(ABS(P2222)&gt;0.005,"DIVERGÊNCIA",IF(COUNTIF(RATEIOS!$A$2:$A$3142,$A2222)-COUNTIFS(RATEIOS!$A$2:$A$3142,$A2222,RATEIOS!$D$2:$D$3142,"&lt;&gt;")&gt;0,"NÃO CLASSIFICADO","RATEIO OK"))))</f>
        <v/>
      </c>
      <c r="R2222" s="49"/>
      <c r="S2222" s="14"/>
    </row>
    <row r="2223" spans="1:19" ht="30" customHeight="1" x14ac:dyDescent="0.25">
      <c r="A2223" s="49" t="str">
        <f>IF(C2223="","","BAN-02222")</f>
        <v/>
      </c>
      <c r="B2223" s="98" t="str">
        <f>IF(C2223="","",2222)</f>
        <v/>
      </c>
      <c r="C2223" s="50"/>
      <c r="D2223" s="49" t="str">
        <f t="shared" si="69"/>
        <v/>
      </c>
      <c r="E2223" s="92"/>
      <c r="F2223" s="49"/>
      <c r="G2223" s="14"/>
      <c r="H2223" s="14"/>
      <c r="I2223" s="76"/>
      <c r="J2223" s="73"/>
      <c r="K2223" s="74"/>
      <c r="L2223" s="72"/>
      <c r="M2223" s="72"/>
      <c r="N2223" s="72" t="str">
        <f>IF(AND(C2223="",J2223=0,K2223=0,L2223=0,M2223=0),"",CADASTROS!$B$4+SUM($J$2:J2223)+SUM($M$2:M2223)-SUM($K$2:K2223)-SUM($L$2:L2223))</f>
        <v/>
      </c>
      <c r="O2223" s="72" t="str">
        <f>IF(A2223="","",SUMIF(RATEIOS!$A$2:$A$3142,$A2223,RATEIOS!$F$2:$F$3142))</f>
        <v/>
      </c>
      <c r="P2223" s="15" t="str">
        <f t="shared" si="70"/>
        <v/>
      </c>
      <c r="Q2223" s="49" t="str">
        <f>IF(AND(J2223=0,K2223=0,L2223=0,M2223=0),"",IF(O2223=0,"PENDENTE DE RATEIO",IF(ABS(P2223)&gt;0.005,"DIVERGÊNCIA",IF(COUNTIF(RATEIOS!$A$2:$A$3142,$A2223)-COUNTIFS(RATEIOS!$A$2:$A$3142,$A2223,RATEIOS!$D$2:$D$3142,"&lt;&gt;")&gt;0,"NÃO CLASSIFICADO","RATEIO OK"))))</f>
        <v/>
      </c>
      <c r="R2223" s="49"/>
      <c r="S2223" s="14"/>
    </row>
    <row r="2224" spans="1:19" ht="30" customHeight="1" x14ac:dyDescent="0.25">
      <c r="A2224" s="49" t="str">
        <f>IF(C2224="","","BAN-02223")</f>
        <v/>
      </c>
      <c r="B2224" s="98" t="str">
        <f>IF(C2224="","",2223)</f>
        <v/>
      </c>
      <c r="C2224" s="50"/>
      <c r="D2224" s="49" t="str">
        <f t="shared" si="69"/>
        <v/>
      </c>
      <c r="E2224" s="92"/>
      <c r="F2224" s="49"/>
      <c r="G2224" s="14"/>
      <c r="H2224" s="14"/>
      <c r="I2224" s="76"/>
      <c r="J2224" s="73"/>
      <c r="K2224" s="74"/>
      <c r="L2224" s="72"/>
      <c r="M2224" s="72"/>
      <c r="N2224" s="72" t="str">
        <f>IF(AND(C2224="",J2224=0,K2224=0,L2224=0,M2224=0),"",CADASTROS!$B$4+SUM($J$2:J2224)+SUM($M$2:M2224)-SUM($K$2:K2224)-SUM($L$2:L2224))</f>
        <v/>
      </c>
      <c r="O2224" s="72" t="str">
        <f>IF(A2224="","",SUMIF(RATEIOS!$A$2:$A$3142,$A2224,RATEIOS!$F$2:$F$3142))</f>
        <v/>
      </c>
      <c r="P2224" s="15" t="str">
        <f t="shared" si="70"/>
        <v/>
      </c>
      <c r="Q2224" s="49" t="str">
        <f>IF(AND(J2224=0,K2224=0,L2224=0,M2224=0),"",IF(O2224=0,"PENDENTE DE RATEIO",IF(ABS(P2224)&gt;0.005,"DIVERGÊNCIA",IF(COUNTIF(RATEIOS!$A$2:$A$3142,$A2224)-COUNTIFS(RATEIOS!$A$2:$A$3142,$A2224,RATEIOS!$D$2:$D$3142,"&lt;&gt;")&gt;0,"NÃO CLASSIFICADO","RATEIO OK"))))</f>
        <v/>
      </c>
      <c r="R2224" s="49"/>
      <c r="S2224" s="14"/>
    </row>
    <row r="2225" spans="1:19" ht="30" customHeight="1" x14ac:dyDescent="0.25">
      <c r="A2225" s="49" t="str">
        <f>IF(C2225="","","BAN-02224")</f>
        <v/>
      </c>
      <c r="B2225" s="98" t="str">
        <f>IF(C2225="","",2224)</f>
        <v/>
      </c>
      <c r="C2225" s="50"/>
      <c r="D2225" s="49" t="str">
        <f t="shared" si="69"/>
        <v/>
      </c>
      <c r="E2225" s="92"/>
      <c r="F2225" s="49"/>
      <c r="G2225" s="14"/>
      <c r="H2225" s="14"/>
      <c r="I2225" s="76"/>
      <c r="J2225" s="73"/>
      <c r="K2225" s="74"/>
      <c r="L2225" s="72"/>
      <c r="M2225" s="72"/>
      <c r="N2225" s="72" t="str">
        <f>IF(AND(C2225="",J2225=0,K2225=0,L2225=0,M2225=0),"",CADASTROS!$B$4+SUM($J$2:J2225)+SUM($M$2:M2225)-SUM($K$2:K2225)-SUM($L$2:L2225))</f>
        <v/>
      </c>
      <c r="O2225" s="72" t="str">
        <f>IF(A2225="","",SUMIF(RATEIOS!$A$2:$A$3142,$A2225,RATEIOS!$F$2:$F$3142))</f>
        <v/>
      </c>
      <c r="P2225" s="15" t="str">
        <f t="shared" si="70"/>
        <v/>
      </c>
      <c r="Q2225" s="49" t="str">
        <f>IF(AND(J2225=0,K2225=0,L2225=0,M2225=0),"",IF(O2225=0,"PENDENTE DE RATEIO",IF(ABS(P2225)&gt;0.005,"DIVERGÊNCIA",IF(COUNTIF(RATEIOS!$A$2:$A$3142,$A2225)-COUNTIFS(RATEIOS!$A$2:$A$3142,$A2225,RATEIOS!$D$2:$D$3142,"&lt;&gt;")&gt;0,"NÃO CLASSIFICADO","RATEIO OK"))))</f>
        <v/>
      </c>
      <c r="R2225" s="49"/>
      <c r="S2225" s="14"/>
    </row>
    <row r="2226" spans="1:19" ht="30" customHeight="1" x14ac:dyDescent="0.25">
      <c r="A2226" s="49" t="str">
        <f>IF(C2226="","","BAN-02225")</f>
        <v/>
      </c>
      <c r="B2226" s="98" t="str">
        <f>IF(C2226="","",2225)</f>
        <v/>
      </c>
      <c r="C2226" s="50"/>
      <c r="D2226" s="49" t="str">
        <f t="shared" si="69"/>
        <v/>
      </c>
      <c r="E2226" s="92"/>
      <c r="F2226" s="49"/>
      <c r="G2226" s="14"/>
      <c r="H2226" s="14"/>
      <c r="I2226" s="76"/>
      <c r="J2226" s="73"/>
      <c r="K2226" s="74"/>
      <c r="L2226" s="72"/>
      <c r="M2226" s="72"/>
      <c r="N2226" s="72" t="str">
        <f>IF(AND(C2226="",J2226=0,K2226=0,L2226=0,M2226=0),"",CADASTROS!$B$4+SUM($J$2:J2226)+SUM($M$2:M2226)-SUM($K$2:K2226)-SUM($L$2:L2226))</f>
        <v/>
      </c>
      <c r="O2226" s="72" t="str">
        <f>IF(A2226="","",SUMIF(RATEIOS!$A$2:$A$3142,$A2226,RATEIOS!$F$2:$F$3142))</f>
        <v/>
      </c>
      <c r="P2226" s="15" t="str">
        <f t="shared" si="70"/>
        <v/>
      </c>
      <c r="Q2226" s="49" t="str">
        <f>IF(AND(J2226=0,K2226=0,L2226=0,M2226=0),"",IF(O2226=0,"PENDENTE DE RATEIO",IF(ABS(P2226)&gt;0.005,"DIVERGÊNCIA",IF(COUNTIF(RATEIOS!$A$2:$A$3142,$A2226)-COUNTIFS(RATEIOS!$A$2:$A$3142,$A2226,RATEIOS!$D$2:$D$3142,"&lt;&gt;")&gt;0,"NÃO CLASSIFICADO","RATEIO OK"))))</f>
        <v/>
      </c>
      <c r="R2226" s="49"/>
      <c r="S2226" s="14"/>
    </row>
    <row r="2227" spans="1:19" ht="30" customHeight="1" x14ac:dyDescent="0.25">
      <c r="A2227" s="49" t="str">
        <f>IF(C2227="","","BAN-02226")</f>
        <v/>
      </c>
      <c r="B2227" s="98" t="str">
        <f>IF(C2227="","",2226)</f>
        <v/>
      </c>
      <c r="C2227" s="50"/>
      <c r="D2227" s="49" t="str">
        <f t="shared" si="69"/>
        <v/>
      </c>
      <c r="E2227" s="92"/>
      <c r="F2227" s="49"/>
      <c r="G2227" s="14"/>
      <c r="H2227" s="14"/>
      <c r="I2227" s="76"/>
      <c r="J2227" s="73"/>
      <c r="K2227" s="74"/>
      <c r="L2227" s="72"/>
      <c r="M2227" s="72"/>
      <c r="N2227" s="72" t="str">
        <f>IF(AND(C2227="",J2227=0,K2227=0,L2227=0,M2227=0),"",CADASTROS!$B$4+SUM($J$2:J2227)+SUM($M$2:M2227)-SUM($K$2:K2227)-SUM($L$2:L2227))</f>
        <v/>
      </c>
      <c r="O2227" s="72" t="str">
        <f>IF(A2227="","",SUMIF(RATEIOS!$A$2:$A$3142,$A2227,RATEIOS!$F$2:$F$3142))</f>
        <v/>
      </c>
      <c r="P2227" s="15" t="str">
        <f t="shared" si="70"/>
        <v/>
      </c>
      <c r="Q2227" s="49" t="str">
        <f>IF(AND(J2227=0,K2227=0,L2227=0,M2227=0),"",IF(O2227=0,"PENDENTE DE RATEIO",IF(ABS(P2227)&gt;0.005,"DIVERGÊNCIA",IF(COUNTIF(RATEIOS!$A$2:$A$3142,$A2227)-COUNTIFS(RATEIOS!$A$2:$A$3142,$A2227,RATEIOS!$D$2:$D$3142,"&lt;&gt;")&gt;0,"NÃO CLASSIFICADO","RATEIO OK"))))</f>
        <v/>
      </c>
      <c r="R2227" s="49"/>
      <c r="S2227" s="14"/>
    </row>
    <row r="2228" spans="1:19" ht="30" customHeight="1" x14ac:dyDescent="0.25">
      <c r="A2228" s="49" t="str">
        <f>IF(C2228="","","BAN-02227")</f>
        <v/>
      </c>
      <c r="B2228" s="98" t="str">
        <f>IF(C2228="","",2227)</f>
        <v/>
      </c>
      <c r="C2228" s="50"/>
      <c r="D2228" s="49" t="str">
        <f t="shared" si="69"/>
        <v/>
      </c>
      <c r="E2228" s="92"/>
      <c r="F2228" s="49"/>
      <c r="G2228" s="14"/>
      <c r="H2228" s="14"/>
      <c r="I2228" s="76"/>
      <c r="J2228" s="73"/>
      <c r="K2228" s="74"/>
      <c r="L2228" s="72"/>
      <c r="M2228" s="72"/>
      <c r="N2228" s="72" t="str">
        <f>IF(AND(C2228="",J2228=0,K2228=0,L2228=0,M2228=0),"",CADASTROS!$B$4+SUM($J$2:J2228)+SUM($M$2:M2228)-SUM($K$2:K2228)-SUM($L$2:L2228))</f>
        <v/>
      </c>
      <c r="O2228" s="72" t="str">
        <f>IF(A2228="","",SUMIF(RATEIOS!$A$2:$A$3142,$A2228,RATEIOS!$F$2:$F$3142))</f>
        <v/>
      </c>
      <c r="P2228" s="15" t="str">
        <f t="shared" si="70"/>
        <v/>
      </c>
      <c r="Q2228" s="49" t="str">
        <f>IF(AND(J2228=0,K2228=0,L2228=0,M2228=0),"",IF(O2228=0,"PENDENTE DE RATEIO",IF(ABS(P2228)&gt;0.005,"DIVERGÊNCIA",IF(COUNTIF(RATEIOS!$A$2:$A$3142,$A2228)-COUNTIFS(RATEIOS!$A$2:$A$3142,$A2228,RATEIOS!$D$2:$D$3142,"&lt;&gt;")&gt;0,"NÃO CLASSIFICADO","RATEIO OK"))))</f>
        <v/>
      </c>
      <c r="R2228" s="49"/>
      <c r="S2228" s="14"/>
    </row>
    <row r="2229" spans="1:19" ht="30" customHeight="1" x14ac:dyDescent="0.25">
      <c r="A2229" s="49" t="str">
        <f>IF(C2229="","","BAN-02228")</f>
        <v/>
      </c>
      <c r="B2229" s="98" t="str">
        <f>IF(C2229="","",2228)</f>
        <v/>
      </c>
      <c r="C2229" s="50"/>
      <c r="D2229" s="49" t="str">
        <f t="shared" si="69"/>
        <v/>
      </c>
      <c r="E2229" s="92"/>
      <c r="F2229" s="49"/>
      <c r="G2229" s="14"/>
      <c r="H2229" s="14"/>
      <c r="I2229" s="76"/>
      <c r="J2229" s="73"/>
      <c r="K2229" s="74"/>
      <c r="L2229" s="72"/>
      <c r="M2229" s="72"/>
      <c r="N2229" s="72" t="str">
        <f>IF(AND(C2229="",J2229=0,K2229=0,L2229=0,M2229=0),"",CADASTROS!$B$4+SUM($J$2:J2229)+SUM($M$2:M2229)-SUM($K$2:K2229)-SUM($L$2:L2229))</f>
        <v/>
      </c>
      <c r="O2229" s="72" t="str">
        <f>IF(A2229="","",SUMIF(RATEIOS!$A$2:$A$3142,$A2229,RATEIOS!$F$2:$F$3142))</f>
        <v/>
      </c>
      <c r="P2229" s="15" t="str">
        <f t="shared" si="70"/>
        <v/>
      </c>
      <c r="Q2229" s="49" t="str">
        <f>IF(AND(J2229=0,K2229=0,L2229=0,M2229=0),"",IF(O2229=0,"PENDENTE DE RATEIO",IF(ABS(P2229)&gt;0.005,"DIVERGÊNCIA",IF(COUNTIF(RATEIOS!$A$2:$A$3142,$A2229)-COUNTIFS(RATEIOS!$A$2:$A$3142,$A2229,RATEIOS!$D$2:$D$3142,"&lt;&gt;")&gt;0,"NÃO CLASSIFICADO","RATEIO OK"))))</f>
        <v/>
      </c>
      <c r="R2229" s="49"/>
      <c r="S2229" s="14"/>
    </row>
    <row r="2230" spans="1:19" ht="30" customHeight="1" x14ac:dyDescent="0.25">
      <c r="A2230" s="49" t="str">
        <f>IF(C2230="","","BAN-02229")</f>
        <v/>
      </c>
      <c r="B2230" s="98" t="str">
        <f>IF(C2230="","",2229)</f>
        <v/>
      </c>
      <c r="C2230" s="50"/>
      <c r="D2230" s="49" t="str">
        <f t="shared" si="69"/>
        <v/>
      </c>
      <c r="E2230" s="92"/>
      <c r="F2230" s="49"/>
      <c r="G2230" s="14"/>
      <c r="H2230" s="14"/>
      <c r="I2230" s="76"/>
      <c r="J2230" s="73"/>
      <c r="K2230" s="74"/>
      <c r="L2230" s="72"/>
      <c r="M2230" s="72"/>
      <c r="N2230" s="72" t="str">
        <f>IF(AND(C2230="",J2230=0,K2230=0,L2230=0,M2230=0),"",CADASTROS!$B$4+SUM($J$2:J2230)+SUM($M$2:M2230)-SUM($K$2:K2230)-SUM($L$2:L2230))</f>
        <v/>
      </c>
      <c r="O2230" s="72" t="str">
        <f>IF(A2230="","",SUMIF(RATEIOS!$A$2:$A$3142,$A2230,RATEIOS!$F$2:$F$3142))</f>
        <v/>
      </c>
      <c r="P2230" s="15" t="str">
        <f t="shared" si="70"/>
        <v/>
      </c>
      <c r="Q2230" s="49" t="str">
        <f>IF(AND(J2230=0,K2230=0,L2230=0,M2230=0),"",IF(O2230=0,"PENDENTE DE RATEIO",IF(ABS(P2230)&gt;0.005,"DIVERGÊNCIA",IF(COUNTIF(RATEIOS!$A$2:$A$3142,$A2230)-COUNTIFS(RATEIOS!$A$2:$A$3142,$A2230,RATEIOS!$D$2:$D$3142,"&lt;&gt;")&gt;0,"NÃO CLASSIFICADO","RATEIO OK"))))</f>
        <v/>
      </c>
      <c r="R2230" s="49"/>
      <c r="S2230" s="14"/>
    </row>
    <row r="2231" spans="1:19" ht="30" customHeight="1" x14ac:dyDescent="0.25">
      <c r="A2231" s="49" t="str">
        <f>IF(C2231="","","BAN-02230")</f>
        <v/>
      </c>
      <c r="B2231" s="98" t="str">
        <f>IF(C2231="","",2230)</f>
        <v/>
      </c>
      <c r="C2231" s="50"/>
      <c r="D2231" s="49" t="str">
        <f t="shared" si="69"/>
        <v/>
      </c>
      <c r="E2231" s="92"/>
      <c r="F2231" s="49"/>
      <c r="G2231" s="14"/>
      <c r="H2231" s="14"/>
      <c r="I2231" s="76"/>
      <c r="J2231" s="73"/>
      <c r="K2231" s="74"/>
      <c r="L2231" s="72"/>
      <c r="M2231" s="72"/>
      <c r="N2231" s="72" t="str">
        <f>IF(AND(C2231="",J2231=0,K2231=0,L2231=0,M2231=0),"",CADASTROS!$B$4+SUM($J$2:J2231)+SUM($M$2:M2231)-SUM($K$2:K2231)-SUM($L$2:L2231))</f>
        <v/>
      </c>
      <c r="O2231" s="72" t="str">
        <f>IF(A2231="","",SUMIF(RATEIOS!$A$2:$A$3142,$A2231,RATEIOS!$F$2:$F$3142))</f>
        <v/>
      </c>
      <c r="P2231" s="15" t="str">
        <f t="shared" si="70"/>
        <v/>
      </c>
      <c r="Q2231" s="49" t="str">
        <f>IF(AND(J2231=0,K2231=0,L2231=0,M2231=0),"",IF(O2231=0,"PENDENTE DE RATEIO",IF(ABS(P2231)&gt;0.005,"DIVERGÊNCIA",IF(COUNTIF(RATEIOS!$A$2:$A$3142,$A2231)-COUNTIFS(RATEIOS!$A$2:$A$3142,$A2231,RATEIOS!$D$2:$D$3142,"&lt;&gt;")&gt;0,"NÃO CLASSIFICADO","RATEIO OK"))))</f>
        <v/>
      </c>
      <c r="R2231" s="49"/>
      <c r="S2231" s="14"/>
    </row>
    <row r="2232" spans="1:19" ht="30" customHeight="1" x14ac:dyDescent="0.25">
      <c r="A2232" s="49" t="str">
        <f>IF(C2232="","","BAN-02231")</f>
        <v/>
      </c>
      <c r="B2232" s="98" t="str">
        <f>IF(C2232="","",2231)</f>
        <v/>
      </c>
      <c r="C2232" s="50"/>
      <c r="D2232" s="49" t="str">
        <f t="shared" si="69"/>
        <v/>
      </c>
      <c r="E2232" s="92"/>
      <c r="F2232" s="49"/>
      <c r="G2232" s="14"/>
      <c r="H2232" s="14"/>
      <c r="I2232" s="76"/>
      <c r="J2232" s="73"/>
      <c r="K2232" s="74"/>
      <c r="L2232" s="72"/>
      <c r="M2232" s="72"/>
      <c r="N2232" s="72" t="str">
        <f>IF(AND(C2232="",J2232=0,K2232=0,L2232=0,M2232=0),"",CADASTROS!$B$4+SUM($J$2:J2232)+SUM($M$2:M2232)-SUM($K$2:K2232)-SUM($L$2:L2232))</f>
        <v/>
      </c>
      <c r="O2232" s="72" t="str">
        <f>IF(A2232="","",SUMIF(RATEIOS!$A$2:$A$3142,$A2232,RATEIOS!$F$2:$F$3142))</f>
        <v/>
      </c>
      <c r="P2232" s="15" t="str">
        <f t="shared" si="70"/>
        <v/>
      </c>
      <c r="Q2232" s="49" t="str">
        <f>IF(AND(J2232=0,K2232=0,L2232=0,M2232=0),"",IF(O2232=0,"PENDENTE DE RATEIO",IF(ABS(P2232)&gt;0.005,"DIVERGÊNCIA",IF(COUNTIF(RATEIOS!$A$2:$A$3142,$A2232)-COUNTIFS(RATEIOS!$A$2:$A$3142,$A2232,RATEIOS!$D$2:$D$3142,"&lt;&gt;")&gt;0,"NÃO CLASSIFICADO","RATEIO OK"))))</f>
        <v/>
      </c>
      <c r="R2232" s="49"/>
      <c r="S2232" s="14"/>
    </row>
    <row r="2233" spans="1:19" ht="30" customHeight="1" x14ac:dyDescent="0.25">
      <c r="A2233" s="49" t="str">
        <f>IF(C2233="","","BAN-02232")</f>
        <v/>
      </c>
      <c r="B2233" s="98" t="str">
        <f>IF(C2233="","",2232)</f>
        <v/>
      </c>
      <c r="C2233" s="50"/>
      <c r="D2233" s="49" t="str">
        <f t="shared" si="69"/>
        <v/>
      </c>
      <c r="E2233" s="92"/>
      <c r="F2233" s="49"/>
      <c r="G2233" s="14"/>
      <c r="H2233" s="14"/>
      <c r="I2233" s="76"/>
      <c r="J2233" s="73"/>
      <c r="K2233" s="74"/>
      <c r="L2233" s="72"/>
      <c r="M2233" s="72"/>
      <c r="N2233" s="72" t="str">
        <f>IF(AND(C2233="",J2233=0,K2233=0,L2233=0,M2233=0),"",CADASTROS!$B$4+SUM($J$2:J2233)+SUM($M$2:M2233)-SUM($K$2:K2233)-SUM($L$2:L2233))</f>
        <v/>
      </c>
      <c r="O2233" s="72" t="str">
        <f>IF(A2233="","",SUMIF(RATEIOS!$A$2:$A$3142,$A2233,RATEIOS!$F$2:$F$3142))</f>
        <v/>
      </c>
      <c r="P2233" s="15" t="str">
        <f t="shared" si="70"/>
        <v/>
      </c>
      <c r="Q2233" s="49" t="str">
        <f>IF(AND(J2233=0,K2233=0,L2233=0,M2233=0),"",IF(O2233=0,"PENDENTE DE RATEIO",IF(ABS(P2233)&gt;0.005,"DIVERGÊNCIA",IF(COUNTIF(RATEIOS!$A$2:$A$3142,$A2233)-COUNTIFS(RATEIOS!$A$2:$A$3142,$A2233,RATEIOS!$D$2:$D$3142,"&lt;&gt;")&gt;0,"NÃO CLASSIFICADO","RATEIO OK"))))</f>
        <v/>
      </c>
      <c r="R2233" s="49"/>
      <c r="S2233" s="14"/>
    </row>
    <row r="2234" spans="1:19" ht="30" customHeight="1" x14ac:dyDescent="0.25">
      <c r="A2234" s="49" t="str">
        <f>IF(C2234="","","BAN-02233")</f>
        <v/>
      </c>
      <c r="B2234" s="98" t="str">
        <f>IF(C2234="","",2233)</f>
        <v/>
      </c>
      <c r="C2234" s="50"/>
      <c r="D2234" s="49" t="str">
        <f t="shared" si="69"/>
        <v/>
      </c>
      <c r="E2234" s="92"/>
      <c r="F2234" s="49"/>
      <c r="G2234" s="14"/>
      <c r="H2234" s="14"/>
      <c r="I2234" s="76"/>
      <c r="J2234" s="73"/>
      <c r="K2234" s="74"/>
      <c r="L2234" s="72"/>
      <c r="M2234" s="72"/>
      <c r="N2234" s="72" t="str">
        <f>IF(AND(C2234="",J2234=0,K2234=0,L2234=0,M2234=0),"",CADASTROS!$B$4+SUM($J$2:J2234)+SUM($M$2:M2234)-SUM($K$2:K2234)-SUM($L$2:L2234))</f>
        <v/>
      </c>
      <c r="O2234" s="72" t="str">
        <f>IF(A2234="","",SUMIF(RATEIOS!$A$2:$A$3142,$A2234,RATEIOS!$F$2:$F$3142))</f>
        <v/>
      </c>
      <c r="P2234" s="15" t="str">
        <f t="shared" si="70"/>
        <v/>
      </c>
      <c r="Q2234" s="49" t="str">
        <f>IF(AND(J2234=0,K2234=0,L2234=0,M2234=0),"",IF(O2234=0,"PENDENTE DE RATEIO",IF(ABS(P2234)&gt;0.005,"DIVERGÊNCIA",IF(COUNTIF(RATEIOS!$A$2:$A$3142,$A2234)-COUNTIFS(RATEIOS!$A$2:$A$3142,$A2234,RATEIOS!$D$2:$D$3142,"&lt;&gt;")&gt;0,"NÃO CLASSIFICADO","RATEIO OK"))))</f>
        <v/>
      </c>
      <c r="R2234" s="49"/>
      <c r="S2234" s="14"/>
    </row>
    <row r="2235" spans="1:19" ht="30" customHeight="1" x14ac:dyDescent="0.25">
      <c r="A2235" s="49" t="str">
        <f>IF(C2235="","","BAN-02234")</f>
        <v/>
      </c>
      <c r="B2235" s="98" t="str">
        <f>IF(C2235="","",2234)</f>
        <v/>
      </c>
      <c r="C2235" s="50"/>
      <c r="D2235" s="49" t="str">
        <f t="shared" si="69"/>
        <v/>
      </c>
      <c r="E2235" s="92"/>
      <c r="F2235" s="49"/>
      <c r="G2235" s="14"/>
      <c r="H2235" s="14"/>
      <c r="I2235" s="76"/>
      <c r="J2235" s="73"/>
      <c r="K2235" s="74"/>
      <c r="L2235" s="72"/>
      <c r="M2235" s="72"/>
      <c r="N2235" s="72" t="str">
        <f>IF(AND(C2235="",J2235=0,K2235=0,L2235=0,M2235=0),"",CADASTROS!$B$4+SUM($J$2:J2235)+SUM($M$2:M2235)-SUM($K$2:K2235)-SUM($L$2:L2235))</f>
        <v/>
      </c>
      <c r="O2235" s="72" t="str">
        <f>IF(A2235="","",SUMIF(RATEIOS!$A$2:$A$3142,$A2235,RATEIOS!$F$2:$F$3142))</f>
        <v/>
      </c>
      <c r="P2235" s="15" t="str">
        <f t="shared" si="70"/>
        <v/>
      </c>
      <c r="Q2235" s="49" t="str">
        <f>IF(AND(J2235=0,K2235=0,L2235=0,M2235=0),"",IF(O2235=0,"PENDENTE DE RATEIO",IF(ABS(P2235)&gt;0.005,"DIVERGÊNCIA",IF(COUNTIF(RATEIOS!$A$2:$A$3142,$A2235)-COUNTIFS(RATEIOS!$A$2:$A$3142,$A2235,RATEIOS!$D$2:$D$3142,"&lt;&gt;")&gt;0,"NÃO CLASSIFICADO","RATEIO OK"))))</f>
        <v/>
      </c>
      <c r="R2235" s="49"/>
      <c r="S2235" s="14"/>
    </row>
    <row r="2236" spans="1:19" ht="30" customHeight="1" x14ac:dyDescent="0.25">
      <c r="A2236" s="49" t="str">
        <f>IF(C2236="","","BAN-02235")</f>
        <v/>
      </c>
      <c r="B2236" s="98" t="str">
        <f>IF(C2236="","",2235)</f>
        <v/>
      </c>
      <c r="C2236" s="50"/>
      <c r="D2236" s="49" t="str">
        <f t="shared" si="69"/>
        <v/>
      </c>
      <c r="E2236" s="92"/>
      <c r="F2236" s="49"/>
      <c r="G2236" s="14"/>
      <c r="H2236" s="14"/>
      <c r="I2236" s="76"/>
      <c r="J2236" s="73"/>
      <c r="K2236" s="74"/>
      <c r="L2236" s="72"/>
      <c r="M2236" s="72"/>
      <c r="N2236" s="72" t="str">
        <f>IF(AND(C2236="",J2236=0,K2236=0,L2236=0,M2236=0),"",CADASTROS!$B$4+SUM($J$2:J2236)+SUM($M$2:M2236)-SUM($K$2:K2236)-SUM($L$2:L2236))</f>
        <v/>
      </c>
      <c r="O2236" s="72" t="str">
        <f>IF(A2236="","",SUMIF(RATEIOS!$A$2:$A$3142,$A2236,RATEIOS!$F$2:$F$3142))</f>
        <v/>
      </c>
      <c r="P2236" s="15" t="str">
        <f t="shared" si="70"/>
        <v/>
      </c>
      <c r="Q2236" s="49" t="str">
        <f>IF(AND(J2236=0,K2236=0,L2236=0,M2236=0),"",IF(O2236=0,"PENDENTE DE RATEIO",IF(ABS(P2236)&gt;0.005,"DIVERGÊNCIA",IF(COUNTIF(RATEIOS!$A$2:$A$3142,$A2236)-COUNTIFS(RATEIOS!$A$2:$A$3142,$A2236,RATEIOS!$D$2:$D$3142,"&lt;&gt;")&gt;0,"NÃO CLASSIFICADO","RATEIO OK"))))</f>
        <v/>
      </c>
      <c r="R2236" s="49"/>
      <c r="S2236" s="14"/>
    </row>
    <row r="2237" spans="1:19" ht="30" customHeight="1" x14ac:dyDescent="0.25">
      <c r="A2237" s="49" t="str">
        <f>IF(C2237="","","BAN-02236")</f>
        <v/>
      </c>
      <c r="B2237" s="98" t="str">
        <f>IF(C2237="","",2236)</f>
        <v/>
      </c>
      <c r="C2237" s="50"/>
      <c r="D2237" s="49" t="str">
        <f t="shared" si="69"/>
        <v/>
      </c>
      <c r="E2237" s="92"/>
      <c r="F2237" s="49"/>
      <c r="G2237" s="14"/>
      <c r="H2237" s="14"/>
      <c r="I2237" s="76"/>
      <c r="J2237" s="73"/>
      <c r="K2237" s="74"/>
      <c r="L2237" s="72"/>
      <c r="M2237" s="72"/>
      <c r="N2237" s="72" t="str">
        <f>IF(AND(C2237="",J2237=0,K2237=0,L2237=0,M2237=0),"",CADASTROS!$B$4+SUM($J$2:J2237)+SUM($M$2:M2237)-SUM($K$2:K2237)-SUM($L$2:L2237))</f>
        <v/>
      </c>
      <c r="O2237" s="72" t="str">
        <f>IF(A2237="","",SUMIF(RATEIOS!$A$2:$A$3142,$A2237,RATEIOS!$F$2:$F$3142))</f>
        <v/>
      </c>
      <c r="P2237" s="15" t="str">
        <f t="shared" si="70"/>
        <v/>
      </c>
      <c r="Q2237" s="49" t="str">
        <f>IF(AND(J2237=0,K2237=0,L2237=0,M2237=0),"",IF(O2237=0,"PENDENTE DE RATEIO",IF(ABS(P2237)&gt;0.005,"DIVERGÊNCIA",IF(COUNTIF(RATEIOS!$A$2:$A$3142,$A2237)-COUNTIFS(RATEIOS!$A$2:$A$3142,$A2237,RATEIOS!$D$2:$D$3142,"&lt;&gt;")&gt;0,"NÃO CLASSIFICADO","RATEIO OK"))))</f>
        <v/>
      </c>
      <c r="R2237" s="49"/>
      <c r="S2237" s="14"/>
    </row>
    <row r="2238" spans="1:19" ht="30" customHeight="1" x14ac:dyDescent="0.25">
      <c r="A2238" s="49" t="str">
        <f>IF(C2238="","","BAN-02237")</f>
        <v/>
      </c>
      <c r="B2238" s="98" t="str">
        <f>IF(C2238="","",2237)</f>
        <v/>
      </c>
      <c r="C2238" s="50"/>
      <c r="D2238" s="49" t="str">
        <f t="shared" si="69"/>
        <v/>
      </c>
      <c r="E2238" s="92"/>
      <c r="F2238" s="49"/>
      <c r="G2238" s="14"/>
      <c r="H2238" s="14"/>
      <c r="I2238" s="76"/>
      <c r="J2238" s="73"/>
      <c r="K2238" s="74"/>
      <c r="L2238" s="72"/>
      <c r="M2238" s="72"/>
      <c r="N2238" s="72" t="str">
        <f>IF(AND(C2238="",J2238=0,K2238=0,L2238=0,M2238=0),"",CADASTROS!$B$4+SUM($J$2:J2238)+SUM($M$2:M2238)-SUM($K$2:K2238)-SUM($L$2:L2238))</f>
        <v/>
      </c>
      <c r="O2238" s="72" t="str">
        <f>IF(A2238="","",SUMIF(RATEIOS!$A$2:$A$3142,$A2238,RATEIOS!$F$2:$F$3142))</f>
        <v/>
      </c>
      <c r="P2238" s="15" t="str">
        <f t="shared" si="70"/>
        <v/>
      </c>
      <c r="Q2238" s="49" t="str">
        <f>IF(AND(J2238=0,K2238=0,L2238=0,M2238=0),"",IF(O2238=0,"PENDENTE DE RATEIO",IF(ABS(P2238)&gt;0.005,"DIVERGÊNCIA",IF(COUNTIF(RATEIOS!$A$2:$A$3142,$A2238)-COUNTIFS(RATEIOS!$A$2:$A$3142,$A2238,RATEIOS!$D$2:$D$3142,"&lt;&gt;")&gt;0,"NÃO CLASSIFICADO","RATEIO OK"))))</f>
        <v/>
      </c>
      <c r="R2238" s="49"/>
      <c r="S2238" s="14"/>
    </row>
    <row r="2239" spans="1:19" ht="30" customHeight="1" x14ac:dyDescent="0.25">
      <c r="A2239" s="49" t="str">
        <f>IF(C2239="","","BAN-02238")</f>
        <v/>
      </c>
      <c r="B2239" s="98" t="str">
        <f>IF(C2239="","",2238)</f>
        <v/>
      </c>
      <c r="C2239" s="50"/>
      <c r="D2239" s="49" t="str">
        <f t="shared" si="69"/>
        <v/>
      </c>
      <c r="E2239" s="92"/>
      <c r="F2239" s="49"/>
      <c r="G2239" s="14"/>
      <c r="H2239" s="14"/>
      <c r="I2239" s="76"/>
      <c r="J2239" s="73"/>
      <c r="K2239" s="74"/>
      <c r="L2239" s="72"/>
      <c r="M2239" s="72"/>
      <c r="N2239" s="72" t="str">
        <f>IF(AND(C2239="",J2239=0,K2239=0,L2239=0,M2239=0),"",CADASTROS!$B$4+SUM($J$2:J2239)+SUM($M$2:M2239)-SUM($K$2:K2239)-SUM($L$2:L2239))</f>
        <v/>
      </c>
      <c r="O2239" s="72" t="str">
        <f>IF(A2239="","",SUMIF(RATEIOS!$A$2:$A$3142,$A2239,RATEIOS!$F$2:$F$3142))</f>
        <v/>
      </c>
      <c r="P2239" s="15" t="str">
        <f t="shared" si="70"/>
        <v/>
      </c>
      <c r="Q2239" s="49" t="str">
        <f>IF(AND(J2239=0,K2239=0,L2239=0,M2239=0),"",IF(O2239=0,"PENDENTE DE RATEIO",IF(ABS(P2239)&gt;0.005,"DIVERGÊNCIA",IF(COUNTIF(RATEIOS!$A$2:$A$3142,$A2239)-COUNTIFS(RATEIOS!$A$2:$A$3142,$A2239,RATEIOS!$D$2:$D$3142,"&lt;&gt;")&gt;0,"NÃO CLASSIFICADO","RATEIO OK"))))</f>
        <v/>
      </c>
      <c r="R2239" s="49"/>
      <c r="S2239" s="14"/>
    </row>
    <row r="2240" spans="1:19" ht="30" customHeight="1" x14ac:dyDescent="0.25">
      <c r="A2240" s="49" t="str">
        <f>IF(C2240="","","BAN-02239")</f>
        <v/>
      </c>
      <c r="B2240" s="98" t="str">
        <f>IF(C2240="","",2239)</f>
        <v/>
      </c>
      <c r="C2240" s="50"/>
      <c r="D2240" s="49" t="str">
        <f t="shared" si="69"/>
        <v/>
      </c>
      <c r="E2240" s="92"/>
      <c r="F2240" s="49"/>
      <c r="G2240" s="14"/>
      <c r="H2240" s="14"/>
      <c r="I2240" s="76"/>
      <c r="J2240" s="73"/>
      <c r="K2240" s="74"/>
      <c r="L2240" s="72"/>
      <c r="M2240" s="72"/>
      <c r="N2240" s="72" t="str">
        <f>IF(AND(C2240="",J2240=0,K2240=0,L2240=0,M2240=0),"",CADASTROS!$B$4+SUM($J$2:J2240)+SUM($M$2:M2240)-SUM($K$2:K2240)-SUM($L$2:L2240))</f>
        <v/>
      </c>
      <c r="O2240" s="72" t="str">
        <f>IF(A2240="","",SUMIF(RATEIOS!$A$2:$A$3142,$A2240,RATEIOS!$F$2:$F$3142))</f>
        <v/>
      </c>
      <c r="P2240" s="15" t="str">
        <f t="shared" si="70"/>
        <v/>
      </c>
      <c r="Q2240" s="49" t="str">
        <f>IF(AND(J2240=0,K2240=0,L2240=0,M2240=0),"",IF(O2240=0,"PENDENTE DE RATEIO",IF(ABS(P2240)&gt;0.005,"DIVERGÊNCIA",IF(COUNTIF(RATEIOS!$A$2:$A$3142,$A2240)-COUNTIFS(RATEIOS!$A$2:$A$3142,$A2240,RATEIOS!$D$2:$D$3142,"&lt;&gt;")&gt;0,"NÃO CLASSIFICADO","RATEIO OK"))))</f>
        <v/>
      </c>
      <c r="R2240" s="49"/>
      <c r="S2240" s="14"/>
    </row>
    <row r="2241" spans="1:19" ht="30" customHeight="1" x14ac:dyDescent="0.25">
      <c r="A2241" s="49" t="str">
        <f>IF(C2241="","","BAN-02240")</f>
        <v/>
      </c>
      <c r="B2241" s="98" t="str">
        <f>IF(C2241="","",2240)</f>
        <v/>
      </c>
      <c r="C2241" s="50"/>
      <c r="D2241" s="49" t="str">
        <f t="shared" si="69"/>
        <v/>
      </c>
      <c r="E2241" s="92"/>
      <c r="F2241" s="49"/>
      <c r="G2241" s="14"/>
      <c r="H2241" s="14"/>
      <c r="I2241" s="76"/>
      <c r="J2241" s="73"/>
      <c r="K2241" s="74"/>
      <c r="L2241" s="72"/>
      <c r="M2241" s="72"/>
      <c r="N2241" s="72" t="str">
        <f>IF(AND(C2241="",J2241=0,K2241=0,L2241=0,M2241=0),"",CADASTROS!$B$4+SUM($J$2:J2241)+SUM($M$2:M2241)-SUM($K$2:K2241)-SUM($L$2:L2241))</f>
        <v/>
      </c>
      <c r="O2241" s="72" t="str">
        <f>IF(A2241="","",SUMIF(RATEIOS!$A$2:$A$3142,$A2241,RATEIOS!$F$2:$F$3142))</f>
        <v/>
      </c>
      <c r="P2241" s="15" t="str">
        <f t="shared" si="70"/>
        <v/>
      </c>
      <c r="Q2241" s="49" t="str">
        <f>IF(AND(J2241=0,K2241=0,L2241=0,M2241=0),"",IF(O2241=0,"PENDENTE DE RATEIO",IF(ABS(P2241)&gt;0.005,"DIVERGÊNCIA",IF(COUNTIF(RATEIOS!$A$2:$A$3142,$A2241)-COUNTIFS(RATEIOS!$A$2:$A$3142,$A2241,RATEIOS!$D$2:$D$3142,"&lt;&gt;")&gt;0,"NÃO CLASSIFICADO","RATEIO OK"))))</f>
        <v/>
      </c>
      <c r="R2241" s="49"/>
      <c r="S2241" s="14"/>
    </row>
    <row r="2242" spans="1:19" ht="30" customHeight="1" x14ac:dyDescent="0.25">
      <c r="A2242" s="49" t="str">
        <f>IF(C2242="","","BAN-02241")</f>
        <v/>
      </c>
      <c r="B2242" s="98" t="str">
        <f>IF(C2242="","",2241)</f>
        <v/>
      </c>
      <c r="C2242" s="50"/>
      <c r="D2242" s="49" t="str">
        <f t="shared" ref="D2242:D2305" si="71">IF(C2242="","",MONTH(C2242))</f>
        <v/>
      </c>
      <c r="E2242" s="92"/>
      <c r="F2242" s="49"/>
      <c r="G2242" s="14"/>
      <c r="H2242" s="14"/>
      <c r="I2242" s="76"/>
      <c r="J2242" s="73"/>
      <c r="K2242" s="74"/>
      <c r="L2242" s="72"/>
      <c r="M2242" s="72"/>
      <c r="N2242" s="72" t="str">
        <f>IF(AND(C2242="",J2242=0,K2242=0,L2242=0,M2242=0),"",CADASTROS!$B$4+SUM($J$2:J2242)+SUM($M$2:M2242)-SUM($K$2:K2242)-SUM($L$2:L2242))</f>
        <v/>
      </c>
      <c r="O2242" s="72" t="str">
        <f>IF(A2242="","",SUMIF(RATEIOS!$A$2:$A$3142,$A2242,RATEIOS!$F$2:$F$3142))</f>
        <v/>
      </c>
      <c r="P2242" s="15" t="str">
        <f t="shared" ref="P2242:P2305" si="72">IF(A2242="","",(J2242+K2242+L2242+M2242)-O2242)</f>
        <v/>
      </c>
      <c r="Q2242" s="49" t="str">
        <f>IF(AND(J2242=0,K2242=0,L2242=0,M2242=0),"",IF(O2242=0,"PENDENTE DE RATEIO",IF(ABS(P2242)&gt;0.005,"DIVERGÊNCIA",IF(COUNTIF(RATEIOS!$A$2:$A$3142,$A2242)-COUNTIFS(RATEIOS!$A$2:$A$3142,$A2242,RATEIOS!$D$2:$D$3142,"&lt;&gt;")&gt;0,"NÃO CLASSIFICADO","RATEIO OK"))))</f>
        <v/>
      </c>
      <c r="R2242" s="49"/>
      <c r="S2242" s="14"/>
    </row>
    <row r="2243" spans="1:19" ht="30" customHeight="1" x14ac:dyDescent="0.25">
      <c r="A2243" s="49" t="str">
        <f>IF(C2243="","","BAN-02242")</f>
        <v/>
      </c>
      <c r="B2243" s="98" t="str">
        <f>IF(C2243="","",2242)</f>
        <v/>
      </c>
      <c r="C2243" s="50"/>
      <c r="D2243" s="49" t="str">
        <f t="shared" si="71"/>
        <v/>
      </c>
      <c r="E2243" s="92"/>
      <c r="F2243" s="49"/>
      <c r="G2243" s="14"/>
      <c r="H2243" s="14"/>
      <c r="I2243" s="76"/>
      <c r="J2243" s="73"/>
      <c r="K2243" s="74"/>
      <c r="L2243" s="72"/>
      <c r="M2243" s="72"/>
      <c r="N2243" s="72" t="str">
        <f>IF(AND(C2243="",J2243=0,K2243=0,L2243=0,M2243=0),"",CADASTROS!$B$4+SUM($J$2:J2243)+SUM($M$2:M2243)-SUM($K$2:K2243)-SUM($L$2:L2243))</f>
        <v/>
      </c>
      <c r="O2243" s="72" t="str">
        <f>IF(A2243="","",SUMIF(RATEIOS!$A$2:$A$3142,$A2243,RATEIOS!$F$2:$F$3142))</f>
        <v/>
      </c>
      <c r="P2243" s="15" t="str">
        <f t="shared" si="72"/>
        <v/>
      </c>
      <c r="Q2243" s="49" t="str">
        <f>IF(AND(J2243=0,K2243=0,L2243=0,M2243=0),"",IF(O2243=0,"PENDENTE DE RATEIO",IF(ABS(P2243)&gt;0.005,"DIVERGÊNCIA",IF(COUNTIF(RATEIOS!$A$2:$A$3142,$A2243)-COUNTIFS(RATEIOS!$A$2:$A$3142,$A2243,RATEIOS!$D$2:$D$3142,"&lt;&gt;")&gt;0,"NÃO CLASSIFICADO","RATEIO OK"))))</f>
        <v/>
      </c>
      <c r="R2243" s="49"/>
      <c r="S2243" s="14"/>
    </row>
    <row r="2244" spans="1:19" ht="30" customHeight="1" x14ac:dyDescent="0.25">
      <c r="A2244" s="49" t="str">
        <f>IF(C2244="","","BAN-02243")</f>
        <v/>
      </c>
      <c r="B2244" s="98" t="str">
        <f>IF(C2244="","",2243)</f>
        <v/>
      </c>
      <c r="C2244" s="50"/>
      <c r="D2244" s="49" t="str">
        <f t="shared" si="71"/>
        <v/>
      </c>
      <c r="E2244" s="92"/>
      <c r="F2244" s="49"/>
      <c r="G2244" s="14"/>
      <c r="H2244" s="14"/>
      <c r="I2244" s="76"/>
      <c r="J2244" s="73"/>
      <c r="K2244" s="74"/>
      <c r="L2244" s="72"/>
      <c r="M2244" s="72"/>
      <c r="N2244" s="72" t="str">
        <f>IF(AND(C2244="",J2244=0,K2244=0,L2244=0,M2244=0),"",CADASTROS!$B$4+SUM($J$2:J2244)+SUM($M$2:M2244)-SUM($K$2:K2244)-SUM($L$2:L2244))</f>
        <v/>
      </c>
      <c r="O2244" s="72" t="str">
        <f>IF(A2244="","",SUMIF(RATEIOS!$A$2:$A$3142,$A2244,RATEIOS!$F$2:$F$3142))</f>
        <v/>
      </c>
      <c r="P2244" s="15" t="str">
        <f t="shared" si="72"/>
        <v/>
      </c>
      <c r="Q2244" s="49" t="str">
        <f>IF(AND(J2244=0,K2244=0,L2244=0,M2244=0),"",IF(O2244=0,"PENDENTE DE RATEIO",IF(ABS(P2244)&gt;0.005,"DIVERGÊNCIA",IF(COUNTIF(RATEIOS!$A$2:$A$3142,$A2244)-COUNTIFS(RATEIOS!$A$2:$A$3142,$A2244,RATEIOS!$D$2:$D$3142,"&lt;&gt;")&gt;0,"NÃO CLASSIFICADO","RATEIO OK"))))</f>
        <v/>
      </c>
      <c r="R2244" s="49"/>
      <c r="S2244" s="14"/>
    </row>
    <row r="2245" spans="1:19" ht="30" customHeight="1" x14ac:dyDescent="0.25">
      <c r="A2245" s="49" t="str">
        <f>IF(C2245="","","BAN-02244")</f>
        <v/>
      </c>
      <c r="B2245" s="98" t="str">
        <f>IF(C2245="","",2244)</f>
        <v/>
      </c>
      <c r="C2245" s="50"/>
      <c r="D2245" s="49" t="str">
        <f t="shared" si="71"/>
        <v/>
      </c>
      <c r="E2245" s="92"/>
      <c r="F2245" s="49"/>
      <c r="G2245" s="14"/>
      <c r="H2245" s="14"/>
      <c r="I2245" s="76"/>
      <c r="J2245" s="73"/>
      <c r="K2245" s="74"/>
      <c r="L2245" s="72"/>
      <c r="M2245" s="72"/>
      <c r="N2245" s="72" t="str">
        <f>IF(AND(C2245="",J2245=0,K2245=0,L2245=0,M2245=0),"",CADASTROS!$B$4+SUM($J$2:J2245)+SUM($M$2:M2245)-SUM($K$2:K2245)-SUM($L$2:L2245))</f>
        <v/>
      </c>
      <c r="O2245" s="72" t="str">
        <f>IF(A2245="","",SUMIF(RATEIOS!$A$2:$A$3142,$A2245,RATEIOS!$F$2:$F$3142))</f>
        <v/>
      </c>
      <c r="P2245" s="15" t="str">
        <f t="shared" si="72"/>
        <v/>
      </c>
      <c r="Q2245" s="49" t="str">
        <f>IF(AND(J2245=0,K2245=0,L2245=0,M2245=0),"",IF(O2245=0,"PENDENTE DE RATEIO",IF(ABS(P2245)&gt;0.005,"DIVERGÊNCIA",IF(COUNTIF(RATEIOS!$A$2:$A$3142,$A2245)-COUNTIFS(RATEIOS!$A$2:$A$3142,$A2245,RATEIOS!$D$2:$D$3142,"&lt;&gt;")&gt;0,"NÃO CLASSIFICADO","RATEIO OK"))))</f>
        <v/>
      </c>
      <c r="R2245" s="49"/>
      <c r="S2245" s="14"/>
    </row>
    <row r="2246" spans="1:19" ht="30" customHeight="1" x14ac:dyDescent="0.25">
      <c r="A2246" s="49" t="str">
        <f>IF(C2246="","","BAN-02245")</f>
        <v/>
      </c>
      <c r="B2246" s="98" t="str">
        <f>IF(C2246="","",2245)</f>
        <v/>
      </c>
      <c r="C2246" s="50"/>
      <c r="D2246" s="49" t="str">
        <f t="shared" si="71"/>
        <v/>
      </c>
      <c r="E2246" s="92"/>
      <c r="F2246" s="49"/>
      <c r="G2246" s="14"/>
      <c r="H2246" s="14"/>
      <c r="I2246" s="76"/>
      <c r="J2246" s="73"/>
      <c r="K2246" s="74"/>
      <c r="L2246" s="72"/>
      <c r="M2246" s="72"/>
      <c r="N2246" s="72" t="str">
        <f>IF(AND(C2246="",J2246=0,K2246=0,L2246=0,M2246=0),"",CADASTROS!$B$4+SUM($J$2:J2246)+SUM($M$2:M2246)-SUM($K$2:K2246)-SUM($L$2:L2246))</f>
        <v/>
      </c>
      <c r="O2246" s="72" t="str">
        <f>IF(A2246="","",SUMIF(RATEIOS!$A$2:$A$3142,$A2246,RATEIOS!$F$2:$F$3142))</f>
        <v/>
      </c>
      <c r="P2246" s="15" t="str">
        <f t="shared" si="72"/>
        <v/>
      </c>
      <c r="Q2246" s="49" t="str">
        <f>IF(AND(J2246=0,K2246=0,L2246=0,M2246=0),"",IF(O2246=0,"PENDENTE DE RATEIO",IF(ABS(P2246)&gt;0.005,"DIVERGÊNCIA",IF(COUNTIF(RATEIOS!$A$2:$A$3142,$A2246)-COUNTIFS(RATEIOS!$A$2:$A$3142,$A2246,RATEIOS!$D$2:$D$3142,"&lt;&gt;")&gt;0,"NÃO CLASSIFICADO","RATEIO OK"))))</f>
        <v/>
      </c>
      <c r="R2246" s="49"/>
      <c r="S2246" s="14"/>
    </row>
    <row r="2247" spans="1:19" ht="30" customHeight="1" x14ac:dyDescent="0.25">
      <c r="A2247" s="49" t="str">
        <f>IF(C2247="","","BAN-02246")</f>
        <v/>
      </c>
      <c r="B2247" s="98" t="str">
        <f>IF(C2247="","",2246)</f>
        <v/>
      </c>
      <c r="C2247" s="50"/>
      <c r="D2247" s="49" t="str">
        <f t="shared" si="71"/>
        <v/>
      </c>
      <c r="E2247" s="92"/>
      <c r="F2247" s="49"/>
      <c r="G2247" s="14"/>
      <c r="H2247" s="14"/>
      <c r="I2247" s="76"/>
      <c r="J2247" s="73"/>
      <c r="K2247" s="74"/>
      <c r="L2247" s="72"/>
      <c r="M2247" s="72"/>
      <c r="N2247" s="72" t="str">
        <f>IF(AND(C2247="",J2247=0,K2247=0,L2247=0,M2247=0),"",CADASTROS!$B$4+SUM($J$2:J2247)+SUM($M$2:M2247)-SUM($K$2:K2247)-SUM($L$2:L2247))</f>
        <v/>
      </c>
      <c r="O2247" s="72" t="str">
        <f>IF(A2247="","",SUMIF(RATEIOS!$A$2:$A$3142,$A2247,RATEIOS!$F$2:$F$3142))</f>
        <v/>
      </c>
      <c r="P2247" s="15" t="str">
        <f t="shared" si="72"/>
        <v/>
      </c>
      <c r="Q2247" s="49" t="str">
        <f>IF(AND(J2247=0,K2247=0,L2247=0,M2247=0),"",IF(O2247=0,"PENDENTE DE RATEIO",IF(ABS(P2247)&gt;0.005,"DIVERGÊNCIA",IF(COUNTIF(RATEIOS!$A$2:$A$3142,$A2247)-COUNTIFS(RATEIOS!$A$2:$A$3142,$A2247,RATEIOS!$D$2:$D$3142,"&lt;&gt;")&gt;0,"NÃO CLASSIFICADO","RATEIO OK"))))</f>
        <v/>
      </c>
      <c r="R2247" s="49"/>
      <c r="S2247" s="14"/>
    </row>
    <row r="2248" spans="1:19" ht="30" customHeight="1" x14ac:dyDescent="0.25">
      <c r="A2248" s="49" t="str">
        <f>IF(C2248="","","BAN-02247")</f>
        <v/>
      </c>
      <c r="B2248" s="98" t="str">
        <f>IF(C2248="","",2247)</f>
        <v/>
      </c>
      <c r="C2248" s="50"/>
      <c r="D2248" s="49" t="str">
        <f t="shared" si="71"/>
        <v/>
      </c>
      <c r="E2248" s="92"/>
      <c r="F2248" s="49"/>
      <c r="G2248" s="14"/>
      <c r="H2248" s="14"/>
      <c r="I2248" s="76"/>
      <c r="J2248" s="73"/>
      <c r="K2248" s="74"/>
      <c r="L2248" s="72"/>
      <c r="M2248" s="72"/>
      <c r="N2248" s="72" t="str">
        <f>IF(AND(C2248="",J2248=0,K2248=0,L2248=0,M2248=0),"",CADASTROS!$B$4+SUM($J$2:J2248)+SUM($M$2:M2248)-SUM($K$2:K2248)-SUM($L$2:L2248))</f>
        <v/>
      </c>
      <c r="O2248" s="72" t="str">
        <f>IF(A2248="","",SUMIF(RATEIOS!$A$2:$A$3142,$A2248,RATEIOS!$F$2:$F$3142))</f>
        <v/>
      </c>
      <c r="P2248" s="15" t="str">
        <f t="shared" si="72"/>
        <v/>
      </c>
      <c r="Q2248" s="49" t="str">
        <f>IF(AND(J2248=0,K2248=0,L2248=0,M2248=0),"",IF(O2248=0,"PENDENTE DE RATEIO",IF(ABS(P2248)&gt;0.005,"DIVERGÊNCIA",IF(COUNTIF(RATEIOS!$A$2:$A$3142,$A2248)-COUNTIFS(RATEIOS!$A$2:$A$3142,$A2248,RATEIOS!$D$2:$D$3142,"&lt;&gt;")&gt;0,"NÃO CLASSIFICADO","RATEIO OK"))))</f>
        <v/>
      </c>
      <c r="R2248" s="49"/>
      <c r="S2248" s="14"/>
    </row>
    <row r="2249" spans="1:19" ht="30" customHeight="1" x14ac:dyDescent="0.25">
      <c r="A2249" s="49" t="str">
        <f>IF(C2249="","","BAN-02248")</f>
        <v/>
      </c>
      <c r="B2249" s="98" t="str">
        <f>IF(C2249="","",2248)</f>
        <v/>
      </c>
      <c r="C2249" s="50"/>
      <c r="D2249" s="49" t="str">
        <f t="shared" si="71"/>
        <v/>
      </c>
      <c r="E2249" s="92"/>
      <c r="F2249" s="49"/>
      <c r="G2249" s="14"/>
      <c r="H2249" s="14"/>
      <c r="I2249" s="76"/>
      <c r="J2249" s="73"/>
      <c r="K2249" s="74"/>
      <c r="L2249" s="72"/>
      <c r="M2249" s="72"/>
      <c r="N2249" s="72" t="str">
        <f>IF(AND(C2249="",J2249=0,K2249=0,L2249=0,M2249=0),"",CADASTROS!$B$4+SUM($J$2:J2249)+SUM($M$2:M2249)-SUM($K$2:K2249)-SUM($L$2:L2249))</f>
        <v/>
      </c>
      <c r="O2249" s="72" t="str">
        <f>IF(A2249="","",SUMIF(RATEIOS!$A$2:$A$3142,$A2249,RATEIOS!$F$2:$F$3142))</f>
        <v/>
      </c>
      <c r="P2249" s="15" t="str">
        <f t="shared" si="72"/>
        <v/>
      </c>
      <c r="Q2249" s="49" t="str">
        <f>IF(AND(J2249=0,K2249=0,L2249=0,M2249=0),"",IF(O2249=0,"PENDENTE DE RATEIO",IF(ABS(P2249)&gt;0.005,"DIVERGÊNCIA",IF(COUNTIF(RATEIOS!$A$2:$A$3142,$A2249)-COUNTIFS(RATEIOS!$A$2:$A$3142,$A2249,RATEIOS!$D$2:$D$3142,"&lt;&gt;")&gt;0,"NÃO CLASSIFICADO","RATEIO OK"))))</f>
        <v/>
      </c>
      <c r="R2249" s="49"/>
      <c r="S2249" s="14"/>
    </row>
    <row r="2250" spans="1:19" ht="30" customHeight="1" x14ac:dyDescent="0.25">
      <c r="A2250" s="49" t="str">
        <f>IF(C2250="","","BAN-02249")</f>
        <v/>
      </c>
      <c r="B2250" s="98" t="str">
        <f>IF(C2250="","",2249)</f>
        <v/>
      </c>
      <c r="C2250" s="50"/>
      <c r="D2250" s="49" t="str">
        <f t="shared" si="71"/>
        <v/>
      </c>
      <c r="E2250" s="92"/>
      <c r="F2250" s="49"/>
      <c r="G2250" s="14"/>
      <c r="H2250" s="14"/>
      <c r="I2250" s="76"/>
      <c r="J2250" s="73"/>
      <c r="K2250" s="74"/>
      <c r="L2250" s="72"/>
      <c r="M2250" s="72"/>
      <c r="N2250" s="72" t="str">
        <f>IF(AND(C2250="",J2250=0,K2250=0,L2250=0,M2250=0),"",CADASTROS!$B$4+SUM($J$2:J2250)+SUM($M$2:M2250)-SUM($K$2:K2250)-SUM($L$2:L2250))</f>
        <v/>
      </c>
      <c r="O2250" s="72" t="str">
        <f>IF(A2250="","",SUMIF(RATEIOS!$A$2:$A$3142,$A2250,RATEIOS!$F$2:$F$3142))</f>
        <v/>
      </c>
      <c r="P2250" s="15" t="str">
        <f t="shared" si="72"/>
        <v/>
      </c>
      <c r="Q2250" s="49" t="str">
        <f>IF(AND(J2250=0,K2250=0,L2250=0,M2250=0),"",IF(O2250=0,"PENDENTE DE RATEIO",IF(ABS(P2250)&gt;0.005,"DIVERGÊNCIA",IF(COUNTIF(RATEIOS!$A$2:$A$3142,$A2250)-COUNTIFS(RATEIOS!$A$2:$A$3142,$A2250,RATEIOS!$D$2:$D$3142,"&lt;&gt;")&gt;0,"NÃO CLASSIFICADO","RATEIO OK"))))</f>
        <v/>
      </c>
      <c r="R2250" s="49"/>
      <c r="S2250" s="14"/>
    </row>
    <row r="2251" spans="1:19" ht="30" customHeight="1" x14ac:dyDescent="0.25">
      <c r="A2251" s="49" t="str">
        <f>IF(C2251="","","BAN-02250")</f>
        <v/>
      </c>
      <c r="B2251" s="98" t="str">
        <f>IF(C2251="","",2250)</f>
        <v/>
      </c>
      <c r="C2251" s="50"/>
      <c r="D2251" s="49" t="str">
        <f t="shared" si="71"/>
        <v/>
      </c>
      <c r="E2251" s="92"/>
      <c r="F2251" s="49"/>
      <c r="G2251" s="14"/>
      <c r="H2251" s="14"/>
      <c r="I2251" s="76"/>
      <c r="J2251" s="73"/>
      <c r="K2251" s="74"/>
      <c r="L2251" s="72"/>
      <c r="M2251" s="72"/>
      <c r="N2251" s="72" t="str">
        <f>IF(AND(C2251="",J2251=0,K2251=0,L2251=0,M2251=0),"",CADASTROS!$B$4+SUM($J$2:J2251)+SUM($M$2:M2251)-SUM($K$2:K2251)-SUM($L$2:L2251))</f>
        <v/>
      </c>
      <c r="O2251" s="72" t="str">
        <f>IF(A2251="","",SUMIF(RATEIOS!$A$2:$A$3142,$A2251,RATEIOS!$F$2:$F$3142))</f>
        <v/>
      </c>
      <c r="P2251" s="15" t="str">
        <f t="shared" si="72"/>
        <v/>
      </c>
      <c r="Q2251" s="49" t="str">
        <f>IF(AND(J2251=0,K2251=0,L2251=0,M2251=0),"",IF(O2251=0,"PENDENTE DE RATEIO",IF(ABS(P2251)&gt;0.005,"DIVERGÊNCIA",IF(COUNTIF(RATEIOS!$A$2:$A$3142,$A2251)-COUNTIFS(RATEIOS!$A$2:$A$3142,$A2251,RATEIOS!$D$2:$D$3142,"&lt;&gt;")&gt;0,"NÃO CLASSIFICADO","RATEIO OK"))))</f>
        <v/>
      </c>
      <c r="R2251" s="49"/>
      <c r="S2251" s="14"/>
    </row>
    <row r="2252" spans="1:19" ht="30" customHeight="1" x14ac:dyDescent="0.25">
      <c r="A2252" s="49" t="str">
        <f>IF(C2252="","","BAN-02251")</f>
        <v/>
      </c>
      <c r="B2252" s="98" t="str">
        <f>IF(C2252="","",2251)</f>
        <v/>
      </c>
      <c r="C2252" s="50"/>
      <c r="D2252" s="49" t="str">
        <f t="shared" si="71"/>
        <v/>
      </c>
      <c r="E2252" s="92"/>
      <c r="F2252" s="49"/>
      <c r="G2252" s="14"/>
      <c r="H2252" s="14"/>
      <c r="I2252" s="76"/>
      <c r="J2252" s="73"/>
      <c r="K2252" s="74"/>
      <c r="L2252" s="72"/>
      <c r="M2252" s="72"/>
      <c r="N2252" s="72" t="str">
        <f>IF(AND(C2252="",J2252=0,K2252=0,L2252=0,M2252=0),"",CADASTROS!$B$4+SUM($J$2:J2252)+SUM($M$2:M2252)-SUM($K$2:K2252)-SUM($L$2:L2252))</f>
        <v/>
      </c>
      <c r="O2252" s="72" t="str">
        <f>IF(A2252="","",SUMIF(RATEIOS!$A$2:$A$3142,$A2252,RATEIOS!$F$2:$F$3142))</f>
        <v/>
      </c>
      <c r="P2252" s="15" t="str">
        <f t="shared" si="72"/>
        <v/>
      </c>
      <c r="Q2252" s="49" t="str">
        <f>IF(AND(J2252=0,K2252=0,L2252=0,M2252=0),"",IF(O2252=0,"PENDENTE DE RATEIO",IF(ABS(P2252)&gt;0.005,"DIVERGÊNCIA",IF(COUNTIF(RATEIOS!$A$2:$A$3142,$A2252)-COUNTIFS(RATEIOS!$A$2:$A$3142,$A2252,RATEIOS!$D$2:$D$3142,"&lt;&gt;")&gt;0,"NÃO CLASSIFICADO","RATEIO OK"))))</f>
        <v/>
      </c>
      <c r="R2252" s="49"/>
      <c r="S2252" s="14"/>
    </row>
    <row r="2253" spans="1:19" ht="30" customHeight="1" x14ac:dyDescent="0.25">
      <c r="A2253" s="49" t="str">
        <f>IF(C2253="","","BAN-02252")</f>
        <v/>
      </c>
      <c r="B2253" s="98" t="str">
        <f>IF(C2253="","",2252)</f>
        <v/>
      </c>
      <c r="C2253" s="50"/>
      <c r="D2253" s="49" t="str">
        <f t="shared" si="71"/>
        <v/>
      </c>
      <c r="E2253" s="92"/>
      <c r="F2253" s="49"/>
      <c r="G2253" s="14"/>
      <c r="H2253" s="14"/>
      <c r="I2253" s="76"/>
      <c r="J2253" s="73"/>
      <c r="K2253" s="74"/>
      <c r="L2253" s="72"/>
      <c r="M2253" s="72"/>
      <c r="N2253" s="72" t="str">
        <f>IF(AND(C2253="",J2253=0,K2253=0,L2253=0,M2253=0),"",CADASTROS!$B$4+SUM($J$2:J2253)+SUM($M$2:M2253)-SUM($K$2:K2253)-SUM($L$2:L2253))</f>
        <v/>
      </c>
      <c r="O2253" s="72" t="str">
        <f>IF(A2253="","",SUMIF(RATEIOS!$A$2:$A$3142,$A2253,RATEIOS!$F$2:$F$3142))</f>
        <v/>
      </c>
      <c r="P2253" s="15" t="str">
        <f t="shared" si="72"/>
        <v/>
      </c>
      <c r="Q2253" s="49" t="str">
        <f>IF(AND(J2253=0,K2253=0,L2253=0,M2253=0),"",IF(O2253=0,"PENDENTE DE RATEIO",IF(ABS(P2253)&gt;0.005,"DIVERGÊNCIA",IF(COUNTIF(RATEIOS!$A$2:$A$3142,$A2253)-COUNTIFS(RATEIOS!$A$2:$A$3142,$A2253,RATEIOS!$D$2:$D$3142,"&lt;&gt;")&gt;0,"NÃO CLASSIFICADO","RATEIO OK"))))</f>
        <v/>
      </c>
      <c r="R2253" s="49"/>
      <c r="S2253" s="14"/>
    </row>
    <row r="2254" spans="1:19" ht="30" customHeight="1" x14ac:dyDescent="0.25">
      <c r="A2254" s="49" t="str">
        <f>IF(C2254="","","BAN-02253")</f>
        <v/>
      </c>
      <c r="B2254" s="98" t="str">
        <f>IF(C2254="","",2253)</f>
        <v/>
      </c>
      <c r="C2254" s="50"/>
      <c r="D2254" s="49" t="str">
        <f t="shared" si="71"/>
        <v/>
      </c>
      <c r="E2254" s="92"/>
      <c r="F2254" s="49"/>
      <c r="G2254" s="14"/>
      <c r="H2254" s="14"/>
      <c r="I2254" s="76"/>
      <c r="J2254" s="73"/>
      <c r="K2254" s="74"/>
      <c r="L2254" s="72"/>
      <c r="M2254" s="72"/>
      <c r="N2254" s="72" t="str">
        <f>IF(AND(C2254="",J2254=0,K2254=0,L2254=0,M2254=0),"",CADASTROS!$B$4+SUM($J$2:J2254)+SUM($M$2:M2254)-SUM($K$2:K2254)-SUM($L$2:L2254))</f>
        <v/>
      </c>
      <c r="O2254" s="72" t="str">
        <f>IF(A2254="","",SUMIF(RATEIOS!$A$2:$A$3142,$A2254,RATEIOS!$F$2:$F$3142))</f>
        <v/>
      </c>
      <c r="P2254" s="15" t="str">
        <f t="shared" si="72"/>
        <v/>
      </c>
      <c r="Q2254" s="49" t="str">
        <f>IF(AND(J2254=0,K2254=0,L2254=0,M2254=0),"",IF(O2254=0,"PENDENTE DE RATEIO",IF(ABS(P2254)&gt;0.005,"DIVERGÊNCIA",IF(COUNTIF(RATEIOS!$A$2:$A$3142,$A2254)-COUNTIFS(RATEIOS!$A$2:$A$3142,$A2254,RATEIOS!$D$2:$D$3142,"&lt;&gt;")&gt;0,"NÃO CLASSIFICADO","RATEIO OK"))))</f>
        <v/>
      </c>
      <c r="R2254" s="49"/>
      <c r="S2254" s="14"/>
    </row>
    <row r="2255" spans="1:19" ht="30" customHeight="1" x14ac:dyDescent="0.25">
      <c r="A2255" s="49" t="str">
        <f>IF(C2255="","","BAN-02254")</f>
        <v/>
      </c>
      <c r="B2255" s="98" t="str">
        <f>IF(C2255="","",2254)</f>
        <v/>
      </c>
      <c r="C2255" s="50"/>
      <c r="D2255" s="49" t="str">
        <f t="shared" si="71"/>
        <v/>
      </c>
      <c r="E2255" s="92"/>
      <c r="F2255" s="49"/>
      <c r="G2255" s="14"/>
      <c r="H2255" s="14"/>
      <c r="I2255" s="76"/>
      <c r="J2255" s="73"/>
      <c r="K2255" s="74"/>
      <c r="L2255" s="72"/>
      <c r="M2255" s="72"/>
      <c r="N2255" s="72" t="str">
        <f>IF(AND(C2255="",J2255=0,K2255=0,L2255=0,M2255=0),"",CADASTROS!$B$4+SUM($J$2:J2255)+SUM($M$2:M2255)-SUM($K$2:K2255)-SUM($L$2:L2255))</f>
        <v/>
      </c>
      <c r="O2255" s="72" t="str">
        <f>IF(A2255="","",SUMIF(RATEIOS!$A$2:$A$3142,$A2255,RATEIOS!$F$2:$F$3142))</f>
        <v/>
      </c>
      <c r="P2255" s="15" t="str">
        <f t="shared" si="72"/>
        <v/>
      </c>
      <c r="Q2255" s="49" t="str">
        <f>IF(AND(J2255=0,K2255=0,L2255=0,M2255=0),"",IF(O2255=0,"PENDENTE DE RATEIO",IF(ABS(P2255)&gt;0.005,"DIVERGÊNCIA",IF(COUNTIF(RATEIOS!$A$2:$A$3142,$A2255)-COUNTIFS(RATEIOS!$A$2:$A$3142,$A2255,RATEIOS!$D$2:$D$3142,"&lt;&gt;")&gt;0,"NÃO CLASSIFICADO","RATEIO OK"))))</f>
        <v/>
      </c>
      <c r="R2255" s="49"/>
      <c r="S2255" s="14"/>
    </row>
    <row r="2256" spans="1:19" ht="30" customHeight="1" x14ac:dyDescent="0.25">
      <c r="A2256" s="49" t="str">
        <f>IF(C2256="","","BAN-02255")</f>
        <v/>
      </c>
      <c r="B2256" s="98" t="str">
        <f>IF(C2256="","",2255)</f>
        <v/>
      </c>
      <c r="C2256" s="50"/>
      <c r="D2256" s="49" t="str">
        <f t="shared" si="71"/>
        <v/>
      </c>
      <c r="E2256" s="92"/>
      <c r="F2256" s="49"/>
      <c r="G2256" s="14"/>
      <c r="H2256" s="14"/>
      <c r="I2256" s="76"/>
      <c r="J2256" s="73"/>
      <c r="K2256" s="74"/>
      <c r="L2256" s="72"/>
      <c r="M2256" s="72"/>
      <c r="N2256" s="72" t="str">
        <f>IF(AND(C2256="",J2256=0,K2256=0,L2256=0,M2256=0),"",CADASTROS!$B$4+SUM($J$2:J2256)+SUM($M$2:M2256)-SUM($K$2:K2256)-SUM($L$2:L2256))</f>
        <v/>
      </c>
      <c r="O2256" s="72" t="str">
        <f>IF(A2256="","",SUMIF(RATEIOS!$A$2:$A$3142,$A2256,RATEIOS!$F$2:$F$3142))</f>
        <v/>
      </c>
      <c r="P2256" s="15" t="str">
        <f t="shared" si="72"/>
        <v/>
      </c>
      <c r="Q2256" s="49" t="str">
        <f>IF(AND(J2256=0,K2256=0,L2256=0,M2256=0),"",IF(O2256=0,"PENDENTE DE RATEIO",IF(ABS(P2256)&gt;0.005,"DIVERGÊNCIA",IF(COUNTIF(RATEIOS!$A$2:$A$3142,$A2256)-COUNTIFS(RATEIOS!$A$2:$A$3142,$A2256,RATEIOS!$D$2:$D$3142,"&lt;&gt;")&gt;0,"NÃO CLASSIFICADO","RATEIO OK"))))</f>
        <v/>
      </c>
      <c r="R2256" s="49"/>
      <c r="S2256" s="14"/>
    </row>
    <row r="2257" spans="1:19" ht="30" customHeight="1" x14ac:dyDescent="0.25">
      <c r="A2257" s="49" t="str">
        <f>IF(C2257="","","BAN-02256")</f>
        <v/>
      </c>
      <c r="B2257" s="98" t="str">
        <f>IF(C2257="","",2256)</f>
        <v/>
      </c>
      <c r="C2257" s="50"/>
      <c r="D2257" s="49" t="str">
        <f t="shared" si="71"/>
        <v/>
      </c>
      <c r="E2257" s="92"/>
      <c r="F2257" s="49"/>
      <c r="G2257" s="14"/>
      <c r="H2257" s="14"/>
      <c r="I2257" s="76"/>
      <c r="J2257" s="73"/>
      <c r="K2257" s="74"/>
      <c r="L2257" s="72"/>
      <c r="M2257" s="72"/>
      <c r="N2257" s="72" t="str">
        <f>IF(AND(C2257="",J2257=0,K2257=0,L2257=0,M2257=0),"",CADASTROS!$B$4+SUM($J$2:J2257)+SUM($M$2:M2257)-SUM($K$2:K2257)-SUM($L$2:L2257))</f>
        <v/>
      </c>
      <c r="O2257" s="72" t="str">
        <f>IF(A2257="","",SUMIF(RATEIOS!$A$2:$A$3142,$A2257,RATEIOS!$F$2:$F$3142))</f>
        <v/>
      </c>
      <c r="P2257" s="15" t="str">
        <f t="shared" si="72"/>
        <v/>
      </c>
      <c r="Q2257" s="49" t="str">
        <f>IF(AND(J2257=0,K2257=0,L2257=0,M2257=0),"",IF(O2257=0,"PENDENTE DE RATEIO",IF(ABS(P2257)&gt;0.005,"DIVERGÊNCIA",IF(COUNTIF(RATEIOS!$A$2:$A$3142,$A2257)-COUNTIFS(RATEIOS!$A$2:$A$3142,$A2257,RATEIOS!$D$2:$D$3142,"&lt;&gt;")&gt;0,"NÃO CLASSIFICADO","RATEIO OK"))))</f>
        <v/>
      </c>
      <c r="R2257" s="49"/>
      <c r="S2257" s="14"/>
    </row>
    <row r="2258" spans="1:19" ht="30" customHeight="1" x14ac:dyDescent="0.25">
      <c r="A2258" s="49" t="str">
        <f>IF(C2258="","","BAN-02257")</f>
        <v/>
      </c>
      <c r="B2258" s="98" t="str">
        <f>IF(C2258="","",2257)</f>
        <v/>
      </c>
      <c r="C2258" s="50"/>
      <c r="D2258" s="49" t="str">
        <f t="shared" si="71"/>
        <v/>
      </c>
      <c r="E2258" s="92"/>
      <c r="F2258" s="49"/>
      <c r="G2258" s="14"/>
      <c r="H2258" s="14"/>
      <c r="I2258" s="76"/>
      <c r="J2258" s="73"/>
      <c r="K2258" s="74"/>
      <c r="L2258" s="72"/>
      <c r="M2258" s="72"/>
      <c r="N2258" s="72" t="str">
        <f>IF(AND(C2258="",J2258=0,K2258=0,L2258=0,M2258=0),"",CADASTROS!$B$4+SUM($J$2:J2258)+SUM($M$2:M2258)-SUM($K$2:K2258)-SUM($L$2:L2258))</f>
        <v/>
      </c>
      <c r="O2258" s="72" t="str">
        <f>IF(A2258="","",SUMIF(RATEIOS!$A$2:$A$3142,$A2258,RATEIOS!$F$2:$F$3142))</f>
        <v/>
      </c>
      <c r="P2258" s="15" t="str">
        <f t="shared" si="72"/>
        <v/>
      </c>
      <c r="Q2258" s="49" t="str">
        <f>IF(AND(J2258=0,K2258=0,L2258=0,M2258=0),"",IF(O2258=0,"PENDENTE DE RATEIO",IF(ABS(P2258)&gt;0.005,"DIVERGÊNCIA",IF(COUNTIF(RATEIOS!$A$2:$A$3142,$A2258)-COUNTIFS(RATEIOS!$A$2:$A$3142,$A2258,RATEIOS!$D$2:$D$3142,"&lt;&gt;")&gt;0,"NÃO CLASSIFICADO","RATEIO OK"))))</f>
        <v/>
      </c>
      <c r="R2258" s="49"/>
      <c r="S2258" s="14"/>
    </row>
    <row r="2259" spans="1:19" ht="30" customHeight="1" x14ac:dyDescent="0.25">
      <c r="A2259" s="49" t="str">
        <f>IF(C2259="","","BAN-02258")</f>
        <v/>
      </c>
      <c r="B2259" s="98" t="str">
        <f>IF(C2259="","",2258)</f>
        <v/>
      </c>
      <c r="C2259" s="50"/>
      <c r="D2259" s="49" t="str">
        <f t="shared" si="71"/>
        <v/>
      </c>
      <c r="E2259" s="92"/>
      <c r="F2259" s="49"/>
      <c r="G2259" s="14"/>
      <c r="H2259" s="14"/>
      <c r="I2259" s="76"/>
      <c r="J2259" s="73"/>
      <c r="K2259" s="74"/>
      <c r="L2259" s="72"/>
      <c r="M2259" s="72"/>
      <c r="N2259" s="72" t="str">
        <f>IF(AND(C2259="",J2259=0,K2259=0,L2259=0,M2259=0),"",CADASTROS!$B$4+SUM($J$2:J2259)+SUM($M$2:M2259)-SUM($K$2:K2259)-SUM($L$2:L2259))</f>
        <v/>
      </c>
      <c r="O2259" s="72" t="str">
        <f>IF(A2259="","",SUMIF(RATEIOS!$A$2:$A$3142,$A2259,RATEIOS!$F$2:$F$3142))</f>
        <v/>
      </c>
      <c r="P2259" s="15" t="str">
        <f t="shared" si="72"/>
        <v/>
      </c>
      <c r="Q2259" s="49" t="str">
        <f>IF(AND(J2259=0,K2259=0,L2259=0,M2259=0),"",IF(O2259=0,"PENDENTE DE RATEIO",IF(ABS(P2259)&gt;0.005,"DIVERGÊNCIA",IF(COUNTIF(RATEIOS!$A$2:$A$3142,$A2259)-COUNTIFS(RATEIOS!$A$2:$A$3142,$A2259,RATEIOS!$D$2:$D$3142,"&lt;&gt;")&gt;0,"NÃO CLASSIFICADO","RATEIO OK"))))</f>
        <v/>
      </c>
      <c r="R2259" s="49"/>
      <c r="S2259" s="14"/>
    </row>
    <row r="2260" spans="1:19" ht="30" customHeight="1" x14ac:dyDescent="0.25">
      <c r="A2260" s="49" t="str">
        <f>IF(C2260="","","BAN-02259")</f>
        <v/>
      </c>
      <c r="B2260" s="98" t="str">
        <f>IF(C2260="","",2259)</f>
        <v/>
      </c>
      <c r="C2260" s="50"/>
      <c r="D2260" s="49" t="str">
        <f t="shared" si="71"/>
        <v/>
      </c>
      <c r="E2260" s="92"/>
      <c r="F2260" s="49"/>
      <c r="G2260" s="14"/>
      <c r="H2260" s="14"/>
      <c r="I2260" s="76"/>
      <c r="J2260" s="73"/>
      <c r="K2260" s="74"/>
      <c r="L2260" s="72"/>
      <c r="M2260" s="72"/>
      <c r="N2260" s="72" t="str">
        <f>IF(AND(C2260="",J2260=0,K2260=0,L2260=0,M2260=0),"",CADASTROS!$B$4+SUM($J$2:J2260)+SUM($M$2:M2260)-SUM($K$2:K2260)-SUM($L$2:L2260))</f>
        <v/>
      </c>
      <c r="O2260" s="72" t="str">
        <f>IF(A2260="","",SUMIF(RATEIOS!$A$2:$A$3142,$A2260,RATEIOS!$F$2:$F$3142))</f>
        <v/>
      </c>
      <c r="P2260" s="15" t="str">
        <f t="shared" si="72"/>
        <v/>
      </c>
      <c r="Q2260" s="49" t="str">
        <f>IF(AND(J2260=0,K2260=0,L2260=0,M2260=0),"",IF(O2260=0,"PENDENTE DE RATEIO",IF(ABS(P2260)&gt;0.005,"DIVERGÊNCIA",IF(COUNTIF(RATEIOS!$A$2:$A$3142,$A2260)-COUNTIFS(RATEIOS!$A$2:$A$3142,$A2260,RATEIOS!$D$2:$D$3142,"&lt;&gt;")&gt;0,"NÃO CLASSIFICADO","RATEIO OK"))))</f>
        <v/>
      </c>
      <c r="R2260" s="49"/>
      <c r="S2260" s="14"/>
    </row>
    <row r="2261" spans="1:19" ht="30" customHeight="1" x14ac:dyDescent="0.25">
      <c r="A2261" s="49" t="str">
        <f>IF(C2261="","","BAN-02260")</f>
        <v/>
      </c>
      <c r="B2261" s="98" t="str">
        <f>IF(C2261="","",2260)</f>
        <v/>
      </c>
      <c r="C2261" s="50"/>
      <c r="D2261" s="49" t="str">
        <f t="shared" si="71"/>
        <v/>
      </c>
      <c r="E2261" s="92"/>
      <c r="F2261" s="49"/>
      <c r="G2261" s="14"/>
      <c r="H2261" s="14"/>
      <c r="I2261" s="76"/>
      <c r="J2261" s="73"/>
      <c r="K2261" s="74"/>
      <c r="L2261" s="72"/>
      <c r="M2261" s="72"/>
      <c r="N2261" s="72" t="str">
        <f>IF(AND(C2261="",J2261=0,K2261=0,L2261=0,M2261=0),"",CADASTROS!$B$4+SUM($J$2:J2261)+SUM($M$2:M2261)-SUM($K$2:K2261)-SUM($L$2:L2261))</f>
        <v/>
      </c>
      <c r="O2261" s="72" t="str">
        <f>IF(A2261="","",SUMIF(RATEIOS!$A$2:$A$3142,$A2261,RATEIOS!$F$2:$F$3142))</f>
        <v/>
      </c>
      <c r="P2261" s="15" t="str">
        <f t="shared" si="72"/>
        <v/>
      </c>
      <c r="Q2261" s="49" t="str">
        <f>IF(AND(J2261=0,K2261=0,L2261=0,M2261=0),"",IF(O2261=0,"PENDENTE DE RATEIO",IF(ABS(P2261)&gt;0.005,"DIVERGÊNCIA",IF(COUNTIF(RATEIOS!$A$2:$A$3142,$A2261)-COUNTIFS(RATEIOS!$A$2:$A$3142,$A2261,RATEIOS!$D$2:$D$3142,"&lt;&gt;")&gt;0,"NÃO CLASSIFICADO","RATEIO OK"))))</f>
        <v/>
      </c>
      <c r="R2261" s="49"/>
      <c r="S2261" s="14"/>
    </row>
    <row r="2262" spans="1:19" ht="30" customHeight="1" x14ac:dyDescent="0.25">
      <c r="A2262" s="49" t="str">
        <f>IF(C2262="","","BAN-02261")</f>
        <v/>
      </c>
      <c r="B2262" s="98" t="str">
        <f>IF(C2262="","",2261)</f>
        <v/>
      </c>
      <c r="C2262" s="50"/>
      <c r="D2262" s="49" t="str">
        <f t="shared" si="71"/>
        <v/>
      </c>
      <c r="E2262" s="92"/>
      <c r="F2262" s="49"/>
      <c r="G2262" s="14"/>
      <c r="H2262" s="14"/>
      <c r="I2262" s="76"/>
      <c r="J2262" s="73"/>
      <c r="K2262" s="74"/>
      <c r="L2262" s="72"/>
      <c r="M2262" s="72"/>
      <c r="N2262" s="72" t="str">
        <f>IF(AND(C2262="",J2262=0,K2262=0,L2262=0,M2262=0),"",CADASTROS!$B$4+SUM($J$2:J2262)+SUM($M$2:M2262)-SUM($K$2:K2262)-SUM($L$2:L2262))</f>
        <v/>
      </c>
      <c r="O2262" s="72" t="str">
        <f>IF(A2262="","",SUMIF(RATEIOS!$A$2:$A$3142,$A2262,RATEIOS!$F$2:$F$3142))</f>
        <v/>
      </c>
      <c r="P2262" s="15" t="str">
        <f t="shared" si="72"/>
        <v/>
      </c>
      <c r="Q2262" s="49" t="str">
        <f>IF(AND(J2262=0,K2262=0,L2262=0,M2262=0),"",IF(O2262=0,"PENDENTE DE RATEIO",IF(ABS(P2262)&gt;0.005,"DIVERGÊNCIA",IF(COUNTIF(RATEIOS!$A$2:$A$3142,$A2262)-COUNTIFS(RATEIOS!$A$2:$A$3142,$A2262,RATEIOS!$D$2:$D$3142,"&lt;&gt;")&gt;0,"NÃO CLASSIFICADO","RATEIO OK"))))</f>
        <v/>
      </c>
      <c r="R2262" s="49"/>
      <c r="S2262" s="14"/>
    </row>
    <row r="2263" spans="1:19" ht="30" customHeight="1" x14ac:dyDescent="0.25">
      <c r="A2263" s="49" t="str">
        <f>IF(C2263="","","BAN-02262")</f>
        <v/>
      </c>
      <c r="B2263" s="98" t="str">
        <f>IF(C2263="","",2262)</f>
        <v/>
      </c>
      <c r="C2263" s="50"/>
      <c r="D2263" s="49" t="str">
        <f t="shared" si="71"/>
        <v/>
      </c>
      <c r="E2263" s="92"/>
      <c r="F2263" s="49"/>
      <c r="G2263" s="14"/>
      <c r="H2263" s="14"/>
      <c r="I2263" s="76"/>
      <c r="J2263" s="73"/>
      <c r="K2263" s="74"/>
      <c r="L2263" s="72"/>
      <c r="M2263" s="72"/>
      <c r="N2263" s="72" t="str">
        <f>IF(AND(C2263="",J2263=0,K2263=0,L2263=0,M2263=0),"",CADASTROS!$B$4+SUM($J$2:J2263)+SUM($M$2:M2263)-SUM($K$2:K2263)-SUM($L$2:L2263))</f>
        <v/>
      </c>
      <c r="O2263" s="72" t="str">
        <f>IF(A2263="","",SUMIF(RATEIOS!$A$2:$A$3142,$A2263,RATEIOS!$F$2:$F$3142))</f>
        <v/>
      </c>
      <c r="P2263" s="15" t="str">
        <f t="shared" si="72"/>
        <v/>
      </c>
      <c r="Q2263" s="49" t="str">
        <f>IF(AND(J2263=0,K2263=0,L2263=0,M2263=0),"",IF(O2263=0,"PENDENTE DE RATEIO",IF(ABS(P2263)&gt;0.005,"DIVERGÊNCIA",IF(COUNTIF(RATEIOS!$A$2:$A$3142,$A2263)-COUNTIFS(RATEIOS!$A$2:$A$3142,$A2263,RATEIOS!$D$2:$D$3142,"&lt;&gt;")&gt;0,"NÃO CLASSIFICADO","RATEIO OK"))))</f>
        <v/>
      </c>
      <c r="R2263" s="49"/>
      <c r="S2263" s="14"/>
    </row>
    <row r="2264" spans="1:19" ht="30" customHeight="1" x14ac:dyDescent="0.25">
      <c r="A2264" s="49" t="str">
        <f>IF(C2264="","","BAN-02263")</f>
        <v/>
      </c>
      <c r="B2264" s="98" t="str">
        <f>IF(C2264="","",2263)</f>
        <v/>
      </c>
      <c r="C2264" s="50"/>
      <c r="D2264" s="49" t="str">
        <f t="shared" si="71"/>
        <v/>
      </c>
      <c r="E2264" s="92"/>
      <c r="F2264" s="49"/>
      <c r="G2264" s="14"/>
      <c r="H2264" s="14"/>
      <c r="I2264" s="76"/>
      <c r="J2264" s="73"/>
      <c r="K2264" s="74"/>
      <c r="L2264" s="72"/>
      <c r="M2264" s="72"/>
      <c r="N2264" s="72" t="str">
        <f>IF(AND(C2264="",J2264=0,K2264=0,L2264=0,M2264=0),"",CADASTROS!$B$4+SUM($J$2:J2264)+SUM($M$2:M2264)-SUM($K$2:K2264)-SUM($L$2:L2264))</f>
        <v/>
      </c>
      <c r="O2264" s="72" t="str">
        <f>IF(A2264="","",SUMIF(RATEIOS!$A$2:$A$3142,$A2264,RATEIOS!$F$2:$F$3142))</f>
        <v/>
      </c>
      <c r="P2264" s="15" t="str">
        <f t="shared" si="72"/>
        <v/>
      </c>
      <c r="Q2264" s="49" t="str">
        <f>IF(AND(J2264=0,K2264=0,L2264=0,M2264=0),"",IF(O2264=0,"PENDENTE DE RATEIO",IF(ABS(P2264)&gt;0.005,"DIVERGÊNCIA",IF(COUNTIF(RATEIOS!$A$2:$A$3142,$A2264)-COUNTIFS(RATEIOS!$A$2:$A$3142,$A2264,RATEIOS!$D$2:$D$3142,"&lt;&gt;")&gt;0,"NÃO CLASSIFICADO","RATEIO OK"))))</f>
        <v/>
      </c>
      <c r="R2264" s="49"/>
      <c r="S2264" s="14"/>
    </row>
    <row r="2265" spans="1:19" ht="30" customHeight="1" x14ac:dyDescent="0.25">
      <c r="A2265" s="49" t="str">
        <f>IF(C2265="","","BAN-02264")</f>
        <v/>
      </c>
      <c r="B2265" s="98" t="str">
        <f>IF(C2265="","",2264)</f>
        <v/>
      </c>
      <c r="C2265" s="50"/>
      <c r="D2265" s="49" t="str">
        <f t="shared" si="71"/>
        <v/>
      </c>
      <c r="E2265" s="92"/>
      <c r="F2265" s="49"/>
      <c r="G2265" s="14"/>
      <c r="H2265" s="14"/>
      <c r="I2265" s="76"/>
      <c r="J2265" s="73"/>
      <c r="K2265" s="74"/>
      <c r="L2265" s="72"/>
      <c r="M2265" s="72"/>
      <c r="N2265" s="72" t="str">
        <f>IF(AND(C2265="",J2265=0,K2265=0,L2265=0,M2265=0),"",CADASTROS!$B$4+SUM($J$2:J2265)+SUM($M$2:M2265)-SUM($K$2:K2265)-SUM($L$2:L2265))</f>
        <v/>
      </c>
      <c r="O2265" s="72" t="str">
        <f>IF(A2265="","",SUMIF(RATEIOS!$A$2:$A$3142,$A2265,RATEIOS!$F$2:$F$3142))</f>
        <v/>
      </c>
      <c r="P2265" s="15" t="str">
        <f t="shared" si="72"/>
        <v/>
      </c>
      <c r="Q2265" s="49" t="str">
        <f>IF(AND(J2265=0,K2265=0,L2265=0,M2265=0),"",IF(O2265=0,"PENDENTE DE RATEIO",IF(ABS(P2265)&gt;0.005,"DIVERGÊNCIA",IF(COUNTIF(RATEIOS!$A$2:$A$3142,$A2265)-COUNTIFS(RATEIOS!$A$2:$A$3142,$A2265,RATEIOS!$D$2:$D$3142,"&lt;&gt;")&gt;0,"NÃO CLASSIFICADO","RATEIO OK"))))</f>
        <v/>
      </c>
      <c r="R2265" s="49"/>
      <c r="S2265" s="14"/>
    </row>
    <row r="2266" spans="1:19" ht="30" customHeight="1" x14ac:dyDescent="0.25">
      <c r="A2266" s="49" t="str">
        <f>IF(C2266="","","BAN-02265")</f>
        <v/>
      </c>
      <c r="B2266" s="98" t="str">
        <f>IF(C2266="","",2265)</f>
        <v/>
      </c>
      <c r="C2266" s="50"/>
      <c r="D2266" s="49" t="str">
        <f t="shared" si="71"/>
        <v/>
      </c>
      <c r="E2266" s="92"/>
      <c r="F2266" s="49"/>
      <c r="G2266" s="14"/>
      <c r="H2266" s="14"/>
      <c r="I2266" s="76"/>
      <c r="J2266" s="73"/>
      <c r="K2266" s="74"/>
      <c r="L2266" s="72"/>
      <c r="M2266" s="72"/>
      <c r="N2266" s="72" t="str">
        <f>IF(AND(C2266="",J2266=0,K2266=0,L2266=0,M2266=0),"",CADASTROS!$B$4+SUM($J$2:J2266)+SUM($M$2:M2266)-SUM($K$2:K2266)-SUM($L$2:L2266))</f>
        <v/>
      </c>
      <c r="O2266" s="72" t="str">
        <f>IF(A2266="","",SUMIF(RATEIOS!$A$2:$A$3142,$A2266,RATEIOS!$F$2:$F$3142))</f>
        <v/>
      </c>
      <c r="P2266" s="15" t="str">
        <f t="shared" si="72"/>
        <v/>
      </c>
      <c r="Q2266" s="49" t="str">
        <f>IF(AND(J2266=0,K2266=0,L2266=0,M2266=0),"",IF(O2266=0,"PENDENTE DE RATEIO",IF(ABS(P2266)&gt;0.005,"DIVERGÊNCIA",IF(COUNTIF(RATEIOS!$A$2:$A$3142,$A2266)-COUNTIFS(RATEIOS!$A$2:$A$3142,$A2266,RATEIOS!$D$2:$D$3142,"&lt;&gt;")&gt;0,"NÃO CLASSIFICADO","RATEIO OK"))))</f>
        <v/>
      </c>
      <c r="R2266" s="49"/>
      <c r="S2266" s="14"/>
    </row>
    <row r="2267" spans="1:19" ht="30" customHeight="1" x14ac:dyDescent="0.25">
      <c r="A2267" s="49" t="str">
        <f>IF(C2267="","","BAN-02266")</f>
        <v/>
      </c>
      <c r="B2267" s="98" t="str">
        <f>IF(C2267="","",2266)</f>
        <v/>
      </c>
      <c r="C2267" s="50"/>
      <c r="D2267" s="49" t="str">
        <f t="shared" si="71"/>
        <v/>
      </c>
      <c r="E2267" s="92"/>
      <c r="F2267" s="49"/>
      <c r="G2267" s="14"/>
      <c r="H2267" s="14"/>
      <c r="I2267" s="76"/>
      <c r="J2267" s="73"/>
      <c r="K2267" s="74"/>
      <c r="L2267" s="72"/>
      <c r="M2267" s="72"/>
      <c r="N2267" s="72" t="str">
        <f>IF(AND(C2267="",J2267=0,K2267=0,L2267=0,M2267=0),"",CADASTROS!$B$4+SUM($J$2:J2267)+SUM($M$2:M2267)-SUM($K$2:K2267)-SUM($L$2:L2267))</f>
        <v/>
      </c>
      <c r="O2267" s="72" t="str">
        <f>IF(A2267="","",SUMIF(RATEIOS!$A$2:$A$3142,$A2267,RATEIOS!$F$2:$F$3142))</f>
        <v/>
      </c>
      <c r="P2267" s="15" t="str">
        <f t="shared" si="72"/>
        <v/>
      </c>
      <c r="Q2267" s="49" t="str">
        <f>IF(AND(J2267=0,K2267=0,L2267=0,M2267=0),"",IF(O2267=0,"PENDENTE DE RATEIO",IF(ABS(P2267)&gt;0.005,"DIVERGÊNCIA",IF(COUNTIF(RATEIOS!$A$2:$A$3142,$A2267)-COUNTIFS(RATEIOS!$A$2:$A$3142,$A2267,RATEIOS!$D$2:$D$3142,"&lt;&gt;")&gt;0,"NÃO CLASSIFICADO","RATEIO OK"))))</f>
        <v/>
      </c>
      <c r="R2267" s="49"/>
      <c r="S2267" s="14"/>
    </row>
    <row r="2268" spans="1:19" ht="30" customHeight="1" x14ac:dyDescent="0.25">
      <c r="A2268" s="49" t="str">
        <f>IF(C2268="","","BAN-02267")</f>
        <v/>
      </c>
      <c r="B2268" s="98" t="str">
        <f>IF(C2268="","",2267)</f>
        <v/>
      </c>
      <c r="C2268" s="50"/>
      <c r="D2268" s="49" t="str">
        <f t="shared" si="71"/>
        <v/>
      </c>
      <c r="E2268" s="92"/>
      <c r="F2268" s="49"/>
      <c r="G2268" s="14"/>
      <c r="H2268" s="14"/>
      <c r="I2268" s="76"/>
      <c r="J2268" s="73"/>
      <c r="K2268" s="74"/>
      <c r="L2268" s="72"/>
      <c r="M2268" s="72"/>
      <c r="N2268" s="72" t="str">
        <f>IF(AND(C2268="",J2268=0,K2268=0,L2268=0,M2268=0),"",CADASTROS!$B$4+SUM($J$2:J2268)+SUM($M$2:M2268)-SUM($K$2:K2268)-SUM($L$2:L2268))</f>
        <v/>
      </c>
      <c r="O2268" s="72" t="str">
        <f>IF(A2268="","",SUMIF(RATEIOS!$A$2:$A$3142,$A2268,RATEIOS!$F$2:$F$3142))</f>
        <v/>
      </c>
      <c r="P2268" s="15" t="str">
        <f t="shared" si="72"/>
        <v/>
      </c>
      <c r="Q2268" s="49" t="str">
        <f>IF(AND(J2268=0,K2268=0,L2268=0,M2268=0),"",IF(O2268=0,"PENDENTE DE RATEIO",IF(ABS(P2268)&gt;0.005,"DIVERGÊNCIA",IF(COUNTIF(RATEIOS!$A$2:$A$3142,$A2268)-COUNTIFS(RATEIOS!$A$2:$A$3142,$A2268,RATEIOS!$D$2:$D$3142,"&lt;&gt;")&gt;0,"NÃO CLASSIFICADO","RATEIO OK"))))</f>
        <v/>
      </c>
      <c r="R2268" s="49"/>
      <c r="S2268" s="14"/>
    </row>
    <row r="2269" spans="1:19" ht="30" customHeight="1" x14ac:dyDescent="0.25">
      <c r="A2269" s="49" t="str">
        <f>IF(C2269="","","BAN-02268")</f>
        <v/>
      </c>
      <c r="B2269" s="98" t="str">
        <f>IF(C2269="","",2268)</f>
        <v/>
      </c>
      <c r="C2269" s="50"/>
      <c r="D2269" s="49" t="str">
        <f t="shared" si="71"/>
        <v/>
      </c>
      <c r="E2269" s="92"/>
      <c r="F2269" s="49"/>
      <c r="G2269" s="14"/>
      <c r="H2269" s="14"/>
      <c r="I2269" s="76"/>
      <c r="J2269" s="73"/>
      <c r="K2269" s="74"/>
      <c r="L2269" s="72"/>
      <c r="M2269" s="72"/>
      <c r="N2269" s="72" t="str">
        <f>IF(AND(C2269="",J2269=0,K2269=0,L2269=0,M2269=0),"",CADASTROS!$B$4+SUM($J$2:J2269)+SUM($M$2:M2269)-SUM($K$2:K2269)-SUM($L$2:L2269))</f>
        <v/>
      </c>
      <c r="O2269" s="72" t="str">
        <f>IF(A2269="","",SUMIF(RATEIOS!$A$2:$A$3142,$A2269,RATEIOS!$F$2:$F$3142))</f>
        <v/>
      </c>
      <c r="P2269" s="15" t="str">
        <f t="shared" si="72"/>
        <v/>
      </c>
      <c r="Q2269" s="49" t="str">
        <f>IF(AND(J2269=0,K2269=0,L2269=0,M2269=0),"",IF(O2269=0,"PENDENTE DE RATEIO",IF(ABS(P2269)&gt;0.005,"DIVERGÊNCIA",IF(COUNTIF(RATEIOS!$A$2:$A$3142,$A2269)-COUNTIFS(RATEIOS!$A$2:$A$3142,$A2269,RATEIOS!$D$2:$D$3142,"&lt;&gt;")&gt;0,"NÃO CLASSIFICADO","RATEIO OK"))))</f>
        <v/>
      </c>
      <c r="R2269" s="49"/>
      <c r="S2269" s="14"/>
    </row>
    <row r="2270" spans="1:19" ht="30" customHeight="1" x14ac:dyDescent="0.25">
      <c r="A2270" s="49" t="str">
        <f>IF(C2270="","","BAN-02269")</f>
        <v/>
      </c>
      <c r="B2270" s="98" t="str">
        <f>IF(C2270="","",2269)</f>
        <v/>
      </c>
      <c r="C2270" s="50"/>
      <c r="D2270" s="49" t="str">
        <f t="shared" si="71"/>
        <v/>
      </c>
      <c r="E2270" s="92"/>
      <c r="F2270" s="49"/>
      <c r="G2270" s="14"/>
      <c r="H2270" s="14"/>
      <c r="I2270" s="76"/>
      <c r="J2270" s="73"/>
      <c r="K2270" s="74"/>
      <c r="L2270" s="72"/>
      <c r="M2270" s="72"/>
      <c r="N2270" s="72" t="str">
        <f>IF(AND(C2270="",J2270=0,K2270=0,L2270=0,M2270=0),"",CADASTROS!$B$4+SUM($J$2:J2270)+SUM($M$2:M2270)-SUM($K$2:K2270)-SUM($L$2:L2270))</f>
        <v/>
      </c>
      <c r="O2270" s="72" t="str">
        <f>IF(A2270="","",SUMIF(RATEIOS!$A$2:$A$3142,$A2270,RATEIOS!$F$2:$F$3142))</f>
        <v/>
      </c>
      <c r="P2270" s="15" t="str">
        <f t="shared" si="72"/>
        <v/>
      </c>
      <c r="Q2270" s="49" t="str">
        <f>IF(AND(J2270=0,K2270=0,L2270=0,M2270=0),"",IF(O2270=0,"PENDENTE DE RATEIO",IF(ABS(P2270)&gt;0.005,"DIVERGÊNCIA",IF(COUNTIF(RATEIOS!$A$2:$A$3142,$A2270)-COUNTIFS(RATEIOS!$A$2:$A$3142,$A2270,RATEIOS!$D$2:$D$3142,"&lt;&gt;")&gt;0,"NÃO CLASSIFICADO","RATEIO OK"))))</f>
        <v/>
      </c>
      <c r="R2270" s="49"/>
      <c r="S2270" s="14"/>
    </row>
    <row r="2271" spans="1:19" ht="30" customHeight="1" x14ac:dyDescent="0.25">
      <c r="A2271" s="49" t="str">
        <f>IF(C2271="","","BAN-02270")</f>
        <v/>
      </c>
      <c r="B2271" s="98" t="str">
        <f>IF(C2271="","",2270)</f>
        <v/>
      </c>
      <c r="C2271" s="50"/>
      <c r="D2271" s="49" t="str">
        <f t="shared" si="71"/>
        <v/>
      </c>
      <c r="E2271" s="92"/>
      <c r="F2271" s="49"/>
      <c r="G2271" s="14"/>
      <c r="H2271" s="14"/>
      <c r="I2271" s="76"/>
      <c r="J2271" s="73"/>
      <c r="K2271" s="74"/>
      <c r="L2271" s="72"/>
      <c r="M2271" s="72"/>
      <c r="N2271" s="72" t="str">
        <f>IF(AND(C2271="",J2271=0,K2271=0,L2271=0,M2271=0),"",CADASTROS!$B$4+SUM($J$2:J2271)+SUM($M$2:M2271)-SUM($K$2:K2271)-SUM($L$2:L2271))</f>
        <v/>
      </c>
      <c r="O2271" s="72" t="str">
        <f>IF(A2271="","",SUMIF(RATEIOS!$A$2:$A$3142,$A2271,RATEIOS!$F$2:$F$3142))</f>
        <v/>
      </c>
      <c r="P2271" s="15" t="str">
        <f t="shared" si="72"/>
        <v/>
      </c>
      <c r="Q2271" s="49" t="str">
        <f>IF(AND(J2271=0,K2271=0,L2271=0,M2271=0),"",IF(O2271=0,"PENDENTE DE RATEIO",IF(ABS(P2271)&gt;0.005,"DIVERGÊNCIA",IF(COUNTIF(RATEIOS!$A$2:$A$3142,$A2271)-COUNTIFS(RATEIOS!$A$2:$A$3142,$A2271,RATEIOS!$D$2:$D$3142,"&lt;&gt;")&gt;0,"NÃO CLASSIFICADO","RATEIO OK"))))</f>
        <v/>
      </c>
      <c r="R2271" s="49"/>
      <c r="S2271" s="14"/>
    </row>
    <row r="2272" spans="1:19" ht="30" customHeight="1" x14ac:dyDescent="0.25">
      <c r="A2272" s="49" t="str">
        <f>IF(C2272="","","BAN-02271")</f>
        <v/>
      </c>
      <c r="B2272" s="98" t="str">
        <f>IF(C2272="","",2271)</f>
        <v/>
      </c>
      <c r="C2272" s="50"/>
      <c r="D2272" s="49" t="str">
        <f t="shared" si="71"/>
        <v/>
      </c>
      <c r="E2272" s="92"/>
      <c r="F2272" s="49"/>
      <c r="G2272" s="14"/>
      <c r="H2272" s="14"/>
      <c r="I2272" s="76"/>
      <c r="J2272" s="73"/>
      <c r="K2272" s="74"/>
      <c r="L2272" s="72"/>
      <c r="M2272" s="72"/>
      <c r="N2272" s="72" t="str">
        <f>IF(AND(C2272="",J2272=0,K2272=0,L2272=0,M2272=0),"",CADASTROS!$B$4+SUM($J$2:J2272)+SUM($M$2:M2272)-SUM($K$2:K2272)-SUM($L$2:L2272))</f>
        <v/>
      </c>
      <c r="O2272" s="72" t="str">
        <f>IF(A2272="","",SUMIF(RATEIOS!$A$2:$A$3142,$A2272,RATEIOS!$F$2:$F$3142))</f>
        <v/>
      </c>
      <c r="P2272" s="15" t="str">
        <f t="shared" si="72"/>
        <v/>
      </c>
      <c r="Q2272" s="49" t="str">
        <f>IF(AND(J2272=0,K2272=0,L2272=0,M2272=0),"",IF(O2272=0,"PENDENTE DE RATEIO",IF(ABS(P2272)&gt;0.005,"DIVERGÊNCIA",IF(COUNTIF(RATEIOS!$A$2:$A$3142,$A2272)-COUNTIFS(RATEIOS!$A$2:$A$3142,$A2272,RATEIOS!$D$2:$D$3142,"&lt;&gt;")&gt;0,"NÃO CLASSIFICADO","RATEIO OK"))))</f>
        <v/>
      </c>
      <c r="R2272" s="49"/>
      <c r="S2272" s="14"/>
    </row>
    <row r="2273" spans="1:19" ht="30" customHeight="1" x14ac:dyDescent="0.25">
      <c r="A2273" s="49" t="str">
        <f>IF(C2273="","","BAN-02272")</f>
        <v/>
      </c>
      <c r="B2273" s="98" t="str">
        <f>IF(C2273="","",2272)</f>
        <v/>
      </c>
      <c r="C2273" s="50"/>
      <c r="D2273" s="49" t="str">
        <f t="shared" si="71"/>
        <v/>
      </c>
      <c r="E2273" s="92"/>
      <c r="F2273" s="49"/>
      <c r="G2273" s="14"/>
      <c r="H2273" s="14"/>
      <c r="I2273" s="76"/>
      <c r="J2273" s="73"/>
      <c r="K2273" s="74"/>
      <c r="L2273" s="72"/>
      <c r="M2273" s="72"/>
      <c r="N2273" s="72" t="str">
        <f>IF(AND(C2273="",J2273=0,K2273=0,L2273=0,M2273=0),"",CADASTROS!$B$4+SUM($J$2:J2273)+SUM($M$2:M2273)-SUM($K$2:K2273)-SUM($L$2:L2273))</f>
        <v/>
      </c>
      <c r="O2273" s="72" t="str">
        <f>IF(A2273="","",SUMIF(RATEIOS!$A$2:$A$3142,$A2273,RATEIOS!$F$2:$F$3142))</f>
        <v/>
      </c>
      <c r="P2273" s="15" t="str">
        <f t="shared" si="72"/>
        <v/>
      </c>
      <c r="Q2273" s="49" t="str">
        <f>IF(AND(J2273=0,K2273=0,L2273=0,M2273=0),"",IF(O2273=0,"PENDENTE DE RATEIO",IF(ABS(P2273)&gt;0.005,"DIVERGÊNCIA",IF(COUNTIF(RATEIOS!$A$2:$A$3142,$A2273)-COUNTIFS(RATEIOS!$A$2:$A$3142,$A2273,RATEIOS!$D$2:$D$3142,"&lt;&gt;")&gt;0,"NÃO CLASSIFICADO","RATEIO OK"))))</f>
        <v/>
      </c>
      <c r="R2273" s="49"/>
      <c r="S2273" s="14"/>
    </row>
    <row r="2274" spans="1:19" ht="30" customHeight="1" x14ac:dyDescent="0.25">
      <c r="A2274" s="49" t="str">
        <f>IF(C2274="","","BAN-02273")</f>
        <v/>
      </c>
      <c r="B2274" s="98" t="str">
        <f>IF(C2274="","",2273)</f>
        <v/>
      </c>
      <c r="C2274" s="50"/>
      <c r="D2274" s="49" t="str">
        <f t="shared" si="71"/>
        <v/>
      </c>
      <c r="E2274" s="92"/>
      <c r="F2274" s="49"/>
      <c r="G2274" s="14"/>
      <c r="H2274" s="14"/>
      <c r="I2274" s="76"/>
      <c r="J2274" s="73"/>
      <c r="K2274" s="74"/>
      <c r="L2274" s="72"/>
      <c r="M2274" s="72"/>
      <c r="N2274" s="72" t="str">
        <f>IF(AND(C2274="",J2274=0,K2274=0,L2274=0,M2274=0),"",CADASTROS!$B$4+SUM($J$2:J2274)+SUM($M$2:M2274)-SUM($K$2:K2274)-SUM($L$2:L2274))</f>
        <v/>
      </c>
      <c r="O2274" s="72" t="str">
        <f>IF(A2274="","",SUMIF(RATEIOS!$A$2:$A$3142,$A2274,RATEIOS!$F$2:$F$3142))</f>
        <v/>
      </c>
      <c r="P2274" s="15" t="str">
        <f t="shared" si="72"/>
        <v/>
      </c>
      <c r="Q2274" s="49" t="str">
        <f>IF(AND(J2274=0,K2274=0,L2274=0,M2274=0),"",IF(O2274=0,"PENDENTE DE RATEIO",IF(ABS(P2274)&gt;0.005,"DIVERGÊNCIA",IF(COUNTIF(RATEIOS!$A$2:$A$3142,$A2274)-COUNTIFS(RATEIOS!$A$2:$A$3142,$A2274,RATEIOS!$D$2:$D$3142,"&lt;&gt;")&gt;0,"NÃO CLASSIFICADO","RATEIO OK"))))</f>
        <v/>
      </c>
      <c r="R2274" s="49"/>
      <c r="S2274" s="14"/>
    </row>
    <row r="2275" spans="1:19" ht="30" customHeight="1" x14ac:dyDescent="0.25">
      <c r="A2275" s="49" t="str">
        <f>IF(C2275="","","BAN-02274")</f>
        <v/>
      </c>
      <c r="B2275" s="98" t="str">
        <f>IF(C2275="","",2274)</f>
        <v/>
      </c>
      <c r="C2275" s="50"/>
      <c r="D2275" s="49" t="str">
        <f t="shared" si="71"/>
        <v/>
      </c>
      <c r="E2275" s="92"/>
      <c r="F2275" s="49"/>
      <c r="G2275" s="14"/>
      <c r="H2275" s="14"/>
      <c r="I2275" s="76"/>
      <c r="J2275" s="73"/>
      <c r="K2275" s="74"/>
      <c r="L2275" s="72"/>
      <c r="M2275" s="72"/>
      <c r="N2275" s="72" t="str">
        <f>IF(AND(C2275="",J2275=0,K2275=0,L2275=0,M2275=0),"",CADASTROS!$B$4+SUM($J$2:J2275)+SUM($M$2:M2275)-SUM($K$2:K2275)-SUM($L$2:L2275))</f>
        <v/>
      </c>
      <c r="O2275" s="72" t="str">
        <f>IF(A2275="","",SUMIF(RATEIOS!$A$2:$A$3142,$A2275,RATEIOS!$F$2:$F$3142))</f>
        <v/>
      </c>
      <c r="P2275" s="15" t="str">
        <f t="shared" si="72"/>
        <v/>
      </c>
      <c r="Q2275" s="49" t="str">
        <f>IF(AND(J2275=0,K2275=0,L2275=0,M2275=0),"",IF(O2275=0,"PENDENTE DE RATEIO",IF(ABS(P2275)&gt;0.005,"DIVERGÊNCIA",IF(COUNTIF(RATEIOS!$A$2:$A$3142,$A2275)-COUNTIFS(RATEIOS!$A$2:$A$3142,$A2275,RATEIOS!$D$2:$D$3142,"&lt;&gt;")&gt;0,"NÃO CLASSIFICADO","RATEIO OK"))))</f>
        <v/>
      </c>
      <c r="R2275" s="49"/>
      <c r="S2275" s="14"/>
    </row>
    <row r="2276" spans="1:19" ht="30" customHeight="1" x14ac:dyDescent="0.25">
      <c r="A2276" s="49" t="str">
        <f>IF(C2276="","","BAN-02275")</f>
        <v/>
      </c>
      <c r="B2276" s="98" t="str">
        <f>IF(C2276="","",2275)</f>
        <v/>
      </c>
      <c r="C2276" s="50"/>
      <c r="D2276" s="49" t="str">
        <f t="shared" si="71"/>
        <v/>
      </c>
      <c r="E2276" s="92"/>
      <c r="F2276" s="49"/>
      <c r="G2276" s="14"/>
      <c r="H2276" s="14"/>
      <c r="I2276" s="76"/>
      <c r="J2276" s="73"/>
      <c r="K2276" s="74"/>
      <c r="L2276" s="72"/>
      <c r="M2276" s="72"/>
      <c r="N2276" s="72" t="str">
        <f>IF(AND(C2276="",J2276=0,K2276=0,L2276=0,M2276=0),"",CADASTROS!$B$4+SUM($J$2:J2276)+SUM($M$2:M2276)-SUM($K$2:K2276)-SUM($L$2:L2276))</f>
        <v/>
      </c>
      <c r="O2276" s="72" t="str">
        <f>IF(A2276="","",SUMIF(RATEIOS!$A$2:$A$3142,$A2276,RATEIOS!$F$2:$F$3142))</f>
        <v/>
      </c>
      <c r="P2276" s="15" t="str">
        <f t="shared" si="72"/>
        <v/>
      </c>
      <c r="Q2276" s="49" t="str">
        <f>IF(AND(J2276=0,K2276=0,L2276=0,M2276=0),"",IF(O2276=0,"PENDENTE DE RATEIO",IF(ABS(P2276)&gt;0.005,"DIVERGÊNCIA",IF(COUNTIF(RATEIOS!$A$2:$A$3142,$A2276)-COUNTIFS(RATEIOS!$A$2:$A$3142,$A2276,RATEIOS!$D$2:$D$3142,"&lt;&gt;")&gt;0,"NÃO CLASSIFICADO","RATEIO OK"))))</f>
        <v/>
      </c>
      <c r="R2276" s="49"/>
      <c r="S2276" s="14"/>
    </row>
    <row r="2277" spans="1:19" ht="30" customHeight="1" x14ac:dyDescent="0.25">
      <c r="A2277" s="49" t="str">
        <f>IF(C2277="","","BAN-02276")</f>
        <v/>
      </c>
      <c r="B2277" s="98" t="str">
        <f>IF(C2277="","",2276)</f>
        <v/>
      </c>
      <c r="C2277" s="50"/>
      <c r="D2277" s="49" t="str">
        <f t="shared" si="71"/>
        <v/>
      </c>
      <c r="E2277" s="92"/>
      <c r="F2277" s="49"/>
      <c r="G2277" s="14"/>
      <c r="H2277" s="14"/>
      <c r="I2277" s="76"/>
      <c r="J2277" s="73"/>
      <c r="K2277" s="74"/>
      <c r="L2277" s="72"/>
      <c r="M2277" s="72"/>
      <c r="N2277" s="72" t="str">
        <f>IF(AND(C2277="",J2277=0,K2277=0,L2277=0,M2277=0),"",CADASTROS!$B$4+SUM($J$2:J2277)+SUM($M$2:M2277)-SUM($K$2:K2277)-SUM($L$2:L2277))</f>
        <v/>
      </c>
      <c r="O2277" s="72" t="str">
        <f>IF(A2277="","",SUMIF(RATEIOS!$A$2:$A$3142,$A2277,RATEIOS!$F$2:$F$3142))</f>
        <v/>
      </c>
      <c r="P2277" s="15" t="str">
        <f t="shared" si="72"/>
        <v/>
      </c>
      <c r="Q2277" s="49" t="str">
        <f>IF(AND(J2277=0,K2277=0,L2277=0,M2277=0),"",IF(O2277=0,"PENDENTE DE RATEIO",IF(ABS(P2277)&gt;0.005,"DIVERGÊNCIA",IF(COUNTIF(RATEIOS!$A$2:$A$3142,$A2277)-COUNTIFS(RATEIOS!$A$2:$A$3142,$A2277,RATEIOS!$D$2:$D$3142,"&lt;&gt;")&gt;0,"NÃO CLASSIFICADO","RATEIO OK"))))</f>
        <v/>
      </c>
      <c r="R2277" s="49"/>
      <c r="S2277" s="14"/>
    </row>
    <row r="2278" spans="1:19" ht="30" customHeight="1" x14ac:dyDescent="0.25">
      <c r="A2278" s="49" t="str">
        <f>IF(C2278="","","BAN-02277")</f>
        <v/>
      </c>
      <c r="B2278" s="98" t="str">
        <f>IF(C2278="","",2277)</f>
        <v/>
      </c>
      <c r="C2278" s="50"/>
      <c r="D2278" s="49" t="str">
        <f t="shared" si="71"/>
        <v/>
      </c>
      <c r="E2278" s="92"/>
      <c r="F2278" s="49"/>
      <c r="G2278" s="14"/>
      <c r="H2278" s="14"/>
      <c r="I2278" s="76"/>
      <c r="J2278" s="73"/>
      <c r="K2278" s="74"/>
      <c r="L2278" s="72"/>
      <c r="M2278" s="72"/>
      <c r="N2278" s="72" t="str">
        <f>IF(AND(C2278="",J2278=0,K2278=0,L2278=0,M2278=0),"",CADASTROS!$B$4+SUM($J$2:J2278)+SUM($M$2:M2278)-SUM($K$2:K2278)-SUM($L$2:L2278))</f>
        <v/>
      </c>
      <c r="O2278" s="72" t="str">
        <f>IF(A2278="","",SUMIF(RATEIOS!$A$2:$A$3142,$A2278,RATEIOS!$F$2:$F$3142))</f>
        <v/>
      </c>
      <c r="P2278" s="15" t="str">
        <f t="shared" si="72"/>
        <v/>
      </c>
      <c r="Q2278" s="49" t="str">
        <f>IF(AND(J2278=0,K2278=0,L2278=0,M2278=0),"",IF(O2278=0,"PENDENTE DE RATEIO",IF(ABS(P2278)&gt;0.005,"DIVERGÊNCIA",IF(COUNTIF(RATEIOS!$A$2:$A$3142,$A2278)-COUNTIFS(RATEIOS!$A$2:$A$3142,$A2278,RATEIOS!$D$2:$D$3142,"&lt;&gt;")&gt;0,"NÃO CLASSIFICADO","RATEIO OK"))))</f>
        <v/>
      </c>
      <c r="R2278" s="49"/>
      <c r="S2278" s="14"/>
    </row>
    <row r="2279" spans="1:19" ht="30" customHeight="1" x14ac:dyDescent="0.25">
      <c r="A2279" s="49" t="str">
        <f>IF(C2279="","","BAN-02278")</f>
        <v/>
      </c>
      <c r="B2279" s="98" t="str">
        <f>IF(C2279="","",2278)</f>
        <v/>
      </c>
      <c r="C2279" s="50"/>
      <c r="D2279" s="49" t="str">
        <f t="shared" si="71"/>
        <v/>
      </c>
      <c r="E2279" s="92"/>
      <c r="F2279" s="49"/>
      <c r="G2279" s="14"/>
      <c r="H2279" s="14"/>
      <c r="I2279" s="76"/>
      <c r="J2279" s="73"/>
      <c r="K2279" s="74"/>
      <c r="L2279" s="72"/>
      <c r="M2279" s="72"/>
      <c r="N2279" s="72" t="str">
        <f>IF(AND(C2279="",J2279=0,K2279=0,L2279=0,M2279=0),"",CADASTROS!$B$4+SUM($J$2:J2279)+SUM($M$2:M2279)-SUM($K$2:K2279)-SUM($L$2:L2279))</f>
        <v/>
      </c>
      <c r="O2279" s="72" t="str">
        <f>IF(A2279="","",SUMIF(RATEIOS!$A$2:$A$3142,$A2279,RATEIOS!$F$2:$F$3142))</f>
        <v/>
      </c>
      <c r="P2279" s="15" t="str">
        <f t="shared" si="72"/>
        <v/>
      </c>
      <c r="Q2279" s="49" t="str">
        <f>IF(AND(J2279=0,K2279=0,L2279=0,M2279=0),"",IF(O2279=0,"PENDENTE DE RATEIO",IF(ABS(P2279)&gt;0.005,"DIVERGÊNCIA",IF(COUNTIF(RATEIOS!$A$2:$A$3142,$A2279)-COUNTIFS(RATEIOS!$A$2:$A$3142,$A2279,RATEIOS!$D$2:$D$3142,"&lt;&gt;")&gt;0,"NÃO CLASSIFICADO","RATEIO OK"))))</f>
        <v/>
      </c>
      <c r="R2279" s="49"/>
      <c r="S2279" s="14"/>
    </row>
    <row r="2280" spans="1:19" ht="30" customHeight="1" x14ac:dyDescent="0.25">
      <c r="A2280" s="49" t="str">
        <f>IF(C2280="","","BAN-02279")</f>
        <v/>
      </c>
      <c r="B2280" s="98" t="str">
        <f>IF(C2280="","",2279)</f>
        <v/>
      </c>
      <c r="C2280" s="50"/>
      <c r="D2280" s="49" t="str">
        <f t="shared" si="71"/>
        <v/>
      </c>
      <c r="E2280" s="92"/>
      <c r="F2280" s="49"/>
      <c r="G2280" s="14"/>
      <c r="H2280" s="14"/>
      <c r="I2280" s="76"/>
      <c r="J2280" s="73"/>
      <c r="K2280" s="74"/>
      <c r="L2280" s="72"/>
      <c r="M2280" s="72"/>
      <c r="N2280" s="72" t="str">
        <f>IF(AND(C2280="",J2280=0,K2280=0,L2280=0,M2280=0),"",CADASTROS!$B$4+SUM($J$2:J2280)+SUM($M$2:M2280)-SUM($K$2:K2280)-SUM($L$2:L2280))</f>
        <v/>
      </c>
      <c r="O2280" s="72" t="str">
        <f>IF(A2280="","",SUMIF(RATEIOS!$A$2:$A$3142,$A2280,RATEIOS!$F$2:$F$3142))</f>
        <v/>
      </c>
      <c r="P2280" s="15" t="str">
        <f t="shared" si="72"/>
        <v/>
      </c>
      <c r="Q2280" s="49" t="str">
        <f>IF(AND(J2280=0,K2280=0,L2280=0,M2280=0),"",IF(O2280=0,"PENDENTE DE RATEIO",IF(ABS(P2280)&gt;0.005,"DIVERGÊNCIA",IF(COUNTIF(RATEIOS!$A$2:$A$3142,$A2280)-COUNTIFS(RATEIOS!$A$2:$A$3142,$A2280,RATEIOS!$D$2:$D$3142,"&lt;&gt;")&gt;0,"NÃO CLASSIFICADO","RATEIO OK"))))</f>
        <v/>
      </c>
      <c r="R2280" s="49"/>
      <c r="S2280" s="14"/>
    </row>
    <row r="2281" spans="1:19" ht="30" customHeight="1" x14ac:dyDescent="0.25">
      <c r="A2281" s="49" t="str">
        <f>IF(C2281="","","BAN-02280")</f>
        <v/>
      </c>
      <c r="B2281" s="98" t="str">
        <f>IF(C2281="","",2280)</f>
        <v/>
      </c>
      <c r="C2281" s="50"/>
      <c r="D2281" s="49" t="str">
        <f t="shared" si="71"/>
        <v/>
      </c>
      <c r="E2281" s="92"/>
      <c r="F2281" s="49"/>
      <c r="G2281" s="14"/>
      <c r="H2281" s="14"/>
      <c r="I2281" s="76"/>
      <c r="J2281" s="73"/>
      <c r="K2281" s="74"/>
      <c r="L2281" s="72"/>
      <c r="M2281" s="72"/>
      <c r="N2281" s="72" t="str">
        <f>IF(AND(C2281="",J2281=0,K2281=0,L2281=0,M2281=0),"",CADASTROS!$B$4+SUM($J$2:J2281)+SUM($M$2:M2281)-SUM($K$2:K2281)-SUM($L$2:L2281))</f>
        <v/>
      </c>
      <c r="O2281" s="72" t="str">
        <f>IF(A2281="","",SUMIF(RATEIOS!$A$2:$A$3142,$A2281,RATEIOS!$F$2:$F$3142))</f>
        <v/>
      </c>
      <c r="P2281" s="15" t="str">
        <f t="shared" si="72"/>
        <v/>
      </c>
      <c r="Q2281" s="49" t="str">
        <f>IF(AND(J2281=0,K2281=0,L2281=0,M2281=0),"",IF(O2281=0,"PENDENTE DE RATEIO",IF(ABS(P2281)&gt;0.005,"DIVERGÊNCIA",IF(COUNTIF(RATEIOS!$A$2:$A$3142,$A2281)-COUNTIFS(RATEIOS!$A$2:$A$3142,$A2281,RATEIOS!$D$2:$D$3142,"&lt;&gt;")&gt;0,"NÃO CLASSIFICADO","RATEIO OK"))))</f>
        <v/>
      </c>
      <c r="R2281" s="49"/>
      <c r="S2281" s="14"/>
    </row>
    <row r="2282" spans="1:19" ht="30" customHeight="1" x14ac:dyDescent="0.25">
      <c r="A2282" s="49" t="str">
        <f>IF(C2282="","","BAN-02281")</f>
        <v/>
      </c>
      <c r="B2282" s="98" t="str">
        <f>IF(C2282="","",2281)</f>
        <v/>
      </c>
      <c r="C2282" s="50"/>
      <c r="D2282" s="49" t="str">
        <f t="shared" si="71"/>
        <v/>
      </c>
      <c r="E2282" s="92"/>
      <c r="F2282" s="49"/>
      <c r="G2282" s="14"/>
      <c r="H2282" s="14"/>
      <c r="I2282" s="76"/>
      <c r="J2282" s="73"/>
      <c r="K2282" s="74"/>
      <c r="L2282" s="72"/>
      <c r="M2282" s="72"/>
      <c r="N2282" s="72" t="str">
        <f>IF(AND(C2282="",J2282=0,K2282=0,L2282=0,M2282=0),"",CADASTROS!$B$4+SUM($J$2:J2282)+SUM($M$2:M2282)-SUM($K$2:K2282)-SUM($L$2:L2282))</f>
        <v/>
      </c>
      <c r="O2282" s="72" t="str">
        <f>IF(A2282="","",SUMIF(RATEIOS!$A$2:$A$3142,$A2282,RATEIOS!$F$2:$F$3142))</f>
        <v/>
      </c>
      <c r="P2282" s="15" t="str">
        <f t="shared" si="72"/>
        <v/>
      </c>
      <c r="Q2282" s="49" t="str">
        <f>IF(AND(J2282=0,K2282=0,L2282=0,M2282=0),"",IF(O2282=0,"PENDENTE DE RATEIO",IF(ABS(P2282)&gt;0.005,"DIVERGÊNCIA",IF(COUNTIF(RATEIOS!$A$2:$A$3142,$A2282)-COUNTIFS(RATEIOS!$A$2:$A$3142,$A2282,RATEIOS!$D$2:$D$3142,"&lt;&gt;")&gt;0,"NÃO CLASSIFICADO","RATEIO OK"))))</f>
        <v/>
      </c>
      <c r="R2282" s="49"/>
      <c r="S2282" s="14"/>
    </row>
    <row r="2283" spans="1:19" ht="30" customHeight="1" x14ac:dyDescent="0.25">
      <c r="A2283" s="49" t="str">
        <f>IF(C2283="","","BAN-02282")</f>
        <v/>
      </c>
      <c r="B2283" s="98" t="str">
        <f>IF(C2283="","",2282)</f>
        <v/>
      </c>
      <c r="C2283" s="50"/>
      <c r="D2283" s="49" t="str">
        <f t="shared" si="71"/>
        <v/>
      </c>
      <c r="E2283" s="92"/>
      <c r="F2283" s="49"/>
      <c r="G2283" s="14"/>
      <c r="H2283" s="14"/>
      <c r="I2283" s="76"/>
      <c r="J2283" s="73"/>
      <c r="K2283" s="74"/>
      <c r="L2283" s="72"/>
      <c r="M2283" s="72"/>
      <c r="N2283" s="72" t="str">
        <f>IF(AND(C2283="",J2283=0,K2283=0,L2283=0,M2283=0),"",CADASTROS!$B$4+SUM($J$2:J2283)+SUM($M$2:M2283)-SUM($K$2:K2283)-SUM($L$2:L2283))</f>
        <v/>
      </c>
      <c r="O2283" s="72" t="str">
        <f>IF(A2283="","",SUMIF(RATEIOS!$A$2:$A$3142,$A2283,RATEIOS!$F$2:$F$3142))</f>
        <v/>
      </c>
      <c r="P2283" s="15" t="str">
        <f t="shared" si="72"/>
        <v/>
      </c>
      <c r="Q2283" s="49" t="str">
        <f>IF(AND(J2283=0,K2283=0,L2283=0,M2283=0),"",IF(O2283=0,"PENDENTE DE RATEIO",IF(ABS(P2283)&gt;0.005,"DIVERGÊNCIA",IF(COUNTIF(RATEIOS!$A$2:$A$3142,$A2283)-COUNTIFS(RATEIOS!$A$2:$A$3142,$A2283,RATEIOS!$D$2:$D$3142,"&lt;&gt;")&gt;0,"NÃO CLASSIFICADO","RATEIO OK"))))</f>
        <v/>
      </c>
      <c r="R2283" s="49"/>
      <c r="S2283" s="14"/>
    </row>
    <row r="2284" spans="1:19" ht="30" customHeight="1" x14ac:dyDescent="0.25">
      <c r="A2284" s="49" t="str">
        <f>IF(C2284="","","BAN-02283")</f>
        <v/>
      </c>
      <c r="B2284" s="98" t="str">
        <f>IF(C2284="","",2283)</f>
        <v/>
      </c>
      <c r="C2284" s="50"/>
      <c r="D2284" s="49" t="str">
        <f t="shared" si="71"/>
        <v/>
      </c>
      <c r="E2284" s="92"/>
      <c r="F2284" s="49"/>
      <c r="G2284" s="14"/>
      <c r="H2284" s="14"/>
      <c r="I2284" s="76"/>
      <c r="J2284" s="73"/>
      <c r="K2284" s="74"/>
      <c r="L2284" s="72"/>
      <c r="M2284" s="72"/>
      <c r="N2284" s="72" t="str">
        <f>IF(AND(C2284="",J2284=0,K2284=0,L2284=0,M2284=0),"",CADASTROS!$B$4+SUM($J$2:J2284)+SUM($M$2:M2284)-SUM($K$2:K2284)-SUM($L$2:L2284))</f>
        <v/>
      </c>
      <c r="O2284" s="72" t="str">
        <f>IF(A2284="","",SUMIF(RATEIOS!$A$2:$A$3142,$A2284,RATEIOS!$F$2:$F$3142))</f>
        <v/>
      </c>
      <c r="P2284" s="15" t="str">
        <f t="shared" si="72"/>
        <v/>
      </c>
      <c r="Q2284" s="49" t="str">
        <f>IF(AND(J2284=0,K2284=0,L2284=0,M2284=0),"",IF(O2284=0,"PENDENTE DE RATEIO",IF(ABS(P2284)&gt;0.005,"DIVERGÊNCIA",IF(COUNTIF(RATEIOS!$A$2:$A$3142,$A2284)-COUNTIFS(RATEIOS!$A$2:$A$3142,$A2284,RATEIOS!$D$2:$D$3142,"&lt;&gt;")&gt;0,"NÃO CLASSIFICADO","RATEIO OK"))))</f>
        <v/>
      </c>
      <c r="R2284" s="49"/>
      <c r="S2284" s="14"/>
    </row>
    <row r="2285" spans="1:19" ht="30" customHeight="1" x14ac:dyDescent="0.25">
      <c r="A2285" s="49" t="str">
        <f>IF(C2285="","","BAN-02284")</f>
        <v/>
      </c>
      <c r="B2285" s="98" t="str">
        <f>IF(C2285="","",2284)</f>
        <v/>
      </c>
      <c r="C2285" s="50"/>
      <c r="D2285" s="49" t="str">
        <f t="shared" si="71"/>
        <v/>
      </c>
      <c r="E2285" s="92"/>
      <c r="F2285" s="49"/>
      <c r="G2285" s="14"/>
      <c r="H2285" s="14"/>
      <c r="I2285" s="76"/>
      <c r="J2285" s="73"/>
      <c r="K2285" s="74"/>
      <c r="L2285" s="72"/>
      <c r="M2285" s="72"/>
      <c r="N2285" s="72" t="str">
        <f>IF(AND(C2285="",J2285=0,K2285=0,L2285=0,M2285=0),"",CADASTROS!$B$4+SUM($J$2:J2285)+SUM($M$2:M2285)-SUM($K$2:K2285)-SUM($L$2:L2285))</f>
        <v/>
      </c>
      <c r="O2285" s="72" t="str">
        <f>IF(A2285="","",SUMIF(RATEIOS!$A$2:$A$3142,$A2285,RATEIOS!$F$2:$F$3142))</f>
        <v/>
      </c>
      <c r="P2285" s="15" t="str">
        <f t="shared" si="72"/>
        <v/>
      </c>
      <c r="Q2285" s="49" t="str">
        <f>IF(AND(J2285=0,K2285=0,L2285=0,M2285=0),"",IF(O2285=0,"PENDENTE DE RATEIO",IF(ABS(P2285)&gt;0.005,"DIVERGÊNCIA",IF(COUNTIF(RATEIOS!$A$2:$A$3142,$A2285)-COUNTIFS(RATEIOS!$A$2:$A$3142,$A2285,RATEIOS!$D$2:$D$3142,"&lt;&gt;")&gt;0,"NÃO CLASSIFICADO","RATEIO OK"))))</f>
        <v/>
      </c>
      <c r="R2285" s="49"/>
      <c r="S2285" s="14"/>
    </row>
    <row r="2286" spans="1:19" ht="30" customHeight="1" x14ac:dyDescent="0.25">
      <c r="A2286" s="49" t="str">
        <f>IF(C2286="","","BAN-02285")</f>
        <v/>
      </c>
      <c r="B2286" s="98" t="str">
        <f>IF(C2286="","",2285)</f>
        <v/>
      </c>
      <c r="C2286" s="50"/>
      <c r="D2286" s="49" t="str">
        <f t="shared" si="71"/>
        <v/>
      </c>
      <c r="E2286" s="92"/>
      <c r="F2286" s="49"/>
      <c r="G2286" s="14"/>
      <c r="H2286" s="14"/>
      <c r="I2286" s="76"/>
      <c r="J2286" s="73"/>
      <c r="K2286" s="74"/>
      <c r="L2286" s="72"/>
      <c r="M2286" s="72"/>
      <c r="N2286" s="72" t="str">
        <f>IF(AND(C2286="",J2286=0,K2286=0,L2286=0,M2286=0),"",CADASTROS!$B$4+SUM($J$2:J2286)+SUM($M$2:M2286)-SUM($K$2:K2286)-SUM($L$2:L2286))</f>
        <v/>
      </c>
      <c r="O2286" s="72" t="str">
        <f>IF(A2286="","",SUMIF(RATEIOS!$A$2:$A$3142,$A2286,RATEIOS!$F$2:$F$3142))</f>
        <v/>
      </c>
      <c r="P2286" s="15" t="str">
        <f t="shared" si="72"/>
        <v/>
      </c>
      <c r="Q2286" s="49" t="str">
        <f>IF(AND(J2286=0,K2286=0,L2286=0,M2286=0),"",IF(O2286=0,"PENDENTE DE RATEIO",IF(ABS(P2286)&gt;0.005,"DIVERGÊNCIA",IF(COUNTIF(RATEIOS!$A$2:$A$3142,$A2286)-COUNTIFS(RATEIOS!$A$2:$A$3142,$A2286,RATEIOS!$D$2:$D$3142,"&lt;&gt;")&gt;0,"NÃO CLASSIFICADO","RATEIO OK"))))</f>
        <v/>
      </c>
      <c r="R2286" s="49"/>
      <c r="S2286" s="14"/>
    </row>
    <row r="2287" spans="1:19" ht="30" customHeight="1" x14ac:dyDescent="0.25">
      <c r="A2287" s="49" t="str">
        <f>IF(C2287="","","BAN-02286")</f>
        <v/>
      </c>
      <c r="B2287" s="98" t="str">
        <f>IF(C2287="","",2286)</f>
        <v/>
      </c>
      <c r="C2287" s="50"/>
      <c r="D2287" s="49" t="str">
        <f t="shared" si="71"/>
        <v/>
      </c>
      <c r="E2287" s="92"/>
      <c r="F2287" s="49"/>
      <c r="G2287" s="14"/>
      <c r="H2287" s="14"/>
      <c r="I2287" s="76"/>
      <c r="J2287" s="73"/>
      <c r="K2287" s="74"/>
      <c r="L2287" s="72"/>
      <c r="M2287" s="72"/>
      <c r="N2287" s="72" t="str">
        <f>IF(AND(C2287="",J2287=0,K2287=0,L2287=0,M2287=0),"",CADASTROS!$B$4+SUM($J$2:J2287)+SUM($M$2:M2287)-SUM($K$2:K2287)-SUM($L$2:L2287))</f>
        <v/>
      </c>
      <c r="O2287" s="72" t="str">
        <f>IF(A2287="","",SUMIF(RATEIOS!$A$2:$A$3142,$A2287,RATEIOS!$F$2:$F$3142))</f>
        <v/>
      </c>
      <c r="P2287" s="15" t="str">
        <f t="shared" si="72"/>
        <v/>
      </c>
      <c r="Q2287" s="49" t="str">
        <f>IF(AND(J2287=0,K2287=0,L2287=0,M2287=0),"",IF(O2287=0,"PENDENTE DE RATEIO",IF(ABS(P2287)&gt;0.005,"DIVERGÊNCIA",IF(COUNTIF(RATEIOS!$A$2:$A$3142,$A2287)-COUNTIFS(RATEIOS!$A$2:$A$3142,$A2287,RATEIOS!$D$2:$D$3142,"&lt;&gt;")&gt;0,"NÃO CLASSIFICADO","RATEIO OK"))))</f>
        <v/>
      </c>
      <c r="R2287" s="49"/>
      <c r="S2287" s="14"/>
    </row>
    <row r="2288" spans="1:19" ht="30" customHeight="1" x14ac:dyDescent="0.25">
      <c r="A2288" s="49" t="str">
        <f>IF(C2288="","","BAN-02287")</f>
        <v/>
      </c>
      <c r="B2288" s="98" t="str">
        <f>IF(C2288="","",2287)</f>
        <v/>
      </c>
      <c r="C2288" s="50"/>
      <c r="D2288" s="49" t="str">
        <f t="shared" si="71"/>
        <v/>
      </c>
      <c r="E2288" s="92"/>
      <c r="F2288" s="49"/>
      <c r="G2288" s="14"/>
      <c r="H2288" s="14"/>
      <c r="I2288" s="76"/>
      <c r="J2288" s="73"/>
      <c r="K2288" s="74"/>
      <c r="L2288" s="72"/>
      <c r="M2288" s="72"/>
      <c r="N2288" s="72" t="str">
        <f>IF(AND(C2288="",J2288=0,K2288=0,L2288=0,M2288=0),"",CADASTROS!$B$4+SUM($J$2:J2288)+SUM($M$2:M2288)-SUM($K$2:K2288)-SUM($L$2:L2288))</f>
        <v/>
      </c>
      <c r="O2288" s="72" t="str">
        <f>IF(A2288="","",SUMIF(RATEIOS!$A$2:$A$3142,$A2288,RATEIOS!$F$2:$F$3142))</f>
        <v/>
      </c>
      <c r="P2288" s="15" t="str">
        <f t="shared" si="72"/>
        <v/>
      </c>
      <c r="Q2288" s="49" t="str">
        <f>IF(AND(J2288=0,K2288=0,L2288=0,M2288=0),"",IF(O2288=0,"PENDENTE DE RATEIO",IF(ABS(P2288)&gt;0.005,"DIVERGÊNCIA",IF(COUNTIF(RATEIOS!$A$2:$A$3142,$A2288)-COUNTIFS(RATEIOS!$A$2:$A$3142,$A2288,RATEIOS!$D$2:$D$3142,"&lt;&gt;")&gt;0,"NÃO CLASSIFICADO","RATEIO OK"))))</f>
        <v/>
      </c>
      <c r="R2288" s="49"/>
      <c r="S2288" s="14"/>
    </row>
    <row r="2289" spans="1:19" ht="30" customHeight="1" x14ac:dyDescent="0.25">
      <c r="A2289" s="49" t="str">
        <f>IF(C2289="","","BAN-02288")</f>
        <v/>
      </c>
      <c r="B2289" s="98" t="str">
        <f>IF(C2289="","",2288)</f>
        <v/>
      </c>
      <c r="C2289" s="50"/>
      <c r="D2289" s="49" t="str">
        <f t="shared" si="71"/>
        <v/>
      </c>
      <c r="E2289" s="92"/>
      <c r="F2289" s="49"/>
      <c r="G2289" s="14"/>
      <c r="H2289" s="14"/>
      <c r="I2289" s="76"/>
      <c r="J2289" s="73"/>
      <c r="K2289" s="74"/>
      <c r="L2289" s="72"/>
      <c r="M2289" s="72"/>
      <c r="N2289" s="72" t="str">
        <f>IF(AND(C2289="",J2289=0,K2289=0,L2289=0,M2289=0),"",CADASTROS!$B$4+SUM($J$2:J2289)+SUM($M$2:M2289)-SUM($K$2:K2289)-SUM($L$2:L2289))</f>
        <v/>
      </c>
      <c r="O2289" s="72" t="str">
        <f>IF(A2289="","",SUMIF(RATEIOS!$A$2:$A$3142,$A2289,RATEIOS!$F$2:$F$3142))</f>
        <v/>
      </c>
      <c r="P2289" s="15" t="str">
        <f t="shared" si="72"/>
        <v/>
      </c>
      <c r="Q2289" s="49" t="str">
        <f>IF(AND(J2289=0,K2289=0,L2289=0,M2289=0),"",IF(O2289=0,"PENDENTE DE RATEIO",IF(ABS(P2289)&gt;0.005,"DIVERGÊNCIA",IF(COUNTIF(RATEIOS!$A$2:$A$3142,$A2289)-COUNTIFS(RATEIOS!$A$2:$A$3142,$A2289,RATEIOS!$D$2:$D$3142,"&lt;&gt;")&gt;0,"NÃO CLASSIFICADO","RATEIO OK"))))</f>
        <v/>
      </c>
      <c r="R2289" s="49"/>
      <c r="S2289" s="14"/>
    </row>
    <row r="2290" spans="1:19" ht="30" customHeight="1" x14ac:dyDescent="0.25">
      <c r="A2290" s="49" t="str">
        <f>IF(C2290="","","BAN-02289")</f>
        <v/>
      </c>
      <c r="B2290" s="98" t="str">
        <f>IF(C2290="","",2289)</f>
        <v/>
      </c>
      <c r="C2290" s="50"/>
      <c r="D2290" s="49" t="str">
        <f t="shared" si="71"/>
        <v/>
      </c>
      <c r="E2290" s="92"/>
      <c r="F2290" s="49"/>
      <c r="G2290" s="14"/>
      <c r="H2290" s="14"/>
      <c r="I2290" s="76"/>
      <c r="J2290" s="73"/>
      <c r="K2290" s="74"/>
      <c r="L2290" s="72"/>
      <c r="M2290" s="72"/>
      <c r="N2290" s="72" t="str">
        <f>IF(AND(C2290="",J2290=0,K2290=0,L2290=0,M2290=0),"",CADASTROS!$B$4+SUM($J$2:J2290)+SUM($M$2:M2290)-SUM($K$2:K2290)-SUM($L$2:L2290))</f>
        <v/>
      </c>
      <c r="O2290" s="72" t="str">
        <f>IF(A2290="","",SUMIF(RATEIOS!$A$2:$A$3142,$A2290,RATEIOS!$F$2:$F$3142))</f>
        <v/>
      </c>
      <c r="P2290" s="15" t="str">
        <f t="shared" si="72"/>
        <v/>
      </c>
      <c r="Q2290" s="49" t="str">
        <f>IF(AND(J2290=0,K2290=0,L2290=0,M2290=0),"",IF(O2290=0,"PENDENTE DE RATEIO",IF(ABS(P2290)&gt;0.005,"DIVERGÊNCIA",IF(COUNTIF(RATEIOS!$A$2:$A$3142,$A2290)-COUNTIFS(RATEIOS!$A$2:$A$3142,$A2290,RATEIOS!$D$2:$D$3142,"&lt;&gt;")&gt;0,"NÃO CLASSIFICADO","RATEIO OK"))))</f>
        <v/>
      </c>
      <c r="R2290" s="49"/>
      <c r="S2290" s="14"/>
    </row>
    <row r="2291" spans="1:19" ht="30" customHeight="1" x14ac:dyDescent="0.25">
      <c r="A2291" s="49" t="str">
        <f>IF(C2291="","","BAN-02290")</f>
        <v/>
      </c>
      <c r="B2291" s="98" t="str">
        <f>IF(C2291="","",2290)</f>
        <v/>
      </c>
      <c r="C2291" s="50"/>
      <c r="D2291" s="49" t="str">
        <f t="shared" si="71"/>
        <v/>
      </c>
      <c r="E2291" s="92"/>
      <c r="F2291" s="49"/>
      <c r="G2291" s="14"/>
      <c r="H2291" s="14"/>
      <c r="I2291" s="76"/>
      <c r="J2291" s="73"/>
      <c r="K2291" s="74"/>
      <c r="L2291" s="72"/>
      <c r="M2291" s="72"/>
      <c r="N2291" s="72" t="str">
        <f>IF(AND(C2291="",J2291=0,K2291=0,L2291=0,M2291=0),"",CADASTROS!$B$4+SUM($J$2:J2291)+SUM($M$2:M2291)-SUM($K$2:K2291)-SUM($L$2:L2291))</f>
        <v/>
      </c>
      <c r="O2291" s="72" t="str">
        <f>IF(A2291="","",SUMIF(RATEIOS!$A$2:$A$3142,$A2291,RATEIOS!$F$2:$F$3142))</f>
        <v/>
      </c>
      <c r="P2291" s="15" t="str">
        <f t="shared" si="72"/>
        <v/>
      </c>
      <c r="Q2291" s="49" t="str">
        <f>IF(AND(J2291=0,K2291=0,L2291=0,M2291=0),"",IF(O2291=0,"PENDENTE DE RATEIO",IF(ABS(P2291)&gt;0.005,"DIVERGÊNCIA",IF(COUNTIF(RATEIOS!$A$2:$A$3142,$A2291)-COUNTIFS(RATEIOS!$A$2:$A$3142,$A2291,RATEIOS!$D$2:$D$3142,"&lt;&gt;")&gt;0,"NÃO CLASSIFICADO","RATEIO OK"))))</f>
        <v/>
      </c>
      <c r="R2291" s="49"/>
      <c r="S2291" s="14"/>
    </row>
    <row r="2292" spans="1:19" ht="30" customHeight="1" x14ac:dyDescent="0.25">
      <c r="A2292" s="49" t="str">
        <f>IF(C2292="","","BAN-02291")</f>
        <v/>
      </c>
      <c r="B2292" s="98" t="str">
        <f>IF(C2292="","",2291)</f>
        <v/>
      </c>
      <c r="C2292" s="50"/>
      <c r="D2292" s="49" t="str">
        <f t="shared" si="71"/>
        <v/>
      </c>
      <c r="E2292" s="92"/>
      <c r="F2292" s="49"/>
      <c r="G2292" s="14"/>
      <c r="H2292" s="14"/>
      <c r="I2292" s="76"/>
      <c r="J2292" s="73"/>
      <c r="K2292" s="74"/>
      <c r="L2292" s="72"/>
      <c r="M2292" s="72"/>
      <c r="N2292" s="72" t="str">
        <f>IF(AND(C2292="",J2292=0,K2292=0,L2292=0,M2292=0),"",CADASTROS!$B$4+SUM($J$2:J2292)+SUM($M$2:M2292)-SUM($K$2:K2292)-SUM($L$2:L2292))</f>
        <v/>
      </c>
      <c r="O2292" s="72" t="str">
        <f>IF(A2292="","",SUMIF(RATEIOS!$A$2:$A$3142,$A2292,RATEIOS!$F$2:$F$3142))</f>
        <v/>
      </c>
      <c r="P2292" s="15" t="str">
        <f t="shared" si="72"/>
        <v/>
      </c>
      <c r="Q2292" s="49" t="str">
        <f>IF(AND(J2292=0,K2292=0,L2292=0,M2292=0),"",IF(O2292=0,"PENDENTE DE RATEIO",IF(ABS(P2292)&gt;0.005,"DIVERGÊNCIA",IF(COUNTIF(RATEIOS!$A$2:$A$3142,$A2292)-COUNTIFS(RATEIOS!$A$2:$A$3142,$A2292,RATEIOS!$D$2:$D$3142,"&lt;&gt;")&gt;0,"NÃO CLASSIFICADO","RATEIO OK"))))</f>
        <v/>
      </c>
      <c r="R2292" s="49"/>
      <c r="S2292" s="14"/>
    </row>
    <row r="2293" spans="1:19" ht="30" customHeight="1" x14ac:dyDescent="0.25">
      <c r="A2293" s="49" t="str">
        <f>IF(C2293="","","BAN-02292")</f>
        <v/>
      </c>
      <c r="B2293" s="98" t="str">
        <f>IF(C2293="","",2292)</f>
        <v/>
      </c>
      <c r="C2293" s="50"/>
      <c r="D2293" s="49" t="str">
        <f t="shared" si="71"/>
        <v/>
      </c>
      <c r="E2293" s="92"/>
      <c r="F2293" s="49"/>
      <c r="G2293" s="14"/>
      <c r="H2293" s="14"/>
      <c r="I2293" s="76"/>
      <c r="J2293" s="73"/>
      <c r="K2293" s="74"/>
      <c r="L2293" s="72"/>
      <c r="M2293" s="72"/>
      <c r="N2293" s="72" t="str">
        <f>IF(AND(C2293="",J2293=0,K2293=0,L2293=0,M2293=0),"",CADASTROS!$B$4+SUM($J$2:J2293)+SUM($M$2:M2293)-SUM($K$2:K2293)-SUM($L$2:L2293))</f>
        <v/>
      </c>
      <c r="O2293" s="72" t="str">
        <f>IF(A2293="","",SUMIF(RATEIOS!$A$2:$A$3142,$A2293,RATEIOS!$F$2:$F$3142))</f>
        <v/>
      </c>
      <c r="P2293" s="15" t="str">
        <f t="shared" si="72"/>
        <v/>
      </c>
      <c r="Q2293" s="49" t="str">
        <f>IF(AND(J2293=0,K2293=0,L2293=0,M2293=0),"",IF(O2293=0,"PENDENTE DE RATEIO",IF(ABS(P2293)&gt;0.005,"DIVERGÊNCIA",IF(COUNTIF(RATEIOS!$A$2:$A$3142,$A2293)-COUNTIFS(RATEIOS!$A$2:$A$3142,$A2293,RATEIOS!$D$2:$D$3142,"&lt;&gt;")&gt;0,"NÃO CLASSIFICADO","RATEIO OK"))))</f>
        <v/>
      </c>
      <c r="R2293" s="49"/>
      <c r="S2293" s="14"/>
    </row>
    <row r="2294" spans="1:19" ht="30" customHeight="1" x14ac:dyDescent="0.25">
      <c r="A2294" s="49" t="str">
        <f>IF(C2294="","","BAN-02293")</f>
        <v/>
      </c>
      <c r="B2294" s="98" t="str">
        <f>IF(C2294="","",2293)</f>
        <v/>
      </c>
      <c r="C2294" s="50"/>
      <c r="D2294" s="49" t="str">
        <f t="shared" si="71"/>
        <v/>
      </c>
      <c r="E2294" s="92"/>
      <c r="F2294" s="49"/>
      <c r="G2294" s="14"/>
      <c r="H2294" s="14"/>
      <c r="I2294" s="76"/>
      <c r="J2294" s="73"/>
      <c r="K2294" s="74"/>
      <c r="L2294" s="72"/>
      <c r="M2294" s="72"/>
      <c r="N2294" s="72" t="str">
        <f>IF(AND(C2294="",J2294=0,K2294=0,L2294=0,M2294=0),"",CADASTROS!$B$4+SUM($J$2:J2294)+SUM($M$2:M2294)-SUM($K$2:K2294)-SUM($L$2:L2294))</f>
        <v/>
      </c>
      <c r="O2294" s="72" t="str">
        <f>IF(A2294="","",SUMIF(RATEIOS!$A$2:$A$3142,$A2294,RATEIOS!$F$2:$F$3142))</f>
        <v/>
      </c>
      <c r="P2294" s="15" t="str">
        <f t="shared" si="72"/>
        <v/>
      </c>
      <c r="Q2294" s="49" t="str">
        <f>IF(AND(J2294=0,K2294=0,L2294=0,M2294=0),"",IF(O2294=0,"PENDENTE DE RATEIO",IF(ABS(P2294)&gt;0.005,"DIVERGÊNCIA",IF(COUNTIF(RATEIOS!$A$2:$A$3142,$A2294)-COUNTIFS(RATEIOS!$A$2:$A$3142,$A2294,RATEIOS!$D$2:$D$3142,"&lt;&gt;")&gt;0,"NÃO CLASSIFICADO","RATEIO OK"))))</f>
        <v/>
      </c>
      <c r="R2294" s="49"/>
      <c r="S2294" s="14"/>
    </row>
    <row r="2295" spans="1:19" ht="30" customHeight="1" x14ac:dyDescent="0.25">
      <c r="A2295" s="49" t="str">
        <f>IF(C2295="","","BAN-02294")</f>
        <v/>
      </c>
      <c r="B2295" s="98" t="str">
        <f>IF(C2295="","",2294)</f>
        <v/>
      </c>
      <c r="C2295" s="50"/>
      <c r="D2295" s="49" t="str">
        <f t="shared" si="71"/>
        <v/>
      </c>
      <c r="E2295" s="92"/>
      <c r="F2295" s="49"/>
      <c r="G2295" s="14"/>
      <c r="H2295" s="14"/>
      <c r="I2295" s="76"/>
      <c r="J2295" s="73"/>
      <c r="K2295" s="74"/>
      <c r="L2295" s="72"/>
      <c r="M2295" s="72"/>
      <c r="N2295" s="72" t="str">
        <f>IF(AND(C2295="",J2295=0,K2295=0,L2295=0,M2295=0),"",CADASTROS!$B$4+SUM($J$2:J2295)+SUM($M$2:M2295)-SUM($K$2:K2295)-SUM($L$2:L2295))</f>
        <v/>
      </c>
      <c r="O2295" s="72" t="str">
        <f>IF(A2295="","",SUMIF(RATEIOS!$A$2:$A$3142,$A2295,RATEIOS!$F$2:$F$3142))</f>
        <v/>
      </c>
      <c r="P2295" s="15" t="str">
        <f t="shared" si="72"/>
        <v/>
      </c>
      <c r="Q2295" s="49" t="str">
        <f>IF(AND(J2295=0,K2295=0,L2295=0,M2295=0),"",IF(O2295=0,"PENDENTE DE RATEIO",IF(ABS(P2295)&gt;0.005,"DIVERGÊNCIA",IF(COUNTIF(RATEIOS!$A$2:$A$3142,$A2295)-COUNTIFS(RATEIOS!$A$2:$A$3142,$A2295,RATEIOS!$D$2:$D$3142,"&lt;&gt;")&gt;0,"NÃO CLASSIFICADO","RATEIO OK"))))</f>
        <v/>
      </c>
      <c r="R2295" s="49"/>
      <c r="S2295" s="14"/>
    </row>
    <row r="2296" spans="1:19" ht="30" customHeight="1" x14ac:dyDescent="0.25">
      <c r="A2296" s="49" t="str">
        <f>IF(C2296="","","BAN-02295")</f>
        <v/>
      </c>
      <c r="B2296" s="98" t="str">
        <f>IF(C2296="","",2295)</f>
        <v/>
      </c>
      <c r="C2296" s="50"/>
      <c r="D2296" s="49" t="str">
        <f t="shared" si="71"/>
        <v/>
      </c>
      <c r="E2296" s="92"/>
      <c r="F2296" s="49"/>
      <c r="G2296" s="14"/>
      <c r="H2296" s="14"/>
      <c r="I2296" s="76"/>
      <c r="J2296" s="73"/>
      <c r="K2296" s="74"/>
      <c r="L2296" s="72"/>
      <c r="M2296" s="72"/>
      <c r="N2296" s="72" t="str">
        <f>IF(AND(C2296="",J2296=0,K2296=0,L2296=0,M2296=0),"",CADASTROS!$B$4+SUM($J$2:J2296)+SUM($M$2:M2296)-SUM($K$2:K2296)-SUM($L$2:L2296))</f>
        <v/>
      </c>
      <c r="O2296" s="72" t="str">
        <f>IF(A2296="","",SUMIF(RATEIOS!$A$2:$A$3142,$A2296,RATEIOS!$F$2:$F$3142))</f>
        <v/>
      </c>
      <c r="P2296" s="15" t="str">
        <f t="shared" si="72"/>
        <v/>
      </c>
      <c r="Q2296" s="49" t="str">
        <f>IF(AND(J2296=0,K2296=0,L2296=0,M2296=0),"",IF(O2296=0,"PENDENTE DE RATEIO",IF(ABS(P2296)&gt;0.005,"DIVERGÊNCIA",IF(COUNTIF(RATEIOS!$A$2:$A$3142,$A2296)-COUNTIFS(RATEIOS!$A$2:$A$3142,$A2296,RATEIOS!$D$2:$D$3142,"&lt;&gt;")&gt;0,"NÃO CLASSIFICADO","RATEIO OK"))))</f>
        <v/>
      </c>
      <c r="R2296" s="49"/>
      <c r="S2296" s="14"/>
    </row>
    <row r="2297" spans="1:19" ht="30" customHeight="1" x14ac:dyDescent="0.25">
      <c r="A2297" s="49" t="str">
        <f>IF(C2297="","","BAN-02296")</f>
        <v/>
      </c>
      <c r="B2297" s="98" t="str">
        <f>IF(C2297="","",2296)</f>
        <v/>
      </c>
      <c r="C2297" s="50"/>
      <c r="D2297" s="49" t="str">
        <f t="shared" si="71"/>
        <v/>
      </c>
      <c r="E2297" s="92"/>
      <c r="F2297" s="49"/>
      <c r="G2297" s="14"/>
      <c r="H2297" s="14"/>
      <c r="I2297" s="76"/>
      <c r="J2297" s="73"/>
      <c r="K2297" s="74"/>
      <c r="L2297" s="72"/>
      <c r="M2297" s="72"/>
      <c r="N2297" s="72" t="str">
        <f>IF(AND(C2297="",J2297=0,K2297=0,L2297=0,M2297=0),"",CADASTROS!$B$4+SUM($J$2:J2297)+SUM($M$2:M2297)-SUM($K$2:K2297)-SUM($L$2:L2297))</f>
        <v/>
      </c>
      <c r="O2297" s="72" t="str">
        <f>IF(A2297="","",SUMIF(RATEIOS!$A$2:$A$3142,$A2297,RATEIOS!$F$2:$F$3142))</f>
        <v/>
      </c>
      <c r="P2297" s="15" t="str">
        <f t="shared" si="72"/>
        <v/>
      </c>
      <c r="Q2297" s="49" t="str">
        <f>IF(AND(J2297=0,K2297=0,L2297=0,M2297=0),"",IF(O2297=0,"PENDENTE DE RATEIO",IF(ABS(P2297)&gt;0.005,"DIVERGÊNCIA",IF(COUNTIF(RATEIOS!$A$2:$A$3142,$A2297)-COUNTIFS(RATEIOS!$A$2:$A$3142,$A2297,RATEIOS!$D$2:$D$3142,"&lt;&gt;")&gt;0,"NÃO CLASSIFICADO","RATEIO OK"))))</f>
        <v/>
      </c>
      <c r="R2297" s="49"/>
      <c r="S2297" s="14"/>
    </row>
    <row r="2298" spans="1:19" ht="30" customHeight="1" x14ac:dyDescent="0.25">
      <c r="A2298" s="49" t="str">
        <f>IF(C2298="","","BAN-02297")</f>
        <v/>
      </c>
      <c r="B2298" s="98" t="str">
        <f>IF(C2298="","",2297)</f>
        <v/>
      </c>
      <c r="C2298" s="50"/>
      <c r="D2298" s="49" t="str">
        <f t="shared" si="71"/>
        <v/>
      </c>
      <c r="E2298" s="92"/>
      <c r="F2298" s="49"/>
      <c r="G2298" s="14"/>
      <c r="H2298" s="14"/>
      <c r="I2298" s="76"/>
      <c r="J2298" s="73"/>
      <c r="K2298" s="74"/>
      <c r="L2298" s="72"/>
      <c r="M2298" s="72"/>
      <c r="N2298" s="72" t="str">
        <f>IF(AND(C2298="",J2298=0,K2298=0,L2298=0,M2298=0),"",CADASTROS!$B$4+SUM($J$2:J2298)+SUM($M$2:M2298)-SUM($K$2:K2298)-SUM($L$2:L2298))</f>
        <v/>
      </c>
      <c r="O2298" s="72" t="str">
        <f>IF(A2298="","",SUMIF(RATEIOS!$A$2:$A$3142,$A2298,RATEIOS!$F$2:$F$3142))</f>
        <v/>
      </c>
      <c r="P2298" s="15" t="str">
        <f t="shared" si="72"/>
        <v/>
      </c>
      <c r="Q2298" s="49" t="str">
        <f>IF(AND(J2298=0,K2298=0,L2298=0,M2298=0),"",IF(O2298=0,"PENDENTE DE RATEIO",IF(ABS(P2298)&gt;0.005,"DIVERGÊNCIA",IF(COUNTIF(RATEIOS!$A$2:$A$3142,$A2298)-COUNTIFS(RATEIOS!$A$2:$A$3142,$A2298,RATEIOS!$D$2:$D$3142,"&lt;&gt;")&gt;0,"NÃO CLASSIFICADO","RATEIO OK"))))</f>
        <v/>
      </c>
      <c r="R2298" s="49"/>
      <c r="S2298" s="14"/>
    </row>
    <row r="2299" spans="1:19" ht="30" customHeight="1" x14ac:dyDescent="0.25">
      <c r="A2299" s="49" t="str">
        <f>IF(C2299="","","BAN-02298")</f>
        <v/>
      </c>
      <c r="B2299" s="98" t="str">
        <f>IF(C2299="","",2298)</f>
        <v/>
      </c>
      <c r="C2299" s="50"/>
      <c r="D2299" s="49" t="str">
        <f t="shared" si="71"/>
        <v/>
      </c>
      <c r="E2299" s="92"/>
      <c r="F2299" s="49"/>
      <c r="G2299" s="14"/>
      <c r="H2299" s="14"/>
      <c r="I2299" s="76"/>
      <c r="J2299" s="73"/>
      <c r="K2299" s="74"/>
      <c r="L2299" s="72"/>
      <c r="M2299" s="72"/>
      <c r="N2299" s="72" t="str">
        <f>IF(AND(C2299="",J2299=0,K2299=0,L2299=0,M2299=0),"",CADASTROS!$B$4+SUM($J$2:J2299)+SUM($M$2:M2299)-SUM($K$2:K2299)-SUM($L$2:L2299))</f>
        <v/>
      </c>
      <c r="O2299" s="72" t="str">
        <f>IF(A2299="","",SUMIF(RATEIOS!$A$2:$A$3142,$A2299,RATEIOS!$F$2:$F$3142))</f>
        <v/>
      </c>
      <c r="P2299" s="15" t="str">
        <f t="shared" si="72"/>
        <v/>
      </c>
      <c r="Q2299" s="49" t="str">
        <f>IF(AND(J2299=0,K2299=0,L2299=0,M2299=0),"",IF(O2299=0,"PENDENTE DE RATEIO",IF(ABS(P2299)&gt;0.005,"DIVERGÊNCIA",IF(COUNTIF(RATEIOS!$A$2:$A$3142,$A2299)-COUNTIFS(RATEIOS!$A$2:$A$3142,$A2299,RATEIOS!$D$2:$D$3142,"&lt;&gt;")&gt;0,"NÃO CLASSIFICADO","RATEIO OK"))))</f>
        <v/>
      </c>
      <c r="R2299" s="49"/>
      <c r="S2299" s="14"/>
    </row>
    <row r="2300" spans="1:19" ht="30" customHeight="1" x14ac:dyDescent="0.25">
      <c r="A2300" s="49" t="str">
        <f>IF(C2300="","","BAN-02299")</f>
        <v/>
      </c>
      <c r="B2300" s="98" t="str">
        <f>IF(C2300="","",2299)</f>
        <v/>
      </c>
      <c r="C2300" s="50"/>
      <c r="D2300" s="49" t="str">
        <f t="shared" si="71"/>
        <v/>
      </c>
      <c r="E2300" s="92"/>
      <c r="F2300" s="49"/>
      <c r="G2300" s="14"/>
      <c r="H2300" s="14"/>
      <c r="I2300" s="76"/>
      <c r="J2300" s="73"/>
      <c r="K2300" s="74"/>
      <c r="L2300" s="72"/>
      <c r="M2300" s="72"/>
      <c r="N2300" s="72" t="str">
        <f>IF(AND(C2300="",J2300=0,K2300=0,L2300=0,M2300=0),"",CADASTROS!$B$4+SUM($J$2:J2300)+SUM($M$2:M2300)-SUM($K$2:K2300)-SUM($L$2:L2300))</f>
        <v/>
      </c>
      <c r="O2300" s="72" t="str">
        <f>IF(A2300="","",SUMIF(RATEIOS!$A$2:$A$3142,$A2300,RATEIOS!$F$2:$F$3142))</f>
        <v/>
      </c>
      <c r="P2300" s="15" t="str">
        <f t="shared" si="72"/>
        <v/>
      </c>
      <c r="Q2300" s="49" t="str">
        <f>IF(AND(J2300=0,K2300=0,L2300=0,M2300=0),"",IF(O2300=0,"PENDENTE DE RATEIO",IF(ABS(P2300)&gt;0.005,"DIVERGÊNCIA",IF(COUNTIF(RATEIOS!$A$2:$A$3142,$A2300)-COUNTIFS(RATEIOS!$A$2:$A$3142,$A2300,RATEIOS!$D$2:$D$3142,"&lt;&gt;")&gt;0,"NÃO CLASSIFICADO","RATEIO OK"))))</f>
        <v/>
      </c>
      <c r="R2300" s="49"/>
      <c r="S2300" s="14"/>
    </row>
    <row r="2301" spans="1:19" ht="30" customHeight="1" x14ac:dyDescent="0.25">
      <c r="A2301" s="49" t="str">
        <f>IF(C2301="","","BAN-02300")</f>
        <v/>
      </c>
      <c r="B2301" s="98" t="str">
        <f>IF(C2301="","",2300)</f>
        <v/>
      </c>
      <c r="C2301" s="50"/>
      <c r="D2301" s="49" t="str">
        <f t="shared" si="71"/>
        <v/>
      </c>
      <c r="E2301" s="92"/>
      <c r="F2301" s="49"/>
      <c r="G2301" s="14"/>
      <c r="H2301" s="14"/>
      <c r="I2301" s="76"/>
      <c r="J2301" s="73"/>
      <c r="K2301" s="74"/>
      <c r="L2301" s="72"/>
      <c r="M2301" s="72"/>
      <c r="N2301" s="72" t="str">
        <f>IF(AND(C2301="",J2301=0,K2301=0,L2301=0,M2301=0),"",CADASTROS!$B$4+SUM($J$2:J2301)+SUM($M$2:M2301)-SUM($K$2:K2301)-SUM($L$2:L2301))</f>
        <v/>
      </c>
      <c r="O2301" s="72" t="str">
        <f>IF(A2301="","",SUMIF(RATEIOS!$A$2:$A$3142,$A2301,RATEIOS!$F$2:$F$3142))</f>
        <v/>
      </c>
      <c r="P2301" s="15" t="str">
        <f t="shared" si="72"/>
        <v/>
      </c>
      <c r="Q2301" s="49" t="str">
        <f>IF(AND(J2301=0,K2301=0,L2301=0,M2301=0),"",IF(O2301=0,"PENDENTE DE RATEIO",IF(ABS(P2301)&gt;0.005,"DIVERGÊNCIA",IF(COUNTIF(RATEIOS!$A$2:$A$3142,$A2301)-COUNTIFS(RATEIOS!$A$2:$A$3142,$A2301,RATEIOS!$D$2:$D$3142,"&lt;&gt;")&gt;0,"NÃO CLASSIFICADO","RATEIO OK"))))</f>
        <v/>
      </c>
      <c r="R2301" s="49"/>
      <c r="S2301" s="14"/>
    </row>
    <row r="2302" spans="1:19" ht="30" customHeight="1" x14ac:dyDescent="0.25">
      <c r="A2302" s="49" t="str">
        <f>IF(C2302="","","BAN-02301")</f>
        <v/>
      </c>
      <c r="B2302" s="98" t="str">
        <f>IF(C2302="","",2301)</f>
        <v/>
      </c>
      <c r="C2302" s="50"/>
      <c r="D2302" s="49" t="str">
        <f t="shared" si="71"/>
        <v/>
      </c>
      <c r="E2302" s="92"/>
      <c r="F2302" s="49"/>
      <c r="G2302" s="14"/>
      <c r="H2302" s="14"/>
      <c r="I2302" s="76"/>
      <c r="J2302" s="73"/>
      <c r="K2302" s="74"/>
      <c r="L2302" s="72"/>
      <c r="M2302" s="72"/>
      <c r="N2302" s="72" t="str">
        <f>IF(AND(C2302="",J2302=0,K2302=0,L2302=0,M2302=0),"",CADASTROS!$B$4+SUM($J$2:J2302)+SUM($M$2:M2302)-SUM($K$2:K2302)-SUM($L$2:L2302))</f>
        <v/>
      </c>
      <c r="O2302" s="72" t="str">
        <f>IF(A2302="","",SUMIF(RATEIOS!$A$2:$A$3142,$A2302,RATEIOS!$F$2:$F$3142))</f>
        <v/>
      </c>
      <c r="P2302" s="15" t="str">
        <f t="shared" si="72"/>
        <v/>
      </c>
      <c r="Q2302" s="49" t="str">
        <f>IF(AND(J2302=0,K2302=0,L2302=0,M2302=0),"",IF(O2302=0,"PENDENTE DE RATEIO",IF(ABS(P2302)&gt;0.005,"DIVERGÊNCIA",IF(COUNTIF(RATEIOS!$A$2:$A$3142,$A2302)-COUNTIFS(RATEIOS!$A$2:$A$3142,$A2302,RATEIOS!$D$2:$D$3142,"&lt;&gt;")&gt;0,"NÃO CLASSIFICADO","RATEIO OK"))))</f>
        <v/>
      </c>
      <c r="R2302" s="49"/>
      <c r="S2302" s="14"/>
    </row>
    <row r="2303" spans="1:19" ht="30" customHeight="1" x14ac:dyDescent="0.25">
      <c r="A2303" s="49" t="str">
        <f>IF(C2303="","","BAN-02302")</f>
        <v/>
      </c>
      <c r="B2303" s="98" t="str">
        <f>IF(C2303="","",2302)</f>
        <v/>
      </c>
      <c r="C2303" s="50"/>
      <c r="D2303" s="49" t="str">
        <f t="shared" si="71"/>
        <v/>
      </c>
      <c r="E2303" s="92"/>
      <c r="F2303" s="49"/>
      <c r="G2303" s="14"/>
      <c r="H2303" s="14"/>
      <c r="I2303" s="76"/>
      <c r="J2303" s="73"/>
      <c r="K2303" s="74"/>
      <c r="L2303" s="72"/>
      <c r="M2303" s="72"/>
      <c r="N2303" s="72" t="str">
        <f>IF(AND(C2303="",J2303=0,K2303=0,L2303=0,M2303=0),"",CADASTROS!$B$4+SUM($J$2:J2303)+SUM($M$2:M2303)-SUM($K$2:K2303)-SUM($L$2:L2303))</f>
        <v/>
      </c>
      <c r="O2303" s="72" t="str">
        <f>IF(A2303="","",SUMIF(RATEIOS!$A$2:$A$3142,$A2303,RATEIOS!$F$2:$F$3142))</f>
        <v/>
      </c>
      <c r="P2303" s="15" t="str">
        <f t="shared" si="72"/>
        <v/>
      </c>
      <c r="Q2303" s="49" t="str">
        <f>IF(AND(J2303=0,K2303=0,L2303=0,M2303=0),"",IF(O2303=0,"PENDENTE DE RATEIO",IF(ABS(P2303)&gt;0.005,"DIVERGÊNCIA",IF(COUNTIF(RATEIOS!$A$2:$A$3142,$A2303)-COUNTIFS(RATEIOS!$A$2:$A$3142,$A2303,RATEIOS!$D$2:$D$3142,"&lt;&gt;")&gt;0,"NÃO CLASSIFICADO","RATEIO OK"))))</f>
        <v/>
      </c>
      <c r="R2303" s="49"/>
      <c r="S2303" s="14"/>
    </row>
    <row r="2304" spans="1:19" ht="30" customHeight="1" x14ac:dyDescent="0.25">
      <c r="A2304" s="49" t="str">
        <f>IF(C2304="","","BAN-02303")</f>
        <v/>
      </c>
      <c r="B2304" s="98" t="str">
        <f>IF(C2304="","",2303)</f>
        <v/>
      </c>
      <c r="C2304" s="50"/>
      <c r="D2304" s="49" t="str">
        <f t="shared" si="71"/>
        <v/>
      </c>
      <c r="E2304" s="92"/>
      <c r="F2304" s="49"/>
      <c r="G2304" s="14"/>
      <c r="H2304" s="14"/>
      <c r="I2304" s="76"/>
      <c r="J2304" s="73"/>
      <c r="K2304" s="74"/>
      <c r="L2304" s="72"/>
      <c r="M2304" s="72"/>
      <c r="N2304" s="72" t="str">
        <f>IF(AND(C2304="",J2304=0,K2304=0,L2304=0,M2304=0),"",CADASTROS!$B$4+SUM($J$2:J2304)+SUM($M$2:M2304)-SUM($K$2:K2304)-SUM($L$2:L2304))</f>
        <v/>
      </c>
      <c r="O2304" s="72" t="str">
        <f>IF(A2304="","",SUMIF(RATEIOS!$A$2:$A$3142,$A2304,RATEIOS!$F$2:$F$3142))</f>
        <v/>
      </c>
      <c r="P2304" s="15" t="str">
        <f t="shared" si="72"/>
        <v/>
      </c>
      <c r="Q2304" s="49" t="str">
        <f>IF(AND(J2304=0,K2304=0,L2304=0,M2304=0),"",IF(O2304=0,"PENDENTE DE RATEIO",IF(ABS(P2304)&gt;0.005,"DIVERGÊNCIA",IF(COUNTIF(RATEIOS!$A$2:$A$3142,$A2304)-COUNTIFS(RATEIOS!$A$2:$A$3142,$A2304,RATEIOS!$D$2:$D$3142,"&lt;&gt;")&gt;0,"NÃO CLASSIFICADO","RATEIO OK"))))</f>
        <v/>
      </c>
      <c r="R2304" s="49"/>
      <c r="S2304" s="14"/>
    </row>
    <row r="2305" spans="1:19" ht="30" customHeight="1" x14ac:dyDescent="0.25">
      <c r="A2305" s="49" t="str">
        <f>IF(C2305="","","BAN-02304")</f>
        <v/>
      </c>
      <c r="B2305" s="98" t="str">
        <f>IF(C2305="","",2304)</f>
        <v/>
      </c>
      <c r="C2305" s="50"/>
      <c r="D2305" s="49" t="str">
        <f t="shared" si="71"/>
        <v/>
      </c>
      <c r="E2305" s="92"/>
      <c r="F2305" s="49"/>
      <c r="G2305" s="14"/>
      <c r="H2305" s="14"/>
      <c r="I2305" s="76"/>
      <c r="J2305" s="73"/>
      <c r="K2305" s="74"/>
      <c r="L2305" s="72"/>
      <c r="M2305" s="72"/>
      <c r="N2305" s="72" t="str">
        <f>IF(AND(C2305="",J2305=0,K2305=0,L2305=0,M2305=0),"",CADASTROS!$B$4+SUM($J$2:J2305)+SUM($M$2:M2305)-SUM($K$2:K2305)-SUM($L$2:L2305))</f>
        <v/>
      </c>
      <c r="O2305" s="72" t="str">
        <f>IF(A2305="","",SUMIF(RATEIOS!$A$2:$A$3142,$A2305,RATEIOS!$F$2:$F$3142))</f>
        <v/>
      </c>
      <c r="P2305" s="15" t="str">
        <f t="shared" si="72"/>
        <v/>
      </c>
      <c r="Q2305" s="49" t="str">
        <f>IF(AND(J2305=0,K2305=0,L2305=0,M2305=0),"",IF(O2305=0,"PENDENTE DE RATEIO",IF(ABS(P2305)&gt;0.005,"DIVERGÊNCIA",IF(COUNTIF(RATEIOS!$A$2:$A$3142,$A2305)-COUNTIFS(RATEIOS!$A$2:$A$3142,$A2305,RATEIOS!$D$2:$D$3142,"&lt;&gt;")&gt;0,"NÃO CLASSIFICADO","RATEIO OK"))))</f>
        <v/>
      </c>
      <c r="R2305" s="49"/>
      <c r="S2305" s="14"/>
    </row>
    <row r="2306" spans="1:19" ht="30" customHeight="1" x14ac:dyDescent="0.25">
      <c r="A2306" s="49" t="str">
        <f>IF(C2306="","","BAN-02305")</f>
        <v/>
      </c>
      <c r="B2306" s="98" t="str">
        <f>IF(C2306="","",2305)</f>
        <v/>
      </c>
      <c r="C2306" s="50"/>
      <c r="D2306" s="49" t="str">
        <f t="shared" ref="D2306:D2369" si="73">IF(C2306="","",MONTH(C2306))</f>
        <v/>
      </c>
      <c r="E2306" s="92"/>
      <c r="F2306" s="49"/>
      <c r="G2306" s="14"/>
      <c r="H2306" s="14"/>
      <c r="I2306" s="76"/>
      <c r="J2306" s="73"/>
      <c r="K2306" s="74"/>
      <c r="L2306" s="72"/>
      <c r="M2306" s="72"/>
      <c r="N2306" s="72" t="str">
        <f>IF(AND(C2306="",J2306=0,K2306=0,L2306=0,M2306=0),"",CADASTROS!$B$4+SUM($J$2:J2306)+SUM($M$2:M2306)-SUM($K$2:K2306)-SUM($L$2:L2306))</f>
        <v/>
      </c>
      <c r="O2306" s="72" t="str">
        <f>IF(A2306="","",SUMIF(RATEIOS!$A$2:$A$3142,$A2306,RATEIOS!$F$2:$F$3142))</f>
        <v/>
      </c>
      <c r="P2306" s="15" t="str">
        <f t="shared" ref="P2306:P2369" si="74">IF(A2306="","",(J2306+K2306+L2306+M2306)-O2306)</f>
        <v/>
      </c>
      <c r="Q2306" s="49" t="str">
        <f>IF(AND(J2306=0,K2306=0,L2306=0,M2306=0),"",IF(O2306=0,"PENDENTE DE RATEIO",IF(ABS(P2306)&gt;0.005,"DIVERGÊNCIA",IF(COUNTIF(RATEIOS!$A$2:$A$3142,$A2306)-COUNTIFS(RATEIOS!$A$2:$A$3142,$A2306,RATEIOS!$D$2:$D$3142,"&lt;&gt;")&gt;0,"NÃO CLASSIFICADO","RATEIO OK"))))</f>
        <v/>
      </c>
      <c r="R2306" s="49"/>
      <c r="S2306" s="14"/>
    </row>
    <row r="2307" spans="1:19" ht="30" customHeight="1" x14ac:dyDescent="0.25">
      <c r="A2307" s="49" t="str">
        <f>IF(C2307="","","BAN-02306")</f>
        <v/>
      </c>
      <c r="B2307" s="98" t="str">
        <f>IF(C2307="","",2306)</f>
        <v/>
      </c>
      <c r="C2307" s="50"/>
      <c r="D2307" s="49" t="str">
        <f t="shared" si="73"/>
        <v/>
      </c>
      <c r="E2307" s="92"/>
      <c r="F2307" s="49"/>
      <c r="G2307" s="14"/>
      <c r="H2307" s="14"/>
      <c r="I2307" s="76"/>
      <c r="J2307" s="73"/>
      <c r="K2307" s="74"/>
      <c r="L2307" s="72"/>
      <c r="M2307" s="72"/>
      <c r="N2307" s="72" t="str">
        <f>IF(AND(C2307="",J2307=0,K2307=0,L2307=0,M2307=0),"",CADASTROS!$B$4+SUM($J$2:J2307)+SUM($M$2:M2307)-SUM($K$2:K2307)-SUM($L$2:L2307))</f>
        <v/>
      </c>
      <c r="O2307" s="72" t="str">
        <f>IF(A2307="","",SUMIF(RATEIOS!$A$2:$A$3142,$A2307,RATEIOS!$F$2:$F$3142))</f>
        <v/>
      </c>
      <c r="P2307" s="15" t="str">
        <f t="shared" si="74"/>
        <v/>
      </c>
      <c r="Q2307" s="49" t="str">
        <f>IF(AND(J2307=0,K2307=0,L2307=0,M2307=0),"",IF(O2307=0,"PENDENTE DE RATEIO",IF(ABS(P2307)&gt;0.005,"DIVERGÊNCIA",IF(COUNTIF(RATEIOS!$A$2:$A$3142,$A2307)-COUNTIFS(RATEIOS!$A$2:$A$3142,$A2307,RATEIOS!$D$2:$D$3142,"&lt;&gt;")&gt;0,"NÃO CLASSIFICADO","RATEIO OK"))))</f>
        <v/>
      </c>
      <c r="R2307" s="49"/>
      <c r="S2307" s="14"/>
    </row>
    <row r="2308" spans="1:19" ht="30" customHeight="1" x14ac:dyDescent="0.25">
      <c r="A2308" s="49" t="str">
        <f>IF(C2308="","","BAN-02307")</f>
        <v/>
      </c>
      <c r="B2308" s="98" t="str">
        <f>IF(C2308="","",2307)</f>
        <v/>
      </c>
      <c r="C2308" s="50"/>
      <c r="D2308" s="49" t="str">
        <f t="shared" si="73"/>
        <v/>
      </c>
      <c r="E2308" s="92"/>
      <c r="F2308" s="49"/>
      <c r="G2308" s="14"/>
      <c r="H2308" s="14"/>
      <c r="I2308" s="76"/>
      <c r="J2308" s="73"/>
      <c r="K2308" s="74"/>
      <c r="L2308" s="72"/>
      <c r="M2308" s="72"/>
      <c r="N2308" s="72" t="str">
        <f>IF(AND(C2308="",J2308=0,K2308=0,L2308=0,M2308=0),"",CADASTROS!$B$4+SUM($J$2:J2308)+SUM($M$2:M2308)-SUM($K$2:K2308)-SUM($L$2:L2308))</f>
        <v/>
      </c>
      <c r="O2308" s="72" t="str">
        <f>IF(A2308="","",SUMIF(RATEIOS!$A$2:$A$3142,$A2308,RATEIOS!$F$2:$F$3142))</f>
        <v/>
      </c>
      <c r="P2308" s="15" t="str">
        <f t="shared" si="74"/>
        <v/>
      </c>
      <c r="Q2308" s="49" t="str">
        <f>IF(AND(J2308=0,K2308=0,L2308=0,M2308=0),"",IF(O2308=0,"PENDENTE DE RATEIO",IF(ABS(P2308)&gt;0.005,"DIVERGÊNCIA",IF(COUNTIF(RATEIOS!$A$2:$A$3142,$A2308)-COUNTIFS(RATEIOS!$A$2:$A$3142,$A2308,RATEIOS!$D$2:$D$3142,"&lt;&gt;")&gt;0,"NÃO CLASSIFICADO","RATEIO OK"))))</f>
        <v/>
      </c>
      <c r="R2308" s="49"/>
      <c r="S2308" s="14"/>
    </row>
    <row r="2309" spans="1:19" ht="30" customHeight="1" x14ac:dyDescent="0.25">
      <c r="A2309" s="49" t="str">
        <f>IF(C2309="","","BAN-02308")</f>
        <v/>
      </c>
      <c r="B2309" s="98" t="str">
        <f>IF(C2309="","",2308)</f>
        <v/>
      </c>
      <c r="C2309" s="50"/>
      <c r="D2309" s="49" t="str">
        <f t="shared" si="73"/>
        <v/>
      </c>
      <c r="E2309" s="92"/>
      <c r="F2309" s="49"/>
      <c r="G2309" s="14"/>
      <c r="H2309" s="14"/>
      <c r="I2309" s="76"/>
      <c r="J2309" s="73"/>
      <c r="K2309" s="74"/>
      <c r="L2309" s="72"/>
      <c r="M2309" s="72"/>
      <c r="N2309" s="72" t="str">
        <f>IF(AND(C2309="",J2309=0,K2309=0,L2309=0,M2309=0),"",CADASTROS!$B$4+SUM($J$2:J2309)+SUM($M$2:M2309)-SUM($K$2:K2309)-SUM($L$2:L2309))</f>
        <v/>
      </c>
      <c r="O2309" s="72" t="str">
        <f>IF(A2309="","",SUMIF(RATEIOS!$A$2:$A$3142,$A2309,RATEIOS!$F$2:$F$3142))</f>
        <v/>
      </c>
      <c r="P2309" s="15" t="str">
        <f t="shared" si="74"/>
        <v/>
      </c>
      <c r="Q2309" s="49" t="str">
        <f>IF(AND(J2309=0,K2309=0,L2309=0,M2309=0),"",IF(O2309=0,"PENDENTE DE RATEIO",IF(ABS(P2309)&gt;0.005,"DIVERGÊNCIA",IF(COUNTIF(RATEIOS!$A$2:$A$3142,$A2309)-COUNTIFS(RATEIOS!$A$2:$A$3142,$A2309,RATEIOS!$D$2:$D$3142,"&lt;&gt;")&gt;0,"NÃO CLASSIFICADO","RATEIO OK"))))</f>
        <v/>
      </c>
      <c r="R2309" s="49"/>
      <c r="S2309" s="14"/>
    </row>
    <row r="2310" spans="1:19" ht="30" customHeight="1" x14ac:dyDescent="0.25">
      <c r="A2310" s="49" t="str">
        <f>IF(C2310="","","BAN-02309")</f>
        <v/>
      </c>
      <c r="B2310" s="98" t="str">
        <f>IF(C2310="","",2309)</f>
        <v/>
      </c>
      <c r="C2310" s="50"/>
      <c r="D2310" s="49" t="str">
        <f t="shared" si="73"/>
        <v/>
      </c>
      <c r="E2310" s="92"/>
      <c r="F2310" s="49"/>
      <c r="G2310" s="14"/>
      <c r="H2310" s="14"/>
      <c r="I2310" s="76"/>
      <c r="J2310" s="73"/>
      <c r="K2310" s="74"/>
      <c r="L2310" s="72"/>
      <c r="M2310" s="72"/>
      <c r="N2310" s="72" t="str">
        <f>IF(AND(C2310="",J2310=0,K2310=0,L2310=0,M2310=0),"",CADASTROS!$B$4+SUM($J$2:J2310)+SUM($M$2:M2310)-SUM($K$2:K2310)-SUM($L$2:L2310))</f>
        <v/>
      </c>
      <c r="O2310" s="72" t="str">
        <f>IF(A2310="","",SUMIF(RATEIOS!$A$2:$A$3142,$A2310,RATEIOS!$F$2:$F$3142))</f>
        <v/>
      </c>
      <c r="P2310" s="15" t="str">
        <f t="shared" si="74"/>
        <v/>
      </c>
      <c r="Q2310" s="49" t="str">
        <f>IF(AND(J2310=0,K2310=0,L2310=0,M2310=0),"",IF(O2310=0,"PENDENTE DE RATEIO",IF(ABS(P2310)&gt;0.005,"DIVERGÊNCIA",IF(COUNTIF(RATEIOS!$A$2:$A$3142,$A2310)-COUNTIFS(RATEIOS!$A$2:$A$3142,$A2310,RATEIOS!$D$2:$D$3142,"&lt;&gt;")&gt;0,"NÃO CLASSIFICADO","RATEIO OK"))))</f>
        <v/>
      </c>
      <c r="R2310" s="49"/>
      <c r="S2310" s="14"/>
    </row>
    <row r="2311" spans="1:19" ht="30" customHeight="1" x14ac:dyDescent="0.25">
      <c r="A2311" s="49" t="str">
        <f>IF(C2311="","","BAN-02310")</f>
        <v/>
      </c>
      <c r="B2311" s="98" t="str">
        <f>IF(C2311="","",2310)</f>
        <v/>
      </c>
      <c r="C2311" s="50"/>
      <c r="D2311" s="49" t="str">
        <f t="shared" si="73"/>
        <v/>
      </c>
      <c r="E2311" s="92"/>
      <c r="F2311" s="49"/>
      <c r="G2311" s="14"/>
      <c r="H2311" s="14"/>
      <c r="I2311" s="76"/>
      <c r="J2311" s="73"/>
      <c r="K2311" s="74"/>
      <c r="L2311" s="72"/>
      <c r="M2311" s="72"/>
      <c r="N2311" s="72" t="str">
        <f>IF(AND(C2311="",J2311=0,K2311=0,L2311=0,M2311=0),"",CADASTROS!$B$4+SUM($J$2:J2311)+SUM($M$2:M2311)-SUM($K$2:K2311)-SUM($L$2:L2311))</f>
        <v/>
      </c>
      <c r="O2311" s="72" t="str">
        <f>IF(A2311="","",SUMIF(RATEIOS!$A$2:$A$3142,$A2311,RATEIOS!$F$2:$F$3142))</f>
        <v/>
      </c>
      <c r="P2311" s="15" t="str">
        <f t="shared" si="74"/>
        <v/>
      </c>
      <c r="Q2311" s="49" t="str">
        <f>IF(AND(J2311=0,K2311=0,L2311=0,M2311=0),"",IF(O2311=0,"PENDENTE DE RATEIO",IF(ABS(P2311)&gt;0.005,"DIVERGÊNCIA",IF(COUNTIF(RATEIOS!$A$2:$A$3142,$A2311)-COUNTIFS(RATEIOS!$A$2:$A$3142,$A2311,RATEIOS!$D$2:$D$3142,"&lt;&gt;")&gt;0,"NÃO CLASSIFICADO","RATEIO OK"))))</f>
        <v/>
      </c>
      <c r="R2311" s="49"/>
      <c r="S2311" s="14"/>
    </row>
    <row r="2312" spans="1:19" ht="30" customHeight="1" x14ac:dyDescent="0.25">
      <c r="A2312" s="49" t="str">
        <f>IF(C2312="","","BAN-02311")</f>
        <v/>
      </c>
      <c r="B2312" s="98" t="str">
        <f>IF(C2312="","",2311)</f>
        <v/>
      </c>
      <c r="C2312" s="50"/>
      <c r="D2312" s="49" t="str">
        <f t="shared" si="73"/>
        <v/>
      </c>
      <c r="E2312" s="92"/>
      <c r="F2312" s="49"/>
      <c r="G2312" s="14"/>
      <c r="H2312" s="14"/>
      <c r="I2312" s="76"/>
      <c r="J2312" s="73"/>
      <c r="K2312" s="74"/>
      <c r="L2312" s="72"/>
      <c r="M2312" s="72"/>
      <c r="N2312" s="72" t="str">
        <f>IF(AND(C2312="",J2312=0,K2312=0,L2312=0,M2312=0),"",CADASTROS!$B$4+SUM($J$2:J2312)+SUM($M$2:M2312)-SUM($K$2:K2312)-SUM($L$2:L2312))</f>
        <v/>
      </c>
      <c r="O2312" s="72" t="str">
        <f>IF(A2312="","",SUMIF(RATEIOS!$A$2:$A$3142,$A2312,RATEIOS!$F$2:$F$3142))</f>
        <v/>
      </c>
      <c r="P2312" s="15" t="str">
        <f t="shared" si="74"/>
        <v/>
      </c>
      <c r="Q2312" s="49" t="str">
        <f>IF(AND(J2312=0,K2312=0,L2312=0,M2312=0),"",IF(O2312=0,"PENDENTE DE RATEIO",IF(ABS(P2312)&gt;0.005,"DIVERGÊNCIA",IF(COUNTIF(RATEIOS!$A$2:$A$3142,$A2312)-COUNTIFS(RATEIOS!$A$2:$A$3142,$A2312,RATEIOS!$D$2:$D$3142,"&lt;&gt;")&gt;0,"NÃO CLASSIFICADO","RATEIO OK"))))</f>
        <v/>
      </c>
      <c r="R2312" s="49"/>
      <c r="S2312" s="14"/>
    </row>
    <row r="2313" spans="1:19" ht="30" customHeight="1" x14ac:dyDescent="0.25">
      <c r="A2313" s="49" t="str">
        <f>IF(C2313="","","BAN-02312")</f>
        <v/>
      </c>
      <c r="B2313" s="98" t="str">
        <f>IF(C2313="","",2312)</f>
        <v/>
      </c>
      <c r="C2313" s="50"/>
      <c r="D2313" s="49" t="str">
        <f t="shared" si="73"/>
        <v/>
      </c>
      <c r="E2313" s="92"/>
      <c r="F2313" s="49"/>
      <c r="G2313" s="14"/>
      <c r="H2313" s="14"/>
      <c r="I2313" s="76"/>
      <c r="J2313" s="73"/>
      <c r="K2313" s="74"/>
      <c r="L2313" s="72"/>
      <c r="M2313" s="72"/>
      <c r="N2313" s="72" t="str">
        <f>IF(AND(C2313="",J2313=0,K2313=0,L2313=0,M2313=0),"",CADASTROS!$B$4+SUM($J$2:J2313)+SUM($M$2:M2313)-SUM($K$2:K2313)-SUM($L$2:L2313))</f>
        <v/>
      </c>
      <c r="O2313" s="72" t="str">
        <f>IF(A2313="","",SUMIF(RATEIOS!$A$2:$A$3142,$A2313,RATEIOS!$F$2:$F$3142))</f>
        <v/>
      </c>
      <c r="P2313" s="15" t="str">
        <f t="shared" si="74"/>
        <v/>
      </c>
      <c r="Q2313" s="49" t="str">
        <f>IF(AND(J2313=0,K2313=0,L2313=0,M2313=0),"",IF(O2313=0,"PENDENTE DE RATEIO",IF(ABS(P2313)&gt;0.005,"DIVERGÊNCIA",IF(COUNTIF(RATEIOS!$A$2:$A$3142,$A2313)-COUNTIFS(RATEIOS!$A$2:$A$3142,$A2313,RATEIOS!$D$2:$D$3142,"&lt;&gt;")&gt;0,"NÃO CLASSIFICADO","RATEIO OK"))))</f>
        <v/>
      </c>
      <c r="R2313" s="49"/>
      <c r="S2313" s="14"/>
    </row>
    <row r="2314" spans="1:19" ht="30" customHeight="1" x14ac:dyDescent="0.25">
      <c r="A2314" s="49" t="str">
        <f>IF(C2314="","","BAN-02313")</f>
        <v/>
      </c>
      <c r="B2314" s="98" t="str">
        <f>IF(C2314="","",2313)</f>
        <v/>
      </c>
      <c r="C2314" s="50"/>
      <c r="D2314" s="49" t="str">
        <f t="shared" si="73"/>
        <v/>
      </c>
      <c r="E2314" s="92"/>
      <c r="F2314" s="49"/>
      <c r="G2314" s="14"/>
      <c r="H2314" s="14"/>
      <c r="I2314" s="76"/>
      <c r="J2314" s="73"/>
      <c r="K2314" s="74"/>
      <c r="L2314" s="72"/>
      <c r="M2314" s="72"/>
      <c r="N2314" s="72" t="str">
        <f>IF(AND(C2314="",J2314=0,K2314=0,L2314=0,M2314=0),"",CADASTROS!$B$4+SUM($J$2:J2314)+SUM($M$2:M2314)-SUM($K$2:K2314)-SUM($L$2:L2314))</f>
        <v/>
      </c>
      <c r="O2314" s="72" t="str">
        <f>IF(A2314="","",SUMIF(RATEIOS!$A$2:$A$3142,$A2314,RATEIOS!$F$2:$F$3142))</f>
        <v/>
      </c>
      <c r="P2314" s="15" t="str">
        <f t="shared" si="74"/>
        <v/>
      </c>
      <c r="Q2314" s="49" t="str">
        <f>IF(AND(J2314=0,K2314=0,L2314=0,M2314=0),"",IF(O2314=0,"PENDENTE DE RATEIO",IF(ABS(P2314)&gt;0.005,"DIVERGÊNCIA",IF(COUNTIF(RATEIOS!$A$2:$A$3142,$A2314)-COUNTIFS(RATEIOS!$A$2:$A$3142,$A2314,RATEIOS!$D$2:$D$3142,"&lt;&gt;")&gt;0,"NÃO CLASSIFICADO","RATEIO OK"))))</f>
        <v/>
      </c>
      <c r="R2314" s="49"/>
      <c r="S2314" s="14"/>
    </row>
    <row r="2315" spans="1:19" ht="30" customHeight="1" x14ac:dyDescent="0.25">
      <c r="A2315" s="49" t="str">
        <f>IF(C2315="","","BAN-02314")</f>
        <v/>
      </c>
      <c r="B2315" s="98" t="str">
        <f>IF(C2315="","",2314)</f>
        <v/>
      </c>
      <c r="C2315" s="50"/>
      <c r="D2315" s="49" t="str">
        <f t="shared" si="73"/>
        <v/>
      </c>
      <c r="E2315" s="92"/>
      <c r="F2315" s="49"/>
      <c r="G2315" s="14"/>
      <c r="H2315" s="14"/>
      <c r="I2315" s="76"/>
      <c r="J2315" s="73"/>
      <c r="K2315" s="74"/>
      <c r="L2315" s="72"/>
      <c r="M2315" s="72"/>
      <c r="N2315" s="72" t="str">
        <f>IF(AND(C2315="",J2315=0,K2315=0,L2315=0,M2315=0),"",CADASTROS!$B$4+SUM($J$2:J2315)+SUM($M$2:M2315)-SUM($K$2:K2315)-SUM($L$2:L2315))</f>
        <v/>
      </c>
      <c r="O2315" s="72" t="str">
        <f>IF(A2315="","",SUMIF(RATEIOS!$A$2:$A$3142,$A2315,RATEIOS!$F$2:$F$3142))</f>
        <v/>
      </c>
      <c r="P2315" s="15" t="str">
        <f t="shared" si="74"/>
        <v/>
      </c>
      <c r="Q2315" s="49" t="str">
        <f>IF(AND(J2315=0,K2315=0,L2315=0,M2315=0),"",IF(O2315=0,"PENDENTE DE RATEIO",IF(ABS(P2315)&gt;0.005,"DIVERGÊNCIA",IF(COUNTIF(RATEIOS!$A$2:$A$3142,$A2315)-COUNTIFS(RATEIOS!$A$2:$A$3142,$A2315,RATEIOS!$D$2:$D$3142,"&lt;&gt;")&gt;0,"NÃO CLASSIFICADO","RATEIO OK"))))</f>
        <v/>
      </c>
      <c r="R2315" s="49"/>
      <c r="S2315" s="14"/>
    </row>
    <row r="2316" spans="1:19" ht="30" customHeight="1" x14ac:dyDescent="0.25">
      <c r="A2316" s="49" t="str">
        <f>IF(C2316="","","BAN-02315")</f>
        <v/>
      </c>
      <c r="B2316" s="98" t="str">
        <f>IF(C2316="","",2315)</f>
        <v/>
      </c>
      <c r="C2316" s="50"/>
      <c r="D2316" s="49" t="str">
        <f t="shared" si="73"/>
        <v/>
      </c>
      <c r="E2316" s="92"/>
      <c r="F2316" s="49"/>
      <c r="G2316" s="14"/>
      <c r="H2316" s="14"/>
      <c r="I2316" s="76"/>
      <c r="J2316" s="73"/>
      <c r="K2316" s="74"/>
      <c r="L2316" s="72"/>
      <c r="M2316" s="72"/>
      <c r="N2316" s="72" t="str">
        <f>IF(AND(C2316="",J2316=0,K2316=0,L2316=0,M2316=0),"",CADASTROS!$B$4+SUM($J$2:J2316)+SUM($M$2:M2316)-SUM($K$2:K2316)-SUM($L$2:L2316))</f>
        <v/>
      </c>
      <c r="O2316" s="72" t="str">
        <f>IF(A2316="","",SUMIF(RATEIOS!$A$2:$A$3142,$A2316,RATEIOS!$F$2:$F$3142))</f>
        <v/>
      </c>
      <c r="P2316" s="15" t="str">
        <f t="shared" si="74"/>
        <v/>
      </c>
      <c r="Q2316" s="49" t="str">
        <f>IF(AND(J2316=0,K2316=0,L2316=0,M2316=0),"",IF(O2316=0,"PENDENTE DE RATEIO",IF(ABS(P2316)&gt;0.005,"DIVERGÊNCIA",IF(COUNTIF(RATEIOS!$A$2:$A$3142,$A2316)-COUNTIFS(RATEIOS!$A$2:$A$3142,$A2316,RATEIOS!$D$2:$D$3142,"&lt;&gt;")&gt;0,"NÃO CLASSIFICADO","RATEIO OK"))))</f>
        <v/>
      </c>
      <c r="R2316" s="49"/>
      <c r="S2316" s="14"/>
    </row>
    <row r="2317" spans="1:19" ht="30" customHeight="1" x14ac:dyDescent="0.25">
      <c r="A2317" s="49" t="str">
        <f>IF(C2317="","","BAN-02316")</f>
        <v/>
      </c>
      <c r="B2317" s="98" t="str">
        <f>IF(C2317="","",2316)</f>
        <v/>
      </c>
      <c r="C2317" s="50"/>
      <c r="D2317" s="49" t="str">
        <f t="shared" si="73"/>
        <v/>
      </c>
      <c r="E2317" s="92"/>
      <c r="F2317" s="49"/>
      <c r="G2317" s="14"/>
      <c r="H2317" s="14"/>
      <c r="I2317" s="76"/>
      <c r="J2317" s="73"/>
      <c r="K2317" s="74"/>
      <c r="L2317" s="72"/>
      <c r="M2317" s="72"/>
      <c r="N2317" s="72" t="str">
        <f>IF(AND(C2317="",J2317=0,K2317=0,L2317=0,M2317=0),"",CADASTROS!$B$4+SUM($J$2:J2317)+SUM($M$2:M2317)-SUM($K$2:K2317)-SUM($L$2:L2317))</f>
        <v/>
      </c>
      <c r="O2317" s="72" t="str">
        <f>IF(A2317="","",SUMIF(RATEIOS!$A$2:$A$3142,$A2317,RATEIOS!$F$2:$F$3142))</f>
        <v/>
      </c>
      <c r="P2317" s="15" t="str">
        <f t="shared" si="74"/>
        <v/>
      </c>
      <c r="Q2317" s="49" t="str">
        <f>IF(AND(J2317=0,K2317=0,L2317=0,M2317=0),"",IF(O2317=0,"PENDENTE DE RATEIO",IF(ABS(P2317)&gt;0.005,"DIVERGÊNCIA",IF(COUNTIF(RATEIOS!$A$2:$A$3142,$A2317)-COUNTIFS(RATEIOS!$A$2:$A$3142,$A2317,RATEIOS!$D$2:$D$3142,"&lt;&gt;")&gt;0,"NÃO CLASSIFICADO","RATEIO OK"))))</f>
        <v/>
      </c>
      <c r="R2317" s="49"/>
      <c r="S2317" s="14"/>
    </row>
    <row r="2318" spans="1:19" ht="30" customHeight="1" x14ac:dyDescent="0.25">
      <c r="A2318" s="49" t="str">
        <f>IF(C2318="","","BAN-02317")</f>
        <v/>
      </c>
      <c r="B2318" s="98" t="str">
        <f>IF(C2318="","",2317)</f>
        <v/>
      </c>
      <c r="C2318" s="50"/>
      <c r="D2318" s="49" t="str">
        <f t="shared" si="73"/>
        <v/>
      </c>
      <c r="E2318" s="92"/>
      <c r="F2318" s="49"/>
      <c r="G2318" s="14"/>
      <c r="H2318" s="14"/>
      <c r="I2318" s="76"/>
      <c r="J2318" s="73"/>
      <c r="K2318" s="74"/>
      <c r="L2318" s="72"/>
      <c r="M2318" s="72"/>
      <c r="N2318" s="72" t="str">
        <f>IF(AND(C2318="",J2318=0,K2318=0,L2318=0,M2318=0),"",CADASTROS!$B$4+SUM($J$2:J2318)+SUM($M$2:M2318)-SUM($K$2:K2318)-SUM($L$2:L2318))</f>
        <v/>
      </c>
      <c r="O2318" s="72" t="str">
        <f>IF(A2318="","",SUMIF(RATEIOS!$A$2:$A$3142,$A2318,RATEIOS!$F$2:$F$3142))</f>
        <v/>
      </c>
      <c r="P2318" s="15" t="str">
        <f t="shared" si="74"/>
        <v/>
      </c>
      <c r="Q2318" s="49" t="str">
        <f>IF(AND(J2318=0,K2318=0,L2318=0,M2318=0),"",IF(O2318=0,"PENDENTE DE RATEIO",IF(ABS(P2318)&gt;0.005,"DIVERGÊNCIA",IF(COUNTIF(RATEIOS!$A$2:$A$3142,$A2318)-COUNTIFS(RATEIOS!$A$2:$A$3142,$A2318,RATEIOS!$D$2:$D$3142,"&lt;&gt;")&gt;0,"NÃO CLASSIFICADO","RATEIO OK"))))</f>
        <v/>
      </c>
      <c r="R2318" s="49"/>
      <c r="S2318" s="14"/>
    </row>
    <row r="2319" spans="1:19" ht="30" customHeight="1" x14ac:dyDescent="0.25">
      <c r="A2319" s="49" t="str">
        <f>IF(C2319="","","BAN-02318")</f>
        <v/>
      </c>
      <c r="B2319" s="98" t="str">
        <f>IF(C2319="","",2318)</f>
        <v/>
      </c>
      <c r="C2319" s="50"/>
      <c r="D2319" s="49" t="str">
        <f t="shared" si="73"/>
        <v/>
      </c>
      <c r="E2319" s="92"/>
      <c r="F2319" s="49"/>
      <c r="G2319" s="14"/>
      <c r="H2319" s="14"/>
      <c r="I2319" s="76"/>
      <c r="J2319" s="73"/>
      <c r="K2319" s="74"/>
      <c r="L2319" s="72"/>
      <c r="M2319" s="72"/>
      <c r="N2319" s="72" t="str">
        <f>IF(AND(C2319="",J2319=0,K2319=0,L2319=0,M2319=0),"",CADASTROS!$B$4+SUM($J$2:J2319)+SUM($M$2:M2319)-SUM($K$2:K2319)-SUM($L$2:L2319))</f>
        <v/>
      </c>
      <c r="O2319" s="72" t="str">
        <f>IF(A2319="","",SUMIF(RATEIOS!$A$2:$A$3142,$A2319,RATEIOS!$F$2:$F$3142))</f>
        <v/>
      </c>
      <c r="P2319" s="15" t="str">
        <f t="shared" si="74"/>
        <v/>
      </c>
      <c r="Q2319" s="49" t="str">
        <f>IF(AND(J2319=0,K2319=0,L2319=0,M2319=0),"",IF(O2319=0,"PENDENTE DE RATEIO",IF(ABS(P2319)&gt;0.005,"DIVERGÊNCIA",IF(COUNTIF(RATEIOS!$A$2:$A$3142,$A2319)-COUNTIFS(RATEIOS!$A$2:$A$3142,$A2319,RATEIOS!$D$2:$D$3142,"&lt;&gt;")&gt;0,"NÃO CLASSIFICADO","RATEIO OK"))))</f>
        <v/>
      </c>
      <c r="R2319" s="49"/>
      <c r="S2319" s="14"/>
    </row>
    <row r="2320" spans="1:19" ht="30" customHeight="1" x14ac:dyDescent="0.25">
      <c r="A2320" s="49" t="str">
        <f>IF(C2320="","","BAN-02319")</f>
        <v/>
      </c>
      <c r="B2320" s="98" t="str">
        <f>IF(C2320="","",2319)</f>
        <v/>
      </c>
      <c r="C2320" s="50"/>
      <c r="D2320" s="49" t="str">
        <f t="shared" si="73"/>
        <v/>
      </c>
      <c r="E2320" s="92"/>
      <c r="F2320" s="49"/>
      <c r="G2320" s="14"/>
      <c r="H2320" s="14"/>
      <c r="I2320" s="76"/>
      <c r="J2320" s="73"/>
      <c r="K2320" s="74"/>
      <c r="L2320" s="72"/>
      <c r="M2320" s="72"/>
      <c r="N2320" s="72" t="str">
        <f>IF(AND(C2320="",J2320=0,K2320=0,L2320=0,M2320=0),"",CADASTROS!$B$4+SUM($J$2:J2320)+SUM($M$2:M2320)-SUM($K$2:K2320)-SUM($L$2:L2320))</f>
        <v/>
      </c>
      <c r="O2320" s="72" t="str">
        <f>IF(A2320="","",SUMIF(RATEIOS!$A$2:$A$3142,$A2320,RATEIOS!$F$2:$F$3142))</f>
        <v/>
      </c>
      <c r="P2320" s="15" t="str">
        <f t="shared" si="74"/>
        <v/>
      </c>
      <c r="Q2320" s="49" t="str">
        <f>IF(AND(J2320=0,K2320=0,L2320=0,M2320=0),"",IF(O2320=0,"PENDENTE DE RATEIO",IF(ABS(P2320)&gt;0.005,"DIVERGÊNCIA",IF(COUNTIF(RATEIOS!$A$2:$A$3142,$A2320)-COUNTIFS(RATEIOS!$A$2:$A$3142,$A2320,RATEIOS!$D$2:$D$3142,"&lt;&gt;")&gt;0,"NÃO CLASSIFICADO","RATEIO OK"))))</f>
        <v/>
      </c>
      <c r="R2320" s="49"/>
      <c r="S2320" s="14"/>
    </row>
    <row r="2321" spans="1:19" ht="30" customHeight="1" x14ac:dyDescent="0.25">
      <c r="A2321" s="49" t="str">
        <f>IF(C2321="","","BAN-02320")</f>
        <v/>
      </c>
      <c r="B2321" s="98" t="str">
        <f>IF(C2321="","",2320)</f>
        <v/>
      </c>
      <c r="C2321" s="50"/>
      <c r="D2321" s="49" t="str">
        <f t="shared" si="73"/>
        <v/>
      </c>
      <c r="E2321" s="92"/>
      <c r="F2321" s="49"/>
      <c r="G2321" s="14"/>
      <c r="H2321" s="14"/>
      <c r="I2321" s="76"/>
      <c r="J2321" s="73"/>
      <c r="K2321" s="74"/>
      <c r="L2321" s="72"/>
      <c r="M2321" s="72"/>
      <c r="N2321" s="72" t="str">
        <f>IF(AND(C2321="",J2321=0,K2321=0,L2321=0,M2321=0),"",CADASTROS!$B$4+SUM($J$2:J2321)+SUM($M$2:M2321)-SUM($K$2:K2321)-SUM($L$2:L2321))</f>
        <v/>
      </c>
      <c r="O2321" s="72" t="str">
        <f>IF(A2321="","",SUMIF(RATEIOS!$A$2:$A$3142,$A2321,RATEIOS!$F$2:$F$3142))</f>
        <v/>
      </c>
      <c r="P2321" s="15" t="str">
        <f t="shared" si="74"/>
        <v/>
      </c>
      <c r="Q2321" s="49" t="str">
        <f>IF(AND(J2321=0,K2321=0,L2321=0,M2321=0),"",IF(O2321=0,"PENDENTE DE RATEIO",IF(ABS(P2321)&gt;0.005,"DIVERGÊNCIA",IF(COUNTIF(RATEIOS!$A$2:$A$3142,$A2321)-COUNTIFS(RATEIOS!$A$2:$A$3142,$A2321,RATEIOS!$D$2:$D$3142,"&lt;&gt;")&gt;0,"NÃO CLASSIFICADO","RATEIO OK"))))</f>
        <v/>
      </c>
      <c r="R2321" s="49"/>
      <c r="S2321" s="14"/>
    </row>
    <row r="2322" spans="1:19" ht="30" customHeight="1" x14ac:dyDescent="0.25">
      <c r="A2322" s="49" t="str">
        <f>IF(C2322="","","BAN-02321")</f>
        <v/>
      </c>
      <c r="B2322" s="98" t="str">
        <f>IF(C2322="","",2321)</f>
        <v/>
      </c>
      <c r="C2322" s="50"/>
      <c r="D2322" s="49" t="str">
        <f t="shared" si="73"/>
        <v/>
      </c>
      <c r="E2322" s="92"/>
      <c r="F2322" s="49"/>
      <c r="G2322" s="14"/>
      <c r="H2322" s="14"/>
      <c r="I2322" s="76"/>
      <c r="J2322" s="73"/>
      <c r="K2322" s="74"/>
      <c r="L2322" s="72"/>
      <c r="M2322" s="72"/>
      <c r="N2322" s="72" t="str">
        <f>IF(AND(C2322="",J2322=0,K2322=0,L2322=0,M2322=0),"",CADASTROS!$B$4+SUM($J$2:J2322)+SUM($M$2:M2322)-SUM($K$2:K2322)-SUM($L$2:L2322))</f>
        <v/>
      </c>
      <c r="O2322" s="72" t="str">
        <f>IF(A2322="","",SUMIF(RATEIOS!$A$2:$A$3142,$A2322,RATEIOS!$F$2:$F$3142))</f>
        <v/>
      </c>
      <c r="P2322" s="15" t="str">
        <f t="shared" si="74"/>
        <v/>
      </c>
      <c r="Q2322" s="49" t="str">
        <f>IF(AND(J2322=0,K2322=0,L2322=0,M2322=0),"",IF(O2322=0,"PENDENTE DE RATEIO",IF(ABS(P2322)&gt;0.005,"DIVERGÊNCIA",IF(COUNTIF(RATEIOS!$A$2:$A$3142,$A2322)-COUNTIFS(RATEIOS!$A$2:$A$3142,$A2322,RATEIOS!$D$2:$D$3142,"&lt;&gt;")&gt;0,"NÃO CLASSIFICADO","RATEIO OK"))))</f>
        <v/>
      </c>
      <c r="R2322" s="49"/>
      <c r="S2322" s="14"/>
    </row>
    <row r="2323" spans="1:19" ht="30" customHeight="1" x14ac:dyDescent="0.25">
      <c r="A2323" s="49" t="str">
        <f>IF(C2323="","","BAN-02322")</f>
        <v/>
      </c>
      <c r="B2323" s="98" t="str">
        <f>IF(C2323="","",2322)</f>
        <v/>
      </c>
      <c r="C2323" s="50"/>
      <c r="D2323" s="49" t="str">
        <f t="shared" si="73"/>
        <v/>
      </c>
      <c r="E2323" s="92"/>
      <c r="F2323" s="49"/>
      <c r="G2323" s="14"/>
      <c r="H2323" s="14"/>
      <c r="I2323" s="76"/>
      <c r="J2323" s="73"/>
      <c r="K2323" s="74"/>
      <c r="L2323" s="72"/>
      <c r="M2323" s="72"/>
      <c r="N2323" s="72" t="str">
        <f>IF(AND(C2323="",J2323=0,K2323=0,L2323=0,M2323=0),"",CADASTROS!$B$4+SUM($J$2:J2323)+SUM($M$2:M2323)-SUM($K$2:K2323)-SUM($L$2:L2323))</f>
        <v/>
      </c>
      <c r="O2323" s="72" t="str">
        <f>IF(A2323="","",SUMIF(RATEIOS!$A$2:$A$3142,$A2323,RATEIOS!$F$2:$F$3142))</f>
        <v/>
      </c>
      <c r="P2323" s="15" t="str">
        <f t="shared" si="74"/>
        <v/>
      </c>
      <c r="Q2323" s="49" t="str">
        <f>IF(AND(J2323=0,K2323=0,L2323=0,M2323=0),"",IF(O2323=0,"PENDENTE DE RATEIO",IF(ABS(P2323)&gt;0.005,"DIVERGÊNCIA",IF(COUNTIF(RATEIOS!$A$2:$A$3142,$A2323)-COUNTIFS(RATEIOS!$A$2:$A$3142,$A2323,RATEIOS!$D$2:$D$3142,"&lt;&gt;")&gt;0,"NÃO CLASSIFICADO","RATEIO OK"))))</f>
        <v/>
      </c>
      <c r="R2323" s="49"/>
      <c r="S2323" s="14"/>
    </row>
    <row r="2324" spans="1:19" ht="30" customHeight="1" x14ac:dyDescent="0.25">
      <c r="A2324" s="49" t="str">
        <f>IF(C2324="","","BAN-02323")</f>
        <v/>
      </c>
      <c r="B2324" s="98" t="str">
        <f>IF(C2324="","",2323)</f>
        <v/>
      </c>
      <c r="C2324" s="50"/>
      <c r="D2324" s="49" t="str">
        <f t="shared" si="73"/>
        <v/>
      </c>
      <c r="E2324" s="92"/>
      <c r="F2324" s="49"/>
      <c r="G2324" s="14"/>
      <c r="H2324" s="14"/>
      <c r="I2324" s="76"/>
      <c r="J2324" s="73"/>
      <c r="K2324" s="74"/>
      <c r="L2324" s="72"/>
      <c r="M2324" s="72"/>
      <c r="N2324" s="72" t="str">
        <f>IF(AND(C2324="",J2324=0,K2324=0,L2324=0,M2324=0),"",CADASTROS!$B$4+SUM($J$2:J2324)+SUM($M$2:M2324)-SUM($K$2:K2324)-SUM($L$2:L2324))</f>
        <v/>
      </c>
      <c r="O2324" s="72" t="str">
        <f>IF(A2324="","",SUMIF(RATEIOS!$A$2:$A$3142,$A2324,RATEIOS!$F$2:$F$3142))</f>
        <v/>
      </c>
      <c r="P2324" s="15" t="str">
        <f t="shared" si="74"/>
        <v/>
      </c>
      <c r="Q2324" s="49" t="str">
        <f>IF(AND(J2324=0,K2324=0,L2324=0,M2324=0),"",IF(O2324=0,"PENDENTE DE RATEIO",IF(ABS(P2324)&gt;0.005,"DIVERGÊNCIA",IF(COUNTIF(RATEIOS!$A$2:$A$3142,$A2324)-COUNTIFS(RATEIOS!$A$2:$A$3142,$A2324,RATEIOS!$D$2:$D$3142,"&lt;&gt;")&gt;0,"NÃO CLASSIFICADO","RATEIO OK"))))</f>
        <v/>
      </c>
      <c r="R2324" s="49"/>
      <c r="S2324" s="14"/>
    </row>
    <row r="2325" spans="1:19" ht="30" customHeight="1" x14ac:dyDescent="0.25">
      <c r="A2325" s="49" t="str">
        <f>IF(C2325="","","BAN-02324")</f>
        <v/>
      </c>
      <c r="B2325" s="98" t="str">
        <f>IF(C2325="","",2324)</f>
        <v/>
      </c>
      <c r="C2325" s="50"/>
      <c r="D2325" s="49" t="str">
        <f t="shared" si="73"/>
        <v/>
      </c>
      <c r="E2325" s="92"/>
      <c r="F2325" s="49"/>
      <c r="G2325" s="14"/>
      <c r="H2325" s="14"/>
      <c r="I2325" s="76"/>
      <c r="J2325" s="73"/>
      <c r="K2325" s="74"/>
      <c r="L2325" s="72"/>
      <c r="M2325" s="72"/>
      <c r="N2325" s="72" t="str">
        <f>IF(AND(C2325="",J2325=0,K2325=0,L2325=0,M2325=0),"",CADASTROS!$B$4+SUM($J$2:J2325)+SUM($M$2:M2325)-SUM($K$2:K2325)-SUM($L$2:L2325))</f>
        <v/>
      </c>
      <c r="O2325" s="72" t="str">
        <f>IF(A2325="","",SUMIF(RATEIOS!$A$2:$A$3142,$A2325,RATEIOS!$F$2:$F$3142))</f>
        <v/>
      </c>
      <c r="P2325" s="15" t="str">
        <f t="shared" si="74"/>
        <v/>
      </c>
      <c r="Q2325" s="49" t="str">
        <f>IF(AND(J2325=0,K2325=0,L2325=0,M2325=0),"",IF(O2325=0,"PENDENTE DE RATEIO",IF(ABS(P2325)&gt;0.005,"DIVERGÊNCIA",IF(COUNTIF(RATEIOS!$A$2:$A$3142,$A2325)-COUNTIFS(RATEIOS!$A$2:$A$3142,$A2325,RATEIOS!$D$2:$D$3142,"&lt;&gt;")&gt;0,"NÃO CLASSIFICADO","RATEIO OK"))))</f>
        <v/>
      </c>
      <c r="R2325" s="49"/>
      <c r="S2325" s="14"/>
    </row>
    <row r="2326" spans="1:19" ht="30" customHeight="1" x14ac:dyDescent="0.25">
      <c r="A2326" s="49" t="str">
        <f>IF(C2326="","","BAN-02325")</f>
        <v/>
      </c>
      <c r="B2326" s="98" t="str">
        <f>IF(C2326="","",2325)</f>
        <v/>
      </c>
      <c r="C2326" s="50"/>
      <c r="D2326" s="49" t="str">
        <f t="shared" si="73"/>
        <v/>
      </c>
      <c r="E2326" s="92"/>
      <c r="F2326" s="49"/>
      <c r="G2326" s="14"/>
      <c r="H2326" s="14"/>
      <c r="I2326" s="76"/>
      <c r="J2326" s="73"/>
      <c r="K2326" s="74"/>
      <c r="L2326" s="72"/>
      <c r="M2326" s="72"/>
      <c r="N2326" s="72" t="str">
        <f>IF(AND(C2326="",J2326=0,K2326=0,L2326=0,M2326=0),"",CADASTROS!$B$4+SUM($J$2:J2326)+SUM($M$2:M2326)-SUM($K$2:K2326)-SUM($L$2:L2326))</f>
        <v/>
      </c>
      <c r="O2326" s="72" t="str">
        <f>IF(A2326="","",SUMIF(RATEIOS!$A$2:$A$3142,$A2326,RATEIOS!$F$2:$F$3142))</f>
        <v/>
      </c>
      <c r="P2326" s="15" t="str">
        <f t="shared" si="74"/>
        <v/>
      </c>
      <c r="Q2326" s="49" t="str">
        <f>IF(AND(J2326=0,K2326=0,L2326=0,M2326=0),"",IF(O2326=0,"PENDENTE DE RATEIO",IF(ABS(P2326)&gt;0.005,"DIVERGÊNCIA",IF(COUNTIF(RATEIOS!$A$2:$A$3142,$A2326)-COUNTIFS(RATEIOS!$A$2:$A$3142,$A2326,RATEIOS!$D$2:$D$3142,"&lt;&gt;")&gt;0,"NÃO CLASSIFICADO","RATEIO OK"))))</f>
        <v/>
      </c>
      <c r="R2326" s="49"/>
      <c r="S2326" s="14"/>
    </row>
    <row r="2327" spans="1:19" ht="30" customHeight="1" x14ac:dyDescent="0.25">
      <c r="A2327" s="49" t="str">
        <f>IF(C2327="","","BAN-02326")</f>
        <v/>
      </c>
      <c r="B2327" s="98" t="str">
        <f>IF(C2327="","",2326)</f>
        <v/>
      </c>
      <c r="C2327" s="50"/>
      <c r="D2327" s="49" t="str">
        <f t="shared" si="73"/>
        <v/>
      </c>
      <c r="E2327" s="92"/>
      <c r="F2327" s="49"/>
      <c r="G2327" s="14"/>
      <c r="H2327" s="14"/>
      <c r="I2327" s="76"/>
      <c r="J2327" s="73"/>
      <c r="K2327" s="74"/>
      <c r="L2327" s="72"/>
      <c r="M2327" s="72"/>
      <c r="N2327" s="72" t="str">
        <f>IF(AND(C2327="",J2327=0,K2327=0,L2327=0,M2327=0),"",CADASTROS!$B$4+SUM($J$2:J2327)+SUM($M$2:M2327)-SUM($K$2:K2327)-SUM($L$2:L2327))</f>
        <v/>
      </c>
      <c r="O2327" s="72" t="str">
        <f>IF(A2327="","",SUMIF(RATEIOS!$A$2:$A$3142,$A2327,RATEIOS!$F$2:$F$3142))</f>
        <v/>
      </c>
      <c r="P2327" s="15" t="str">
        <f t="shared" si="74"/>
        <v/>
      </c>
      <c r="Q2327" s="49" t="str">
        <f>IF(AND(J2327=0,K2327=0,L2327=0,M2327=0),"",IF(O2327=0,"PENDENTE DE RATEIO",IF(ABS(P2327)&gt;0.005,"DIVERGÊNCIA",IF(COUNTIF(RATEIOS!$A$2:$A$3142,$A2327)-COUNTIFS(RATEIOS!$A$2:$A$3142,$A2327,RATEIOS!$D$2:$D$3142,"&lt;&gt;")&gt;0,"NÃO CLASSIFICADO","RATEIO OK"))))</f>
        <v/>
      </c>
      <c r="R2327" s="49"/>
      <c r="S2327" s="14"/>
    </row>
    <row r="2328" spans="1:19" ht="30" customHeight="1" x14ac:dyDescent="0.25">
      <c r="A2328" s="49" t="str">
        <f>IF(C2328="","","BAN-02327")</f>
        <v/>
      </c>
      <c r="B2328" s="98" t="str">
        <f>IF(C2328="","",2327)</f>
        <v/>
      </c>
      <c r="C2328" s="50"/>
      <c r="D2328" s="49" t="str">
        <f t="shared" si="73"/>
        <v/>
      </c>
      <c r="E2328" s="92"/>
      <c r="F2328" s="49"/>
      <c r="G2328" s="14"/>
      <c r="H2328" s="14"/>
      <c r="I2328" s="76"/>
      <c r="J2328" s="73"/>
      <c r="K2328" s="74"/>
      <c r="L2328" s="72"/>
      <c r="M2328" s="72"/>
      <c r="N2328" s="72" t="str">
        <f>IF(AND(C2328="",J2328=0,K2328=0,L2328=0,M2328=0),"",CADASTROS!$B$4+SUM($J$2:J2328)+SUM($M$2:M2328)-SUM($K$2:K2328)-SUM($L$2:L2328))</f>
        <v/>
      </c>
      <c r="O2328" s="72" t="str">
        <f>IF(A2328="","",SUMIF(RATEIOS!$A$2:$A$3142,$A2328,RATEIOS!$F$2:$F$3142))</f>
        <v/>
      </c>
      <c r="P2328" s="15" t="str">
        <f t="shared" si="74"/>
        <v/>
      </c>
      <c r="Q2328" s="49" t="str">
        <f>IF(AND(J2328=0,K2328=0,L2328=0,M2328=0),"",IF(O2328=0,"PENDENTE DE RATEIO",IF(ABS(P2328)&gt;0.005,"DIVERGÊNCIA",IF(COUNTIF(RATEIOS!$A$2:$A$3142,$A2328)-COUNTIFS(RATEIOS!$A$2:$A$3142,$A2328,RATEIOS!$D$2:$D$3142,"&lt;&gt;")&gt;0,"NÃO CLASSIFICADO","RATEIO OK"))))</f>
        <v/>
      </c>
      <c r="R2328" s="49"/>
      <c r="S2328" s="14"/>
    </row>
    <row r="2329" spans="1:19" ht="30" customHeight="1" x14ac:dyDescent="0.25">
      <c r="A2329" s="49" t="str">
        <f>IF(C2329="","","BAN-02328")</f>
        <v/>
      </c>
      <c r="B2329" s="98" t="str">
        <f>IF(C2329="","",2328)</f>
        <v/>
      </c>
      <c r="C2329" s="50"/>
      <c r="D2329" s="49" t="str">
        <f t="shared" si="73"/>
        <v/>
      </c>
      <c r="E2329" s="92"/>
      <c r="F2329" s="49"/>
      <c r="G2329" s="14"/>
      <c r="H2329" s="14"/>
      <c r="I2329" s="76"/>
      <c r="J2329" s="73"/>
      <c r="K2329" s="74"/>
      <c r="L2329" s="72"/>
      <c r="M2329" s="72"/>
      <c r="N2329" s="72" t="str">
        <f>IF(AND(C2329="",J2329=0,K2329=0,L2329=0,M2329=0),"",CADASTROS!$B$4+SUM($J$2:J2329)+SUM($M$2:M2329)-SUM($K$2:K2329)-SUM($L$2:L2329))</f>
        <v/>
      </c>
      <c r="O2329" s="72" t="str">
        <f>IF(A2329="","",SUMIF(RATEIOS!$A$2:$A$3142,$A2329,RATEIOS!$F$2:$F$3142))</f>
        <v/>
      </c>
      <c r="P2329" s="15" t="str">
        <f t="shared" si="74"/>
        <v/>
      </c>
      <c r="Q2329" s="49" t="str">
        <f>IF(AND(J2329=0,K2329=0,L2329=0,M2329=0),"",IF(O2329=0,"PENDENTE DE RATEIO",IF(ABS(P2329)&gt;0.005,"DIVERGÊNCIA",IF(COUNTIF(RATEIOS!$A$2:$A$3142,$A2329)-COUNTIFS(RATEIOS!$A$2:$A$3142,$A2329,RATEIOS!$D$2:$D$3142,"&lt;&gt;")&gt;0,"NÃO CLASSIFICADO","RATEIO OK"))))</f>
        <v/>
      </c>
      <c r="R2329" s="49"/>
      <c r="S2329" s="14"/>
    </row>
    <row r="2330" spans="1:19" ht="30" customHeight="1" x14ac:dyDescent="0.25">
      <c r="A2330" s="49" t="str">
        <f>IF(C2330="","","BAN-02329")</f>
        <v/>
      </c>
      <c r="B2330" s="98" t="str">
        <f>IF(C2330="","",2329)</f>
        <v/>
      </c>
      <c r="C2330" s="50"/>
      <c r="D2330" s="49" t="str">
        <f t="shared" si="73"/>
        <v/>
      </c>
      <c r="E2330" s="92"/>
      <c r="F2330" s="49"/>
      <c r="G2330" s="14"/>
      <c r="H2330" s="14"/>
      <c r="I2330" s="76"/>
      <c r="J2330" s="73"/>
      <c r="K2330" s="74"/>
      <c r="L2330" s="72"/>
      <c r="M2330" s="72"/>
      <c r="N2330" s="72" t="str">
        <f>IF(AND(C2330="",J2330=0,K2330=0,L2330=0,M2330=0),"",CADASTROS!$B$4+SUM($J$2:J2330)+SUM($M$2:M2330)-SUM($K$2:K2330)-SUM($L$2:L2330))</f>
        <v/>
      </c>
      <c r="O2330" s="72" t="str">
        <f>IF(A2330="","",SUMIF(RATEIOS!$A$2:$A$3142,$A2330,RATEIOS!$F$2:$F$3142))</f>
        <v/>
      </c>
      <c r="P2330" s="15" t="str">
        <f t="shared" si="74"/>
        <v/>
      </c>
      <c r="Q2330" s="49" t="str">
        <f>IF(AND(J2330=0,K2330=0,L2330=0,M2330=0),"",IF(O2330=0,"PENDENTE DE RATEIO",IF(ABS(P2330)&gt;0.005,"DIVERGÊNCIA",IF(COUNTIF(RATEIOS!$A$2:$A$3142,$A2330)-COUNTIFS(RATEIOS!$A$2:$A$3142,$A2330,RATEIOS!$D$2:$D$3142,"&lt;&gt;")&gt;0,"NÃO CLASSIFICADO","RATEIO OK"))))</f>
        <v/>
      </c>
      <c r="R2330" s="49"/>
      <c r="S2330" s="14"/>
    </row>
    <row r="2331" spans="1:19" ht="30" customHeight="1" x14ac:dyDescent="0.25">
      <c r="A2331" s="49" t="str">
        <f>IF(C2331="","","BAN-02330")</f>
        <v/>
      </c>
      <c r="B2331" s="98" t="str">
        <f>IF(C2331="","",2330)</f>
        <v/>
      </c>
      <c r="C2331" s="50"/>
      <c r="D2331" s="49" t="str">
        <f t="shared" si="73"/>
        <v/>
      </c>
      <c r="E2331" s="92"/>
      <c r="F2331" s="49"/>
      <c r="G2331" s="14"/>
      <c r="H2331" s="14"/>
      <c r="I2331" s="76"/>
      <c r="J2331" s="73"/>
      <c r="K2331" s="74"/>
      <c r="L2331" s="72"/>
      <c r="M2331" s="72"/>
      <c r="N2331" s="72" t="str">
        <f>IF(AND(C2331="",J2331=0,K2331=0,L2331=0,M2331=0),"",CADASTROS!$B$4+SUM($J$2:J2331)+SUM($M$2:M2331)-SUM($K$2:K2331)-SUM($L$2:L2331))</f>
        <v/>
      </c>
      <c r="O2331" s="72" t="str">
        <f>IF(A2331="","",SUMIF(RATEIOS!$A$2:$A$3142,$A2331,RATEIOS!$F$2:$F$3142))</f>
        <v/>
      </c>
      <c r="P2331" s="15" t="str">
        <f t="shared" si="74"/>
        <v/>
      </c>
      <c r="Q2331" s="49" t="str">
        <f>IF(AND(J2331=0,K2331=0,L2331=0,M2331=0),"",IF(O2331=0,"PENDENTE DE RATEIO",IF(ABS(P2331)&gt;0.005,"DIVERGÊNCIA",IF(COUNTIF(RATEIOS!$A$2:$A$3142,$A2331)-COUNTIFS(RATEIOS!$A$2:$A$3142,$A2331,RATEIOS!$D$2:$D$3142,"&lt;&gt;")&gt;0,"NÃO CLASSIFICADO","RATEIO OK"))))</f>
        <v/>
      </c>
      <c r="R2331" s="49"/>
      <c r="S2331" s="14"/>
    </row>
    <row r="2332" spans="1:19" ht="30" customHeight="1" x14ac:dyDescent="0.25">
      <c r="A2332" s="49" t="str">
        <f>IF(C2332="","","BAN-02331")</f>
        <v/>
      </c>
      <c r="B2332" s="98" t="str">
        <f>IF(C2332="","",2331)</f>
        <v/>
      </c>
      <c r="C2332" s="50"/>
      <c r="D2332" s="49" t="str">
        <f t="shared" si="73"/>
        <v/>
      </c>
      <c r="E2332" s="92"/>
      <c r="F2332" s="49"/>
      <c r="G2332" s="14"/>
      <c r="H2332" s="14"/>
      <c r="I2332" s="76"/>
      <c r="J2332" s="73"/>
      <c r="K2332" s="74"/>
      <c r="L2332" s="72"/>
      <c r="M2332" s="72"/>
      <c r="N2332" s="72" t="str">
        <f>IF(AND(C2332="",J2332=0,K2332=0,L2332=0,M2332=0),"",CADASTROS!$B$4+SUM($J$2:J2332)+SUM($M$2:M2332)-SUM($K$2:K2332)-SUM($L$2:L2332))</f>
        <v/>
      </c>
      <c r="O2332" s="72" t="str">
        <f>IF(A2332="","",SUMIF(RATEIOS!$A$2:$A$3142,$A2332,RATEIOS!$F$2:$F$3142))</f>
        <v/>
      </c>
      <c r="P2332" s="15" t="str">
        <f t="shared" si="74"/>
        <v/>
      </c>
      <c r="Q2332" s="49" t="str">
        <f>IF(AND(J2332=0,K2332=0,L2332=0,M2332=0),"",IF(O2332=0,"PENDENTE DE RATEIO",IF(ABS(P2332)&gt;0.005,"DIVERGÊNCIA",IF(COUNTIF(RATEIOS!$A$2:$A$3142,$A2332)-COUNTIFS(RATEIOS!$A$2:$A$3142,$A2332,RATEIOS!$D$2:$D$3142,"&lt;&gt;")&gt;0,"NÃO CLASSIFICADO","RATEIO OK"))))</f>
        <v/>
      </c>
      <c r="R2332" s="49"/>
      <c r="S2332" s="14"/>
    </row>
    <row r="2333" spans="1:19" ht="30" customHeight="1" x14ac:dyDescent="0.25">
      <c r="A2333" s="49" t="str">
        <f>IF(C2333="","","BAN-02332")</f>
        <v/>
      </c>
      <c r="B2333" s="98" t="str">
        <f>IF(C2333="","",2332)</f>
        <v/>
      </c>
      <c r="C2333" s="50"/>
      <c r="D2333" s="49" t="str">
        <f t="shared" si="73"/>
        <v/>
      </c>
      <c r="E2333" s="92"/>
      <c r="F2333" s="49"/>
      <c r="G2333" s="14"/>
      <c r="H2333" s="14"/>
      <c r="I2333" s="76"/>
      <c r="J2333" s="73"/>
      <c r="K2333" s="74"/>
      <c r="L2333" s="72"/>
      <c r="M2333" s="72"/>
      <c r="N2333" s="72" t="str">
        <f>IF(AND(C2333="",J2333=0,K2333=0,L2333=0,M2333=0),"",CADASTROS!$B$4+SUM($J$2:J2333)+SUM($M$2:M2333)-SUM($K$2:K2333)-SUM($L$2:L2333))</f>
        <v/>
      </c>
      <c r="O2333" s="72" t="str">
        <f>IF(A2333="","",SUMIF(RATEIOS!$A$2:$A$3142,$A2333,RATEIOS!$F$2:$F$3142))</f>
        <v/>
      </c>
      <c r="P2333" s="15" t="str">
        <f t="shared" si="74"/>
        <v/>
      </c>
      <c r="Q2333" s="49" t="str">
        <f>IF(AND(J2333=0,K2333=0,L2333=0,M2333=0),"",IF(O2333=0,"PENDENTE DE RATEIO",IF(ABS(P2333)&gt;0.005,"DIVERGÊNCIA",IF(COUNTIF(RATEIOS!$A$2:$A$3142,$A2333)-COUNTIFS(RATEIOS!$A$2:$A$3142,$A2333,RATEIOS!$D$2:$D$3142,"&lt;&gt;")&gt;0,"NÃO CLASSIFICADO","RATEIO OK"))))</f>
        <v/>
      </c>
      <c r="R2333" s="49"/>
      <c r="S2333" s="14"/>
    </row>
    <row r="2334" spans="1:19" ht="30" customHeight="1" x14ac:dyDescent="0.25">
      <c r="A2334" s="49" t="str">
        <f>IF(C2334="","","BAN-02333")</f>
        <v/>
      </c>
      <c r="B2334" s="98" t="str">
        <f>IF(C2334="","",2333)</f>
        <v/>
      </c>
      <c r="C2334" s="50"/>
      <c r="D2334" s="49" t="str">
        <f t="shared" si="73"/>
        <v/>
      </c>
      <c r="E2334" s="92"/>
      <c r="F2334" s="49"/>
      <c r="G2334" s="14"/>
      <c r="H2334" s="14"/>
      <c r="I2334" s="76"/>
      <c r="J2334" s="73"/>
      <c r="K2334" s="74"/>
      <c r="L2334" s="72"/>
      <c r="M2334" s="72"/>
      <c r="N2334" s="72" t="str">
        <f>IF(AND(C2334="",J2334=0,K2334=0,L2334=0,M2334=0),"",CADASTROS!$B$4+SUM($J$2:J2334)+SUM($M$2:M2334)-SUM($K$2:K2334)-SUM($L$2:L2334))</f>
        <v/>
      </c>
      <c r="O2334" s="72" t="str">
        <f>IF(A2334="","",SUMIF(RATEIOS!$A$2:$A$3142,$A2334,RATEIOS!$F$2:$F$3142))</f>
        <v/>
      </c>
      <c r="P2334" s="15" t="str">
        <f t="shared" si="74"/>
        <v/>
      </c>
      <c r="Q2334" s="49" t="str">
        <f>IF(AND(J2334=0,K2334=0,L2334=0,M2334=0),"",IF(O2334=0,"PENDENTE DE RATEIO",IF(ABS(P2334)&gt;0.005,"DIVERGÊNCIA",IF(COUNTIF(RATEIOS!$A$2:$A$3142,$A2334)-COUNTIFS(RATEIOS!$A$2:$A$3142,$A2334,RATEIOS!$D$2:$D$3142,"&lt;&gt;")&gt;0,"NÃO CLASSIFICADO","RATEIO OK"))))</f>
        <v/>
      </c>
      <c r="R2334" s="49"/>
      <c r="S2334" s="14"/>
    </row>
    <row r="2335" spans="1:19" ht="30" customHeight="1" x14ac:dyDescent="0.25">
      <c r="A2335" s="49" t="str">
        <f>IF(C2335="","","BAN-02334")</f>
        <v/>
      </c>
      <c r="B2335" s="98" t="str">
        <f>IF(C2335="","",2334)</f>
        <v/>
      </c>
      <c r="C2335" s="50"/>
      <c r="D2335" s="49" t="str">
        <f t="shared" si="73"/>
        <v/>
      </c>
      <c r="E2335" s="92"/>
      <c r="F2335" s="49"/>
      <c r="G2335" s="14"/>
      <c r="H2335" s="14"/>
      <c r="I2335" s="76"/>
      <c r="J2335" s="73"/>
      <c r="K2335" s="74"/>
      <c r="L2335" s="72"/>
      <c r="M2335" s="72"/>
      <c r="N2335" s="72" t="str">
        <f>IF(AND(C2335="",J2335=0,K2335=0,L2335=0,M2335=0),"",CADASTROS!$B$4+SUM($J$2:J2335)+SUM($M$2:M2335)-SUM($K$2:K2335)-SUM($L$2:L2335))</f>
        <v/>
      </c>
      <c r="O2335" s="72" t="str">
        <f>IF(A2335="","",SUMIF(RATEIOS!$A$2:$A$3142,$A2335,RATEIOS!$F$2:$F$3142))</f>
        <v/>
      </c>
      <c r="P2335" s="15" t="str">
        <f t="shared" si="74"/>
        <v/>
      </c>
      <c r="Q2335" s="49" t="str">
        <f>IF(AND(J2335=0,K2335=0,L2335=0,M2335=0),"",IF(O2335=0,"PENDENTE DE RATEIO",IF(ABS(P2335)&gt;0.005,"DIVERGÊNCIA",IF(COUNTIF(RATEIOS!$A$2:$A$3142,$A2335)-COUNTIFS(RATEIOS!$A$2:$A$3142,$A2335,RATEIOS!$D$2:$D$3142,"&lt;&gt;")&gt;0,"NÃO CLASSIFICADO","RATEIO OK"))))</f>
        <v/>
      </c>
      <c r="R2335" s="49"/>
      <c r="S2335" s="14"/>
    </row>
    <row r="2336" spans="1:19" ht="30" customHeight="1" x14ac:dyDescent="0.25">
      <c r="A2336" s="49" t="str">
        <f>IF(C2336="","","BAN-02335")</f>
        <v/>
      </c>
      <c r="B2336" s="98" t="str">
        <f>IF(C2336="","",2335)</f>
        <v/>
      </c>
      <c r="C2336" s="50"/>
      <c r="D2336" s="49" t="str">
        <f t="shared" si="73"/>
        <v/>
      </c>
      <c r="E2336" s="92"/>
      <c r="F2336" s="49"/>
      <c r="G2336" s="14"/>
      <c r="H2336" s="14"/>
      <c r="I2336" s="76"/>
      <c r="J2336" s="73"/>
      <c r="K2336" s="74"/>
      <c r="L2336" s="72"/>
      <c r="M2336" s="72"/>
      <c r="N2336" s="72" t="str">
        <f>IF(AND(C2336="",J2336=0,K2336=0,L2336=0,M2336=0),"",CADASTROS!$B$4+SUM($J$2:J2336)+SUM($M$2:M2336)-SUM($K$2:K2336)-SUM($L$2:L2336))</f>
        <v/>
      </c>
      <c r="O2336" s="72" t="str">
        <f>IF(A2336="","",SUMIF(RATEIOS!$A$2:$A$3142,$A2336,RATEIOS!$F$2:$F$3142))</f>
        <v/>
      </c>
      <c r="P2336" s="15" t="str">
        <f t="shared" si="74"/>
        <v/>
      </c>
      <c r="Q2336" s="49" t="str">
        <f>IF(AND(J2336=0,K2336=0,L2336=0,M2336=0),"",IF(O2336=0,"PENDENTE DE RATEIO",IF(ABS(P2336)&gt;0.005,"DIVERGÊNCIA",IF(COUNTIF(RATEIOS!$A$2:$A$3142,$A2336)-COUNTIFS(RATEIOS!$A$2:$A$3142,$A2336,RATEIOS!$D$2:$D$3142,"&lt;&gt;")&gt;0,"NÃO CLASSIFICADO","RATEIO OK"))))</f>
        <v/>
      </c>
      <c r="R2336" s="49"/>
      <c r="S2336" s="14"/>
    </row>
    <row r="2337" spans="1:19" ht="30" customHeight="1" x14ac:dyDescent="0.25">
      <c r="A2337" s="49" t="str">
        <f>IF(C2337="","","BAN-02336")</f>
        <v/>
      </c>
      <c r="B2337" s="98" t="str">
        <f>IF(C2337="","",2336)</f>
        <v/>
      </c>
      <c r="C2337" s="50"/>
      <c r="D2337" s="49" t="str">
        <f t="shared" si="73"/>
        <v/>
      </c>
      <c r="E2337" s="92"/>
      <c r="F2337" s="49"/>
      <c r="G2337" s="14"/>
      <c r="H2337" s="14"/>
      <c r="I2337" s="76"/>
      <c r="J2337" s="73"/>
      <c r="K2337" s="74"/>
      <c r="L2337" s="72"/>
      <c r="M2337" s="72"/>
      <c r="N2337" s="72" t="str">
        <f>IF(AND(C2337="",J2337=0,K2337=0,L2337=0,M2337=0),"",CADASTROS!$B$4+SUM($J$2:J2337)+SUM($M$2:M2337)-SUM($K$2:K2337)-SUM($L$2:L2337))</f>
        <v/>
      </c>
      <c r="O2337" s="72" t="str">
        <f>IF(A2337="","",SUMIF(RATEIOS!$A$2:$A$3142,$A2337,RATEIOS!$F$2:$F$3142))</f>
        <v/>
      </c>
      <c r="P2337" s="15" t="str">
        <f t="shared" si="74"/>
        <v/>
      </c>
      <c r="Q2337" s="49" t="str">
        <f>IF(AND(J2337=0,K2337=0,L2337=0,M2337=0),"",IF(O2337=0,"PENDENTE DE RATEIO",IF(ABS(P2337)&gt;0.005,"DIVERGÊNCIA",IF(COUNTIF(RATEIOS!$A$2:$A$3142,$A2337)-COUNTIFS(RATEIOS!$A$2:$A$3142,$A2337,RATEIOS!$D$2:$D$3142,"&lt;&gt;")&gt;0,"NÃO CLASSIFICADO","RATEIO OK"))))</f>
        <v/>
      </c>
      <c r="R2337" s="49"/>
      <c r="S2337" s="14"/>
    </row>
    <row r="2338" spans="1:19" ht="30" customHeight="1" x14ac:dyDescent="0.25">
      <c r="A2338" s="49" t="str">
        <f>IF(C2338="","","BAN-02337")</f>
        <v/>
      </c>
      <c r="B2338" s="98" t="str">
        <f>IF(C2338="","",2337)</f>
        <v/>
      </c>
      <c r="C2338" s="50"/>
      <c r="D2338" s="49" t="str">
        <f t="shared" si="73"/>
        <v/>
      </c>
      <c r="E2338" s="92"/>
      <c r="F2338" s="49"/>
      <c r="G2338" s="14"/>
      <c r="H2338" s="14"/>
      <c r="I2338" s="76"/>
      <c r="J2338" s="73"/>
      <c r="K2338" s="74"/>
      <c r="L2338" s="72"/>
      <c r="M2338" s="72"/>
      <c r="N2338" s="72" t="str">
        <f>IF(AND(C2338="",J2338=0,K2338=0,L2338=0,M2338=0),"",CADASTROS!$B$4+SUM($J$2:J2338)+SUM($M$2:M2338)-SUM($K$2:K2338)-SUM($L$2:L2338))</f>
        <v/>
      </c>
      <c r="O2338" s="72" t="str">
        <f>IF(A2338="","",SUMIF(RATEIOS!$A$2:$A$3142,$A2338,RATEIOS!$F$2:$F$3142))</f>
        <v/>
      </c>
      <c r="P2338" s="15" t="str">
        <f t="shared" si="74"/>
        <v/>
      </c>
      <c r="Q2338" s="49" t="str">
        <f>IF(AND(J2338=0,K2338=0,L2338=0,M2338=0),"",IF(O2338=0,"PENDENTE DE RATEIO",IF(ABS(P2338)&gt;0.005,"DIVERGÊNCIA",IF(COUNTIF(RATEIOS!$A$2:$A$3142,$A2338)-COUNTIFS(RATEIOS!$A$2:$A$3142,$A2338,RATEIOS!$D$2:$D$3142,"&lt;&gt;")&gt;0,"NÃO CLASSIFICADO","RATEIO OK"))))</f>
        <v/>
      </c>
      <c r="R2338" s="49"/>
      <c r="S2338" s="14"/>
    </row>
    <row r="2339" spans="1:19" ht="30" customHeight="1" x14ac:dyDescent="0.25">
      <c r="A2339" s="49" t="str">
        <f>IF(C2339="","","BAN-02338")</f>
        <v/>
      </c>
      <c r="B2339" s="98" t="str">
        <f>IF(C2339="","",2338)</f>
        <v/>
      </c>
      <c r="C2339" s="50"/>
      <c r="D2339" s="49" t="str">
        <f t="shared" si="73"/>
        <v/>
      </c>
      <c r="E2339" s="92"/>
      <c r="F2339" s="49"/>
      <c r="G2339" s="14"/>
      <c r="H2339" s="14"/>
      <c r="I2339" s="76"/>
      <c r="J2339" s="73"/>
      <c r="K2339" s="74"/>
      <c r="L2339" s="72"/>
      <c r="M2339" s="72"/>
      <c r="N2339" s="72" t="str">
        <f>IF(AND(C2339="",J2339=0,K2339=0,L2339=0,M2339=0),"",CADASTROS!$B$4+SUM($J$2:J2339)+SUM($M$2:M2339)-SUM($K$2:K2339)-SUM($L$2:L2339))</f>
        <v/>
      </c>
      <c r="O2339" s="72" t="str">
        <f>IF(A2339="","",SUMIF(RATEIOS!$A$2:$A$3142,$A2339,RATEIOS!$F$2:$F$3142))</f>
        <v/>
      </c>
      <c r="P2339" s="15" t="str">
        <f t="shared" si="74"/>
        <v/>
      </c>
      <c r="Q2339" s="49" t="str">
        <f>IF(AND(J2339=0,K2339=0,L2339=0,M2339=0),"",IF(O2339=0,"PENDENTE DE RATEIO",IF(ABS(P2339)&gt;0.005,"DIVERGÊNCIA",IF(COUNTIF(RATEIOS!$A$2:$A$3142,$A2339)-COUNTIFS(RATEIOS!$A$2:$A$3142,$A2339,RATEIOS!$D$2:$D$3142,"&lt;&gt;")&gt;0,"NÃO CLASSIFICADO","RATEIO OK"))))</f>
        <v/>
      </c>
      <c r="R2339" s="49"/>
      <c r="S2339" s="14"/>
    </row>
    <row r="2340" spans="1:19" ht="30" customHeight="1" x14ac:dyDescent="0.25">
      <c r="A2340" s="49" t="str">
        <f>IF(C2340="","","BAN-02339")</f>
        <v/>
      </c>
      <c r="B2340" s="98" t="str">
        <f>IF(C2340="","",2339)</f>
        <v/>
      </c>
      <c r="C2340" s="50"/>
      <c r="D2340" s="49" t="str">
        <f t="shared" si="73"/>
        <v/>
      </c>
      <c r="E2340" s="92"/>
      <c r="F2340" s="49"/>
      <c r="G2340" s="14"/>
      <c r="H2340" s="14"/>
      <c r="I2340" s="76"/>
      <c r="J2340" s="73"/>
      <c r="K2340" s="74"/>
      <c r="L2340" s="72"/>
      <c r="M2340" s="72"/>
      <c r="N2340" s="72" t="str">
        <f>IF(AND(C2340="",J2340=0,K2340=0,L2340=0,M2340=0),"",CADASTROS!$B$4+SUM($J$2:J2340)+SUM($M$2:M2340)-SUM($K$2:K2340)-SUM($L$2:L2340))</f>
        <v/>
      </c>
      <c r="O2340" s="72" t="str">
        <f>IF(A2340="","",SUMIF(RATEIOS!$A$2:$A$3142,$A2340,RATEIOS!$F$2:$F$3142))</f>
        <v/>
      </c>
      <c r="P2340" s="15" t="str">
        <f t="shared" si="74"/>
        <v/>
      </c>
      <c r="Q2340" s="49" t="str">
        <f>IF(AND(J2340=0,K2340=0,L2340=0,M2340=0),"",IF(O2340=0,"PENDENTE DE RATEIO",IF(ABS(P2340)&gt;0.005,"DIVERGÊNCIA",IF(COUNTIF(RATEIOS!$A$2:$A$3142,$A2340)-COUNTIFS(RATEIOS!$A$2:$A$3142,$A2340,RATEIOS!$D$2:$D$3142,"&lt;&gt;")&gt;0,"NÃO CLASSIFICADO","RATEIO OK"))))</f>
        <v/>
      </c>
      <c r="R2340" s="49"/>
      <c r="S2340" s="14"/>
    </row>
    <row r="2341" spans="1:19" ht="30" customHeight="1" x14ac:dyDescent="0.25">
      <c r="A2341" s="49" t="str">
        <f>IF(C2341="","","BAN-02340")</f>
        <v/>
      </c>
      <c r="B2341" s="98" t="str">
        <f>IF(C2341="","",2340)</f>
        <v/>
      </c>
      <c r="C2341" s="50"/>
      <c r="D2341" s="49" t="str">
        <f t="shared" si="73"/>
        <v/>
      </c>
      <c r="E2341" s="92"/>
      <c r="F2341" s="49"/>
      <c r="G2341" s="14"/>
      <c r="H2341" s="14"/>
      <c r="I2341" s="76"/>
      <c r="J2341" s="73"/>
      <c r="K2341" s="74"/>
      <c r="L2341" s="72"/>
      <c r="M2341" s="72"/>
      <c r="N2341" s="72" t="str">
        <f>IF(AND(C2341="",J2341=0,K2341=0,L2341=0,M2341=0),"",CADASTROS!$B$4+SUM($J$2:J2341)+SUM($M$2:M2341)-SUM($K$2:K2341)-SUM($L$2:L2341))</f>
        <v/>
      </c>
      <c r="O2341" s="72" t="str">
        <f>IF(A2341="","",SUMIF(RATEIOS!$A$2:$A$3142,$A2341,RATEIOS!$F$2:$F$3142))</f>
        <v/>
      </c>
      <c r="P2341" s="15" t="str">
        <f t="shared" si="74"/>
        <v/>
      </c>
      <c r="Q2341" s="49" t="str">
        <f>IF(AND(J2341=0,K2341=0,L2341=0,M2341=0),"",IF(O2341=0,"PENDENTE DE RATEIO",IF(ABS(P2341)&gt;0.005,"DIVERGÊNCIA",IF(COUNTIF(RATEIOS!$A$2:$A$3142,$A2341)-COUNTIFS(RATEIOS!$A$2:$A$3142,$A2341,RATEIOS!$D$2:$D$3142,"&lt;&gt;")&gt;0,"NÃO CLASSIFICADO","RATEIO OK"))))</f>
        <v/>
      </c>
      <c r="R2341" s="49"/>
      <c r="S2341" s="14"/>
    </row>
    <row r="2342" spans="1:19" ht="30" customHeight="1" x14ac:dyDescent="0.25">
      <c r="A2342" s="49" t="str">
        <f>IF(C2342="","","BAN-02341")</f>
        <v/>
      </c>
      <c r="B2342" s="98" t="str">
        <f>IF(C2342="","",2341)</f>
        <v/>
      </c>
      <c r="C2342" s="50"/>
      <c r="D2342" s="49" t="str">
        <f t="shared" si="73"/>
        <v/>
      </c>
      <c r="E2342" s="92"/>
      <c r="F2342" s="49"/>
      <c r="G2342" s="14"/>
      <c r="H2342" s="14"/>
      <c r="I2342" s="76"/>
      <c r="J2342" s="73"/>
      <c r="K2342" s="74"/>
      <c r="L2342" s="72"/>
      <c r="M2342" s="72"/>
      <c r="N2342" s="72" t="str">
        <f>IF(AND(C2342="",J2342=0,K2342=0,L2342=0,M2342=0),"",CADASTROS!$B$4+SUM($J$2:J2342)+SUM($M$2:M2342)-SUM($K$2:K2342)-SUM($L$2:L2342))</f>
        <v/>
      </c>
      <c r="O2342" s="72" t="str">
        <f>IF(A2342="","",SUMIF(RATEIOS!$A$2:$A$3142,$A2342,RATEIOS!$F$2:$F$3142))</f>
        <v/>
      </c>
      <c r="P2342" s="15" t="str">
        <f t="shared" si="74"/>
        <v/>
      </c>
      <c r="Q2342" s="49" t="str">
        <f>IF(AND(J2342=0,K2342=0,L2342=0,M2342=0),"",IF(O2342=0,"PENDENTE DE RATEIO",IF(ABS(P2342)&gt;0.005,"DIVERGÊNCIA",IF(COUNTIF(RATEIOS!$A$2:$A$3142,$A2342)-COUNTIFS(RATEIOS!$A$2:$A$3142,$A2342,RATEIOS!$D$2:$D$3142,"&lt;&gt;")&gt;0,"NÃO CLASSIFICADO","RATEIO OK"))))</f>
        <v/>
      </c>
      <c r="R2342" s="49"/>
      <c r="S2342" s="14"/>
    </row>
    <row r="2343" spans="1:19" ht="30" customHeight="1" x14ac:dyDescent="0.25">
      <c r="A2343" s="49" t="str">
        <f>IF(C2343="","","BAN-02342")</f>
        <v/>
      </c>
      <c r="B2343" s="98" t="str">
        <f>IF(C2343="","",2342)</f>
        <v/>
      </c>
      <c r="C2343" s="50"/>
      <c r="D2343" s="49" t="str">
        <f t="shared" si="73"/>
        <v/>
      </c>
      <c r="E2343" s="92"/>
      <c r="F2343" s="49"/>
      <c r="G2343" s="14"/>
      <c r="H2343" s="14"/>
      <c r="I2343" s="76"/>
      <c r="J2343" s="73"/>
      <c r="K2343" s="74"/>
      <c r="L2343" s="72"/>
      <c r="M2343" s="72"/>
      <c r="N2343" s="72" t="str">
        <f>IF(AND(C2343="",J2343=0,K2343=0,L2343=0,M2343=0),"",CADASTROS!$B$4+SUM($J$2:J2343)+SUM($M$2:M2343)-SUM($K$2:K2343)-SUM($L$2:L2343))</f>
        <v/>
      </c>
      <c r="O2343" s="72" t="str">
        <f>IF(A2343="","",SUMIF(RATEIOS!$A$2:$A$3142,$A2343,RATEIOS!$F$2:$F$3142))</f>
        <v/>
      </c>
      <c r="P2343" s="15" t="str">
        <f t="shared" si="74"/>
        <v/>
      </c>
      <c r="Q2343" s="49" t="str">
        <f>IF(AND(J2343=0,K2343=0,L2343=0,M2343=0),"",IF(O2343=0,"PENDENTE DE RATEIO",IF(ABS(P2343)&gt;0.005,"DIVERGÊNCIA",IF(COUNTIF(RATEIOS!$A$2:$A$3142,$A2343)-COUNTIFS(RATEIOS!$A$2:$A$3142,$A2343,RATEIOS!$D$2:$D$3142,"&lt;&gt;")&gt;0,"NÃO CLASSIFICADO","RATEIO OK"))))</f>
        <v/>
      </c>
      <c r="R2343" s="49"/>
      <c r="S2343" s="14"/>
    </row>
    <row r="2344" spans="1:19" ht="30" customHeight="1" x14ac:dyDescent="0.25">
      <c r="A2344" s="49" t="str">
        <f>IF(C2344="","","BAN-02343")</f>
        <v/>
      </c>
      <c r="B2344" s="98" t="str">
        <f>IF(C2344="","",2343)</f>
        <v/>
      </c>
      <c r="C2344" s="50"/>
      <c r="D2344" s="49" t="str">
        <f t="shared" si="73"/>
        <v/>
      </c>
      <c r="E2344" s="92"/>
      <c r="F2344" s="49"/>
      <c r="G2344" s="14"/>
      <c r="H2344" s="14"/>
      <c r="I2344" s="76"/>
      <c r="J2344" s="73"/>
      <c r="K2344" s="74"/>
      <c r="L2344" s="72"/>
      <c r="M2344" s="72"/>
      <c r="N2344" s="72" t="str">
        <f>IF(AND(C2344="",J2344=0,K2344=0,L2344=0,M2344=0),"",CADASTROS!$B$4+SUM($J$2:J2344)+SUM($M$2:M2344)-SUM($K$2:K2344)-SUM($L$2:L2344))</f>
        <v/>
      </c>
      <c r="O2344" s="72" t="str">
        <f>IF(A2344="","",SUMIF(RATEIOS!$A$2:$A$3142,$A2344,RATEIOS!$F$2:$F$3142))</f>
        <v/>
      </c>
      <c r="P2344" s="15" t="str">
        <f t="shared" si="74"/>
        <v/>
      </c>
      <c r="Q2344" s="49" t="str">
        <f>IF(AND(J2344=0,K2344=0,L2344=0,M2344=0),"",IF(O2344=0,"PENDENTE DE RATEIO",IF(ABS(P2344)&gt;0.005,"DIVERGÊNCIA",IF(COUNTIF(RATEIOS!$A$2:$A$3142,$A2344)-COUNTIFS(RATEIOS!$A$2:$A$3142,$A2344,RATEIOS!$D$2:$D$3142,"&lt;&gt;")&gt;0,"NÃO CLASSIFICADO","RATEIO OK"))))</f>
        <v/>
      </c>
      <c r="R2344" s="49"/>
      <c r="S2344" s="14"/>
    </row>
    <row r="2345" spans="1:19" ht="30" customHeight="1" x14ac:dyDescent="0.25">
      <c r="A2345" s="49" t="str">
        <f>IF(C2345="","","BAN-02344")</f>
        <v/>
      </c>
      <c r="B2345" s="98" t="str">
        <f>IF(C2345="","",2344)</f>
        <v/>
      </c>
      <c r="C2345" s="50"/>
      <c r="D2345" s="49" t="str">
        <f t="shared" si="73"/>
        <v/>
      </c>
      <c r="E2345" s="92"/>
      <c r="F2345" s="49"/>
      <c r="G2345" s="14"/>
      <c r="H2345" s="14"/>
      <c r="I2345" s="76"/>
      <c r="J2345" s="73"/>
      <c r="K2345" s="74"/>
      <c r="L2345" s="72"/>
      <c r="M2345" s="72"/>
      <c r="N2345" s="72" t="str">
        <f>IF(AND(C2345="",J2345=0,K2345=0,L2345=0,M2345=0),"",CADASTROS!$B$4+SUM($J$2:J2345)+SUM($M$2:M2345)-SUM($K$2:K2345)-SUM($L$2:L2345))</f>
        <v/>
      </c>
      <c r="O2345" s="72" t="str">
        <f>IF(A2345="","",SUMIF(RATEIOS!$A$2:$A$3142,$A2345,RATEIOS!$F$2:$F$3142))</f>
        <v/>
      </c>
      <c r="P2345" s="15" t="str">
        <f t="shared" si="74"/>
        <v/>
      </c>
      <c r="Q2345" s="49" t="str">
        <f>IF(AND(J2345=0,K2345=0,L2345=0,M2345=0),"",IF(O2345=0,"PENDENTE DE RATEIO",IF(ABS(P2345)&gt;0.005,"DIVERGÊNCIA",IF(COUNTIF(RATEIOS!$A$2:$A$3142,$A2345)-COUNTIFS(RATEIOS!$A$2:$A$3142,$A2345,RATEIOS!$D$2:$D$3142,"&lt;&gt;")&gt;0,"NÃO CLASSIFICADO","RATEIO OK"))))</f>
        <v/>
      </c>
      <c r="R2345" s="49"/>
      <c r="S2345" s="14"/>
    </row>
    <row r="2346" spans="1:19" ht="30" customHeight="1" x14ac:dyDescent="0.25">
      <c r="A2346" s="49" t="str">
        <f>IF(C2346="","","BAN-02345")</f>
        <v/>
      </c>
      <c r="B2346" s="98" t="str">
        <f>IF(C2346="","",2345)</f>
        <v/>
      </c>
      <c r="C2346" s="50"/>
      <c r="D2346" s="49" t="str">
        <f t="shared" si="73"/>
        <v/>
      </c>
      <c r="E2346" s="92"/>
      <c r="F2346" s="49"/>
      <c r="G2346" s="14"/>
      <c r="H2346" s="14"/>
      <c r="I2346" s="76"/>
      <c r="J2346" s="73"/>
      <c r="K2346" s="74"/>
      <c r="L2346" s="72"/>
      <c r="M2346" s="72"/>
      <c r="N2346" s="72" t="str">
        <f>IF(AND(C2346="",J2346=0,K2346=0,L2346=0,M2346=0),"",CADASTROS!$B$4+SUM($J$2:J2346)+SUM($M$2:M2346)-SUM($K$2:K2346)-SUM($L$2:L2346))</f>
        <v/>
      </c>
      <c r="O2346" s="72" t="str">
        <f>IF(A2346="","",SUMIF(RATEIOS!$A$2:$A$3142,$A2346,RATEIOS!$F$2:$F$3142))</f>
        <v/>
      </c>
      <c r="P2346" s="15" t="str">
        <f t="shared" si="74"/>
        <v/>
      </c>
      <c r="Q2346" s="49" t="str">
        <f>IF(AND(J2346=0,K2346=0,L2346=0,M2346=0),"",IF(O2346=0,"PENDENTE DE RATEIO",IF(ABS(P2346)&gt;0.005,"DIVERGÊNCIA",IF(COUNTIF(RATEIOS!$A$2:$A$3142,$A2346)-COUNTIFS(RATEIOS!$A$2:$A$3142,$A2346,RATEIOS!$D$2:$D$3142,"&lt;&gt;")&gt;0,"NÃO CLASSIFICADO","RATEIO OK"))))</f>
        <v/>
      </c>
      <c r="R2346" s="49"/>
      <c r="S2346" s="14"/>
    </row>
    <row r="2347" spans="1:19" ht="30" customHeight="1" x14ac:dyDescent="0.25">
      <c r="A2347" s="49" t="str">
        <f>IF(C2347="","","BAN-02346")</f>
        <v/>
      </c>
      <c r="B2347" s="98" t="str">
        <f>IF(C2347="","",2346)</f>
        <v/>
      </c>
      <c r="C2347" s="50"/>
      <c r="D2347" s="49" t="str">
        <f t="shared" si="73"/>
        <v/>
      </c>
      <c r="E2347" s="92"/>
      <c r="F2347" s="49"/>
      <c r="G2347" s="14"/>
      <c r="H2347" s="14"/>
      <c r="I2347" s="76"/>
      <c r="J2347" s="73"/>
      <c r="K2347" s="74"/>
      <c r="L2347" s="72"/>
      <c r="M2347" s="72"/>
      <c r="N2347" s="72" t="str">
        <f>IF(AND(C2347="",J2347=0,K2347=0,L2347=0,M2347=0),"",CADASTROS!$B$4+SUM($J$2:J2347)+SUM($M$2:M2347)-SUM($K$2:K2347)-SUM($L$2:L2347))</f>
        <v/>
      </c>
      <c r="O2347" s="72" t="str">
        <f>IF(A2347="","",SUMIF(RATEIOS!$A$2:$A$3142,$A2347,RATEIOS!$F$2:$F$3142))</f>
        <v/>
      </c>
      <c r="P2347" s="15" t="str">
        <f t="shared" si="74"/>
        <v/>
      </c>
      <c r="Q2347" s="49" t="str">
        <f>IF(AND(J2347=0,K2347=0,L2347=0,M2347=0),"",IF(O2347=0,"PENDENTE DE RATEIO",IF(ABS(P2347)&gt;0.005,"DIVERGÊNCIA",IF(COUNTIF(RATEIOS!$A$2:$A$3142,$A2347)-COUNTIFS(RATEIOS!$A$2:$A$3142,$A2347,RATEIOS!$D$2:$D$3142,"&lt;&gt;")&gt;0,"NÃO CLASSIFICADO","RATEIO OK"))))</f>
        <v/>
      </c>
      <c r="R2347" s="49"/>
      <c r="S2347" s="14"/>
    </row>
    <row r="2348" spans="1:19" ht="30" customHeight="1" x14ac:dyDescent="0.25">
      <c r="A2348" s="49" t="str">
        <f>IF(C2348="","","BAN-02347")</f>
        <v/>
      </c>
      <c r="B2348" s="98" t="str">
        <f>IF(C2348="","",2347)</f>
        <v/>
      </c>
      <c r="C2348" s="50"/>
      <c r="D2348" s="49" t="str">
        <f t="shared" si="73"/>
        <v/>
      </c>
      <c r="E2348" s="92"/>
      <c r="F2348" s="49"/>
      <c r="G2348" s="14"/>
      <c r="H2348" s="14"/>
      <c r="I2348" s="76"/>
      <c r="J2348" s="73"/>
      <c r="K2348" s="74"/>
      <c r="L2348" s="72"/>
      <c r="M2348" s="72"/>
      <c r="N2348" s="72" t="str">
        <f>IF(AND(C2348="",J2348=0,K2348=0,L2348=0,M2348=0),"",CADASTROS!$B$4+SUM($J$2:J2348)+SUM($M$2:M2348)-SUM($K$2:K2348)-SUM($L$2:L2348))</f>
        <v/>
      </c>
      <c r="O2348" s="72" t="str">
        <f>IF(A2348="","",SUMIF(RATEIOS!$A$2:$A$3142,$A2348,RATEIOS!$F$2:$F$3142))</f>
        <v/>
      </c>
      <c r="P2348" s="15" t="str">
        <f t="shared" si="74"/>
        <v/>
      </c>
      <c r="Q2348" s="49" t="str">
        <f>IF(AND(J2348=0,K2348=0,L2348=0,M2348=0),"",IF(O2348=0,"PENDENTE DE RATEIO",IF(ABS(P2348)&gt;0.005,"DIVERGÊNCIA",IF(COUNTIF(RATEIOS!$A$2:$A$3142,$A2348)-COUNTIFS(RATEIOS!$A$2:$A$3142,$A2348,RATEIOS!$D$2:$D$3142,"&lt;&gt;")&gt;0,"NÃO CLASSIFICADO","RATEIO OK"))))</f>
        <v/>
      </c>
      <c r="R2348" s="49"/>
      <c r="S2348" s="14"/>
    </row>
    <row r="2349" spans="1:19" ht="30" customHeight="1" x14ac:dyDescent="0.25">
      <c r="A2349" s="49" t="str">
        <f>IF(C2349="","","BAN-02348")</f>
        <v/>
      </c>
      <c r="B2349" s="98" t="str">
        <f>IF(C2349="","",2348)</f>
        <v/>
      </c>
      <c r="C2349" s="50"/>
      <c r="D2349" s="49" t="str">
        <f t="shared" si="73"/>
        <v/>
      </c>
      <c r="E2349" s="92"/>
      <c r="F2349" s="49"/>
      <c r="G2349" s="14"/>
      <c r="H2349" s="14"/>
      <c r="I2349" s="76"/>
      <c r="J2349" s="73"/>
      <c r="K2349" s="74"/>
      <c r="L2349" s="72"/>
      <c r="M2349" s="72"/>
      <c r="N2349" s="72" t="str">
        <f>IF(AND(C2349="",J2349=0,K2349=0,L2349=0,M2349=0),"",CADASTROS!$B$4+SUM($J$2:J2349)+SUM($M$2:M2349)-SUM($K$2:K2349)-SUM($L$2:L2349))</f>
        <v/>
      </c>
      <c r="O2349" s="72" t="str">
        <f>IF(A2349="","",SUMIF(RATEIOS!$A$2:$A$3142,$A2349,RATEIOS!$F$2:$F$3142))</f>
        <v/>
      </c>
      <c r="P2349" s="15" t="str">
        <f t="shared" si="74"/>
        <v/>
      </c>
      <c r="Q2349" s="49" t="str">
        <f>IF(AND(J2349=0,K2349=0,L2349=0,M2349=0),"",IF(O2349=0,"PENDENTE DE RATEIO",IF(ABS(P2349)&gt;0.005,"DIVERGÊNCIA",IF(COUNTIF(RATEIOS!$A$2:$A$3142,$A2349)-COUNTIFS(RATEIOS!$A$2:$A$3142,$A2349,RATEIOS!$D$2:$D$3142,"&lt;&gt;")&gt;0,"NÃO CLASSIFICADO","RATEIO OK"))))</f>
        <v/>
      </c>
      <c r="R2349" s="49"/>
      <c r="S2349" s="14"/>
    </row>
    <row r="2350" spans="1:19" ht="30" customHeight="1" x14ac:dyDescent="0.25">
      <c r="A2350" s="49" t="str">
        <f>IF(C2350="","","BAN-02349")</f>
        <v/>
      </c>
      <c r="B2350" s="98" t="str">
        <f>IF(C2350="","",2349)</f>
        <v/>
      </c>
      <c r="C2350" s="50"/>
      <c r="D2350" s="49" t="str">
        <f t="shared" si="73"/>
        <v/>
      </c>
      <c r="E2350" s="92"/>
      <c r="F2350" s="49"/>
      <c r="G2350" s="14"/>
      <c r="H2350" s="14"/>
      <c r="I2350" s="76"/>
      <c r="J2350" s="73"/>
      <c r="K2350" s="74"/>
      <c r="L2350" s="72"/>
      <c r="M2350" s="72"/>
      <c r="N2350" s="72" t="str">
        <f>IF(AND(C2350="",J2350=0,K2350=0,L2350=0,M2350=0),"",CADASTROS!$B$4+SUM($J$2:J2350)+SUM($M$2:M2350)-SUM($K$2:K2350)-SUM($L$2:L2350))</f>
        <v/>
      </c>
      <c r="O2350" s="72" t="str">
        <f>IF(A2350="","",SUMIF(RATEIOS!$A$2:$A$3142,$A2350,RATEIOS!$F$2:$F$3142))</f>
        <v/>
      </c>
      <c r="P2350" s="15" t="str">
        <f t="shared" si="74"/>
        <v/>
      </c>
      <c r="Q2350" s="49" t="str">
        <f>IF(AND(J2350=0,K2350=0,L2350=0,M2350=0),"",IF(O2350=0,"PENDENTE DE RATEIO",IF(ABS(P2350)&gt;0.005,"DIVERGÊNCIA",IF(COUNTIF(RATEIOS!$A$2:$A$3142,$A2350)-COUNTIFS(RATEIOS!$A$2:$A$3142,$A2350,RATEIOS!$D$2:$D$3142,"&lt;&gt;")&gt;0,"NÃO CLASSIFICADO","RATEIO OK"))))</f>
        <v/>
      </c>
      <c r="R2350" s="49"/>
      <c r="S2350" s="14"/>
    </row>
    <row r="2351" spans="1:19" ht="30" customHeight="1" x14ac:dyDescent="0.25">
      <c r="A2351" s="49" t="str">
        <f>IF(C2351="","","BAN-02350")</f>
        <v/>
      </c>
      <c r="B2351" s="98" t="str">
        <f>IF(C2351="","",2350)</f>
        <v/>
      </c>
      <c r="C2351" s="50"/>
      <c r="D2351" s="49" t="str">
        <f t="shared" si="73"/>
        <v/>
      </c>
      <c r="E2351" s="92"/>
      <c r="F2351" s="49"/>
      <c r="G2351" s="14"/>
      <c r="H2351" s="14"/>
      <c r="I2351" s="76"/>
      <c r="J2351" s="73"/>
      <c r="K2351" s="74"/>
      <c r="L2351" s="72"/>
      <c r="M2351" s="72"/>
      <c r="N2351" s="72" t="str">
        <f>IF(AND(C2351="",J2351=0,K2351=0,L2351=0,M2351=0),"",CADASTROS!$B$4+SUM($J$2:J2351)+SUM($M$2:M2351)-SUM($K$2:K2351)-SUM($L$2:L2351))</f>
        <v/>
      </c>
      <c r="O2351" s="72" t="str">
        <f>IF(A2351="","",SUMIF(RATEIOS!$A$2:$A$3142,$A2351,RATEIOS!$F$2:$F$3142))</f>
        <v/>
      </c>
      <c r="P2351" s="15" t="str">
        <f t="shared" si="74"/>
        <v/>
      </c>
      <c r="Q2351" s="49" t="str">
        <f>IF(AND(J2351=0,K2351=0,L2351=0,M2351=0),"",IF(O2351=0,"PENDENTE DE RATEIO",IF(ABS(P2351)&gt;0.005,"DIVERGÊNCIA",IF(COUNTIF(RATEIOS!$A$2:$A$3142,$A2351)-COUNTIFS(RATEIOS!$A$2:$A$3142,$A2351,RATEIOS!$D$2:$D$3142,"&lt;&gt;")&gt;0,"NÃO CLASSIFICADO","RATEIO OK"))))</f>
        <v/>
      </c>
      <c r="R2351" s="49"/>
      <c r="S2351" s="14"/>
    </row>
    <row r="2352" spans="1:19" ht="30" customHeight="1" x14ac:dyDescent="0.25">
      <c r="A2352" s="49" t="str">
        <f>IF(C2352="","","BAN-02351")</f>
        <v/>
      </c>
      <c r="B2352" s="98" t="str">
        <f>IF(C2352="","",2351)</f>
        <v/>
      </c>
      <c r="C2352" s="50"/>
      <c r="D2352" s="49" t="str">
        <f t="shared" si="73"/>
        <v/>
      </c>
      <c r="E2352" s="92"/>
      <c r="F2352" s="49"/>
      <c r="G2352" s="14"/>
      <c r="H2352" s="14"/>
      <c r="I2352" s="76"/>
      <c r="J2352" s="73"/>
      <c r="K2352" s="74"/>
      <c r="L2352" s="72"/>
      <c r="M2352" s="72"/>
      <c r="N2352" s="72" t="str">
        <f>IF(AND(C2352="",J2352=0,K2352=0,L2352=0,M2352=0),"",CADASTROS!$B$4+SUM($J$2:J2352)+SUM($M$2:M2352)-SUM($K$2:K2352)-SUM($L$2:L2352))</f>
        <v/>
      </c>
      <c r="O2352" s="72" t="str">
        <f>IF(A2352="","",SUMIF(RATEIOS!$A$2:$A$3142,$A2352,RATEIOS!$F$2:$F$3142))</f>
        <v/>
      </c>
      <c r="P2352" s="15" t="str">
        <f t="shared" si="74"/>
        <v/>
      </c>
      <c r="Q2352" s="49" t="str">
        <f>IF(AND(J2352=0,K2352=0,L2352=0,M2352=0),"",IF(O2352=0,"PENDENTE DE RATEIO",IF(ABS(P2352)&gt;0.005,"DIVERGÊNCIA",IF(COUNTIF(RATEIOS!$A$2:$A$3142,$A2352)-COUNTIFS(RATEIOS!$A$2:$A$3142,$A2352,RATEIOS!$D$2:$D$3142,"&lt;&gt;")&gt;0,"NÃO CLASSIFICADO","RATEIO OK"))))</f>
        <v/>
      </c>
      <c r="R2352" s="49"/>
      <c r="S2352" s="14"/>
    </row>
    <row r="2353" spans="1:19" ht="30" customHeight="1" x14ac:dyDescent="0.25">
      <c r="A2353" s="49" t="str">
        <f>IF(C2353="","","BAN-02352")</f>
        <v/>
      </c>
      <c r="B2353" s="98" t="str">
        <f>IF(C2353="","",2352)</f>
        <v/>
      </c>
      <c r="C2353" s="50"/>
      <c r="D2353" s="49" t="str">
        <f t="shared" si="73"/>
        <v/>
      </c>
      <c r="E2353" s="92"/>
      <c r="F2353" s="49"/>
      <c r="G2353" s="14"/>
      <c r="H2353" s="14"/>
      <c r="I2353" s="76"/>
      <c r="J2353" s="73"/>
      <c r="K2353" s="74"/>
      <c r="L2353" s="72"/>
      <c r="M2353" s="72"/>
      <c r="N2353" s="72" t="str">
        <f>IF(AND(C2353="",J2353=0,K2353=0,L2353=0,M2353=0),"",CADASTROS!$B$4+SUM($J$2:J2353)+SUM($M$2:M2353)-SUM($K$2:K2353)-SUM($L$2:L2353))</f>
        <v/>
      </c>
      <c r="O2353" s="72" t="str">
        <f>IF(A2353="","",SUMIF(RATEIOS!$A$2:$A$3142,$A2353,RATEIOS!$F$2:$F$3142))</f>
        <v/>
      </c>
      <c r="P2353" s="15" t="str">
        <f t="shared" si="74"/>
        <v/>
      </c>
      <c r="Q2353" s="49" t="str">
        <f>IF(AND(J2353=0,K2353=0,L2353=0,M2353=0),"",IF(O2353=0,"PENDENTE DE RATEIO",IF(ABS(P2353)&gt;0.005,"DIVERGÊNCIA",IF(COUNTIF(RATEIOS!$A$2:$A$3142,$A2353)-COUNTIFS(RATEIOS!$A$2:$A$3142,$A2353,RATEIOS!$D$2:$D$3142,"&lt;&gt;")&gt;0,"NÃO CLASSIFICADO","RATEIO OK"))))</f>
        <v/>
      </c>
      <c r="R2353" s="49"/>
      <c r="S2353" s="14"/>
    </row>
    <row r="2354" spans="1:19" ht="30" customHeight="1" x14ac:dyDescent="0.25">
      <c r="A2354" s="49" t="str">
        <f>IF(C2354="","","BAN-02353")</f>
        <v/>
      </c>
      <c r="B2354" s="98" t="str">
        <f>IF(C2354="","",2353)</f>
        <v/>
      </c>
      <c r="C2354" s="50"/>
      <c r="D2354" s="49" t="str">
        <f t="shared" si="73"/>
        <v/>
      </c>
      <c r="E2354" s="92"/>
      <c r="F2354" s="49"/>
      <c r="G2354" s="14"/>
      <c r="H2354" s="14"/>
      <c r="I2354" s="76"/>
      <c r="J2354" s="73"/>
      <c r="K2354" s="74"/>
      <c r="L2354" s="72"/>
      <c r="M2354" s="72"/>
      <c r="N2354" s="72" t="str">
        <f>IF(AND(C2354="",J2354=0,K2354=0,L2354=0,M2354=0),"",CADASTROS!$B$4+SUM($J$2:J2354)+SUM($M$2:M2354)-SUM($K$2:K2354)-SUM($L$2:L2354))</f>
        <v/>
      </c>
      <c r="O2354" s="72" t="str">
        <f>IF(A2354="","",SUMIF(RATEIOS!$A$2:$A$3142,$A2354,RATEIOS!$F$2:$F$3142))</f>
        <v/>
      </c>
      <c r="P2354" s="15" t="str">
        <f t="shared" si="74"/>
        <v/>
      </c>
      <c r="Q2354" s="49" t="str">
        <f>IF(AND(J2354=0,K2354=0,L2354=0,M2354=0),"",IF(O2354=0,"PENDENTE DE RATEIO",IF(ABS(P2354)&gt;0.005,"DIVERGÊNCIA",IF(COUNTIF(RATEIOS!$A$2:$A$3142,$A2354)-COUNTIFS(RATEIOS!$A$2:$A$3142,$A2354,RATEIOS!$D$2:$D$3142,"&lt;&gt;")&gt;0,"NÃO CLASSIFICADO","RATEIO OK"))))</f>
        <v/>
      </c>
      <c r="R2354" s="49"/>
      <c r="S2354" s="14"/>
    </row>
    <row r="2355" spans="1:19" ht="30" customHeight="1" x14ac:dyDescent="0.25">
      <c r="A2355" s="49" t="str">
        <f>IF(C2355="","","BAN-02354")</f>
        <v/>
      </c>
      <c r="B2355" s="98" t="str">
        <f>IF(C2355="","",2354)</f>
        <v/>
      </c>
      <c r="C2355" s="50"/>
      <c r="D2355" s="49" t="str">
        <f t="shared" si="73"/>
        <v/>
      </c>
      <c r="E2355" s="92"/>
      <c r="F2355" s="49"/>
      <c r="G2355" s="14"/>
      <c r="H2355" s="14"/>
      <c r="I2355" s="76"/>
      <c r="J2355" s="73"/>
      <c r="K2355" s="74"/>
      <c r="L2355" s="72"/>
      <c r="M2355" s="72"/>
      <c r="N2355" s="72" t="str">
        <f>IF(AND(C2355="",J2355=0,K2355=0,L2355=0,M2355=0),"",CADASTROS!$B$4+SUM($J$2:J2355)+SUM($M$2:M2355)-SUM($K$2:K2355)-SUM($L$2:L2355))</f>
        <v/>
      </c>
      <c r="O2355" s="72" t="str">
        <f>IF(A2355="","",SUMIF(RATEIOS!$A$2:$A$3142,$A2355,RATEIOS!$F$2:$F$3142))</f>
        <v/>
      </c>
      <c r="P2355" s="15" t="str">
        <f t="shared" si="74"/>
        <v/>
      </c>
      <c r="Q2355" s="49" t="str">
        <f>IF(AND(J2355=0,K2355=0,L2355=0,M2355=0),"",IF(O2355=0,"PENDENTE DE RATEIO",IF(ABS(P2355)&gt;0.005,"DIVERGÊNCIA",IF(COUNTIF(RATEIOS!$A$2:$A$3142,$A2355)-COUNTIFS(RATEIOS!$A$2:$A$3142,$A2355,RATEIOS!$D$2:$D$3142,"&lt;&gt;")&gt;0,"NÃO CLASSIFICADO","RATEIO OK"))))</f>
        <v/>
      </c>
      <c r="R2355" s="49"/>
      <c r="S2355" s="14"/>
    </row>
    <row r="2356" spans="1:19" ht="30" customHeight="1" x14ac:dyDescent="0.25">
      <c r="A2356" s="49" t="str">
        <f>IF(C2356="","","BAN-02355")</f>
        <v/>
      </c>
      <c r="B2356" s="98" t="str">
        <f>IF(C2356="","",2355)</f>
        <v/>
      </c>
      <c r="C2356" s="50"/>
      <c r="D2356" s="49" t="str">
        <f t="shared" si="73"/>
        <v/>
      </c>
      <c r="E2356" s="92"/>
      <c r="F2356" s="49"/>
      <c r="G2356" s="14"/>
      <c r="H2356" s="14"/>
      <c r="I2356" s="76"/>
      <c r="J2356" s="73"/>
      <c r="K2356" s="74"/>
      <c r="L2356" s="72"/>
      <c r="M2356" s="72"/>
      <c r="N2356" s="72" t="str">
        <f>IF(AND(C2356="",J2356=0,K2356=0,L2356=0,M2356=0),"",CADASTROS!$B$4+SUM($J$2:J2356)+SUM($M$2:M2356)-SUM($K$2:K2356)-SUM($L$2:L2356))</f>
        <v/>
      </c>
      <c r="O2356" s="72" t="str">
        <f>IF(A2356="","",SUMIF(RATEIOS!$A$2:$A$3142,$A2356,RATEIOS!$F$2:$F$3142))</f>
        <v/>
      </c>
      <c r="P2356" s="15" t="str">
        <f t="shared" si="74"/>
        <v/>
      </c>
      <c r="Q2356" s="49" t="str">
        <f>IF(AND(J2356=0,K2356=0,L2356=0,M2356=0),"",IF(O2356=0,"PENDENTE DE RATEIO",IF(ABS(P2356)&gt;0.005,"DIVERGÊNCIA",IF(COUNTIF(RATEIOS!$A$2:$A$3142,$A2356)-COUNTIFS(RATEIOS!$A$2:$A$3142,$A2356,RATEIOS!$D$2:$D$3142,"&lt;&gt;")&gt;0,"NÃO CLASSIFICADO","RATEIO OK"))))</f>
        <v/>
      </c>
      <c r="R2356" s="49"/>
      <c r="S2356" s="14"/>
    </row>
    <row r="2357" spans="1:19" ht="30" customHeight="1" x14ac:dyDescent="0.25">
      <c r="A2357" s="49" t="str">
        <f>IF(C2357="","","BAN-02356")</f>
        <v/>
      </c>
      <c r="B2357" s="98" t="str">
        <f>IF(C2357="","",2356)</f>
        <v/>
      </c>
      <c r="C2357" s="50"/>
      <c r="D2357" s="49" t="str">
        <f t="shared" si="73"/>
        <v/>
      </c>
      <c r="E2357" s="92"/>
      <c r="F2357" s="49"/>
      <c r="G2357" s="14"/>
      <c r="H2357" s="14"/>
      <c r="I2357" s="76"/>
      <c r="J2357" s="73"/>
      <c r="K2357" s="74"/>
      <c r="L2357" s="72"/>
      <c r="M2357" s="72"/>
      <c r="N2357" s="72" t="str">
        <f>IF(AND(C2357="",J2357=0,K2357=0,L2357=0,M2357=0),"",CADASTROS!$B$4+SUM($J$2:J2357)+SUM($M$2:M2357)-SUM($K$2:K2357)-SUM($L$2:L2357))</f>
        <v/>
      </c>
      <c r="O2357" s="72" t="str">
        <f>IF(A2357="","",SUMIF(RATEIOS!$A$2:$A$3142,$A2357,RATEIOS!$F$2:$F$3142))</f>
        <v/>
      </c>
      <c r="P2357" s="15" t="str">
        <f t="shared" si="74"/>
        <v/>
      </c>
      <c r="Q2357" s="49" t="str">
        <f>IF(AND(J2357=0,K2357=0,L2357=0,M2357=0),"",IF(O2357=0,"PENDENTE DE RATEIO",IF(ABS(P2357)&gt;0.005,"DIVERGÊNCIA",IF(COUNTIF(RATEIOS!$A$2:$A$3142,$A2357)-COUNTIFS(RATEIOS!$A$2:$A$3142,$A2357,RATEIOS!$D$2:$D$3142,"&lt;&gt;")&gt;0,"NÃO CLASSIFICADO","RATEIO OK"))))</f>
        <v/>
      </c>
      <c r="R2357" s="49"/>
      <c r="S2357" s="14"/>
    </row>
    <row r="2358" spans="1:19" ht="30" customHeight="1" x14ac:dyDescent="0.25">
      <c r="A2358" s="49" t="str">
        <f>IF(C2358="","","BAN-02357")</f>
        <v/>
      </c>
      <c r="B2358" s="98" t="str">
        <f>IF(C2358="","",2357)</f>
        <v/>
      </c>
      <c r="C2358" s="50"/>
      <c r="D2358" s="49" t="str">
        <f t="shared" si="73"/>
        <v/>
      </c>
      <c r="E2358" s="92"/>
      <c r="F2358" s="49"/>
      <c r="G2358" s="14"/>
      <c r="H2358" s="14"/>
      <c r="I2358" s="76"/>
      <c r="J2358" s="73"/>
      <c r="K2358" s="74"/>
      <c r="L2358" s="72"/>
      <c r="M2358" s="72"/>
      <c r="N2358" s="72" t="str">
        <f>IF(AND(C2358="",J2358=0,K2358=0,L2358=0,M2358=0),"",CADASTROS!$B$4+SUM($J$2:J2358)+SUM($M$2:M2358)-SUM($K$2:K2358)-SUM($L$2:L2358))</f>
        <v/>
      </c>
      <c r="O2358" s="72" t="str">
        <f>IF(A2358="","",SUMIF(RATEIOS!$A$2:$A$3142,$A2358,RATEIOS!$F$2:$F$3142))</f>
        <v/>
      </c>
      <c r="P2358" s="15" t="str">
        <f t="shared" si="74"/>
        <v/>
      </c>
      <c r="Q2358" s="49" t="str">
        <f>IF(AND(J2358=0,K2358=0,L2358=0,M2358=0),"",IF(O2358=0,"PENDENTE DE RATEIO",IF(ABS(P2358)&gt;0.005,"DIVERGÊNCIA",IF(COUNTIF(RATEIOS!$A$2:$A$3142,$A2358)-COUNTIFS(RATEIOS!$A$2:$A$3142,$A2358,RATEIOS!$D$2:$D$3142,"&lt;&gt;")&gt;0,"NÃO CLASSIFICADO","RATEIO OK"))))</f>
        <v/>
      </c>
      <c r="R2358" s="49"/>
      <c r="S2358" s="14"/>
    </row>
    <row r="2359" spans="1:19" ht="30" customHeight="1" x14ac:dyDescent="0.25">
      <c r="A2359" s="49" t="str">
        <f>IF(C2359="","","BAN-02358")</f>
        <v/>
      </c>
      <c r="B2359" s="98" t="str">
        <f>IF(C2359="","",2358)</f>
        <v/>
      </c>
      <c r="C2359" s="50"/>
      <c r="D2359" s="49" t="str">
        <f t="shared" si="73"/>
        <v/>
      </c>
      <c r="E2359" s="92"/>
      <c r="F2359" s="49"/>
      <c r="G2359" s="14"/>
      <c r="H2359" s="14"/>
      <c r="I2359" s="76"/>
      <c r="J2359" s="73"/>
      <c r="K2359" s="74"/>
      <c r="L2359" s="72"/>
      <c r="M2359" s="72"/>
      <c r="N2359" s="72" t="str">
        <f>IF(AND(C2359="",J2359=0,K2359=0,L2359=0,M2359=0),"",CADASTROS!$B$4+SUM($J$2:J2359)+SUM($M$2:M2359)-SUM($K$2:K2359)-SUM($L$2:L2359))</f>
        <v/>
      </c>
      <c r="O2359" s="72" t="str">
        <f>IF(A2359="","",SUMIF(RATEIOS!$A$2:$A$3142,$A2359,RATEIOS!$F$2:$F$3142))</f>
        <v/>
      </c>
      <c r="P2359" s="15" t="str">
        <f t="shared" si="74"/>
        <v/>
      </c>
      <c r="Q2359" s="49" t="str">
        <f>IF(AND(J2359=0,K2359=0,L2359=0,M2359=0),"",IF(O2359=0,"PENDENTE DE RATEIO",IF(ABS(P2359)&gt;0.005,"DIVERGÊNCIA",IF(COUNTIF(RATEIOS!$A$2:$A$3142,$A2359)-COUNTIFS(RATEIOS!$A$2:$A$3142,$A2359,RATEIOS!$D$2:$D$3142,"&lt;&gt;")&gt;0,"NÃO CLASSIFICADO","RATEIO OK"))))</f>
        <v/>
      </c>
      <c r="R2359" s="49"/>
      <c r="S2359" s="14"/>
    </row>
    <row r="2360" spans="1:19" ht="30" customHeight="1" x14ac:dyDescent="0.25">
      <c r="A2360" s="49" t="str">
        <f>IF(C2360="","","BAN-02359")</f>
        <v/>
      </c>
      <c r="B2360" s="98" t="str">
        <f>IF(C2360="","",2359)</f>
        <v/>
      </c>
      <c r="C2360" s="50"/>
      <c r="D2360" s="49" t="str">
        <f t="shared" si="73"/>
        <v/>
      </c>
      <c r="E2360" s="92"/>
      <c r="F2360" s="49"/>
      <c r="G2360" s="14"/>
      <c r="H2360" s="14"/>
      <c r="I2360" s="76"/>
      <c r="J2360" s="73"/>
      <c r="K2360" s="74"/>
      <c r="L2360" s="72"/>
      <c r="M2360" s="72"/>
      <c r="N2360" s="72" t="str">
        <f>IF(AND(C2360="",J2360=0,K2360=0,L2360=0,M2360=0),"",CADASTROS!$B$4+SUM($J$2:J2360)+SUM($M$2:M2360)-SUM($K$2:K2360)-SUM($L$2:L2360))</f>
        <v/>
      </c>
      <c r="O2360" s="72" t="str">
        <f>IF(A2360="","",SUMIF(RATEIOS!$A$2:$A$3142,$A2360,RATEIOS!$F$2:$F$3142))</f>
        <v/>
      </c>
      <c r="P2360" s="15" t="str">
        <f t="shared" si="74"/>
        <v/>
      </c>
      <c r="Q2360" s="49" t="str">
        <f>IF(AND(J2360=0,K2360=0,L2360=0,M2360=0),"",IF(O2360=0,"PENDENTE DE RATEIO",IF(ABS(P2360)&gt;0.005,"DIVERGÊNCIA",IF(COUNTIF(RATEIOS!$A$2:$A$3142,$A2360)-COUNTIFS(RATEIOS!$A$2:$A$3142,$A2360,RATEIOS!$D$2:$D$3142,"&lt;&gt;")&gt;0,"NÃO CLASSIFICADO","RATEIO OK"))))</f>
        <v/>
      </c>
      <c r="R2360" s="49"/>
      <c r="S2360" s="14"/>
    </row>
    <row r="2361" spans="1:19" ht="30" customHeight="1" x14ac:dyDescent="0.25">
      <c r="A2361" s="49" t="str">
        <f>IF(C2361="","","BAN-02360")</f>
        <v/>
      </c>
      <c r="B2361" s="98" t="str">
        <f>IF(C2361="","",2360)</f>
        <v/>
      </c>
      <c r="C2361" s="50"/>
      <c r="D2361" s="49" t="str">
        <f t="shared" si="73"/>
        <v/>
      </c>
      <c r="E2361" s="92"/>
      <c r="F2361" s="49"/>
      <c r="G2361" s="14"/>
      <c r="H2361" s="14"/>
      <c r="I2361" s="76"/>
      <c r="J2361" s="73"/>
      <c r="K2361" s="74"/>
      <c r="L2361" s="72"/>
      <c r="M2361" s="72"/>
      <c r="N2361" s="72" t="str">
        <f>IF(AND(C2361="",J2361=0,K2361=0,L2361=0,M2361=0),"",CADASTROS!$B$4+SUM($J$2:J2361)+SUM($M$2:M2361)-SUM($K$2:K2361)-SUM($L$2:L2361))</f>
        <v/>
      </c>
      <c r="O2361" s="72" t="str">
        <f>IF(A2361="","",SUMIF(RATEIOS!$A$2:$A$3142,$A2361,RATEIOS!$F$2:$F$3142))</f>
        <v/>
      </c>
      <c r="P2361" s="15" t="str">
        <f t="shared" si="74"/>
        <v/>
      </c>
      <c r="Q2361" s="49" t="str">
        <f>IF(AND(J2361=0,K2361=0,L2361=0,M2361=0),"",IF(O2361=0,"PENDENTE DE RATEIO",IF(ABS(P2361)&gt;0.005,"DIVERGÊNCIA",IF(COUNTIF(RATEIOS!$A$2:$A$3142,$A2361)-COUNTIFS(RATEIOS!$A$2:$A$3142,$A2361,RATEIOS!$D$2:$D$3142,"&lt;&gt;")&gt;0,"NÃO CLASSIFICADO","RATEIO OK"))))</f>
        <v/>
      </c>
      <c r="R2361" s="49"/>
      <c r="S2361" s="14"/>
    </row>
    <row r="2362" spans="1:19" ht="30" customHeight="1" x14ac:dyDescent="0.25">
      <c r="A2362" s="49" t="str">
        <f>IF(C2362="","","BAN-02361")</f>
        <v/>
      </c>
      <c r="B2362" s="98" t="str">
        <f>IF(C2362="","",2361)</f>
        <v/>
      </c>
      <c r="C2362" s="50"/>
      <c r="D2362" s="49" t="str">
        <f t="shared" si="73"/>
        <v/>
      </c>
      <c r="E2362" s="92"/>
      <c r="F2362" s="49"/>
      <c r="G2362" s="14"/>
      <c r="H2362" s="14"/>
      <c r="I2362" s="76"/>
      <c r="J2362" s="73"/>
      <c r="K2362" s="74"/>
      <c r="L2362" s="72"/>
      <c r="M2362" s="72"/>
      <c r="N2362" s="72" t="str">
        <f>IF(AND(C2362="",J2362=0,K2362=0,L2362=0,M2362=0),"",CADASTROS!$B$4+SUM($J$2:J2362)+SUM($M$2:M2362)-SUM($K$2:K2362)-SUM($L$2:L2362))</f>
        <v/>
      </c>
      <c r="O2362" s="72" t="str">
        <f>IF(A2362="","",SUMIF(RATEIOS!$A$2:$A$3142,$A2362,RATEIOS!$F$2:$F$3142))</f>
        <v/>
      </c>
      <c r="P2362" s="15" t="str">
        <f t="shared" si="74"/>
        <v/>
      </c>
      <c r="Q2362" s="49" t="str">
        <f>IF(AND(J2362=0,K2362=0,L2362=0,M2362=0),"",IF(O2362=0,"PENDENTE DE RATEIO",IF(ABS(P2362)&gt;0.005,"DIVERGÊNCIA",IF(COUNTIF(RATEIOS!$A$2:$A$3142,$A2362)-COUNTIFS(RATEIOS!$A$2:$A$3142,$A2362,RATEIOS!$D$2:$D$3142,"&lt;&gt;")&gt;0,"NÃO CLASSIFICADO","RATEIO OK"))))</f>
        <v/>
      </c>
      <c r="R2362" s="49"/>
      <c r="S2362" s="14"/>
    </row>
    <row r="2363" spans="1:19" ht="30" customHeight="1" x14ac:dyDescent="0.25">
      <c r="A2363" s="49" t="str">
        <f>IF(C2363="","","BAN-02362")</f>
        <v/>
      </c>
      <c r="B2363" s="98" t="str">
        <f>IF(C2363="","",2362)</f>
        <v/>
      </c>
      <c r="C2363" s="50"/>
      <c r="D2363" s="49" t="str">
        <f t="shared" si="73"/>
        <v/>
      </c>
      <c r="E2363" s="92"/>
      <c r="F2363" s="49"/>
      <c r="G2363" s="14"/>
      <c r="H2363" s="14"/>
      <c r="I2363" s="76"/>
      <c r="J2363" s="73"/>
      <c r="K2363" s="74"/>
      <c r="L2363" s="72"/>
      <c r="M2363" s="72"/>
      <c r="N2363" s="72" t="str">
        <f>IF(AND(C2363="",J2363=0,K2363=0,L2363=0,M2363=0),"",CADASTROS!$B$4+SUM($J$2:J2363)+SUM($M$2:M2363)-SUM($K$2:K2363)-SUM($L$2:L2363))</f>
        <v/>
      </c>
      <c r="O2363" s="72" t="str">
        <f>IF(A2363="","",SUMIF(RATEIOS!$A$2:$A$3142,$A2363,RATEIOS!$F$2:$F$3142))</f>
        <v/>
      </c>
      <c r="P2363" s="15" t="str">
        <f t="shared" si="74"/>
        <v/>
      </c>
      <c r="Q2363" s="49" t="str">
        <f>IF(AND(J2363=0,K2363=0,L2363=0,M2363=0),"",IF(O2363=0,"PENDENTE DE RATEIO",IF(ABS(P2363)&gt;0.005,"DIVERGÊNCIA",IF(COUNTIF(RATEIOS!$A$2:$A$3142,$A2363)-COUNTIFS(RATEIOS!$A$2:$A$3142,$A2363,RATEIOS!$D$2:$D$3142,"&lt;&gt;")&gt;0,"NÃO CLASSIFICADO","RATEIO OK"))))</f>
        <v/>
      </c>
      <c r="R2363" s="49"/>
      <c r="S2363" s="14"/>
    </row>
    <row r="2364" spans="1:19" ht="30" customHeight="1" x14ac:dyDescent="0.25">
      <c r="A2364" s="49" t="str">
        <f>IF(C2364="","","BAN-02363")</f>
        <v/>
      </c>
      <c r="B2364" s="98" t="str">
        <f>IF(C2364="","",2363)</f>
        <v/>
      </c>
      <c r="C2364" s="50"/>
      <c r="D2364" s="49" t="str">
        <f t="shared" si="73"/>
        <v/>
      </c>
      <c r="E2364" s="92"/>
      <c r="F2364" s="49"/>
      <c r="G2364" s="14"/>
      <c r="H2364" s="14"/>
      <c r="I2364" s="76"/>
      <c r="J2364" s="73"/>
      <c r="K2364" s="74"/>
      <c r="L2364" s="72"/>
      <c r="M2364" s="72"/>
      <c r="N2364" s="72" t="str">
        <f>IF(AND(C2364="",J2364=0,K2364=0,L2364=0,M2364=0),"",CADASTROS!$B$4+SUM($J$2:J2364)+SUM($M$2:M2364)-SUM($K$2:K2364)-SUM($L$2:L2364))</f>
        <v/>
      </c>
      <c r="O2364" s="72" t="str">
        <f>IF(A2364="","",SUMIF(RATEIOS!$A$2:$A$3142,$A2364,RATEIOS!$F$2:$F$3142))</f>
        <v/>
      </c>
      <c r="P2364" s="15" t="str">
        <f t="shared" si="74"/>
        <v/>
      </c>
      <c r="Q2364" s="49" t="str">
        <f>IF(AND(J2364=0,K2364=0,L2364=0,M2364=0),"",IF(O2364=0,"PENDENTE DE RATEIO",IF(ABS(P2364)&gt;0.005,"DIVERGÊNCIA",IF(COUNTIF(RATEIOS!$A$2:$A$3142,$A2364)-COUNTIFS(RATEIOS!$A$2:$A$3142,$A2364,RATEIOS!$D$2:$D$3142,"&lt;&gt;")&gt;0,"NÃO CLASSIFICADO","RATEIO OK"))))</f>
        <v/>
      </c>
      <c r="R2364" s="49"/>
      <c r="S2364" s="14"/>
    </row>
    <row r="2365" spans="1:19" ht="30" customHeight="1" x14ac:dyDescent="0.25">
      <c r="A2365" s="49" t="str">
        <f>IF(C2365="","","BAN-02364")</f>
        <v/>
      </c>
      <c r="B2365" s="98" t="str">
        <f>IF(C2365="","",2364)</f>
        <v/>
      </c>
      <c r="C2365" s="50"/>
      <c r="D2365" s="49" t="str">
        <f t="shared" si="73"/>
        <v/>
      </c>
      <c r="E2365" s="92"/>
      <c r="F2365" s="49"/>
      <c r="G2365" s="14"/>
      <c r="H2365" s="14"/>
      <c r="I2365" s="76"/>
      <c r="J2365" s="73"/>
      <c r="K2365" s="74"/>
      <c r="L2365" s="72"/>
      <c r="M2365" s="72"/>
      <c r="N2365" s="72" t="str">
        <f>IF(AND(C2365="",J2365=0,K2365=0,L2365=0,M2365=0),"",CADASTROS!$B$4+SUM($J$2:J2365)+SUM($M$2:M2365)-SUM($K$2:K2365)-SUM($L$2:L2365))</f>
        <v/>
      </c>
      <c r="O2365" s="72" t="str">
        <f>IF(A2365="","",SUMIF(RATEIOS!$A$2:$A$3142,$A2365,RATEIOS!$F$2:$F$3142))</f>
        <v/>
      </c>
      <c r="P2365" s="15" t="str">
        <f t="shared" si="74"/>
        <v/>
      </c>
      <c r="Q2365" s="49" t="str">
        <f>IF(AND(J2365=0,K2365=0,L2365=0,M2365=0),"",IF(O2365=0,"PENDENTE DE RATEIO",IF(ABS(P2365)&gt;0.005,"DIVERGÊNCIA",IF(COUNTIF(RATEIOS!$A$2:$A$3142,$A2365)-COUNTIFS(RATEIOS!$A$2:$A$3142,$A2365,RATEIOS!$D$2:$D$3142,"&lt;&gt;")&gt;0,"NÃO CLASSIFICADO","RATEIO OK"))))</f>
        <v/>
      </c>
      <c r="R2365" s="49"/>
      <c r="S2365" s="14"/>
    </row>
    <row r="2366" spans="1:19" ht="30" customHeight="1" x14ac:dyDescent="0.25">
      <c r="A2366" s="49" t="str">
        <f>IF(C2366="","","BAN-02365")</f>
        <v/>
      </c>
      <c r="B2366" s="98" t="str">
        <f>IF(C2366="","",2365)</f>
        <v/>
      </c>
      <c r="C2366" s="50"/>
      <c r="D2366" s="49" t="str">
        <f t="shared" si="73"/>
        <v/>
      </c>
      <c r="E2366" s="92"/>
      <c r="F2366" s="49"/>
      <c r="G2366" s="14"/>
      <c r="H2366" s="14"/>
      <c r="I2366" s="76"/>
      <c r="J2366" s="73"/>
      <c r="K2366" s="74"/>
      <c r="L2366" s="72"/>
      <c r="M2366" s="72"/>
      <c r="N2366" s="72" t="str">
        <f>IF(AND(C2366="",J2366=0,K2366=0,L2366=0,M2366=0),"",CADASTROS!$B$4+SUM($J$2:J2366)+SUM($M$2:M2366)-SUM($K$2:K2366)-SUM($L$2:L2366))</f>
        <v/>
      </c>
      <c r="O2366" s="72" t="str">
        <f>IF(A2366="","",SUMIF(RATEIOS!$A$2:$A$3142,$A2366,RATEIOS!$F$2:$F$3142))</f>
        <v/>
      </c>
      <c r="P2366" s="15" t="str">
        <f t="shared" si="74"/>
        <v/>
      </c>
      <c r="Q2366" s="49" t="str">
        <f>IF(AND(J2366=0,K2366=0,L2366=0,M2366=0),"",IF(O2366=0,"PENDENTE DE RATEIO",IF(ABS(P2366)&gt;0.005,"DIVERGÊNCIA",IF(COUNTIF(RATEIOS!$A$2:$A$3142,$A2366)-COUNTIFS(RATEIOS!$A$2:$A$3142,$A2366,RATEIOS!$D$2:$D$3142,"&lt;&gt;")&gt;0,"NÃO CLASSIFICADO","RATEIO OK"))))</f>
        <v/>
      </c>
      <c r="R2366" s="49"/>
      <c r="S2366" s="14"/>
    </row>
    <row r="2367" spans="1:19" ht="30" customHeight="1" x14ac:dyDescent="0.25">
      <c r="A2367" s="49" t="str">
        <f>IF(C2367="","","BAN-02366")</f>
        <v/>
      </c>
      <c r="B2367" s="98" t="str">
        <f>IF(C2367="","",2366)</f>
        <v/>
      </c>
      <c r="C2367" s="50"/>
      <c r="D2367" s="49" t="str">
        <f t="shared" si="73"/>
        <v/>
      </c>
      <c r="E2367" s="92"/>
      <c r="F2367" s="49"/>
      <c r="G2367" s="14"/>
      <c r="H2367" s="14"/>
      <c r="I2367" s="76"/>
      <c r="J2367" s="73"/>
      <c r="K2367" s="74"/>
      <c r="L2367" s="72"/>
      <c r="M2367" s="72"/>
      <c r="N2367" s="72" t="str">
        <f>IF(AND(C2367="",J2367=0,K2367=0,L2367=0,M2367=0),"",CADASTROS!$B$4+SUM($J$2:J2367)+SUM($M$2:M2367)-SUM($K$2:K2367)-SUM($L$2:L2367))</f>
        <v/>
      </c>
      <c r="O2367" s="72" t="str">
        <f>IF(A2367="","",SUMIF(RATEIOS!$A$2:$A$3142,$A2367,RATEIOS!$F$2:$F$3142))</f>
        <v/>
      </c>
      <c r="P2367" s="15" t="str">
        <f t="shared" si="74"/>
        <v/>
      </c>
      <c r="Q2367" s="49" t="str">
        <f>IF(AND(J2367=0,K2367=0,L2367=0,M2367=0),"",IF(O2367=0,"PENDENTE DE RATEIO",IF(ABS(P2367)&gt;0.005,"DIVERGÊNCIA",IF(COUNTIF(RATEIOS!$A$2:$A$3142,$A2367)-COUNTIFS(RATEIOS!$A$2:$A$3142,$A2367,RATEIOS!$D$2:$D$3142,"&lt;&gt;")&gt;0,"NÃO CLASSIFICADO","RATEIO OK"))))</f>
        <v/>
      </c>
      <c r="R2367" s="49"/>
      <c r="S2367" s="14"/>
    </row>
    <row r="2368" spans="1:19" ht="30" customHeight="1" x14ac:dyDescent="0.25">
      <c r="A2368" s="49" t="str">
        <f>IF(C2368="","","BAN-02367")</f>
        <v/>
      </c>
      <c r="B2368" s="98" t="str">
        <f>IF(C2368="","",2367)</f>
        <v/>
      </c>
      <c r="C2368" s="50"/>
      <c r="D2368" s="49" t="str">
        <f t="shared" si="73"/>
        <v/>
      </c>
      <c r="E2368" s="92"/>
      <c r="F2368" s="49"/>
      <c r="G2368" s="14"/>
      <c r="H2368" s="14"/>
      <c r="I2368" s="76"/>
      <c r="J2368" s="73"/>
      <c r="K2368" s="74"/>
      <c r="L2368" s="72"/>
      <c r="M2368" s="72"/>
      <c r="N2368" s="72" t="str">
        <f>IF(AND(C2368="",J2368=0,K2368=0,L2368=0,M2368=0),"",CADASTROS!$B$4+SUM($J$2:J2368)+SUM($M$2:M2368)-SUM($K$2:K2368)-SUM($L$2:L2368))</f>
        <v/>
      </c>
      <c r="O2368" s="72" t="str">
        <f>IF(A2368="","",SUMIF(RATEIOS!$A$2:$A$3142,$A2368,RATEIOS!$F$2:$F$3142))</f>
        <v/>
      </c>
      <c r="P2368" s="15" t="str">
        <f t="shared" si="74"/>
        <v/>
      </c>
      <c r="Q2368" s="49" t="str">
        <f>IF(AND(J2368=0,K2368=0,L2368=0,M2368=0),"",IF(O2368=0,"PENDENTE DE RATEIO",IF(ABS(P2368)&gt;0.005,"DIVERGÊNCIA",IF(COUNTIF(RATEIOS!$A$2:$A$3142,$A2368)-COUNTIFS(RATEIOS!$A$2:$A$3142,$A2368,RATEIOS!$D$2:$D$3142,"&lt;&gt;")&gt;0,"NÃO CLASSIFICADO","RATEIO OK"))))</f>
        <v/>
      </c>
      <c r="R2368" s="49"/>
      <c r="S2368" s="14"/>
    </row>
    <row r="2369" spans="1:19" ht="30" customHeight="1" x14ac:dyDescent="0.25">
      <c r="A2369" s="49" t="str">
        <f>IF(C2369="","","BAN-02368")</f>
        <v/>
      </c>
      <c r="B2369" s="98" t="str">
        <f>IF(C2369="","",2368)</f>
        <v/>
      </c>
      <c r="C2369" s="50"/>
      <c r="D2369" s="49" t="str">
        <f t="shared" si="73"/>
        <v/>
      </c>
      <c r="E2369" s="92"/>
      <c r="F2369" s="49"/>
      <c r="G2369" s="14"/>
      <c r="H2369" s="14"/>
      <c r="I2369" s="76"/>
      <c r="J2369" s="73"/>
      <c r="K2369" s="74"/>
      <c r="L2369" s="72"/>
      <c r="M2369" s="72"/>
      <c r="N2369" s="72" t="str">
        <f>IF(AND(C2369="",J2369=0,K2369=0,L2369=0,M2369=0),"",CADASTROS!$B$4+SUM($J$2:J2369)+SUM($M$2:M2369)-SUM($K$2:K2369)-SUM($L$2:L2369))</f>
        <v/>
      </c>
      <c r="O2369" s="72" t="str">
        <f>IF(A2369="","",SUMIF(RATEIOS!$A$2:$A$3142,$A2369,RATEIOS!$F$2:$F$3142))</f>
        <v/>
      </c>
      <c r="P2369" s="15" t="str">
        <f t="shared" si="74"/>
        <v/>
      </c>
      <c r="Q2369" s="49" t="str">
        <f>IF(AND(J2369=0,K2369=0,L2369=0,M2369=0),"",IF(O2369=0,"PENDENTE DE RATEIO",IF(ABS(P2369)&gt;0.005,"DIVERGÊNCIA",IF(COUNTIF(RATEIOS!$A$2:$A$3142,$A2369)-COUNTIFS(RATEIOS!$A$2:$A$3142,$A2369,RATEIOS!$D$2:$D$3142,"&lt;&gt;")&gt;0,"NÃO CLASSIFICADO","RATEIO OK"))))</f>
        <v/>
      </c>
      <c r="R2369" s="49"/>
      <c r="S2369" s="14"/>
    </row>
    <row r="2370" spans="1:19" ht="30" customHeight="1" x14ac:dyDescent="0.25">
      <c r="A2370" s="49" t="str">
        <f>IF(C2370="","","BAN-02369")</f>
        <v/>
      </c>
      <c r="B2370" s="98" t="str">
        <f>IF(C2370="","",2369)</f>
        <v/>
      </c>
      <c r="C2370" s="50"/>
      <c r="D2370" s="49" t="str">
        <f t="shared" ref="D2370:D2433" si="75">IF(C2370="","",MONTH(C2370))</f>
        <v/>
      </c>
      <c r="E2370" s="92"/>
      <c r="F2370" s="49"/>
      <c r="G2370" s="14"/>
      <c r="H2370" s="14"/>
      <c r="I2370" s="76"/>
      <c r="J2370" s="73"/>
      <c r="K2370" s="74"/>
      <c r="L2370" s="72"/>
      <c r="M2370" s="72"/>
      <c r="N2370" s="72" t="str">
        <f>IF(AND(C2370="",J2370=0,K2370=0,L2370=0,M2370=0),"",CADASTROS!$B$4+SUM($J$2:J2370)+SUM($M$2:M2370)-SUM($K$2:K2370)-SUM($L$2:L2370))</f>
        <v/>
      </c>
      <c r="O2370" s="72" t="str">
        <f>IF(A2370="","",SUMIF(RATEIOS!$A$2:$A$3142,$A2370,RATEIOS!$F$2:$F$3142))</f>
        <v/>
      </c>
      <c r="P2370" s="15" t="str">
        <f t="shared" ref="P2370:P2433" si="76">IF(A2370="","",(J2370+K2370+L2370+M2370)-O2370)</f>
        <v/>
      </c>
      <c r="Q2370" s="49" t="str">
        <f>IF(AND(J2370=0,K2370=0,L2370=0,M2370=0),"",IF(O2370=0,"PENDENTE DE RATEIO",IF(ABS(P2370)&gt;0.005,"DIVERGÊNCIA",IF(COUNTIF(RATEIOS!$A$2:$A$3142,$A2370)-COUNTIFS(RATEIOS!$A$2:$A$3142,$A2370,RATEIOS!$D$2:$D$3142,"&lt;&gt;")&gt;0,"NÃO CLASSIFICADO","RATEIO OK"))))</f>
        <v/>
      </c>
      <c r="R2370" s="49"/>
      <c r="S2370" s="14"/>
    </row>
    <row r="2371" spans="1:19" ht="30" customHeight="1" x14ac:dyDescent="0.25">
      <c r="A2371" s="49" t="str">
        <f>IF(C2371="","","BAN-02370")</f>
        <v/>
      </c>
      <c r="B2371" s="98" t="str">
        <f>IF(C2371="","",2370)</f>
        <v/>
      </c>
      <c r="C2371" s="50"/>
      <c r="D2371" s="49" t="str">
        <f t="shared" si="75"/>
        <v/>
      </c>
      <c r="E2371" s="92"/>
      <c r="F2371" s="49"/>
      <c r="G2371" s="14"/>
      <c r="H2371" s="14"/>
      <c r="I2371" s="76"/>
      <c r="J2371" s="73"/>
      <c r="K2371" s="74"/>
      <c r="L2371" s="72"/>
      <c r="M2371" s="72"/>
      <c r="N2371" s="72" t="str">
        <f>IF(AND(C2371="",J2371=0,K2371=0,L2371=0,M2371=0),"",CADASTROS!$B$4+SUM($J$2:J2371)+SUM($M$2:M2371)-SUM($K$2:K2371)-SUM($L$2:L2371))</f>
        <v/>
      </c>
      <c r="O2371" s="72" t="str">
        <f>IF(A2371="","",SUMIF(RATEIOS!$A$2:$A$3142,$A2371,RATEIOS!$F$2:$F$3142))</f>
        <v/>
      </c>
      <c r="P2371" s="15" t="str">
        <f t="shared" si="76"/>
        <v/>
      </c>
      <c r="Q2371" s="49" t="str">
        <f>IF(AND(J2371=0,K2371=0,L2371=0,M2371=0),"",IF(O2371=0,"PENDENTE DE RATEIO",IF(ABS(P2371)&gt;0.005,"DIVERGÊNCIA",IF(COUNTIF(RATEIOS!$A$2:$A$3142,$A2371)-COUNTIFS(RATEIOS!$A$2:$A$3142,$A2371,RATEIOS!$D$2:$D$3142,"&lt;&gt;")&gt;0,"NÃO CLASSIFICADO","RATEIO OK"))))</f>
        <v/>
      </c>
      <c r="R2371" s="49"/>
      <c r="S2371" s="14"/>
    </row>
    <row r="2372" spans="1:19" ht="30" customHeight="1" x14ac:dyDescent="0.25">
      <c r="A2372" s="49" t="str">
        <f>IF(C2372="","","BAN-02371")</f>
        <v/>
      </c>
      <c r="B2372" s="98" t="str">
        <f>IF(C2372="","",2371)</f>
        <v/>
      </c>
      <c r="C2372" s="50"/>
      <c r="D2372" s="49" t="str">
        <f t="shared" si="75"/>
        <v/>
      </c>
      <c r="E2372" s="92"/>
      <c r="F2372" s="49"/>
      <c r="G2372" s="14"/>
      <c r="H2372" s="14"/>
      <c r="I2372" s="76"/>
      <c r="J2372" s="73"/>
      <c r="K2372" s="74"/>
      <c r="L2372" s="72"/>
      <c r="M2372" s="72"/>
      <c r="N2372" s="72" t="str">
        <f>IF(AND(C2372="",J2372=0,K2372=0,L2372=0,M2372=0),"",CADASTROS!$B$4+SUM($J$2:J2372)+SUM($M$2:M2372)-SUM($K$2:K2372)-SUM($L$2:L2372))</f>
        <v/>
      </c>
      <c r="O2372" s="72" t="str">
        <f>IF(A2372="","",SUMIF(RATEIOS!$A$2:$A$3142,$A2372,RATEIOS!$F$2:$F$3142))</f>
        <v/>
      </c>
      <c r="P2372" s="15" t="str">
        <f t="shared" si="76"/>
        <v/>
      </c>
      <c r="Q2372" s="49" t="str">
        <f>IF(AND(J2372=0,K2372=0,L2372=0,M2372=0),"",IF(O2372=0,"PENDENTE DE RATEIO",IF(ABS(P2372)&gt;0.005,"DIVERGÊNCIA",IF(COUNTIF(RATEIOS!$A$2:$A$3142,$A2372)-COUNTIFS(RATEIOS!$A$2:$A$3142,$A2372,RATEIOS!$D$2:$D$3142,"&lt;&gt;")&gt;0,"NÃO CLASSIFICADO","RATEIO OK"))))</f>
        <v/>
      </c>
      <c r="R2372" s="49"/>
      <c r="S2372" s="14"/>
    </row>
    <row r="2373" spans="1:19" ht="30" customHeight="1" x14ac:dyDescent="0.25">
      <c r="A2373" s="49" t="str">
        <f>IF(C2373="","","BAN-02372")</f>
        <v/>
      </c>
      <c r="B2373" s="98" t="str">
        <f>IF(C2373="","",2372)</f>
        <v/>
      </c>
      <c r="C2373" s="50"/>
      <c r="D2373" s="49" t="str">
        <f t="shared" si="75"/>
        <v/>
      </c>
      <c r="E2373" s="92"/>
      <c r="F2373" s="49"/>
      <c r="G2373" s="14"/>
      <c r="H2373" s="14"/>
      <c r="I2373" s="76"/>
      <c r="J2373" s="73"/>
      <c r="K2373" s="74"/>
      <c r="L2373" s="72"/>
      <c r="M2373" s="72"/>
      <c r="N2373" s="72" t="str">
        <f>IF(AND(C2373="",J2373=0,K2373=0,L2373=0,M2373=0),"",CADASTROS!$B$4+SUM($J$2:J2373)+SUM($M$2:M2373)-SUM($K$2:K2373)-SUM($L$2:L2373))</f>
        <v/>
      </c>
      <c r="O2373" s="72" t="str">
        <f>IF(A2373="","",SUMIF(RATEIOS!$A$2:$A$3142,$A2373,RATEIOS!$F$2:$F$3142))</f>
        <v/>
      </c>
      <c r="P2373" s="15" t="str">
        <f t="shared" si="76"/>
        <v/>
      </c>
      <c r="Q2373" s="49" t="str">
        <f>IF(AND(J2373=0,K2373=0,L2373=0,M2373=0),"",IF(O2373=0,"PENDENTE DE RATEIO",IF(ABS(P2373)&gt;0.005,"DIVERGÊNCIA",IF(COUNTIF(RATEIOS!$A$2:$A$3142,$A2373)-COUNTIFS(RATEIOS!$A$2:$A$3142,$A2373,RATEIOS!$D$2:$D$3142,"&lt;&gt;")&gt;0,"NÃO CLASSIFICADO","RATEIO OK"))))</f>
        <v/>
      </c>
      <c r="R2373" s="49"/>
      <c r="S2373" s="14"/>
    </row>
    <row r="2374" spans="1:19" ht="30" customHeight="1" x14ac:dyDescent="0.25">
      <c r="A2374" s="49" t="str">
        <f>IF(C2374="","","BAN-02373")</f>
        <v/>
      </c>
      <c r="B2374" s="98" t="str">
        <f>IF(C2374="","",2373)</f>
        <v/>
      </c>
      <c r="C2374" s="50"/>
      <c r="D2374" s="49" t="str">
        <f t="shared" si="75"/>
        <v/>
      </c>
      <c r="E2374" s="92"/>
      <c r="F2374" s="49"/>
      <c r="G2374" s="14"/>
      <c r="H2374" s="14"/>
      <c r="I2374" s="76"/>
      <c r="J2374" s="73"/>
      <c r="K2374" s="74"/>
      <c r="L2374" s="72"/>
      <c r="M2374" s="72"/>
      <c r="N2374" s="72" t="str">
        <f>IF(AND(C2374="",J2374=0,K2374=0,L2374=0,M2374=0),"",CADASTROS!$B$4+SUM($J$2:J2374)+SUM($M$2:M2374)-SUM($K$2:K2374)-SUM($L$2:L2374))</f>
        <v/>
      </c>
      <c r="O2374" s="72" t="str">
        <f>IF(A2374="","",SUMIF(RATEIOS!$A$2:$A$3142,$A2374,RATEIOS!$F$2:$F$3142))</f>
        <v/>
      </c>
      <c r="P2374" s="15" t="str">
        <f t="shared" si="76"/>
        <v/>
      </c>
      <c r="Q2374" s="49" t="str">
        <f>IF(AND(J2374=0,K2374=0,L2374=0,M2374=0),"",IF(O2374=0,"PENDENTE DE RATEIO",IF(ABS(P2374)&gt;0.005,"DIVERGÊNCIA",IF(COUNTIF(RATEIOS!$A$2:$A$3142,$A2374)-COUNTIFS(RATEIOS!$A$2:$A$3142,$A2374,RATEIOS!$D$2:$D$3142,"&lt;&gt;")&gt;0,"NÃO CLASSIFICADO","RATEIO OK"))))</f>
        <v/>
      </c>
      <c r="R2374" s="49"/>
      <c r="S2374" s="14"/>
    </row>
    <row r="2375" spans="1:19" ht="30" customHeight="1" x14ac:dyDescent="0.25">
      <c r="A2375" s="49" t="str">
        <f>IF(C2375="","","BAN-02374")</f>
        <v/>
      </c>
      <c r="B2375" s="98" t="str">
        <f>IF(C2375="","",2374)</f>
        <v/>
      </c>
      <c r="C2375" s="50"/>
      <c r="D2375" s="49" t="str">
        <f t="shared" si="75"/>
        <v/>
      </c>
      <c r="E2375" s="92"/>
      <c r="F2375" s="49"/>
      <c r="G2375" s="14"/>
      <c r="H2375" s="14"/>
      <c r="I2375" s="76"/>
      <c r="J2375" s="73"/>
      <c r="K2375" s="74"/>
      <c r="L2375" s="72"/>
      <c r="M2375" s="72"/>
      <c r="N2375" s="72" t="str">
        <f>IF(AND(C2375="",J2375=0,K2375=0,L2375=0,M2375=0),"",CADASTROS!$B$4+SUM($J$2:J2375)+SUM($M$2:M2375)-SUM($K$2:K2375)-SUM($L$2:L2375))</f>
        <v/>
      </c>
      <c r="O2375" s="72" t="str">
        <f>IF(A2375="","",SUMIF(RATEIOS!$A$2:$A$3142,$A2375,RATEIOS!$F$2:$F$3142))</f>
        <v/>
      </c>
      <c r="P2375" s="15" t="str">
        <f t="shared" si="76"/>
        <v/>
      </c>
      <c r="Q2375" s="49" t="str">
        <f>IF(AND(J2375=0,K2375=0,L2375=0,M2375=0),"",IF(O2375=0,"PENDENTE DE RATEIO",IF(ABS(P2375)&gt;0.005,"DIVERGÊNCIA",IF(COUNTIF(RATEIOS!$A$2:$A$3142,$A2375)-COUNTIFS(RATEIOS!$A$2:$A$3142,$A2375,RATEIOS!$D$2:$D$3142,"&lt;&gt;")&gt;0,"NÃO CLASSIFICADO","RATEIO OK"))))</f>
        <v/>
      </c>
      <c r="R2375" s="49"/>
      <c r="S2375" s="14"/>
    </row>
    <row r="2376" spans="1:19" ht="30" customHeight="1" x14ac:dyDescent="0.25">
      <c r="A2376" s="49" t="str">
        <f>IF(C2376="","","BAN-02375")</f>
        <v/>
      </c>
      <c r="B2376" s="98" t="str">
        <f>IF(C2376="","",2375)</f>
        <v/>
      </c>
      <c r="C2376" s="50"/>
      <c r="D2376" s="49" t="str">
        <f t="shared" si="75"/>
        <v/>
      </c>
      <c r="E2376" s="92"/>
      <c r="F2376" s="49"/>
      <c r="G2376" s="14"/>
      <c r="H2376" s="14"/>
      <c r="I2376" s="76"/>
      <c r="J2376" s="73"/>
      <c r="K2376" s="74"/>
      <c r="L2376" s="72"/>
      <c r="M2376" s="72"/>
      <c r="N2376" s="72" t="str">
        <f>IF(AND(C2376="",J2376=0,K2376=0,L2376=0,M2376=0),"",CADASTROS!$B$4+SUM($J$2:J2376)+SUM($M$2:M2376)-SUM($K$2:K2376)-SUM($L$2:L2376))</f>
        <v/>
      </c>
      <c r="O2376" s="72" t="str">
        <f>IF(A2376="","",SUMIF(RATEIOS!$A$2:$A$3142,$A2376,RATEIOS!$F$2:$F$3142))</f>
        <v/>
      </c>
      <c r="P2376" s="15" t="str">
        <f t="shared" si="76"/>
        <v/>
      </c>
      <c r="Q2376" s="49" t="str">
        <f>IF(AND(J2376=0,K2376=0,L2376=0,M2376=0),"",IF(O2376=0,"PENDENTE DE RATEIO",IF(ABS(P2376)&gt;0.005,"DIVERGÊNCIA",IF(COUNTIF(RATEIOS!$A$2:$A$3142,$A2376)-COUNTIFS(RATEIOS!$A$2:$A$3142,$A2376,RATEIOS!$D$2:$D$3142,"&lt;&gt;")&gt;0,"NÃO CLASSIFICADO","RATEIO OK"))))</f>
        <v/>
      </c>
      <c r="R2376" s="49"/>
      <c r="S2376" s="14"/>
    </row>
    <row r="2377" spans="1:19" ht="30" customHeight="1" x14ac:dyDescent="0.25">
      <c r="A2377" s="49" t="str">
        <f>IF(C2377="","","BAN-02376")</f>
        <v/>
      </c>
      <c r="B2377" s="98" t="str">
        <f>IF(C2377="","",2376)</f>
        <v/>
      </c>
      <c r="C2377" s="50"/>
      <c r="D2377" s="49" t="str">
        <f t="shared" si="75"/>
        <v/>
      </c>
      <c r="E2377" s="92"/>
      <c r="F2377" s="49"/>
      <c r="G2377" s="14"/>
      <c r="H2377" s="14"/>
      <c r="I2377" s="76"/>
      <c r="J2377" s="73"/>
      <c r="K2377" s="74"/>
      <c r="L2377" s="72"/>
      <c r="M2377" s="72"/>
      <c r="N2377" s="72" t="str">
        <f>IF(AND(C2377="",J2377=0,K2377=0,L2377=0,M2377=0),"",CADASTROS!$B$4+SUM($J$2:J2377)+SUM($M$2:M2377)-SUM($K$2:K2377)-SUM($L$2:L2377))</f>
        <v/>
      </c>
      <c r="O2377" s="72" t="str">
        <f>IF(A2377="","",SUMIF(RATEIOS!$A$2:$A$3142,$A2377,RATEIOS!$F$2:$F$3142))</f>
        <v/>
      </c>
      <c r="P2377" s="15" t="str">
        <f t="shared" si="76"/>
        <v/>
      </c>
      <c r="Q2377" s="49" t="str">
        <f>IF(AND(J2377=0,K2377=0,L2377=0,M2377=0),"",IF(O2377=0,"PENDENTE DE RATEIO",IF(ABS(P2377)&gt;0.005,"DIVERGÊNCIA",IF(COUNTIF(RATEIOS!$A$2:$A$3142,$A2377)-COUNTIFS(RATEIOS!$A$2:$A$3142,$A2377,RATEIOS!$D$2:$D$3142,"&lt;&gt;")&gt;0,"NÃO CLASSIFICADO","RATEIO OK"))))</f>
        <v/>
      </c>
      <c r="R2377" s="49"/>
      <c r="S2377" s="14"/>
    </row>
    <row r="2378" spans="1:19" ht="30" customHeight="1" x14ac:dyDescent="0.25">
      <c r="A2378" s="49" t="str">
        <f>IF(C2378="","","BAN-02377")</f>
        <v/>
      </c>
      <c r="B2378" s="98" t="str">
        <f>IF(C2378="","",2377)</f>
        <v/>
      </c>
      <c r="C2378" s="50"/>
      <c r="D2378" s="49" t="str">
        <f t="shared" si="75"/>
        <v/>
      </c>
      <c r="E2378" s="92"/>
      <c r="F2378" s="49"/>
      <c r="G2378" s="14"/>
      <c r="H2378" s="14"/>
      <c r="I2378" s="76"/>
      <c r="J2378" s="73"/>
      <c r="K2378" s="74"/>
      <c r="L2378" s="72"/>
      <c r="M2378" s="72"/>
      <c r="N2378" s="72" t="str">
        <f>IF(AND(C2378="",J2378=0,K2378=0,L2378=0,M2378=0),"",CADASTROS!$B$4+SUM($J$2:J2378)+SUM($M$2:M2378)-SUM($K$2:K2378)-SUM($L$2:L2378))</f>
        <v/>
      </c>
      <c r="O2378" s="72" t="str">
        <f>IF(A2378="","",SUMIF(RATEIOS!$A$2:$A$3142,$A2378,RATEIOS!$F$2:$F$3142))</f>
        <v/>
      </c>
      <c r="P2378" s="15" t="str">
        <f t="shared" si="76"/>
        <v/>
      </c>
      <c r="Q2378" s="49" t="str">
        <f>IF(AND(J2378=0,K2378=0,L2378=0,M2378=0),"",IF(O2378=0,"PENDENTE DE RATEIO",IF(ABS(P2378)&gt;0.005,"DIVERGÊNCIA",IF(COUNTIF(RATEIOS!$A$2:$A$3142,$A2378)-COUNTIFS(RATEIOS!$A$2:$A$3142,$A2378,RATEIOS!$D$2:$D$3142,"&lt;&gt;")&gt;0,"NÃO CLASSIFICADO","RATEIO OK"))))</f>
        <v/>
      </c>
      <c r="R2378" s="49"/>
      <c r="S2378" s="14"/>
    </row>
    <row r="2379" spans="1:19" ht="30" customHeight="1" x14ac:dyDescent="0.25">
      <c r="A2379" s="49" t="str">
        <f>IF(C2379="","","BAN-02378")</f>
        <v/>
      </c>
      <c r="B2379" s="98" t="str">
        <f>IF(C2379="","",2378)</f>
        <v/>
      </c>
      <c r="C2379" s="50"/>
      <c r="D2379" s="49" t="str">
        <f t="shared" si="75"/>
        <v/>
      </c>
      <c r="E2379" s="92"/>
      <c r="F2379" s="49"/>
      <c r="G2379" s="14"/>
      <c r="H2379" s="14"/>
      <c r="I2379" s="76"/>
      <c r="J2379" s="73"/>
      <c r="K2379" s="74"/>
      <c r="L2379" s="72"/>
      <c r="M2379" s="72"/>
      <c r="N2379" s="72" t="str">
        <f>IF(AND(C2379="",J2379=0,K2379=0,L2379=0,M2379=0),"",CADASTROS!$B$4+SUM($J$2:J2379)+SUM($M$2:M2379)-SUM($K$2:K2379)-SUM($L$2:L2379))</f>
        <v/>
      </c>
      <c r="O2379" s="72" t="str">
        <f>IF(A2379="","",SUMIF(RATEIOS!$A$2:$A$3142,$A2379,RATEIOS!$F$2:$F$3142))</f>
        <v/>
      </c>
      <c r="P2379" s="15" t="str">
        <f t="shared" si="76"/>
        <v/>
      </c>
      <c r="Q2379" s="49" t="str">
        <f>IF(AND(J2379=0,K2379=0,L2379=0,M2379=0),"",IF(O2379=0,"PENDENTE DE RATEIO",IF(ABS(P2379)&gt;0.005,"DIVERGÊNCIA",IF(COUNTIF(RATEIOS!$A$2:$A$3142,$A2379)-COUNTIFS(RATEIOS!$A$2:$A$3142,$A2379,RATEIOS!$D$2:$D$3142,"&lt;&gt;")&gt;0,"NÃO CLASSIFICADO","RATEIO OK"))))</f>
        <v/>
      </c>
      <c r="R2379" s="49"/>
      <c r="S2379" s="14"/>
    </row>
    <row r="2380" spans="1:19" ht="30" customHeight="1" x14ac:dyDescent="0.25">
      <c r="A2380" s="49" t="str">
        <f>IF(C2380="","","BAN-02379")</f>
        <v/>
      </c>
      <c r="B2380" s="98" t="str">
        <f>IF(C2380="","",2379)</f>
        <v/>
      </c>
      <c r="C2380" s="50"/>
      <c r="D2380" s="49" t="str">
        <f t="shared" si="75"/>
        <v/>
      </c>
      <c r="E2380" s="92"/>
      <c r="F2380" s="49"/>
      <c r="G2380" s="14"/>
      <c r="H2380" s="14"/>
      <c r="I2380" s="76"/>
      <c r="J2380" s="73"/>
      <c r="K2380" s="74"/>
      <c r="L2380" s="72"/>
      <c r="M2380" s="72"/>
      <c r="N2380" s="72" t="str">
        <f>IF(AND(C2380="",J2380=0,K2380=0,L2380=0,M2380=0),"",CADASTROS!$B$4+SUM($J$2:J2380)+SUM($M$2:M2380)-SUM($K$2:K2380)-SUM($L$2:L2380))</f>
        <v/>
      </c>
      <c r="O2380" s="72" t="str">
        <f>IF(A2380="","",SUMIF(RATEIOS!$A$2:$A$3142,$A2380,RATEIOS!$F$2:$F$3142))</f>
        <v/>
      </c>
      <c r="P2380" s="15" t="str">
        <f t="shared" si="76"/>
        <v/>
      </c>
      <c r="Q2380" s="49" t="str">
        <f>IF(AND(J2380=0,K2380=0,L2380=0,M2380=0),"",IF(O2380=0,"PENDENTE DE RATEIO",IF(ABS(P2380)&gt;0.005,"DIVERGÊNCIA",IF(COUNTIF(RATEIOS!$A$2:$A$3142,$A2380)-COUNTIFS(RATEIOS!$A$2:$A$3142,$A2380,RATEIOS!$D$2:$D$3142,"&lt;&gt;")&gt;0,"NÃO CLASSIFICADO","RATEIO OK"))))</f>
        <v/>
      </c>
      <c r="R2380" s="49"/>
      <c r="S2380" s="14"/>
    </row>
    <row r="2381" spans="1:19" ht="30" customHeight="1" x14ac:dyDescent="0.25">
      <c r="A2381" s="49" t="str">
        <f>IF(C2381="","","BAN-02380")</f>
        <v/>
      </c>
      <c r="B2381" s="98" t="str">
        <f>IF(C2381="","",2380)</f>
        <v/>
      </c>
      <c r="C2381" s="50"/>
      <c r="D2381" s="49" t="str">
        <f t="shared" si="75"/>
        <v/>
      </c>
      <c r="E2381" s="92"/>
      <c r="F2381" s="49"/>
      <c r="G2381" s="14"/>
      <c r="H2381" s="14"/>
      <c r="I2381" s="76"/>
      <c r="J2381" s="73"/>
      <c r="K2381" s="74"/>
      <c r="L2381" s="72"/>
      <c r="M2381" s="72"/>
      <c r="N2381" s="72" t="str">
        <f>IF(AND(C2381="",J2381=0,K2381=0,L2381=0,M2381=0),"",CADASTROS!$B$4+SUM($J$2:J2381)+SUM($M$2:M2381)-SUM($K$2:K2381)-SUM($L$2:L2381))</f>
        <v/>
      </c>
      <c r="O2381" s="72" t="str">
        <f>IF(A2381="","",SUMIF(RATEIOS!$A$2:$A$3142,$A2381,RATEIOS!$F$2:$F$3142))</f>
        <v/>
      </c>
      <c r="P2381" s="15" t="str">
        <f t="shared" si="76"/>
        <v/>
      </c>
      <c r="Q2381" s="49" t="str">
        <f>IF(AND(J2381=0,K2381=0,L2381=0,M2381=0),"",IF(O2381=0,"PENDENTE DE RATEIO",IF(ABS(P2381)&gt;0.005,"DIVERGÊNCIA",IF(COUNTIF(RATEIOS!$A$2:$A$3142,$A2381)-COUNTIFS(RATEIOS!$A$2:$A$3142,$A2381,RATEIOS!$D$2:$D$3142,"&lt;&gt;")&gt;0,"NÃO CLASSIFICADO","RATEIO OK"))))</f>
        <v/>
      </c>
      <c r="R2381" s="49"/>
      <c r="S2381" s="14"/>
    </row>
    <row r="2382" spans="1:19" ht="30" customHeight="1" x14ac:dyDescent="0.25">
      <c r="A2382" s="49" t="str">
        <f>IF(C2382="","","BAN-02381")</f>
        <v/>
      </c>
      <c r="B2382" s="98" t="str">
        <f>IF(C2382="","",2381)</f>
        <v/>
      </c>
      <c r="C2382" s="50"/>
      <c r="D2382" s="49" t="str">
        <f t="shared" si="75"/>
        <v/>
      </c>
      <c r="E2382" s="92"/>
      <c r="F2382" s="49"/>
      <c r="G2382" s="14"/>
      <c r="H2382" s="14"/>
      <c r="I2382" s="76"/>
      <c r="J2382" s="73"/>
      <c r="K2382" s="74"/>
      <c r="L2382" s="72"/>
      <c r="M2382" s="72"/>
      <c r="N2382" s="72" t="str">
        <f>IF(AND(C2382="",J2382=0,K2382=0,L2382=0,M2382=0),"",CADASTROS!$B$4+SUM($J$2:J2382)+SUM($M$2:M2382)-SUM($K$2:K2382)-SUM($L$2:L2382))</f>
        <v/>
      </c>
      <c r="O2382" s="72" t="str">
        <f>IF(A2382="","",SUMIF(RATEIOS!$A$2:$A$3142,$A2382,RATEIOS!$F$2:$F$3142))</f>
        <v/>
      </c>
      <c r="P2382" s="15" t="str">
        <f t="shared" si="76"/>
        <v/>
      </c>
      <c r="Q2382" s="49" t="str">
        <f>IF(AND(J2382=0,K2382=0,L2382=0,M2382=0),"",IF(O2382=0,"PENDENTE DE RATEIO",IF(ABS(P2382)&gt;0.005,"DIVERGÊNCIA",IF(COUNTIF(RATEIOS!$A$2:$A$3142,$A2382)-COUNTIFS(RATEIOS!$A$2:$A$3142,$A2382,RATEIOS!$D$2:$D$3142,"&lt;&gt;")&gt;0,"NÃO CLASSIFICADO","RATEIO OK"))))</f>
        <v/>
      </c>
      <c r="R2382" s="49"/>
      <c r="S2382" s="14"/>
    </row>
    <row r="2383" spans="1:19" ht="30" customHeight="1" x14ac:dyDescent="0.25">
      <c r="A2383" s="49" t="str">
        <f>IF(C2383="","","BAN-02382")</f>
        <v/>
      </c>
      <c r="B2383" s="98" t="str">
        <f>IF(C2383="","",2382)</f>
        <v/>
      </c>
      <c r="C2383" s="50"/>
      <c r="D2383" s="49" t="str">
        <f t="shared" si="75"/>
        <v/>
      </c>
      <c r="E2383" s="92"/>
      <c r="F2383" s="49"/>
      <c r="G2383" s="14"/>
      <c r="H2383" s="14"/>
      <c r="I2383" s="76"/>
      <c r="J2383" s="73"/>
      <c r="K2383" s="74"/>
      <c r="L2383" s="72"/>
      <c r="M2383" s="72"/>
      <c r="N2383" s="72" t="str">
        <f>IF(AND(C2383="",J2383=0,K2383=0,L2383=0,M2383=0),"",CADASTROS!$B$4+SUM($J$2:J2383)+SUM($M$2:M2383)-SUM($K$2:K2383)-SUM($L$2:L2383))</f>
        <v/>
      </c>
      <c r="O2383" s="72" t="str">
        <f>IF(A2383="","",SUMIF(RATEIOS!$A$2:$A$3142,$A2383,RATEIOS!$F$2:$F$3142))</f>
        <v/>
      </c>
      <c r="P2383" s="15" t="str">
        <f t="shared" si="76"/>
        <v/>
      </c>
      <c r="Q2383" s="49" t="str">
        <f>IF(AND(J2383=0,K2383=0,L2383=0,M2383=0),"",IF(O2383=0,"PENDENTE DE RATEIO",IF(ABS(P2383)&gt;0.005,"DIVERGÊNCIA",IF(COUNTIF(RATEIOS!$A$2:$A$3142,$A2383)-COUNTIFS(RATEIOS!$A$2:$A$3142,$A2383,RATEIOS!$D$2:$D$3142,"&lt;&gt;")&gt;0,"NÃO CLASSIFICADO","RATEIO OK"))))</f>
        <v/>
      </c>
      <c r="R2383" s="49"/>
      <c r="S2383" s="14"/>
    </row>
    <row r="2384" spans="1:19" ht="30" customHeight="1" x14ac:dyDescent="0.25">
      <c r="A2384" s="49" t="str">
        <f>IF(C2384="","","BAN-02383")</f>
        <v/>
      </c>
      <c r="B2384" s="98" t="str">
        <f>IF(C2384="","",2383)</f>
        <v/>
      </c>
      <c r="C2384" s="50"/>
      <c r="D2384" s="49" t="str">
        <f t="shared" si="75"/>
        <v/>
      </c>
      <c r="E2384" s="92"/>
      <c r="F2384" s="49"/>
      <c r="G2384" s="14"/>
      <c r="H2384" s="14"/>
      <c r="I2384" s="76"/>
      <c r="J2384" s="73"/>
      <c r="K2384" s="74"/>
      <c r="L2384" s="72"/>
      <c r="M2384" s="72"/>
      <c r="N2384" s="72" t="str">
        <f>IF(AND(C2384="",J2384=0,K2384=0,L2384=0,M2384=0),"",CADASTROS!$B$4+SUM($J$2:J2384)+SUM($M$2:M2384)-SUM($K$2:K2384)-SUM($L$2:L2384))</f>
        <v/>
      </c>
      <c r="O2384" s="72" t="str">
        <f>IF(A2384="","",SUMIF(RATEIOS!$A$2:$A$3142,$A2384,RATEIOS!$F$2:$F$3142))</f>
        <v/>
      </c>
      <c r="P2384" s="15" t="str">
        <f t="shared" si="76"/>
        <v/>
      </c>
      <c r="Q2384" s="49" t="str">
        <f>IF(AND(J2384=0,K2384=0,L2384=0,M2384=0),"",IF(O2384=0,"PENDENTE DE RATEIO",IF(ABS(P2384)&gt;0.005,"DIVERGÊNCIA",IF(COUNTIF(RATEIOS!$A$2:$A$3142,$A2384)-COUNTIFS(RATEIOS!$A$2:$A$3142,$A2384,RATEIOS!$D$2:$D$3142,"&lt;&gt;")&gt;0,"NÃO CLASSIFICADO","RATEIO OK"))))</f>
        <v/>
      </c>
      <c r="R2384" s="49"/>
      <c r="S2384" s="14"/>
    </row>
    <row r="2385" spans="1:19" ht="30" customHeight="1" x14ac:dyDescent="0.25">
      <c r="A2385" s="49" t="str">
        <f>IF(C2385="","","BAN-02384")</f>
        <v/>
      </c>
      <c r="B2385" s="98" t="str">
        <f>IF(C2385="","",2384)</f>
        <v/>
      </c>
      <c r="C2385" s="50"/>
      <c r="D2385" s="49" t="str">
        <f t="shared" si="75"/>
        <v/>
      </c>
      <c r="E2385" s="92"/>
      <c r="F2385" s="49"/>
      <c r="G2385" s="14"/>
      <c r="H2385" s="14"/>
      <c r="I2385" s="76"/>
      <c r="J2385" s="73"/>
      <c r="K2385" s="74"/>
      <c r="L2385" s="72"/>
      <c r="M2385" s="72"/>
      <c r="N2385" s="72" t="str">
        <f>IF(AND(C2385="",J2385=0,K2385=0,L2385=0,M2385=0),"",CADASTROS!$B$4+SUM($J$2:J2385)+SUM($M$2:M2385)-SUM($K$2:K2385)-SUM($L$2:L2385))</f>
        <v/>
      </c>
      <c r="O2385" s="72" t="str">
        <f>IF(A2385="","",SUMIF(RATEIOS!$A$2:$A$3142,$A2385,RATEIOS!$F$2:$F$3142))</f>
        <v/>
      </c>
      <c r="P2385" s="15" t="str">
        <f t="shared" si="76"/>
        <v/>
      </c>
      <c r="Q2385" s="49" t="str">
        <f>IF(AND(J2385=0,K2385=0,L2385=0,M2385=0),"",IF(O2385=0,"PENDENTE DE RATEIO",IF(ABS(P2385)&gt;0.005,"DIVERGÊNCIA",IF(COUNTIF(RATEIOS!$A$2:$A$3142,$A2385)-COUNTIFS(RATEIOS!$A$2:$A$3142,$A2385,RATEIOS!$D$2:$D$3142,"&lt;&gt;")&gt;0,"NÃO CLASSIFICADO","RATEIO OK"))))</f>
        <v/>
      </c>
      <c r="R2385" s="49"/>
      <c r="S2385" s="14"/>
    </row>
    <row r="2386" spans="1:19" ht="30" customHeight="1" x14ac:dyDescent="0.25">
      <c r="A2386" s="49" t="str">
        <f>IF(C2386="","","BAN-02385")</f>
        <v/>
      </c>
      <c r="B2386" s="98" t="str">
        <f>IF(C2386="","",2385)</f>
        <v/>
      </c>
      <c r="C2386" s="50"/>
      <c r="D2386" s="49" t="str">
        <f t="shared" si="75"/>
        <v/>
      </c>
      <c r="E2386" s="92"/>
      <c r="F2386" s="49"/>
      <c r="G2386" s="14"/>
      <c r="H2386" s="14"/>
      <c r="I2386" s="76"/>
      <c r="J2386" s="73"/>
      <c r="K2386" s="74"/>
      <c r="L2386" s="72"/>
      <c r="M2386" s="72"/>
      <c r="N2386" s="72" t="str">
        <f>IF(AND(C2386="",J2386=0,K2386=0,L2386=0,M2386=0),"",CADASTROS!$B$4+SUM($J$2:J2386)+SUM($M$2:M2386)-SUM($K$2:K2386)-SUM($L$2:L2386))</f>
        <v/>
      </c>
      <c r="O2386" s="72" t="str">
        <f>IF(A2386="","",SUMIF(RATEIOS!$A$2:$A$3142,$A2386,RATEIOS!$F$2:$F$3142))</f>
        <v/>
      </c>
      <c r="P2386" s="15" t="str">
        <f t="shared" si="76"/>
        <v/>
      </c>
      <c r="Q2386" s="49" t="str">
        <f>IF(AND(J2386=0,K2386=0,L2386=0,M2386=0),"",IF(O2386=0,"PENDENTE DE RATEIO",IF(ABS(P2386)&gt;0.005,"DIVERGÊNCIA",IF(COUNTIF(RATEIOS!$A$2:$A$3142,$A2386)-COUNTIFS(RATEIOS!$A$2:$A$3142,$A2386,RATEIOS!$D$2:$D$3142,"&lt;&gt;")&gt;0,"NÃO CLASSIFICADO","RATEIO OK"))))</f>
        <v/>
      </c>
      <c r="R2386" s="49"/>
      <c r="S2386" s="14"/>
    </row>
    <row r="2387" spans="1:19" ht="30" customHeight="1" x14ac:dyDescent="0.25">
      <c r="A2387" s="49" t="str">
        <f>IF(C2387="","","BAN-02386")</f>
        <v/>
      </c>
      <c r="B2387" s="98" t="str">
        <f>IF(C2387="","",2386)</f>
        <v/>
      </c>
      <c r="C2387" s="50"/>
      <c r="D2387" s="49" t="str">
        <f t="shared" si="75"/>
        <v/>
      </c>
      <c r="E2387" s="92"/>
      <c r="F2387" s="49"/>
      <c r="G2387" s="14"/>
      <c r="H2387" s="14"/>
      <c r="I2387" s="76"/>
      <c r="J2387" s="73"/>
      <c r="K2387" s="74"/>
      <c r="L2387" s="72"/>
      <c r="M2387" s="72"/>
      <c r="N2387" s="72" t="str">
        <f>IF(AND(C2387="",J2387=0,K2387=0,L2387=0,M2387=0),"",CADASTROS!$B$4+SUM($J$2:J2387)+SUM($M$2:M2387)-SUM($K$2:K2387)-SUM($L$2:L2387))</f>
        <v/>
      </c>
      <c r="O2387" s="72" t="str">
        <f>IF(A2387="","",SUMIF(RATEIOS!$A$2:$A$3142,$A2387,RATEIOS!$F$2:$F$3142))</f>
        <v/>
      </c>
      <c r="P2387" s="15" t="str">
        <f t="shared" si="76"/>
        <v/>
      </c>
      <c r="Q2387" s="49" t="str">
        <f>IF(AND(J2387=0,K2387=0,L2387=0,M2387=0),"",IF(O2387=0,"PENDENTE DE RATEIO",IF(ABS(P2387)&gt;0.005,"DIVERGÊNCIA",IF(COUNTIF(RATEIOS!$A$2:$A$3142,$A2387)-COUNTIFS(RATEIOS!$A$2:$A$3142,$A2387,RATEIOS!$D$2:$D$3142,"&lt;&gt;")&gt;0,"NÃO CLASSIFICADO","RATEIO OK"))))</f>
        <v/>
      </c>
      <c r="R2387" s="49"/>
      <c r="S2387" s="14"/>
    </row>
    <row r="2388" spans="1:19" ht="30" customHeight="1" x14ac:dyDescent="0.25">
      <c r="A2388" s="49" t="str">
        <f>IF(C2388="","","BAN-02387")</f>
        <v/>
      </c>
      <c r="B2388" s="98" t="str">
        <f>IF(C2388="","",2387)</f>
        <v/>
      </c>
      <c r="C2388" s="50"/>
      <c r="D2388" s="49" t="str">
        <f t="shared" si="75"/>
        <v/>
      </c>
      <c r="E2388" s="92"/>
      <c r="F2388" s="49"/>
      <c r="G2388" s="14"/>
      <c r="H2388" s="14"/>
      <c r="I2388" s="76"/>
      <c r="J2388" s="73"/>
      <c r="K2388" s="74"/>
      <c r="L2388" s="72"/>
      <c r="M2388" s="72"/>
      <c r="N2388" s="72" t="str">
        <f>IF(AND(C2388="",J2388=0,K2388=0,L2388=0,M2388=0),"",CADASTROS!$B$4+SUM($J$2:J2388)+SUM($M$2:M2388)-SUM($K$2:K2388)-SUM($L$2:L2388))</f>
        <v/>
      </c>
      <c r="O2388" s="72" t="str">
        <f>IF(A2388="","",SUMIF(RATEIOS!$A$2:$A$3142,$A2388,RATEIOS!$F$2:$F$3142))</f>
        <v/>
      </c>
      <c r="P2388" s="15" t="str">
        <f t="shared" si="76"/>
        <v/>
      </c>
      <c r="Q2388" s="49" t="str">
        <f>IF(AND(J2388=0,K2388=0,L2388=0,M2388=0),"",IF(O2388=0,"PENDENTE DE RATEIO",IF(ABS(P2388)&gt;0.005,"DIVERGÊNCIA",IF(COUNTIF(RATEIOS!$A$2:$A$3142,$A2388)-COUNTIFS(RATEIOS!$A$2:$A$3142,$A2388,RATEIOS!$D$2:$D$3142,"&lt;&gt;")&gt;0,"NÃO CLASSIFICADO","RATEIO OK"))))</f>
        <v/>
      </c>
      <c r="R2388" s="49"/>
      <c r="S2388" s="14"/>
    </row>
    <row r="2389" spans="1:19" ht="30" customHeight="1" x14ac:dyDescent="0.25">
      <c r="A2389" s="49" t="str">
        <f>IF(C2389="","","BAN-02388")</f>
        <v/>
      </c>
      <c r="B2389" s="98" t="str">
        <f>IF(C2389="","",2388)</f>
        <v/>
      </c>
      <c r="C2389" s="50"/>
      <c r="D2389" s="49" t="str">
        <f t="shared" si="75"/>
        <v/>
      </c>
      <c r="E2389" s="92"/>
      <c r="F2389" s="49"/>
      <c r="G2389" s="14"/>
      <c r="H2389" s="14"/>
      <c r="I2389" s="76"/>
      <c r="J2389" s="73"/>
      <c r="K2389" s="74"/>
      <c r="L2389" s="72"/>
      <c r="M2389" s="72"/>
      <c r="N2389" s="72" t="str">
        <f>IF(AND(C2389="",J2389=0,K2389=0,L2389=0,M2389=0),"",CADASTROS!$B$4+SUM($J$2:J2389)+SUM($M$2:M2389)-SUM($K$2:K2389)-SUM($L$2:L2389))</f>
        <v/>
      </c>
      <c r="O2389" s="72" t="str">
        <f>IF(A2389="","",SUMIF(RATEIOS!$A$2:$A$3142,$A2389,RATEIOS!$F$2:$F$3142))</f>
        <v/>
      </c>
      <c r="P2389" s="15" t="str">
        <f t="shared" si="76"/>
        <v/>
      </c>
      <c r="Q2389" s="49" t="str">
        <f>IF(AND(J2389=0,K2389=0,L2389=0,M2389=0),"",IF(O2389=0,"PENDENTE DE RATEIO",IF(ABS(P2389)&gt;0.005,"DIVERGÊNCIA",IF(COUNTIF(RATEIOS!$A$2:$A$3142,$A2389)-COUNTIFS(RATEIOS!$A$2:$A$3142,$A2389,RATEIOS!$D$2:$D$3142,"&lt;&gt;")&gt;0,"NÃO CLASSIFICADO","RATEIO OK"))))</f>
        <v/>
      </c>
      <c r="R2389" s="49"/>
      <c r="S2389" s="14"/>
    </row>
    <row r="2390" spans="1:19" ht="30" customHeight="1" x14ac:dyDescent="0.25">
      <c r="A2390" s="49" t="str">
        <f>IF(C2390="","","BAN-02389")</f>
        <v/>
      </c>
      <c r="B2390" s="98" t="str">
        <f>IF(C2390="","",2389)</f>
        <v/>
      </c>
      <c r="C2390" s="50"/>
      <c r="D2390" s="49" t="str">
        <f t="shared" si="75"/>
        <v/>
      </c>
      <c r="E2390" s="92"/>
      <c r="F2390" s="49"/>
      <c r="G2390" s="14"/>
      <c r="H2390" s="14"/>
      <c r="I2390" s="76"/>
      <c r="J2390" s="73"/>
      <c r="K2390" s="74"/>
      <c r="L2390" s="72"/>
      <c r="M2390" s="72"/>
      <c r="N2390" s="72" t="str">
        <f>IF(AND(C2390="",J2390=0,K2390=0,L2390=0,M2390=0),"",CADASTROS!$B$4+SUM($J$2:J2390)+SUM($M$2:M2390)-SUM($K$2:K2390)-SUM($L$2:L2390))</f>
        <v/>
      </c>
      <c r="O2390" s="72" t="str">
        <f>IF(A2390="","",SUMIF(RATEIOS!$A$2:$A$3142,$A2390,RATEIOS!$F$2:$F$3142))</f>
        <v/>
      </c>
      <c r="P2390" s="15" t="str">
        <f t="shared" si="76"/>
        <v/>
      </c>
      <c r="Q2390" s="49" t="str">
        <f>IF(AND(J2390=0,K2390=0,L2390=0,M2390=0),"",IF(O2390=0,"PENDENTE DE RATEIO",IF(ABS(P2390)&gt;0.005,"DIVERGÊNCIA",IF(COUNTIF(RATEIOS!$A$2:$A$3142,$A2390)-COUNTIFS(RATEIOS!$A$2:$A$3142,$A2390,RATEIOS!$D$2:$D$3142,"&lt;&gt;")&gt;0,"NÃO CLASSIFICADO","RATEIO OK"))))</f>
        <v/>
      </c>
      <c r="R2390" s="49"/>
      <c r="S2390" s="14"/>
    </row>
    <row r="2391" spans="1:19" ht="30" customHeight="1" x14ac:dyDescent="0.25">
      <c r="A2391" s="49" t="str">
        <f>IF(C2391="","","BAN-02390")</f>
        <v/>
      </c>
      <c r="B2391" s="98" t="str">
        <f>IF(C2391="","",2390)</f>
        <v/>
      </c>
      <c r="C2391" s="50"/>
      <c r="D2391" s="49" t="str">
        <f t="shared" si="75"/>
        <v/>
      </c>
      <c r="E2391" s="92"/>
      <c r="F2391" s="49"/>
      <c r="G2391" s="14"/>
      <c r="H2391" s="14"/>
      <c r="I2391" s="76"/>
      <c r="J2391" s="73"/>
      <c r="K2391" s="74"/>
      <c r="L2391" s="72"/>
      <c r="M2391" s="72"/>
      <c r="N2391" s="72" t="str">
        <f>IF(AND(C2391="",J2391=0,K2391=0,L2391=0,M2391=0),"",CADASTROS!$B$4+SUM($J$2:J2391)+SUM($M$2:M2391)-SUM($K$2:K2391)-SUM($L$2:L2391))</f>
        <v/>
      </c>
      <c r="O2391" s="72" t="str">
        <f>IF(A2391="","",SUMIF(RATEIOS!$A$2:$A$3142,$A2391,RATEIOS!$F$2:$F$3142))</f>
        <v/>
      </c>
      <c r="P2391" s="15" t="str">
        <f t="shared" si="76"/>
        <v/>
      </c>
      <c r="Q2391" s="49" t="str">
        <f>IF(AND(J2391=0,K2391=0,L2391=0,M2391=0),"",IF(O2391=0,"PENDENTE DE RATEIO",IF(ABS(P2391)&gt;0.005,"DIVERGÊNCIA",IF(COUNTIF(RATEIOS!$A$2:$A$3142,$A2391)-COUNTIFS(RATEIOS!$A$2:$A$3142,$A2391,RATEIOS!$D$2:$D$3142,"&lt;&gt;")&gt;0,"NÃO CLASSIFICADO","RATEIO OK"))))</f>
        <v/>
      </c>
      <c r="R2391" s="49"/>
      <c r="S2391" s="14"/>
    </row>
    <row r="2392" spans="1:19" ht="30" customHeight="1" x14ac:dyDescent="0.25">
      <c r="A2392" s="49" t="str">
        <f>IF(C2392="","","BAN-02391")</f>
        <v/>
      </c>
      <c r="B2392" s="98" t="str">
        <f>IF(C2392="","",2391)</f>
        <v/>
      </c>
      <c r="C2392" s="50"/>
      <c r="D2392" s="49" t="str">
        <f t="shared" si="75"/>
        <v/>
      </c>
      <c r="E2392" s="92"/>
      <c r="F2392" s="49"/>
      <c r="G2392" s="14"/>
      <c r="H2392" s="14"/>
      <c r="I2392" s="76"/>
      <c r="J2392" s="73"/>
      <c r="K2392" s="74"/>
      <c r="L2392" s="72"/>
      <c r="M2392" s="72"/>
      <c r="N2392" s="72" t="str">
        <f>IF(AND(C2392="",J2392=0,K2392=0,L2392=0,M2392=0),"",CADASTROS!$B$4+SUM($J$2:J2392)+SUM($M$2:M2392)-SUM($K$2:K2392)-SUM($L$2:L2392))</f>
        <v/>
      </c>
      <c r="O2392" s="72" t="str">
        <f>IF(A2392="","",SUMIF(RATEIOS!$A$2:$A$3142,$A2392,RATEIOS!$F$2:$F$3142))</f>
        <v/>
      </c>
      <c r="P2392" s="15" t="str">
        <f t="shared" si="76"/>
        <v/>
      </c>
      <c r="Q2392" s="49" t="str">
        <f>IF(AND(J2392=0,K2392=0,L2392=0,M2392=0),"",IF(O2392=0,"PENDENTE DE RATEIO",IF(ABS(P2392)&gt;0.005,"DIVERGÊNCIA",IF(COUNTIF(RATEIOS!$A$2:$A$3142,$A2392)-COUNTIFS(RATEIOS!$A$2:$A$3142,$A2392,RATEIOS!$D$2:$D$3142,"&lt;&gt;")&gt;0,"NÃO CLASSIFICADO","RATEIO OK"))))</f>
        <v/>
      </c>
      <c r="R2392" s="49"/>
      <c r="S2392" s="14"/>
    </row>
    <row r="2393" spans="1:19" ht="30" customHeight="1" x14ac:dyDescent="0.25">
      <c r="A2393" s="49" t="str">
        <f>IF(C2393="","","BAN-02392")</f>
        <v/>
      </c>
      <c r="B2393" s="98" t="str">
        <f>IF(C2393="","",2392)</f>
        <v/>
      </c>
      <c r="C2393" s="50"/>
      <c r="D2393" s="49" t="str">
        <f t="shared" si="75"/>
        <v/>
      </c>
      <c r="E2393" s="92"/>
      <c r="F2393" s="49"/>
      <c r="G2393" s="14"/>
      <c r="H2393" s="14"/>
      <c r="I2393" s="76"/>
      <c r="J2393" s="73"/>
      <c r="K2393" s="74"/>
      <c r="L2393" s="72"/>
      <c r="M2393" s="72"/>
      <c r="N2393" s="72" t="str">
        <f>IF(AND(C2393="",J2393=0,K2393=0,L2393=0,M2393=0),"",CADASTROS!$B$4+SUM($J$2:J2393)+SUM($M$2:M2393)-SUM($K$2:K2393)-SUM($L$2:L2393))</f>
        <v/>
      </c>
      <c r="O2393" s="72" t="str">
        <f>IF(A2393="","",SUMIF(RATEIOS!$A$2:$A$3142,$A2393,RATEIOS!$F$2:$F$3142))</f>
        <v/>
      </c>
      <c r="P2393" s="15" t="str">
        <f t="shared" si="76"/>
        <v/>
      </c>
      <c r="Q2393" s="49" t="str">
        <f>IF(AND(J2393=0,K2393=0,L2393=0,M2393=0),"",IF(O2393=0,"PENDENTE DE RATEIO",IF(ABS(P2393)&gt;0.005,"DIVERGÊNCIA",IF(COUNTIF(RATEIOS!$A$2:$A$3142,$A2393)-COUNTIFS(RATEIOS!$A$2:$A$3142,$A2393,RATEIOS!$D$2:$D$3142,"&lt;&gt;")&gt;0,"NÃO CLASSIFICADO","RATEIO OK"))))</f>
        <v/>
      </c>
      <c r="R2393" s="49"/>
      <c r="S2393" s="14"/>
    </row>
    <row r="2394" spans="1:19" ht="30" customHeight="1" x14ac:dyDescent="0.25">
      <c r="A2394" s="49" t="str">
        <f>IF(C2394="","","BAN-02393")</f>
        <v/>
      </c>
      <c r="B2394" s="98" t="str">
        <f>IF(C2394="","",2393)</f>
        <v/>
      </c>
      <c r="C2394" s="50"/>
      <c r="D2394" s="49" t="str">
        <f t="shared" si="75"/>
        <v/>
      </c>
      <c r="E2394" s="92"/>
      <c r="F2394" s="49"/>
      <c r="G2394" s="14"/>
      <c r="H2394" s="14"/>
      <c r="I2394" s="76"/>
      <c r="J2394" s="73"/>
      <c r="K2394" s="74"/>
      <c r="L2394" s="72"/>
      <c r="M2394" s="72"/>
      <c r="N2394" s="72" t="str">
        <f>IF(AND(C2394="",J2394=0,K2394=0,L2394=0,M2394=0),"",CADASTROS!$B$4+SUM($J$2:J2394)+SUM($M$2:M2394)-SUM($K$2:K2394)-SUM($L$2:L2394))</f>
        <v/>
      </c>
      <c r="O2394" s="72" t="str">
        <f>IF(A2394="","",SUMIF(RATEIOS!$A$2:$A$3142,$A2394,RATEIOS!$F$2:$F$3142))</f>
        <v/>
      </c>
      <c r="P2394" s="15" t="str">
        <f t="shared" si="76"/>
        <v/>
      </c>
      <c r="Q2394" s="49" t="str">
        <f>IF(AND(J2394=0,K2394=0,L2394=0,M2394=0),"",IF(O2394=0,"PENDENTE DE RATEIO",IF(ABS(P2394)&gt;0.005,"DIVERGÊNCIA",IF(COUNTIF(RATEIOS!$A$2:$A$3142,$A2394)-COUNTIFS(RATEIOS!$A$2:$A$3142,$A2394,RATEIOS!$D$2:$D$3142,"&lt;&gt;")&gt;0,"NÃO CLASSIFICADO","RATEIO OK"))))</f>
        <v/>
      </c>
      <c r="R2394" s="49"/>
      <c r="S2394" s="14"/>
    </row>
    <row r="2395" spans="1:19" ht="30" customHeight="1" x14ac:dyDescent="0.25">
      <c r="A2395" s="49" t="str">
        <f>IF(C2395="","","BAN-02394")</f>
        <v/>
      </c>
      <c r="B2395" s="98" t="str">
        <f>IF(C2395="","",2394)</f>
        <v/>
      </c>
      <c r="C2395" s="50"/>
      <c r="D2395" s="49" t="str">
        <f t="shared" si="75"/>
        <v/>
      </c>
      <c r="E2395" s="92"/>
      <c r="F2395" s="49"/>
      <c r="G2395" s="14"/>
      <c r="H2395" s="14"/>
      <c r="I2395" s="76"/>
      <c r="J2395" s="73"/>
      <c r="K2395" s="74"/>
      <c r="L2395" s="72"/>
      <c r="M2395" s="72"/>
      <c r="N2395" s="72" t="str">
        <f>IF(AND(C2395="",J2395=0,K2395=0,L2395=0,M2395=0),"",CADASTROS!$B$4+SUM($J$2:J2395)+SUM($M$2:M2395)-SUM($K$2:K2395)-SUM($L$2:L2395))</f>
        <v/>
      </c>
      <c r="O2395" s="72" t="str">
        <f>IF(A2395="","",SUMIF(RATEIOS!$A$2:$A$3142,$A2395,RATEIOS!$F$2:$F$3142))</f>
        <v/>
      </c>
      <c r="P2395" s="15" t="str">
        <f t="shared" si="76"/>
        <v/>
      </c>
      <c r="Q2395" s="49" t="str">
        <f>IF(AND(J2395=0,K2395=0,L2395=0,M2395=0),"",IF(O2395=0,"PENDENTE DE RATEIO",IF(ABS(P2395)&gt;0.005,"DIVERGÊNCIA",IF(COUNTIF(RATEIOS!$A$2:$A$3142,$A2395)-COUNTIFS(RATEIOS!$A$2:$A$3142,$A2395,RATEIOS!$D$2:$D$3142,"&lt;&gt;")&gt;0,"NÃO CLASSIFICADO","RATEIO OK"))))</f>
        <v/>
      </c>
      <c r="R2395" s="49"/>
      <c r="S2395" s="14"/>
    </row>
    <row r="2396" spans="1:19" ht="30" customHeight="1" x14ac:dyDescent="0.25">
      <c r="A2396" s="49" t="str">
        <f>IF(C2396="","","BAN-02395")</f>
        <v/>
      </c>
      <c r="B2396" s="98" t="str">
        <f>IF(C2396="","",2395)</f>
        <v/>
      </c>
      <c r="C2396" s="50"/>
      <c r="D2396" s="49" t="str">
        <f t="shared" si="75"/>
        <v/>
      </c>
      <c r="E2396" s="92"/>
      <c r="F2396" s="49"/>
      <c r="G2396" s="14"/>
      <c r="H2396" s="14"/>
      <c r="I2396" s="76"/>
      <c r="J2396" s="73"/>
      <c r="K2396" s="74"/>
      <c r="L2396" s="72"/>
      <c r="M2396" s="72"/>
      <c r="N2396" s="72" t="str">
        <f>IF(AND(C2396="",J2396=0,K2396=0,L2396=0,M2396=0),"",CADASTROS!$B$4+SUM($J$2:J2396)+SUM($M$2:M2396)-SUM($K$2:K2396)-SUM($L$2:L2396))</f>
        <v/>
      </c>
      <c r="O2396" s="72" t="str">
        <f>IF(A2396="","",SUMIF(RATEIOS!$A$2:$A$3142,$A2396,RATEIOS!$F$2:$F$3142))</f>
        <v/>
      </c>
      <c r="P2396" s="15" t="str">
        <f t="shared" si="76"/>
        <v/>
      </c>
      <c r="Q2396" s="49" t="str">
        <f>IF(AND(J2396=0,K2396=0,L2396=0,M2396=0),"",IF(O2396=0,"PENDENTE DE RATEIO",IF(ABS(P2396)&gt;0.005,"DIVERGÊNCIA",IF(COUNTIF(RATEIOS!$A$2:$A$3142,$A2396)-COUNTIFS(RATEIOS!$A$2:$A$3142,$A2396,RATEIOS!$D$2:$D$3142,"&lt;&gt;")&gt;0,"NÃO CLASSIFICADO","RATEIO OK"))))</f>
        <v/>
      </c>
      <c r="R2396" s="49"/>
      <c r="S2396" s="14"/>
    </row>
    <row r="2397" spans="1:19" ht="30" customHeight="1" x14ac:dyDescent="0.25">
      <c r="A2397" s="49" t="str">
        <f>IF(C2397="","","BAN-02396")</f>
        <v/>
      </c>
      <c r="B2397" s="98" t="str">
        <f>IF(C2397="","",2396)</f>
        <v/>
      </c>
      <c r="C2397" s="50"/>
      <c r="D2397" s="49" t="str">
        <f t="shared" si="75"/>
        <v/>
      </c>
      <c r="E2397" s="92"/>
      <c r="F2397" s="49"/>
      <c r="G2397" s="14"/>
      <c r="H2397" s="14"/>
      <c r="I2397" s="76"/>
      <c r="J2397" s="73"/>
      <c r="K2397" s="74"/>
      <c r="L2397" s="72"/>
      <c r="M2397" s="72"/>
      <c r="N2397" s="72" t="str">
        <f>IF(AND(C2397="",J2397=0,K2397=0,L2397=0,M2397=0),"",CADASTROS!$B$4+SUM($J$2:J2397)+SUM($M$2:M2397)-SUM($K$2:K2397)-SUM($L$2:L2397))</f>
        <v/>
      </c>
      <c r="O2397" s="72" t="str">
        <f>IF(A2397="","",SUMIF(RATEIOS!$A$2:$A$3142,$A2397,RATEIOS!$F$2:$F$3142))</f>
        <v/>
      </c>
      <c r="P2397" s="15" t="str">
        <f t="shared" si="76"/>
        <v/>
      </c>
      <c r="Q2397" s="49" t="str">
        <f>IF(AND(J2397=0,K2397=0,L2397=0,M2397=0),"",IF(O2397=0,"PENDENTE DE RATEIO",IF(ABS(P2397)&gt;0.005,"DIVERGÊNCIA",IF(COUNTIF(RATEIOS!$A$2:$A$3142,$A2397)-COUNTIFS(RATEIOS!$A$2:$A$3142,$A2397,RATEIOS!$D$2:$D$3142,"&lt;&gt;")&gt;0,"NÃO CLASSIFICADO","RATEIO OK"))))</f>
        <v/>
      </c>
      <c r="R2397" s="49"/>
      <c r="S2397" s="14"/>
    </row>
    <row r="2398" spans="1:19" ht="30" customHeight="1" x14ac:dyDescent="0.25">
      <c r="A2398" s="49" t="str">
        <f>IF(C2398="","","BAN-02397")</f>
        <v/>
      </c>
      <c r="B2398" s="98" t="str">
        <f>IF(C2398="","",2397)</f>
        <v/>
      </c>
      <c r="C2398" s="50"/>
      <c r="D2398" s="49" t="str">
        <f t="shared" si="75"/>
        <v/>
      </c>
      <c r="E2398" s="92"/>
      <c r="F2398" s="49"/>
      <c r="G2398" s="14"/>
      <c r="H2398" s="14"/>
      <c r="I2398" s="76"/>
      <c r="J2398" s="73"/>
      <c r="K2398" s="74"/>
      <c r="L2398" s="72"/>
      <c r="M2398" s="72"/>
      <c r="N2398" s="72" t="str">
        <f>IF(AND(C2398="",J2398=0,K2398=0,L2398=0,M2398=0),"",CADASTROS!$B$4+SUM($J$2:J2398)+SUM($M$2:M2398)-SUM($K$2:K2398)-SUM($L$2:L2398))</f>
        <v/>
      </c>
      <c r="O2398" s="72" t="str">
        <f>IF(A2398="","",SUMIF(RATEIOS!$A$2:$A$3142,$A2398,RATEIOS!$F$2:$F$3142))</f>
        <v/>
      </c>
      <c r="P2398" s="15" t="str">
        <f t="shared" si="76"/>
        <v/>
      </c>
      <c r="Q2398" s="49" t="str">
        <f>IF(AND(J2398=0,K2398=0,L2398=0,M2398=0),"",IF(O2398=0,"PENDENTE DE RATEIO",IF(ABS(P2398)&gt;0.005,"DIVERGÊNCIA",IF(COUNTIF(RATEIOS!$A$2:$A$3142,$A2398)-COUNTIFS(RATEIOS!$A$2:$A$3142,$A2398,RATEIOS!$D$2:$D$3142,"&lt;&gt;")&gt;0,"NÃO CLASSIFICADO","RATEIO OK"))))</f>
        <v/>
      </c>
      <c r="R2398" s="49"/>
      <c r="S2398" s="14"/>
    </row>
    <row r="2399" spans="1:19" ht="30" customHeight="1" x14ac:dyDescent="0.25">
      <c r="A2399" s="49" t="str">
        <f>IF(C2399="","","BAN-02398")</f>
        <v/>
      </c>
      <c r="B2399" s="98" t="str">
        <f>IF(C2399="","",2398)</f>
        <v/>
      </c>
      <c r="C2399" s="50"/>
      <c r="D2399" s="49" t="str">
        <f t="shared" si="75"/>
        <v/>
      </c>
      <c r="E2399" s="92"/>
      <c r="F2399" s="49"/>
      <c r="G2399" s="14"/>
      <c r="H2399" s="14"/>
      <c r="I2399" s="76"/>
      <c r="J2399" s="73"/>
      <c r="K2399" s="74"/>
      <c r="L2399" s="72"/>
      <c r="M2399" s="72"/>
      <c r="N2399" s="72" t="str">
        <f>IF(AND(C2399="",J2399=0,K2399=0,L2399=0,M2399=0),"",CADASTROS!$B$4+SUM($J$2:J2399)+SUM($M$2:M2399)-SUM($K$2:K2399)-SUM($L$2:L2399))</f>
        <v/>
      </c>
      <c r="O2399" s="72" t="str">
        <f>IF(A2399="","",SUMIF(RATEIOS!$A$2:$A$3142,$A2399,RATEIOS!$F$2:$F$3142))</f>
        <v/>
      </c>
      <c r="P2399" s="15" t="str">
        <f t="shared" si="76"/>
        <v/>
      </c>
      <c r="Q2399" s="49" t="str">
        <f>IF(AND(J2399=0,K2399=0,L2399=0,M2399=0),"",IF(O2399=0,"PENDENTE DE RATEIO",IF(ABS(P2399)&gt;0.005,"DIVERGÊNCIA",IF(COUNTIF(RATEIOS!$A$2:$A$3142,$A2399)-COUNTIFS(RATEIOS!$A$2:$A$3142,$A2399,RATEIOS!$D$2:$D$3142,"&lt;&gt;")&gt;0,"NÃO CLASSIFICADO","RATEIO OK"))))</f>
        <v/>
      </c>
      <c r="R2399" s="49"/>
      <c r="S2399" s="14"/>
    </row>
    <row r="2400" spans="1:19" ht="30" customHeight="1" x14ac:dyDescent="0.25">
      <c r="A2400" s="49" t="str">
        <f>IF(C2400="","","BAN-02399")</f>
        <v/>
      </c>
      <c r="B2400" s="98" t="str">
        <f>IF(C2400="","",2399)</f>
        <v/>
      </c>
      <c r="C2400" s="50"/>
      <c r="D2400" s="49" t="str">
        <f t="shared" si="75"/>
        <v/>
      </c>
      <c r="E2400" s="92"/>
      <c r="F2400" s="49"/>
      <c r="G2400" s="14"/>
      <c r="H2400" s="14"/>
      <c r="I2400" s="76"/>
      <c r="J2400" s="73"/>
      <c r="K2400" s="74"/>
      <c r="L2400" s="72"/>
      <c r="M2400" s="72"/>
      <c r="N2400" s="72" t="str">
        <f>IF(AND(C2400="",J2400=0,K2400=0,L2400=0,M2400=0),"",CADASTROS!$B$4+SUM($J$2:J2400)+SUM($M$2:M2400)-SUM($K$2:K2400)-SUM($L$2:L2400))</f>
        <v/>
      </c>
      <c r="O2400" s="72" t="str">
        <f>IF(A2400="","",SUMIF(RATEIOS!$A$2:$A$3142,$A2400,RATEIOS!$F$2:$F$3142))</f>
        <v/>
      </c>
      <c r="P2400" s="15" t="str">
        <f t="shared" si="76"/>
        <v/>
      </c>
      <c r="Q2400" s="49" t="str">
        <f>IF(AND(J2400=0,K2400=0,L2400=0,M2400=0),"",IF(O2400=0,"PENDENTE DE RATEIO",IF(ABS(P2400)&gt;0.005,"DIVERGÊNCIA",IF(COUNTIF(RATEIOS!$A$2:$A$3142,$A2400)-COUNTIFS(RATEIOS!$A$2:$A$3142,$A2400,RATEIOS!$D$2:$D$3142,"&lt;&gt;")&gt;0,"NÃO CLASSIFICADO","RATEIO OK"))))</f>
        <v/>
      </c>
      <c r="R2400" s="49"/>
      <c r="S2400" s="14"/>
    </row>
    <row r="2401" spans="1:19" ht="30" customHeight="1" x14ac:dyDescent="0.25">
      <c r="A2401" s="49" t="str">
        <f>IF(C2401="","","BAN-02400")</f>
        <v/>
      </c>
      <c r="B2401" s="98" t="str">
        <f>IF(C2401="","",2400)</f>
        <v/>
      </c>
      <c r="C2401" s="50"/>
      <c r="D2401" s="49" t="str">
        <f t="shared" si="75"/>
        <v/>
      </c>
      <c r="E2401" s="92"/>
      <c r="F2401" s="49"/>
      <c r="G2401" s="14"/>
      <c r="H2401" s="14"/>
      <c r="I2401" s="76"/>
      <c r="J2401" s="73"/>
      <c r="K2401" s="74"/>
      <c r="L2401" s="72"/>
      <c r="M2401" s="72"/>
      <c r="N2401" s="72" t="str">
        <f>IF(AND(C2401="",J2401=0,K2401=0,L2401=0,M2401=0),"",CADASTROS!$B$4+SUM($J$2:J2401)+SUM($M$2:M2401)-SUM($K$2:K2401)-SUM($L$2:L2401))</f>
        <v/>
      </c>
      <c r="O2401" s="72" t="str">
        <f>IF(A2401="","",SUMIF(RATEIOS!$A$2:$A$3142,$A2401,RATEIOS!$F$2:$F$3142))</f>
        <v/>
      </c>
      <c r="P2401" s="15" t="str">
        <f t="shared" si="76"/>
        <v/>
      </c>
      <c r="Q2401" s="49" t="str">
        <f>IF(AND(J2401=0,K2401=0,L2401=0,M2401=0),"",IF(O2401=0,"PENDENTE DE RATEIO",IF(ABS(P2401)&gt;0.005,"DIVERGÊNCIA",IF(COUNTIF(RATEIOS!$A$2:$A$3142,$A2401)-COUNTIFS(RATEIOS!$A$2:$A$3142,$A2401,RATEIOS!$D$2:$D$3142,"&lt;&gt;")&gt;0,"NÃO CLASSIFICADO","RATEIO OK"))))</f>
        <v/>
      </c>
      <c r="R2401" s="49"/>
      <c r="S2401" s="14"/>
    </row>
    <row r="2402" spans="1:19" ht="30" customHeight="1" x14ac:dyDescent="0.25">
      <c r="A2402" s="49" t="str">
        <f>IF(C2402="","","BAN-02401")</f>
        <v/>
      </c>
      <c r="B2402" s="98" t="str">
        <f>IF(C2402="","",2401)</f>
        <v/>
      </c>
      <c r="C2402" s="50"/>
      <c r="D2402" s="49" t="str">
        <f t="shared" si="75"/>
        <v/>
      </c>
      <c r="E2402" s="92"/>
      <c r="F2402" s="49"/>
      <c r="G2402" s="14"/>
      <c r="H2402" s="14"/>
      <c r="I2402" s="76"/>
      <c r="J2402" s="73"/>
      <c r="K2402" s="74"/>
      <c r="L2402" s="72"/>
      <c r="M2402" s="72"/>
      <c r="N2402" s="72" t="str">
        <f>IF(AND(C2402="",J2402=0,K2402=0,L2402=0,M2402=0),"",CADASTROS!$B$4+SUM($J$2:J2402)+SUM($M$2:M2402)-SUM($K$2:K2402)-SUM($L$2:L2402))</f>
        <v/>
      </c>
      <c r="O2402" s="72" t="str">
        <f>IF(A2402="","",SUMIF(RATEIOS!$A$2:$A$3142,$A2402,RATEIOS!$F$2:$F$3142))</f>
        <v/>
      </c>
      <c r="P2402" s="15" t="str">
        <f t="shared" si="76"/>
        <v/>
      </c>
      <c r="Q2402" s="49" t="str">
        <f>IF(AND(J2402=0,K2402=0,L2402=0,M2402=0),"",IF(O2402=0,"PENDENTE DE RATEIO",IF(ABS(P2402)&gt;0.005,"DIVERGÊNCIA",IF(COUNTIF(RATEIOS!$A$2:$A$3142,$A2402)-COUNTIFS(RATEIOS!$A$2:$A$3142,$A2402,RATEIOS!$D$2:$D$3142,"&lt;&gt;")&gt;0,"NÃO CLASSIFICADO","RATEIO OK"))))</f>
        <v/>
      </c>
      <c r="R2402" s="49"/>
      <c r="S2402" s="14"/>
    </row>
    <row r="2403" spans="1:19" ht="30" customHeight="1" x14ac:dyDescent="0.25">
      <c r="A2403" s="49" t="str">
        <f>IF(C2403="","","BAN-02402")</f>
        <v/>
      </c>
      <c r="B2403" s="98" t="str">
        <f>IF(C2403="","",2402)</f>
        <v/>
      </c>
      <c r="C2403" s="50"/>
      <c r="D2403" s="49" t="str">
        <f t="shared" si="75"/>
        <v/>
      </c>
      <c r="E2403" s="92"/>
      <c r="F2403" s="49"/>
      <c r="G2403" s="14"/>
      <c r="H2403" s="14"/>
      <c r="I2403" s="76"/>
      <c r="J2403" s="73"/>
      <c r="K2403" s="74"/>
      <c r="L2403" s="72"/>
      <c r="M2403" s="72"/>
      <c r="N2403" s="72" t="str">
        <f>IF(AND(C2403="",J2403=0,K2403=0,L2403=0,M2403=0),"",CADASTROS!$B$4+SUM($J$2:J2403)+SUM($M$2:M2403)-SUM($K$2:K2403)-SUM($L$2:L2403))</f>
        <v/>
      </c>
      <c r="O2403" s="72" t="str">
        <f>IF(A2403="","",SUMIF(RATEIOS!$A$2:$A$3142,$A2403,RATEIOS!$F$2:$F$3142))</f>
        <v/>
      </c>
      <c r="P2403" s="15" t="str">
        <f t="shared" si="76"/>
        <v/>
      </c>
      <c r="Q2403" s="49" t="str">
        <f>IF(AND(J2403=0,K2403=0,L2403=0,M2403=0),"",IF(O2403=0,"PENDENTE DE RATEIO",IF(ABS(P2403)&gt;0.005,"DIVERGÊNCIA",IF(COUNTIF(RATEIOS!$A$2:$A$3142,$A2403)-COUNTIFS(RATEIOS!$A$2:$A$3142,$A2403,RATEIOS!$D$2:$D$3142,"&lt;&gt;")&gt;0,"NÃO CLASSIFICADO","RATEIO OK"))))</f>
        <v/>
      </c>
      <c r="R2403" s="49"/>
      <c r="S2403" s="14"/>
    </row>
    <row r="2404" spans="1:19" ht="30" customHeight="1" x14ac:dyDescent="0.25">
      <c r="A2404" s="49" t="str">
        <f>IF(C2404="","","BAN-02403")</f>
        <v/>
      </c>
      <c r="B2404" s="98" t="str">
        <f>IF(C2404="","",2403)</f>
        <v/>
      </c>
      <c r="C2404" s="50"/>
      <c r="D2404" s="49" t="str">
        <f t="shared" si="75"/>
        <v/>
      </c>
      <c r="E2404" s="92"/>
      <c r="F2404" s="49"/>
      <c r="G2404" s="14"/>
      <c r="H2404" s="14"/>
      <c r="I2404" s="76"/>
      <c r="J2404" s="73"/>
      <c r="K2404" s="74"/>
      <c r="L2404" s="72"/>
      <c r="M2404" s="72"/>
      <c r="N2404" s="72" t="str">
        <f>IF(AND(C2404="",J2404=0,K2404=0,L2404=0,M2404=0),"",CADASTROS!$B$4+SUM($J$2:J2404)+SUM($M$2:M2404)-SUM($K$2:K2404)-SUM($L$2:L2404))</f>
        <v/>
      </c>
      <c r="O2404" s="72" t="str">
        <f>IF(A2404="","",SUMIF(RATEIOS!$A$2:$A$3142,$A2404,RATEIOS!$F$2:$F$3142))</f>
        <v/>
      </c>
      <c r="P2404" s="15" t="str">
        <f t="shared" si="76"/>
        <v/>
      </c>
      <c r="Q2404" s="49" t="str">
        <f>IF(AND(J2404=0,K2404=0,L2404=0,M2404=0),"",IF(O2404=0,"PENDENTE DE RATEIO",IF(ABS(P2404)&gt;0.005,"DIVERGÊNCIA",IF(COUNTIF(RATEIOS!$A$2:$A$3142,$A2404)-COUNTIFS(RATEIOS!$A$2:$A$3142,$A2404,RATEIOS!$D$2:$D$3142,"&lt;&gt;")&gt;0,"NÃO CLASSIFICADO","RATEIO OK"))))</f>
        <v/>
      </c>
      <c r="R2404" s="49"/>
      <c r="S2404" s="14"/>
    </row>
    <row r="2405" spans="1:19" ht="30" customHeight="1" x14ac:dyDescent="0.25">
      <c r="A2405" s="49" t="str">
        <f>IF(C2405="","","BAN-02404")</f>
        <v/>
      </c>
      <c r="B2405" s="98" t="str">
        <f>IF(C2405="","",2404)</f>
        <v/>
      </c>
      <c r="C2405" s="50"/>
      <c r="D2405" s="49" t="str">
        <f t="shared" si="75"/>
        <v/>
      </c>
      <c r="E2405" s="92"/>
      <c r="F2405" s="49"/>
      <c r="G2405" s="14"/>
      <c r="H2405" s="14"/>
      <c r="I2405" s="76"/>
      <c r="J2405" s="73"/>
      <c r="K2405" s="74"/>
      <c r="L2405" s="72"/>
      <c r="M2405" s="72"/>
      <c r="N2405" s="72" t="str">
        <f>IF(AND(C2405="",J2405=0,K2405=0,L2405=0,M2405=0),"",CADASTROS!$B$4+SUM($J$2:J2405)+SUM($M$2:M2405)-SUM($K$2:K2405)-SUM($L$2:L2405))</f>
        <v/>
      </c>
      <c r="O2405" s="72" t="str">
        <f>IF(A2405="","",SUMIF(RATEIOS!$A$2:$A$3142,$A2405,RATEIOS!$F$2:$F$3142))</f>
        <v/>
      </c>
      <c r="P2405" s="15" t="str">
        <f t="shared" si="76"/>
        <v/>
      </c>
      <c r="Q2405" s="49" t="str">
        <f>IF(AND(J2405=0,K2405=0,L2405=0,M2405=0),"",IF(O2405=0,"PENDENTE DE RATEIO",IF(ABS(P2405)&gt;0.005,"DIVERGÊNCIA",IF(COUNTIF(RATEIOS!$A$2:$A$3142,$A2405)-COUNTIFS(RATEIOS!$A$2:$A$3142,$A2405,RATEIOS!$D$2:$D$3142,"&lt;&gt;")&gt;0,"NÃO CLASSIFICADO","RATEIO OK"))))</f>
        <v/>
      </c>
      <c r="R2405" s="49"/>
      <c r="S2405" s="14"/>
    </row>
    <row r="2406" spans="1:19" ht="30" customHeight="1" x14ac:dyDescent="0.25">
      <c r="A2406" s="49" t="str">
        <f>IF(C2406="","","BAN-02405")</f>
        <v/>
      </c>
      <c r="B2406" s="98" t="str">
        <f>IF(C2406="","",2405)</f>
        <v/>
      </c>
      <c r="C2406" s="50"/>
      <c r="D2406" s="49" t="str">
        <f t="shared" si="75"/>
        <v/>
      </c>
      <c r="E2406" s="92"/>
      <c r="F2406" s="49"/>
      <c r="G2406" s="14"/>
      <c r="H2406" s="14"/>
      <c r="I2406" s="76"/>
      <c r="J2406" s="73"/>
      <c r="K2406" s="74"/>
      <c r="L2406" s="72"/>
      <c r="M2406" s="72"/>
      <c r="N2406" s="72" t="str">
        <f>IF(AND(C2406="",J2406=0,K2406=0,L2406=0,M2406=0),"",CADASTROS!$B$4+SUM($J$2:J2406)+SUM($M$2:M2406)-SUM($K$2:K2406)-SUM($L$2:L2406))</f>
        <v/>
      </c>
      <c r="O2406" s="72" t="str">
        <f>IF(A2406="","",SUMIF(RATEIOS!$A$2:$A$3142,$A2406,RATEIOS!$F$2:$F$3142))</f>
        <v/>
      </c>
      <c r="P2406" s="15" t="str">
        <f t="shared" si="76"/>
        <v/>
      </c>
      <c r="Q2406" s="49" t="str">
        <f>IF(AND(J2406=0,K2406=0,L2406=0,M2406=0),"",IF(O2406=0,"PENDENTE DE RATEIO",IF(ABS(P2406)&gt;0.005,"DIVERGÊNCIA",IF(COUNTIF(RATEIOS!$A$2:$A$3142,$A2406)-COUNTIFS(RATEIOS!$A$2:$A$3142,$A2406,RATEIOS!$D$2:$D$3142,"&lt;&gt;")&gt;0,"NÃO CLASSIFICADO","RATEIO OK"))))</f>
        <v/>
      </c>
      <c r="R2406" s="49"/>
      <c r="S2406" s="14"/>
    </row>
    <row r="2407" spans="1:19" ht="30" customHeight="1" x14ac:dyDescent="0.25">
      <c r="A2407" s="49" t="str">
        <f>IF(C2407="","","BAN-02406")</f>
        <v/>
      </c>
      <c r="B2407" s="98" t="str">
        <f>IF(C2407="","",2406)</f>
        <v/>
      </c>
      <c r="C2407" s="50"/>
      <c r="D2407" s="49" t="str">
        <f t="shared" si="75"/>
        <v/>
      </c>
      <c r="E2407" s="92"/>
      <c r="F2407" s="49"/>
      <c r="G2407" s="14"/>
      <c r="H2407" s="14"/>
      <c r="I2407" s="76"/>
      <c r="J2407" s="73"/>
      <c r="K2407" s="74"/>
      <c r="L2407" s="72"/>
      <c r="M2407" s="72"/>
      <c r="N2407" s="72" t="str">
        <f>IF(AND(C2407="",J2407=0,K2407=0,L2407=0,M2407=0),"",CADASTROS!$B$4+SUM($J$2:J2407)+SUM($M$2:M2407)-SUM($K$2:K2407)-SUM($L$2:L2407))</f>
        <v/>
      </c>
      <c r="O2407" s="72" t="str">
        <f>IF(A2407="","",SUMIF(RATEIOS!$A$2:$A$3142,$A2407,RATEIOS!$F$2:$F$3142))</f>
        <v/>
      </c>
      <c r="P2407" s="15" t="str">
        <f t="shared" si="76"/>
        <v/>
      </c>
      <c r="Q2407" s="49" t="str">
        <f>IF(AND(J2407=0,K2407=0,L2407=0,M2407=0),"",IF(O2407=0,"PENDENTE DE RATEIO",IF(ABS(P2407)&gt;0.005,"DIVERGÊNCIA",IF(COUNTIF(RATEIOS!$A$2:$A$3142,$A2407)-COUNTIFS(RATEIOS!$A$2:$A$3142,$A2407,RATEIOS!$D$2:$D$3142,"&lt;&gt;")&gt;0,"NÃO CLASSIFICADO","RATEIO OK"))))</f>
        <v/>
      </c>
      <c r="R2407" s="49"/>
      <c r="S2407" s="14"/>
    </row>
    <row r="2408" spans="1:19" ht="30" customHeight="1" x14ac:dyDescent="0.25">
      <c r="A2408" s="49" t="str">
        <f>IF(C2408="","","BAN-02407")</f>
        <v/>
      </c>
      <c r="B2408" s="98" t="str">
        <f>IF(C2408="","",2407)</f>
        <v/>
      </c>
      <c r="C2408" s="50"/>
      <c r="D2408" s="49" t="str">
        <f t="shared" si="75"/>
        <v/>
      </c>
      <c r="E2408" s="92"/>
      <c r="F2408" s="49"/>
      <c r="G2408" s="14"/>
      <c r="H2408" s="14"/>
      <c r="I2408" s="76"/>
      <c r="J2408" s="73"/>
      <c r="K2408" s="74"/>
      <c r="L2408" s="72"/>
      <c r="M2408" s="72"/>
      <c r="N2408" s="72" t="str">
        <f>IF(AND(C2408="",J2408=0,K2408=0,L2408=0,M2408=0),"",CADASTROS!$B$4+SUM($J$2:J2408)+SUM($M$2:M2408)-SUM($K$2:K2408)-SUM($L$2:L2408))</f>
        <v/>
      </c>
      <c r="O2408" s="72" t="str">
        <f>IF(A2408="","",SUMIF(RATEIOS!$A$2:$A$3142,$A2408,RATEIOS!$F$2:$F$3142))</f>
        <v/>
      </c>
      <c r="P2408" s="15" t="str">
        <f t="shared" si="76"/>
        <v/>
      </c>
      <c r="Q2408" s="49" t="str">
        <f>IF(AND(J2408=0,K2408=0,L2408=0,M2408=0),"",IF(O2408=0,"PENDENTE DE RATEIO",IF(ABS(P2408)&gt;0.005,"DIVERGÊNCIA",IF(COUNTIF(RATEIOS!$A$2:$A$3142,$A2408)-COUNTIFS(RATEIOS!$A$2:$A$3142,$A2408,RATEIOS!$D$2:$D$3142,"&lt;&gt;")&gt;0,"NÃO CLASSIFICADO","RATEIO OK"))))</f>
        <v/>
      </c>
      <c r="R2408" s="49"/>
      <c r="S2408" s="14"/>
    </row>
    <row r="2409" spans="1:19" ht="30" customHeight="1" x14ac:dyDescent="0.25">
      <c r="A2409" s="49" t="str">
        <f>IF(C2409="","","BAN-02408")</f>
        <v/>
      </c>
      <c r="B2409" s="98" t="str">
        <f>IF(C2409="","",2408)</f>
        <v/>
      </c>
      <c r="C2409" s="50"/>
      <c r="D2409" s="49" t="str">
        <f t="shared" si="75"/>
        <v/>
      </c>
      <c r="E2409" s="92"/>
      <c r="F2409" s="49"/>
      <c r="G2409" s="14"/>
      <c r="H2409" s="14"/>
      <c r="I2409" s="76"/>
      <c r="J2409" s="73"/>
      <c r="K2409" s="74"/>
      <c r="L2409" s="72"/>
      <c r="M2409" s="72"/>
      <c r="N2409" s="72" t="str">
        <f>IF(AND(C2409="",J2409=0,K2409=0,L2409=0,M2409=0),"",CADASTROS!$B$4+SUM($J$2:J2409)+SUM($M$2:M2409)-SUM($K$2:K2409)-SUM($L$2:L2409))</f>
        <v/>
      </c>
      <c r="O2409" s="72" t="str">
        <f>IF(A2409="","",SUMIF(RATEIOS!$A$2:$A$3142,$A2409,RATEIOS!$F$2:$F$3142))</f>
        <v/>
      </c>
      <c r="P2409" s="15" t="str">
        <f t="shared" si="76"/>
        <v/>
      </c>
      <c r="Q2409" s="49" t="str">
        <f>IF(AND(J2409=0,K2409=0,L2409=0,M2409=0),"",IF(O2409=0,"PENDENTE DE RATEIO",IF(ABS(P2409)&gt;0.005,"DIVERGÊNCIA",IF(COUNTIF(RATEIOS!$A$2:$A$3142,$A2409)-COUNTIFS(RATEIOS!$A$2:$A$3142,$A2409,RATEIOS!$D$2:$D$3142,"&lt;&gt;")&gt;0,"NÃO CLASSIFICADO","RATEIO OK"))))</f>
        <v/>
      </c>
      <c r="R2409" s="49"/>
      <c r="S2409" s="14"/>
    </row>
    <row r="2410" spans="1:19" ht="30" customHeight="1" x14ac:dyDescent="0.25">
      <c r="A2410" s="49" t="str">
        <f>IF(C2410="","","BAN-02409")</f>
        <v/>
      </c>
      <c r="B2410" s="98" t="str">
        <f>IF(C2410="","",2409)</f>
        <v/>
      </c>
      <c r="C2410" s="50"/>
      <c r="D2410" s="49" t="str">
        <f t="shared" si="75"/>
        <v/>
      </c>
      <c r="E2410" s="92"/>
      <c r="F2410" s="49"/>
      <c r="G2410" s="14"/>
      <c r="H2410" s="14"/>
      <c r="I2410" s="76"/>
      <c r="J2410" s="73"/>
      <c r="K2410" s="74"/>
      <c r="L2410" s="72"/>
      <c r="M2410" s="72"/>
      <c r="N2410" s="72" t="str">
        <f>IF(AND(C2410="",J2410=0,K2410=0,L2410=0,M2410=0),"",CADASTROS!$B$4+SUM($J$2:J2410)+SUM($M$2:M2410)-SUM($K$2:K2410)-SUM($L$2:L2410))</f>
        <v/>
      </c>
      <c r="O2410" s="72" t="str">
        <f>IF(A2410="","",SUMIF(RATEIOS!$A$2:$A$3142,$A2410,RATEIOS!$F$2:$F$3142))</f>
        <v/>
      </c>
      <c r="P2410" s="15" t="str">
        <f t="shared" si="76"/>
        <v/>
      </c>
      <c r="Q2410" s="49" t="str">
        <f>IF(AND(J2410=0,K2410=0,L2410=0,M2410=0),"",IF(O2410=0,"PENDENTE DE RATEIO",IF(ABS(P2410)&gt;0.005,"DIVERGÊNCIA",IF(COUNTIF(RATEIOS!$A$2:$A$3142,$A2410)-COUNTIFS(RATEIOS!$A$2:$A$3142,$A2410,RATEIOS!$D$2:$D$3142,"&lt;&gt;")&gt;0,"NÃO CLASSIFICADO","RATEIO OK"))))</f>
        <v/>
      </c>
      <c r="R2410" s="49"/>
      <c r="S2410" s="14"/>
    </row>
    <row r="2411" spans="1:19" ht="30" customHeight="1" x14ac:dyDescent="0.25">
      <c r="A2411" s="49" t="str">
        <f>IF(C2411="","","BAN-02410")</f>
        <v/>
      </c>
      <c r="B2411" s="98" t="str">
        <f>IF(C2411="","",2410)</f>
        <v/>
      </c>
      <c r="C2411" s="50"/>
      <c r="D2411" s="49" t="str">
        <f t="shared" si="75"/>
        <v/>
      </c>
      <c r="E2411" s="92"/>
      <c r="F2411" s="49"/>
      <c r="G2411" s="14"/>
      <c r="H2411" s="14"/>
      <c r="I2411" s="76"/>
      <c r="J2411" s="73"/>
      <c r="K2411" s="74"/>
      <c r="L2411" s="72"/>
      <c r="M2411" s="72"/>
      <c r="N2411" s="72" t="str">
        <f>IF(AND(C2411="",J2411=0,K2411=0,L2411=0,M2411=0),"",CADASTROS!$B$4+SUM($J$2:J2411)+SUM($M$2:M2411)-SUM($K$2:K2411)-SUM($L$2:L2411))</f>
        <v/>
      </c>
      <c r="O2411" s="72" t="str">
        <f>IF(A2411="","",SUMIF(RATEIOS!$A$2:$A$3142,$A2411,RATEIOS!$F$2:$F$3142))</f>
        <v/>
      </c>
      <c r="P2411" s="15" t="str">
        <f t="shared" si="76"/>
        <v/>
      </c>
      <c r="Q2411" s="49" t="str">
        <f>IF(AND(J2411=0,K2411=0,L2411=0,M2411=0),"",IF(O2411=0,"PENDENTE DE RATEIO",IF(ABS(P2411)&gt;0.005,"DIVERGÊNCIA",IF(COUNTIF(RATEIOS!$A$2:$A$3142,$A2411)-COUNTIFS(RATEIOS!$A$2:$A$3142,$A2411,RATEIOS!$D$2:$D$3142,"&lt;&gt;")&gt;0,"NÃO CLASSIFICADO","RATEIO OK"))))</f>
        <v/>
      </c>
      <c r="R2411" s="49"/>
      <c r="S2411" s="14"/>
    </row>
    <row r="2412" spans="1:19" ht="30" customHeight="1" x14ac:dyDescent="0.25">
      <c r="A2412" s="49" t="str">
        <f>IF(C2412="","","BAN-02411")</f>
        <v/>
      </c>
      <c r="B2412" s="98" t="str">
        <f>IF(C2412="","",2411)</f>
        <v/>
      </c>
      <c r="C2412" s="50"/>
      <c r="D2412" s="49" t="str">
        <f t="shared" si="75"/>
        <v/>
      </c>
      <c r="E2412" s="92"/>
      <c r="F2412" s="49"/>
      <c r="G2412" s="14"/>
      <c r="H2412" s="14"/>
      <c r="I2412" s="76"/>
      <c r="J2412" s="73"/>
      <c r="K2412" s="74"/>
      <c r="L2412" s="72"/>
      <c r="M2412" s="72"/>
      <c r="N2412" s="72" t="str">
        <f>IF(AND(C2412="",J2412=0,K2412=0,L2412=0,M2412=0),"",CADASTROS!$B$4+SUM($J$2:J2412)+SUM($M$2:M2412)-SUM($K$2:K2412)-SUM($L$2:L2412))</f>
        <v/>
      </c>
      <c r="O2412" s="72" t="str">
        <f>IF(A2412="","",SUMIF(RATEIOS!$A$2:$A$3142,$A2412,RATEIOS!$F$2:$F$3142))</f>
        <v/>
      </c>
      <c r="P2412" s="15" t="str">
        <f t="shared" si="76"/>
        <v/>
      </c>
      <c r="Q2412" s="49" t="str">
        <f>IF(AND(J2412=0,K2412=0,L2412=0,M2412=0),"",IF(O2412=0,"PENDENTE DE RATEIO",IF(ABS(P2412)&gt;0.005,"DIVERGÊNCIA",IF(COUNTIF(RATEIOS!$A$2:$A$3142,$A2412)-COUNTIFS(RATEIOS!$A$2:$A$3142,$A2412,RATEIOS!$D$2:$D$3142,"&lt;&gt;")&gt;0,"NÃO CLASSIFICADO","RATEIO OK"))))</f>
        <v/>
      </c>
      <c r="R2412" s="49"/>
      <c r="S2412" s="14"/>
    </row>
    <row r="2413" spans="1:19" ht="30" customHeight="1" x14ac:dyDescent="0.25">
      <c r="A2413" s="49" t="str">
        <f>IF(C2413="","","BAN-02412")</f>
        <v/>
      </c>
      <c r="B2413" s="98" t="str">
        <f>IF(C2413="","",2412)</f>
        <v/>
      </c>
      <c r="C2413" s="50"/>
      <c r="D2413" s="49" t="str">
        <f t="shared" si="75"/>
        <v/>
      </c>
      <c r="E2413" s="92"/>
      <c r="F2413" s="49"/>
      <c r="G2413" s="14"/>
      <c r="H2413" s="14"/>
      <c r="I2413" s="76"/>
      <c r="J2413" s="73"/>
      <c r="K2413" s="74"/>
      <c r="L2413" s="72"/>
      <c r="M2413" s="72"/>
      <c r="N2413" s="72" t="str">
        <f>IF(AND(C2413="",J2413=0,K2413=0,L2413=0,M2413=0),"",CADASTROS!$B$4+SUM($J$2:J2413)+SUM($M$2:M2413)-SUM($K$2:K2413)-SUM($L$2:L2413))</f>
        <v/>
      </c>
      <c r="O2413" s="72" t="str">
        <f>IF(A2413="","",SUMIF(RATEIOS!$A$2:$A$3142,$A2413,RATEIOS!$F$2:$F$3142))</f>
        <v/>
      </c>
      <c r="P2413" s="15" t="str">
        <f t="shared" si="76"/>
        <v/>
      </c>
      <c r="Q2413" s="49" t="str">
        <f>IF(AND(J2413=0,K2413=0,L2413=0,M2413=0),"",IF(O2413=0,"PENDENTE DE RATEIO",IF(ABS(P2413)&gt;0.005,"DIVERGÊNCIA",IF(COUNTIF(RATEIOS!$A$2:$A$3142,$A2413)-COUNTIFS(RATEIOS!$A$2:$A$3142,$A2413,RATEIOS!$D$2:$D$3142,"&lt;&gt;")&gt;0,"NÃO CLASSIFICADO","RATEIO OK"))))</f>
        <v/>
      </c>
      <c r="R2413" s="49"/>
      <c r="S2413" s="14"/>
    </row>
    <row r="2414" spans="1:19" ht="30" customHeight="1" x14ac:dyDescent="0.25">
      <c r="A2414" s="49" t="str">
        <f>IF(C2414="","","BAN-02413")</f>
        <v/>
      </c>
      <c r="B2414" s="98" t="str">
        <f>IF(C2414="","",2413)</f>
        <v/>
      </c>
      <c r="C2414" s="50"/>
      <c r="D2414" s="49" t="str">
        <f t="shared" si="75"/>
        <v/>
      </c>
      <c r="E2414" s="92"/>
      <c r="F2414" s="49"/>
      <c r="G2414" s="14"/>
      <c r="H2414" s="14"/>
      <c r="I2414" s="76"/>
      <c r="J2414" s="73"/>
      <c r="K2414" s="74"/>
      <c r="L2414" s="72"/>
      <c r="M2414" s="72"/>
      <c r="N2414" s="72" t="str">
        <f>IF(AND(C2414="",J2414=0,K2414=0,L2414=0,M2414=0),"",CADASTROS!$B$4+SUM($J$2:J2414)+SUM($M$2:M2414)-SUM($K$2:K2414)-SUM($L$2:L2414))</f>
        <v/>
      </c>
      <c r="O2414" s="72" t="str">
        <f>IF(A2414="","",SUMIF(RATEIOS!$A$2:$A$3142,$A2414,RATEIOS!$F$2:$F$3142))</f>
        <v/>
      </c>
      <c r="P2414" s="15" t="str">
        <f t="shared" si="76"/>
        <v/>
      </c>
      <c r="Q2414" s="49" t="str">
        <f>IF(AND(J2414=0,K2414=0,L2414=0,M2414=0),"",IF(O2414=0,"PENDENTE DE RATEIO",IF(ABS(P2414)&gt;0.005,"DIVERGÊNCIA",IF(COUNTIF(RATEIOS!$A$2:$A$3142,$A2414)-COUNTIFS(RATEIOS!$A$2:$A$3142,$A2414,RATEIOS!$D$2:$D$3142,"&lt;&gt;")&gt;0,"NÃO CLASSIFICADO","RATEIO OK"))))</f>
        <v/>
      </c>
      <c r="R2414" s="49"/>
      <c r="S2414" s="14"/>
    </row>
    <row r="2415" spans="1:19" ht="30" customHeight="1" x14ac:dyDescent="0.25">
      <c r="A2415" s="49" t="str">
        <f>IF(C2415="","","BAN-02414")</f>
        <v/>
      </c>
      <c r="B2415" s="98" t="str">
        <f>IF(C2415="","",2414)</f>
        <v/>
      </c>
      <c r="C2415" s="50"/>
      <c r="D2415" s="49" t="str">
        <f t="shared" si="75"/>
        <v/>
      </c>
      <c r="E2415" s="92"/>
      <c r="F2415" s="49"/>
      <c r="G2415" s="14"/>
      <c r="H2415" s="14"/>
      <c r="I2415" s="76"/>
      <c r="J2415" s="73"/>
      <c r="K2415" s="74"/>
      <c r="L2415" s="72"/>
      <c r="M2415" s="72"/>
      <c r="N2415" s="72" t="str">
        <f>IF(AND(C2415="",J2415=0,K2415=0,L2415=0,M2415=0),"",CADASTROS!$B$4+SUM($J$2:J2415)+SUM($M$2:M2415)-SUM($K$2:K2415)-SUM($L$2:L2415))</f>
        <v/>
      </c>
      <c r="O2415" s="72" t="str">
        <f>IF(A2415="","",SUMIF(RATEIOS!$A$2:$A$3142,$A2415,RATEIOS!$F$2:$F$3142))</f>
        <v/>
      </c>
      <c r="P2415" s="15" t="str">
        <f t="shared" si="76"/>
        <v/>
      </c>
      <c r="Q2415" s="49" t="str">
        <f>IF(AND(J2415=0,K2415=0,L2415=0,M2415=0),"",IF(O2415=0,"PENDENTE DE RATEIO",IF(ABS(P2415)&gt;0.005,"DIVERGÊNCIA",IF(COUNTIF(RATEIOS!$A$2:$A$3142,$A2415)-COUNTIFS(RATEIOS!$A$2:$A$3142,$A2415,RATEIOS!$D$2:$D$3142,"&lt;&gt;")&gt;0,"NÃO CLASSIFICADO","RATEIO OK"))))</f>
        <v/>
      </c>
      <c r="R2415" s="49"/>
      <c r="S2415" s="14"/>
    </row>
    <row r="2416" spans="1:19" ht="30" customHeight="1" x14ac:dyDescent="0.25">
      <c r="A2416" s="49" t="str">
        <f>IF(C2416="","","BAN-02415")</f>
        <v/>
      </c>
      <c r="B2416" s="98" t="str">
        <f>IF(C2416="","",2415)</f>
        <v/>
      </c>
      <c r="C2416" s="50"/>
      <c r="D2416" s="49" t="str">
        <f t="shared" si="75"/>
        <v/>
      </c>
      <c r="E2416" s="92"/>
      <c r="F2416" s="49"/>
      <c r="G2416" s="14"/>
      <c r="H2416" s="14"/>
      <c r="I2416" s="76"/>
      <c r="J2416" s="73"/>
      <c r="K2416" s="74"/>
      <c r="L2416" s="72"/>
      <c r="M2416" s="72"/>
      <c r="N2416" s="72" t="str">
        <f>IF(AND(C2416="",J2416=0,K2416=0,L2416=0,M2416=0),"",CADASTROS!$B$4+SUM($J$2:J2416)+SUM($M$2:M2416)-SUM($K$2:K2416)-SUM($L$2:L2416))</f>
        <v/>
      </c>
      <c r="O2416" s="72" t="str">
        <f>IF(A2416="","",SUMIF(RATEIOS!$A$2:$A$3142,$A2416,RATEIOS!$F$2:$F$3142))</f>
        <v/>
      </c>
      <c r="P2416" s="15" t="str">
        <f t="shared" si="76"/>
        <v/>
      </c>
      <c r="Q2416" s="49" t="str">
        <f>IF(AND(J2416=0,K2416=0,L2416=0,M2416=0),"",IF(O2416=0,"PENDENTE DE RATEIO",IF(ABS(P2416)&gt;0.005,"DIVERGÊNCIA",IF(COUNTIF(RATEIOS!$A$2:$A$3142,$A2416)-COUNTIFS(RATEIOS!$A$2:$A$3142,$A2416,RATEIOS!$D$2:$D$3142,"&lt;&gt;")&gt;0,"NÃO CLASSIFICADO","RATEIO OK"))))</f>
        <v/>
      </c>
      <c r="R2416" s="49"/>
      <c r="S2416" s="14"/>
    </row>
    <row r="2417" spans="1:19" ht="30" customHeight="1" x14ac:dyDescent="0.25">
      <c r="A2417" s="49" t="str">
        <f>IF(C2417="","","BAN-02416")</f>
        <v/>
      </c>
      <c r="B2417" s="98" t="str">
        <f>IF(C2417="","",2416)</f>
        <v/>
      </c>
      <c r="C2417" s="50"/>
      <c r="D2417" s="49" t="str">
        <f t="shared" si="75"/>
        <v/>
      </c>
      <c r="E2417" s="92"/>
      <c r="F2417" s="49"/>
      <c r="G2417" s="14"/>
      <c r="H2417" s="14"/>
      <c r="I2417" s="76"/>
      <c r="J2417" s="73"/>
      <c r="K2417" s="74"/>
      <c r="L2417" s="72"/>
      <c r="M2417" s="72"/>
      <c r="N2417" s="72" t="str">
        <f>IF(AND(C2417="",J2417=0,K2417=0,L2417=0,M2417=0),"",CADASTROS!$B$4+SUM($J$2:J2417)+SUM($M$2:M2417)-SUM($K$2:K2417)-SUM($L$2:L2417))</f>
        <v/>
      </c>
      <c r="O2417" s="72" t="str">
        <f>IF(A2417="","",SUMIF(RATEIOS!$A$2:$A$3142,$A2417,RATEIOS!$F$2:$F$3142))</f>
        <v/>
      </c>
      <c r="P2417" s="15" t="str">
        <f t="shared" si="76"/>
        <v/>
      </c>
      <c r="Q2417" s="49" t="str">
        <f>IF(AND(J2417=0,K2417=0,L2417=0,M2417=0),"",IF(O2417=0,"PENDENTE DE RATEIO",IF(ABS(P2417)&gt;0.005,"DIVERGÊNCIA",IF(COUNTIF(RATEIOS!$A$2:$A$3142,$A2417)-COUNTIFS(RATEIOS!$A$2:$A$3142,$A2417,RATEIOS!$D$2:$D$3142,"&lt;&gt;")&gt;0,"NÃO CLASSIFICADO","RATEIO OK"))))</f>
        <v/>
      </c>
      <c r="R2417" s="49"/>
      <c r="S2417" s="14"/>
    </row>
    <row r="2418" spans="1:19" ht="30" customHeight="1" x14ac:dyDescent="0.25">
      <c r="A2418" s="49" t="str">
        <f>IF(C2418="","","BAN-02417")</f>
        <v/>
      </c>
      <c r="B2418" s="98" t="str">
        <f>IF(C2418="","",2417)</f>
        <v/>
      </c>
      <c r="C2418" s="50"/>
      <c r="D2418" s="49" t="str">
        <f t="shared" si="75"/>
        <v/>
      </c>
      <c r="E2418" s="92"/>
      <c r="F2418" s="49"/>
      <c r="G2418" s="14"/>
      <c r="H2418" s="14"/>
      <c r="I2418" s="76"/>
      <c r="J2418" s="73"/>
      <c r="K2418" s="74"/>
      <c r="L2418" s="72"/>
      <c r="M2418" s="72"/>
      <c r="N2418" s="72" t="str">
        <f>IF(AND(C2418="",J2418=0,K2418=0,L2418=0,M2418=0),"",CADASTROS!$B$4+SUM($J$2:J2418)+SUM($M$2:M2418)-SUM($K$2:K2418)-SUM($L$2:L2418))</f>
        <v/>
      </c>
      <c r="O2418" s="72" t="str">
        <f>IF(A2418="","",SUMIF(RATEIOS!$A$2:$A$3142,$A2418,RATEIOS!$F$2:$F$3142))</f>
        <v/>
      </c>
      <c r="P2418" s="15" t="str">
        <f t="shared" si="76"/>
        <v/>
      </c>
      <c r="Q2418" s="49" t="str">
        <f>IF(AND(J2418=0,K2418=0,L2418=0,M2418=0),"",IF(O2418=0,"PENDENTE DE RATEIO",IF(ABS(P2418)&gt;0.005,"DIVERGÊNCIA",IF(COUNTIF(RATEIOS!$A$2:$A$3142,$A2418)-COUNTIFS(RATEIOS!$A$2:$A$3142,$A2418,RATEIOS!$D$2:$D$3142,"&lt;&gt;")&gt;0,"NÃO CLASSIFICADO","RATEIO OK"))))</f>
        <v/>
      </c>
      <c r="R2418" s="49"/>
      <c r="S2418" s="14"/>
    </row>
    <row r="2419" spans="1:19" ht="30" customHeight="1" x14ac:dyDescent="0.25">
      <c r="A2419" s="49" t="str">
        <f>IF(C2419="","","BAN-02418")</f>
        <v/>
      </c>
      <c r="B2419" s="98" t="str">
        <f>IF(C2419="","",2418)</f>
        <v/>
      </c>
      <c r="C2419" s="50"/>
      <c r="D2419" s="49" t="str">
        <f t="shared" si="75"/>
        <v/>
      </c>
      <c r="E2419" s="92"/>
      <c r="F2419" s="49"/>
      <c r="G2419" s="14"/>
      <c r="H2419" s="14"/>
      <c r="I2419" s="76"/>
      <c r="J2419" s="73"/>
      <c r="K2419" s="74"/>
      <c r="L2419" s="72"/>
      <c r="M2419" s="72"/>
      <c r="N2419" s="72" t="str">
        <f>IF(AND(C2419="",J2419=0,K2419=0,L2419=0,M2419=0),"",CADASTROS!$B$4+SUM($J$2:J2419)+SUM($M$2:M2419)-SUM($K$2:K2419)-SUM($L$2:L2419))</f>
        <v/>
      </c>
      <c r="O2419" s="72" t="str">
        <f>IF(A2419="","",SUMIF(RATEIOS!$A$2:$A$3142,$A2419,RATEIOS!$F$2:$F$3142))</f>
        <v/>
      </c>
      <c r="P2419" s="15" t="str">
        <f t="shared" si="76"/>
        <v/>
      </c>
      <c r="Q2419" s="49" t="str">
        <f>IF(AND(J2419=0,K2419=0,L2419=0,M2419=0),"",IF(O2419=0,"PENDENTE DE RATEIO",IF(ABS(P2419)&gt;0.005,"DIVERGÊNCIA",IF(COUNTIF(RATEIOS!$A$2:$A$3142,$A2419)-COUNTIFS(RATEIOS!$A$2:$A$3142,$A2419,RATEIOS!$D$2:$D$3142,"&lt;&gt;")&gt;0,"NÃO CLASSIFICADO","RATEIO OK"))))</f>
        <v/>
      </c>
      <c r="R2419" s="49"/>
      <c r="S2419" s="14"/>
    </row>
    <row r="2420" spans="1:19" ht="30" customHeight="1" x14ac:dyDescent="0.25">
      <c r="A2420" s="49" t="str">
        <f>IF(C2420="","","BAN-02419")</f>
        <v/>
      </c>
      <c r="B2420" s="98" t="str">
        <f>IF(C2420="","",2419)</f>
        <v/>
      </c>
      <c r="C2420" s="50"/>
      <c r="D2420" s="49" t="str">
        <f t="shared" si="75"/>
        <v/>
      </c>
      <c r="E2420" s="92"/>
      <c r="F2420" s="49"/>
      <c r="G2420" s="14"/>
      <c r="H2420" s="14"/>
      <c r="I2420" s="76"/>
      <c r="J2420" s="73"/>
      <c r="K2420" s="74"/>
      <c r="L2420" s="72"/>
      <c r="M2420" s="72"/>
      <c r="N2420" s="72" t="str">
        <f>IF(AND(C2420="",J2420=0,K2420=0,L2420=0,M2420=0),"",CADASTROS!$B$4+SUM($J$2:J2420)+SUM($M$2:M2420)-SUM($K$2:K2420)-SUM($L$2:L2420))</f>
        <v/>
      </c>
      <c r="O2420" s="72" t="str">
        <f>IF(A2420="","",SUMIF(RATEIOS!$A$2:$A$3142,$A2420,RATEIOS!$F$2:$F$3142))</f>
        <v/>
      </c>
      <c r="P2420" s="15" t="str">
        <f t="shared" si="76"/>
        <v/>
      </c>
      <c r="Q2420" s="49" t="str">
        <f>IF(AND(J2420=0,K2420=0,L2420=0,M2420=0),"",IF(O2420=0,"PENDENTE DE RATEIO",IF(ABS(P2420)&gt;0.005,"DIVERGÊNCIA",IF(COUNTIF(RATEIOS!$A$2:$A$3142,$A2420)-COUNTIFS(RATEIOS!$A$2:$A$3142,$A2420,RATEIOS!$D$2:$D$3142,"&lt;&gt;")&gt;0,"NÃO CLASSIFICADO","RATEIO OK"))))</f>
        <v/>
      </c>
      <c r="R2420" s="49"/>
      <c r="S2420" s="14"/>
    </row>
    <row r="2421" spans="1:19" ht="30" customHeight="1" x14ac:dyDescent="0.25">
      <c r="A2421" s="49" t="str">
        <f>IF(C2421="","","BAN-02420")</f>
        <v/>
      </c>
      <c r="B2421" s="98" t="str">
        <f>IF(C2421="","",2420)</f>
        <v/>
      </c>
      <c r="C2421" s="50"/>
      <c r="D2421" s="49" t="str">
        <f t="shared" si="75"/>
        <v/>
      </c>
      <c r="E2421" s="92"/>
      <c r="F2421" s="49"/>
      <c r="G2421" s="14"/>
      <c r="H2421" s="14"/>
      <c r="I2421" s="76"/>
      <c r="J2421" s="73"/>
      <c r="K2421" s="74"/>
      <c r="L2421" s="72"/>
      <c r="M2421" s="72"/>
      <c r="N2421" s="72" t="str">
        <f>IF(AND(C2421="",J2421=0,K2421=0,L2421=0,M2421=0),"",CADASTROS!$B$4+SUM($J$2:J2421)+SUM($M$2:M2421)-SUM($K$2:K2421)-SUM($L$2:L2421))</f>
        <v/>
      </c>
      <c r="O2421" s="72" t="str">
        <f>IF(A2421="","",SUMIF(RATEIOS!$A$2:$A$3142,$A2421,RATEIOS!$F$2:$F$3142))</f>
        <v/>
      </c>
      <c r="P2421" s="15" t="str">
        <f t="shared" si="76"/>
        <v/>
      </c>
      <c r="Q2421" s="49" t="str">
        <f>IF(AND(J2421=0,K2421=0,L2421=0,M2421=0),"",IF(O2421=0,"PENDENTE DE RATEIO",IF(ABS(P2421)&gt;0.005,"DIVERGÊNCIA",IF(COUNTIF(RATEIOS!$A$2:$A$3142,$A2421)-COUNTIFS(RATEIOS!$A$2:$A$3142,$A2421,RATEIOS!$D$2:$D$3142,"&lt;&gt;")&gt;0,"NÃO CLASSIFICADO","RATEIO OK"))))</f>
        <v/>
      </c>
      <c r="R2421" s="49"/>
      <c r="S2421" s="14"/>
    </row>
    <row r="2422" spans="1:19" ht="30" customHeight="1" x14ac:dyDescent="0.25">
      <c r="A2422" s="49" t="str">
        <f>IF(C2422="","","BAN-02421")</f>
        <v/>
      </c>
      <c r="B2422" s="98" t="str">
        <f>IF(C2422="","",2421)</f>
        <v/>
      </c>
      <c r="C2422" s="50"/>
      <c r="D2422" s="49" t="str">
        <f t="shared" si="75"/>
        <v/>
      </c>
      <c r="E2422" s="92"/>
      <c r="F2422" s="49"/>
      <c r="G2422" s="14"/>
      <c r="H2422" s="14"/>
      <c r="I2422" s="76"/>
      <c r="J2422" s="73"/>
      <c r="K2422" s="74"/>
      <c r="L2422" s="72"/>
      <c r="M2422" s="72"/>
      <c r="N2422" s="72" t="str">
        <f>IF(AND(C2422="",J2422=0,K2422=0,L2422=0,M2422=0),"",CADASTROS!$B$4+SUM($J$2:J2422)+SUM($M$2:M2422)-SUM($K$2:K2422)-SUM($L$2:L2422))</f>
        <v/>
      </c>
      <c r="O2422" s="72" t="str">
        <f>IF(A2422="","",SUMIF(RATEIOS!$A$2:$A$3142,$A2422,RATEIOS!$F$2:$F$3142))</f>
        <v/>
      </c>
      <c r="P2422" s="15" t="str">
        <f t="shared" si="76"/>
        <v/>
      </c>
      <c r="Q2422" s="49" t="str">
        <f>IF(AND(J2422=0,K2422=0,L2422=0,M2422=0),"",IF(O2422=0,"PENDENTE DE RATEIO",IF(ABS(P2422)&gt;0.005,"DIVERGÊNCIA",IF(COUNTIF(RATEIOS!$A$2:$A$3142,$A2422)-COUNTIFS(RATEIOS!$A$2:$A$3142,$A2422,RATEIOS!$D$2:$D$3142,"&lt;&gt;")&gt;0,"NÃO CLASSIFICADO","RATEIO OK"))))</f>
        <v/>
      </c>
      <c r="R2422" s="49"/>
      <c r="S2422" s="14"/>
    </row>
    <row r="2423" spans="1:19" ht="30" customHeight="1" x14ac:dyDescent="0.25">
      <c r="A2423" s="49" t="str">
        <f>IF(C2423="","","BAN-02422")</f>
        <v/>
      </c>
      <c r="B2423" s="98" t="str">
        <f>IF(C2423="","",2422)</f>
        <v/>
      </c>
      <c r="C2423" s="50"/>
      <c r="D2423" s="49" t="str">
        <f t="shared" si="75"/>
        <v/>
      </c>
      <c r="E2423" s="92"/>
      <c r="F2423" s="49"/>
      <c r="G2423" s="14"/>
      <c r="H2423" s="14"/>
      <c r="I2423" s="76"/>
      <c r="J2423" s="73"/>
      <c r="K2423" s="74"/>
      <c r="L2423" s="72"/>
      <c r="M2423" s="72"/>
      <c r="N2423" s="72" t="str">
        <f>IF(AND(C2423="",J2423=0,K2423=0,L2423=0,M2423=0),"",CADASTROS!$B$4+SUM($J$2:J2423)+SUM($M$2:M2423)-SUM($K$2:K2423)-SUM($L$2:L2423))</f>
        <v/>
      </c>
      <c r="O2423" s="72" t="str">
        <f>IF(A2423="","",SUMIF(RATEIOS!$A$2:$A$3142,$A2423,RATEIOS!$F$2:$F$3142))</f>
        <v/>
      </c>
      <c r="P2423" s="15" t="str">
        <f t="shared" si="76"/>
        <v/>
      </c>
      <c r="Q2423" s="49" t="str">
        <f>IF(AND(J2423=0,K2423=0,L2423=0,M2423=0),"",IF(O2423=0,"PENDENTE DE RATEIO",IF(ABS(P2423)&gt;0.005,"DIVERGÊNCIA",IF(COUNTIF(RATEIOS!$A$2:$A$3142,$A2423)-COUNTIFS(RATEIOS!$A$2:$A$3142,$A2423,RATEIOS!$D$2:$D$3142,"&lt;&gt;")&gt;0,"NÃO CLASSIFICADO","RATEIO OK"))))</f>
        <v/>
      </c>
      <c r="R2423" s="49"/>
      <c r="S2423" s="14"/>
    </row>
    <row r="2424" spans="1:19" ht="30" customHeight="1" x14ac:dyDescent="0.25">
      <c r="A2424" s="49" t="str">
        <f>IF(C2424="","","BAN-02423")</f>
        <v/>
      </c>
      <c r="B2424" s="98" t="str">
        <f>IF(C2424="","",2423)</f>
        <v/>
      </c>
      <c r="C2424" s="50"/>
      <c r="D2424" s="49" t="str">
        <f t="shared" si="75"/>
        <v/>
      </c>
      <c r="E2424" s="92"/>
      <c r="F2424" s="49"/>
      <c r="G2424" s="14"/>
      <c r="H2424" s="14"/>
      <c r="I2424" s="76"/>
      <c r="J2424" s="73"/>
      <c r="K2424" s="74"/>
      <c r="L2424" s="72"/>
      <c r="M2424" s="72"/>
      <c r="N2424" s="72" t="str">
        <f>IF(AND(C2424="",J2424=0,K2424=0,L2424=0,M2424=0),"",CADASTROS!$B$4+SUM($J$2:J2424)+SUM($M$2:M2424)-SUM($K$2:K2424)-SUM($L$2:L2424))</f>
        <v/>
      </c>
      <c r="O2424" s="72" t="str">
        <f>IF(A2424="","",SUMIF(RATEIOS!$A$2:$A$3142,$A2424,RATEIOS!$F$2:$F$3142))</f>
        <v/>
      </c>
      <c r="P2424" s="15" t="str">
        <f t="shared" si="76"/>
        <v/>
      </c>
      <c r="Q2424" s="49" t="str">
        <f>IF(AND(J2424=0,K2424=0,L2424=0,M2424=0),"",IF(O2424=0,"PENDENTE DE RATEIO",IF(ABS(P2424)&gt;0.005,"DIVERGÊNCIA",IF(COUNTIF(RATEIOS!$A$2:$A$3142,$A2424)-COUNTIFS(RATEIOS!$A$2:$A$3142,$A2424,RATEIOS!$D$2:$D$3142,"&lt;&gt;")&gt;0,"NÃO CLASSIFICADO","RATEIO OK"))))</f>
        <v/>
      </c>
      <c r="R2424" s="49"/>
      <c r="S2424" s="14"/>
    </row>
    <row r="2425" spans="1:19" ht="30" customHeight="1" x14ac:dyDescent="0.25">
      <c r="A2425" s="49" t="str">
        <f>IF(C2425="","","BAN-02424")</f>
        <v/>
      </c>
      <c r="B2425" s="98" t="str">
        <f>IF(C2425="","",2424)</f>
        <v/>
      </c>
      <c r="C2425" s="50"/>
      <c r="D2425" s="49" t="str">
        <f t="shared" si="75"/>
        <v/>
      </c>
      <c r="E2425" s="92"/>
      <c r="F2425" s="49"/>
      <c r="G2425" s="14"/>
      <c r="H2425" s="14"/>
      <c r="I2425" s="76"/>
      <c r="J2425" s="73"/>
      <c r="K2425" s="74"/>
      <c r="L2425" s="72"/>
      <c r="M2425" s="72"/>
      <c r="N2425" s="72" t="str">
        <f>IF(AND(C2425="",J2425=0,K2425=0,L2425=0,M2425=0),"",CADASTROS!$B$4+SUM($J$2:J2425)+SUM($M$2:M2425)-SUM($K$2:K2425)-SUM($L$2:L2425))</f>
        <v/>
      </c>
      <c r="O2425" s="72" t="str">
        <f>IF(A2425="","",SUMIF(RATEIOS!$A$2:$A$3142,$A2425,RATEIOS!$F$2:$F$3142))</f>
        <v/>
      </c>
      <c r="P2425" s="15" t="str">
        <f t="shared" si="76"/>
        <v/>
      </c>
      <c r="Q2425" s="49" t="str">
        <f>IF(AND(J2425=0,K2425=0,L2425=0,M2425=0),"",IF(O2425=0,"PENDENTE DE RATEIO",IF(ABS(P2425)&gt;0.005,"DIVERGÊNCIA",IF(COUNTIF(RATEIOS!$A$2:$A$3142,$A2425)-COUNTIFS(RATEIOS!$A$2:$A$3142,$A2425,RATEIOS!$D$2:$D$3142,"&lt;&gt;")&gt;0,"NÃO CLASSIFICADO","RATEIO OK"))))</f>
        <v/>
      </c>
      <c r="R2425" s="49"/>
      <c r="S2425" s="14"/>
    </row>
    <row r="2426" spans="1:19" ht="30" customHeight="1" x14ac:dyDescent="0.25">
      <c r="A2426" s="49" t="str">
        <f>IF(C2426="","","BAN-02425")</f>
        <v/>
      </c>
      <c r="B2426" s="98" t="str">
        <f>IF(C2426="","",2425)</f>
        <v/>
      </c>
      <c r="C2426" s="50"/>
      <c r="D2426" s="49" t="str">
        <f t="shared" si="75"/>
        <v/>
      </c>
      <c r="E2426" s="92"/>
      <c r="F2426" s="49"/>
      <c r="G2426" s="14"/>
      <c r="H2426" s="14"/>
      <c r="I2426" s="76"/>
      <c r="J2426" s="73"/>
      <c r="K2426" s="74"/>
      <c r="L2426" s="72"/>
      <c r="M2426" s="72"/>
      <c r="N2426" s="72" t="str">
        <f>IF(AND(C2426="",J2426=0,K2426=0,L2426=0,M2426=0),"",CADASTROS!$B$4+SUM($J$2:J2426)+SUM($M$2:M2426)-SUM($K$2:K2426)-SUM($L$2:L2426))</f>
        <v/>
      </c>
      <c r="O2426" s="72" t="str">
        <f>IF(A2426="","",SUMIF(RATEIOS!$A$2:$A$3142,$A2426,RATEIOS!$F$2:$F$3142))</f>
        <v/>
      </c>
      <c r="P2426" s="15" t="str">
        <f t="shared" si="76"/>
        <v/>
      </c>
      <c r="Q2426" s="49" t="str">
        <f>IF(AND(J2426=0,K2426=0,L2426=0,M2426=0),"",IF(O2426=0,"PENDENTE DE RATEIO",IF(ABS(P2426)&gt;0.005,"DIVERGÊNCIA",IF(COUNTIF(RATEIOS!$A$2:$A$3142,$A2426)-COUNTIFS(RATEIOS!$A$2:$A$3142,$A2426,RATEIOS!$D$2:$D$3142,"&lt;&gt;")&gt;0,"NÃO CLASSIFICADO","RATEIO OK"))))</f>
        <v/>
      </c>
      <c r="R2426" s="49"/>
      <c r="S2426" s="14"/>
    </row>
    <row r="2427" spans="1:19" ht="30" customHeight="1" x14ac:dyDescent="0.25">
      <c r="A2427" s="49" t="str">
        <f>IF(C2427="","","BAN-02426")</f>
        <v/>
      </c>
      <c r="B2427" s="98" t="str">
        <f>IF(C2427="","",2426)</f>
        <v/>
      </c>
      <c r="C2427" s="50"/>
      <c r="D2427" s="49" t="str">
        <f t="shared" si="75"/>
        <v/>
      </c>
      <c r="E2427" s="92"/>
      <c r="F2427" s="49"/>
      <c r="G2427" s="14"/>
      <c r="H2427" s="14"/>
      <c r="I2427" s="76"/>
      <c r="J2427" s="73"/>
      <c r="K2427" s="74"/>
      <c r="L2427" s="72"/>
      <c r="M2427" s="72"/>
      <c r="N2427" s="72" t="str">
        <f>IF(AND(C2427="",J2427=0,K2427=0,L2427=0,M2427=0),"",CADASTROS!$B$4+SUM($J$2:J2427)+SUM($M$2:M2427)-SUM($K$2:K2427)-SUM($L$2:L2427))</f>
        <v/>
      </c>
      <c r="O2427" s="72" t="str">
        <f>IF(A2427="","",SUMIF(RATEIOS!$A$2:$A$3142,$A2427,RATEIOS!$F$2:$F$3142))</f>
        <v/>
      </c>
      <c r="P2427" s="15" t="str">
        <f t="shared" si="76"/>
        <v/>
      </c>
      <c r="Q2427" s="49" t="str">
        <f>IF(AND(J2427=0,K2427=0,L2427=0,M2427=0),"",IF(O2427=0,"PENDENTE DE RATEIO",IF(ABS(P2427)&gt;0.005,"DIVERGÊNCIA",IF(COUNTIF(RATEIOS!$A$2:$A$3142,$A2427)-COUNTIFS(RATEIOS!$A$2:$A$3142,$A2427,RATEIOS!$D$2:$D$3142,"&lt;&gt;")&gt;0,"NÃO CLASSIFICADO","RATEIO OK"))))</f>
        <v/>
      </c>
      <c r="R2427" s="49"/>
      <c r="S2427" s="14"/>
    </row>
    <row r="2428" spans="1:19" ht="30" customHeight="1" x14ac:dyDescent="0.25">
      <c r="A2428" s="49" t="str">
        <f>IF(C2428="","","BAN-02427")</f>
        <v/>
      </c>
      <c r="B2428" s="98" t="str">
        <f>IF(C2428="","",2427)</f>
        <v/>
      </c>
      <c r="C2428" s="50"/>
      <c r="D2428" s="49" t="str">
        <f t="shared" si="75"/>
        <v/>
      </c>
      <c r="E2428" s="92"/>
      <c r="F2428" s="49"/>
      <c r="G2428" s="14"/>
      <c r="H2428" s="14"/>
      <c r="I2428" s="76"/>
      <c r="J2428" s="73"/>
      <c r="K2428" s="74"/>
      <c r="L2428" s="72"/>
      <c r="M2428" s="72"/>
      <c r="N2428" s="72" t="str">
        <f>IF(AND(C2428="",J2428=0,K2428=0,L2428=0,M2428=0),"",CADASTROS!$B$4+SUM($J$2:J2428)+SUM($M$2:M2428)-SUM($K$2:K2428)-SUM($L$2:L2428))</f>
        <v/>
      </c>
      <c r="O2428" s="72" t="str">
        <f>IF(A2428="","",SUMIF(RATEIOS!$A$2:$A$3142,$A2428,RATEIOS!$F$2:$F$3142))</f>
        <v/>
      </c>
      <c r="P2428" s="15" t="str">
        <f t="shared" si="76"/>
        <v/>
      </c>
      <c r="Q2428" s="49" t="str">
        <f>IF(AND(J2428=0,K2428=0,L2428=0,M2428=0),"",IF(O2428=0,"PENDENTE DE RATEIO",IF(ABS(P2428)&gt;0.005,"DIVERGÊNCIA",IF(COUNTIF(RATEIOS!$A$2:$A$3142,$A2428)-COUNTIFS(RATEIOS!$A$2:$A$3142,$A2428,RATEIOS!$D$2:$D$3142,"&lt;&gt;")&gt;0,"NÃO CLASSIFICADO","RATEIO OK"))))</f>
        <v/>
      </c>
      <c r="R2428" s="49"/>
      <c r="S2428" s="14"/>
    </row>
    <row r="2429" spans="1:19" ht="30" customHeight="1" x14ac:dyDescent="0.25">
      <c r="A2429" s="49" t="str">
        <f>IF(C2429="","","BAN-02428")</f>
        <v/>
      </c>
      <c r="B2429" s="98" t="str">
        <f>IF(C2429="","",2428)</f>
        <v/>
      </c>
      <c r="C2429" s="50"/>
      <c r="D2429" s="49" t="str">
        <f t="shared" si="75"/>
        <v/>
      </c>
      <c r="E2429" s="92"/>
      <c r="F2429" s="49"/>
      <c r="G2429" s="14"/>
      <c r="H2429" s="14"/>
      <c r="I2429" s="76"/>
      <c r="J2429" s="73"/>
      <c r="K2429" s="74"/>
      <c r="L2429" s="72"/>
      <c r="M2429" s="72"/>
      <c r="N2429" s="72" t="str">
        <f>IF(AND(C2429="",J2429=0,K2429=0,L2429=0,M2429=0),"",CADASTROS!$B$4+SUM($J$2:J2429)+SUM($M$2:M2429)-SUM($K$2:K2429)-SUM($L$2:L2429))</f>
        <v/>
      </c>
      <c r="O2429" s="72" t="str">
        <f>IF(A2429="","",SUMIF(RATEIOS!$A$2:$A$3142,$A2429,RATEIOS!$F$2:$F$3142))</f>
        <v/>
      </c>
      <c r="P2429" s="15" t="str">
        <f t="shared" si="76"/>
        <v/>
      </c>
      <c r="Q2429" s="49" t="str">
        <f>IF(AND(J2429=0,K2429=0,L2429=0,M2429=0),"",IF(O2429=0,"PENDENTE DE RATEIO",IF(ABS(P2429)&gt;0.005,"DIVERGÊNCIA",IF(COUNTIF(RATEIOS!$A$2:$A$3142,$A2429)-COUNTIFS(RATEIOS!$A$2:$A$3142,$A2429,RATEIOS!$D$2:$D$3142,"&lt;&gt;")&gt;0,"NÃO CLASSIFICADO","RATEIO OK"))))</f>
        <v/>
      </c>
      <c r="R2429" s="49"/>
      <c r="S2429" s="14"/>
    </row>
    <row r="2430" spans="1:19" ht="30" customHeight="1" x14ac:dyDescent="0.25">
      <c r="A2430" s="49" t="str">
        <f>IF(C2430="","","BAN-02429")</f>
        <v/>
      </c>
      <c r="B2430" s="98" t="str">
        <f>IF(C2430="","",2429)</f>
        <v/>
      </c>
      <c r="C2430" s="50"/>
      <c r="D2430" s="49" t="str">
        <f t="shared" si="75"/>
        <v/>
      </c>
      <c r="E2430" s="92"/>
      <c r="F2430" s="49"/>
      <c r="G2430" s="14"/>
      <c r="H2430" s="14"/>
      <c r="I2430" s="76"/>
      <c r="J2430" s="73"/>
      <c r="K2430" s="74"/>
      <c r="L2430" s="72"/>
      <c r="M2430" s="72"/>
      <c r="N2430" s="72" t="str">
        <f>IF(AND(C2430="",J2430=0,K2430=0,L2430=0,M2430=0),"",CADASTROS!$B$4+SUM($J$2:J2430)+SUM($M$2:M2430)-SUM($K$2:K2430)-SUM($L$2:L2430))</f>
        <v/>
      </c>
      <c r="O2430" s="72" t="str">
        <f>IF(A2430="","",SUMIF(RATEIOS!$A$2:$A$3142,$A2430,RATEIOS!$F$2:$F$3142))</f>
        <v/>
      </c>
      <c r="P2430" s="15" t="str">
        <f t="shared" si="76"/>
        <v/>
      </c>
      <c r="Q2430" s="49" t="str">
        <f>IF(AND(J2430=0,K2430=0,L2430=0,M2430=0),"",IF(O2430=0,"PENDENTE DE RATEIO",IF(ABS(P2430)&gt;0.005,"DIVERGÊNCIA",IF(COUNTIF(RATEIOS!$A$2:$A$3142,$A2430)-COUNTIFS(RATEIOS!$A$2:$A$3142,$A2430,RATEIOS!$D$2:$D$3142,"&lt;&gt;")&gt;0,"NÃO CLASSIFICADO","RATEIO OK"))))</f>
        <v/>
      </c>
      <c r="R2430" s="49"/>
      <c r="S2430" s="14"/>
    </row>
    <row r="2431" spans="1:19" ht="30" customHeight="1" x14ac:dyDescent="0.25">
      <c r="A2431" s="49" t="str">
        <f>IF(C2431="","","BAN-02430")</f>
        <v/>
      </c>
      <c r="B2431" s="98" t="str">
        <f>IF(C2431="","",2430)</f>
        <v/>
      </c>
      <c r="C2431" s="50"/>
      <c r="D2431" s="49" t="str">
        <f t="shared" si="75"/>
        <v/>
      </c>
      <c r="E2431" s="92"/>
      <c r="F2431" s="49"/>
      <c r="G2431" s="14"/>
      <c r="H2431" s="14"/>
      <c r="I2431" s="76"/>
      <c r="J2431" s="73"/>
      <c r="K2431" s="74"/>
      <c r="L2431" s="72"/>
      <c r="M2431" s="72"/>
      <c r="N2431" s="72" t="str">
        <f>IF(AND(C2431="",J2431=0,K2431=0,L2431=0,M2431=0),"",CADASTROS!$B$4+SUM($J$2:J2431)+SUM($M$2:M2431)-SUM($K$2:K2431)-SUM($L$2:L2431))</f>
        <v/>
      </c>
      <c r="O2431" s="72" t="str">
        <f>IF(A2431="","",SUMIF(RATEIOS!$A$2:$A$3142,$A2431,RATEIOS!$F$2:$F$3142))</f>
        <v/>
      </c>
      <c r="P2431" s="15" t="str">
        <f t="shared" si="76"/>
        <v/>
      </c>
      <c r="Q2431" s="49" t="str">
        <f>IF(AND(J2431=0,K2431=0,L2431=0,M2431=0),"",IF(O2431=0,"PENDENTE DE RATEIO",IF(ABS(P2431)&gt;0.005,"DIVERGÊNCIA",IF(COUNTIF(RATEIOS!$A$2:$A$3142,$A2431)-COUNTIFS(RATEIOS!$A$2:$A$3142,$A2431,RATEIOS!$D$2:$D$3142,"&lt;&gt;")&gt;0,"NÃO CLASSIFICADO","RATEIO OK"))))</f>
        <v/>
      </c>
      <c r="R2431" s="49"/>
      <c r="S2431" s="14"/>
    </row>
    <row r="2432" spans="1:19" ht="30" customHeight="1" x14ac:dyDescent="0.25">
      <c r="A2432" s="49" t="str">
        <f>IF(C2432="","","BAN-02431")</f>
        <v/>
      </c>
      <c r="B2432" s="98" t="str">
        <f>IF(C2432="","",2431)</f>
        <v/>
      </c>
      <c r="C2432" s="50"/>
      <c r="D2432" s="49" t="str">
        <f t="shared" si="75"/>
        <v/>
      </c>
      <c r="E2432" s="92"/>
      <c r="F2432" s="49"/>
      <c r="G2432" s="14"/>
      <c r="H2432" s="14"/>
      <c r="I2432" s="76"/>
      <c r="J2432" s="73"/>
      <c r="K2432" s="74"/>
      <c r="L2432" s="72"/>
      <c r="M2432" s="72"/>
      <c r="N2432" s="72" t="str">
        <f>IF(AND(C2432="",J2432=0,K2432=0,L2432=0,M2432=0),"",CADASTROS!$B$4+SUM($J$2:J2432)+SUM($M$2:M2432)-SUM($K$2:K2432)-SUM($L$2:L2432))</f>
        <v/>
      </c>
      <c r="O2432" s="72" t="str">
        <f>IF(A2432="","",SUMIF(RATEIOS!$A$2:$A$3142,$A2432,RATEIOS!$F$2:$F$3142))</f>
        <v/>
      </c>
      <c r="P2432" s="15" t="str">
        <f t="shared" si="76"/>
        <v/>
      </c>
      <c r="Q2432" s="49" t="str">
        <f>IF(AND(J2432=0,K2432=0,L2432=0,M2432=0),"",IF(O2432=0,"PENDENTE DE RATEIO",IF(ABS(P2432)&gt;0.005,"DIVERGÊNCIA",IF(COUNTIF(RATEIOS!$A$2:$A$3142,$A2432)-COUNTIFS(RATEIOS!$A$2:$A$3142,$A2432,RATEIOS!$D$2:$D$3142,"&lt;&gt;")&gt;0,"NÃO CLASSIFICADO","RATEIO OK"))))</f>
        <v/>
      </c>
      <c r="R2432" s="49"/>
      <c r="S2432" s="14"/>
    </row>
    <row r="2433" spans="1:19" ht="30" customHeight="1" x14ac:dyDescent="0.25">
      <c r="A2433" s="49" t="str">
        <f>IF(C2433="","","BAN-02432")</f>
        <v/>
      </c>
      <c r="B2433" s="98" t="str">
        <f>IF(C2433="","",2432)</f>
        <v/>
      </c>
      <c r="C2433" s="50"/>
      <c r="D2433" s="49" t="str">
        <f t="shared" si="75"/>
        <v/>
      </c>
      <c r="E2433" s="92"/>
      <c r="F2433" s="49"/>
      <c r="G2433" s="14"/>
      <c r="H2433" s="14"/>
      <c r="I2433" s="76"/>
      <c r="J2433" s="73"/>
      <c r="K2433" s="74"/>
      <c r="L2433" s="72"/>
      <c r="M2433" s="72"/>
      <c r="N2433" s="72" t="str">
        <f>IF(AND(C2433="",J2433=0,K2433=0,L2433=0,M2433=0),"",CADASTROS!$B$4+SUM($J$2:J2433)+SUM($M$2:M2433)-SUM($K$2:K2433)-SUM($L$2:L2433))</f>
        <v/>
      </c>
      <c r="O2433" s="72" t="str">
        <f>IF(A2433="","",SUMIF(RATEIOS!$A$2:$A$3142,$A2433,RATEIOS!$F$2:$F$3142))</f>
        <v/>
      </c>
      <c r="P2433" s="15" t="str">
        <f t="shared" si="76"/>
        <v/>
      </c>
      <c r="Q2433" s="49" t="str">
        <f>IF(AND(J2433=0,K2433=0,L2433=0,M2433=0),"",IF(O2433=0,"PENDENTE DE RATEIO",IF(ABS(P2433)&gt;0.005,"DIVERGÊNCIA",IF(COUNTIF(RATEIOS!$A$2:$A$3142,$A2433)-COUNTIFS(RATEIOS!$A$2:$A$3142,$A2433,RATEIOS!$D$2:$D$3142,"&lt;&gt;")&gt;0,"NÃO CLASSIFICADO","RATEIO OK"))))</f>
        <v/>
      </c>
      <c r="R2433" s="49"/>
      <c r="S2433" s="14"/>
    </row>
    <row r="2434" spans="1:19" ht="30" customHeight="1" x14ac:dyDescent="0.25">
      <c r="A2434" s="49" t="str">
        <f>IF(C2434="","","BAN-02433")</f>
        <v/>
      </c>
      <c r="B2434" s="98" t="str">
        <f>IF(C2434="","",2433)</f>
        <v/>
      </c>
      <c r="C2434" s="50"/>
      <c r="D2434" s="49" t="str">
        <f t="shared" ref="D2434:D2497" si="77">IF(C2434="","",MONTH(C2434))</f>
        <v/>
      </c>
      <c r="E2434" s="92"/>
      <c r="F2434" s="49"/>
      <c r="G2434" s="14"/>
      <c r="H2434" s="14"/>
      <c r="I2434" s="76"/>
      <c r="J2434" s="73"/>
      <c r="K2434" s="74"/>
      <c r="L2434" s="72"/>
      <c r="M2434" s="72"/>
      <c r="N2434" s="72" t="str">
        <f>IF(AND(C2434="",J2434=0,K2434=0,L2434=0,M2434=0),"",CADASTROS!$B$4+SUM($J$2:J2434)+SUM($M$2:M2434)-SUM($K$2:K2434)-SUM($L$2:L2434))</f>
        <v/>
      </c>
      <c r="O2434" s="72" t="str">
        <f>IF(A2434="","",SUMIF(RATEIOS!$A$2:$A$3142,$A2434,RATEIOS!$F$2:$F$3142))</f>
        <v/>
      </c>
      <c r="P2434" s="15" t="str">
        <f t="shared" ref="P2434:P2497" si="78">IF(A2434="","",(J2434+K2434+L2434+M2434)-O2434)</f>
        <v/>
      </c>
      <c r="Q2434" s="49" t="str">
        <f>IF(AND(J2434=0,K2434=0,L2434=0,M2434=0),"",IF(O2434=0,"PENDENTE DE RATEIO",IF(ABS(P2434)&gt;0.005,"DIVERGÊNCIA",IF(COUNTIF(RATEIOS!$A$2:$A$3142,$A2434)-COUNTIFS(RATEIOS!$A$2:$A$3142,$A2434,RATEIOS!$D$2:$D$3142,"&lt;&gt;")&gt;0,"NÃO CLASSIFICADO","RATEIO OK"))))</f>
        <v/>
      </c>
      <c r="R2434" s="49"/>
      <c r="S2434" s="14"/>
    </row>
    <row r="2435" spans="1:19" ht="30" customHeight="1" x14ac:dyDescent="0.25">
      <c r="A2435" s="49" t="str">
        <f>IF(C2435="","","BAN-02434")</f>
        <v/>
      </c>
      <c r="B2435" s="98" t="str">
        <f>IF(C2435="","",2434)</f>
        <v/>
      </c>
      <c r="C2435" s="50"/>
      <c r="D2435" s="49" t="str">
        <f t="shared" si="77"/>
        <v/>
      </c>
      <c r="E2435" s="92"/>
      <c r="F2435" s="49"/>
      <c r="G2435" s="14"/>
      <c r="H2435" s="14"/>
      <c r="I2435" s="76"/>
      <c r="J2435" s="73"/>
      <c r="K2435" s="74"/>
      <c r="L2435" s="72"/>
      <c r="M2435" s="72"/>
      <c r="N2435" s="72" t="str">
        <f>IF(AND(C2435="",J2435=0,K2435=0,L2435=0,M2435=0),"",CADASTROS!$B$4+SUM($J$2:J2435)+SUM($M$2:M2435)-SUM($K$2:K2435)-SUM($L$2:L2435))</f>
        <v/>
      </c>
      <c r="O2435" s="72" t="str">
        <f>IF(A2435="","",SUMIF(RATEIOS!$A$2:$A$3142,$A2435,RATEIOS!$F$2:$F$3142))</f>
        <v/>
      </c>
      <c r="P2435" s="15" t="str">
        <f t="shared" si="78"/>
        <v/>
      </c>
      <c r="Q2435" s="49" t="str">
        <f>IF(AND(J2435=0,K2435=0,L2435=0,M2435=0),"",IF(O2435=0,"PENDENTE DE RATEIO",IF(ABS(P2435)&gt;0.005,"DIVERGÊNCIA",IF(COUNTIF(RATEIOS!$A$2:$A$3142,$A2435)-COUNTIFS(RATEIOS!$A$2:$A$3142,$A2435,RATEIOS!$D$2:$D$3142,"&lt;&gt;")&gt;0,"NÃO CLASSIFICADO","RATEIO OK"))))</f>
        <v/>
      </c>
      <c r="R2435" s="49"/>
      <c r="S2435" s="14"/>
    </row>
    <row r="2436" spans="1:19" ht="30" customHeight="1" x14ac:dyDescent="0.25">
      <c r="A2436" s="49" t="str">
        <f>IF(C2436="","","BAN-02435")</f>
        <v/>
      </c>
      <c r="B2436" s="98" t="str">
        <f>IF(C2436="","",2435)</f>
        <v/>
      </c>
      <c r="C2436" s="50"/>
      <c r="D2436" s="49" t="str">
        <f t="shared" si="77"/>
        <v/>
      </c>
      <c r="E2436" s="92"/>
      <c r="F2436" s="49"/>
      <c r="G2436" s="14"/>
      <c r="H2436" s="14"/>
      <c r="I2436" s="76"/>
      <c r="J2436" s="73"/>
      <c r="K2436" s="74"/>
      <c r="L2436" s="72"/>
      <c r="M2436" s="72"/>
      <c r="N2436" s="72" t="str">
        <f>IF(AND(C2436="",J2436=0,K2436=0,L2436=0,M2436=0),"",CADASTROS!$B$4+SUM($J$2:J2436)+SUM($M$2:M2436)-SUM($K$2:K2436)-SUM($L$2:L2436))</f>
        <v/>
      </c>
      <c r="O2436" s="72" t="str">
        <f>IF(A2436="","",SUMIF(RATEIOS!$A$2:$A$3142,$A2436,RATEIOS!$F$2:$F$3142))</f>
        <v/>
      </c>
      <c r="P2436" s="15" t="str">
        <f t="shared" si="78"/>
        <v/>
      </c>
      <c r="Q2436" s="49" t="str">
        <f>IF(AND(J2436=0,K2436=0,L2436=0,M2436=0),"",IF(O2436=0,"PENDENTE DE RATEIO",IF(ABS(P2436)&gt;0.005,"DIVERGÊNCIA",IF(COUNTIF(RATEIOS!$A$2:$A$3142,$A2436)-COUNTIFS(RATEIOS!$A$2:$A$3142,$A2436,RATEIOS!$D$2:$D$3142,"&lt;&gt;")&gt;0,"NÃO CLASSIFICADO","RATEIO OK"))))</f>
        <v/>
      </c>
      <c r="R2436" s="49"/>
      <c r="S2436" s="14"/>
    </row>
    <row r="2437" spans="1:19" ht="30" customHeight="1" x14ac:dyDescent="0.25">
      <c r="A2437" s="49" t="str">
        <f>IF(C2437="","","BAN-02436")</f>
        <v/>
      </c>
      <c r="B2437" s="98" t="str">
        <f>IF(C2437="","",2436)</f>
        <v/>
      </c>
      <c r="C2437" s="50"/>
      <c r="D2437" s="49" t="str">
        <f t="shared" si="77"/>
        <v/>
      </c>
      <c r="E2437" s="92"/>
      <c r="F2437" s="49"/>
      <c r="G2437" s="14"/>
      <c r="H2437" s="14"/>
      <c r="I2437" s="76"/>
      <c r="J2437" s="73"/>
      <c r="K2437" s="74"/>
      <c r="L2437" s="72"/>
      <c r="M2437" s="72"/>
      <c r="N2437" s="72" t="str">
        <f>IF(AND(C2437="",J2437=0,K2437=0,L2437=0,M2437=0),"",CADASTROS!$B$4+SUM($J$2:J2437)+SUM($M$2:M2437)-SUM($K$2:K2437)-SUM($L$2:L2437))</f>
        <v/>
      </c>
      <c r="O2437" s="72" t="str">
        <f>IF(A2437="","",SUMIF(RATEIOS!$A$2:$A$3142,$A2437,RATEIOS!$F$2:$F$3142))</f>
        <v/>
      </c>
      <c r="P2437" s="15" t="str">
        <f t="shared" si="78"/>
        <v/>
      </c>
      <c r="Q2437" s="49" t="str">
        <f>IF(AND(J2437=0,K2437=0,L2437=0,M2437=0),"",IF(O2437=0,"PENDENTE DE RATEIO",IF(ABS(P2437)&gt;0.005,"DIVERGÊNCIA",IF(COUNTIF(RATEIOS!$A$2:$A$3142,$A2437)-COUNTIFS(RATEIOS!$A$2:$A$3142,$A2437,RATEIOS!$D$2:$D$3142,"&lt;&gt;")&gt;0,"NÃO CLASSIFICADO","RATEIO OK"))))</f>
        <v/>
      </c>
      <c r="R2437" s="49"/>
      <c r="S2437" s="14"/>
    </row>
    <row r="2438" spans="1:19" ht="30" customHeight="1" x14ac:dyDescent="0.25">
      <c r="A2438" s="49" t="str">
        <f>IF(C2438="","","BAN-02437")</f>
        <v/>
      </c>
      <c r="B2438" s="98" t="str">
        <f>IF(C2438="","",2437)</f>
        <v/>
      </c>
      <c r="C2438" s="50"/>
      <c r="D2438" s="49" t="str">
        <f t="shared" si="77"/>
        <v/>
      </c>
      <c r="E2438" s="92"/>
      <c r="F2438" s="49"/>
      <c r="G2438" s="14"/>
      <c r="H2438" s="14"/>
      <c r="I2438" s="76"/>
      <c r="J2438" s="73"/>
      <c r="K2438" s="74"/>
      <c r="L2438" s="72"/>
      <c r="M2438" s="72"/>
      <c r="N2438" s="72" t="str">
        <f>IF(AND(C2438="",J2438=0,K2438=0,L2438=0,M2438=0),"",CADASTROS!$B$4+SUM($J$2:J2438)+SUM($M$2:M2438)-SUM($K$2:K2438)-SUM($L$2:L2438))</f>
        <v/>
      </c>
      <c r="O2438" s="72" t="str">
        <f>IF(A2438="","",SUMIF(RATEIOS!$A$2:$A$3142,$A2438,RATEIOS!$F$2:$F$3142))</f>
        <v/>
      </c>
      <c r="P2438" s="15" t="str">
        <f t="shared" si="78"/>
        <v/>
      </c>
      <c r="Q2438" s="49" t="str">
        <f>IF(AND(J2438=0,K2438=0,L2438=0,M2438=0),"",IF(O2438=0,"PENDENTE DE RATEIO",IF(ABS(P2438)&gt;0.005,"DIVERGÊNCIA",IF(COUNTIF(RATEIOS!$A$2:$A$3142,$A2438)-COUNTIFS(RATEIOS!$A$2:$A$3142,$A2438,RATEIOS!$D$2:$D$3142,"&lt;&gt;")&gt;0,"NÃO CLASSIFICADO","RATEIO OK"))))</f>
        <v/>
      </c>
      <c r="R2438" s="49"/>
      <c r="S2438" s="14"/>
    </row>
    <row r="2439" spans="1:19" ht="30" customHeight="1" x14ac:dyDescent="0.25">
      <c r="A2439" s="49" t="str">
        <f>IF(C2439="","","BAN-02438")</f>
        <v/>
      </c>
      <c r="B2439" s="98" t="str">
        <f>IF(C2439="","",2438)</f>
        <v/>
      </c>
      <c r="C2439" s="50"/>
      <c r="D2439" s="49" t="str">
        <f t="shared" si="77"/>
        <v/>
      </c>
      <c r="E2439" s="92"/>
      <c r="F2439" s="49"/>
      <c r="G2439" s="14"/>
      <c r="H2439" s="14"/>
      <c r="I2439" s="76"/>
      <c r="J2439" s="73"/>
      <c r="K2439" s="74"/>
      <c r="L2439" s="72"/>
      <c r="M2439" s="72"/>
      <c r="N2439" s="72" t="str">
        <f>IF(AND(C2439="",J2439=0,K2439=0,L2439=0,M2439=0),"",CADASTROS!$B$4+SUM($J$2:J2439)+SUM($M$2:M2439)-SUM($K$2:K2439)-SUM($L$2:L2439))</f>
        <v/>
      </c>
      <c r="O2439" s="72" t="str">
        <f>IF(A2439="","",SUMIF(RATEIOS!$A$2:$A$3142,$A2439,RATEIOS!$F$2:$F$3142))</f>
        <v/>
      </c>
      <c r="P2439" s="15" t="str">
        <f t="shared" si="78"/>
        <v/>
      </c>
      <c r="Q2439" s="49" t="str">
        <f>IF(AND(J2439=0,K2439=0,L2439=0,M2439=0),"",IF(O2439=0,"PENDENTE DE RATEIO",IF(ABS(P2439)&gt;0.005,"DIVERGÊNCIA",IF(COUNTIF(RATEIOS!$A$2:$A$3142,$A2439)-COUNTIFS(RATEIOS!$A$2:$A$3142,$A2439,RATEIOS!$D$2:$D$3142,"&lt;&gt;")&gt;0,"NÃO CLASSIFICADO","RATEIO OK"))))</f>
        <v/>
      </c>
      <c r="R2439" s="49"/>
      <c r="S2439" s="14"/>
    </row>
    <row r="2440" spans="1:19" ht="30" customHeight="1" x14ac:dyDescent="0.25">
      <c r="A2440" s="49" t="str">
        <f>IF(C2440="","","BAN-02439")</f>
        <v/>
      </c>
      <c r="B2440" s="98" t="str">
        <f>IF(C2440="","",2439)</f>
        <v/>
      </c>
      <c r="C2440" s="50"/>
      <c r="D2440" s="49" t="str">
        <f t="shared" si="77"/>
        <v/>
      </c>
      <c r="E2440" s="92"/>
      <c r="F2440" s="49"/>
      <c r="G2440" s="14"/>
      <c r="H2440" s="14"/>
      <c r="I2440" s="76"/>
      <c r="J2440" s="73"/>
      <c r="K2440" s="74"/>
      <c r="L2440" s="72"/>
      <c r="M2440" s="72"/>
      <c r="N2440" s="72" t="str">
        <f>IF(AND(C2440="",J2440=0,K2440=0,L2440=0,M2440=0),"",CADASTROS!$B$4+SUM($J$2:J2440)+SUM($M$2:M2440)-SUM($K$2:K2440)-SUM($L$2:L2440))</f>
        <v/>
      </c>
      <c r="O2440" s="72" t="str">
        <f>IF(A2440="","",SUMIF(RATEIOS!$A$2:$A$3142,$A2440,RATEIOS!$F$2:$F$3142))</f>
        <v/>
      </c>
      <c r="P2440" s="15" t="str">
        <f t="shared" si="78"/>
        <v/>
      </c>
      <c r="Q2440" s="49" t="str">
        <f>IF(AND(J2440=0,K2440=0,L2440=0,M2440=0),"",IF(O2440=0,"PENDENTE DE RATEIO",IF(ABS(P2440)&gt;0.005,"DIVERGÊNCIA",IF(COUNTIF(RATEIOS!$A$2:$A$3142,$A2440)-COUNTIFS(RATEIOS!$A$2:$A$3142,$A2440,RATEIOS!$D$2:$D$3142,"&lt;&gt;")&gt;0,"NÃO CLASSIFICADO","RATEIO OK"))))</f>
        <v/>
      </c>
      <c r="R2440" s="49"/>
      <c r="S2440" s="14"/>
    </row>
    <row r="2441" spans="1:19" ht="30" customHeight="1" x14ac:dyDescent="0.25">
      <c r="A2441" s="49" t="str">
        <f>IF(C2441="","","BAN-02440")</f>
        <v/>
      </c>
      <c r="B2441" s="98" t="str">
        <f>IF(C2441="","",2440)</f>
        <v/>
      </c>
      <c r="C2441" s="50"/>
      <c r="D2441" s="49" t="str">
        <f t="shared" si="77"/>
        <v/>
      </c>
      <c r="E2441" s="92"/>
      <c r="F2441" s="49"/>
      <c r="G2441" s="14"/>
      <c r="H2441" s="14"/>
      <c r="I2441" s="76"/>
      <c r="J2441" s="73"/>
      <c r="K2441" s="74"/>
      <c r="L2441" s="72"/>
      <c r="M2441" s="72"/>
      <c r="N2441" s="72" t="str">
        <f>IF(AND(C2441="",J2441=0,K2441=0,L2441=0,M2441=0),"",CADASTROS!$B$4+SUM($J$2:J2441)+SUM($M$2:M2441)-SUM($K$2:K2441)-SUM($L$2:L2441))</f>
        <v/>
      </c>
      <c r="O2441" s="72" t="str">
        <f>IF(A2441="","",SUMIF(RATEIOS!$A$2:$A$3142,$A2441,RATEIOS!$F$2:$F$3142))</f>
        <v/>
      </c>
      <c r="P2441" s="15" t="str">
        <f t="shared" si="78"/>
        <v/>
      </c>
      <c r="Q2441" s="49" t="str">
        <f>IF(AND(J2441=0,K2441=0,L2441=0,M2441=0),"",IF(O2441=0,"PENDENTE DE RATEIO",IF(ABS(P2441)&gt;0.005,"DIVERGÊNCIA",IF(COUNTIF(RATEIOS!$A$2:$A$3142,$A2441)-COUNTIFS(RATEIOS!$A$2:$A$3142,$A2441,RATEIOS!$D$2:$D$3142,"&lt;&gt;")&gt;0,"NÃO CLASSIFICADO","RATEIO OK"))))</f>
        <v/>
      </c>
      <c r="R2441" s="49"/>
      <c r="S2441" s="14"/>
    </row>
    <row r="2442" spans="1:19" ht="30" customHeight="1" x14ac:dyDescent="0.25">
      <c r="A2442" s="49" t="str">
        <f>IF(C2442="","","BAN-02441")</f>
        <v/>
      </c>
      <c r="B2442" s="98" t="str">
        <f>IF(C2442="","",2441)</f>
        <v/>
      </c>
      <c r="C2442" s="50"/>
      <c r="D2442" s="49" t="str">
        <f t="shared" si="77"/>
        <v/>
      </c>
      <c r="E2442" s="92"/>
      <c r="F2442" s="49"/>
      <c r="G2442" s="14"/>
      <c r="H2442" s="14"/>
      <c r="I2442" s="76"/>
      <c r="J2442" s="73"/>
      <c r="K2442" s="74"/>
      <c r="L2442" s="72"/>
      <c r="M2442" s="72"/>
      <c r="N2442" s="72" t="str">
        <f>IF(AND(C2442="",J2442=0,K2442=0,L2442=0,M2442=0),"",CADASTROS!$B$4+SUM($J$2:J2442)+SUM($M$2:M2442)-SUM($K$2:K2442)-SUM($L$2:L2442))</f>
        <v/>
      </c>
      <c r="O2442" s="72" t="str">
        <f>IF(A2442="","",SUMIF(RATEIOS!$A$2:$A$3142,$A2442,RATEIOS!$F$2:$F$3142))</f>
        <v/>
      </c>
      <c r="P2442" s="15" t="str">
        <f t="shared" si="78"/>
        <v/>
      </c>
      <c r="Q2442" s="49" t="str">
        <f>IF(AND(J2442=0,K2442=0,L2442=0,M2442=0),"",IF(O2442=0,"PENDENTE DE RATEIO",IF(ABS(P2442)&gt;0.005,"DIVERGÊNCIA",IF(COUNTIF(RATEIOS!$A$2:$A$3142,$A2442)-COUNTIFS(RATEIOS!$A$2:$A$3142,$A2442,RATEIOS!$D$2:$D$3142,"&lt;&gt;")&gt;0,"NÃO CLASSIFICADO","RATEIO OK"))))</f>
        <v/>
      </c>
      <c r="R2442" s="49"/>
      <c r="S2442" s="14"/>
    </row>
    <row r="2443" spans="1:19" ht="30" customHeight="1" x14ac:dyDescent="0.25">
      <c r="A2443" s="49" t="str">
        <f>IF(C2443="","","BAN-02442")</f>
        <v/>
      </c>
      <c r="B2443" s="98" t="str">
        <f>IF(C2443="","",2442)</f>
        <v/>
      </c>
      <c r="C2443" s="50"/>
      <c r="D2443" s="49" t="str">
        <f t="shared" si="77"/>
        <v/>
      </c>
      <c r="E2443" s="92"/>
      <c r="F2443" s="49"/>
      <c r="G2443" s="14"/>
      <c r="H2443" s="14"/>
      <c r="I2443" s="76"/>
      <c r="J2443" s="73"/>
      <c r="K2443" s="74"/>
      <c r="L2443" s="72"/>
      <c r="M2443" s="72"/>
      <c r="N2443" s="72" t="str">
        <f>IF(AND(C2443="",J2443=0,K2443=0,L2443=0,M2443=0),"",CADASTROS!$B$4+SUM($J$2:J2443)+SUM($M$2:M2443)-SUM($K$2:K2443)-SUM($L$2:L2443))</f>
        <v/>
      </c>
      <c r="O2443" s="72" t="str">
        <f>IF(A2443="","",SUMIF(RATEIOS!$A$2:$A$3142,$A2443,RATEIOS!$F$2:$F$3142))</f>
        <v/>
      </c>
      <c r="P2443" s="15" t="str">
        <f t="shared" si="78"/>
        <v/>
      </c>
      <c r="Q2443" s="49" t="str">
        <f>IF(AND(J2443=0,K2443=0,L2443=0,M2443=0),"",IF(O2443=0,"PENDENTE DE RATEIO",IF(ABS(P2443)&gt;0.005,"DIVERGÊNCIA",IF(COUNTIF(RATEIOS!$A$2:$A$3142,$A2443)-COUNTIFS(RATEIOS!$A$2:$A$3142,$A2443,RATEIOS!$D$2:$D$3142,"&lt;&gt;")&gt;0,"NÃO CLASSIFICADO","RATEIO OK"))))</f>
        <v/>
      </c>
      <c r="R2443" s="49"/>
      <c r="S2443" s="14"/>
    </row>
    <row r="2444" spans="1:19" ht="30" customHeight="1" x14ac:dyDescent="0.25">
      <c r="A2444" s="49" t="str">
        <f>IF(C2444="","","BAN-02443")</f>
        <v/>
      </c>
      <c r="B2444" s="98" t="str">
        <f>IF(C2444="","",2443)</f>
        <v/>
      </c>
      <c r="C2444" s="50"/>
      <c r="D2444" s="49" t="str">
        <f t="shared" si="77"/>
        <v/>
      </c>
      <c r="E2444" s="92"/>
      <c r="F2444" s="49"/>
      <c r="G2444" s="14"/>
      <c r="H2444" s="14"/>
      <c r="I2444" s="76"/>
      <c r="J2444" s="73"/>
      <c r="K2444" s="74"/>
      <c r="L2444" s="72"/>
      <c r="M2444" s="72"/>
      <c r="N2444" s="72" t="str">
        <f>IF(AND(C2444="",J2444=0,K2444=0,L2444=0,M2444=0),"",CADASTROS!$B$4+SUM($J$2:J2444)+SUM($M$2:M2444)-SUM($K$2:K2444)-SUM($L$2:L2444))</f>
        <v/>
      </c>
      <c r="O2444" s="72" t="str">
        <f>IF(A2444="","",SUMIF(RATEIOS!$A$2:$A$3142,$A2444,RATEIOS!$F$2:$F$3142))</f>
        <v/>
      </c>
      <c r="P2444" s="15" t="str">
        <f t="shared" si="78"/>
        <v/>
      </c>
      <c r="Q2444" s="49" t="str">
        <f>IF(AND(J2444=0,K2444=0,L2444=0,M2444=0),"",IF(O2444=0,"PENDENTE DE RATEIO",IF(ABS(P2444)&gt;0.005,"DIVERGÊNCIA",IF(COUNTIF(RATEIOS!$A$2:$A$3142,$A2444)-COUNTIFS(RATEIOS!$A$2:$A$3142,$A2444,RATEIOS!$D$2:$D$3142,"&lt;&gt;")&gt;0,"NÃO CLASSIFICADO","RATEIO OK"))))</f>
        <v/>
      </c>
      <c r="R2444" s="49"/>
      <c r="S2444" s="14"/>
    </row>
    <row r="2445" spans="1:19" ht="30" customHeight="1" x14ac:dyDescent="0.25">
      <c r="A2445" s="49" t="str">
        <f>IF(C2445="","","BAN-02444")</f>
        <v/>
      </c>
      <c r="B2445" s="98" t="str">
        <f>IF(C2445="","",2444)</f>
        <v/>
      </c>
      <c r="C2445" s="50"/>
      <c r="D2445" s="49" t="str">
        <f t="shared" si="77"/>
        <v/>
      </c>
      <c r="E2445" s="92"/>
      <c r="F2445" s="49"/>
      <c r="G2445" s="14"/>
      <c r="H2445" s="14"/>
      <c r="I2445" s="76"/>
      <c r="J2445" s="73"/>
      <c r="K2445" s="74"/>
      <c r="L2445" s="72"/>
      <c r="M2445" s="72"/>
      <c r="N2445" s="72" t="str">
        <f>IF(AND(C2445="",J2445=0,K2445=0,L2445=0,M2445=0),"",CADASTROS!$B$4+SUM($J$2:J2445)+SUM($M$2:M2445)-SUM($K$2:K2445)-SUM($L$2:L2445))</f>
        <v/>
      </c>
      <c r="O2445" s="72" t="str">
        <f>IF(A2445="","",SUMIF(RATEIOS!$A$2:$A$3142,$A2445,RATEIOS!$F$2:$F$3142))</f>
        <v/>
      </c>
      <c r="P2445" s="15" t="str">
        <f t="shared" si="78"/>
        <v/>
      </c>
      <c r="Q2445" s="49" t="str">
        <f>IF(AND(J2445=0,K2445=0,L2445=0,M2445=0),"",IF(O2445=0,"PENDENTE DE RATEIO",IF(ABS(P2445)&gt;0.005,"DIVERGÊNCIA",IF(COUNTIF(RATEIOS!$A$2:$A$3142,$A2445)-COUNTIFS(RATEIOS!$A$2:$A$3142,$A2445,RATEIOS!$D$2:$D$3142,"&lt;&gt;")&gt;0,"NÃO CLASSIFICADO","RATEIO OK"))))</f>
        <v/>
      </c>
      <c r="R2445" s="49"/>
      <c r="S2445" s="14"/>
    </row>
    <row r="2446" spans="1:19" ht="30" customHeight="1" x14ac:dyDescent="0.25">
      <c r="A2446" s="49" t="str">
        <f>IF(C2446="","","BAN-02445")</f>
        <v/>
      </c>
      <c r="B2446" s="98" t="str">
        <f>IF(C2446="","",2445)</f>
        <v/>
      </c>
      <c r="C2446" s="50"/>
      <c r="D2446" s="49" t="str">
        <f t="shared" si="77"/>
        <v/>
      </c>
      <c r="E2446" s="92"/>
      <c r="F2446" s="49"/>
      <c r="G2446" s="14"/>
      <c r="H2446" s="14"/>
      <c r="I2446" s="76"/>
      <c r="J2446" s="73"/>
      <c r="K2446" s="74"/>
      <c r="L2446" s="72"/>
      <c r="M2446" s="72"/>
      <c r="N2446" s="72" t="str">
        <f>IF(AND(C2446="",J2446=0,K2446=0,L2446=0,M2446=0),"",CADASTROS!$B$4+SUM($J$2:J2446)+SUM($M$2:M2446)-SUM($K$2:K2446)-SUM($L$2:L2446))</f>
        <v/>
      </c>
      <c r="O2446" s="72" t="str">
        <f>IF(A2446="","",SUMIF(RATEIOS!$A$2:$A$3142,$A2446,RATEIOS!$F$2:$F$3142))</f>
        <v/>
      </c>
      <c r="P2446" s="15" t="str">
        <f t="shared" si="78"/>
        <v/>
      </c>
      <c r="Q2446" s="49" t="str">
        <f>IF(AND(J2446=0,K2446=0,L2446=0,M2446=0),"",IF(O2446=0,"PENDENTE DE RATEIO",IF(ABS(P2446)&gt;0.005,"DIVERGÊNCIA",IF(COUNTIF(RATEIOS!$A$2:$A$3142,$A2446)-COUNTIFS(RATEIOS!$A$2:$A$3142,$A2446,RATEIOS!$D$2:$D$3142,"&lt;&gt;")&gt;0,"NÃO CLASSIFICADO","RATEIO OK"))))</f>
        <v/>
      </c>
      <c r="R2446" s="49"/>
      <c r="S2446" s="14"/>
    </row>
    <row r="2447" spans="1:19" ht="30" customHeight="1" x14ac:dyDescent="0.25">
      <c r="A2447" s="49" t="str">
        <f>IF(C2447="","","BAN-02446")</f>
        <v/>
      </c>
      <c r="B2447" s="98" t="str">
        <f>IF(C2447="","",2446)</f>
        <v/>
      </c>
      <c r="C2447" s="50"/>
      <c r="D2447" s="49" t="str">
        <f t="shared" si="77"/>
        <v/>
      </c>
      <c r="E2447" s="92"/>
      <c r="F2447" s="49"/>
      <c r="G2447" s="14"/>
      <c r="H2447" s="14"/>
      <c r="I2447" s="76"/>
      <c r="J2447" s="73"/>
      <c r="K2447" s="74"/>
      <c r="L2447" s="72"/>
      <c r="M2447" s="72"/>
      <c r="N2447" s="72" t="str">
        <f>IF(AND(C2447="",J2447=0,K2447=0,L2447=0,M2447=0),"",CADASTROS!$B$4+SUM($J$2:J2447)+SUM($M$2:M2447)-SUM($K$2:K2447)-SUM($L$2:L2447))</f>
        <v/>
      </c>
      <c r="O2447" s="72" t="str">
        <f>IF(A2447="","",SUMIF(RATEIOS!$A$2:$A$3142,$A2447,RATEIOS!$F$2:$F$3142))</f>
        <v/>
      </c>
      <c r="P2447" s="15" t="str">
        <f t="shared" si="78"/>
        <v/>
      </c>
      <c r="Q2447" s="49" t="str">
        <f>IF(AND(J2447=0,K2447=0,L2447=0,M2447=0),"",IF(O2447=0,"PENDENTE DE RATEIO",IF(ABS(P2447)&gt;0.005,"DIVERGÊNCIA",IF(COUNTIF(RATEIOS!$A$2:$A$3142,$A2447)-COUNTIFS(RATEIOS!$A$2:$A$3142,$A2447,RATEIOS!$D$2:$D$3142,"&lt;&gt;")&gt;0,"NÃO CLASSIFICADO","RATEIO OK"))))</f>
        <v/>
      </c>
      <c r="R2447" s="49"/>
      <c r="S2447" s="14"/>
    </row>
    <row r="2448" spans="1:19" ht="30" customHeight="1" x14ac:dyDescent="0.25">
      <c r="A2448" s="49" t="str">
        <f>IF(C2448="","","BAN-02447")</f>
        <v/>
      </c>
      <c r="B2448" s="98" t="str">
        <f>IF(C2448="","",2447)</f>
        <v/>
      </c>
      <c r="C2448" s="50"/>
      <c r="D2448" s="49" t="str">
        <f t="shared" si="77"/>
        <v/>
      </c>
      <c r="E2448" s="92"/>
      <c r="F2448" s="49"/>
      <c r="G2448" s="14"/>
      <c r="H2448" s="14"/>
      <c r="I2448" s="76"/>
      <c r="J2448" s="73"/>
      <c r="K2448" s="74"/>
      <c r="L2448" s="72"/>
      <c r="M2448" s="72"/>
      <c r="N2448" s="72" t="str">
        <f>IF(AND(C2448="",J2448=0,K2448=0,L2448=0,M2448=0),"",CADASTROS!$B$4+SUM($J$2:J2448)+SUM($M$2:M2448)-SUM($K$2:K2448)-SUM($L$2:L2448))</f>
        <v/>
      </c>
      <c r="O2448" s="72" t="str">
        <f>IF(A2448="","",SUMIF(RATEIOS!$A$2:$A$3142,$A2448,RATEIOS!$F$2:$F$3142))</f>
        <v/>
      </c>
      <c r="P2448" s="15" t="str">
        <f t="shared" si="78"/>
        <v/>
      </c>
      <c r="Q2448" s="49" t="str">
        <f>IF(AND(J2448=0,K2448=0,L2448=0,M2448=0),"",IF(O2448=0,"PENDENTE DE RATEIO",IF(ABS(P2448)&gt;0.005,"DIVERGÊNCIA",IF(COUNTIF(RATEIOS!$A$2:$A$3142,$A2448)-COUNTIFS(RATEIOS!$A$2:$A$3142,$A2448,RATEIOS!$D$2:$D$3142,"&lt;&gt;")&gt;0,"NÃO CLASSIFICADO","RATEIO OK"))))</f>
        <v/>
      </c>
      <c r="R2448" s="49"/>
      <c r="S2448" s="14"/>
    </row>
    <row r="2449" spans="1:19" ht="30" customHeight="1" x14ac:dyDescent="0.25">
      <c r="A2449" s="49" t="str">
        <f>IF(C2449="","","BAN-02448")</f>
        <v/>
      </c>
      <c r="B2449" s="98" t="str">
        <f>IF(C2449="","",2448)</f>
        <v/>
      </c>
      <c r="C2449" s="50"/>
      <c r="D2449" s="49" t="str">
        <f t="shared" si="77"/>
        <v/>
      </c>
      <c r="E2449" s="92"/>
      <c r="F2449" s="49"/>
      <c r="G2449" s="14"/>
      <c r="H2449" s="14"/>
      <c r="I2449" s="76"/>
      <c r="J2449" s="73"/>
      <c r="K2449" s="74"/>
      <c r="L2449" s="72"/>
      <c r="M2449" s="72"/>
      <c r="N2449" s="72" t="str">
        <f>IF(AND(C2449="",J2449=0,K2449=0,L2449=0,M2449=0),"",CADASTROS!$B$4+SUM($J$2:J2449)+SUM($M$2:M2449)-SUM($K$2:K2449)-SUM($L$2:L2449))</f>
        <v/>
      </c>
      <c r="O2449" s="72" t="str">
        <f>IF(A2449="","",SUMIF(RATEIOS!$A$2:$A$3142,$A2449,RATEIOS!$F$2:$F$3142))</f>
        <v/>
      </c>
      <c r="P2449" s="15" t="str">
        <f t="shared" si="78"/>
        <v/>
      </c>
      <c r="Q2449" s="49" t="str">
        <f>IF(AND(J2449=0,K2449=0,L2449=0,M2449=0),"",IF(O2449=0,"PENDENTE DE RATEIO",IF(ABS(P2449)&gt;0.005,"DIVERGÊNCIA",IF(COUNTIF(RATEIOS!$A$2:$A$3142,$A2449)-COUNTIFS(RATEIOS!$A$2:$A$3142,$A2449,RATEIOS!$D$2:$D$3142,"&lt;&gt;")&gt;0,"NÃO CLASSIFICADO","RATEIO OK"))))</f>
        <v/>
      </c>
      <c r="R2449" s="49"/>
      <c r="S2449" s="14"/>
    </row>
    <row r="2450" spans="1:19" ht="30" customHeight="1" x14ac:dyDescent="0.25">
      <c r="A2450" s="49" t="str">
        <f>IF(C2450="","","BAN-02449")</f>
        <v/>
      </c>
      <c r="B2450" s="98" t="str">
        <f>IF(C2450="","",2449)</f>
        <v/>
      </c>
      <c r="C2450" s="50"/>
      <c r="D2450" s="49" t="str">
        <f t="shared" si="77"/>
        <v/>
      </c>
      <c r="E2450" s="92"/>
      <c r="F2450" s="49"/>
      <c r="G2450" s="14"/>
      <c r="H2450" s="14"/>
      <c r="I2450" s="76"/>
      <c r="J2450" s="73"/>
      <c r="K2450" s="74"/>
      <c r="L2450" s="72"/>
      <c r="M2450" s="72"/>
      <c r="N2450" s="72" t="str">
        <f>IF(AND(C2450="",J2450=0,K2450=0,L2450=0,M2450=0),"",CADASTROS!$B$4+SUM($J$2:J2450)+SUM($M$2:M2450)-SUM($K$2:K2450)-SUM($L$2:L2450))</f>
        <v/>
      </c>
      <c r="O2450" s="72" t="str">
        <f>IF(A2450="","",SUMIF(RATEIOS!$A$2:$A$3142,$A2450,RATEIOS!$F$2:$F$3142))</f>
        <v/>
      </c>
      <c r="P2450" s="15" t="str">
        <f t="shared" si="78"/>
        <v/>
      </c>
      <c r="Q2450" s="49" t="str">
        <f>IF(AND(J2450=0,K2450=0,L2450=0,M2450=0),"",IF(O2450=0,"PENDENTE DE RATEIO",IF(ABS(P2450)&gt;0.005,"DIVERGÊNCIA",IF(COUNTIF(RATEIOS!$A$2:$A$3142,$A2450)-COUNTIFS(RATEIOS!$A$2:$A$3142,$A2450,RATEIOS!$D$2:$D$3142,"&lt;&gt;")&gt;0,"NÃO CLASSIFICADO","RATEIO OK"))))</f>
        <v/>
      </c>
      <c r="R2450" s="49"/>
      <c r="S2450" s="14"/>
    </row>
    <row r="2451" spans="1:19" ht="30" customHeight="1" x14ac:dyDescent="0.25">
      <c r="A2451" s="49" t="str">
        <f>IF(C2451="","","BAN-02450")</f>
        <v/>
      </c>
      <c r="B2451" s="98" t="str">
        <f>IF(C2451="","",2450)</f>
        <v/>
      </c>
      <c r="C2451" s="50"/>
      <c r="D2451" s="49" t="str">
        <f t="shared" si="77"/>
        <v/>
      </c>
      <c r="E2451" s="92"/>
      <c r="F2451" s="49"/>
      <c r="G2451" s="14"/>
      <c r="H2451" s="14"/>
      <c r="I2451" s="76"/>
      <c r="J2451" s="73"/>
      <c r="K2451" s="74"/>
      <c r="L2451" s="72"/>
      <c r="M2451" s="72"/>
      <c r="N2451" s="72" t="str">
        <f>IF(AND(C2451="",J2451=0,K2451=0,L2451=0,M2451=0),"",CADASTROS!$B$4+SUM($J$2:J2451)+SUM($M$2:M2451)-SUM($K$2:K2451)-SUM($L$2:L2451))</f>
        <v/>
      </c>
      <c r="O2451" s="72" t="str">
        <f>IF(A2451="","",SUMIF(RATEIOS!$A$2:$A$3142,$A2451,RATEIOS!$F$2:$F$3142))</f>
        <v/>
      </c>
      <c r="P2451" s="15" t="str">
        <f t="shared" si="78"/>
        <v/>
      </c>
      <c r="Q2451" s="49" t="str">
        <f>IF(AND(J2451=0,K2451=0,L2451=0,M2451=0),"",IF(O2451=0,"PENDENTE DE RATEIO",IF(ABS(P2451)&gt;0.005,"DIVERGÊNCIA",IF(COUNTIF(RATEIOS!$A$2:$A$3142,$A2451)-COUNTIFS(RATEIOS!$A$2:$A$3142,$A2451,RATEIOS!$D$2:$D$3142,"&lt;&gt;")&gt;0,"NÃO CLASSIFICADO","RATEIO OK"))))</f>
        <v/>
      </c>
      <c r="R2451" s="49"/>
      <c r="S2451" s="14"/>
    </row>
    <row r="2452" spans="1:19" ht="30" customHeight="1" x14ac:dyDescent="0.25">
      <c r="A2452" s="49" t="str">
        <f>IF(C2452="","","BAN-02451")</f>
        <v/>
      </c>
      <c r="B2452" s="98" t="str">
        <f>IF(C2452="","",2451)</f>
        <v/>
      </c>
      <c r="C2452" s="50"/>
      <c r="D2452" s="49" t="str">
        <f t="shared" si="77"/>
        <v/>
      </c>
      <c r="E2452" s="92"/>
      <c r="F2452" s="49"/>
      <c r="G2452" s="14"/>
      <c r="H2452" s="14"/>
      <c r="I2452" s="76"/>
      <c r="J2452" s="73"/>
      <c r="K2452" s="74"/>
      <c r="L2452" s="72"/>
      <c r="M2452" s="72"/>
      <c r="N2452" s="72" t="str">
        <f>IF(AND(C2452="",J2452=0,K2452=0,L2452=0,M2452=0),"",CADASTROS!$B$4+SUM($J$2:J2452)+SUM($M$2:M2452)-SUM($K$2:K2452)-SUM($L$2:L2452))</f>
        <v/>
      </c>
      <c r="O2452" s="72" t="str">
        <f>IF(A2452="","",SUMIF(RATEIOS!$A$2:$A$3142,$A2452,RATEIOS!$F$2:$F$3142))</f>
        <v/>
      </c>
      <c r="P2452" s="15" t="str">
        <f t="shared" si="78"/>
        <v/>
      </c>
      <c r="Q2452" s="49" t="str">
        <f>IF(AND(J2452=0,K2452=0,L2452=0,M2452=0),"",IF(O2452=0,"PENDENTE DE RATEIO",IF(ABS(P2452)&gt;0.005,"DIVERGÊNCIA",IF(COUNTIF(RATEIOS!$A$2:$A$3142,$A2452)-COUNTIFS(RATEIOS!$A$2:$A$3142,$A2452,RATEIOS!$D$2:$D$3142,"&lt;&gt;")&gt;0,"NÃO CLASSIFICADO","RATEIO OK"))))</f>
        <v/>
      </c>
      <c r="R2452" s="49"/>
      <c r="S2452" s="14"/>
    </row>
    <row r="2453" spans="1:19" ht="30" customHeight="1" x14ac:dyDescent="0.25">
      <c r="A2453" s="49" t="str">
        <f>IF(C2453="","","BAN-02452")</f>
        <v/>
      </c>
      <c r="B2453" s="98" t="str">
        <f>IF(C2453="","",2452)</f>
        <v/>
      </c>
      <c r="C2453" s="50"/>
      <c r="D2453" s="49" t="str">
        <f t="shared" si="77"/>
        <v/>
      </c>
      <c r="E2453" s="92"/>
      <c r="F2453" s="49"/>
      <c r="G2453" s="14"/>
      <c r="H2453" s="14"/>
      <c r="I2453" s="76"/>
      <c r="J2453" s="73"/>
      <c r="K2453" s="74"/>
      <c r="L2453" s="72"/>
      <c r="M2453" s="72"/>
      <c r="N2453" s="72" t="str">
        <f>IF(AND(C2453="",J2453=0,K2453=0,L2453=0,M2453=0),"",CADASTROS!$B$4+SUM($J$2:J2453)+SUM($M$2:M2453)-SUM($K$2:K2453)-SUM($L$2:L2453))</f>
        <v/>
      </c>
      <c r="O2453" s="72" t="str">
        <f>IF(A2453="","",SUMIF(RATEIOS!$A$2:$A$3142,$A2453,RATEIOS!$F$2:$F$3142))</f>
        <v/>
      </c>
      <c r="P2453" s="15" t="str">
        <f t="shared" si="78"/>
        <v/>
      </c>
      <c r="Q2453" s="49" t="str">
        <f>IF(AND(J2453=0,K2453=0,L2453=0,M2453=0),"",IF(O2453=0,"PENDENTE DE RATEIO",IF(ABS(P2453)&gt;0.005,"DIVERGÊNCIA",IF(COUNTIF(RATEIOS!$A$2:$A$3142,$A2453)-COUNTIFS(RATEIOS!$A$2:$A$3142,$A2453,RATEIOS!$D$2:$D$3142,"&lt;&gt;")&gt;0,"NÃO CLASSIFICADO","RATEIO OK"))))</f>
        <v/>
      </c>
      <c r="R2453" s="49"/>
      <c r="S2453" s="14"/>
    </row>
    <row r="2454" spans="1:19" ht="30" customHeight="1" x14ac:dyDescent="0.25">
      <c r="A2454" s="49" t="str">
        <f>IF(C2454="","","BAN-02453")</f>
        <v/>
      </c>
      <c r="B2454" s="98" t="str">
        <f>IF(C2454="","",2453)</f>
        <v/>
      </c>
      <c r="C2454" s="50"/>
      <c r="D2454" s="49" t="str">
        <f t="shared" si="77"/>
        <v/>
      </c>
      <c r="E2454" s="92"/>
      <c r="F2454" s="49"/>
      <c r="G2454" s="14"/>
      <c r="H2454" s="14"/>
      <c r="I2454" s="76"/>
      <c r="J2454" s="73"/>
      <c r="K2454" s="74"/>
      <c r="L2454" s="72"/>
      <c r="M2454" s="72"/>
      <c r="N2454" s="72" t="str">
        <f>IF(AND(C2454="",J2454=0,K2454=0,L2454=0,M2454=0),"",CADASTROS!$B$4+SUM($J$2:J2454)+SUM($M$2:M2454)-SUM($K$2:K2454)-SUM($L$2:L2454))</f>
        <v/>
      </c>
      <c r="O2454" s="72" t="str">
        <f>IF(A2454="","",SUMIF(RATEIOS!$A$2:$A$3142,$A2454,RATEIOS!$F$2:$F$3142))</f>
        <v/>
      </c>
      <c r="P2454" s="15" t="str">
        <f t="shared" si="78"/>
        <v/>
      </c>
      <c r="Q2454" s="49" t="str">
        <f>IF(AND(J2454=0,K2454=0,L2454=0,M2454=0),"",IF(O2454=0,"PENDENTE DE RATEIO",IF(ABS(P2454)&gt;0.005,"DIVERGÊNCIA",IF(COUNTIF(RATEIOS!$A$2:$A$3142,$A2454)-COUNTIFS(RATEIOS!$A$2:$A$3142,$A2454,RATEIOS!$D$2:$D$3142,"&lt;&gt;")&gt;0,"NÃO CLASSIFICADO","RATEIO OK"))))</f>
        <v/>
      </c>
      <c r="R2454" s="49"/>
      <c r="S2454" s="14"/>
    </row>
    <row r="2455" spans="1:19" ht="30" customHeight="1" x14ac:dyDescent="0.25">
      <c r="A2455" s="49" t="str">
        <f>IF(C2455="","","BAN-02454")</f>
        <v/>
      </c>
      <c r="B2455" s="98" t="str">
        <f>IF(C2455="","",2454)</f>
        <v/>
      </c>
      <c r="C2455" s="50"/>
      <c r="D2455" s="49" t="str">
        <f t="shared" si="77"/>
        <v/>
      </c>
      <c r="E2455" s="92"/>
      <c r="F2455" s="49"/>
      <c r="G2455" s="14"/>
      <c r="H2455" s="14"/>
      <c r="I2455" s="76"/>
      <c r="J2455" s="73"/>
      <c r="K2455" s="74"/>
      <c r="L2455" s="72"/>
      <c r="M2455" s="72"/>
      <c r="N2455" s="72" t="str">
        <f>IF(AND(C2455="",J2455=0,K2455=0,L2455=0,M2455=0),"",CADASTROS!$B$4+SUM($J$2:J2455)+SUM($M$2:M2455)-SUM($K$2:K2455)-SUM($L$2:L2455))</f>
        <v/>
      </c>
      <c r="O2455" s="72" t="str">
        <f>IF(A2455="","",SUMIF(RATEIOS!$A$2:$A$3142,$A2455,RATEIOS!$F$2:$F$3142))</f>
        <v/>
      </c>
      <c r="P2455" s="15" t="str">
        <f t="shared" si="78"/>
        <v/>
      </c>
      <c r="Q2455" s="49" t="str">
        <f>IF(AND(J2455=0,K2455=0,L2455=0,M2455=0),"",IF(O2455=0,"PENDENTE DE RATEIO",IF(ABS(P2455)&gt;0.005,"DIVERGÊNCIA",IF(COUNTIF(RATEIOS!$A$2:$A$3142,$A2455)-COUNTIFS(RATEIOS!$A$2:$A$3142,$A2455,RATEIOS!$D$2:$D$3142,"&lt;&gt;")&gt;0,"NÃO CLASSIFICADO","RATEIO OK"))))</f>
        <v/>
      </c>
      <c r="R2455" s="49"/>
      <c r="S2455" s="14"/>
    </row>
    <row r="2456" spans="1:19" ht="30" customHeight="1" x14ac:dyDescent="0.25">
      <c r="A2456" s="49" t="str">
        <f>IF(C2456="","","BAN-02455")</f>
        <v/>
      </c>
      <c r="B2456" s="98" t="str">
        <f>IF(C2456="","",2455)</f>
        <v/>
      </c>
      <c r="C2456" s="50"/>
      <c r="D2456" s="49" t="str">
        <f t="shared" si="77"/>
        <v/>
      </c>
      <c r="E2456" s="92"/>
      <c r="F2456" s="49"/>
      <c r="G2456" s="14"/>
      <c r="H2456" s="14"/>
      <c r="I2456" s="76"/>
      <c r="J2456" s="73"/>
      <c r="K2456" s="74"/>
      <c r="L2456" s="72"/>
      <c r="M2456" s="72"/>
      <c r="N2456" s="72" t="str">
        <f>IF(AND(C2456="",J2456=0,K2456=0,L2456=0,M2456=0),"",CADASTROS!$B$4+SUM($J$2:J2456)+SUM($M$2:M2456)-SUM($K$2:K2456)-SUM($L$2:L2456))</f>
        <v/>
      </c>
      <c r="O2456" s="72" t="str">
        <f>IF(A2456="","",SUMIF(RATEIOS!$A$2:$A$3142,$A2456,RATEIOS!$F$2:$F$3142))</f>
        <v/>
      </c>
      <c r="P2456" s="15" t="str">
        <f t="shared" si="78"/>
        <v/>
      </c>
      <c r="Q2456" s="49" t="str">
        <f>IF(AND(J2456=0,K2456=0,L2456=0,M2456=0),"",IF(O2456=0,"PENDENTE DE RATEIO",IF(ABS(P2456)&gt;0.005,"DIVERGÊNCIA",IF(COUNTIF(RATEIOS!$A$2:$A$3142,$A2456)-COUNTIFS(RATEIOS!$A$2:$A$3142,$A2456,RATEIOS!$D$2:$D$3142,"&lt;&gt;")&gt;0,"NÃO CLASSIFICADO","RATEIO OK"))))</f>
        <v/>
      </c>
      <c r="R2456" s="49"/>
      <c r="S2456" s="14"/>
    </row>
    <row r="2457" spans="1:19" ht="30" customHeight="1" x14ac:dyDescent="0.25">
      <c r="A2457" s="49" t="str">
        <f>IF(C2457="","","BAN-02456")</f>
        <v/>
      </c>
      <c r="B2457" s="98" t="str">
        <f>IF(C2457="","",2456)</f>
        <v/>
      </c>
      <c r="C2457" s="50"/>
      <c r="D2457" s="49" t="str">
        <f t="shared" si="77"/>
        <v/>
      </c>
      <c r="E2457" s="92"/>
      <c r="F2457" s="49"/>
      <c r="G2457" s="14"/>
      <c r="H2457" s="14"/>
      <c r="I2457" s="76"/>
      <c r="J2457" s="73"/>
      <c r="K2457" s="74"/>
      <c r="L2457" s="72"/>
      <c r="M2457" s="72"/>
      <c r="N2457" s="72" t="str">
        <f>IF(AND(C2457="",J2457=0,K2457=0,L2457=0,M2457=0),"",CADASTROS!$B$4+SUM($J$2:J2457)+SUM($M$2:M2457)-SUM($K$2:K2457)-SUM($L$2:L2457))</f>
        <v/>
      </c>
      <c r="O2457" s="72" t="str">
        <f>IF(A2457="","",SUMIF(RATEIOS!$A$2:$A$3142,$A2457,RATEIOS!$F$2:$F$3142))</f>
        <v/>
      </c>
      <c r="P2457" s="15" t="str">
        <f t="shared" si="78"/>
        <v/>
      </c>
      <c r="Q2457" s="49" t="str">
        <f>IF(AND(J2457=0,K2457=0,L2457=0,M2457=0),"",IF(O2457=0,"PENDENTE DE RATEIO",IF(ABS(P2457)&gt;0.005,"DIVERGÊNCIA",IF(COUNTIF(RATEIOS!$A$2:$A$3142,$A2457)-COUNTIFS(RATEIOS!$A$2:$A$3142,$A2457,RATEIOS!$D$2:$D$3142,"&lt;&gt;")&gt;0,"NÃO CLASSIFICADO","RATEIO OK"))))</f>
        <v/>
      </c>
      <c r="R2457" s="49"/>
      <c r="S2457" s="14"/>
    </row>
    <row r="2458" spans="1:19" ht="30" customHeight="1" x14ac:dyDescent="0.25">
      <c r="A2458" s="49" t="str">
        <f>IF(C2458="","","BAN-02457")</f>
        <v/>
      </c>
      <c r="B2458" s="98" t="str">
        <f>IF(C2458="","",2457)</f>
        <v/>
      </c>
      <c r="C2458" s="50"/>
      <c r="D2458" s="49" t="str">
        <f t="shared" si="77"/>
        <v/>
      </c>
      <c r="E2458" s="92"/>
      <c r="F2458" s="49"/>
      <c r="G2458" s="14"/>
      <c r="H2458" s="14"/>
      <c r="I2458" s="76"/>
      <c r="J2458" s="73"/>
      <c r="K2458" s="74"/>
      <c r="L2458" s="72"/>
      <c r="M2458" s="72"/>
      <c r="N2458" s="72" t="str">
        <f>IF(AND(C2458="",J2458=0,K2458=0,L2458=0,M2458=0),"",CADASTROS!$B$4+SUM($J$2:J2458)+SUM($M$2:M2458)-SUM($K$2:K2458)-SUM($L$2:L2458))</f>
        <v/>
      </c>
      <c r="O2458" s="72" t="str">
        <f>IF(A2458="","",SUMIF(RATEIOS!$A$2:$A$3142,$A2458,RATEIOS!$F$2:$F$3142))</f>
        <v/>
      </c>
      <c r="P2458" s="15" t="str">
        <f t="shared" si="78"/>
        <v/>
      </c>
      <c r="Q2458" s="49" t="str">
        <f>IF(AND(J2458=0,K2458=0,L2458=0,M2458=0),"",IF(O2458=0,"PENDENTE DE RATEIO",IF(ABS(P2458)&gt;0.005,"DIVERGÊNCIA",IF(COUNTIF(RATEIOS!$A$2:$A$3142,$A2458)-COUNTIFS(RATEIOS!$A$2:$A$3142,$A2458,RATEIOS!$D$2:$D$3142,"&lt;&gt;")&gt;0,"NÃO CLASSIFICADO","RATEIO OK"))))</f>
        <v/>
      </c>
      <c r="R2458" s="49"/>
      <c r="S2458" s="14"/>
    </row>
    <row r="2459" spans="1:19" ht="30" customHeight="1" x14ac:dyDescent="0.25">
      <c r="A2459" s="49" t="str">
        <f>IF(C2459="","","BAN-02458")</f>
        <v/>
      </c>
      <c r="B2459" s="98" t="str">
        <f>IF(C2459="","",2458)</f>
        <v/>
      </c>
      <c r="C2459" s="50"/>
      <c r="D2459" s="49" t="str">
        <f t="shared" si="77"/>
        <v/>
      </c>
      <c r="E2459" s="92"/>
      <c r="F2459" s="49"/>
      <c r="G2459" s="14"/>
      <c r="H2459" s="14"/>
      <c r="I2459" s="76"/>
      <c r="J2459" s="73"/>
      <c r="K2459" s="74"/>
      <c r="L2459" s="72"/>
      <c r="M2459" s="72"/>
      <c r="N2459" s="72" t="str">
        <f>IF(AND(C2459="",J2459=0,K2459=0,L2459=0,M2459=0),"",CADASTROS!$B$4+SUM($J$2:J2459)+SUM($M$2:M2459)-SUM($K$2:K2459)-SUM($L$2:L2459))</f>
        <v/>
      </c>
      <c r="O2459" s="72" t="str">
        <f>IF(A2459="","",SUMIF(RATEIOS!$A$2:$A$3142,$A2459,RATEIOS!$F$2:$F$3142))</f>
        <v/>
      </c>
      <c r="P2459" s="15" t="str">
        <f t="shared" si="78"/>
        <v/>
      </c>
      <c r="Q2459" s="49" t="str">
        <f>IF(AND(J2459=0,K2459=0,L2459=0,M2459=0),"",IF(O2459=0,"PENDENTE DE RATEIO",IF(ABS(P2459)&gt;0.005,"DIVERGÊNCIA",IF(COUNTIF(RATEIOS!$A$2:$A$3142,$A2459)-COUNTIFS(RATEIOS!$A$2:$A$3142,$A2459,RATEIOS!$D$2:$D$3142,"&lt;&gt;")&gt;0,"NÃO CLASSIFICADO","RATEIO OK"))))</f>
        <v/>
      </c>
      <c r="R2459" s="49"/>
      <c r="S2459" s="14"/>
    </row>
    <row r="2460" spans="1:19" ht="30" customHeight="1" x14ac:dyDescent="0.25">
      <c r="A2460" s="49" t="str">
        <f>IF(C2460="","","BAN-02459")</f>
        <v/>
      </c>
      <c r="B2460" s="98" t="str">
        <f>IF(C2460="","",2459)</f>
        <v/>
      </c>
      <c r="C2460" s="50"/>
      <c r="D2460" s="49" t="str">
        <f t="shared" si="77"/>
        <v/>
      </c>
      <c r="E2460" s="92"/>
      <c r="F2460" s="49"/>
      <c r="G2460" s="14"/>
      <c r="H2460" s="14"/>
      <c r="I2460" s="76"/>
      <c r="J2460" s="73"/>
      <c r="K2460" s="74"/>
      <c r="L2460" s="72"/>
      <c r="M2460" s="72"/>
      <c r="N2460" s="72" t="str">
        <f>IF(AND(C2460="",J2460=0,K2460=0,L2460=0,M2460=0),"",CADASTROS!$B$4+SUM($J$2:J2460)+SUM($M$2:M2460)-SUM($K$2:K2460)-SUM($L$2:L2460))</f>
        <v/>
      </c>
      <c r="O2460" s="72" t="str">
        <f>IF(A2460="","",SUMIF(RATEIOS!$A$2:$A$3142,$A2460,RATEIOS!$F$2:$F$3142))</f>
        <v/>
      </c>
      <c r="P2460" s="15" t="str">
        <f t="shared" si="78"/>
        <v/>
      </c>
      <c r="Q2460" s="49" t="str">
        <f>IF(AND(J2460=0,K2460=0,L2460=0,M2460=0),"",IF(O2460=0,"PENDENTE DE RATEIO",IF(ABS(P2460)&gt;0.005,"DIVERGÊNCIA",IF(COUNTIF(RATEIOS!$A$2:$A$3142,$A2460)-COUNTIFS(RATEIOS!$A$2:$A$3142,$A2460,RATEIOS!$D$2:$D$3142,"&lt;&gt;")&gt;0,"NÃO CLASSIFICADO","RATEIO OK"))))</f>
        <v/>
      </c>
      <c r="R2460" s="49"/>
      <c r="S2460" s="14"/>
    </row>
    <row r="2461" spans="1:19" ht="30" customHeight="1" x14ac:dyDescent="0.25">
      <c r="A2461" s="49" t="str">
        <f>IF(C2461="","","BAN-02460")</f>
        <v/>
      </c>
      <c r="B2461" s="98" t="str">
        <f>IF(C2461="","",2460)</f>
        <v/>
      </c>
      <c r="C2461" s="50"/>
      <c r="D2461" s="49" t="str">
        <f t="shared" si="77"/>
        <v/>
      </c>
      <c r="E2461" s="92"/>
      <c r="F2461" s="49"/>
      <c r="G2461" s="14"/>
      <c r="H2461" s="14"/>
      <c r="I2461" s="76"/>
      <c r="J2461" s="73"/>
      <c r="K2461" s="74"/>
      <c r="L2461" s="72"/>
      <c r="M2461" s="72"/>
      <c r="N2461" s="72" t="str">
        <f>IF(AND(C2461="",J2461=0,K2461=0,L2461=0,M2461=0),"",CADASTROS!$B$4+SUM($J$2:J2461)+SUM($M$2:M2461)-SUM($K$2:K2461)-SUM($L$2:L2461))</f>
        <v/>
      </c>
      <c r="O2461" s="72" t="str">
        <f>IF(A2461="","",SUMIF(RATEIOS!$A$2:$A$3142,$A2461,RATEIOS!$F$2:$F$3142))</f>
        <v/>
      </c>
      <c r="P2461" s="15" t="str">
        <f t="shared" si="78"/>
        <v/>
      </c>
      <c r="Q2461" s="49" t="str">
        <f>IF(AND(J2461=0,K2461=0,L2461=0,M2461=0),"",IF(O2461=0,"PENDENTE DE RATEIO",IF(ABS(P2461)&gt;0.005,"DIVERGÊNCIA",IF(COUNTIF(RATEIOS!$A$2:$A$3142,$A2461)-COUNTIFS(RATEIOS!$A$2:$A$3142,$A2461,RATEIOS!$D$2:$D$3142,"&lt;&gt;")&gt;0,"NÃO CLASSIFICADO","RATEIO OK"))))</f>
        <v/>
      </c>
      <c r="R2461" s="49"/>
      <c r="S2461" s="14"/>
    </row>
    <row r="2462" spans="1:19" ht="30" customHeight="1" x14ac:dyDescent="0.25">
      <c r="A2462" s="49" t="str">
        <f>IF(C2462="","","BAN-02461")</f>
        <v/>
      </c>
      <c r="B2462" s="98" t="str">
        <f>IF(C2462="","",2461)</f>
        <v/>
      </c>
      <c r="C2462" s="50"/>
      <c r="D2462" s="49" t="str">
        <f t="shared" si="77"/>
        <v/>
      </c>
      <c r="E2462" s="92"/>
      <c r="F2462" s="49"/>
      <c r="G2462" s="14"/>
      <c r="H2462" s="14"/>
      <c r="I2462" s="76"/>
      <c r="J2462" s="73"/>
      <c r="K2462" s="74"/>
      <c r="L2462" s="72"/>
      <c r="M2462" s="72"/>
      <c r="N2462" s="72" t="str">
        <f>IF(AND(C2462="",J2462=0,K2462=0,L2462=0,M2462=0),"",CADASTROS!$B$4+SUM($J$2:J2462)+SUM($M$2:M2462)-SUM($K$2:K2462)-SUM($L$2:L2462))</f>
        <v/>
      </c>
      <c r="O2462" s="72" t="str">
        <f>IF(A2462="","",SUMIF(RATEIOS!$A$2:$A$3142,$A2462,RATEIOS!$F$2:$F$3142))</f>
        <v/>
      </c>
      <c r="P2462" s="15" t="str">
        <f t="shared" si="78"/>
        <v/>
      </c>
      <c r="Q2462" s="49" t="str">
        <f>IF(AND(J2462=0,K2462=0,L2462=0,M2462=0),"",IF(O2462=0,"PENDENTE DE RATEIO",IF(ABS(P2462)&gt;0.005,"DIVERGÊNCIA",IF(COUNTIF(RATEIOS!$A$2:$A$3142,$A2462)-COUNTIFS(RATEIOS!$A$2:$A$3142,$A2462,RATEIOS!$D$2:$D$3142,"&lt;&gt;")&gt;0,"NÃO CLASSIFICADO","RATEIO OK"))))</f>
        <v/>
      </c>
      <c r="R2462" s="49"/>
      <c r="S2462" s="14"/>
    </row>
    <row r="2463" spans="1:19" ht="30" customHeight="1" x14ac:dyDescent="0.25">
      <c r="A2463" s="49" t="str">
        <f>IF(C2463="","","BAN-02462")</f>
        <v/>
      </c>
      <c r="B2463" s="98" t="str">
        <f>IF(C2463="","",2462)</f>
        <v/>
      </c>
      <c r="C2463" s="50"/>
      <c r="D2463" s="49" t="str">
        <f t="shared" si="77"/>
        <v/>
      </c>
      <c r="E2463" s="92"/>
      <c r="F2463" s="49"/>
      <c r="G2463" s="14"/>
      <c r="H2463" s="14"/>
      <c r="I2463" s="76"/>
      <c r="J2463" s="73"/>
      <c r="K2463" s="74"/>
      <c r="L2463" s="72"/>
      <c r="M2463" s="72"/>
      <c r="N2463" s="72" t="str">
        <f>IF(AND(C2463="",J2463=0,K2463=0,L2463=0,M2463=0),"",CADASTROS!$B$4+SUM($J$2:J2463)+SUM($M$2:M2463)-SUM($K$2:K2463)-SUM($L$2:L2463))</f>
        <v/>
      </c>
      <c r="O2463" s="72" t="str">
        <f>IF(A2463="","",SUMIF(RATEIOS!$A$2:$A$3142,$A2463,RATEIOS!$F$2:$F$3142))</f>
        <v/>
      </c>
      <c r="P2463" s="15" t="str">
        <f t="shared" si="78"/>
        <v/>
      </c>
      <c r="Q2463" s="49" t="str">
        <f>IF(AND(J2463=0,K2463=0,L2463=0,M2463=0),"",IF(O2463=0,"PENDENTE DE RATEIO",IF(ABS(P2463)&gt;0.005,"DIVERGÊNCIA",IF(COUNTIF(RATEIOS!$A$2:$A$3142,$A2463)-COUNTIFS(RATEIOS!$A$2:$A$3142,$A2463,RATEIOS!$D$2:$D$3142,"&lt;&gt;")&gt;0,"NÃO CLASSIFICADO","RATEIO OK"))))</f>
        <v/>
      </c>
      <c r="R2463" s="49"/>
      <c r="S2463" s="14"/>
    </row>
    <row r="2464" spans="1:19" ht="30" customHeight="1" x14ac:dyDescent="0.25">
      <c r="A2464" s="49" t="str">
        <f>IF(C2464="","","BAN-02463")</f>
        <v/>
      </c>
      <c r="B2464" s="98" t="str">
        <f>IF(C2464="","",2463)</f>
        <v/>
      </c>
      <c r="C2464" s="50"/>
      <c r="D2464" s="49" t="str">
        <f t="shared" si="77"/>
        <v/>
      </c>
      <c r="E2464" s="92"/>
      <c r="F2464" s="49"/>
      <c r="G2464" s="14"/>
      <c r="H2464" s="14"/>
      <c r="I2464" s="76"/>
      <c r="J2464" s="73"/>
      <c r="K2464" s="74"/>
      <c r="L2464" s="72"/>
      <c r="M2464" s="72"/>
      <c r="N2464" s="72" t="str">
        <f>IF(AND(C2464="",J2464=0,K2464=0,L2464=0,M2464=0),"",CADASTROS!$B$4+SUM($J$2:J2464)+SUM($M$2:M2464)-SUM($K$2:K2464)-SUM($L$2:L2464))</f>
        <v/>
      </c>
      <c r="O2464" s="72" t="str">
        <f>IF(A2464="","",SUMIF(RATEIOS!$A$2:$A$3142,$A2464,RATEIOS!$F$2:$F$3142))</f>
        <v/>
      </c>
      <c r="P2464" s="15" t="str">
        <f t="shared" si="78"/>
        <v/>
      </c>
      <c r="Q2464" s="49" t="str">
        <f>IF(AND(J2464=0,K2464=0,L2464=0,M2464=0),"",IF(O2464=0,"PENDENTE DE RATEIO",IF(ABS(P2464)&gt;0.005,"DIVERGÊNCIA",IF(COUNTIF(RATEIOS!$A$2:$A$3142,$A2464)-COUNTIFS(RATEIOS!$A$2:$A$3142,$A2464,RATEIOS!$D$2:$D$3142,"&lt;&gt;")&gt;0,"NÃO CLASSIFICADO","RATEIO OK"))))</f>
        <v/>
      </c>
      <c r="R2464" s="49"/>
      <c r="S2464" s="14"/>
    </row>
    <row r="2465" spans="1:19" ht="30" customHeight="1" x14ac:dyDescent="0.25">
      <c r="A2465" s="49" t="str">
        <f>IF(C2465="","","BAN-02464")</f>
        <v/>
      </c>
      <c r="B2465" s="98" t="str">
        <f>IF(C2465="","",2464)</f>
        <v/>
      </c>
      <c r="C2465" s="50"/>
      <c r="D2465" s="49" t="str">
        <f t="shared" si="77"/>
        <v/>
      </c>
      <c r="E2465" s="92"/>
      <c r="F2465" s="49"/>
      <c r="G2465" s="14"/>
      <c r="H2465" s="14"/>
      <c r="I2465" s="76"/>
      <c r="J2465" s="73"/>
      <c r="K2465" s="74"/>
      <c r="L2465" s="72"/>
      <c r="M2465" s="72"/>
      <c r="N2465" s="72" t="str">
        <f>IF(AND(C2465="",J2465=0,K2465=0,L2465=0,M2465=0),"",CADASTROS!$B$4+SUM($J$2:J2465)+SUM($M$2:M2465)-SUM($K$2:K2465)-SUM($L$2:L2465))</f>
        <v/>
      </c>
      <c r="O2465" s="72" t="str">
        <f>IF(A2465="","",SUMIF(RATEIOS!$A$2:$A$3142,$A2465,RATEIOS!$F$2:$F$3142))</f>
        <v/>
      </c>
      <c r="P2465" s="15" t="str">
        <f t="shared" si="78"/>
        <v/>
      </c>
      <c r="Q2465" s="49" t="str">
        <f>IF(AND(J2465=0,K2465=0,L2465=0,M2465=0),"",IF(O2465=0,"PENDENTE DE RATEIO",IF(ABS(P2465)&gt;0.005,"DIVERGÊNCIA",IF(COUNTIF(RATEIOS!$A$2:$A$3142,$A2465)-COUNTIFS(RATEIOS!$A$2:$A$3142,$A2465,RATEIOS!$D$2:$D$3142,"&lt;&gt;")&gt;0,"NÃO CLASSIFICADO","RATEIO OK"))))</f>
        <v/>
      </c>
      <c r="R2465" s="49"/>
      <c r="S2465" s="14"/>
    </row>
    <row r="2466" spans="1:19" ht="30" customHeight="1" x14ac:dyDescent="0.25">
      <c r="A2466" s="49" t="str">
        <f>IF(C2466="","","BAN-02465")</f>
        <v/>
      </c>
      <c r="B2466" s="98" t="str">
        <f>IF(C2466="","",2465)</f>
        <v/>
      </c>
      <c r="C2466" s="50"/>
      <c r="D2466" s="49" t="str">
        <f t="shared" si="77"/>
        <v/>
      </c>
      <c r="E2466" s="92"/>
      <c r="F2466" s="49"/>
      <c r="G2466" s="14"/>
      <c r="H2466" s="14"/>
      <c r="I2466" s="76"/>
      <c r="J2466" s="73"/>
      <c r="K2466" s="74"/>
      <c r="L2466" s="72"/>
      <c r="M2466" s="72"/>
      <c r="N2466" s="72" t="str">
        <f>IF(AND(C2466="",J2466=0,K2466=0,L2466=0,M2466=0),"",CADASTROS!$B$4+SUM($J$2:J2466)+SUM($M$2:M2466)-SUM($K$2:K2466)-SUM($L$2:L2466))</f>
        <v/>
      </c>
      <c r="O2466" s="72" t="str">
        <f>IF(A2466="","",SUMIF(RATEIOS!$A$2:$A$3142,$A2466,RATEIOS!$F$2:$F$3142))</f>
        <v/>
      </c>
      <c r="P2466" s="15" t="str">
        <f t="shared" si="78"/>
        <v/>
      </c>
      <c r="Q2466" s="49" t="str">
        <f>IF(AND(J2466=0,K2466=0,L2466=0,M2466=0),"",IF(O2466=0,"PENDENTE DE RATEIO",IF(ABS(P2466)&gt;0.005,"DIVERGÊNCIA",IF(COUNTIF(RATEIOS!$A$2:$A$3142,$A2466)-COUNTIFS(RATEIOS!$A$2:$A$3142,$A2466,RATEIOS!$D$2:$D$3142,"&lt;&gt;")&gt;0,"NÃO CLASSIFICADO","RATEIO OK"))))</f>
        <v/>
      </c>
      <c r="R2466" s="49"/>
      <c r="S2466" s="14"/>
    </row>
    <row r="2467" spans="1:19" ht="30" customHeight="1" x14ac:dyDescent="0.25">
      <c r="A2467" s="49" t="str">
        <f>IF(C2467="","","BAN-02466")</f>
        <v/>
      </c>
      <c r="B2467" s="98" t="str">
        <f>IF(C2467="","",2466)</f>
        <v/>
      </c>
      <c r="C2467" s="50"/>
      <c r="D2467" s="49" t="str">
        <f t="shared" si="77"/>
        <v/>
      </c>
      <c r="E2467" s="92"/>
      <c r="F2467" s="49"/>
      <c r="G2467" s="14"/>
      <c r="H2467" s="14"/>
      <c r="I2467" s="76"/>
      <c r="J2467" s="73"/>
      <c r="K2467" s="74"/>
      <c r="L2467" s="72"/>
      <c r="M2467" s="72"/>
      <c r="N2467" s="72" t="str">
        <f>IF(AND(C2467="",J2467=0,K2467=0,L2467=0,M2467=0),"",CADASTROS!$B$4+SUM($J$2:J2467)+SUM($M$2:M2467)-SUM($K$2:K2467)-SUM($L$2:L2467))</f>
        <v/>
      </c>
      <c r="O2467" s="72" t="str">
        <f>IF(A2467="","",SUMIF(RATEIOS!$A$2:$A$3142,$A2467,RATEIOS!$F$2:$F$3142))</f>
        <v/>
      </c>
      <c r="P2467" s="15" t="str">
        <f t="shared" si="78"/>
        <v/>
      </c>
      <c r="Q2467" s="49" t="str">
        <f>IF(AND(J2467=0,K2467=0,L2467=0,M2467=0),"",IF(O2467=0,"PENDENTE DE RATEIO",IF(ABS(P2467)&gt;0.005,"DIVERGÊNCIA",IF(COUNTIF(RATEIOS!$A$2:$A$3142,$A2467)-COUNTIFS(RATEIOS!$A$2:$A$3142,$A2467,RATEIOS!$D$2:$D$3142,"&lt;&gt;")&gt;0,"NÃO CLASSIFICADO","RATEIO OK"))))</f>
        <v/>
      </c>
      <c r="R2467" s="49"/>
      <c r="S2467" s="14"/>
    </row>
    <row r="2468" spans="1:19" ht="30" customHeight="1" x14ac:dyDescent="0.25">
      <c r="A2468" s="49" t="str">
        <f>IF(C2468="","","BAN-02467")</f>
        <v/>
      </c>
      <c r="B2468" s="98" t="str">
        <f>IF(C2468="","",2467)</f>
        <v/>
      </c>
      <c r="C2468" s="50"/>
      <c r="D2468" s="49" t="str">
        <f t="shared" si="77"/>
        <v/>
      </c>
      <c r="E2468" s="92"/>
      <c r="F2468" s="49"/>
      <c r="G2468" s="14"/>
      <c r="H2468" s="14"/>
      <c r="I2468" s="76"/>
      <c r="J2468" s="73"/>
      <c r="K2468" s="74"/>
      <c r="L2468" s="72"/>
      <c r="M2468" s="72"/>
      <c r="N2468" s="72" t="str">
        <f>IF(AND(C2468="",J2468=0,K2468=0,L2468=0,M2468=0),"",CADASTROS!$B$4+SUM($J$2:J2468)+SUM($M$2:M2468)-SUM($K$2:K2468)-SUM($L$2:L2468))</f>
        <v/>
      </c>
      <c r="O2468" s="72" t="str">
        <f>IF(A2468="","",SUMIF(RATEIOS!$A$2:$A$3142,$A2468,RATEIOS!$F$2:$F$3142))</f>
        <v/>
      </c>
      <c r="P2468" s="15" t="str">
        <f t="shared" si="78"/>
        <v/>
      </c>
      <c r="Q2468" s="49" t="str">
        <f>IF(AND(J2468=0,K2468=0,L2468=0,M2468=0),"",IF(O2468=0,"PENDENTE DE RATEIO",IF(ABS(P2468)&gt;0.005,"DIVERGÊNCIA",IF(COUNTIF(RATEIOS!$A$2:$A$3142,$A2468)-COUNTIFS(RATEIOS!$A$2:$A$3142,$A2468,RATEIOS!$D$2:$D$3142,"&lt;&gt;")&gt;0,"NÃO CLASSIFICADO","RATEIO OK"))))</f>
        <v/>
      </c>
      <c r="R2468" s="49"/>
      <c r="S2468" s="14"/>
    </row>
    <row r="2469" spans="1:19" ht="30" customHeight="1" x14ac:dyDescent="0.25">
      <c r="A2469" s="49" t="str">
        <f>IF(C2469="","","BAN-02468")</f>
        <v/>
      </c>
      <c r="B2469" s="98" t="str">
        <f>IF(C2469="","",2468)</f>
        <v/>
      </c>
      <c r="C2469" s="50"/>
      <c r="D2469" s="49" t="str">
        <f t="shared" si="77"/>
        <v/>
      </c>
      <c r="E2469" s="92"/>
      <c r="F2469" s="49"/>
      <c r="G2469" s="14"/>
      <c r="H2469" s="14"/>
      <c r="I2469" s="76"/>
      <c r="J2469" s="73"/>
      <c r="K2469" s="74"/>
      <c r="L2469" s="72"/>
      <c r="M2469" s="72"/>
      <c r="N2469" s="72" t="str">
        <f>IF(AND(C2469="",J2469=0,K2469=0,L2469=0,M2469=0),"",CADASTROS!$B$4+SUM($J$2:J2469)+SUM($M$2:M2469)-SUM($K$2:K2469)-SUM($L$2:L2469))</f>
        <v/>
      </c>
      <c r="O2469" s="72" t="str">
        <f>IF(A2469="","",SUMIF(RATEIOS!$A$2:$A$3142,$A2469,RATEIOS!$F$2:$F$3142))</f>
        <v/>
      </c>
      <c r="P2469" s="15" t="str">
        <f t="shared" si="78"/>
        <v/>
      </c>
      <c r="Q2469" s="49" t="str">
        <f>IF(AND(J2469=0,K2469=0,L2469=0,M2469=0),"",IF(O2469=0,"PENDENTE DE RATEIO",IF(ABS(P2469)&gt;0.005,"DIVERGÊNCIA",IF(COUNTIF(RATEIOS!$A$2:$A$3142,$A2469)-COUNTIFS(RATEIOS!$A$2:$A$3142,$A2469,RATEIOS!$D$2:$D$3142,"&lt;&gt;")&gt;0,"NÃO CLASSIFICADO","RATEIO OK"))))</f>
        <v/>
      </c>
      <c r="R2469" s="49"/>
      <c r="S2469" s="14"/>
    </row>
    <row r="2470" spans="1:19" ht="30" customHeight="1" x14ac:dyDescent="0.25">
      <c r="A2470" s="49" t="str">
        <f>IF(C2470="","","BAN-02469")</f>
        <v/>
      </c>
      <c r="B2470" s="98" t="str">
        <f>IF(C2470="","",2469)</f>
        <v/>
      </c>
      <c r="C2470" s="50"/>
      <c r="D2470" s="49" t="str">
        <f t="shared" si="77"/>
        <v/>
      </c>
      <c r="E2470" s="92"/>
      <c r="F2470" s="49"/>
      <c r="G2470" s="14"/>
      <c r="H2470" s="14"/>
      <c r="I2470" s="76"/>
      <c r="J2470" s="73"/>
      <c r="K2470" s="74"/>
      <c r="L2470" s="72"/>
      <c r="M2470" s="72"/>
      <c r="N2470" s="72" t="str">
        <f>IF(AND(C2470="",J2470=0,K2470=0,L2470=0,M2470=0),"",CADASTROS!$B$4+SUM($J$2:J2470)+SUM($M$2:M2470)-SUM($K$2:K2470)-SUM($L$2:L2470))</f>
        <v/>
      </c>
      <c r="O2470" s="72" t="str">
        <f>IF(A2470="","",SUMIF(RATEIOS!$A$2:$A$3142,$A2470,RATEIOS!$F$2:$F$3142))</f>
        <v/>
      </c>
      <c r="P2470" s="15" t="str">
        <f t="shared" si="78"/>
        <v/>
      </c>
      <c r="Q2470" s="49" t="str">
        <f>IF(AND(J2470=0,K2470=0,L2470=0,M2470=0),"",IF(O2470=0,"PENDENTE DE RATEIO",IF(ABS(P2470)&gt;0.005,"DIVERGÊNCIA",IF(COUNTIF(RATEIOS!$A$2:$A$3142,$A2470)-COUNTIFS(RATEIOS!$A$2:$A$3142,$A2470,RATEIOS!$D$2:$D$3142,"&lt;&gt;")&gt;0,"NÃO CLASSIFICADO","RATEIO OK"))))</f>
        <v/>
      </c>
      <c r="R2470" s="49"/>
      <c r="S2470" s="14"/>
    </row>
    <row r="2471" spans="1:19" ht="30" customHeight="1" x14ac:dyDescent="0.25">
      <c r="A2471" s="49" t="str">
        <f>IF(C2471="","","BAN-02470")</f>
        <v/>
      </c>
      <c r="B2471" s="98" t="str">
        <f>IF(C2471="","",2470)</f>
        <v/>
      </c>
      <c r="C2471" s="50"/>
      <c r="D2471" s="49" t="str">
        <f t="shared" si="77"/>
        <v/>
      </c>
      <c r="E2471" s="92"/>
      <c r="F2471" s="49"/>
      <c r="G2471" s="14"/>
      <c r="H2471" s="14"/>
      <c r="I2471" s="76"/>
      <c r="J2471" s="73"/>
      <c r="K2471" s="74"/>
      <c r="L2471" s="72"/>
      <c r="M2471" s="72"/>
      <c r="N2471" s="72" t="str">
        <f>IF(AND(C2471="",J2471=0,K2471=0,L2471=0,M2471=0),"",CADASTROS!$B$4+SUM($J$2:J2471)+SUM($M$2:M2471)-SUM($K$2:K2471)-SUM($L$2:L2471))</f>
        <v/>
      </c>
      <c r="O2471" s="72" t="str">
        <f>IF(A2471="","",SUMIF(RATEIOS!$A$2:$A$3142,$A2471,RATEIOS!$F$2:$F$3142))</f>
        <v/>
      </c>
      <c r="P2471" s="15" t="str">
        <f t="shared" si="78"/>
        <v/>
      </c>
      <c r="Q2471" s="49" t="str">
        <f>IF(AND(J2471=0,K2471=0,L2471=0,M2471=0),"",IF(O2471=0,"PENDENTE DE RATEIO",IF(ABS(P2471)&gt;0.005,"DIVERGÊNCIA",IF(COUNTIF(RATEIOS!$A$2:$A$3142,$A2471)-COUNTIFS(RATEIOS!$A$2:$A$3142,$A2471,RATEIOS!$D$2:$D$3142,"&lt;&gt;")&gt;0,"NÃO CLASSIFICADO","RATEIO OK"))))</f>
        <v/>
      </c>
      <c r="R2471" s="49"/>
      <c r="S2471" s="14"/>
    </row>
    <row r="2472" spans="1:19" ht="30" customHeight="1" x14ac:dyDescent="0.25">
      <c r="A2472" s="49" t="str">
        <f>IF(C2472="","","BAN-02471")</f>
        <v/>
      </c>
      <c r="B2472" s="98" t="str">
        <f>IF(C2472="","",2471)</f>
        <v/>
      </c>
      <c r="C2472" s="50"/>
      <c r="D2472" s="49" t="str">
        <f t="shared" si="77"/>
        <v/>
      </c>
      <c r="E2472" s="92"/>
      <c r="F2472" s="49"/>
      <c r="G2472" s="14"/>
      <c r="H2472" s="14"/>
      <c r="I2472" s="76"/>
      <c r="J2472" s="73"/>
      <c r="K2472" s="74"/>
      <c r="L2472" s="72"/>
      <c r="M2472" s="72"/>
      <c r="N2472" s="72" t="str">
        <f>IF(AND(C2472="",J2472=0,K2472=0,L2472=0,M2472=0),"",CADASTROS!$B$4+SUM($J$2:J2472)+SUM($M$2:M2472)-SUM($K$2:K2472)-SUM($L$2:L2472))</f>
        <v/>
      </c>
      <c r="O2472" s="72" t="str">
        <f>IF(A2472="","",SUMIF(RATEIOS!$A$2:$A$3142,$A2472,RATEIOS!$F$2:$F$3142))</f>
        <v/>
      </c>
      <c r="P2472" s="15" t="str">
        <f t="shared" si="78"/>
        <v/>
      </c>
      <c r="Q2472" s="49" t="str">
        <f>IF(AND(J2472=0,K2472=0,L2472=0,M2472=0),"",IF(O2472=0,"PENDENTE DE RATEIO",IF(ABS(P2472)&gt;0.005,"DIVERGÊNCIA",IF(COUNTIF(RATEIOS!$A$2:$A$3142,$A2472)-COUNTIFS(RATEIOS!$A$2:$A$3142,$A2472,RATEIOS!$D$2:$D$3142,"&lt;&gt;")&gt;0,"NÃO CLASSIFICADO","RATEIO OK"))))</f>
        <v/>
      </c>
      <c r="R2472" s="49"/>
      <c r="S2472" s="14"/>
    </row>
    <row r="2473" spans="1:19" ht="30" customHeight="1" x14ac:dyDescent="0.25">
      <c r="A2473" s="49" t="str">
        <f>IF(C2473="","","BAN-02472")</f>
        <v/>
      </c>
      <c r="B2473" s="98" t="str">
        <f>IF(C2473="","",2472)</f>
        <v/>
      </c>
      <c r="C2473" s="50"/>
      <c r="D2473" s="49" t="str">
        <f t="shared" si="77"/>
        <v/>
      </c>
      <c r="E2473" s="92"/>
      <c r="F2473" s="49"/>
      <c r="G2473" s="14"/>
      <c r="H2473" s="14"/>
      <c r="I2473" s="76"/>
      <c r="J2473" s="73"/>
      <c r="K2473" s="74"/>
      <c r="L2473" s="72"/>
      <c r="M2473" s="72"/>
      <c r="N2473" s="72" t="str">
        <f>IF(AND(C2473="",J2473=0,K2473=0,L2473=0,M2473=0),"",CADASTROS!$B$4+SUM($J$2:J2473)+SUM($M$2:M2473)-SUM($K$2:K2473)-SUM($L$2:L2473))</f>
        <v/>
      </c>
      <c r="O2473" s="72" t="str">
        <f>IF(A2473="","",SUMIF(RATEIOS!$A$2:$A$3142,$A2473,RATEIOS!$F$2:$F$3142))</f>
        <v/>
      </c>
      <c r="P2473" s="15" t="str">
        <f t="shared" si="78"/>
        <v/>
      </c>
      <c r="Q2473" s="49" t="str">
        <f>IF(AND(J2473=0,K2473=0,L2473=0,M2473=0),"",IF(O2473=0,"PENDENTE DE RATEIO",IF(ABS(P2473)&gt;0.005,"DIVERGÊNCIA",IF(COUNTIF(RATEIOS!$A$2:$A$3142,$A2473)-COUNTIFS(RATEIOS!$A$2:$A$3142,$A2473,RATEIOS!$D$2:$D$3142,"&lt;&gt;")&gt;0,"NÃO CLASSIFICADO","RATEIO OK"))))</f>
        <v/>
      </c>
      <c r="R2473" s="49"/>
      <c r="S2473" s="14"/>
    </row>
    <row r="2474" spans="1:19" ht="30" customHeight="1" x14ac:dyDescent="0.25">
      <c r="A2474" s="49" t="str">
        <f>IF(C2474="","","BAN-02473")</f>
        <v/>
      </c>
      <c r="B2474" s="98" t="str">
        <f>IF(C2474="","",2473)</f>
        <v/>
      </c>
      <c r="C2474" s="50"/>
      <c r="D2474" s="49" t="str">
        <f t="shared" si="77"/>
        <v/>
      </c>
      <c r="E2474" s="92"/>
      <c r="F2474" s="49"/>
      <c r="G2474" s="14"/>
      <c r="H2474" s="14"/>
      <c r="I2474" s="76"/>
      <c r="J2474" s="73"/>
      <c r="K2474" s="74"/>
      <c r="L2474" s="72"/>
      <c r="M2474" s="72"/>
      <c r="N2474" s="72" t="str">
        <f>IF(AND(C2474="",J2474=0,K2474=0,L2474=0,M2474=0),"",CADASTROS!$B$4+SUM($J$2:J2474)+SUM($M$2:M2474)-SUM($K$2:K2474)-SUM($L$2:L2474))</f>
        <v/>
      </c>
      <c r="O2474" s="72" t="str">
        <f>IF(A2474="","",SUMIF(RATEIOS!$A$2:$A$3142,$A2474,RATEIOS!$F$2:$F$3142))</f>
        <v/>
      </c>
      <c r="P2474" s="15" t="str">
        <f t="shared" si="78"/>
        <v/>
      </c>
      <c r="Q2474" s="49" t="str">
        <f>IF(AND(J2474=0,K2474=0,L2474=0,M2474=0),"",IF(O2474=0,"PENDENTE DE RATEIO",IF(ABS(P2474)&gt;0.005,"DIVERGÊNCIA",IF(COUNTIF(RATEIOS!$A$2:$A$3142,$A2474)-COUNTIFS(RATEIOS!$A$2:$A$3142,$A2474,RATEIOS!$D$2:$D$3142,"&lt;&gt;")&gt;0,"NÃO CLASSIFICADO","RATEIO OK"))))</f>
        <v/>
      </c>
      <c r="R2474" s="49"/>
      <c r="S2474" s="14"/>
    </row>
    <row r="2475" spans="1:19" ht="30" customHeight="1" x14ac:dyDescent="0.25">
      <c r="A2475" s="49" t="str">
        <f>IF(C2475="","","BAN-02474")</f>
        <v/>
      </c>
      <c r="B2475" s="98" t="str">
        <f>IF(C2475="","",2474)</f>
        <v/>
      </c>
      <c r="C2475" s="50"/>
      <c r="D2475" s="49" t="str">
        <f t="shared" si="77"/>
        <v/>
      </c>
      <c r="E2475" s="92"/>
      <c r="F2475" s="49"/>
      <c r="G2475" s="14"/>
      <c r="H2475" s="14"/>
      <c r="I2475" s="76"/>
      <c r="J2475" s="73"/>
      <c r="K2475" s="74"/>
      <c r="L2475" s="72"/>
      <c r="M2475" s="72"/>
      <c r="N2475" s="72" t="str">
        <f>IF(AND(C2475="",J2475=0,K2475=0,L2475=0,M2475=0),"",CADASTROS!$B$4+SUM($J$2:J2475)+SUM($M$2:M2475)-SUM($K$2:K2475)-SUM($L$2:L2475))</f>
        <v/>
      </c>
      <c r="O2475" s="72" t="str">
        <f>IF(A2475="","",SUMIF(RATEIOS!$A$2:$A$3142,$A2475,RATEIOS!$F$2:$F$3142))</f>
        <v/>
      </c>
      <c r="P2475" s="15" t="str">
        <f t="shared" si="78"/>
        <v/>
      </c>
      <c r="Q2475" s="49" t="str">
        <f>IF(AND(J2475=0,K2475=0,L2475=0,M2475=0),"",IF(O2475=0,"PENDENTE DE RATEIO",IF(ABS(P2475)&gt;0.005,"DIVERGÊNCIA",IF(COUNTIF(RATEIOS!$A$2:$A$3142,$A2475)-COUNTIFS(RATEIOS!$A$2:$A$3142,$A2475,RATEIOS!$D$2:$D$3142,"&lt;&gt;")&gt;0,"NÃO CLASSIFICADO","RATEIO OK"))))</f>
        <v/>
      </c>
      <c r="R2475" s="49"/>
      <c r="S2475" s="14"/>
    </row>
    <row r="2476" spans="1:19" ht="30" customHeight="1" x14ac:dyDescent="0.25">
      <c r="A2476" s="49" t="str">
        <f>IF(C2476="","","BAN-02475")</f>
        <v/>
      </c>
      <c r="B2476" s="98" t="str">
        <f>IF(C2476="","",2475)</f>
        <v/>
      </c>
      <c r="C2476" s="50"/>
      <c r="D2476" s="49" t="str">
        <f t="shared" si="77"/>
        <v/>
      </c>
      <c r="E2476" s="92"/>
      <c r="F2476" s="49"/>
      <c r="G2476" s="14"/>
      <c r="H2476" s="14"/>
      <c r="I2476" s="76"/>
      <c r="J2476" s="73"/>
      <c r="K2476" s="74"/>
      <c r="L2476" s="72"/>
      <c r="M2476" s="72"/>
      <c r="N2476" s="72" t="str">
        <f>IF(AND(C2476="",J2476=0,K2476=0,L2476=0,M2476=0),"",CADASTROS!$B$4+SUM($J$2:J2476)+SUM($M$2:M2476)-SUM($K$2:K2476)-SUM($L$2:L2476))</f>
        <v/>
      </c>
      <c r="O2476" s="72" t="str">
        <f>IF(A2476="","",SUMIF(RATEIOS!$A$2:$A$3142,$A2476,RATEIOS!$F$2:$F$3142))</f>
        <v/>
      </c>
      <c r="P2476" s="15" t="str">
        <f t="shared" si="78"/>
        <v/>
      </c>
      <c r="Q2476" s="49" t="str">
        <f>IF(AND(J2476=0,K2476=0,L2476=0,M2476=0),"",IF(O2476=0,"PENDENTE DE RATEIO",IF(ABS(P2476)&gt;0.005,"DIVERGÊNCIA",IF(COUNTIF(RATEIOS!$A$2:$A$3142,$A2476)-COUNTIFS(RATEIOS!$A$2:$A$3142,$A2476,RATEIOS!$D$2:$D$3142,"&lt;&gt;")&gt;0,"NÃO CLASSIFICADO","RATEIO OK"))))</f>
        <v/>
      </c>
      <c r="R2476" s="49"/>
      <c r="S2476" s="14"/>
    </row>
    <row r="2477" spans="1:19" ht="30" customHeight="1" x14ac:dyDescent="0.25">
      <c r="A2477" s="49" t="str">
        <f>IF(C2477="","","BAN-02476")</f>
        <v/>
      </c>
      <c r="B2477" s="98" t="str">
        <f>IF(C2477="","",2476)</f>
        <v/>
      </c>
      <c r="C2477" s="50"/>
      <c r="D2477" s="49" t="str">
        <f t="shared" si="77"/>
        <v/>
      </c>
      <c r="E2477" s="92"/>
      <c r="F2477" s="49"/>
      <c r="G2477" s="14"/>
      <c r="H2477" s="14"/>
      <c r="I2477" s="76"/>
      <c r="J2477" s="73"/>
      <c r="K2477" s="74"/>
      <c r="L2477" s="72"/>
      <c r="M2477" s="72"/>
      <c r="N2477" s="72" t="str">
        <f>IF(AND(C2477="",J2477=0,K2477=0,L2477=0,M2477=0),"",CADASTROS!$B$4+SUM($J$2:J2477)+SUM($M$2:M2477)-SUM($K$2:K2477)-SUM($L$2:L2477))</f>
        <v/>
      </c>
      <c r="O2477" s="72" t="str">
        <f>IF(A2477="","",SUMIF(RATEIOS!$A$2:$A$3142,$A2477,RATEIOS!$F$2:$F$3142))</f>
        <v/>
      </c>
      <c r="P2477" s="15" t="str">
        <f t="shared" si="78"/>
        <v/>
      </c>
      <c r="Q2477" s="49" t="str">
        <f>IF(AND(J2477=0,K2477=0,L2477=0,M2477=0),"",IF(O2477=0,"PENDENTE DE RATEIO",IF(ABS(P2477)&gt;0.005,"DIVERGÊNCIA",IF(COUNTIF(RATEIOS!$A$2:$A$3142,$A2477)-COUNTIFS(RATEIOS!$A$2:$A$3142,$A2477,RATEIOS!$D$2:$D$3142,"&lt;&gt;")&gt;0,"NÃO CLASSIFICADO","RATEIO OK"))))</f>
        <v/>
      </c>
      <c r="R2477" s="49"/>
      <c r="S2477" s="14"/>
    </row>
    <row r="2478" spans="1:19" ht="30" customHeight="1" x14ac:dyDescent="0.25">
      <c r="A2478" s="49" t="str">
        <f>IF(C2478="","","BAN-02477")</f>
        <v/>
      </c>
      <c r="B2478" s="98" t="str">
        <f>IF(C2478="","",2477)</f>
        <v/>
      </c>
      <c r="C2478" s="50"/>
      <c r="D2478" s="49" t="str">
        <f t="shared" si="77"/>
        <v/>
      </c>
      <c r="E2478" s="92"/>
      <c r="F2478" s="49"/>
      <c r="G2478" s="14"/>
      <c r="H2478" s="14"/>
      <c r="I2478" s="76"/>
      <c r="J2478" s="73"/>
      <c r="K2478" s="74"/>
      <c r="L2478" s="72"/>
      <c r="M2478" s="72"/>
      <c r="N2478" s="72" t="str">
        <f>IF(AND(C2478="",J2478=0,K2478=0,L2478=0,M2478=0),"",CADASTROS!$B$4+SUM($J$2:J2478)+SUM($M$2:M2478)-SUM($K$2:K2478)-SUM($L$2:L2478))</f>
        <v/>
      </c>
      <c r="O2478" s="72" t="str">
        <f>IF(A2478="","",SUMIF(RATEIOS!$A$2:$A$3142,$A2478,RATEIOS!$F$2:$F$3142))</f>
        <v/>
      </c>
      <c r="P2478" s="15" t="str">
        <f t="shared" si="78"/>
        <v/>
      </c>
      <c r="Q2478" s="49" t="str">
        <f>IF(AND(J2478=0,K2478=0,L2478=0,M2478=0),"",IF(O2478=0,"PENDENTE DE RATEIO",IF(ABS(P2478)&gt;0.005,"DIVERGÊNCIA",IF(COUNTIF(RATEIOS!$A$2:$A$3142,$A2478)-COUNTIFS(RATEIOS!$A$2:$A$3142,$A2478,RATEIOS!$D$2:$D$3142,"&lt;&gt;")&gt;0,"NÃO CLASSIFICADO","RATEIO OK"))))</f>
        <v/>
      </c>
      <c r="R2478" s="49"/>
      <c r="S2478" s="14"/>
    </row>
    <row r="2479" spans="1:19" ht="30" customHeight="1" x14ac:dyDescent="0.25">
      <c r="A2479" s="49" t="str">
        <f>IF(C2479="","","BAN-02478")</f>
        <v/>
      </c>
      <c r="B2479" s="98" t="str">
        <f>IF(C2479="","",2478)</f>
        <v/>
      </c>
      <c r="C2479" s="50"/>
      <c r="D2479" s="49" t="str">
        <f t="shared" si="77"/>
        <v/>
      </c>
      <c r="E2479" s="92"/>
      <c r="F2479" s="49"/>
      <c r="G2479" s="14"/>
      <c r="H2479" s="14"/>
      <c r="I2479" s="76"/>
      <c r="J2479" s="73"/>
      <c r="K2479" s="74"/>
      <c r="L2479" s="72"/>
      <c r="M2479" s="72"/>
      <c r="N2479" s="72" t="str">
        <f>IF(AND(C2479="",J2479=0,K2479=0,L2479=0,M2479=0),"",CADASTROS!$B$4+SUM($J$2:J2479)+SUM($M$2:M2479)-SUM($K$2:K2479)-SUM($L$2:L2479))</f>
        <v/>
      </c>
      <c r="O2479" s="72" t="str">
        <f>IF(A2479="","",SUMIF(RATEIOS!$A$2:$A$3142,$A2479,RATEIOS!$F$2:$F$3142))</f>
        <v/>
      </c>
      <c r="P2479" s="15" t="str">
        <f t="shared" si="78"/>
        <v/>
      </c>
      <c r="Q2479" s="49" t="str">
        <f>IF(AND(J2479=0,K2479=0,L2479=0,M2479=0),"",IF(O2479=0,"PENDENTE DE RATEIO",IF(ABS(P2479)&gt;0.005,"DIVERGÊNCIA",IF(COUNTIF(RATEIOS!$A$2:$A$3142,$A2479)-COUNTIFS(RATEIOS!$A$2:$A$3142,$A2479,RATEIOS!$D$2:$D$3142,"&lt;&gt;")&gt;0,"NÃO CLASSIFICADO","RATEIO OK"))))</f>
        <v/>
      </c>
      <c r="R2479" s="49"/>
      <c r="S2479" s="14"/>
    </row>
    <row r="2480" spans="1:19" ht="30" customHeight="1" x14ac:dyDescent="0.25">
      <c r="A2480" s="49" t="str">
        <f>IF(C2480="","","BAN-02479")</f>
        <v/>
      </c>
      <c r="B2480" s="98" t="str">
        <f>IF(C2480="","",2479)</f>
        <v/>
      </c>
      <c r="C2480" s="50"/>
      <c r="D2480" s="49" t="str">
        <f t="shared" si="77"/>
        <v/>
      </c>
      <c r="E2480" s="92"/>
      <c r="F2480" s="49"/>
      <c r="G2480" s="14"/>
      <c r="H2480" s="14"/>
      <c r="I2480" s="76"/>
      <c r="J2480" s="73"/>
      <c r="K2480" s="74"/>
      <c r="L2480" s="72"/>
      <c r="M2480" s="72"/>
      <c r="N2480" s="72" t="str">
        <f>IF(AND(C2480="",J2480=0,K2480=0,L2480=0,M2480=0),"",CADASTROS!$B$4+SUM($J$2:J2480)+SUM($M$2:M2480)-SUM($K$2:K2480)-SUM($L$2:L2480))</f>
        <v/>
      </c>
      <c r="O2480" s="72" t="str">
        <f>IF(A2480="","",SUMIF(RATEIOS!$A$2:$A$3142,$A2480,RATEIOS!$F$2:$F$3142))</f>
        <v/>
      </c>
      <c r="P2480" s="15" t="str">
        <f t="shared" si="78"/>
        <v/>
      </c>
      <c r="Q2480" s="49" t="str">
        <f>IF(AND(J2480=0,K2480=0,L2480=0,M2480=0),"",IF(O2480=0,"PENDENTE DE RATEIO",IF(ABS(P2480)&gt;0.005,"DIVERGÊNCIA",IF(COUNTIF(RATEIOS!$A$2:$A$3142,$A2480)-COUNTIFS(RATEIOS!$A$2:$A$3142,$A2480,RATEIOS!$D$2:$D$3142,"&lt;&gt;")&gt;0,"NÃO CLASSIFICADO","RATEIO OK"))))</f>
        <v/>
      </c>
      <c r="R2480" s="49"/>
      <c r="S2480" s="14"/>
    </row>
    <row r="2481" spans="1:19" ht="30" customHeight="1" x14ac:dyDescent="0.25">
      <c r="A2481" s="49" t="str">
        <f>IF(C2481="","","BAN-02480")</f>
        <v/>
      </c>
      <c r="B2481" s="98" t="str">
        <f>IF(C2481="","",2480)</f>
        <v/>
      </c>
      <c r="C2481" s="50"/>
      <c r="D2481" s="49" t="str">
        <f t="shared" si="77"/>
        <v/>
      </c>
      <c r="E2481" s="92"/>
      <c r="F2481" s="49"/>
      <c r="G2481" s="14"/>
      <c r="H2481" s="14"/>
      <c r="I2481" s="76"/>
      <c r="J2481" s="73"/>
      <c r="K2481" s="74"/>
      <c r="L2481" s="72"/>
      <c r="M2481" s="72"/>
      <c r="N2481" s="72" t="str">
        <f>IF(AND(C2481="",J2481=0,K2481=0,L2481=0,M2481=0),"",CADASTROS!$B$4+SUM($J$2:J2481)+SUM($M$2:M2481)-SUM($K$2:K2481)-SUM($L$2:L2481))</f>
        <v/>
      </c>
      <c r="O2481" s="72" t="str">
        <f>IF(A2481="","",SUMIF(RATEIOS!$A$2:$A$3142,$A2481,RATEIOS!$F$2:$F$3142))</f>
        <v/>
      </c>
      <c r="P2481" s="15" t="str">
        <f t="shared" si="78"/>
        <v/>
      </c>
      <c r="Q2481" s="49" t="str">
        <f>IF(AND(J2481=0,K2481=0,L2481=0,M2481=0),"",IF(O2481=0,"PENDENTE DE RATEIO",IF(ABS(P2481)&gt;0.005,"DIVERGÊNCIA",IF(COUNTIF(RATEIOS!$A$2:$A$3142,$A2481)-COUNTIFS(RATEIOS!$A$2:$A$3142,$A2481,RATEIOS!$D$2:$D$3142,"&lt;&gt;")&gt;0,"NÃO CLASSIFICADO","RATEIO OK"))))</f>
        <v/>
      </c>
      <c r="R2481" s="49"/>
      <c r="S2481" s="14"/>
    </row>
    <row r="2482" spans="1:19" ht="30" customHeight="1" x14ac:dyDescent="0.25">
      <c r="A2482" s="49" t="str">
        <f>IF(C2482="","","BAN-02481")</f>
        <v/>
      </c>
      <c r="B2482" s="98" t="str">
        <f>IF(C2482="","",2481)</f>
        <v/>
      </c>
      <c r="C2482" s="50"/>
      <c r="D2482" s="49" t="str">
        <f t="shared" si="77"/>
        <v/>
      </c>
      <c r="E2482" s="92"/>
      <c r="F2482" s="49"/>
      <c r="G2482" s="14"/>
      <c r="H2482" s="14"/>
      <c r="I2482" s="76"/>
      <c r="J2482" s="73"/>
      <c r="K2482" s="74"/>
      <c r="L2482" s="72"/>
      <c r="M2482" s="72"/>
      <c r="N2482" s="72" t="str">
        <f>IF(AND(C2482="",J2482=0,K2482=0,L2482=0,M2482=0),"",CADASTROS!$B$4+SUM($J$2:J2482)+SUM($M$2:M2482)-SUM($K$2:K2482)-SUM($L$2:L2482))</f>
        <v/>
      </c>
      <c r="O2482" s="72" t="str">
        <f>IF(A2482="","",SUMIF(RATEIOS!$A$2:$A$3142,$A2482,RATEIOS!$F$2:$F$3142))</f>
        <v/>
      </c>
      <c r="P2482" s="15" t="str">
        <f t="shared" si="78"/>
        <v/>
      </c>
      <c r="Q2482" s="49" t="str">
        <f>IF(AND(J2482=0,K2482=0,L2482=0,M2482=0),"",IF(O2482=0,"PENDENTE DE RATEIO",IF(ABS(P2482)&gt;0.005,"DIVERGÊNCIA",IF(COUNTIF(RATEIOS!$A$2:$A$3142,$A2482)-COUNTIFS(RATEIOS!$A$2:$A$3142,$A2482,RATEIOS!$D$2:$D$3142,"&lt;&gt;")&gt;0,"NÃO CLASSIFICADO","RATEIO OK"))))</f>
        <v/>
      </c>
      <c r="R2482" s="49"/>
      <c r="S2482" s="14"/>
    </row>
    <row r="2483" spans="1:19" ht="30" customHeight="1" x14ac:dyDescent="0.25">
      <c r="A2483" s="49" t="str">
        <f>IF(C2483="","","BAN-02482")</f>
        <v/>
      </c>
      <c r="B2483" s="98" t="str">
        <f>IF(C2483="","",2482)</f>
        <v/>
      </c>
      <c r="C2483" s="50"/>
      <c r="D2483" s="49" t="str">
        <f t="shared" si="77"/>
        <v/>
      </c>
      <c r="E2483" s="92"/>
      <c r="F2483" s="49"/>
      <c r="G2483" s="14"/>
      <c r="H2483" s="14"/>
      <c r="I2483" s="76"/>
      <c r="J2483" s="73"/>
      <c r="K2483" s="74"/>
      <c r="L2483" s="72"/>
      <c r="M2483" s="72"/>
      <c r="N2483" s="72" t="str">
        <f>IF(AND(C2483="",J2483=0,K2483=0,L2483=0,M2483=0),"",CADASTROS!$B$4+SUM($J$2:J2483)+SUM($M$2:M2483)-SUM($K$2:K2483)-SUM($L$2:L2483))</f>
        <v/>
      </c>
      <c r="O2483" s="72" t="str">
        <f>IF(A2483="","",SUMIF(RATEIOS!$A$2:$A$3142,$A2483,RATEIOS!$F$2:$F$3142))</f>
        <v/>
      </c>
      <c r="P2483" s="15" t="str">
        <f t="shared" si="78"/>
        <v/>
      </c>
      <c r="Q2483" s="49" t="str">
        <f>IF(AND(J2483=0,K2483=0,L2483=0,M2483=0),"",IF(O2483=0,"PENDENTE DE RATEIO",IF(ABS(P2483)&gt;0.005,"DIVERGÊNCIA",IF(COUNTIF(RATEIOS!$A$2:$A$3142,$A2483)-COUNTIFS(RATEIOS!$A$2:$A$3142,$A2483,RATEIOS!$D$2:$D$3142,"&lt;&gt;")&gt;0,"NÃO CLASSIFICADO","RATEIO OK"))))</f>
        <v/>
      </c>
      <c r="R2483" s="49"/>
      <c r="S2483" s="14"/>
    </row>
    <row r="2484" spans="1:19" ht="30" customHeight="1" x14ac:dyDescent="0.25">
      <c r="A2484" s="49" t="str">
        <f>IF(C2484="","","BAN-02483")</f>
        <v/>
      </c>
      <c r="B2484" s="98" t="str">
        <f>IF(C2484="","",2483)</f>
        <v/>
      </c>
      <c r="C2484" s="50"/>
      <c r="D2484" s="49" t="str">
        <f t="shared" si="77"/>
        <v/>
      </c>
      <c r="E2484" s="92"/>
      <c r="F2484" s="49"/>
      <c r="G2484" s="14"/>
      <c r="H2484" s="14"/>
      <c r="I2484" s="76"/>
      <c r="J2484" s="73"/>
      <c r="K2484" s="74"/>
      <c r="L2484" s="72"/>
      <c r="M2484" s="72"/>
      <c r="N2484" s="72" t="str">
        <f>IF(AND(C2484="",J2484=0,K2484=0,L2484=0,M2484=0),"",CADASTROS!$B$4+SUM($J$2:J2484)+SUM($M$2:M2484)-SUM($K$2:K2484)-SUM($L$2:L2484))</f>
        <v/>
      </c>
      <c r="O2484" s="72" t="str">
        <f>IF(A2484="","",SUMIF(RATEIOS!$A$2:$A$3142,$A2484,RATEIOS!$F$2:$F$3142))</f>
        <v/>
      </c>
      <c r="P2484" s="15" t="str">
        <f t="shared" si="78"/>
        <v/>
      </c>
      <c r="Q2484" s="49" t="str">
        <f>IF(AND(J2484=0,K2484=0,L2484=0,M2484=0),"",IF(O2484=0,"PENDENTE DE RATEIO",IF(ABS(P2484)&gt;0.005,"DIVERGÊNCIA",IF(COUNTIF(RATEIOS!$A$2:$A$3142,$A2484)-COUNTIFS(RATEIOS!$A$2:$A$3142,$A2484,RATEIOS!$D$2:$D$3142,"&lt;&gt;")&gt;0,"NÃO CLASSIFICADO","RATEIO OK"))))</f>
        <v/>
      </c>
      <c r="R2484" s="49"/>
      <c r="S2484" s="14"/>
    </row>
    <row r="2485" spans="1:19" ht="30" customHeight="1" x14ac:dyDescent="0.25">
      <c r="A2485" s="49" t="str">
        <f>IF(C2485="","","BAN-02484")</f>
        <v/>
      </c>
      <c r="B2485" s="98" t="str">
        <f>IF(C2485="","",2484)</f>
        <v/>
      </c>
      <c r="C2485" s="50"/>
      <c r="D2485" s="49" t="str">
        <f t="shared" si="77"/>
        <v/>
      </c>
      <c r="E2485" s="92"/>
      <c r="F2485" s="49"/>
      <c r="G2485" s="14"/>
      <c r="H2485" s="14"/>
      <c r="I2485" s="76"/>
      <c r="J2485" s="73"/>
      <c r="K2485" s="74"/>
      <c r="L2485" s="72"/>
      <c r="M2485" s="72"/>
      <c r="N2485" s="72" t="str">
        <f>IF(AND(C2485="",J2485=0,K2485=0,L2485=0,M2485=0),"",CADASTROS!$B$4+SUM($J$2:J2485)+SUM($M$2:M2485)-SUM($K$2:K2485)-SUM($L$2:L2485))</f>
        <v/>
      </c>
      <c r="O2485" s="72" t="str">
        <f>IF(A2485="","",SUMIF(RATEIOS!$A$2:$A$3142,$A2485,RATEIOS!$F$2:$F$3142))</f>
        <v/>
      </c>
      <c r="P2485" s="15" t="str">
        <f t="shared" si="78"/>
        <v/>
      </c>
      <c r="Q2485" s="49" t="str">
        <f>IF(AND(J2485=0,K2485=0,L2485=0,M2485=0),"",IF(O2485=0,"PENDENTE DE RATEIO",IF(ABS(P2485)&gt;0.005,"DIVERGÊNCIA",IF(COUNTIF(RATEIOS!$A$2:$A$3142,$A2485)-COUNTIFS(RATEIOS!$A$2:$A$3142,$A2485,RATEIOS!$D$2:$D$3142,"&lt;&gt;")&gt;0,"NÃO CLASSIFICADO","RATEIO OK"))))</f>
        <v/>
      </c>
      <c r="R2485" s="49"/>
      <c r="S2485" s="14"/>
    </row>
    <row r="2486" spans="1:19" ht="30" customHeight="1" x14ac:dyDescent="0.25">
      <c r="A2486" s="49" t="str">
        <f>IF(C2486="","","BAN-02485")</f>
        <v/>
      </c>
      <c r="B2486" s="98" t="str">
        <f>IF(C2486="","",2485)</f>
        <v/>
      </c>
      <c r="C2486" s="50"/>
      <c r="D2486" s="49" t="str">
        <f t="shared" si="77"/>
        <v/>
      </c>
      <c r="E2486" s="92"/>
      <c r="F2486" s="49"/>
      <c r="G2486" s="14"/>
      <c r="H2486" s="14"/>
      <c r="I2486" s="76"/>
      <c r="J2486" s="73"/>
      <c r="K2486" s="74"/>
      <c r="L2486" s="72"/>
      <c r="M2486" s="72"/>
      <c r="N2486" s="72" t="str">
        <f>IF(AND(C2486="",J2486=0,K2486=0,L2486=0,M2486=0),"",CADASTROS!$B$4+SUM($J$2:J2486)+SUM($M$2:M2486)-SUM($K$2:K2486)-SUM($L$2:L2486))</f>
        <v/>
      </c>
      <c r="O2486" s="72" t="str">
        <f>IF(A2486="","",SUMIF(RATEIOS!$A$2:$A$3142,$A2486,RATEIOS!$F$2:$F$3142))</f>
        <v/>
      </c>
      <c r="P2486" s="15" t="str">
        <f t="shared" si="78"/>
        <v/>
      </c>
      <c r="Q2486" s="49" t="str">
        <f>IF(AND(J2486=0,K2486=0,L2486=0,M2486=0),"",IF(O2486=0,"PENDENTE DE RATEIO",IF(ABS(P2486)&gt;0.005,"DIVERGÊNCIA",IF(COUNTIF(RATEIOS!$A$2:$A$3142,$A2486)-COUNTIFS(RATEIOS!$A$2:$A$3142,$A2486,RATEIOS!$D$2:$D$3142,"&lt;&gt;")&gt;0,"NÃO CLASSIFICADO","RATEIO OK"))))</f>
        <v/>
      </c>
      <c r="R2486" s="49"/>
      <c r="S2486" s="14"/>
    </row>
    <row r="2487" spans="1:19" ht="30" customHeight="1" x14ac:dyDescent="0.25">
      <c r="A2487" s="49" t="str">
        <f>IF(C2487="","","BAN-02486")</f>
        <v/>
      </c>
      <c r="B2487" s="98" t="str">
        <f>IF(C2487="","",2486)</f>
        <v/>
      </c>
      <c r="C2487" s="50"/>
      <c r="D2487" s="49" t="str">
        <f t="shared" si="77"/>
        <v/>
      </c>
      <c r="E2487" s="92"/>
      <c r="F2487" s="49"/>
      <c r="G2487" s="14"/>
      <c r="H2487" s="14"/>
      <c r="I2487" s="76"/>
      <c r="J2487" s="73"/>
      <c r="K2487" s="74"/>
      <c r="L2487" s="72"/>
      <c r="M2487" s="72"/>
      <c r="N2487" s="72" t="str">
        <f>IF(AND(C2487="",J2487=0,K2487=0,L2487=0,M2487=0),"",CADASTROS!$B$4+SUM($J$2:J2487)+SUM($M$2:M2487)-SUM($K$2:K2487)-SUM($L$2:L2487))</f>
        <v/>
      </c>
      <c r="O2487" s="72" t="str">
        <f>IF(A2487="","",SUMIF(RATEIOS!$A$2:$A$3142,$A2487,RATEIOS!$F$2:$F$3142))</f>
        <v/>
      </c>
      <c r="P2487" s="15" t="str">
        <f t="shared" si="78"/>
        <v/>
      </c>
      <c r="Q2487" s="49" t="str">
        <f>IF(AND(J2487=0,K2487=0,L2487=0,M2487=0),"",IF(O2487=0,"PENDENTE DE RATEIO",IF(ABS(P2487)&gt;0.005,"DIVERGÊNCIA",IF(COUNTIF(RATEIOS!$A$2:$A$3142,$A2487)-COUNTIFS(RATEIOS!$A$2:$A$3142,$A2487,RATEIOS!$D$2:$D$3142,"&lt;&gt;")&gt;0,"NÃO CLASSIFICADO","RATEIO OK"))))</f>
        <v/>
      </c>
      <c r="R2487" s="49"/>
      <c r="S2487" s="14"/>
    </row>
    <row r="2488" spans="1:19" ht="30" customHeight="1" x14ac:dyDescent="0.25">
      <c r="A2488" s="49" t="str">
        <f>IF(C2488="","","BAN-02487")</f>
        <v/>
      </c>
      <c r="B2488" s="98" t="str">
        <f>IF(C2488="","",2487)</f>
        <v/>
      </c>
      <c r="C2488" s="50"/>
      <c r="D2488" s="49" t="str">
        <f t="shared" si="77"/>
        <v/>
      </c>
      <c r="E2488" s="92"/>
      <c r="F2488" s="49"/>
      <c r="G2488" s="14"/>
      <c r="H2488" s="14"/>
      <c r="I2488" s="76"/>
      <c r="J2488" s="73"/>
      <c r="K2488" s="74"/>
      <c r="L2488" s="72"/>
      <c r="M2488" s="72"/>
      <c r="N2488" s="72" t="str">
        <f>IF(AND(C2488="",J2488=0,K2488=0,L2488=0,M2488=0),"",CADASTROS!$B$4+SUM($J$2:J2488)+SUM($M$2:M2488)-SUM($K$2:K2488)-SUM($L$2:L2488))</f>
        <v/>
      </c>
      <c r="O2488" s="72" t="str">
        <f>IF(A2488="","",SUMIF(RATEIOS!$A$2:$A$3142,$A2488,RATEIOS!$F$2:$F$3142))</f>
        <v/>
      </c>
      <c r="P2488" s="15" t="str">
        <f t="shared" si="78"/>
        <v/>
      </c>
      <c r="Q2488" s="49" t="str">
        <f>IF(AND(J2488=0,K2488=0,L2488=0,M2488=0),"",IF(O2488=0,"PENDENTE DE RATEIO",IF(ABS(P2488)&gt;0.005,"DIVERGÊNCIA",IF(COUNTIF(RATEIOS!$A$2:$A$3142,$A2488)-COUNTIFS(RATEIOS!$A$2:$A$3142,$A2488,RATEIOS!$D$2:$D$3142,"&lt;&gt;")&gt;0,"NÃO CLASSIFICADO","RATEIO OK"))))</f>
        <v/>
      </c>
      <c r="R2488" s="49"/>
      <c r="S2488" s="14"/>
    </row>
    <row r="2489" spans="1:19" ht="30" customHeight="1" x14ac:dyDescent="0.25">
      <c r="A2489" s="49" t="str">
        <f>IF(C2489="","","BAN-02488")</f>
        <v/>
      </c>
      <c r="B2489" s="98" t="str">
        <f>IF(C2489="","",2488)</f>
        <v/>
      </c>
      <c r="C2489" s="50"/>
      <c r="D2489" s="49" t="str">
        <f t="shared" si="77"/>
        <v/>
      </c>
      <c r="E2489" s="92"/>
      <c r="F2489" s="49"/>
      <c r="G2489" s="14"/>
      <c r="H2489" s="14"/>
      <c r="I2489" s="76"/>
      <c r="J2489" s="73"/>
      <c r="K2489" s="74"/>
      <c r="L2489" s="72"/>
      <c r="M2489" s="72"/>
      <c r="N2489" s="72" t="str">
        <f>IF(AND(C2489="",J2489=0,K2489=0,L2489=0,M2489=0),"",CADASTROS!$B$4+SUM($J$2:J2489)+SUM($M$2:M2489)-SUM($K$2:K2489)-SUM($L$2:L2489))</f>
        <v/>
      </c>
      <c r="O2489" s="72" t="str">
        <f>IF(A2489="","",SUMIF(RATEIOS!$A$2:$A$3142,$A2489,RATEIOS!$F$2:$F$3142))</f>
        <v/>
      </c>
      <c r="P2489" s="15" t="str">
        <f t="shared" si="78"/>
        <v/>
      </c>
      <c r="Q2489" s="49" t="str">
        <f>IF(AND(J2489=0,K2489=0,L2489=0,M2489=0),"",IF(O2489=0,"PENDENTE DE RATEIO",IF(ABS(P2489)&gt;0.005,"DIVERGÊNCIA",IF(COUNTIF(RATEIOS!$A$2:$A$3142,$A2489)-COUNTIFS(RATEIOS!$A$2:$A$3142,$A2489,RATEIOS!$D$2:$D$3142,"&lt;&gt;")&gt;0,"NÃO CLASSIFICADO","RATEIO OK"))))</f>
        <v/>
      </c>
      <c r="R2489" s="49"/>
      <c r="S2489" s="14"/>
    </row>
    <row r="2490" spans="1:19" ht="30" customHeight="1" x14ac:dyDescent="0.25">
      <c r="A2490" s="49" t="str">
        <f>IF(C2490="","","BAN-02489")</f>
        <v/>
      </c>
      <c r="B2490" s="98" t="str">
        <f>IF(C2490="","",2489)</f>
        <v/>
      </c>
      <c r="C2490" s="50"/>
      <c r="D2490" s="49" t="str">
        <f t="shared" si="77"/>
        <v/>
      </c>
      <c r="E2490" s="92"/>
      <c r="F2490" s="49"/>
      <c r="G2490" s="14"/>
      <c r="H2490" s="14"/>
      <c r="I2490" s="76"/>
      <c r="J2490" s="73"/>
      <c r="K2490" s="74"/>
      <c r="L2490" s="72"/>
      <c r="M2490" s="72"/>
      <c r="N2490" s="72" t="str">
        <f>IF(AND(C2490="",J2490=0,K2490=0,L2490=0,M2490=0),"",CADASTROS!$B$4+SUM($J$2:J2490)+SUM($M$2:M2490)-SUM($K$2:K2490)-SUM($L$2:L2490))</f>
        <v/>
      </c>
      <c r="O2490" s="72" t="str">
        <f>IF(A2490="","",SUMIF(RATEIOS!$A$2:$A$3142,$A2490,RATEIOS!$F$2:$F$3142))</f>
        <v/>
      </c>
      <c r="P2490" s="15" t="str">
        <f t="shared" si="78"/>
        <v/>
      </c>
      <c r="Q2490" s="49" t="str">
        <f>IF(AND(J2490=0,K2490=0,L2490=0,M2490=0),"",IF(O2490=0,"PENDENTE DE RATEIO",IF(ABS(P2490)&gt;0.005,"DIVERGÊNCIA",IF(COUNTIF(RATEIOS!$A$2:$A$3142,$A2490)-COUNTIFS(RATEIOS!$A$2:$A$3142,$A2490,RATEIOS!$D$2:$D$3142,"&lt;&gt;")&gt;0,"NÃO CLASSIFICADO","RATEIO OK"))))</f>
        <v/>
      </c>
      <c r="R2490" s="49"/>
      <c r="S2490" s="14"/>
    </row>
    <row r="2491" spans="1:19" ht="30" customHeight="1" x14ac:dyDescent="0.25">
      <c r="A2491" s="49" t="str">
        <f>IF(C2491="","","BAN-02490")</f>
        <v/>
      </c>
      <c r="B2491" s="98" t="str">
        <f>IF(C2491="","",2490)</f>
        <v/>
      </c>
      <c r="C2491" s="50"/>
      <c r="D2491" s="49" t="str">
        <f t="shared" si="77"/>
        <v/>
      </c>
      <c r="E2491" s="92"/>
      <c r="F2491" s="49"/>
      <c r="G2491" s="14"/>
      <c r="H2491" s="14"/>
      <c r="I2491" s="76"/>
      <c r="J2491" s="73"/>
      <c r="K2491" s="74"/>
      <c r="L2491" s="72"/>
      <c r="M2491" s="72"/>
      <c r="N2491" s="72" t="str">
        <f>IF(AND(C2491="",J2491=0,K2491=0,L2491=0,M2491=0),"",CADASTROS!$B$4+SUM($J$2:J2491)+SUM($M$2:M2491)-SUM($K$2:K2491)-SUM($L$2:L2491))</f>
        <v/>
      </c>
      <c r="O2491" s="72" t="str">
        <f>IF(A2491="","",SUMIF(RATEIOS!$A$2:$A$3142,$A2491,RATEIOS!$F$2:$F$3142))</f>
        <v/>
      </c>
      <c r="P2491" s="15" t="str">
        <f t="shared" si="78"/>
        <v/>
      </c>
      <c r="Q2491" s="49" t="str">
        <f>IF(AND(J2491=0,K2491=0,L2491=0,M2491=0),"",IF(O2491=0,"PENDENTE DE RATEIO",IF(ABS(P2491)&gt;0.005,"DIVERGÊNCIA",IF(COUNTIF(RATEIOS!$A$2:$A$3142,$A2491)-COUNTIFS(RATEIOS!$A$2:$A$3142,$A2491,RATEIOS!$D$2:$D$3142,"&lt;&gt;")&gt;0,"NÃO CLASSIFICADO","RATEIO OK"))))</f>
        <v/>
      </c>
      <c r="R2491" s="49"/>
      <c r="S2491" s="14"/>
    </row>
    <row r="2492" spans="1:19" ht="30" customHeight="1" x14ac:dyDescent="0.25">
      <c r="A2492" s="49" t="str">
        <f>IF(C2492="","","BAN-02491")</f>
        <v/>
      </c>
      <c r="B2492" s="98" t="str">
        <f>IF(C2492="","",2491)</f>
        <v/>
      </c>
      <c r="C2492" s="50"/>
      <c r="D2492" s="49" t="str">
        <f t="shared" si="77"/>
        <v/>
      </c>
      <c r="E2492" s="92"/>
      <c r="F2492" s="49"/>
      <c r="G2492" s="14"/>
      <c r="H2492" s="14"/>
      <c r="I2492" s="76"/>
      <c r="J2492" s="73"/>
      <c r="K2492" s="74"/>
      <c r="L2492" s="72"/>
      <c r="M2492" s="72"/>
      <c r="N2492" s="72" t="str">
        <f>IF(AND(C2492="",J2492=0,K2492=0,L2492=0,M2492=0),"",CADASTROS!$B$4+SUM($J$2:J2492)+SUM($M$2:M2492)-SUM($K$2:K2492)-SUM($L$2:L2492))</f>
        <v/>
      </c>
      <c r="O2492" s="72" t="str">
        <f>IF(A2492="","",SUMIF(RATEIOS!$A$2:$A$3142,$A2492,RATEIOS!$F$2:$F$3142))</f>
        <v/>
      </c>
      <c r="P2492" s="15" t="str">
        <f t="shared" si="78"/>
        <v/>
      </c>
      <c r="Q2492" s="49" t="str">
        <f>IF(AND(J2492=0,K2492=0,L2492=0,M2492=0),"",IF(O2492=0,"PENDENTE DE RATEIO",IF(ABS(P2492)&gt;0.005,"DIVERGÊNCIA",IF(COUNTIF(RATEIOS!$A$2:$A$3142,$A2492)-COUNTIFS(RATEIOS!$A$2:$A$3142,$A2492,RATEIOS!$D$2:$D$3142,"&lt;&gt;")&gt;0,"NÃO CLASSIFICADO","RATEIO OK"))))</f>
        <v/>
      </c>
      <c r="R2492" s="49"/>
      <c r="S2492" s="14"/>
    </row>
    <row r="2493" spans="1:19" ht="30" customHeight="1" x14ac:dyDescent="0.25">
      <c r="A2493" s="49" t="str">
        <f>IF(C2493="","","BAN-02492")</f>
        <v/>
      </c>
      <c r="B2493" s="98" t="str">
        <f>IF(C2493="","",2492)</f>
        <v/>
      </c>
      <c r="C2493" s="50"/>
      <c r="D2493" s="49" t="str">
        <f t="shared" si="77"/>
        <v/>
      </c>
      <c r="E2493" s="92"/>
      <c r="F2493" s="49"/>
      <c r="G2493" s="14"/>
      <c r="H2493" s="14"/>
      <c r="I2493" s="76"/>
      <c r="J2493" s="73"/>
      <c r="K2493" s="74"/>
      <c r="L2493" s="72"/>
      <c r="M2493" s="72"/>
      <c r="N2493" s="72" t="str">
        <f>IF(AND(C2493="",J2493=0,K2493=0,L2493=0,M2493=0),"",CADASTROS!$B$4+SUM($J$2:J2493)+SUM($M$2:M2493)-SUM($K$2:K2493)-SUM($L$2:L2493))</f>
        <v/>
      </c>
      <c r="O2493" s="72" t="str">
        <f>IF(A2493="","",SUMIF(RATEIOS!$A$2:$A$3142,$A2493,RATEIOS!$F$2:$F$3142))</f>
        <v/>
      </c>
      <c r="P2493" s="15" t="str">
        <f t="shared" si="78"/>
        <v/>
      </c>
      <c r="Q2493" s="49" t="str">
        <f>IF(AND(J2493=0,K2493=0,L2493=0,M2493=0),"",IF(O2493=0,"PENDENTE DE RATEIO",IF(ABS(P2493)&gt;0.005,"DIVERGÊNCIA",IF(COUNTIF(RATEIOS!$A$2:$A$3142,$A2493)-COUNTIFS(RATEIOS!$A$2:$A$3142,$A2493,RATEIOS!$D$2:$D$3142,"&lt;&gt;")&gt;0,"NÃO CLASSIFICADO","RATEIO OK"))))</f>
        <v/>
      </c>
      <c r="R2493" s="49"/>
      <c r="S2493" s="14"/>
    </row>
    <row r="2494" spans="1:19" ht="30" customHeight="1" x14ac:dyDescent="0.25">
      <c r="A2494" s="49" t="str">
        <f>IF(C2494="","","BAN-02493")</f>
        <v/>
      </c>
      <c r="B2494" s="98" t="str">
        <f>IF(C2494="","",2493)</f>
        <v/>
      </c>
      <c r="C2494" s="50"/>
      <c r="D2494" s="49" t="str">
        <f t="shared" si="77"/>
        <v/>
      </c>
      <c r="E2494" s="92"/>
      <c r="F2494" s="49"/>
      <c r="G2494" s="14"/>
      <c r="H2494" s="14"/>
      <c r="I2494" s="76"/>
      <c r="J2494" s="73"/>
      <c r="K2494" s="74"/>
      <c r="L2494" s="72"/>
      <c r="M2494" s="72"/>
      <c r="N2494" s="72" t="str">
        <f>IF(AND(C2494="",J2494=0,K2494=0,L2494=0,M2494=0),"",CADASTROS!$B$4+SUM($J$2:J2494)+SUM($M$2:M2494)-SUM($K$2:K2494)-SUM($L$2:L2494))</f>
        <v/>
      </c>
      <c r="O2494" s="72" t="str">
        <f>IF(A2494="","",SUMIF(RATEIOS!$A$2:$A$3142,$A2494,RATEIOS!$F$2:$F$3142))</f>
        <v/>
      </c>
      <c r="P2494" s="15" t="str">
        <f t="shared" si="78"/>
        <v/>
      </c>
      <c r="Q2494" s="49" t="str">
        <f>IF(AND(J2494=0,K2494=0,L2494=0,M2494=0),"",IF(O2494=0,"PENDENTE DE RATEIO",IF(ABS(P2494)&gt;0.005,"DIVERGÊNCIA",IF(COUNTIF(RATEIOS!$A$2:$A$3142,$A2494)-COUNTIFS(RATEIOS!$A$2:$A$3142,$A2494,RATEIOS!$D$2:$D$3142,"&lt;&gt;")&gt;0,"NÃO CLASSIFICADO","RATEIO OK"))))</f>
        <v/>
      </c>
      <c r="R2494" s="49"/>
      <c r="S2494" s="14"/>
    </row>
    <row r="2495" spans="1:19" ht="30" customHeight="1" x14ac:dyDescent="0.25">
      <c r="A2495" s="49" t="str">
        <f>IF(C2495="","","BAN-02494")</f>
        <v/>
      </c>
      <c r="B2495" s="98" t="str">
        <f>IF(C2495="","",2494)</f>
        <v/>
      </c>
      <c r="C2495" s="50"/>
      <c r="D2495" s="49" t="str">
        <f t="shared" si="77"/>
        <v/>
      </c>
      <c r="E2495" s="92"/>
      <c r="F2495" s="49"/>
      <c r="G2495" s="14"/>
      <c r="H2495" s="14"/>
      <c r="I2495" s="76"/>
      <c r="J2495" s="73"/>
      <c r="K2495" s="74"/>
      <c r="L2495" s="72"/>
      <c r="M2495" s="72"/>
      <c r="N2495" s="72" t="str">
        <f>IF(AND(C2495="",J2495=0,K2495=0,L2495=0,M2495=0),"",CADASTROS!$B$4+SUM($J$2:J2495)+SUM($M$2:M2495)-SUM($K$2:K2495)-SUM($L$2:L2495))</f>
        <v/>
      </c>
      <c r="O2495" s="72" t="str">
        <f>IF(A2495="","",SUMIF(RATEIOS!$A$2:$A$3142,$A2495,RATEIOS!$F$2:$F$3142))</f>
        <v/>
      </c>
      <c r="P2495" s="15" t="str">
        <f t="shared" si="78"/>
        <v/>
      </c>
      <c r="Q2495" s="49" t="str">
        <f>IF(AND(J2495=0,K2495=0,L2495=0,M2495=0),"",IF(O2495=0,"PENDENTE DE RATEIO",IF(ABS(P2495)&gt;0.005,"DIVERGÊNCIA",IF(COUNTIF(RATEIOS!$A$2:$A$3142,$A2495)-COUNTIFS(RATEIOS!$A$2:$A$3142,$A2495,RATEIOS!$D$2:$D$3142,"&lt;&gt;")&gt;0,"NÃO CLASSIFICADO","RATEIO OK"))))</f>
        <v/>
      </c>
      <c r="R2495" s="49"/>
      <c r="S2495" s="14"/>
    </row>
    <row r="2496" spans="1:19" ht="30" customHeight="1" x14ac:dyDescent="0.25">
      <c r="A2496" s="49" t="str">
        <f>IF(C2496="","","BAN-02495")</f>
        <v/>
      </c>
      <c r="B2496" s="98" t="str">
        <f>IF(C2496="","",2495)</f>
        <v/>
      </c>
      <c r="C2496" s="50"/>
      <c r="D2496" s="49" t="str">
        <f t="shared" si="77"/>
        <v/>
      </c>
      <c r="E2496" s="92"/>
      <c r="F2496" s="49"/>
      <c r="G2496" s="14"/>
      <c r="H2496" s="14"/>
      <c r="I2496" s="76"/>
      <c r="J2496" s="73"/>
      <c r="K2496" s="74"/>
      <c r="L2496" s="72"/>
      <c r="M2496" s="72"/>
      <c r="N2496" s="72" t="str">
        <f>IF(AND(C2496="",J2496=0,K2496=0,L2496=0,M2496=0),"",CADASTROS!$B$4+SUM($J$2:J2496)+SUM($M$2:M2496)-SUM($K$2:K2496)-SUM($L$2:L2496))</f>
        <v/>
      </c>
      <c r="O2496" s="72" t="str">
        <f>IF(A2496="","",SUMIF(RATEIOS!$A$2:$A$3142,$A2496,RATEIOS!$F$2:$F$3142))</f>
        <v/>
      </c>
      <c r="P2496" s="15" t="str">
        <f t="shared" si="78"/>
        <v/>
      </c>
      <c r="Q2496" s="49" t="str">
        <f>IF(AND(J2496=0,K2496=0,L2496=0,M2496=0),"",IF(O2496=0,"PENDENTE DE RATEIO",IF(ABS(P2496)&gt;0.005,"DIVERGÊNCIA",IF(COUNTIF(RATEIOS!$A$2:$A$3142,$A2496)-COUNTIFS(RATEIOS!$A$2:$A$3142,$A2496,RATEIOS!$D$2:$D$3142,"&lt;&gt;")&gt;0,"NÃO CLASSIFICADO","RATEIO OK"))))</f>
        <v/>
      </c>
      <c r="R2496" s="49"/>
      <c r="S2496" s="14"/>
    </row>
    <row r="2497" spans="1:19" ht="30" customHeight="1" x14ac:dyDescent="0.25">
      <c r="A2497" s="49" t="str">
        <f>IF(C2497="","","BAN-02496")</f>
        <v/>
      </c>
      <c r="B2497" s="98" t="str">
        <f>IF(C2497="","",2496)</f>
        <v/>
      </c>
      <c r="C2497" s="50"/>
      <c r="D2497" s="49" t="str">
        <f t="shared" si="77"/>
        <v/>
      </c>
      <c r="E2497" s="92"/>
      <c r="F2497" s="49"/>
      <c r="G2497" s="14"/>
      <c r="H2497" s="14"/>
      <c r="I2497" s="76"/>
      <c r="J2497" s="73"/>
      <c r="K2497" s="74"/>
      <c r="L2497" s="72"/>
      <c r="M2497" s="72"/>
      <c r="N2497" s="72" t="str">
        <f>IF(AND(C2497="",J2497=0,K2497=0,L2497=0,M2497=0),"",CADASTROS!$B$4+SUM($J$2:J2497)+SUM($M$2:M2497)-SUM($K$2:K2497)-SUM($L$2:L2497))</f>
        <v/>
      </c>
      <c r="O2497" s="72" t="str">
        <f>IF(A2497="","",SUMIF(RATEIOS!$A$2:$A$3142,$A2497,RATEIOS!$F$2:$F$3142))</f>
        <v/>
      </c>
      <c r="P2497" s="15" t="str">
        <f t="shared" si="78"/>
        <v/>
      </c>
      <c r="Q2497" s="49" t="str">
        <f>IF(AND(J2497=0,K2497=0,L2497=0,M2497=0),"",IF(O2497=0,"PENDENTE DE RATEIO",IF(ABS(P2497)&gt;0.005,"DIVERGÊNCIA",IF(COUNTIF(RATEIOS!$A$2:$A$3142,$A2497)-COUNTIFS(RATEIOS!$A$2:$A$3142,$A2497,RATEIOS!$D$2:$D$3142,"&lt;&gt;")&gt;0,"NÃO CLASSIFICADO","RATEIO OK"))))</f>
        <v/>
      </c>
      <c r="R2497" s="49"/>
      <c r="S2497" s="14"/>
    </row>
    <row r="2498" spans="1:19" ht="30" customHeight="1" x14ac:dyDescent="0.25">
      <c r="A2498" s="49" t="str">
        <f>IF(C2498="","","BAN-02497")</f>
        <v/>
      </c>
      <c r="B2498" s="98" t="str">
        <f>IF(C2498="","",2497)</f>
        <v/>
      </c>
      <c r="C2498" s="50"/>
      <c r="D2498" s="49" t="str">
        <f t="shared" ref="D2498:D2561" si="79">IF(C2498="","",MONTH(C2498))</f>
        <v/>
      </c>
      <c r="E2498" s="92"/>
      <c r="F2498" s="49"/>
      <c r="G2498" s="14"/>
      <c r="H2498" s="14"/>
      <c r="I2498" s="76"/>
      <c r="J2498" s="73"/>
      <c r="K2498" s="74"/>
      <c r="L2498" s="72"/>
      <c r="M2498" s="72"/>
      <c r="N2498" s="72" t="str">
        <f>IF(AND(C2498="",J2498=0,K2498=0,L2498=0,M2498=0),"",CADASTROS!$B$4+SUM($J$2:J2498)+SUM($M$2:M2498)-SUM($K$2:K2498)-SUM($L$2:L2498))</f>
        <v/>
      </c>
      <c r="O2498" s="72" t="str">
        <f>IF(A2498="","",SUMIF(RATEIOS!$A$2:$A$3142,$A2498,RATEIOS!$F$2:$F$3142))</f>
        <v/>
      </c>
      <c r="P2498" s="15" t="str">
        <f t="shared" ref="P2498:P2561" si="80">IF(A2498="","",(J2498+K2498+L2498+M2498)-O2498)</f>
        <v/>
      </c>
      <c r="Q2498" s="49" t="str">
        <f>IF(AND(J2498=0,K2498=0,L2498=0,M2498=0),"",IF(O2498=0,"PENDENTE DE RATEIO",IF(ABS(P2498)&gt;0.005,"DIVERGÊNCIA",IF(COUNTIF(RATEIOS!$A$2:$A$3142,$A2498)-COUNTIFS(RATEIOS!$A$2:$A$3142,$A2498,RATEIOS!$D$2:$D$3142,"&lt;&gt;")&gt;0,"NÃO CLASSIFICADO","RATEIO OK"))))</f>
        <v/>
      </c>
      <c r="R2498" s="49"/>
      <c r="S2498" s="14"/>
    </row>
    <row r="2499" spans="1:19" ht="30" customHeight="1" x14ac:dyDescent="0.25">
      <c r="A2499" s="49" t="str">
        <f>IF(C2499="","","BAN-02498")</f>
        <v/>
      </c>
      <c r="B2499" s="98" t="str">
        <f>IF(C2499="","",2498)</f>
        <v/>
      </c>
      <c r="C2499" s="50"/>
      <c r="D2499" s="49" t="str">
        <f t="shared" si="79"/>
        <v/>
      </c>
      <c r="E2499" s="92"/>
      <c r="F2499" s="49"/>
      <c r="G2499" s="14"/>
      <c r="H2499" s="14"/>
      <c r="I2499" s="76"/>
      <c r="J2499" s="73"/>
      <c r="K2499" s="74"/>
      <c r="L2499" s="72"/>
      <c r="M2499" s="72"/>
      <c r="N2499" s="72" t="str">
        <f>IF(AND(C2499="",J2499=0,K2499=0,L2499=0,M2499=0),"",CADASTROS!$B$4+SUM($J$2:J2499)+SUM($M$2:M2499)-SUM($K$2:K2499)-SUM($L$2:L2499))</f>
        <v/>
      </c>
      <c r="O2499" s="72" t="str">
        <f>IF(A2499="","",SUMIF(RATEIOS!$A$2:$A$3142,$A2499,RATEIOS!$F$2:$F$3142))</f>
        <v/>
      </c>
      <c r="P2499" s="15" t="str">
        <f t="shared" si="80"/>
        <v/>
      </c>
      <c r="Q2499" s="49" t="str">
        <f>IF(AND(J2499=0,K2499=0,L2499=0,M2499=0),"",IF(O2499=0,"PENDENTE DE RATEIO",IF(ABS(P2499)&gt;0.005,"DIVERGÊNCIA",IF(COUNTIF(RATEIOS!$A$2:$A$3142,$A2499)-COUNTIFS(RATEIOS!$A$2:$A$3142,$A2499,RATEIOS!$D$2:$D$3142,"&lt;&gt;")&gt;0,"NÃO CLASSIFICADO","RATEIO OK"))))</f>
        <v/>
      </c>
      <c r="R2499" s="49"/>
      <c r="S2499" s="14"/>
    </row>
    <row r="2500" spans="1:19" ht="30" customHeight="1" x14ac:dyDescent="0.25">
      <c r="A2500" s="49" t="str">
        <f>IF(C2500="","","BAN-02499")</f>
        <v/>
      </c>
      <c r="B2500" s="98" t="str">
        <f>IF(C2500="","",2499)</f>
        <v/>
      </c>
      <c r="C2500" s="50"/>
      <c r="D2500" s="49" t="str">
        <f t="shared" si="79"/>
        <v/>
      </c>
      <c r="E2500" s="92"/>
      <c r="F2500" s="49"/>
      <c r="G2500" s="14"/>
      <c r="H2500" s="14"/>
      <c r="I2500" s="76"/>
      <c r="J2500" s="73"/>
      <c r="K2500" s="74"/>
      <c r="L2500" s="72"/>
      <c r="M2500" s="72"/>
      <c r="N2500" s="72" t="str">
        <f>IF(AND(C2500="",J2500=0,K2500=0,L2500=0,M2500=0),"",CADASTROS!$B$4+SUM($J$2:J2500)+SUM($M$2:M2500)-SUM($K$2:K2500)-SUM($L$2:L2500))</f>
        <v/>
      </c>
      <c r="O2500" s="72" t="str">
        <f>IF(A2500="","",SUMIF(RATEIOS!$A$2:$A$3142,$A2500,RATEIOS!$F$2:$F$3142))</f>
        <v/>
      </c>
      <c r="P2500" s="15" t="str">
        <f t="shared" si="80"/>
        <v/>
      </c>
      <c r="Q2500" s="49" t="str">
        <f>IF(AND(J2500=0,K2500=0,L2500=0,M2500=0),"",IF(O2500=0,"PENDENTE DE RATEIO",IF(ABS(P2500)&gt;0.005,"DIVERGÊNCIA",IF(COUNTIF(RATEIOS!$A$2:$A$3142,$A2500)-COUNTIFS(RATEIOS!$A$2:$A$3142,$A2500,RATEIOS!$D$2:$D$3142,"&lt;&gt;")&gt;0,"NÃO CLASSIFICADO","RATEIO OK"))))</f>
        <v/>
      </c>
      <c r="R2500" s="49"/>
      <c r="S2500" s="14"/>
    </row>
    <row r="2501" spans="1:19" ht="30" customHeight="1" x14ac:dyDescent="0.25">
      <c r="A2501" s="49" t="str">
        <f>IF(C2501="","","BAN-02500")</f>
        <v/>
      </c>
      <c r="B2501" s="98" t="str">
        <f>IF(C2501="","",2500)</f>
        <v/>
      </c>
      <c r="C2501" s="50"/>
      <c r="D2501" s="49" t="str">
        <f t="shared" si="79"/>
        <v/>
      </c>
      <c r="E2501" s="92"/>
      <c r="F2501" s="49"/>
      <c r="G2501" s="14"/>
      <c r="H2501" s="14"/>
      <c r="I2501" s="76"/>
      <c r="J2501" s="73"/>
      <c r="K2501" s="74"/>
      <c r="L2501" s="72"/>
      <c r="M2501" s="72"/>
      <c r="N2501" s="72" t="str">
        <f>IF(AND(C2501="",J2501=0,K2501=0,L2501=0,M2501=0),"",CADASTROS!$B$4+SUM($J$2:J2501)+SUM($M$2:M2501)-SUM($K$2:K2501)-SUM($L$2:L2501))</f>
        <v/>
      </c>
      <c r="O2501" s="72" t="str">
        <f>IF(A2501="","",SUMIF(RATEIOS!$A$2:$A$3142,$A2501,RATEIOS!$F$2:$F$3142))</f>
        <v/>
      </c>
      <c r="P2501" s="15" t="str">
        <f t="shared" si="80"/>
        <v/>
      </c>
      <c r="Q2501" s="49" t="str">
        <f>IF(AND(J2501=0,K2501=0,L2501=0,M2501=0),"",IF(O2501=0,"PENDENTE DE RATEIO",IF(ABS(P2501)&gt;0.005,"DIVERGÊNCIA",IF(COUNTIF(RATEIOS!$A$2:$A$3142,$A2501)-COUNTIFS(RATEIOS!$A$2:$A$3142,$A2501,RATEIOS!$D$2:$D$3142,"&lt;&gt;")&gt;0,"NÃO CLASSIFICADO","RATEIO OK"))))</f>
        <v/>
      </c>
      <c r="R2501" s="49"/>
      <c r="S2501" s="14"/>
    </row>
    <row r="2502" spans="1:19" ht="30" customHeight="1" x14ac:dyDescent="0.25">
      <c r="A2502" s="49" t="str">
        <f>IF(C2502="","","BAN-02501")</f>
        <v/>
      </c>
      <c r="B2502" s="98" t="str">
        <f>IF(C2502="","",2501)</f>
        <v/>
      </c>
      <c r="C2502" s="50"/>
      <c r="D2502" s="49" t="str">
        <f t="shared" si="79"/>
        <v/>
      </c>
      <c r="E2502" s="92"/>
      <c r="F2502" s="49"/>
      <c r="G2502" s="14"/>
      <c r="H2502" s="14"/>
      <c r="I2502" s="76"/>
      <c r="J2502" s="73"/>
      <c r="K2502" s="74"/>
      <c r="L2502" s="72"/>
      <c r="M2502" s="72"/>
      <c r="N2502" s="72" t="str">
        <f>IF(AND(C2502="",J2502=0,K2502=0,L2502=0,M2502=0),"",CADASTROS!$B$4+SUM($J$2:J2502)+SUM($M$2:M2502)-SUM($K$2:K2502)-SUM($L$2:L2502))</f>
        <v/>
      </c>
      <c r="O2502" s="72" t="str">
        <f>IF(A2502="","",SUMIF(RATEIOS!$A$2:$A$3142,$A2502,RATEIOS!$F$2:$F$3142))</f>
        <v/>
      </c>
      <c r="P2502" s="15" t="str">
        <f t="shared" si="80"/>
        <v/>
      </c>
      <c r="Q2502" s="49" t="str">
        <f>IF(AND(J2502=0,K2502=0,L2502=0,M2502=0),"",IF(O2502=0,"PENDENTE DE RATEIO",IF(ABS(P2502)&gt;0.005,"DIVERGÊNCIA",IF(COUNTIF(RATEIOS!$A$2:$A$3142,$A2502)-COUNTIFS(RATEIOS!$A$2:$A$3142,$A2502,RATEIOS!$D$2:$D$3142,"&lt;&gt;")&gt;0,"NÃO CLASSIFICADO","RATEIO OK"))))</f>
        <v/>
      </c>
      <c r="R2502" s="49"/>
      <c r="S2502" s="14"/>
    </row>
    <row r="2503" spans="1:19" ht="30" customHeight="1" x14ac:dyDescent="0.25">
      <c r="A2503" s="49" t="str">
        <f>IF(C2503="","","BAN-02502")</f>
        <v/>
      </c>
      <c r="B2503" s="98" t="str">
        <f>IF(C2503="","",2502)</f>
        <v/>
      </c>
      <c r="C2503" s="50"/>
      <c r="D2503" s="49" t="str">
        <f t="shared" si="79"/>
        <v/>
      </c>
      <c r="E2503" s="92"/>
      <c r="F2503" s="49"/>
      <c r="G2503" s="14"/>
      <c r="H2503" s="14"/>
      <c r="I2503" s="76"/>
      <c r="J2503" s="73"/>
      <c r="K2503" s="74"/>
      <c r="L2503" s="72"/>
      <c r="M2503" s="72"/>
      <c r="N2503" s="72" t="str">
        <f>IF(AND(C2503="",J2503=0,K2503=0,L2503=0,M2503=0),"",CADASTROS!$B$4+SUM($J$2:J2503)+SUM($M$2:M2503)-SUM($K$2:K2503)-SUM($L$2:L2503))</f>
        <v/>
      </c>
      <c r="O2503" s="72" t="str">
        <f>IF(A2503="","",SUMIF(RATEIOS!$A$2:$A$3142,$A2503,RATEIOS!$F$2:$F$3142))</f>
        <v/>
      </c>
      <c r="P2503" s="15" t="str">
        <f t="shared" si="80"/>
        <v/>
      </c>
      <c r="Q2503" s="49" t="str">
        <f>IF(AND(J2503=0,K2503=0,L2503=0,M2503=0),"",IF(O2503=0,"PENDENTE DE RATEIO",IF(ABS(P2503)&gt;0.005,"DIVERGÊNCIA",IF(COUNTIF(RATEIOS!$A$2:$A$3142,$A2503)-COUNTIFS(RATEIOS!$A$2:$A$3142,$A2503,RATEIOS!$D$2:$D$3142,"&lt;&gt;")&gt;0,"NÃO CLASSIFICADO","RATEIO OK"))))</f>
        <v/>
      </c>
      <c r="R2503" s="49"/>
      <c r="S2503" s="14"/>
    </row>
    <row r="2504" spans="1:19" ht="30" customHeight="1" x14ac:dyDescent="0.25">
      <c r="A2504" s="49" t="str">
        <f>IF(C2504="","","BAN-02503")</f>
        <v/>
      </c>
      <c r="B2504" s="98" t="str">
        <f>IF(C2504="","",2503)</f>
        <v/>
      </c>
      <c r="C2504" s="50"/>
      <c r="D2504" s="49" t="str">
        <f t="shared" si="79"/>
        <v/>
      </c>
      <c r="E2504" s="92"/>
      <c r="F2504" s="49"/>
      <c r="G2504" s="14"/>
      <c r="H2504" s="14"/>
      <c r="I2504" s="76"/>
      <c r="J2504" s="73"/>
      <c r="K2504" s="74"/>
      <c r="L2504" s="72"/>
      <c r="M2504" s="72"/>
      <c r="N2504" s="72" t="str">
        <f>IF(AND(C2504="",J2504=0,K2504=0,L2504=0,M2504=0),"",CADASTROS!$B$4+SUM($J$2:J2504)+SUM($M$2:M2504)-SUM($K$2:K2504)-SUM($L$2:L2504))</f>
        <v/>
      </c>
      <c r="O2504" s="72" t="str">
        <f>IF(A2504="","",SUMIF(RATEIOS!$A$2:$A$3142,$A2504,RATEIOS!$F$2:$F$3142))</f>
        <v/>
      </c>
      <c r="P2504" s="15" t="str">
        <f t="shared" si="80"/>
        <v/>
      </c>
      <c r="Q2504" s="49" t="str">
        <f>IF(AND(J2504=0,K2504=0,L2504=0,M2504=0),"",IF(O2504=0,"PENDENTE DE RATEIO",IF(ABS(P2504)&gt;0.005,"DIVERGÊNCIA",IF(COUNTIF(RATEIOS!$A$2:$A$3142,$A2504)-COUNTIFS(RATEIOS!$A$2:$A$3142,$A2504,RATEIOS!$D$2:$D$3142,"&lt;&gt;")&gt;0,"NÃO CLASSIFICADO","RATEIO OK"))))</f>
        <v/>
      </c>
      <c r="R2504" s="49"/>
      <c r="S2504" s="14"/>
    </row>
    <row r="2505" spans="1:19" ht="30" customHeight="1" x14ac:dyDescent="0.25">
      <c r="A2505" s="49" t="str">
        <f>IF(C2505="","","BAN-02504")</f>
        <v/>
      </c>
      <c r="B2505" s="98" t="str">
        <f>IF(C2505="","",2504)</f>
        <v/>
      </c>
      <c r="C2505" s="50"/>
      <c r="D2505" s="49" t="str">
        <f t="shared" si="79"/>
        <v/>
      </c>
      <c r="E2505" s="92"/>
      <c r="F2505" s="49"/>
      <c r="G2505" s="14"/>
      <c r="H2505" s="14"/>
      <c r="I2505" s="76"/>
      <c r="J2505" s="73"/>
      <c r="K2505" s="74"/>
      <c r="L2505" s="72"/>
      <c r="M2505" s="72"/>
      <c r="N2505" s="72" t="str">
        <f>IF(AND(C2505="",J2505=0,K2505=0,L2505=0,M2505=0),"",CADASTROS!$B$4+SUM($J$2:J2505)+SUM($M$2:M2505)-SUM($K$2:K2505)-SUM($L$2:L2505))</f>
        <v/>
      </c>
      <c r="O2505" s="72" t="str">
        <f>IF(A2505="","",SUMIF(RATEIOS!$A$2:$A$3142,$A2505,RATEIOS!$F$2:$F$3142))</f>
        <v/>
      </c>
      <c r="P2505" s="15" t="str">
        <f t="shared" si="80"/>
        <v/>
      </c>
      <c r="Q2505" s="49" t="str">
        <f>IF(AND(J2505=0,K2505=0,L2505=0,M2505=0),"",IF(O2505=0,"PENDENTE DE RATEIO",IF(ABS(P2505)&gt;0.005,"DIVERGÊNCIA",IF(COUNTIF(RATEIOS!$A$2:$A$3142,$A2505)-COUNTIFS(RATEIOS!$A$2:$A$3142,$A2505,RATEIOS!$D$2:$D$3142,"&lt;&gt;")&gt;0,"NÃO CLASSIFICADO","RATEIO OK"))))</f>
        <v/>
      </c>
      <c r="R2505" s="49"/>
      <c r="S2505" s="14"/>
    </row>
    <row r="2506" spans="1:19" ht="30" customHeight="1" x14ac:dyDescent="0.25">
      <c r="A2506" s="49" t="str">
        <f>IF(C2506="","","BAN-02505")</f>
        <v/>
      </c>
      <c r="B2506" s="98" t="str">
        <f>IF(C2506="","",2505)</f>
        <v/>
      </c>
      <c r="C2506" s="50"/>
      <c r="D2506" s="49" t="str">
        <f t="shared" si="79"/>
        <v/>
      </c>
      <c r="E2506" s="92"/>
      <c r="F2506" s="49"/>
      <c r="G2506" s="14"/>
      <c r="H2506" s="14"/>
      <c r="I2506" s="76"/>
      <c r="J2506" s="73"/>
      <c r="K2506" s="74"/>
      <c r="L2506" s="72"/>
      <c r="M2506" s="72"/>
      <c r="N2506" s="72" t="str">
        <f>IF(AND(C2506="",J2506=0,K2506=0,L2506=0,M2506=0),"",CADASTROS!$B$4+SUM($J$2:J2506)+SUM($M$2:M2506)-SUM($K$2:K2506)-SUM($L$2:L2506))</f>
        <v/>
      </c>
      <c r="O2506" s="72" t="str">
        <f>IF(A2506="","",SUMIF(RATEIOS!$A$2:$A$3142,$A2506,RATEIOS!$F$2:$F$3142))</f>
        <v/>
      </c>
      <c r="P2506" s="15" t="str">
        <f t="shared" si="80"/>
        <v/>
      </c>
      <c r="Q2506" s="49" t="str">
        <f>IF(AND(J2506=0,K2506=0,L2506=0,M2506=0),"",IF(O2506=0,"PENDENTE DE RATEIO",IF(ABS(P2506)&gt;0.005,"DIVERGÊNCIA",IF(COUNTIF(RATEIOS!$A$2:$A$3142,$A2506)-COUNTIFS(RATEIOS!$A$2:$A$3142,$A2506,RATEIOS!$D$2:$D$3142,"&lt;&gt;")&gt;0,"NÃO CLASSIFICADO","RATEIO OK"))))</f>
        <v/>
      </c>
      <c r="R2506" s="49"/>
      <c r="S2506" s="14"/>
    </row>
    <row r="2507" spans="1:19" ht="30" customHeight="1" x14ac:dyDescent="0.25">
      <c r="A2507" s="49" t="str">
        <f>IF(C2507="","","BAN-02506")</f>
        <v/>
      </c>
      <c r="B2507" s="98" t="str">
        <f>IF(C2507="","",2506)</f>
        <v/>
      </c>
      <c r="C2507" s="50"/>
      <c r="D2507" s="49" t="str">
        <f t="shared" si="79"/>
        <v/>
      </c>
      <c r="E2507" s="92"/>
      <c r="F2507" s="49"/>
      <c r="G2507" s="14"/>
      <c r="H2507" s="14"/>
      <c r="I2507" s="76"/>
      <c r="J2507" s="73"/>
      <c r="K2507" s="74"/>
      <c r="L2507" s="72"/>
      <c r="M2507" s="72"/>
      <c r="N2507" s="72" t="str">
        <f>IF(AND(C2507="",J2507=0,K2507=0,L2507=0,M2507=0),"",CADASTROS!$B$4+SUM($J$2:J2507)+SUM($M$2:M2507)-SUM($K$2:K2507)-SUM($L$2:L2507))</f>
        <v/>
      </c>
      <c r="O2507" s="72" t="str">
        <f>IF(A2507="","",SUMIF(RATEIOS!$A$2:$A$3142,$A2507,RATEIOS!$F$2:$F$3142))</f>
        <v/>
      </c>
      <c r="P2507" s="15" t="str">
        <f t="shared" si="80"/>
        <v/>
      </c>
      <c r="Q2507" s="49" t="str">
        <f>IF(AND(J2507=0,K2507=0,L2507=0,M2507=0),"",IF(O2507=0,"PENDENTE DE RATEIO",IF(ABS(P2507)&gt;0.005,"DIVERGÊNCIA",IF(COUNTIF(RATEIOS!$A$2:$A$3142,$A2507)-COUNTIFS(RATEIOS!$A$2:$A$3142,$A2507,RATEIOS!$D$2:$D$3142,"&lt;&gt;")&gt;0,"NÃO CLASSIFICADO","RATEIO OK"))))</f>
        <v/>
      </c>
      <c r="R2507" s="49"/>
      <c r="S2507" s="14"/>
    </row>
    <row r="2508" spans="1:19" ht="30" customHeight="1" x14ac:dyDescent="0.25">
      <c r="A2508" s="49" t="str">
        <f>IF(C2508="","","BAN-02507")</f>
        <v/>
      </c>
      <c r="B2508" s="98" t="str">
        <f>IF(C2508="","",2507)</f>
        <v/>
      </c>
      <c r="C2508" s="50"/>
      <c r="D2508" s="49" t="str">
        <f t="shared" si="79"/>
        <v/>
      </c>
      <c r="E2508" s="92"/>
      <c r="F2508" s="49"/>
      <c r="G2508" s="14"/>
      <c r="H2508" s="14"/>
      <c r="I2508" s="76"/>
      <c r="J2508" s="73"/>
      <c r="K2508" s="74"/>
      <c r="L2508" s="72"/>
      <c r="M2508" s="72"/>
      <c r="N2508" s="72" t="str">
        <f>IF(AND(C2508="",J2508=0,K2508=0,L2508=0,M2508=0),"",CADASTROS!$B$4+SUM($J$2:J2508)+SUM($M$2:M2508)-SUM($K$2:K2508)-SUM($L$2:L2508))</f>
        <v/>
      </c>
      <c r="O2508" s="72" t="str">
        <f>IF(A2508="","",SUMIF(RATEIOS!$A$2:$A$3142,$A2508,RATEIOS!$F$2:$F$3142))</f>
        <v/>
      </c>
      <c r="P2508" s="15" t="str">
        <f t="shared" si="80"/>
        <v/>
      </c>
      <c r="Q2508" s="49" t="str">
        <f>IF(AND(J2508=0,K2508=0,L2508=0,M2508=0),"",IF(O2508=0,"PENDENTE DE RATEIO",IF(ABS(P2508)&gt;0.005,"DIVERGÊNCIA",IF(COUNTIF(RATEIOS!$A$2:$A$3142,$A2508)-COUNTIFS(RATEIOS!$A$2:$A$3142,$A2508,RATEIOS!$D$2:$D$3142,"&lt;&gt;")&gt;0,"NÃO CLASSIFICADO","RATEIO OK"))))</f>
        <v/>
      </c>
      <c r="R2508" s="49"/>
      <c r="S2508" s="14"/>
    </row>
    <row r="2509" spans="1:19" ht="30" customHeight="1" x14ac:dyDescent="0.25">
      <c r="A2509" s="49" t="str">
        <f>IF(C2509="","","BAN-02508")</f>
        <v/>
      </c>
      <c r="B2509" s="98" t="str">
        <f>IF(C2509="","",2508)</f>
        <v/>
      </c>
      <c r="C2509" s="50"/>
      <c r="D2509" s="49" t="str">
        <f t="shared" si="79"/>
        <v/>
      </c>
      <c r="E2509" s="92"/>
      <c r="F2509" s="49"/>
      <c r="G2509" s="14"/>
      <c r="H2509" s="14"/>
      <c r="I2509" s="76"/>
      <c r="J2509" s="73"/>
      <c r="K2509" s="74"/>
      <c r="L2509" s="72"/>
      <c r="M2509" s="72"/>
      <c r="N2509" s="72" t="str">
        <f>IF(AND(C2509="",J2509=0,K2509=0,L2509=0,M2509=0),"",CADASTROS!$B$4+SUM($J$2:J2509)+SUM($M$2:M2509)-SUM($K$2:K2509)-SUM($L$2:L2509))</f>
        <v/>
      </c>
      <c r="O2509" s="72" t="str">
        <f>IF(A2509="","",SUMIF(RATEIOS!$A$2:$A$3142,$A2509,RATEIOS!$F$2:$F$3142))</f>
        <v/>
      </c>
      <c r="P2509" s="15" t="str">
        <f t="shared" si="80"/>
        <v/>
      </c>
      <c r="Q2509" s="49" t="str">
        <f>IF(AND(J2509=0,K2509=0,L2509=0,M2509=0),"",IF(O2509=0,"PENDENTE DE RATEIO",IF(ABS(P2509)&gt;0.005,"DIVERGÊNCIA",IF(COUNTIF(RATEIOS!$A$2:$A$3142,$A2509)-COUNTIFS(RATEIOS!$A$2:$A$3142,$A2509,RATEIOS!$D$2:$D$3142,"&lt;&gt;")&gt;0,"NÃO CLASSIFICADO","RATEIO OK"))))</f>
        <v/>
      </c>
      <c r="R2509" s="49"/>
      <c r="S2509" s="14"/>
    </row>
    <row r="2510" spans="1:19" ht="30" customHeight="1" x14ac:dyDescent="0.25">
      <c r="A2510" s="49" t="str">
        <f>IF(C2510="","","BAN-02509")</f>
        <v/>
      </c>
      <c r="B2510" s="98" t="str">
        <f>IF(C2510="","",2509)</f>
        <v/>
      </c>
      <c r="C2510" s="50"/>
      <c r="D2510" s="49" t="str">
        <f t="shared" si="79"/>
        <v/>
      </c>
      <c r="E2510" s="92"/>
      <c r="F2510" s="49"/>
      <c r="G2510" s="14"/>
      <c r="H2510" s="14"/>
      <c r="I2510" s="76"/>
      <c r="J2510" s="73"/>
      <c r="K2510" s="74"/>
      <c r="L2510" s="72"/>
      <c r="M2510" s="72"/>
      <c r="N2510" s="72" t="str">
        <f>IF(AND(C2510="",J2510=0,K2510=0,L2510=0,M2510=0),"",CADASTROS!$B$4+SUM($J$2:J2510)+SUM($M$2:M2510)-SUM($K$2:K2510)-SUM($L$2:L2510))</f>
        <v/>
      </c>
      <c r="O2510" s="72" t="str">
        <f>IF(A2510="","",SUMIF(RATEIOS!$A$2:$A$3142,$A2510,RATEIOS!$F$2:$F$3142))</f>
        <v/>
      </c>
      <c r="P2510" s="15" t="str">
        <f t="shared" si="80"/>
        <v/>
      </c>
      <c r="Q2510" s="49" t="str">
        <f>IF(AND(J2510=0,K2510=0,L2510=0,M2510=0),"",IF(O2510=0,"PENDENTE DE RATEIO",IF(ABS(P2510)&gt;0.005,"DIVERGÊNCIA",IF(COUNTIF(RATEIOS!$A$2:$A$3142,$A2510)-COUNTIFS(RATEIOS!$A$2:$A$3142,$A2510,RATEIOS!$D$2:$D$3142,"&lt;&gt;")&gt;0,"NÃO CLASSIFICADO","RATEIO OK"))))</f>
        <v/>
      </c>
      <c r="R2510" s="49"/>
      <c r="S2510" s="14"/>
    </row>
    <row r="2511" spans="1:19" ht="30" customHeight="1" x14ac:dyDescent="0.25">
      <c r="A2511" s="49" t="str">
        <f>IF(C2511="","","BAN-02510")</f>
        <v/>
      </c>
      <c r="B2511" s="98" t="str">
        <f>IF(C2511="","",2510)</f>
        <v/>
      </c>
      <c r="C2511" s="50"/>
      <c r="D2511" s="49" t="str">
        <f t="shared" si="79"/>
        <v/>
      </c>
      <c r="E2511" s="92"/>
      <c r="F2511" s="49"/>
      <c r="G2511" s="14"/>
      <c r="H2511" s="14"/>
      <c r="I2511" s="76"/>
      <c r="J2511" s="73"/>
      <c r="K2511" s="74"/>
      <c r="L2511" s="72"/>
      <c r="M2511" s="72"/>
      <c r="N2511" s="72" t="str">
        <f>IF(AND(C2511="",J2511=0,K2511=0,L2511=0,M2511=0),"",CADASTROS!$B$4+SUM($J$2:J2511)+SUM($M$2:M2511)-SUM($K$2:K2511)-SUM($L$2:L2511))</f>
        <v/>
      </c>
      <c r="O2511" s="72" t="str">
        <f>IF(A2511="","",SUMIF(RATEIOS!$A$2:$A$3142,$A2511,RATEIOS!$F$2:$F$3142))</f>
        <v/>
      </c>
      <c r="P2511" s="15" t="str">
        <f t="shared" si="80"/>
        <v/>
      </c>
      <c r="Q2511" s="49" t="str">
        <f>IF(AND(J2511=0,K2511=0,L2511=0,M2511=0),"",IF(O2511=0,"PENDENTE DE RATEIO",IF(ABS(P2511)&gt;0.005,"DIVERGÊNCIA",IF(COUNTIF(RATEIOS!$A$2:$A$3142,$A2511)-COUNTIFS(RATEIOS!$A$2:$A$3142,$A2511,RATEIOS!$D$2:$D$3142,"&lt;&gt;")&gt;0,"NÃO CLASSIFICADO","RATEIO OK"))))</f>
        <v/>
      </c>
      <c r="R2511" s="49"/>
      <c r="S2511" s="14"/>
    </row>
    <row r="2512" spans="1:19" ht="30" customHeight="1" x14ac:dyDescent="0.25">
      <c r="A2512" s="49" t="str">
        <f>IF(C2512="","","BAN-02511")</f>
        <v/>
      </c>
      <c r="B2512" s="98" t="str">
        <f>IF(C2512="","",2511)</f>
        <v/>
      </c>
      <c r="C2512" s="50"/>
      <c r="D2512" s="49" t="str">
        <f t="shared" si="79"/>
        <v/>
      </c>
      <c r="E2512" s="92"/>
      <c r="F2512" s="49"/>
      <c r="G2512" s="14"/>
      <c r="H2512" s="14"/>
      <c r="I2512" s="76"/>
      <c r="J2512" s="73"/>
      <c r="K2512" s="74"/>
      <c r="L2512" s="72"/>
      <c r="M2512" s="72"/>
      <c r="N2512" s="72" t="str">
        <f>IF(AND(C2512="",J2512=0,K2512=0,L2512=0,M2512=0),"",CADASTROS!$B$4+SUM($J$2:J2512)+SUM($M$2:M2512)-SUM($K$2:K2512)-SUM($L$2:L2512))</f>
        <v/>
      </c>
      <c r="O2512" s="72" t="str">
        <f>IF(A2512="","",SUMIF(RATEIOS!$A$2:$A$3142,$A2512,RATEIOS!$F$2:$F$3142))</f>
        <v/>
      </c>
      <c r="P2512" s="15" t="str">
        <f t="shared" si="80"/>
        <v/>
      </c>
      <c r="Q2512" s="49" t="str">
        <f>IF(AND(J2512=0,K2512=0,L2512=0,M2512=0),"",IF(O2512=0,"PENDENTE DE RATEIO",IF(ABS(P2512)&gt;0.005,"DIVERGÊNCIA",IF(COUNTIF(RATEIOS!$A$2:$A$3142,$A2512)-COUNTIFS(RATEIOS!$A$2:$A$3142,$A2512,RATEIOS!$D$2:$D$3142,"&lt;&gt;")&gt;0,"NÃO CLASSIFICADO","RATEIO OK"))))</f>
        <v/>
      </c>
      <c r="R2512" s="49"/>
      <c r="S2512" s="14"/>
    </row>
    <row r="2513" spans="1:19" ht="30" customHeight="1" x14ac:dyDescent="0.25">
      <c r="A2513" s="49" t="str">
        <f>IF(C2513="","","BAN-02512")</f>
        <v/>
      </c>
      <c r="B2513" s="98" t="str">
        <f>IF(C2513="","",2512)</f>
        <v/>
      </c>
      <c r="C2513" s="50"/>
      <c r="D2513" s="49" t="str">
        <f t="shared" si="79"/>
        <v/>
      </c>
      <c r="E2513" s="92"/>
      <c r="F2513" s="49"/>
      <c r="G2513" s="14"/>
      <c r="H2513" s="14"/>
      <c r="I2513" s="76"/>
      <c r="J2513" s="73"/>
      <c r="K2513" s="74"/>
      <c r="L2513" s="72"/>
      <c r="M2513" s="72"/>
      <c r="N2513" s="72" t="str">
        <f>IF(AND(C2513="",J2513=0,K2513=0,L2513=0,M2513=0),"",CADASTROS!$B$4+SUM($J$2:J2513)+SUM($M$2:M2513)-SUM($K$2:K2513)-SUM($L$2:L2513))</f>
        <v/>
      </c>
      <c r="O2513" s="72" t="str">
        <f>IF(A2513="","",SUMIF(RATEIOS!$A$2:$A$3142,$A2513,RATEIOS!$F$2:$F$3142))</f>
        <v/>
      </c>
      <c r="P2513" s="15" t="str">
        <f t="shared" si="80"/>
        <v/>
      </c>
      <c r="Q2513" s="49" t="str">
        <f>IF(AND(J2513=0,K2513=0,L2513=0,M2513=0),"",IF(O2513=0,"PENDENTE DE RATEIO",IF(ABS(P2513)&gt;0.005,"DIVERGÊNCIA",IF(COUNTIF(RATEIOS!$A$2:$A$3142,$A2513)-COUNTIFS(RATEIOS!$A$2:$A$3142,$A2513,RATEIOS!$D$2:$D$3142,"&lt;&gt;")&gt;0,"NÃO CLASSIFICADO","RATEIO OK"))))</f>
        <v/>
      </c>
      <c r="R2513" s="49"/>
      <c r="S2513" s="14"/>
    </row>
    <row r="2514" spans="1:19" ht="30" customHeight="1" x14ac:dyDescent="0.25">
      <c r="A2514" s="49" t="str">
        <f>IF(C2514="","","BAN-02513")</f>
        <v/>
      </c>
      <c r="B2514" s="98" t="str">
        <f>IF(C2514="","",2513)</f>
        <v/>
      </c>
      <c r="C2514" s="50"/>
      <c r="D2514" s="49" t="str">
        <f t="shared" si="79"/>
        <v/>
      </c>
      <c r="E2514" s="92"/>
      <c r="F2514" s="49"/>
      <c r="G2514" s="14"/>
      <c r="H2514" s="14"/>
      <c r="I2514" s="76"/>
      <c r="J2514" s="73"/>
      <c r="K2514" s="74"/>
      <c r="L2514" s="72"/>
      <c r="M2514" s="72"/>
      <c r="N2514" s="72" t="str">
        <f>IF(AND(C2514="",J2514=0,K2514=0,L2514=0,M2514=0),"",CADASTROS!$B$4+SUM($J$2:J2514)+SUM($M$2:M2514)-SUM($K$2:K2514)-SUM($L$2:L2514))</f>
        <v/>
      </c>
      <c r="O2514" s="72" t="str">
        <f>IF(A2514="","",SUMIF(RATEIOS!$A$2:$A$3142,$A2514,RATEIOS!$F$2:$F$3142))</f>
        <v/>
      </c>
      <c r="P2514" s="15" t="str">
        <f t="shared" si="80"/>
        <v/>
      </c>
      <c r="Q2514" s="49" t="str">
        <f>IF(AND(J2514=0,K2514=0,L2514=0,M2514=0),"",IF(O2514=0,"PENDENTE DE RATEIO",IF(ABS(P2514)&gt;0.005,"DIVERGÊNCIA",IF(COUNTIF(RATEIOS!$A$2:$A$3142,$A2514)-COUNTIFS(RATEIOS!$A$2:$A$3142,$A2514,RATEIOS!$D$2:$D$3142,"&lt;&gt;")&gt;0,"NÃO CLASSIFICADO","RATEIO OK"))))</f>
        <v/>
      </c>
      <c r="R2514" s="49"/>
      <c r="S2514" s="14"/>
    </row>
    <row r="2515" spans="1:19" ht="30" customHeight="1" x14ac:dyDescent="0.25">
      <c r="A2515" s="49" t="str">
        <f>IF(C2515="","","BAN-02514")</f>
        <v/>
      </c>
      <c r="B2515" s="98" t="str">
        <f>IF(C2515="","",2514)</f>
        <v/>
      </c>
      <c r="C2515" s="50"/>
      <c r="D2515" s="49" t="str">
        <f t="shared" si="79"/>
        <v/>
      </c>
      <c r="E2515" s="92"/>
      <c r="F2515" s="49"/>
      <c r="G2515" s="14"/>
      <c r="H2515" s="14"/>
      <c r="I2515" s="76"/>
      <c r="J2515" s="73"/>
      <c r="K2515" s="74"/>
      <c r="L2515" s="72"/>
      <c r="M2515" s="72"/>
      <c r="N2515" s="72" t="str">
        <f>IF(AND(C2515="",J2515=0,K2515=0,L2515=0,M2515=0),"",CADASTROS!$B$4+SUM($J$2:J2515)+SUM($M$2:M2515)-SUM($K$2:K2515)-SUM($L$2:L2515))</f>
        <v/>
      </c>
      <c r="O2515" s="72" t="str">
        <f>IF(A2515="","",SUMIF(RATEIOS!$A$2:$A$3142,$A2515,RATEIOS!$F$2:$F$3142))</f>
        <v/>
      </c>
      <c r="P2515" s="15" t="str">
        <f t="shared" si="80"/>
        <v/>
      </c>
      <c r="Q2515" s="49" t="str">
        <f>IF(AND(J2515=0,K2515=0,L2515=0,M2515=0),"",IF(O2515=0,"PENDENTE DE RATEIO",IF(ABS(P2515)&gt;0.005,"DIVERGÊNCIA",IF(COUNTIF(RATEIOS!$A$2:$A$3142,$A2515)-COUNTIFS(RATEIOS!$A$2:$A$3142,$A2515,RATEIOS!$D$2:$D$3142,"&lt;&gt;")&gt;0,"NÃO CLASSIFICADO","RATEIO OK"))))</f>
        <v/>
      </c>
      <c r="R2515" s="49"/>
      <c r="S2515" s="14"/>
    </row>
    <row r="2516" spans="1:19" ht="30" customHeight="1" x14ac:dyDescent="0.25">
      <c r="A2516" s="49" t="str">
        <f>IF(C2516="","","BAN-02515")</f>
        <v/>
      </c>
      <c r="B2516" s="98" t="str">
        <f>IF(C2516="","",2515)</f>
        <v/>
      </c>
      <c r="C2516" s="50"/>
      <c r="D2516" s="49" t="str">
        <f t="shared" si="79"/>
        <v/>
      </c>
      <c r="E2516" s="92"/>
      <c r="F2516" s="49"/>
      <c r="G2516" s="14"/>
      <c r="H2516" s="14"/>
      <c r="I2516" s="76"/>
      <c r="J2516" s="73"/>
      <c r="K2516" s="74"/>
      <c r="L2516" s="72"/>
      <c r="M2516" s="72"/>
      <c r="N2516" s="72" t="str">
        <f>IF(AND(C2516="",J2516=0,K2516=0,L2516=0,M2516=0),"",CADASTROS!$B$4+SUM($J$2:J2516)+SUM($M$2:M2516)-SUM($K$2:K2516)-SUM($L$2:L2516))</f>
        <v/>
      </c>
      <c r="O2516" s="72" t="str">
        <f>IF(A2516="","",SUMIF(RATEIOS!$A$2:$A$3142,$A2516,RATEIOS!$F$2:$F$3142))</f>
        <v/>
      </c>
      <c r="P2516" s="15" t="str">
        <f t="shared" si="80"/>
        <v/>
      </c>
      <c r="Q2516" s="49" t="str">
        <f>IF(AND(J2516=0,K2516=0,L2516=0,M2516=0),"",IF(O2516=0,"PENDENTE DE RATEIO",IF(ABS(P2516)&gt;0.005,"DIVERGÊNCIA",IF(COUNTIF(RATEIOS!$A$2:$A$3142,$A2516)-COUNTIFS(RATEIOS!$A$2:$A$3142,$A2516,RATEIOS!$D$2:$D$3142,"&lt;&gt;")&gt;0,"NÃO CLASSIFICADO","RATEIO OK"))))</f>
        <v/>
      </c>
      <c r="R2516" s="49"/>
      <c r="S2516" s="14"/>
    </row>
    <row r="2517" spans="1:19" ht="30" customHeight="1" x14ac:dyDescent="0.25">
      <c r="A2517" s="49" t="str">
        <f>IF(C2517="","","BAN-02516")</f>
        <v/>
      </c>
      <c r="B2517" s="98" t="str">
        <f>IF(C2517="","",2516)</f>
        <v/>
      </c>
      <c r="C2517" s="50"/>
      <c r="D2517" s="49" t="str">
        <f t="shared" si="79"/>
        <v/>
      </c>
      <c r="E2517" s="92"/>
      <c r="F2517" s="49"/>
      <c r="G2517" s="14"/>
      <c r="H2517" s="14"/>
      <c r="I2517" s="76"/>
      <c r="J2517" s="73"/>
      <c r="K2517" s="74"/>
      <c r="L2517" s="72"/>
      <c r="M2517" s="72"/>
      <c r="N2517" s="72" t="str">
        <f>IF(AND(C2517="",J2517=0,K2517=0,L2517=0,M2517=0),"",CADASTROS!$B$4+SUM($J$2:J2517)+SUM($M$2:M2517)-SUM($K$2:K2517)-SUM($L$2:L2517))</f>
        <v/>
      </c>
      <c r="O2517" s="72" t="str">
        <f>IF(A2517="","",SUMIF(RATEIOS!$A$2:$A$3142,$A2517,RATEIOS!$F$2:$F$3142))</f>
        <v/>
      </c>
      <c r="P2517" s="15" t="str">
        <f t="shared" si="80"/>
        <v/>
      </c>
      <c r="Q2517" s="49" t="str">
        <f>IF(AND(J2517=0,K2517=0,L2517=0,M2517=0),"",IF(O2517=0,"PENDENTE DE RATEIO",IF(ABS(P2517)&gt;0.005,"DIVERGÊNCIA",IF(COUNTIF(RATEIOS!$A$2:$A$3142,$A2517)-COUNTIFS(RATEIOS!$A$2:$A$3142,$A2517,RATEIOS!$D$2:$D$3142,"&lt;&gt;")&gt;0,"NÃO CLASSIFICADO","RATEIO OK"))))</f>
        <v/>
      </c>
      <c r="R2517" s="49"/>
      <c r="S2517" s="14"/>
    </row>
    <row r="2518" spans="1:19" ht="30" customHeight="1" x14ac:dyDescent="0.25">
      <c r="A2518" s="49" t="str">
        <f>IF(C2518="","","BAN-02517")</f>
        <v/>
      </c>
      <c r="B2518" s="98" t="str">
        <f>IF(C2518="","",2517)</f>
        <v/>
      </c>
      <c r="C2518" s="50"/>
      <c r="D2518" s="49" t="str">
        <f t="shared" si="79"/>
        <v/>
      </c>
      <c r="E2518" s="92"/>
      <c r="F2518" s="49"/>
      <c r="G2518" s="14"/>
      <c r="H2518" s="14"/>
      <c r="I2518" s="76"/>
      <c r="J2518" s="73"/>
      <c r="K2518" s="74"/>
      <c r="L2518" s="72"/>
      <c r="M2518" s="72"/>
      <c r="N2518" s="72" t="str">
        <f>IF(AND(C2518="",J2518=0,K2518=0,L2518=0,M2518=0),"",CADASTROS!$B$4+SUM($J$2:J2518)+SUM($M$2:M2518)-SUM($K$2:K2518)-SUM($L$2:L2518))</f>
        <v/>
      </c>
      <c r="O2518" s="72" t="str">
        <f>IF(A2518="","",SUMIF(RATEIOS!$A$2:$A$3142,$A2518,RATEIOS!$F$2:$F$3142))</f>
        <v/>
      </c>
      <c r="P2518" s="15" t="str">
        <f t="shared" si="80"/>
        <v/>
      </c>
      <c r="Q2518" s="49" t="str">
        <f>IF(AND(J2518=0,K2518=0,L2518=0,M2518=0),"",IF(O2518=0,"PENDENTE DE RATEIO",IF(ABS(P2518)&gt;0.005,"DIVERGÊNCIA",IF(COUNTIF(RATEIOS!$A$2:$A$3142,$A2518)-COUNTIFS(RATEIOS!$A$2:$A$3142,$A2518,RATEIOS!$D$2:$D$3142,"&lt;&gt;")&gt;0,"NÃO CLASSIFICADO","RATEIO OK"))))</f>
        <v/>
      </c>
      <c r="R2518" s="49"/>
      <c r="S2518" s="14"/>
    </row>
    <row r="2519" spans="1:19" ht="30" customHeight="1" x14ac:dyDescent="0.25">
      <c r="A2519" s="49" t="str">
        <f>IF(C2519="","","BAN-02518")</f>
        <v/>
      </c>
      <c r="B2519" s="98" t="str">
        <f>IF(C2519="","",2518)</f>
        <v/>
      </c>
      <c r="C2519" s="50"/>
      <c r="D2519" s="49" t="str">
        <f t="shared" si="79"/>
        <v/>
      </c>
      <c r="E2519" s="92"/>
      <c r="F2519" s="49"/>
      <c r="G2519" s="14"/>
      <c r="H2519" s="14"/>
      <c r="I2519" s="76"/>
      <c r="J2519" s="73"/>
      <c r="K2519" s="74"/>
      <c r="L2519" s="72"/>
      <c r="M2519" s="72"/>
      <c r="N2519" s="72" t="str">
        <f>IF(AND(C2519="",J2519=0,K2519=0,L2519=0,M2519=0),"",CADASTROS!$B$4+SUM($J$2:J2519)+SUM($M$2:M2519)-SUM($K$2:K2519)-SUM($L$2:L2519))</f>
        <v/>
      </c>
      <c r="O2519" s="72" t="str">
        <f>IF(A2519="","",SUMIF(RATEIOS!$A$2:$A$3142,$A2519,RATEIOS!$F$2:$F$3142))</f>
        <v/>
      </c>
      <c r="P2519" s="15" t="str">
        <f t="shared" si="80"/>
        <v/>
      </c>
      <c r="Q2519" s="49" t="str">
        <f>IF(AND(J2519=0,K2519=0,L2519=0,M2519=0),"",IF(O2519=0,"PENDENTE DE RATEIO",IF(ABS(P2519)&gt;0.005,"DIVERGÊNCIA",IF(COUNTIF(RATEIOS!$A$2:$A$3142,$A2519)-COUNTIFS(RATEIOS!$A$2:$A$3142,$A2519,RATEIOS!$D$2:$D$3142,"&lt;&gt;")&gt;0,"NÃO CLASSIFICADO","RATEIO OK"))))</f>
        <v/>
      </c>
      <c r="R2519" s="49"/>
      <c r="S2519" s="14"/>
    </row>
    <row r="2520" spans="1:19" ht="30" customHeight="1" x14ac:dyDescent="0.25">
      <c r="A2520" s="49" t="str">
        <f>IF(C2520="","","BAN-02519")</f>
        <v/>
      </c>
      <c r="B2520" s="98" t="str">
        <f>IF(C2520="","",2519)</f>
        <v/>
      </c>
      <c r="C2520" s="50"/>
      <c r="D2520" s="49" t="str">
        <f t="shared" si="79"/>
        <v/>
      </c>
      <c r="E2520" s="92"/>
      <c r="F2520" s="49"/>
      <c r="G2520" s="14"/>
      <c r="H2520" s="14"/>
      <c r="I2520" s="76"/>
      <c r="J2520" s="73"/>
      <c r="K2520" s="74"/>
      <c r="L2520" s="72"/>
      <c r="M2520" s="72"/>
      <c r="N2520" s="72" t="str">
        <f>IF(AND(C2520="",J2520=0,K2520=0,L2520=0,M2520=0),"",CADASTROS!$B$4+SUM($J$2:J2520)+SUM($M$2:M2520)-SUM($K$2:K2520)-SUM($L$2:L2520))</f>
        <v/>
      </c>
      <c r="O2520" s="72" t="str">
        <f>IF(A2520="","",SUMIF(RATEIOS!$A$2:$A$3142,$A2520,RATEIOS!$F$2:$F$3142))</f>
        <v/>
      </c>
      <c r="P2520" s="15" t="str">
        <f t="shared" si="80"/>
        <v/>
      </c>
      <c r="Q2520" s="49" t="str">
        <f>IF(AND(J2520=0,K2520=0,L2520=0,M2520=0),"",IF(O2520=0,"PENDENTE DE RATEIO",IF(ABS(P2520)&gt;0.005,"DIVERGÊNCIA",IF(COUNTIF(RATEIOS!$A$2:$A$3142,$A2520)-COUNTIFS(RATEIOS!$A$2:$A$3142,$A2520,RATEIOS!$D$2:$D$3142,"&lt;&gt;")&gt;0,"NÃO CLASSIFICADO","RATEIO OK"))))</f>
        <v/>
      </c>
      <c r="R2520" s="49"/>
      <c r="S2520" s="14"/>
    </row>
    <row r="2521" spans="1:19" ht="30" customHeight="1" x14ac:dyDescent="0.25">
      <c r="A2521" s="49" t="str">
        <f>IF(C2521="","","BAN-02520")</f>
        <v/>
      </c>
      <c r="B2521" s="98" t="str">
        <f>IF(C2521="","",2520)</f>
        <v/>
      </c>
      <c r="C2521" s="50"/>
      <c r="D2521" s="49" t="str">
        <f t="shared" si="79"/>
        <v/>
      </c>
      <c r="E2521" s="92"/>
      <c r="F2521" s="49"/>
      <c r="G2521" s="14"/>
      <c r="H2521" s="14"/>
      <c r="I2521" s="76"/>
      <c r="J2521" s="73"/>
      <c r="K2521" s="74"/>
      <c r="L2521" s="72"/>
      <c r="M2521" s="72"/>
      <c r="N2521" s="72" t="str">
        <f>IF(AND(C2521="",J2521=0,K2521=0,L2521=0,M2521=0),"",CADASTROS!$B$4+SUM($J$2:J2521)+SUM($M$2:M2521)-SUM($K$2:K2521)-SUM($L$2:L2521))</f>
        <v/>
      </c>
      <c r="O2521" s="72" t="str">
        <f>IF(A2521="","",SUMIF(RATEIOS!$A$2:$A$3142,$A2521,RATEIOS!$F$2:$F$3142))</f>
        <v/>
      </c>
      <c r="P2521" s="15" t="str">
        <f t="shared" si="80"/>
        <v/>
      </c>
      <c r="Q2521" s="49" t="str">
        <f>IF(AND(J2521=0,K2521=0,L2521=0,M2521=0),"",IF(O2521=0,"PENDENTE DE RATEIO",IF(ABS(P2521)&gt;0.005,"DIVERGÊNCIA",IF(COUNTIF(RATEIOS!$A$2:$A$3142,$A2521)-COUNTIFS(RATEIOS!$A$2:$A$3142,$A2521,RATEIOS!$D$2:$D$3142,"&lt;&gt;")&gt;0,"NÃO CLASSIFICADO","RATEIO OK"))))</f>
        <v/>
      </c>
      <c r="R2521" s="49"/>
      <c r="S2521" s="14"/>
    </row>
    <row r="2522" spans="1:19" ht="30" customHeight="1" x14ac:dyDescent="0.25">
      <c r="A2522" s="49" t="str">
        <f>IF(C2522="","","BAN-02521")</f>
        <v/>
      </c>
      <c r="B2522" s="98" t="str">
        <f>IF(C2522="","",2521)</f>
        <v/>
      </c>
      <c r="C2522" s="50"/>
      <c r="D2522" s="49" t="str">
        <f t="shared" si="79"/>
        <v/>
      </c>
      <c r="E2522" s="92"/>
      <c r="F2522" s="49"/>
      <c r="G2522" s="14"/>
      <c r="H2522" s="14"/>
      <c r="I2522" s="76"/>
      <c r="J2522" s="73"/>
      <c r="K2522" s="74"/>
      <c r="L2522" s="72"/>
      <c r="M2522" s="72"/>
      <c r="N2522" s="72" t="str">
        <f>IF(AND(C2522="",J2522=0,K2522=0,L2522=0,M2522=0),"",CADASTROS!$B$4+SUM($J$2:J2522)+SUM($M$2:M2522)-SUM($K$2:K2522)-SUM($L$2:L2522))</f>
        <v/>
      </c>
      <c r="O2522" s="72" t="str">
        <f>IF(A2522="","",SUMIF(RATEIOS!$A$2:$A$3142,$A2522,RATEIOS!$F$2:$F$3142))</f>
        <v/>
      </c>
      <c r="P2522" s="15" t="str">
        <f t="shared" si="80"/>
        <v/>
      </c>
      <c r="Q2522" s="49" t="str">
        <f>IF(AND(J2522=0,K2522=0,L2522=0,M2522=0),"",IF(O2522=0,"PENDENTE DE RATEIO",IF(ABS(P2522)&gt;0.005,"DIVERGÊNCIA",IF(COUNTIF(RATEIOS!$A$2:$A$3142,$A2522)-COUNTIFS(RATEIOS!$A$2:$A$3142,$A2522,RATEIOS!$D$2:$D$3142,"&lt;&gt;")&gt;0,"NÃO CLASSIFICADO","RATEIO OK"))))</f>
        <v/>
      </c>
      <c r="R2522" s="49"/>
      <c r="S2522" s="14"/>
    </row>
    <row r="2523" spans="1:19" ht="30" customHeight="1" x14ac:dyDescent="0.25">
      <c r="A2523" s="49" t="str">
        <f>IF(C2523="","","BAN-02522")</f>
        <v/>
      </c>
      <c r="B2523" s="98" t="str">
        <f>IF(C2523="","",2522)</f>
        <v/>
      </c>
      <c r="C2523" s="50"/>
      <c r="D2523" s="49" t="str">
        <f t="shared" si="79"/>
        <v/>
      </c>
      <c r="E2523" s="92"/>
      <c r="F2523" s="49"/>
      <c r="G2523" s="14"/>
      <c r="H2523" s="14"/>
      <c r="I2523" s="76"/>
      <c r="J2523" s="73"/>
      <c r="K2523" s="74"/>
      <c r="L2523" s="72"/>
      <c r="M2523" s="72"/>
      <c r="N2523" s="72" t="str">
        <f>IF(AND(C2523="",J2523=0,K2523=0,L2523=0,M2523=0),"",CADASTROS!$B$4+SUM($J$2:J2523)+SUM($M$2:M2523)-SUM($K$2:K2523)-SUM($L$2:L2523))</f>
        <v/>
      </c>
      <c r="O2523" s="72" t="str">
        <f>IF(A2523="","",SUMIF(RATEIOS!$A$2:$A$3142,$A2523,RATEIOS!$F$2:$F$3142))</f>
        <v/>
      </c>
      <c r="P2523" s="15" t="str">
        <f t="shared" si="80"/>
        <v/>
      </c>
      <c r="Q2523" s="49" t="str">
        <f>IF(AND(J2523=0,K2523=0,L2523=0,M2523=0),"",IF(O2523=0,"PENDENTE DE RATEIO",IF(ABS(P2523)&gt;0.005,"DIVERGÊNCIA",IF(COUNTIF(RATEIOS!$A$2:$A$3142,$A2523)-COUNTIFS(RATEIOS!$A$2:$A$3142,$A2523,RATEIOS!$D$2:$D$3142,"&lt;&gt;")&gt;0,"NÃO CLASSIFICADO","RATEIO OK"))))</f>
        <v/>
      </c>
      <c r="R2523" s="49"/>
      <c r="S2523" s="14"/>
    </row>
    <row r="2524" spans="1:19" ht="30" customHeight="1" x14ac:dyDescent="0.25">
      <c r="A2524" s="49" t="str">
        <f>IF(C2524="","","BAN-02523")</f>
        <v/>
      </c>
      <c r="B2524" s="98" t="str">
        <f>IF(C2524="","",2523)</f>
        <v/>
      </c>
      <c r="C2524" s="50"/>
      <c r="D2524" s="49" t="str">
        <f t="shared" si="79"/>
        <v/>
      </c>
      <c r="E2524" s="92"/>
      <c r="F2524" s="49"/>
      <c r="G2524" s="14"/>
      <c r="H2524" s="14"/>
      <c r="I2524" s="76"/>
      <c r="J2524" s="73"/>
      <c r="K2524" s="74"/>
      <c r="L2524" s="72"/>
      <c r="M2524" s="72"/>
      <c r="N2524" s="72" t="str">
        <f>IF(AND(C2524="",J2524=0,K2524=0,L2524=0,M2524=0),"",CADASTROS!$B$4+SUM($J$2:J2524)+SUM($M$2:M2524)-SUM($K$2:K2524)-SUM($L$2:L2524))</f>
        <v/>
      </c>
      <c r="O2524" s="72" t="str">
        <f>IF(A2524="","",SUMIF(RATEIOS!$A$2:$A$3142,$A2524,RATEIOS!$F$2:$F$3142))</f>
        <v/>
      </c>
      <c r="P2524" s="15" t="str">
        <f t="shared" si="80"/>
        <v/>
      </c>
      <c r="Q2524" s="49" t="str">
        <f>IF(AND(J2524=0,K2524=0,L2524=0,M2524=0),"",IF(O2524=0,"PENDENTE DE RATEIO",IF(ABS(P2524)&gt;0.005,"DIVERGÊNCIA",IF(COUNTIF(RATEIOS!$A$2:$A$3142,$A2524)-COUNTIFS(RATEIOS!$A$2:$A$3142,$A2524,RATEIOS!$D$2:$D$3142,"&lt;&gt;")&gt;0,"NÃO CLASSIFICADO","RATEIO OK"))))</f>
        <v/>
      </c>
      <c r="R2524" s="49"/>
      <c r="S2524" s="14"/>
    </row>
    <row r="2525" spans="1:19" ht="30" customHeight="1" x14ac:dyDescent="0.25">
      <c r="A2525" s="49" t="str">
        <f>IF(C2525="","","BAN-02524")</f>
        <v/>
      </c>
      <c r="B2525" s="98" t="str">
        <f>IF(C2525="","",2524)</f>
        <v/>
      </c>
      <c r="C2525" s="50"/>
      <c r="D2525" s="49" t="str">
        <f t="shared" si="79"/>
        <v/>
      </c>
      <c r="E2525" s="92"/>
      <c r="F2525" s="49"/>
      <c r="G2525" s="14"/>
      <c r="H2525" s="14"/>
      <c r="I2525" s="76"/>
      <c r="J2525" s="73"/>
      <c r="K2525" s="74"/>
      <c r="L2525" s="72"/>
      <c r="M2525" s="72"/>
      <c r="N2525" s="72" t="str">
        <f>IF(AND(C2525="",J2525=0,K2525=0,L2525=0,M2525=0),"",CADASTROS!$B$4+SUM($J$2:J2525)+SUM($M$2:M2525)-SUM($K$2:K2525)-SUM($L$2:L2525))</f>
        <v/>
      </c>
      <c r="O2525" s="72" t="str">
        <f>IF(A2525="","",SUMIF(RATEIOS!$A$2:$A$3142,$A2525,RATEIOS!$F$2:$F$3142))</f>
        <v/>
      </c>
      <c r="P2525" s="15" t="str">
        <f t="shared" si="80"/>
        <v/>
      </c>
      <c r="Q2525" s="49" t="str">
        <f>IF(AND(J2525=0,K2525=0,L2525=0,M2525=0),"",IF(O2525=0,"PENDENTE DE RATEIO",IF(ABS(P2525)&gt;0.005,"DIVERGÊNCIA",IF(COUNTIF(RATEIOS!$A$2:$A$3142,$A2525)-COUNTIFS(RATEIOS!$A$2:$A$3142,$A2525,RATEIOS!$D$2:$D$3142,"&lt;&gt;")&gt;0,"NÃO CLASSIFICADO","RATEIO OK"))))</f>
        <v/>
      </c>
      <c r="R2525" s="49"/>
      <c r="S2525" s="14"/>
    </row>
    <row r="2526" spans="1:19" ht="30" customHeight="1" x14ac:dyDescent="0.25">
      <c r="A2526" s="49" t="str">
        <f>IF(C2526="","","BAN-02525")</f>
        <v/>
      </c>
      <c r="B2526" s="98" t="str">
        <f>IF(C2526="","",2525)</f>
        <v/>
      </c>
      <c r="C2526" s="50"/>
      <c r="D2526" s="49" t="str">
        <f t="shared" si="79"/>
        <v/>
      </c>
      <c r="E2526" s="92"/>
      <c r="F2526" s="49"/>
      <c r="G2526" s="14"/>
      <c r="H2526" s="14"/>
      <c r="I2526" s="76"/>
      <c r="J2526" s="73"/>
      <c r="K2526" s="74"/>
      <c r="L2526" s="72"/>
      <c r="M2526" s="72"/>
      <c r="N2526" s="72" t="str">
        <f>IF(AND(C2526="",J2526=0,K2526=0,L2526=0,M2526=0),"",CADASTROS!$B$4+SUM($J$2:J2526)+SUM($M$2:M2526)-SUM($K$2:K2526)-SUM($L$2:L2526))</f>
        <v/>
      </c>
      <c r="O2526" s="72" t="str">
        <f>IF(A2526="","",SUMIF(RATEIOS!$A$2:$A$3142,$A2526,RATEIOS!$F$2:$F$3142))</f>
        <v/>
      </c>
      <c r="P2526" s="15" t="str">
        <f t="shared" si="80"/>
        <v/>
      </c>
      <c r="Q2526" s="49" t="str">
        <f>IF(AND(J2526=0,K2526=0,L2526=0,M2526=0),"",IF(O2526=0,"PENDENTE DE RATEIO",IF(ABS(P2526)&gt;0.005,"DIVERGÊNCIA",IF(COUNTIF(RATEIOS!$A$2:$A$3142,$A2526)-COUNTIFS(RATEIOS!$A$2:$A$3142,$A2526,RATEIOS!$D$2:$D$3142,"&lt;&gt;")&gt;0,"NÃO CLASSIFICADO","RATEIO OK"))))</f>
        <v/>
      </c>
      <c r="R2526" s="49"/>
      <c r="S2526" s="14"/>
    </row>
    <row r="2527" spans="1:19" ht="30" customHeight="1" x14ac:dyDescent="0.25">
      <c r="A2527" s="49" t="str">
        <f>IF(C2527="","","BAN-02526")</f>
        <v/>
      </c>
      <c r="B2527" s="98" t="str">
        <f>IF(C2527="","",2526)</f>
        <v/>
      </c>
      <c r="C2527" s="50"/>
      <c r="D2527" s="49" t="str">
        <f t="shared" si="79"/>
        <v/>
      </c>
      <c r="E2527" s="92"/>
      <c r="F2527" s="49"/>
      <c r="G2527" s="14"/>
      <c r="H2527" s="14"/>
      <c r="I2527" s="76"/>
      <c r="J2527" s="73"/>
      <c r="K2527" s="74"/>
      <c r="L2527" s="72"/>
      <c r="M2527" s="72"/>
      <c r="N2527" s="72" t="str">
        <f>IF(AND(C2527="",J2527=0,K2527=0,L2527=0,M2527=0),"",CADASTROS!$B$4+SUM($J$2:J2527)+SUM($M$2:M2527)-SUM($K$2:K2527)-SUM($L$2:L2527))</f>
        <v/>
      </c>
      <c r="O2527" s="72" t="str">
        <f>IF(A2527="","",SUMIF(RATEIOS!$A$2:$A$3142,$A2527,RATEIOS!$F$2:$F$3142))</f>
        <v/>
      </c>
      <c r="P2527" s="15" t="str">
        <f t="shared" si="80"/>
        <v/>
      </c>
      <c r="Q2527" s="49" t="str">
        <f>IF(AND(J2527=0,K2527=0,L2527=0,M2527=0),"",IF(O2527=0,"PENDENTE DE RATEIO",IF(ABS(P2527)&gt;0.005,"DIVERGÊNCIA",IF(COUNTIF(RATEIOS!$A$2:$A$3142,$A2527)-COUNTIFS(RATEIOS!$A$2:$A$3142,$A2527,RATEIOS!$D$2:$D$3142,"&lt;&gt;")&gt;0,"NÃO CLASSIFICADO","RATEIO OK"))))</f>
        <v/>
      </c>
      <c r="R2527" s="49"/>
      <c r="S2527" s="14"/>
    </row>
    <row r="2528" spans="1:19" ht="30" customHeight="1" x14ac:dyDescent="0.25">
      <c r="A2528" s="49" t="str">
        <f>IF(C2528="","","BAN-02527")</f>
        <v/>
      </c>
      <c r="B2528" s="98" t="str">
        <f>IF(C2528="","",2527)</f>
        <v/>
      </c>
      <c r="C2528" s="50"/>
      <c r="D2528" s="49" t="str">
        <f t="shared" si="79"/>
        <v/>
      </c>
      <c r="E2528" s="92"/>
      <c r="F2528" s="49"/>
      <c r="G2528" s="14"/>
      <c r="H2528" s="14"/>
      <c r="I2528" s="76"/>
      <c r="J2528" s="73"/>
      <c r="K2528" s="74"/>
      <c r="L2528" s="72"/>
      <c r="M2528" s="72"/>
      <c r="N2528" s="72" t="str">
        <f>IF(AND(C2528="",J2528=0,K2528=0,L2528=0,M2528=0),"",CADASTROS!$B$4+SUM($J$2:J2528)+SUM($M$2:M2528)-SUM($K$2:K2528)-SUM($L$2:L2528))</f>
        <v/>
      </c>
      <c r="O2528" s="72" t="str">
        <f>IF(A2528="","",SUMIF(RATEIOS!$A$2:$A$3142,$A2528,RATEIOS!$F$2:$F$3142))</f>
        <v/>
      </c>
      <c r="P2528" s="15" t="str">
        <f t="shared" si="80"/>
        <v/>
      </c>
      <c r="Q2528" s="49" t="str">
        <f>IF(AND(J2528=0,K2528=0,L2528=0,M2528=0),"",IF(O2528=0,"PENDENTE DE RATEIO",IF(ABS(P2528)&gt;0.005,"DIVERGÊNCIA",IF(COUNTIF(RATEIOS!$A$2:$A$3142,$A2528)-COUNTIFS(RATEIOS!$A$2:$A$3142,$A2528,RATEIOS!$D$2:$D$3142,"&lt;&gt;")&gt;0,"NÃO CLASSIFICADO","RATEIO OK"))))</f>
        <v/>
      </c>
      <c r="R2528" s="49"/>
      <c r="S2528" s="14"/>
    </row>
    <row r="2529" spans="1:19" ht="30" customHeight="1" x14ac:dyDescent="0.25">
      <c r="A2529" s="49" t="str">
        <f>IF(C2529="","","BAN-02528")</f>
        <v/>
      </c>
      <c r="B2529" s="98" t="str">
        <f>IF(C2529="","",2528)</f>
        <v/>
      </c>
      <c r="C2529" s="50"/>
      <c r="D2529" s="49" t="str">
        <f t="shared" si="79"/>
        <v/>
      </c>
      <c r="E2529" s="92"/>
      <c r="F2529" s="49"/>
      <c r="G2529" s="14"/>
      <c r="H2529" s="14"/>
      <c r="I2529" s="76"/>
      <c r="J2529" s="73"/>
      <c r="K2529" s="74"/>
      <c r="L2529" s="72"/>
      <c r="M2529" s="72"/>
      <c r="N2529" s="72" t="str">
        <f>IF(AND(C2529="",J2529=0,K2529=0,L2529=0,M2529=0),"",CADASTROS!$B$4+SUM($J$2:J2529)+SUM($M$2:M2529)-SUM($K$2:K2529)-SUM($L$2:L2529))</f>
        <v/>
      </c>
      <c r="O2529" s="72" t="str">
        <f>IF(A2529="","",SUMIF(RATEIOS!$A$2:$A$3142,$A2529,RATEIOS!$F$2:$F$3142))</f>
        <v/>
      </c>
      <c r="P2529" s="15" t="str">
        <f t="shared" si="80"/>
        <v/>
      </c>
      <c r="Q2529" s="49" t="str">
        <f>IF(AND(J2529=0,K2529=0,L2529=0,M2529=0),"",IF(O2529=0,"PENDENTE DE RATEIO",IF(ABS(P2529)&gt;0.005,"DIVERGÊNCIA",IF(COUNTIF(RATEIOS!$A$2:$A$3142,$A2529)-COUNTIFS(RATEIOS!$A$2:$A$3142,$A2529,RATEIOS!$D$2:$D$3142,"&lt;&gt;")&gt;0,"NÃO CLASSIFICADO","RATEIO OK"))))</f>
        <v/>
      </c>
      <c r="R2529" s="49"/>
      <c r="S2529" s="14"/>
    </row>
    <row r="2530" spans="1:19" ht="30" customHeight="1" x14ac:dyDescent="0.25">
      <c r="A2530" s="49" t="str">
        <f>IF(C2530="","","BAN-02529")</f>
        <v/>
      </c>
      <c r="B2530" s="98" t="str">
        <f>IF(C2530="","",2529)</f>
        <v/>
      </c>
      <c r="C2530" s="50"/>
      <c r="D2530" s="49" t="str">
        <f t="shared" si="79"/>
        <v/>
      </c>
      <c r="E2530" s="92"/>
      <c r="F2530" s="49"/>
      <c r="G2530" s="14"/>
      <c r="H2530" s="14"/>
      <c r="I2530" s="76"/>
      <c r="J2530" s="73"/>
      <c r="K2530" s="74"/>
      <c r="L2530" s="72"/>
      <c r="M2530" s="72"/>
      <c r="N2530" s="72" t="str">
        <f>IF(AND(C2530="",J2530=0,K2530=0,L2530=0,M2530=0),"",CADASTROS!$B$4+SUM($J$2:J2530)+SUM($M$2:M2530)-SUM($K$2:K2530)-SUM($L$2:L2530))</f>
        <v/>
      </c>
      <c r="O2530" s="72" t="str">
        <f>IF(A2530="","",SUMIF(RATEIOS!$A$2:$A$3142,$A2530,RATEIOS!$F$2:$F$3142))</f>
        <v/>
      </c>
      <c r="P2530" s="15" t="str">
        <f t="shared" si="80"/>
        <v/>
      </c>
      <c r="Q2530" s="49" t="str">
        <f>IF(AND(J2530=0,K2530=0,L2530=0,M2530=0),"",IF(O2530=0,"PENDENTE DE RATEIO",IF(ABS(P2530)&gt;0.005,"DIVERGÊNCIA",IF(COUNTIF(RATEIOS!$A$2:$A$3142,$A2530)-COUNTIFS(RATEIOS!$A$2:$A$3142,$A2530,RATEIOS!$D$2:$D$3142,"&lt;&gt;")&gt;0,"NÃO CLASSIFICADO","RATEIO OK"))))</f>
        <v/>
      </c>
      <c r="R2530" s="49"/>
      <c r="S2530" s="14"/>
    </row>
    <row r="2531" spans="1:19" ht="30" customHeight="1" x14ac:dyDescent="0.25">
      <c r="A2531" s="49" t="str">
        <f>IF(C2531="","","BAN-02530")</f>
        <v/>
      </c>
      <c r="B2531" s="98" t="str">
        <f>IF(C2531="","",2530)</f>
        <v/>
      </c>
      <c r="C2531" s="50"/>
      <c r="D2531" s="49" t="str">
        <f t="shared" si="79"/>
        <v/>
      </c>
      <c r="E2531" s="92"/>
      <c r="F2531" s="49"/>
      <c r="G2531" s="14"/>
      <c r="H2531" s="14"/>
      <c r="I2531" s="76"/>
      <c r="J2531" s="73"/>
      <c r="K2531" s="74"/>
      <c r="L2531" s="72"/>
      <c r="M2531" s="72"/>
      <c r="N2531" s="72" t="str">
        <f>IF(AND(C2531="",J2531=0,K2531=0,L2531=0,M2531=0),"",CADASTROS!$B$4+SUM($J$2:J2531)+SUM($M$2:M2531)-SUM($K$2:K2531)-SUM($L$2:L2531))</f>
        <v/>
      </c>
      <c r="O2531" s="72" t="str">
        <f>IF(A2531="","",SUMIF(RATEIOS!$A$2:$A$3142,$A2531,RATEIOS!$F$2:$F$3142))</f>
        <v/>
      </c>
      <c r="P2531" s="15" t="str">
        <f t="shared" si="80"/>
        <v/>
      </c>
      <c r="Q2531" s="49" t="str">
        <f>IF(AND(J2531=0,K2531=0,L2531=0,M2531=0),"",IF(O2531=0,"PENDENTE DE RATEIO",IF(ABS(P2531)&gt;0.005,"DIVERGÊNCIA",IF(COUNTIF(RATEIOS!$A$2:$A$3142,$A2531)-COUNTIFS(RATEIOS!$A$2:$A$3142,$A2531,RATEIOS!$D$2:$D$3142,"&lt;&gt;")&gt;0,"NÃO CLASSIFICADO","RATEIO OK"))))</f>
        <v/>
      </c>
      <c r="R2531" s="49"/>
      <c r="S2531" s="14"/>
    </row>
    <row r="2532" spans="1:19" ht="30" customHeight="1" x14ac:dyDescent="0.25">
      <c r="A2532" s="49" t="str">
        <f>IF(C2532="","","BAN-02531")</f>
        <v/>
      </c>
      <c r="B2532" s="98" t="str">
        <f>IF(C2532="","",2531)</f>
        <v/>
      </c>
      <c r="C2532" s="50"/>
      <c r="D2532" s="49" t="str">
        <f t="shared" si="79"/>
        <v/>
      </c>
      <c r="E2532" s="92"/>
      <c r="F2532" s="49"/>
      <c r="G2532" s="14"/>
      <c r="H2532" s="14"/>
      <c r="I2532" s="76"/>
      <c r="J2532" s="73"/>
      <c r="K2532" s="74"/>
      <c r="L2532" s="72"/>
      <c r="M2532" s="72"/>
      <c r="N2532" s="72" t="str">
        <f>IF(AND(C2532="",J2532=0,K2532=0,L2532=0,M2532=0),"",CADASTROS!$B$4+SUM($J$2:J2532)+SUM($M$2:M2532)-SUM($K$2:K2532)-SUM($L$2:L2532))</f>
        <v/>
      </c>
      <c r="O2532" s="72" t="str">
        <f>IF(A2532="","",SUMIF(RATEIOS!$A$2:$A$3142,$A2532,RATEIOS!$F$2:$F$3142))</f>
        <v/>
      </c>
      <c r="P2532" s="15" t="str">
        <f t="shared" si="80"/>
        <v/>
      </c>
      <c r="Q2532" s="49" t="str">
        <f>IF(AND(J2532=0,K2532=0,L2532=0,M2532=0),"",IF(O2532=0,"PENDENTE DE RATEIO",IF(ABS(P2532)&gt;0.005,"DIVERGÊNCIA",IF(COUNTIF(RATEIOS!$A$2:$A$3142,$A2532)-COUNTIFS(RATEIOS!$A$2:$A$3142,$A2532,RATEIOS!$D$2:$D$3142,"&lt;&gt;")&gt;0,"NÃO CLASSIFICADO","RATEIO OK"))))</f>
        <v/>
      </c>
      <c r="R2532" s="49"/>
      <c r="S2532" s="14"/>
    </row>
    <row r="2533" spans="1:19" ht="30" customHeight="1" x14ac:dyDescent="0.25">
      <c r="A2533" s="49" t="str">
        <f>IF(C2533="","","BAN-02532")</f>
        <v/>
      </c>
      <c r="B2533" s="98" t="str">
        <f>IF(C2533="","",2532)</f>
        <v/>
      </c>
      <c r="C2533" s="50"/>
      <c r="D2533" s="49" t="str">
        <f t="shared" si="79"/>
        <v/>
      </c>
      <c r="E2533" s="92"/>
      <c r="F2533" s="49"/>
      <c r="G2533" s="14"/>
      <c r="H2533" s="14"/>
      <c r="I2533" s="76"/>
      <c r="J2533" s="73"/>
      <c r="K2533" s="74"/>
      <c r="L2533" s="72"/>
      <c r="M2533" s="72"/>
      <c r="N2533" s="72" t="str">
        <f>IF(AND(C2533="",J2533=0,K2533=0,L2533=0,M2533=0),"",CADASTROS!$B$4+SUM($J$2:J2533)+SUM($M$2:M2533)-SUM($K$2:K2533)-SUM($L$2:L2533))</f>
        <v/>
      </c>
      <c r="O2533" s="72" t="str">
        <f>IF(A2533="","",SUMIF(RATEIOS!$A$2:$A$3142,$A2533,RATEIOS!$F$2:$F$3142))</f>
        <v/>
      </c>
      <c r="P2533" s="15" t="str">
        <f t="shared" si="80"/>
        <v/>
      </c>
      <c r="Q2533" s="49" t="str">
        <f>IF(AND(J2533=0,K2533=0,L2533=0,M2533=0),"",IF(O2533=0,"PENDENTE DE RATEIO",IF(ABS(P2533)&gt;0.005,"DIVERGÊNCIA",IF(COUNTIF(RATEIOS!$A$2:$A$3142,$A2533)-COUNTIFS(RATEIOS!$A$2:$A$3142,$A2533,RATEIOS!$D$2:$D$3142,"&lt;&gt;")&gt;0,"NÃO CLASSIFICADO","RATEIO OK"))))</f>
        <v/>
      </c>
      <c r="R2533" s="49"/>
      <c r="S2533" s="14"/>
    </row>
    <row r="2534" spans="1:19" ht="30" customHeight="1" x14ac:dyDescent="0.25">
      <c r="A2534" s="49" t="str">
        <f>IF(C2534="","","BAN-02533")</f>
        <v/>
      </c>
      <c r="B2534" s="98" t="str">
        <f>IF(C2534="","",2533)</f>
        <v/>
      </c>
      <c r="C2534" s="50"/>
      <c r="D2534" s="49" t="str">
        <f t="shared" si="79"/>
        <v/>
      </c>
      <c r="E2534" s="92"/>
      <c r="F2534" s="49"/>
      <c r="G2534" s="14"/>
      <c r="H2534" s="14"/>
      <c r="I2534" s="76"/>
      <c r="J2534" s="73"/>
      <c r="K2534" s="74"/>
      <c r="L2534" s="72"/>
      <c r="M2534" s="72"/>
      <c r="N2534" s="72" t="str">
        <f>IF(AND(C2534="",J2534=0,K2534=0,L2534=0,M2534=0),"",CADASTROS!$B$4+SUM($J$2:J2534)+SUM($M$2:M2534)-SUM($K$2:K2534)-SUM($L$2:L2534))</f>
        <v/>
      </c>
      <c r="O2534" s="72" t="str">
        <f>IF(A2534="","",SUMIF(RATEIOS!$A$2:$A$3142,$A2534,RATEIOS!$F$2:$F$3142))</f>
        <v/>
      </c>
      <c r="P2534" s="15" t="str">
        <f t="shared" si="80"/>
        <v/>
      </c>
      <c r="Q2534" s="49" t="str">
        <f>IF(AND(J2534=0,K2534=0,L2534=0,M2534=0),"",IF(O2534=0,"PENDENTE DE RATEIO",IF(ABS(P2534)&gt;0.005,"DIVERGÊNCIA",IF(COUNTIF(RATEIOS!$A$2:$A$3142,$A2534)-COUNTIFS(RATEIOS!$A$2:$A$3142,$A2534,RATEIOS!$D$2:$D$3142,"&lt;&gt;")&gt;0,"NÃO CLASSIFICADO","RATEIO OK"))))</f>
        <v/>
      </c>
      <c r="R2534" s="49"/>
      <c r="S2534" s="14"/>
    </row>
    <row r="2535" spans="1:19" ht="30" customHeight="1" x14ac:dyDescent="0.25">
      <c r="A2535" s="49" t="str">
        <f>IF(C2535="","","BAN-02534")</f>
        <v/>
      </c>
      <c r="B2535" s="98" t="str">
        <f>IF(C2535="","",2534)</f>
        <v/>
      </c>
      <c r="C2535" s="50"/>
      <c r="D2535" s="49" t="str">
        <f t="shared" si="79"/>
        <v/>
      </c>
      <c r="E2535" s="92"/>
      <c r="F2535" s="49"/>
      <c r="G2535" s="14"/>
      <c r="H2535" s="14"/>
      <c r="I2535" s="76"/>
      <c r="J2535" s="73"/>
      <c r="K2535" s="74"/>
      <c r="L2535" s="72"/>
      <c r="M2535" s="72"/>
      <c r="N2535" s="72" t="str">
        <f>IF(AND(C2535="",J2535=0,K2535=0,L2535=0,M2535=0),"",CADASTROS!$B$4+SUM($J$2:J2535)+SUM($M$2:M2535)-SUM($K$2:K2535)-SUM($L$2:L2535))</f>
        <v/>
      </c>
      <c r="O2535" s="72" t="str">
        <f>IF(A2535="","",SUMIF(RATEIOS!$A$2:$A$3142,$A2535,RATEIOS!$F$2:$F$3142))</f>
        <v/>
      </c>
      <c r="P2535" s="15" t="str">
        <f t="shared" si="80"/>
        <v/>
      </c>
      <c r="Q2535" s="49" t="str">
        <f>IF(AND(J2535=0,K2535=0,L2535=0,M2535=0),"",IF(O2535=0,"PENDENTE DE RATEIO",IF(ABS(P2535)&gt;0.005,"DIVERGÊNCIA",IF(COUNTIF(RATEIOS!$A$2:$A$3142,$A2535)-COUNTIFS(RATEIOS!$A$2:$A$3142,$A2535,RATEIOS!$D$2:$D$3142,"&lt;&gt;")&gt;0,"NÃO CLASSIFICADO","RATEIO OK"))))</f>
        <v/>
      </c>
      <c r="R2535" s="49"/>
      <c r="S2535" s="14"/>
    </row>
    <row r="2536" spans="1:19" ht="30" customHeight="1" x14ac:dyDescent="0.25">
      <c r="A2536" s="49" t="str">
        <f>IF(C2536="","","BAN-02535")</f>
        <v/>
      </c>
      <c r="B2536" s="98" t="str">
        <f>IF(C2536="","",2535)</f>
        <v/>
      </c>
      <c r="C2536" s="50"/>
      <c r="D2536" s="49" t="str">
        <f t="shared" si="79"/>
        <v/>
      </c>
      <c r="E2536" s="92"/>
      <c r="F2536" s="49"/>
      <c r="G2536" s="14"/>
      <c r="H2536" s="14"/>
      <c r="I2536" s="76"/>
      <c r="J2536" s="73"/>
      <c r="K2536" s="74"/>
      <c r="L2536" s="72"/>
      <c r="M2536" s="72"/>
      <c r="N2536" s="72" t="str">
        <f>IF(AND(C2536="",J2536=0,K2536=0,L2536=0,M2536=0),"",CADASTROS!$B$4+SUM($J$2:J2536)+SUM($M$2:M2536)-SUM($K$2:K2536)-SUM($L$2:L2536))</f>
        <v/>
      </c>
      <c r="O2536" s="72" t="str">
        <f>IF(A2536="","",SUMIF(RATEIOS!$A$2:$A$3142,$A2536,RATEIOS!$F$2:$F$3142))</f>
        <v/>
      </c>
      <c r="P2536" s="15" t="str">
        <f t="shared" si="80"/>
        <v/>
      </c>
      <c r="Q2536" s="49" t="str">
        <f>IF(AND(J2536=0,K2536=0,L2536=0,M2536=0),"",IF(O2536=0,"PENDENTE DE RATEIO",IF(ABS(P2536)&gt;0.005,"DIVERGÊNCIA",IF(COUNTIF(RATEIOS!$A$2:$A$3142,$A2536)-COUNTIFS(RATEIOS!$A$2:$A$3142,$A2536,RATEIOS!$D$2:$D$3142,"&lt;&gt;")&gt;0,"NÃO CLASSIFICADO","RATEIO OK"))))</f>
        <v/>
      </c>
      <c r="R2536" s="49"/>
      <c r="S2536" s="14"/>
    </row>
    <row r="2537" spans="1:19" ht="30" customHeight="1" x14ac:dyDescent="0.25">
      <c r="A2537" s="49" t="str">
        <f>IF(C2537="","","BAN-02536")</f>
        <v/>
      </c>
      <c r="B2537" s="98" t="str">
        <f>IF(C2537="","",2536)</f>
        <v/>
      </c>
      <c r="C2537" s="50"/>
      <c r="D2537" s="49" t="str">
        <f t="shared" si="79"/>
        <v/>
      </c>
      <c r="E2537" s="92"/>
      <c r="F2537" s="49"/>
      <c r="G2537" s="14"/>
      <c r="H2537" s="14"/>
      <c r="I2537" s="76"/>
      <c r="J2537" s="73"/>
      <c r="K2537" s="74"/>
      <c r="L2537" s="72"/>
      <c r="M2537" s="72"/>
      <c r="N2537" s="72" t="str">
        <f>IF(AND(C2537="",J2537=0,K2537=0,L2537=0,M2537=0),"",CADASTROS!$B$4+SUM($J$2:J2537)+SUM($M$2:M2537)-SUM($K$2:K2537)-SUM($L$2:L2537))</f>
        <v/>
      </c>
      <c r="O2537" s="72" t="str">
        <f>IF(A2537="","",SUMIF(RATEIOS!$A$2:$A$3142,$A2537,RATEIOS!$F$2:$F$3142))</f>
        <v/>
      </c>
      <c r="P2537" s="15" t="str">
        <f t="shared" si="80"/>
        <v/>
      </c>
      <c r="Q2537" s="49" t="str">
        <f>IF(AND(J2537=0,K2537=0,L2537=0,M2537=0),"",IF(O2537=0,"PENDENTE DE RATEIO",IF(ABS(P2537)&gt;0.005,"DIVERGÊNCIA",IF(COUNTIF(RATEIOS!$A$2:$A$3142,$A2537)-COUNTIFS(RATEIOS!$A$2:$A$3142,$A2537,RATEIOS!$D$2:$D$3142,"&lt;&gt;")&gt;0,"NÃO CLASSIFICADO","RATEIO OK"))))</f>
        <v/>
      </c>
      <c r="R2537" s="49"/>
      <c r="S2537" s="14"/>
    </row>
    <row r="2538" spans="1:19" ht="30" customHeight="1" x14ac:dyDescent="0.25">
      <c r="A2538" s="49" t="str">
        <f>IF(C2538="","","BAN-02537")</f>
        <v/>
      </c>
      <c r="B2538" s="98" t="str">
        <f>IF(C2538="","",2537)</f>
        <v/>
      </c>
      <c r="C2538" s="50"/>
      <c r="D2538" s="49" t="str">
        <f t="shared" si="79"/>
        <v/>
      </c>
      <c r="E2538" s="92"/>
      <c r="F2538" s="49"/>
      <c r="G2538" s="14"/>
      <c r="H2538" s="14"/>
      <c r="I2538" s="76"/>
      <c r="J2538" s="73"/>
      <c r="K2538" s="74"/>
      <c r="L2538" s="72"/>
      <c r="M2538" s="72"/>
      <c r="N2538" s="72" t="str">
        <f>IF(AND(C2538="",J2538=0,K2538=0,L2538=0,M2538=0),"",CADASTROS!$B$4+SUM($J$2:J2538)+SUM($M$2:M2538)-SUM($K$2:K2538)-SUM($L$2:L2538))</f>
        <v/>
      </c>
      <c r="O2538" s="72" t="str">
        <f>IF(A2538="","",SUMIF(RATEIOS!$A$2:$A$3142,$A2538,RATEIOS!$F$2:$F$3142))</f>
        <v/>
      </c>
      <c r="P2538" s="15" t="str">
        <f t="shared" si="80"/>
        <v/>
      </c>
      <c r="Q2538" s="49" t="str">
        <f>IF(AND(J2538=0,K2538=0,L2538=0,M2538=0),"",IF(O2538=0,"PENDENTE DE RATEIO",IF(ABS(P2538)&gt;0.005,"DIVERGÊNCIA",IF(COUNTIF(RATEIOS!$A$2:$A$3142,$A2538)-COUNTIFS(RATEIOS!$A$2:$A$3142,$A2538,RATEIOS!$D$2:$D$3142,"&lt;&gt;")&gt;0,"NÃO CLASSIFICADO","RATEIO OK"))))</f>
        <v/>
      </c>
      <c r="R2538" s="49"/>
      <c r="S2538" s="14"/>
    </row>
    <row r="2539" spans="1:19" ht="30" customHeight="1" x14ac:dyDescent="0.25">
      <c r="A2539" s="49" t="str">
        <f>IF(C2539="","","BAN-02538")</f>
        <v/>
      </c>
      <c r="B2539" s="98" t="str">
        <f>IF(C2539="","",2538)</f>
        <v/>
      </c>
      <c r="C2539" s="50"/>
      <c r="D2539" s="49" t="str">
        <f t="shared" si="79"/>
        <v/>
      </c>
      <c r="E2539" s="92"/>
      <c r="F2539" s="49"/>
      <c r="G2539" s="14"/>
      <c r="H2539" s="14"/>
      <c r="I2539" s="76"/>
      <c r="J2539" s="73"/>
      <c r="K2539" s="74"/>
      <c r="L2539" s="72"/>
      <c r="M2539" s="72"/>
      <c r="N2539" s="72" t="str">
        <f>IF(AND(C2539="",J2539=0,K2539=0,L2539=0,M2539=0),"",CADASTROS!$B$4+SUM($J$2:J2539)+SUM($M$2:M2539)-SUM($K$2:K2539)-SUM($L$2:L2539))</f>
        <v/>
      </c>
      <c r="O2539" s="72" t="str">
        <f>IF(A2539="","",SUMIF(RATEIOS!$A$2:$A$3142,$A2539,RATEIOS!$F$2:$F$3142))</f>
        <v/>
      </c>
      <c r="P2539" s="15" t="str">
        <f t="shared" si="80"/>
        <v/>
      </c>
      <c r="Q2539" s="49" t="str">
        <f>IF(AND(J2539=0,K2539=0,L2539=0,M2539=0),"",IF(O2539=0,"PENDENTE DE RATEIO",IF(ABS(P2539)&gt;0.005,"DIVERGÊNCIA",IF(COUNTIF(RATEIOS!$A$2:$A$3142,$A2539)-COUNTIFS(RATEIOS!$A$2:$A$3142,$A2539,RATEIOS!$D$2:$D$3142,"&lt;&gt;")&gt;0,"NÃO CLASSIFICADO","RATEIO OK"))))</f>
        <v/>
      </c>
      <c r="R2539" s="49"/>
      <c r="S2539" s="14"/>
    </row>
    <row r="2540" spans="1:19" ht="30" customHeight="1" x14ac:dyDescent="0.25">
      <c r="A2540" s="49" t="str">
        <f>IF(C2540="","","BAN-02539")</f>
        <v/>
      </c>
      <c r="B2540" s="98" t="str">
        <f>IF(C2540="","",2539)</f>
        <v/>
      </c>
      <c r="C2540" s="50"/>
      <c r="D2540" s="49" t="str">
        <f t="shared" si="79"/>
        <v/>
      </c>
      <c r="E2540" s="92"/>
      <c r="F2540" s="49"/>
      <c r="G2540" s="14"/>
      <c r="H2540" s="14"/>
      <c r="I2540" s="76"/>
      <c r="J2540" s="73"/>
      <c r="K2540" s="74"/>
      <c r="L2540" s="72"/>
      <c r="M2540" s="72"/>
      <c r="N2540" s="72" t="str">
        <f>IF(AND(C2540="",J2540=0,K2540=0,L2540=0,M2540=0),"",CADASTROS!$B$4+SUM($J$2:J2540)+SUM($M$2:M2540)-SUM($K$2:K2540)-SUM($L$2:L2540))</f>
        <v/>
      </c>
      <c r="O2540" s="72" t="str">
        <f>IF(A2540="","",SUMIF(RATEIOS!$A$2:$A$3142,$A2540,RATEIOS!$F$2:$F$3142))</f>
        <v/>
      </c>
      <c r="P2540" s="15" t="str">
        <f t="shared" si="80"/>
        <v/>
      </c>
      <c r="Q2540" s="49" t="str">
        <f>IF(AND(J2540=0,K2540=0,L2540=0,M2540=0),"",IF(O2540=0,"PENDENTE DE RATEIO",IF(ABS(P2540)&gt;0.005,"DIVERGÊNCIA",IF(COUNTIF(RATEIOS!$A$2:$A$3142,$A2540)-COUNTIFS(RATEIOS!$A$2:$A$3142,$A2540,RATEIOS!$D$2:$D$3142,"&lt;&gt;")&gt;0,"NÃO CLASSIFICADO","RATEIO OK"))))</f>
        <v/>
      </c>
      <c r="R2540" s="49"/>
      <c r="S2540" s="14"/>
    </row>
    <row r="2541" spans="1:19" ht="30" customHeight="1" x14ac:dyDescent="0.25">
      <c r="A2541" s="49" t="str">
        <f>IF(C2541="","","BAN-02540")</f>
        <v/>
      </c>
      <c r="B2541" s="98" t="str">
        <f>IF(C2541="","",2540)</f>
        <v/>
      </c>
      <c r="C2541" s="50"/>
      <c r="D2541" s="49" t="str">
        <f t="shared" si="79"/>
        <v/>
      </c>
      <c r="E2541" s="92"/>
      <c r="F2541" s="49"/>
      <c r="G2541" s="14"/>
      <c r="H2541" s="14"/>
      <c r="I2541" s="76"/>
      <c r="J2541" s="73"/>
      <c r="K2541" s="74"/>
      <c r="L2541" s="72"/>
      <c r="M2541" s="72"/>
      <c r="N2541" s="72" t="str">
        <f>IF(AND(C2541="",J2541=0,K2541=0,L2541=0,M2541=0),"",CADASTROS!$B$4+SUM($J$2:J2541)+SUM($M$2:M2541)-SUM($K$2:K2541)-SUM($L$2:L2541))</f>
        <v/>
      </c>
      <c r="O2541" s="72" t="str">
        <f>IF(A2541="","",SUMIF(RATEIOS!$A$2:$A$3142,$A2541,RATEIOS!$F$2:$F$3142))</f>
        <v/>
      </c>
      <c r="P2541" s="15" t="str">
        <f t="shared" si="80"/>
        <v/>
      </c>
      <c r="Q2541" s="49" t="str">
        <f>IF(AND(J2541=0,K2541=0,L2541=0,M2541=0),"",IF(O2541=0,"PENDENTE DE RATEIO",IF(ABS(P2541)&gt;0.005,"DIVERGÊNCIA",IF(COUNTIF(RATEIOS!$A$2:$A$3142,$A2541)-COUNTIFS(RATEIOS!$A$2:$A$3142,$A2541,RATEIOS!$D$2:$D$3142,"&lt;&gt;")&gt;0,"NÃO CLASSIFICADO","RATEIO OK"))))</f>
        <v/>
      </c>
      <c r="R2541" s="49"/>
      <c r="S2541" s="14"/>
    </row>
    <row r="2542" spans="1:19" ht="30" customHeight="1" x14ac:dyDescent="0.25">
      <c r="A2542" s="49" t="str">
        <f>IF(C2542="","","BAN-02541")</f>
        <v/>
      </c>
      <c r="B2542" s="98" t="str">
        <f>IF(C2542="","",2541)</f>
        <v/>
      </c>
      <c r="C2542" s="50"/>
      <c r="D2542" s="49" t="str">
        <f t="shared" si="79"/>
        <v/>
      </c>
      <c r="E2542" s="92"/>
      <c r="F2542" s="49"/>
      <c r="G2542" s="14"/>
      <c r="H2542" s="14"/>
      <c r="I2542" s="76"/>
      <c r="J2542" s="73"/>
      <c r="K2542" s="74"/>
      <c r="L2542" s="72"/>
      <c r="M2542" s="72"/>
      <c r="N2542" s="72" t="str">
        <f>IF(AND(C2542="",J2542=0,K2542=0,L2542=0,M2542=0),"",CADASTROS!$B$4+SUM($J$2:J2542)+SUM($M$2:M2542)-SUM($K$2:K2542)-SUM($L$2:L2542))</f>
        <v/>
      </c>
      <c r="O2542" s="72" t="str">
        <f>IF(A2542="","",SUMIF(RATEIOS!$A$2:$A$3142,$A2542,RATEIOS!$F$2:$F$3142))</f>
        <v/>
      </c>
      <c r="P2542" s="15" t="str">
        <f t="shared" si="80"/>
        <v/>
      </c>
      <c r="Q2542" s="49" t="str">
        <f>IF(AND(J2542=0,K2542=0,L2542=0,M2542=0),"",IF(O2542=0,"PENDENTE DE RATEIO",IF(ABS(P2542)&gt;0.005,"DIVERGÊNCIA",IF(COUNTIF(RATEIOS!$A$2:$A$3142,$A2542)-COUNTIFS(RATEIOS!$A$2:$A$3142,$A2542,RATEIOS!$D$2:$D$3142,"&lt;&gt;")&gt;0,"NÃO CLASSIFICADO","RATEIO OK"))))</f>
        <v/>
      </c>
      <c r="R2542" s="49"/>
      <c r="S2542" s="14"/>
    </row>
    <row r="2543" spans="1:19" ht="30" customHeight="1" x14ac:dyDescent="0.25">
      <c r="A2543" s="49" t="str">
        <f>IF(C2543="","","BAN-02542")</f>
        <v/>
      </c>
      <c r="B2543" s="98" t="str">
        <f>IF(C2543="","",2542)</f>
        <v/>
      </c>
      <c r="C2543" s="50"/>
      <c r="D2543" s="49" t="str">
        <f t="shared" si="79"/>
        <v/>
      </c>
      <c r="E2543" s="92"/>
      <c r="F2543" s="49"/>
      <c r="G2543" s="14"/>
      <c r="H2543" s="14"/>
      <c r="I2543" s="76"/>
      <c r="J2543" s="73"/>
      <c r="K2543" s="74"/>
      <c r="L2543" s="72"/>
      <c r="M2543" s="72"/>
      <c r="N2543" s="72" t="str">
        <f>IF(AND(C2543="",J2543=0,K2543=0,L2543=0,M2543=0),"",CADASTROS!$B$4+SUM($J$2:J2543)+SUM($M$2:M2543)-SUM($K$2:K2543)-SUM($L$2:L2543))</f>
        <v/>
      </c>
      <c r="O2543" s="72" t="str">
        <f>IF(A2543="","",SUMIF(RATEIOS!$A$2:$A$3142,$A2543,RATEIOS!$F$2:$F$3142))</f>
        <v/>
      </c>
      <c r="P2543" s="15" t="str">
        <f t="shared" si="80"/>
        <v/>
      </c>
      <c r="Q2543" s="49" t="str">
        <f>IF(AND(J2543=0,K2543=0,L2543=0,M2543=0),"",IF(O2543=0,"PENDENTE DE RATEIO",IF(ABS(P2543)&gt;0.005,"DIVERGÊNCIA",IF(COUNTIF(RATEIOS!$A$2:$A$3142,$A2543)-COUNTIFS(RATEIOS!$A$2:$A$3142,$A2543,RATEIOS!$D$2:$D$3142,"&lt;&gt;")&gt;0,"NÃO CLASSIFICADO","RATEIO OK"))))</f>
        <v/>
      </c>
      <c r="R2543" s="49"/>
      <c r="S2543" s="14"/>
    </row>
    <row r="2544" spans="1:19" ht="30" customHeight="1" x14ac:dyDescent="0.25">
      <c r="A2544" s="49" t="str">
        <f>IF(C2544="","","BAN-02543")</f>
        <v/>
      </c>
      <c r="B2544" s="98" t="str">
        <f>IF(C2544="","",2543)</f>
        <v/>
      </c>
      <c r="C2544" s="50"/>
      <c r="D2544" s="49" t="str">
        <f t="shared" si="79"/>
        <v/>
      </c>
      <c r="E2544" s="92"/>
      <c r="F2544" s="49"/>
      <c r="G2544" s="14"/>
      <c r="H2544" s="14"/>
      <c r="I2544" s="76"/>
      <c r="J2544" s="73"/>
      <c r="K2544" s="74"/>
      <c r="L2544" s="72"/>
      <c r="M2544" s="72"/>
      <c r="N2544" s="72" t="str">
        <f>IF(AND(C2544="",J2544=0,K2544=0,L2544=0,M2544=0),"",CADASTROS!$B$4+SUM($J$2:J2544)+SUM($M$2:M2544)-SUM($K$2:K2544)-SUM($L$2:L2544))</f>
        <v/>
      </c>
      <c r="O2544" s="72" t="str">
        <f>IF(A2544="","",SUMIF(RATEIOS!$A$2:$A$3142,$A2544,RATEIOS!$F$2:$F$3142))</f>
        <v/>
      </c>
      <c r="P2544" s="15" t="str">
        <f t="shared" si="80"/>
        <v/>
      </c>
      <c r="Q2544" s="49" t="str">
        <f>IF(AND(J2544=0,K2544=0,L2544=0,M2544=0),"",IF(O2544=0,"PENDENTE DE RATEIO",IF(ABS(P2544)&gt;0.005,"DIVERGÊNCIA",IF(COUNTIF(RATEIOS!$A$2:$A$3142,$A2544)-COUNTIFS(RATEIOS!$A$2:$A$3142,$A2544,RATEIOS!$D$2:$D$3142,"&lt;&gt;")&gt;0,"NÃO CLASSIFICADO","RATEIO OK"))))</f>
        <v/>
      </c>
      <c r="R2544" s="49"/>
      <c r="S2544" s="14"/>
    </row>
    <row r="2545" spans="1:19" ht="30" customHeight="1" x14ac:dyDescent="0.25">
      <c r="A2545" s="49" t="str">
        <f>IF(C2545="","","BAN-02544")</f>
        <v/>
      </c>
      <c r="B2545" s="98" t="str">
        <f>IF(C2545="","",2544)</f>
        <v/>
      </c>
      <c r="C2545" s="50"/>
      <c r="D2545" s="49" t="str">
        <f t="shared" si="79"/>
        <v/>
      </c>
      <c r="E2545" s="92"/>
      <c r="F2545" s="49"/>
      <c r="G2545" s="14"/>
      <c r="H2545" s="14"/>
      <c r="I2545" s="76"/>
      <c r="J2545" s="73"/>
      <c r="K2545" s="74"/>
      <c r="L2545" s="72"/>
      <c r="M2545" s="72"/>
      <c r="N2545" s="72" t="str">
        <f>IF(AND(C2545="",J2545=0,K2545=0,L2545=0,M2545=0),"",CADASTROS!$B$4+SUM($J$2:J2545)+SUM($M$2:M2545)-SUM($K$2:K2545)-SUM($L$2:L2545))</f>
        <v/>
      </c>
      <c r="O2545" s="72" t="str">
        <f>IF(A2545="","",SUMIF(RATEIOS!$A$2:$A$3142,$A2545,RATEIOS!$F$2:$F$3142))</f>
        <v/>
      </c>
      <c r="P2545" s="15" t="str">
        <f t="shared" si="80"/>
        <v/>
      </c>
      <c r="Q2545" s="49" t="str">
        <f>IF(AND(J2545=0,K2545=0,L2545=0,M2545=0),"",IF(O2545=0,"PENDENTE DE RATEIO",IF(ABS(P2545)&gt;0.005,"DIVERGÊNCIA",IF(COUNTIF(RATEIOS!$A$2:$A$3142,$A2545)-COUNTIFS(RATEIOS!$A$2:$A$3142,$A2545,RATEIOS!$D$2:$D$3142,"&lt;&gt;")&gt;0,"NÃO CLASSIFICADO","RATEIO OK"))))</f>
        <v/>
      </c>
      <c r="R2545" s="49"/>
      <c r="S2545" s="14"/>
    </row>
    <row r="2546" spans="1:19" ht="30" customHeight="1" x14ac:dyDescent="0.25">
      <c r="A2546" s="49" t="str">
        <f>IF(C2546="","","BAN-02545")</f>
        <v/>
      </c>
      <c r="B2546" s="98" t="str">
        <f>IF(C2546="","",2545)</f>
        <v/>
      </c>
      <c r="C2546" s="50"/>
      <c r="D2546" s="49" t="str">
        <f t="shared" si="79"/>
        <v/>
      </c>
      <c r="E2546" s="92"/>
      <c r="F2546" s="49"/>
      <c r="G2546" s="14"/>
      <c r="H2546" s="14"/>
      <c r="I2546" s="76"/>
      <c r="J2546" s="73"/>
      <c r="K2546" s="74"/>
      <c r="L2546" s="72"/>
      <c r="M2546" s="72"/>
      <c r="N2546" s="72" t="str">
        <f>IF(AND(C2546="",J2546=0,K2546=0,L2546=0,M2546=0),"",CADASTROS!$B$4+SUM($J$2:J2546)+SUM($M$2:M2546)-SUM($K$2:K2546)-SUM($L$2:L2546))</f>
        <v/>
      </c>
      <c r="O2546" s="72" t="str">
        <f>IF(A2546="","",SUMIF(RATEIOS!$A$2:$A$3142,$A2546,RATEIOS!$F$2:$F$3142))</f>
        <v/>
      </c>
      <c r="P2546" s="15" t="str">
        <f t="shared" si="80"/>
        <v/>
      </c>
      <c r="Q2546" s="49" t="str">
        <f>IF(AND(J2546=0,K2546=0,L2546=0,M2546=0),"",IF(O2546=0,"PENDENTE DE RATEIO",IF(ABS(P2546)&gt;0.005,"DIVERGÊNCIA",IF(COUNTIF(RATEIOS!$A$2:$A$3142,$A2546)-COUNTIFS(RATEIOS!$A$2:$A$3142,$A2546,RATEIOS!$D$2:$D$3142,"&lt;&gt;")&gt;0,"NÃO CLASSIFICADO","RATEIO OK"))))</f>
        <v/>
      </c>
      <c r="R2546" s="49"/>
      <c r="S2546" s="14"/>
    </row>
    <row r="2547" spans="1:19" ht="30" customHeight="1" x14ac:dyDescent="0.25">
      <c r="A2547" s="49" t="str">
        <f>IF(C2547="","","BAN-02546")</f>
        <v/>
      </c>
      <c r="B2547" s="98" t="str">
        <f>IF(C2547="","",2546)</f>
        <v/>
      </c>
      <c r="C2547" s="50"/>
      <c r="D2547" s="49" t="str">
        <f t="shared" si="79"/>
        <v/>
      </c>
      <c r="E2547" s="92"/>
      <c r="F2547" s="49"/>
      <c r="G2547" s="14"/>
      <c r="H2547" s="14"/>
      <c r="I2547" s="76"/>
      <c r="J2547" s="73"/>
      <c r="K2547" s="74"/>
      <c r="L2547" s="72"/>
      <c r="M2547" s="72"/>
      <c r="N2547" s="72" t="str">
        <f>IF(AND(C2547="",J2547=0,K2547=0,L2547=0,M2547=0),"",CADASTROS!$B$4+SUM($J$2:J2547)+SUM($M$2:M2547)-SUM($K$2:K2547)-SUM($L$2:L2547))</f>
        <v/>
      </c>
      <c r="O2547" s="72" t="str">
        <f>IF(A2547="","",SUMIF(RATEIOS!$A$2:$A$3142,$A2547,RATEIOS!$F$2:$F$3142))</f>
        <v/>
      </c>
      <c r="P2547" s="15" t="str">
        <f t="shared" si="80"/>
        <v/>
      </c>
      <c r="Q2547" s="49" t="str">
        <f>IF(AND(J2547=0,K2547=0,L2547=0,M2547=0),"",IF(O2547=0,"PENDENTE DE RATEIO",IF(ABS(P2547)&gt;0.005,"DIVERGÊNCIA",IF(COUNTIF(RATEIOS!$A$2:$A$3142,$A2547)-COUNTIFS(RATEIOS!$A$2:$A$3142,$A2547,RATEIOS!$D$2:$D$3142,"&lt;&gt;")&gt;0,"NÃO CLASSIFICADO","RATEIO OK"))))</f>
        <v/>
      </c>
      <c r="R2547" s="49"/>
      <c r="S2547" s="14"/>
    </row>
    <row r="2548" spans="1:19" ht="30" customHeight="1" x14ac:dyDescent="0.25">
      <c r="A2548" s="49" t="str">
        <f>IF(C2548="","","BAN-02547")</f>
        <v/>
      </c>
      <c r="B2548" s="98" t="str">
        <f>IF(C2548="","",2547)</f>
        <v/>
      </c>
      <c r="C2548" s="50"/>
      <c r="D2548" s="49" t="str">
        <f t="shared" si="79"/>
        <v/>
      </c>
      <c r="E2548" s="92"/>
      <c r="F2548" s="49"/>
      <c r="G2548" s="14"/>
      <c r="H2548" s="14"/>
      <c r="I2548" s="76"/>
      <c r="J2548" s="73"/>
      <c r="K2548" s="74"/>
      <c r="L2548" s="72"/>
      <c r="M2548" s="72"/>
      <c r="N2548" s="72" t="str">
        <f>IF(AND(C2548="",J2548=0,K2548=0,L2548=0,M2548=0),"",CADASTROS!$B$4+SUM($J$2:J2548)+SUM($M$2:M2548)-SUM($K$2:K2548)-SUM($L$2:L2548))</f>
        <v/>
      </c>
      <c r="O2548" s="72" t="str">
        <f>IF(A2548="","",SUMIF(RATEIOS!$A$2:$A$3142,$A2548,RATEIOS!$F$2:$F$3142))</f>
        <v/>
      </c>
      <c r="P2548" s="15" t="str">
        <f t="shared" si="80"/>
        <v/>
      </c>
      <c r="Q2548" s="49" t="str">
        <f>IF(AND(J2548=0,K2548=0,L2548=0,M2548=0),"",IF(O2548=0,"PENDENTE DE RATEIO",IF(ABS(P2548)&gt;0.005,"DIVERGÊNCIA",IF(COUNTIF(RATEIOS!$A$2:$A$3142,$A2548)-COUNTIFS(RATEIOS!$A$2:$A$3142,$A2548,RATEIOS!$D$2:$D$3142,"&lt;&gt;")&gt;0,"NÃO CLASSIFICADO","RATEIO OK"))))</f>
        <v/>
      </c>
      <c r="R2548" s="49"/>
      <c r="S2548" s="14"/>
    </row>
    <row r="2549" spans="1:19" ht="30" customHeight="1" x14ac:dyDescent="0.25">
      <c r="A2549" s="49" t="str">
        <f>IF(C2549="","","BAN-02548")</f>
        <v/>
      </c>
      <c r="B2549" s="98" t="str">
        <f>IF(C2549="","",2548)</f>
        <v/>
      </c>
      <c r="C2549" s="50"/>
      <c r="D2549" s="49" t="str">
        <f t="shared" si="79"/>
        <v/>
      </c>
      <c r="E2549" s="92"/>
      <c r="F2549" s="49"/>
      <c r="G2549" s="14"/>
      <c r="H2549" s="14"/>
      <c r="I2549" s="76"/>
      <c r="J2549" s="73"/>
      <c r="K2549" s="74"/>
      <c r="L2549" s="72"/>
      <c r="M2549" s="72"/>
      <c r="N2549" s="72" t="str">
        <f>IF(AND(C2549="",J2549=0,K2549=0,L2549=0,M2549=0),"",CADASTROS!$B$4+SUM($J$2:J2549)+SUM($M$2:M2549)-SUM($K$2:K2549)-SUM($L$2:L2549))</f>
        <v/>
      </c>
      <c r="O2549" s="72" t="str">
        <f>IF(A2549="","",SUMIF(RATEIOS!$A$2:$A$3142,$A2549,RATEIOS!$F$2:$F$3142))</f>
        <v/>
      </c>
      <c r="P2549" s="15" t="str">
        <f t="shared" si="80"/>
        <v/>
      </c>
      <c r="Q2549" s="49" t="str">
        <f>IF(AND(J2549=0,K2549=0,L2549=0,M2549=0),"",IF(O2549=0,"PENDENTE DE RATEIO",IF(ABS(P2549)&gt;0.005,"DIVERGÊNCIA",IF(COUNTIF(RATEIOS!$A$2:$A$3142,$A2549)-COUNTIFS(RATEIOS!$A$2:$A$3142,$A2549,RATEIOS!$D$2:$D$3142,"&lt;&gt;")&gt;0,"NÃO CLASSIFICADO","RATEIO OK"))))</f>
        <v/>
      </c>
      <c r="R2549" s="49"/>
      <c r="S2549" s="14"/>
    </row>
    <row r="2550" spans="1:19" ht="30" customHeight="1" x14ac:dyDescent="0.25">
      <c r="A2550" s="49" t="str">
        <f>IF(C2550="","","BAN-02549")</f>
        <v/>
      </c>
      <c r="B2550" s="98" t="str">
        <f>IF(C2550="","",2549)</f>
        <v/>
      </c>
      <c r="C2550" s="50"/>
      <c r="D2550" s="49" t="str">
        <f t="shared" si="79"/>
        <v/>
      </c>
      <c r="E2550" s="92"/>
      <c r="F2550" s="49"/>
      <c r="G2550" s="14"/>
      <c r="H2550" s="14"/>
      <c r="I2550" s="76"/>
      <c r="J2550" s="73"/>
      <c r="K2550" s="74"/>
      <c r="L2550" s="72"/>
      <c r="M2550" s="72"/>
      <c r="N2550" s="72" t="str">
        <f>IF(AND(C2550="",J2550=0,K2550=0,L2550=0,M2550=0),"",CADASTROS!$B$4+SUM($J$2:J2550)+SUM($M$2:M2550)-SUM($K$2:K2550)-SUM($L$2:L2550))</f>
        <v/>
      </c>
      <c r="O2550" s="72" t="str">
        <f>IF(A2550="","",SUMIF(RATEIOS!$A$2:$A$3142,$A2550,RATEIOS!$F$2:$F$3142))</f>
        <v/>
      </c>
      <c r="P2550" s="15" t="str">
        <f t="shared" si="80"/>
        <v/>
      </c>
      <c r="Q2550" s="49" t="str">
        <f>IF(AND(J2550=0,K2550=0,L2550=0,M2550=0),"",IF(O2550=0,"PENDENTE DE RATEIO",IF(ABS(P2550)&gt;0.005,"DIVERGÊNCIA",IF(COUNTIF(RATEIOS!$A$2:$A$3142,$A2550)-COUNTIFS(RATEIOS!$A$2:$A$3142,$A2550,RATEIOS!$D$2:$D$3142,"&lt;&gt;")&gt;0,"NÃO CLASSIFICADO","RATEIO OK"))))</f>
        <v/>
      </c>
      <c r="R2550" s="49"/>
      <c r="S2550" s="14"/>
    </row>
    <row r="2551" spans="1:19" ht="30" customHeight="1" x14ac:dyDescent="0.25">
      <c r="A2551" s="49" t="str">
        <f>IF(C2551="","","BAN-02550")</f>
        <v/>
      </c>
      <c r="B2551" s="98" t="str">
        <f>IF(C2551="","",2550)</f>
        <v/>
      </c>
      <c r="C2551" s="50"/>
      <c r="D2551" s="49" t="str">
        <f t="shared" si="79"/>
        <v/>
      </c>
      <c r="E2551" s="92"/>
      <c r="F2551" s="49"/>
      <c r="G2551" s="14"/>
      <c r="H2551" s="14"/>
      <c r="I2551" s="76"/>
      <c r="J2551" s="73"/>
      <c r="K2551" s="74"/>
      <c r="L2551" s="72"/>
      <c r="M2551" s="72"/>
      <c r="N2551" s="72" t="str">
        <f>IF(AND(C2551="",J2551=0,K2551=0,L2551=0,M2551=0),"",CADASTROS!$B$4+SUM($J$2:J2551)+SUM($M$2:M2551)-SUM($K$2:K2551)-SUM($L$2:L2551))</f>
        <v/>
      </c>
      <c r="O2551" s="72" t="str">
        <f>IF(A2551="","",SUMIF(RATEIOS!$A$2:$A$3142,$A2551,RATEIOS!$F$2:$F$3142))</f>
        <v/>
      </c>
      <c r="P2551" s="15" t="str">
        <f t="shared" si="80"/>
        <v/>
      </c>
      <c r="Q2551" s="49" t="str">
        <f>IF(AND(J2551=0,K2551=0,L2551=0,M2551=0),"",IF(O2551=0,"PENDENTE DE RATEIO",IF(ABS(P2551)&gt;0.005,"DIVERGÊNCIA",IF(COUNTIF(RATEIOS!$A$2:$A$3142,$A2551)-COUNTIFS(RATEIOS!$A$2:$A$3142,$A2551,RATEIOS!$D$2:$D$3142,"&lt;&gt;")&gt;0,"NÃO CLASSIFICADO","RATEIO OK"))))</f>
        <v/>
      </c>
      <c r="R2551" s="49"/>
      <c r="S2551" s="14"/>
    </row>
    <row r="2552" spans="1:19" ht="30" customHeight="1" x14ac:dyDescent="0.25">
      <c r="A2552" s="49" t="str">
        <f>IF(C2552="","","BAN-02551")</f>
        <v/>
      </c>
      <c r="B2552" s="98" t="str">
        <f>IF(C2552="","",2551)</f>
        <v/>
      </c>
      <c r="C2552" s="50"/>
      <c r="D2552" s="49" t="str">
        <f t="shared" si="79"/>
        <v/>
      </c>
      <c r="E2552" s="92"/>
      <c r="F2552" s="49"/>
      <c r="G2552" s="14"/>
      <c r="H2552" s="14"/>
      <c r="I2552" s="76"/>
      <c r="J2552" s="73"/>
      <c r="K2552" s="74"/>
      <c r="L2552" s="72"/>
      <c r="M2552" s="72"/>
      <c r="N2552" s="72" t="str">
        <f>IF(AND(C2552="",J2552=0,K2552=0,L2552=0,M2552=0),"",CADASTROS!$B$4+SUM($J$2:J2552)+SUM($M$2:M2552)-SUM($K$2:K2552)-SUM($L$2:L2552))</f>
        <v/>
      </c>
      <c r="O2552" s="72" t="str">
        <f>IF(A2552="","",SUMIF(RATEIOS!$A$2:$A$3142,$A2552,RATEIOS!$F$2:$F$3142))</f>
        <v/>
      </c>
      <c r="P2552" s="15" t="str">
        <f t="shared" si="80"/>
        <v/>
      </c>
      <c r="Q2552" s="49" t="str">
        <f>IF(AND(J2552=0,K2552=0,L2552=0,M2552=0),"",IF(O2552=0,"PENDENTE DE RATEIO",IF(ABS(P2552)&gt;0.005,"DIVERGÊNCIA",IF(COUNTIF(RATEIOS!$A$2:$A$3142,$A2552)-COUNTIFS(RATEIOS!$A$2:$A$3142,$A2552,RATEIOS!$D$2:$D$3142,"&lt;&gt;")&gt;0,"NÃO CLASSIFICADO","RATEIO OK"))))</f>
        <v/>
      </c>
      <c r="R2552" s="49"/>
      <c r="S2552" s="14"/>
    </row>
    <row r="2553" spans="1:19" ht="30" customHeight="1" x14ac:dyDescent="0.25">
      <c r="A2553" s="49" t="str">
        <f>IF(C2553="","","BAN-02552")</f>
        <v/>
      </c>
      <c r="B2553" s="98" t="str">
        <f>IF(C2553="","",2552)</f>
        <v/>
      </c>
      <c r="C2553" s="50"/>
      <c r="D2553" s="49" t="str">
        <f t="shared" si="79"/>
        <v/>
      </c>
      <c r="E2553" s="92"/>
      <c r="F2553" s="49"/>
      <c r="G2553" s="14"/>
      <c r="H2553" s="14"/>
      <c r="I2553" s="76"/>
      <c r="J2553" s="73"/>
      <c r="K2553" s="74"/>
      <c r="L2553" s="72"/>
      <c r="M2553" s="72"/>
      <c r="N2553" s="72" t="str">
        <f>IF(AND(C2553="",J2553=0,K2553=0,L2553=0,M2553=0),"",CADASTROS!$B$4+SUM($J$2:J2553)+SUM($M$2:M2553)-SUM($K$2:K2553)-SUM($L$2:L2553))</f>
        <v/>
      </c>
      <c r="O2553" s="72" t="str">
        <f>IF(A2553="","",SUMIF(RATEIOS!$A$2:$A$3142,$A2553,RATEIOS!$F$2:$F$3142))</f>
        <v/>
      </c>
      <c r="P2553" s="15" t="str">
        <f t="shared" si="80"/>
        <v/>
      </c>
      <c r="Q2553" s="49" t="str">
        <f>IF(AND(J2553=0,K2553=0,L2553=0,M2553=0),"",IF(O2553=0,"PENDENTE DE RATEIO",IF(ABS(P2553)&gt;0.005,"DIVERGÊNCIA",IF(COUNTIF(RATEIOS!$A$2:$A$3142,$A2553)-COUNTIFS(RATEIOS!$A$2:$A$3142,$A2553,RATEIOS!$D$2:$D$3142,"&lt;&gt;")&gt;0,"NÃO CLASSIFICADO","RATEIO OK"))))</f>
        <v/>
      </c>
      <c r="R2553" s="49"/>
      <c r="S2553" s="14"/>
    </row>
    <row r="2554" spans="1:19" ht="30" customHeight="1" x14ac:dyDescent="0.25">
      <c r="A2554" s="49" t="str">
        <f>IF(C2554="","","BAN-02553")</f>
        <v/>
      </c>
      <c r="B2554" s="98" t="str">
        <f>IF(C2554="","",2553)</f>
        <v/>
      </c>
      <c r="C2554" s="50"/>
      <c r="D2554" s="49" t="str">
        <f t="shared" si="79"/>
        <v/>
      </c>
      <c r="E2554" s="92"/>
      <c r="F2554" s="49"/>
      <c r="G2554" s="14"/>
      <c r="H2554" s="14"/>
      <c r="I2554" s="76"/>
      <c r="J2554" s="73"/>
      <c r="K2554" s="74"/>
      <c r="L2554" s="72"/>
      <c r="M2554" s="72"/>
      <c r="N2554" s="72" t="str">
        <f>IF(AND(C2554="",J2554=0,K2554=0,L2554=0,M2554=0),"",CADASTROS!$B$4+SUM($J$2:J2554)+SUM($M$2:M2554)-SUM($K$2:K2554)-SUM($L$2:L2554))</f>
        <v/>
      </c>
      <c r="O2554" s="72" t="str">
        <f>IF(A2554="","",SUMIF(RATEIOS!$A$2:$A$3142,$A2554,RATEIOS!$F$2:$F$3142))</f>
        <v/>
      </c>
      <c r="P2554" s="15" t="str">
        <f t="shared" si="80"/>
        <v/>
      </c>
      <c r="Q2554" s="49" t="str">
        <f>IF(AND(J2554=0,K2554=0,L2554=0,M2554=0),"",IF(O2554=0,"PENDENTE DE RATEIO",IF(ABS(P2554)&gt;0.005,"DIVERGÊNCIA",IF(COUNTIF(RATEIOS!$A$2:$A$3142,$A2554)-COUNTIFS(RATEIOS!$A$2:$A$3142,$A2554,RATEIOS!$D$2:$D$3142,"&lt;&gt;")&gt;0,"NÃO CLASSIFICADO","RATEIO OK"))))</f>
        <v/>
      </c>
      <c r="R2554" s="49"/>
      <c r="S2554" s="14"/>
    </row>
    <row r="2555" spans="1:19" ht="30" customHeight="1" x14ac:dyDescent="0.25">
      <c r="A2555" s="49" t="str">
        <f>IF(C2555="","","BAN-02554")</f>
        <v/>
      </c>
      <c r="B2555" s="98" t="str">
        <f>IF(C2555="","",2554)</f>
        <v/>
      </c>
      <c r="C2555" s="50"/>
      <c r="D2555" s="49" t="str">
        <f t="shared" si="79"/>
        <v/>
      </c>
      <c r="E2555" s="92"/>
      <c r="F2555" s="49"/>
      <c r="G2555" s="14"/>
      <c r="H2555" s="14"/>
      <c r="I2555" s="76"/>
      <c r="J2555" s="73"/>
      <c r="K2555" s="74"/>
      <c r="L2555" s="72"/>
      <c r="M2555" s="72"/>
      <c r="N2555" s="72" t="str">
        <f>IF(AND(C2555="",J2555=0,K2555=0,L2555=0,M2555=0),"",CADASTROS!$B$4+SUM($J$2:J2555)+SUM($M$2:M2555)-SUM($K$2:K2555)-SUM($L$2:L2555))</f>
        <v/>
      </c>
      <c r="O2555" s="72" t="str">
        <f>IF(A2555="","",SUMIF(RATEIOS!$A$2:$A$3142,$A2555,RATEIOS!$F$2:$F$3142))</f>
        <v/>
      </c>
      <c r="P2555" s="15" t="str">
        <f t="shared" si="80"/>
        <v/>
      </c>
      <c r="Q2555" s="49" t="str">
        <f>IF(AND(J2555=0,K2555=0,L2555=0,M2555=0),"",IF(O2555=0,"PENDENTE DE RATEIO",IF(ABS(P2555)&gt;0.005,"DIVERGÊNCIA",IF(COUNTIF(RATEIOS!$A$2:$A$3142,$A2555)-COUNTIFS(RATEIOS!$A$2:$A$3142,$A2555,RATEIOS!$D$2:$D$3142,"&lt;&gt;")&gt;0,"NÃO CLASSIFICADO","RATEIO OK"))))</f>
        <v/>
      </c>
      <c r="R2555" s="49"/>
      <c r="S2555" s="14"/>
    </row>
    <row r="2556" spans="1:19" ht="30" customHeight="1" x14ac:dyDescent="0.25">
      <c r="A2556" s="49" t="str">
        <f>IF(C2556="","","BAN-02555")</f>
        <v/>
      </c>
      <c r="B2556" s="98" t="str">
        <f>IF(C2556="","",2555)</f>
        <v/>
      </c>
      <c r="C2556" s="50"/>
      <c r="D2556" s="49" t="str">
        <f t="shared" si="79"/>
        <v/>
      </c>
      <c r="E2556" s="92"/>
      <c r="F2556" s="49"/>
      <c r="G2556" s="14"/>
      <c r="H2556" s="14"/>
      <c r="I2556" s="76"/>
      <c r="J2556" s="73"/>
      <c r="K2556" s="74"/>
      <c r="L2556" s="72"/>
      <c r="M2556" s="72"/>
      <c r="N2556" s="72" t="str">
        <f>IF(AND(C2556="",J2556=0,K2556=0,L2556=0,M2556=0),"",CADASTROS!$B$4+SUM($J$2:J2556)+SUM($M$2:M2556)-SUM($K$2:K2556)-SUM($L$2:L2556))</f>
        <v/>
      </c>
      <c r="O2556" s="72" t="str">
        <f>IF(A2556="","",SUMIF(RATEIOS!$A$2:$A$3142,$A2556,RATEIOS!$F$2:$F$3142))</f>
        <v/>
      </c>
      <c r="P2556" s="15" t="str">
        <f t="shared" si="80"/>
        <v/>
      </c>
      <c r="Q2556" s="49" t="str">
        <f>IF(AND(J2556=0,K2556=0,L2556=0,M2556=0),"",IF(O2556=0,"PENDENTE DE RATEIO",IF(ABS(P2556)&gt;0.005,"DIVERGÊNCIA",IF(COUNTIF(RATEIOS!$A$2:$A$3142,$A2556)-COUNTIFS(RATEIOS!$A$2:$A$3142,$A2556,RATEIOS!$D$2:$D$3142,"&lt;&gt;")&gt;0,"NÃO CLASSIFICADO","RATEIO OK"))))</f>
        <v/>
      </c>
      <c r="R2556" s="49"/>
      <c r="S2556" s="14"/>
    </row>
    <row r="2557" spans="1:19" ht="30" customHeight="1" x14ac:dyDescent="0.25">
      <c r="A2557" s="49" t="str">
        <f>IF(C2557="","","BAN-02556")</f>
        <v/>
      </c>
      <c r="B2557" s="98" t="str">
        <f>IF(C2557="","",2556)</f>
        <v/>
      </c>
      <c r="C2557" s="50"/>
      <c r="D2557" s="49" t="str">
        <f t="shared" si="79"/>
        <v/>
      </c>
      <c r="E2557" s="92"/>
      <c r="F2557" s="49"/>
      <c r="G2557" s="14"/>
      <c r="H2557" s="14"/>
      <c r="I2557" s="76"/>
      <c r="J2557" s="73"/>
      <c r="K2557" s="74"/>
      <c r="L2557" s="72"/>
      <c r="M2557" s="72"/>
      <c r="N2557" s="72" t="str">
        <f>IF(AND(C2557="",J2557=0,K2557=0,L2557=0,M2557=0),"",CADASTROS!$B$4+SUM($J$2:J2557)+SUM($M$2:M2557)-SUM($K$2:K2557)-SUM($L$2:L2557))</f>
        <v/>
      </c>
      <c r="O2557" s="72" t="str">
        <f>IF(A2557="","",SUMIF(RATEIOS!$A$2:$A$3142,$A2557,RATEIOS!$F$2:$F$3142))</f>
        <v/>
      </c>
      <c r="P2557" s="15" t="str">
        <f t="shared" si="80"/>
        <v/>
      </c>
      <c r="Q2557" s="49" t="str">
        <f>IF(AND(J2557=0,K2557=0,L2557=0,M2557=0),"",IF(O2557=0,"PENDENTE DE RATEIO",IF(ABS(P2557)&gt;0.005,"DIVERGÊNCIA",IF(COUNTIF(RATEIOS!$A$2:$A$3142,$A2557)-COUNTIFS(RATEIOS!$A$2:$A$3142,$A2557,RATEIOS!$D$2:$D$3142,"&lt;&gt;")&gt;0,"NÃO CLASSIFICADO","RATEIO OK"))))</f>
        <v/>
      </c>
      <c r="R2557" s="49"/>
      <c r="S2557" s="14"/>
    </row>
    <row r="2558" spans="1:19" ht="30" customHeight="1" x14ac:dyDescent="0.25">
      <c r="A2558" s="49" t="str">
        <f>IF(C2558="","","BAN-02557")</f>
        <v/>
      </c>
      <c r="B2558" s="98" t="str">
        <f>IF(C2558="","",2557)</f>
        <v/>
      </c>
      <c r="C2558" s="50"/>
      <c r="D2558" s="49" t="str">
        <f t="shared" si="79"/>
        <v/>
      </c>
      <c r="E2558" s="92"/>
      <c r="F2558" s="49"/>
      <c r="G2558" s="14"/>
      <c r="H2558" s="14"/>
      <c r="I2558" s="76"/>
      <c r="J2558" s="73"/>
      <c r="K2558" s="74"/>
      <c r="L2558" s="72"/>
      <c r="M2558" s="72"/>
      <c r="N2558" s="72" t="str">
        <f>IF(AND(C2558="",J2558=0,K2558=0,L2558=0,M2558=0),"",CADASTROS!$B$4+SUM($J$2:J2558)+SUM($M$2:M2558)-SUM($K$2:K2558)-SUM($L$2:L2558))</f>
        <v/>
      </c>
      <c r="O2558" s="72" t="str">
        <f>IF(A2558="","",SUMIF(RATEIOS!$A$2:$A$3142,$A2558,RATEIOS!$F$2:$F$3142))</f>
        <v/>
      </c>
      <c r="P2558" s="15" t="str">
        <f t="shared" si="80"/>
        <v/>
      </c>
      <c r="Q2558" s="49" t="str">
        <f>IF(AND(J2558=0,K2558=0,L2558=0,M2558=0),"",IF(O2558=0,"PENDENTE DE RATEIO",IF(ABS(P2558)&gt;0.005,"DIVERGÊNCIA",IF(COUNTIF(RATEIOS!$A$2:$A$3142,$A2558)-COUNTIFS(RATEIOS!$A$2:$A$3142,$A2558,RATEIOS!$D$2:$D$3142,"&lt;&gt;")&gt;0,"NÃO CLASSIFICADO","RATEIO OK"))))</f>
        <v/>
      </c>
      <c r="R2558" s="49"/>
      <c r="S2558" s="14"/>
    </row>
    <row r="2559" spans="1:19" ht="30" customHeight="1" x14ac:dyDescent="0.25">
      <c r="A2559" s="49" t="str">
        <f>IF(C2559="","","BAN-02558")</f>
        <v/>
      </c>
      <c r="B2559" s="98" t="str">
        <f>IF(C2559="","",2558)</f>
        <v/>
      </c>
      <c r="C2559" s="50"/>
      <c r="D2559" s="49" t="str">
        <f t="shared" si="79"/>
        <v/>
      </c>
      <c r="E2559" s="92"/>
      <c r="F2559" s="49"/>
      <c r="G2559" s="14"/>
      <c r="H2559" s="14"/>
      <c r="I2559" s="76"/>
      <c r="J2559" s="73"/>
      <c r="K2559" s="74"/>
      <c r="L2559" s="72"/>
      <c r="M2559" s="72"/>
      <c r="N2559" s="72" t="str">
        <f>IF(AND(C2559="",J2559=0,K2559=0,L2559=0,M2559=0),"",CADASTROS!$B$4+SUM($J$2:J2559)+SUM($M$2:M2559)-SUM($K$2:K2559)-SUM($L$2:L2559))</f>
        <v/>
      </c>
      <c r="O2559" s="72" t="str">
        <f>IF(A2559="","",SUMIF(RATEIOS!$A$2:$A$3142,$A2559,RATEIOS!$F$2:$F$3142))</f>
        <v/>
      </c>
      <c r="P2559" s="15" t="str">
        <f t="shared" si="80"/>
        <v/>
      </c>
      <c r="Q2559" s="49" t="str">
        <f>IF(AND(J2559=0,K2559=0,L2559=0,M2559=0),"",IF(O2559=0,"PENDENTE DE RATEIO",IF(ABS(P2559)&gt;0.005,"DIVERGÊNCIA",IF(COUNTIF(RATEIOS!$A$2:$A$3142,$A2559)-COUNTIFS(RATEIOS!$A$2:$A$3142,$A2559,RATEIOS!$D$2:$D$3142,"&lt;&gt;")&gt;0,"NÃO CLASSIFICADO","RATEIO OK"))))</f>
        <v/>
      </c>
      <c r="R2559" s="49"/>
      <c r="S2559" s="14"/>
    </row>
    <row r="2560" spans="1:19" ht="30" customHeight="1" x14ac:dyDescent="0.25">
      <c r="A2560" s="49" t="str">
        <f>IF(C2560="","","BAN-02559")</f>
        <v/>
      </c>
      <c r="B2560" s="98" t="str">
        <f>IF(C2560="","",2559)</f>
        <v/>
      </c>
      <c r="C2560" s="50"/>
      <c r="D2560" s="49" t="str">
        <f t="shared" si="79"/>
        <v/>
      </c>
      <c r="E2560" s="92"/>
      <c r="F2560" s="49"/>
      <c r="G2560" s="14"/>
      <c r="H2560" s="14"/>
      <c r="I2560" s="76"/>
      <c r="J2560" s="73"/>
      <c r="K2560" s="74"/>
      <c r="L2560" s="72"/>
      <c r="M2560" s="72"/>
      <c r="N2560" s="72" t="str">
        <f>IF(AND(C2560="",J2560=0,K2560=0,L2560=0,M2560=0),"",CADASTROS!$B$4+SUM($J$2:J2560)+SUM($M$2:M2560)-SUM($K$2:K2560)-SUM($L$2:L2560))</f>
        <v/>
      </c>
      <c r="O2560" s="72" t="str">
        <f>IF(A2560="","",SUMIF(RATEIOS!$A$2:$A$3142,$A2560,RATEIOS!$F$2:$F$3142))</f>
        <v/>
      </c>
      <c r="P2560" s="15" t="str">
        <f t="shared" si="80"/>
        <v/>
      </c>
      <c r="Q2560" s="49" t="str">
        <f>IF(AND(J2560=0,K2560=0,L2560=0,M2560=0),"",IF(O2560=0,"PENDENTE DE RATEIO",IF(ABS(P2560)&gt;0.005,"DIVERGÊNCIA",IF(COUNTIF(RATEIOS!$A$2:$A$3142,$A2560)-COUNTIFS(RATEIOS!$A$2:$A$3142,$A2560,RATEIOS!$D$2:$D$3142,"&lt;&gt;")&gt;0,"NÃO CLASSIFICADO","RATEIO OK"))))</f>
        <v/>
      </c>
      <c r="R2560" s="49"/>
      <c r="S2560" s="14"/>
    </row>
    <row r="2561" spans="1:19" ht="30" customHeight="1" x14ac:dyDescent="0.25">
      <c r="A2561" s="49" t="str">
        <f>IF(C2561="","","BAN-02560")</f>
        <v/>
      </c>
      <c r="B2561" s="98" t="str">
        <f>IF(C2561="","",2560)</f>
        <v/>
      </c>
      <c r="C2561" s="50"/>
      <c r="D2561" s="49" t="str">
        <f t="shared" si="79"/>
        <v/>
      </c>
      <c r="E2561" s="92"/>
      <c r="F2561" s="49"/>
      <c r="G2561" s="14"/>
      <c r="H2561" s="14"/>
      <c r="I2561" s="76"/>
      <c r="J2561" s="73"/>
      <c r="K2561" s="74"/>
      <c r="L2561" s="72"/>
      <c r="M2561" s="72"/>
      <c r="N2561" s="72" t="str">
        <f>IF(AND(C2561="",J2561=0,K2561=0,L2561=0,M2561=0),"",CADASTROS!$B$4+SUM($J$2:J2561)+SUM($M$2:M2561)-SUM($K$2:K2561)-SUM($L$2:L2561))</f>
        <v/>
      </c>
      <c r="O2561" s="72" t="str">
        <f>IF(A2561="","",SUMIF(RATEIOS!$A$2:$A$3142,$A2561,RATEIOS!$F$2:$F$3142))</f>
        <v/>
      </c>
      <c r="P2561" s="15" t="str">
        <f t="shared" si="80"/>
        <v/>
      </c>
      <c r="Q2561" s="49" t="str">
        <f>IF(AND(J2561=0,K2561=0,L2561=0,M2561=0),"",IF(O2561=0,"PENDENTE DE RATEIO",IF(ABS(P2561)&gt;0.005,"DIVERGÊNCIA",IF(COUNTIF(RATEIOS!$A$2:$A$3142,$A2561)-COUNTIFS(RATEIOS!$A$2:$A$3142,$A2561,RATEIOS!$D$2:$D$3142,"&lt;&gt;")&gt;0,"NÃO CLASSIFICADO","RATEIO OK"))))</f>
        <v/>
      </c>
      <c r="R2561" s="49"/>
      <c r="S2561" s="14"/>
    </row>
    <row r="2562" spans="1:19" ht="30" customHeight="1" x14ac:dyDescent="0.25">
      <c r="A2562" s="49" t="str">
        <f>IF(C2562="","","BAN-02561")</f>
        <v/>
      </c>
      <c r="B2562" s="98" t="str">
        <f>IF(C2562="","",2561)</f>
        <v/>
      </c>
      <c r="C2562" s="50"/>
      <c r="D2562" s="49" t="str">
        <f t="shared" ref="D2562:D2625" si="81">IF(C2562="","",MONTH(C2562))</f>
        <v/>
      </c>
      <c r="E2562" s="92"/>
      <c r="F2562" s="49"/>
      <c r="G2562" s="14"/>
      <c r="H2562" s="14"/>
      <c r="I2562" s="76"/>
      <c r="J2562" s="73"/>
      <c r="K2562" s="74"/>
      <c r="L2562" s="72"/>
      <c r="M2562" s="72"/>
      <c r="N2562" s="72" t="str">
        <f>IF(AND(C2562="",J2562=0,K2562=0,L2562=0,M2562=0),"",CADASTROS!$B$4+SUM($J$2:J2562)+SUM($M$2:M2562)-SUM($K$2:K2562)-SUM($L$2:L2562))</f>
        <v/>
      </c>
      <c r="O2562" s="72" t="str">
        <f>IF(A2562="","",SUMIF(RATEIOS!$A$2:$A$3142,$A2562,RATEIOS!$F$2:$F$3142))</f>
        <v/>
      </c>
      <c r="P2562" s="15" t="str">
        <f t="shared" ref="P2562:P2625" si="82">IF(A2562="","",(J2562+K2562+L2562+M2562)-O2562)</f>
        <v/>
      </c>
      <c r="Q2562" s="49" t="str">
        <f>IF(AND(J2562=0,K2562=0,L2562=0,M2562=0),"",IF(O2562=0,"PENDENTE DE RATEIO",IF(ABS(P2562)&gt;0.005,"DIVERGÊNCIA",IF(COUNTIF(RATEIOS!$A$2:$A$3142,$A2562)-COUNTIFS(RATEIOS!$A$2:$A$3142,$A2562,RATEIOS!$D$2:$D$3142,"&lt;&gt;")&gt;0,"NÃO CLASSIFICADO","RATEIO OK"))))</f>
        <v/>
      </c>
      <c r="R2562" s="49"/>
      <c r="S2562" s="14"/>
    </row>
    <row r="2563" spans="1:19" ht="30" customHeight="1" x14ac:dyDescent="0.25">
      <c r="A2563" s="49" t="str">
        <f>IF(C2563="","","BAN-02562")</f>
        <v/>
      </c>
      <c r="B2563" s="98" t="str">
        <f>IF(C2563="","",2562)</f>
        <v/>
      </c>
      <c r="C2563" s="50"/>
      <c r="D2563" s="49" t="str">
        <f t="shared" si="81"/>
        <v/>
      </c>
      <c r="E2563" s="92"/>
      <c r="F2563" s="49"/>
      <c r="G2563" s="14"/>
      <c r="H2563" s="14"/>
      <c r="I2563" s="76"/>
      <c r="J2563" s="73"/>
      <c r="K2563" s="74"/>
      <c r="L2563" s="72"/>
      <c r="M2563" s="72"/>
      <c r="N2563" s="72" t="str">
        <f>IF(AND(C2563="",J2563=0,K2563=0,L2563=0,M2563=0),"",CADASTROS!$B$4+SUM($J$2:J2563)+SUM($M$2:M2563)-SUM($K$2:K2563)-SUM($L$2:L2563))</f>
        <v/>
      </c>
      <c r="O2563" s="72" t="str">
        <f>IF(A2563="","",SUMIF(RATEIOS!$A$2:$A$3142,$A2563,RATEIOS!$F$2:$F$3142))</f>
        <v/>
      </c>
      <c r="P2563" s="15" t="str">
        <f t="shared" si="82"/>
        <v/>
      </c>
      <c r="Q2563" s="49" t="str">
        <f>IF(AND(J2563=0,K2563=0,L2563=0,M2563=0),"",IF(O2563=0,"PENDENTE DE RATEIO",IF(ABS(P2563)&gt;0.005,"DIVERGÊNCIA",IF(COUNTIF(RATEIOS!$A$2:$A$3142,$A2563)-COUNTIFS(RATEIOS!$A$2:$A$3142,$A2563,RATEIOS!$D$2:$D$3142,"&lt;&gt;")&gt;0,"NÃO CLASSIFICADO","RATEIO OK"))))</f>
        <v/>
      </c>
      <c r="R2563" s="49"/>
      <c r="S2563" s="14"/>
    </row>
    <row r="2564" spans="1:19" ht="30" customHeight="1" x14ac:dyDescent="0.25">
      <c r="A2564" s="49" t="str">
        <f>IF(C2564="","","BAN-02563")</f>
        <v/>
      </c>
      <c r="B2564" s="98" t="str">
        <f>IF(C2564="","",2563)</f>
        <v/>
      </c>
      <c r="C2564" s="50"/>
      <c r="D2564" s="49" t="str">
        <f t="shared" si="81"/>
        <v/>
      </c>
      <c r="E2564" s="92"/>
      <c r="F2564" s="49"/>
      <c r="G2564" s="14"/>
      <c r="H2564" s="14"/>
      <c r="I2564" s="76"/>
      <c r="J2564" s="73"/>
      <c r="K2564" s="74"/>
      <c r="L2564" s="72"/>
      <c r="M2564" s="72"/>
      <c r="N2564" s="72" t="str">
        <f>IF(AND(C2564="",J2564=0,K2564=0,L2564=0,M2564=0),"",CADASTROS!$B$4+SUM($J$2:J2564)+SUM($M$2:M2564)-SUM($K$2:K2564)-SUM($L$2:L2564))</f>
        <v/>
      </c>
      <c r="O2564" s="72" t="str">
        <f>IF(A2564="","",SUMIF(RATEIOS!$A$2:$A$3142,$A2564,RATEIOS!$F$2:$F$3142))</f>
        <v/>
      </c>
      <c r="P2564" s="15" t="str">
        <f t="shared" si="82"/>
        <v/>
      </c>
      <c r="Q2564" s="49" t="str">
        <f>IF(AND(J2564=0,K2564=0,L2564=0,M2564=0),"",IF(O2564=0,"PENDENTE DE RATEIO",IF(ABS(P2564)&gt;0.005,"DIVERGÊNCIA",IF(COUNTIF(RATEIOS!$A$2:$A$3142,$A2564)-COUNTIFS(RATEIOS!$A$2:$A$3142,$A2564,RATEIOS!$D$2:$D$3142,"&lt;&gt;")&gt;0,"NÃO CLASSIFICADO","RATEIO OK"))))</f>
        <v/>
      </c>
      <c r="R2564" s="49"/>
      <c r="S2564" s="14"/>
    </row>
    <row r="2565" spans="1:19" ht="30" customHeight="1" x14ac:dyDescent="0.25">
      <c r="A2565" s="49" t="str">
        <f>IF(C2565="","","BAN-02564")</f>
        <v/>
      </c>
      <c r="B2565" s="98" t="str">
        <f>IF(C2565="","",2564)</f>
        <v/>
      </c>
      <c r="C2565" s="50"/>
      <c r="D2565" s="49" t="str">
        <f t="shared" si="81"/>
        <v/>
      </c>
      <c r="E2565" s="92"/>
      <c r="F2565" s="49"/>
      <c r="G2565" s="14"/>
      <c r="H2565" s="14"/>
      <c r="I2565" s="76"/>
      <c r="J2565" s="73"/>
      <c r="K2565" s="74"/>
      <c r="L2565" s="72"/>
      <c r="M2565" s="72"/>
      <c r="N2565" s="72" t="str">
        <f>IF(AND(C2565="",J2565=0,K2565=0,L2565=0,M2565=0),"",CADASTROS!$B$4+SUM($J$2:J2565)+SUM($M$2:M2565)-SUM($K$2:K2565)-SUM($L$2:L2565))</f>
        <v/>
      </c>
      <c r="O2565" s="72" t="str">
        <f>IF(A2565="","",SUMIF(RATEIOS!$A$2:$A$3142,$A2565,RATEIOS!$F$2:$F$3142))</f>
        <v/>
      </c>
      <c r="P2565" s="15" t="str">
        <f t="shared" si="82"/>
        <v/>
      </c>
      <c r="Q2565" s="49" t="str">
        <f>IF(AND(J2565=0,K2565=0,L2565=0,M2565=0),"",IF(O2565=0,"PENDENTE DE RATEIO",IF(ABS(P2565)&gt;0.005,"DIVERGÊNCIA",IF(COUNTIF(RATEIOS!$A$2:$A$3142,$A2565)-COUNTIFS(RATEIOS!$A$2:$A$3142,$A2565,RATEIOS!$D$2:$D$3142,"&lt;&gt;")&gt;0,"NÃO CLASSIFICADO","RATEIO OK"))))</f>
        <v/>
      </c>
      <c r="R2565" s="49"/>
      <c r="S2565" s="14"/>
    </row>
    <row r="2566" spans="1:19" ht="30" customHeight="1" x14ac:dyDescent="0.25">
      <c r="A2566" s="49" t="str">
        <f>IF(C2566="","","BAN-02565")</f>
        <v/>
      </c>
      <c r="B2566" s="98" t="str">
        <f>IF(C2566="","",2565)</f>
        <v/>
      </c>
      <c r="C2566" s="50"/>
      <c r="D2566" s="49" t="str">
        <f t="shared" si="81"/>
        <v/>
      </c>
      <c r="E2566" s="92"/>
      <c r="F2566" s="49"/>
      <c r="G2566" s="14"/>
      <c r="H2566" s="14"/>
      <c r="I2566" s="76"/>
      <c r="J2566" s="73"/>
      <c r="K2566" s="74"/>
      <c r="L2566" s="72"/>
      <c r="M2566" s="72"/>
      <c r="N2566" s="72" t="str">
        <f>IF(AND(C2566="",J2566=0,K2566=0,L2566=0,M2566=0),"",CADASTROS!$B$4+SUM($J$2:J2566)+SUM($M$2:M2566)-SUM($K$2:K2566)-SUM($L$2:L2566))</f>
        <v/>
      </c>
      <c r="O2566" s="72" t="str">
        <f>IF(A2566="","",SUMIF(RATEIOS!$A$2:$A$3142,$A2566,RATEIOS!$F$2:$F$3142))</f>
        <v/>
      </c>
      <c r="P2566" s="15" t="str">
        <f t="shared" si="82"/>
        <v/>
      </c>
      <c r="Q2566" s="49" t="str">
        <f>IF(AND(J2566=0,K2566=0,L2566=0,M2566=0),"",IF(O2566=0,"PENDENTE DE RATEIO",IF(ABS(P2566)&gt;0.005,"DIVERGÊNCIA",IF(COUNTIF(RATEIOS!$A$2:$A$3142,$A2566)-COUNTIFS(RATEIOS!$A$2:$A$3142,$A2566,RATEIOS!$D$2:$D$3142,"&lt;&gt;")&gt;0,"NÃO CLASSIFICADO","RATEIO OK"))))</f>
        <v/>
      </c>
      <c r="R2566" s="49"/>
      <c r="S2566" s="14"/>
    </row>
    <row r="2567" spans="1:19" ht="30" customHeight="1" x14ac:dyDescent="0.25">
      <c r="A2567" s="49" t="str">
        <f>IF(C2567="","","BAN-02566")</f>
        <v/>
      </c>
      <c r="B2567" s="98" t="str">
        <f>IF(C2567="","",2566)</f>
        <v/>
      </c>
      <c r="C2567" s="50"/>
      <c r="D2567" s="49" t="str">
        <f t="shared" si="81"/>
        <v/>
      </c>
      <c r="E2567" s="92"/>
      <c r="F2567" s="49"/>
      <c r="G2567" s="14"/>
      <c r="H2567" s="14"/>
      <c r="I2567" s="76"/>
      <c r="J2567" s="73"/>
      <c r="K2567" s="74"/>
      <c r="L2567" s="72"/>
      <c r="M2567" s="72"/>
      <c r="N2567" s="72" t="str">
        <f>IF(AND(C2567="",J2567=0,K2567=0,L2567=0,M2567=0),"",CADASTROS!$B$4+SUM($J$2:J2567)+SUM($M$2:M2567)-SUM($K$2:K2567)-SUM($L$2:L2567))</f>
        <v/>
      </c>
      <c r="O2567" s="72" t="str">
        <f>IF(A2567="","",SUMIF(RATEIOS!$A$2:$A$3142,$A2567,RATEIOS!$F$2:$F$3142))</f>
        <v/>
      </c>
      <c r="P2567" s="15" t="str">
        <f t="shared" si="82"/>
        <v/>
      </c>
      <c r="Q2567" s="49" t="str">
        <f>IF(AND(J2567=0,K2567=0,L2567=0,M2567=0),"",IF(O2567=0,"PENDENTE DE RATEIO",IF(ABS(P2567)&gt;0.005,"DIVERGÊNCIA",IF(COUNTIF(RATEIOS!$A$2:$A$3142,$A2567)-COUNTIFS(RATEIOS!$A$2:$A$3142,$A2567,RATEIOS!$D$2:$D$3142,"&lt;&gt;")&gt;0,"NÃO CLASSIFICADO","RATEIO OK"))))</f>
        <v/>
      </c>
      <c r="R2567" s="49"/>
      <c r="S2567" s="14"/>
    </row>
    <row r="2568" spans="1:19" ht="30" customHeight="1" x14ac:dyDescent="0.25">
      <c r="A2568" s="49" t="str">
        <f>IF(C2568="","","BAN-02567")</f>
        <v/>
      </c>
      <c r="B2568" s="98" t="str">
        <f>IF(C2568="","",2567)</f>
        <v/>
      </c>
      <c r="C2568" s="50"/>
      <c r="D2568" s="49" t="str">
        <f t="shared" si="81"/>
        <v/>
      </c>
      <c r="E2568" s="92"/>
      <c r="F2568" s="49"/>
      <c r="G2568" s="14"/>
      <c r="H2568" s="14"/>
      <c r="I2568" s="76"/>
      <c r="J2568" s="73"/>
      <c r="K2568" s="74"/>
      <c r="L2568" s="72"/>
      <c r="M2568" s="72"/>
      <c r="N2568" s="72" t="str">
        <f>IF(AND(C2568="",J2568=0,K2568=0,L2568=0,M2568=0),"",CADASTROS!$B$4+SUM($J$2:J2568)+SUM($M$2:M2568)-SUM($K$2:K2568)-SUM($L$2:L2568))</f>
        <v/>
      </c>
      <c r="O2568" s="72" t="str">
        <f>IF(A2568="","",SUMIF(RATEIOS!$A$2:$A$3142,$A2568,RATEIOS!$F$2:$F$3142))</f>
        <v/>
      </c>
      <c r="P2568" s="15" t="str">
        <f t="shared" si="82"/>
        <v/>
      </c>
      <c r="Q2568" s="49" t="str">
        <f>IF(AND(J2568=0,K2568=0,L2568=0,M2568=0),"",IF(O2568=0,"PENDENTE DE RATEIO",IF(ABS(P2568)&gt;0.005,"DIVERGÊNCIA",IF(COUNTIF(RATEIOS!$A$2:$A$3142,$A2568)-COUNTIFS(RATEIOS!$A$2:$A$3142,$A2568,RATEIOS!$D$2:$D$3142,"&lt;&gt;")&gt;0,"NÃO CLASSIFICADO","RATEIO OK"))))</f>
        <v/>
      </c>
      <c r="R2568" s="49"/>
      <c r="S2568" s="14"/>
    </row>
    <row r="2569" spans="1:19" ht="30" customHeight="1" x14ac:dyDescent="0.25">
      <c r="A2569" s="49" t="str">
        <f>IF(C2569="","","BAN-02568")</f>
        <v/>
      </c>
      <c r="B2569" s="98" t="str">
        <f>IF(C2569="","",2568)</f>
        <v/>
      </c>
      <c r="C2569" s="50"/>
      <c r="D2569" s="49" t="str">
        <f t="shared" si="81"/>
        <v/>
      </c>
      <c r="E2569" s="92"/>
      <c r="F2569" s="49"/>
      <c r="G2569" s="14"/>
      <c r="H2569" s="14"/>
      <c r="I2569" s="76"/>
      <c r="J2569" s="73"/>
      <c r="K2569" s="74"/>
      <c r="L2569" s="72"/>
      <c r="M2569" s="72"/>
      <c r="N2569" s="72" t="str">
        <f>IF(AND(C2569="",J2569=0,K2569=0,L2569=0,M2569=0),"",CADASTROS!$B$4+SUM($J$2:J2569)+SUM($M$2:M2569)-SUM($K$2:K2569)-SUM($L$2:L2569))</f>
        <v/>
      </c>
      <c r="O2569" s="72" t="str">
        <f>IF(A2569="","",SUMIF(RATEIOS!$A$2:$A$3142,$A2569,RATEIOS!$F$2:$F$3142))</f>
        <v/>
      </c>
      <c r="P2569" s="15" t="str">
        <f t="shared" si="82"/>
        <v/>
      </c>
      <c r="Q2569" s="49" t="str">
        <f>IF(AND(J2569=0,K2569=0,L2569=0,M2569=0),"",IF(O2569=0,"PENDENTE DE RATEIO",IF(ABS(P2569)&gt;0.005,"DIVERGÊNCIA",IF(COUNTIF(RATEIOS!$A$2:$A$3142,$A2569)-COUNTIFS(RATEIOS!$A$2:$A$3142,$A2569,RATEIOS!$D$2:$D$3142,"&lt;&gt;")&gt;0,"NÃO CLASSIFICADO","RATEIO OK"))))</f>
        <v/>
      </c>
      <c r="R2569" s="49"/>
      <c r="S2569" s="14"/>
    </row>
    <row r="2570" spans="1:19" ht="30" customHeight="1" x14ac:dyDescent="0.25">
      <c r="A2570" s="49" t="str">
        <f>IF(C2570="","","BAN-02569")</f>
        <v/>
      </c>
      <c r="B2570" s="98" t="str">
        <f>IF(C2570="","",2569)</f>
        <v/>
      </c>
      <c r="C2570" s="50"/>
      <c r="D2570" s="49" t="str">
        <f t="shared" si="81"/>
        <v/>
      </c>
      <c r="E2570" s="92"/>
      <c r="F2570" s="49"/>
      <c r="G2570" s="14"/>
      <c r="H2570" s="14"/>
      <c r="I2570" s="76"/>
      <c r="J2570" s="73"/>
      <c r="K2570" s="74"/>
      <c r="L2570" s="72"/>
      <c r="M2570" s="72"/>
      <c r="N2570" s="72" t="str">
        <f>IF(AND(C2570="",J2570=0,K2570=0,L2570=0,M2570=0),"",CADASTROS!$B$4+SUM($J$2:J2570)+SUM($M$2:M2570)-SUM($K$2:K2570)-SUM($L$2:L2570))</f>
        <v/>
      </c>
      <c r="O2570" s="72" t="str">
        <f>IF(A2570="","",SUMIF(RATEIOS!$A$2:$A$3142,$A2570,RATEIOS!$F$2:$F$3142))</f>
        <v/>
      </c>
      <c r="P2570" s="15" t="str">
        <f t="shared" si="82"/>
        <v/>
      </c>
      <c r="Q2570" s="49" t="str">
        <f>IF(AND(J2570=0,K2570=0,L2570=0,M2570=0),"",IF(O2570=0,"PENDENTE DE RATEIO",IF(ABS(P2570)&gt;0.005,"DIVERGÊNCIA",IF(COUNTIF(RATEIOS!$A$2:$A$3142,$A2570)-COUNTIFS(RATEIOS!$A$2:$A$3142,$A2570,RATEIOS!$D$2:$D$3142,"&lt;&gt;")&gt;0,"NÃO CLASSIFICADO","RATEIO OK"))))</f>
        <v/>
      </c>
      <c r="R2570" s="49"/>
      <c r="S2570" s="14"/>
    </row>
    <row r="2571" spans="1:19" ht="30" customHeight="1" x14ac:dyDescent="0.25">
      <c r="A2571" s="49" t="str">
        <f>IF(C2571="","","BAN-02570")</f>
        <v/>
      </c>
      <c r="B2571" s="98" t="str">
        <f>IF(C2571="","",2570)</f>
        <v/>
      </c>
      <c r="C2571" s="50"/>
      <c r="D2571" s="49" t="str">
        <f t="shared" si="81"/>
        <v/>
      </c>
      <c r="E2571" s="92"/>
      <c r="F2571" s="49"/>
      <c r="G2571" s="14"/>
      <c r="H2571" s="14"/>
      <c r="I2571" s="76"/>
      <c r="J2571" s="73"/>
      <c r="K2571" s="74"/>
      <c r="L2571" s="72"/>
      <c r="M2571" s="72"/>
      <c r="N2571" s="72" t="str">
        <f>IF(AND(C2571="",J2571=0,K2571=0,L2571=0,M2571=0),"",CADASTROS!$B$4+SUM($J$2:J2571)+SUM($M$2:M2571)-SUM($K$2:K2571)-SUM($L$2:L2571))</f>
        <v/>
      </c>
      <c r="O2571" s="72" t="str">
        <f>IF(A2571="","",SUMIF(RATEIOS!$A$2:$A$3142,$A2571,RATEIOS!$F$2:$F$3142))</f>
        <v/>
      </c>
      <c r="P2571" s="15" t="str">
        <f t="shared" si="82"/>
        <v/>
      </c>
      <c r="Q2571" s="49" t="str">
        <f>IF(AND(J2571=0,K2571=0,L2571=0,M2571=0),"",IF(O2571=0,"PENDENTE DE RATEIO",IF(ABS(P2571)&gt;0.005,"DIVERGÊNCIA",IF(COUNTIF(RATEIOS!$A$2:$A$3142,$A2571)-COUNTIFS(RATEIOS!$A$2:$A$3142,$A2571,RATEIOS!$D$2:$D$3142,"&lt;&gt;")&gt;0,"NÃO CLASSIFICADO","RATEIO OK"))))</f>
        <v/>
      </c>
      <c r="R2571" s="49"/>
      <c r="S2571" s="14"/>
    </row>
    <row r="2572" spans="1:19" ht="30" customHeight="1" x14ac:dyDescent="0.25">
      <c r="A2572" s="49" t="str">
        <f>IF(C2572="","","BAN-02571")</f>
        <v/>
      </c>
      <c r="B2572" s="98" t="str">
        <f>IF(C2572="","",2571)</f>
        <v/>
      </c>
      <c r="C2572" s="50"/>
      <c r="D2572" s="49" t="str">
        <f t="shared" si="81"/>
        <v/>
      </c>
      <c r="E2572" s="92"/>
      <c r="F2572" s="49"/>
      <c r="G2572" s="14"/>
      <c r="H2572" s="14"/>
      <c r="I2572" s="76"/>
      <c r="J2572" s="73"/>
      <c r="K2572" s="74"/>
      <c r="L2572" s="72"/>
      <c r="M2572" s="72"/>
      <c r="N2572" s="72" t="str">
        <f>IF(AND(C2572="",J2572=0,K2572=0,L2572=0,M2572=0),"",CADASTROS!$B$4+SUM($J$2:J2572)+SUM($M$2:M2572)-SUM($K$2:K2572)-SUM($L$2:L2572))</f>
        <v/>
      </c>
      <c r="O2572" s="72" t="str">
        <f>IF(A2572="","",SUMIF(RATEIOS!$A$2:$A$3142,$A2572,RATEIOS!$F$2:$F$3142))</f>
        <v/>
      </c>
      <c r="P2572" s="15" t="str">
        <f t="shared" si="82"/>
        <v/>
      </c>
      <c r="Q2572" s="49" t="str">
        <f>IF(AND(J2572=0,K2572=0,L2572=0,M2572=0),"",IF(O2572=0,"PENDENTE DE RATEIO",IF(ABS(P2572)&gt;0.005,"DIVERGÊNCIA",IF(COUNTIF(RATEIOS!$A$2:$A$3142,$A2572)-COUNTIFS(RATEIOS!$A$2:$A$3142,$A2572,RATEIOS!$D$2:$D$3142,"&lt;&gt;")&gt;0,"NÃO CLASSIFICADO","RATEIO OK"))))</f>
        <v/>
      </c>
      <c r="R2572" s="49"/>
      <c r="S2572" s="14"/>
    </row>
    <row r="2573" spans="1:19" ht="30" customHeight="1" x14ac:dyDescent="0.25">
      <c r="A2573" s="49" t="str">
        <f>IF(C2573="","","BAN-02572")</f>
        <v/>
      </c>
      <c r="B2573" s="98" t="str">
        <f>IF(C2573="","",2572)</f>
        <v/>
      </c>
      <c r="C2573" s="50"/>
      <c r="D2573" s="49" t="str">
        <f t="shared" si="81"/>
        <v/>
      </c>
      <c r="E2573" s="92"/>
      <c r="F2573" s="49"/>
      <c r="G2573" s="14"/>
      <c r="H2573" s="14"/>
      <c r="I2573" s="76"/>
      <c r="J2573" s="73"/>
      <c r="K2573" s="74"/>
      <c r="L2573" s="72"/>
      <c r="M2573" s="72"/>
      <c r="N2573" s="72" t="str">
        <f>IF(AND(C2573="",J2573=0,K2573=0,L2573=0,M2573=0),"",CADASTROS!$B$4+SUM($J$2:J2573)+SUM($M$2:M2573)-SUM($K$2:K2573)-SUM($L$2:L2573))</f>
        <v/>
      </c>
      <c r="O2573" s="72" t="str">
        <f>IF(A2573="","",SUMIF(RATEIOS!$A$2:$A$3142,$A2573,RATEIOS!$F$2:$F$3142))</f>
        <v/>
      </c>
      <c r="P2573" s="15" t="str">
        <f t="shared" si="82"/>
        <v/>
      </c>
      <c r="Q2573" s="49" t="str">
        <f>IF(AND(J2573=0,K2573=0,L2573=0,M2573=0),"",IF(O2573=0,"PENDENTE DE RATEIO",IF(ABS(P2573)&gt;0.005,"DIVERGÊNCIA",IF(COUNTIF(RATEIOS!$A$2:$A$3142,$A2573)-COUNTIFS(RATEIOS!$A$2:$A$3142,$A2573,RATEIOS!$D$2:$D$3142,"&lt;&gt;")&gt;0,"NÃO CLASSIFICADO","RATEIO OK"))))</f>
        <v/>
      </c>
      <c r="R2573" s="49"/>
      <c r="S2573" s="14"/>
    </row>
    <row r="2574" spans="1:19" ht="30" customHeight="1" x14ac:dyDescent="0.25">
      <c r="A2574" s="49" t="str">
        <f>IF(C2574="","","BAN-02573")</f>
        <v/>
      </c>
      <c r="B2574" s="98" t="str">
        <f>IF(C2574="","",2573)</f>
        <v/>
      </c>
      <c r="C2574" s="50"/>
      <c r="D2574" s="49" t="str">
        <f t="shared" si="81"/>
        <v/>
      </c>
      <c r="E2574" s="92"/>
      <c r="F2574" s="49"/>
      <c r="G2574" s="14"/>
      <c r="H2574" s="14"/>
      <c r="I2574" s="76"/>
      <c r="J2574" s="73"/>
      <c r="K2574" s="74"/>
      <c r="L2574" s="72"/>
      <c r="M2574" s="72"/>
      <c r="N2574" s="72" t="str">
        <f>IF(AND(C2574="",J2574=0,K2574=0,L2574=0,M2574=0),"",CADASTROS!$B$4+SUM($J$2:J2574)+SUM($M$2:M2574)-SUM($K$2:K2574)-SUM($L$2:L2574))</f>
        <v/>
      </c>
      <c r="O2574" s="72" t="str">
        <f>IF(A2574="","",SUMIF(RATEIOS!$A$2:$A$3142,$A2574,RATEIOS!$F$2:$F$3142))</f>
        <v/>
      </c>
      <c r="P2574" s="15" t="str">
        <f t="shared" si="82"/>
        <v/>
      </c>
      <c r="Q2574" s="49" t="str">
        <f>IF(AND(J2574=0,K2574=0,L2574=0,M2574=0),"",IF(O2574=0,"PENDENTE DE RATEIO",IF(ABS(P2574)&gt;0.005,"DIVERGÊNCIA",IF(COUNTIF(RATEIOS!$A$2:$A$3142,$A2574)-COUNTIFS(RATEIOS!$A$2:$A$3142,$A2574,RATEIOS!$D$2:$D$3142,"&lt;&gt;")&gt;0,"NÃO CLASSIFICADO","RATEIO OK"))))</f>
        <v/>
      </c>
      <c r="R2574" s="49"/>
      <c r="S2574" s="14"/>
    </row>
    <row r="2575" spans="1:19" ht="30" customHeight="1" x14ac:dyDescent="0.25">
      <c r="A2575" s="49" t="str">
        <f>IF(C2575="","","BAN-02574")</f>
        <v/>
      </c>
      <c r="B2575" s="98" t="str">
        <f>IF(C2575="","",2574)</f>
        <v/>
      </c>
      <c r="C2575" s="50"/>
      <c r="D2575" s="49" t="str">
        <f t="shared" si="81"/>
        <v/>
      </c>
      <c r="E2575" s="92"/>
      <c r="F2575" s="49"/>
      <c r="G2575" s="14"/>
      <c r="H2575" s="14"/>
      <c r="I2575" s="76"/>
      <c r="J2575" s="73"/>
      <c r="K2575" s="74"/>
      <c r="L2575" s="72"/>
      <c r="M2575" s="72"/>
      <c r="N2575" s="72" t="str">
        <f>IF(AND(C2575="",J2575=0,K2575=0,L2575=0,M2575=0),"",CADASTROS!$B$4+SUM($J$2:J2575)+SUM($M$2:M2575)-SUM($K$2:K2575)-SUM($L$2:L2575))</f>
        <v/>
      </c>
      <c r="O2575" s="72" t="str">
        <f>IF(A2575="","",SUMIF(RATEIOS!$A$2:$A$3142,$A2575,RATEIOS!$F$2:$F$3142))</f>
        <v/>
      </c>
      <c r="P2575" s="15" t="str">
        <f t="shared" si="82"/>
        <v/>
      </c>
      <c r="Q2575" s="49" t="str">
        <f>IF(AND(J2575=0,K2575=0,L2575=0,M2575=0),"",IF(O2575=0,"PENDENTE DE RATEIO",IF(ABS(P2575)&gt;0.005,"DIVERGÊNCIA",IF(COUNTIF(RATEIOS!$A$2:$A$3142,$A2575)-COUNTIFS(RATEIOS!$A$2:$A$3142,$A2575,RATEIOS!$D$2:$D$3142,"&lt;&gt;")&gt;0,"NÃO CLASSIFICADO","RATEIO OK"))))</f>
        <v/>
      </c>
      <c r="R2575" s="49"/>
      <c r="S2575" s="14"/>
    </row>
    <row r="2576" spans="1:19" ht="30" customHeight="1" x14ac:dyDescent="0.25">
      <c r="A2576" s="49" t="str">
        <f>IF(C2576="","","BAN-02575")</f>
        <v/>
      </c>
      <c r="B2576" s="98" t="str">
        <f>IF(C2576="","",2575)</f>
        <v/>
      </c>
      <c r="C2576" s="50"/>
      <c r="D2576" s="49" t="str">
        <f t="shared" si="81"/>
        <v/>
      </c>
      <c r="E2576" s="92"/>
      <c r="F2576" s="49"/>
      <c r="G2576" s="14"/>
      <c r="H2576" s="14"/>
      <c r="I2576" s="76"/>
      <c r="J2576" s="73"/>
      <c r="K2576" s="74"/>
      <c r="L2576" s="72"/>
      <c r="M2576" s="72"/>
      <c r="N2576" s="72" t="str">
        <f>IF(AND(C2576="",J2576=0,K2576=0,L2576=0,M2576=0),"",CADASTROS!$B$4+SUM($J$2:J2576)+SUM($M$2:M2576)-SUM($K$2:K2576)-SUM($L$2:L2576))</f>
        <v/>
      </c>
      <c r="O2576" s="72" t="str">
        <f>IF(A2576="","",SUMIF(RATEIOS!$A$2:$A$3142,$A2576,RATEIOS!$F$2:$F$3142))</f>
        <v/>
      </c>
      <c r="P2576" s="15" t="str">
        <f t="shared" si="82"/>
        <v/>
      </c>
      <c r="Q2576" s="49" t="str">
        <f>IF(AND(J2576=0,K2576=0,L2576=0,M2576=0),"",IF(O2576=0,"PENDENTE DE RATEIO",IF(ABS(P2576)&gt;0.005,"DIVERGÊNCIA",IF(COUNTIF(RATEIOS!$A$2:$A$3142,$A2576)-COUNTIFS(RATEIOS!$A$2:$A$3142,$A2576,RATEIOS!$D$2:$D$3142,"&lt;&gt;")&gt;0,"NÃO CLASSIFICADO","RATEIO OK"))))</f>
        <v/>
      </c>
      <c r="R2576" s="49"/>
      <c r="S2576" s="14"/>
    </row>
    <row r="2577" spans="1:19" ht="30" customHeight="1" x14ac:dyDescent="0.25">
      <c r="A2577" s="49" t="str">
        <f>IF(C2577="","","BAN-02576")</f>
        <v/>
      </c>
      <c r="B2577" s="98" t="str">
        <f>IF(C2577="","",2576)</f>
        <v/>
      </c>
      <c r="C2577" s="50"/>
      <c r="D2577" s="49" t="str">
        <f t="shared" si="81"/>
        <v/>
      </c>
      <c r="E2577" s="92"/>
      <c r="F2577" s="49"/>
      <c r="G2577" s="14"/>
      <c r="H2577" s="14"/>
      <c r="I2577" s="76"/>
      <c r="J2577" s="73"/>
      <c r="K2577" s="74"/>
      <c r="L2577" s="72"/>
      <c r="M2577" s="72"/>
      <c r="N2577" s="72" t="str">
        <f>IF(AND(C2577="",J2577=0,K2577=0,L2577=0,M2577=0),"",CADASTROS!$B$4+SUM($J$2:J2577)+SUM($M$2:M2577)-SUM($K$2:K2577)-SUM($L$2:L2577))</f>
        <v/>
      </c>
      <c r="O2577" s="72" t="str">
        <f>IF(A2577="","",SUMIF(RATEIOS!$A$2:$A$3142,$A2577,RATEIOS!$F$2:$F$3142))</f>
        <v/>
      </c>
      <c r="P2577" s="15" t="str">
        <f t="shared" si="82"/>
        <v/>
      </c>
      <c r="Q2577" s="49" t="str">
        <f>IF(AND(J2577=0,K2577=0,L2577=0,M2577=0),"",IF(O2577=0,"PENDENTE DE RATEIO",IF(ABS(P2577)&gt;0.005,"DIVERGÊNCIA",IF(COUNTIF(RATEIOS!$A$2:$A$3142,$A2577)-COUNTIFS(RATEIOS!$A$2:$A$3142,$A2577,RATEIOS!$D$2:$D$3142,"&lt;&gt;")&gt;0,"NÃO CLASSIFICADO","RATEIO OK"))))</f>
        <v/>
      </c>
      <c r="R2577" s="49"/>
      <c r="S2577" s="14"/>
    </row>
    <row r="2578" spans="1:19" ht="30" customHeight="1" x14ac:dyDescent="0.25">
      <c r="A2578" s="49" t="str">
        <f>IF(C2578="","","BAN-02577")</f>
        <v/>
      </c>
      <c r="B2578" s="98" t="str">
        <f>IF(C2578="","",2577)</f>
        <v/>
      </c>
      <c r="C2578" s="50"/>
      <c r="D2578" s="49" t="str">
        <f t="shared" si="81"/>
        <v/>
      </c>
      <c r="E2578" s="92"/>
      <c r="F2578" s="49"/>
      <c r="G2578" s="14"/>
      <c r="H2578" s="14"/>
      <c r="I2578" s="76"/>
      <c r="J2578" s="73"/>
      <c r="K2578" s="74"/>
      <c r="L2578" s="72"/>
      <c r="M2578" s="72"/>
      <c r="N2578" s="72" t="str">
        <f>IF(AND(C2578="",J2578=0,K2578=0,L2578=0,M2578=0),"",CADASTROS!$B$4+SUM($J$2:J2578)+SUM($M$2:M2578)-SUM($K$2:K2578)-SUM($L$2:L2578))</f>
        <v/>
      </c>
      <c r="O2578" s="72" t="str">
        <f>IF(A2578="","",SUMIF(RATEIOS!$A$2:$A$3142,$A2578,RATEIOS!$F$2:$F$3142))</f>
        <v/>
      </c>
      <c r="P2578" s="15" t="str">
        <f t="shared" si="82"/>
        <v/>
      </c>
      <c r="Q2578" s="49" t="str">
        <f>IF(AND(J2578=0,K2578=0,L2578=0,M2578=0),"",IF(O2578=0,"PENDENTE DE RATEIO",IF(ABS(P2578)&gt;0.005,"DIVERGÊNCIA",IF(COUNTIF(RATEIOS!$A$2:$A$3142,$A2578)-COUNTIFS(RATEIOS!$A$2:$A$3142,$A2578,RATEIOS!$D$2:$D$3142,"&lt;&gt;")&gt;0,"NÃO CLASSIFICADO","RATEIO OK"))))</f>
        <v/>
      </c>
      <c r="R2578" s="49"/>
      <c r="S2578" s="14"/>
    </row>
    <row r="2579" spans="1:19" ht="30" customHeight="1" x14ac:dyDescent="0.25">
      <c r="A2579" s="49" t="str">
        <f>IF(C2579="","","BAN-02578")</f>
        <v/>
      </c>
      <c r="B2579" s="98" t="str">
        <f>IF(C2579="","",2578)</f>
        <v/>
      </c>
      <c r="C2579" s="50"/>
      <c r="D2579" s="49" t="str">
        <f t="shared" si="81"/>
        <v/>
      </c>
      <c r="E2579" s="92"/>
      <c r="F2579" s="49"/>
      <c r="G2579" s="14"/>
      <c r="H2579" s="14"/>
      <c r="I2579" s="76"/>
      <c r="J2579" s="73"/>
      <c r="K2579" s="74"/>
      <c r="L2579" s="72"/>
      <c r="M2579" s="72"/>
      <c r="N2579" s="72" t="str">
        <f>IF(AND(C2579="",J2579=0,K2579=0,L2579=0,M2579=0),"",CADASTROS!$B$4+SUM($J$2:J2579)+SUM($M$2:M2579)-SUM($K$2:K2579)-SUM($L$2:L2579))</f>
        <v/>
      </c>
      <c r="O2579" s="72" t="str">
        <f>IF(A2579="","",SUMIF(RATEIOS!$A$2:$A$3142,$A2579,RATEIOS!$F$2:$F$3142))</f>
        <v/>
      </c>
      <c r="P2579" s="15" t="str">
        <f t="shared" si="82"/>
        <v/>
      </c>
      <c r="Q2579" s="49" t="str">
        <f>IF(AND(J2579=0,K2579=0,L2579=0,M2579=0),"",IF(O2579=0,"PENDENTE DE RATEIO",IF(ABS(P2579)&gt;0.005,"DIVERGÊNCIA",IF(COUNTIF(RATEIOS!$A$2:$A$3142,$A2579)-COUNTIFS(RATEIOS!$A$2:$A$3142,$A2579,RATEIOS!$D$2:$D$3142,"&lt;&gt;")&gt;0,"NÃO CLASSIFICADO","RATEIO OK"))))</f>
        <v/>
      </c>
      <c r="R2579" s="49"/>
      <c r="S2579" s="14"/>
    </row>
    <row r="2580" spans="1:19" ht="30" customHeight="1" x14ac:dyDescent="0.25">
      <c r="A2580" s="49" t="str">
        <f>IF(C2580="","","BAN-02579")</f>
        <v/>
      </c>
      <c r="B2580" s="98" t="str">
        <f>IF(C2580="","",2579)</f>
        <v/>
      </c>
      <c r="C2580" s="50"/>
      <c r="D2580" s="49" t="str">
        <f t="shared" si="81"/>
        <v/>
      </c>
      <c r="E2580" s="92"/>
      <c r="F2580" s="49"/>
      <c r="G2580" s="14"/>
      <c r="H2580" s="14"/>
      <c r="I2580" s="76"/>
      <c r="J2580" s="73"/>
      <c r="K2580" s="74"/>
      <c r="L2580" s="72"/>
      <c r="M2580" s="72"/>
      <c r="N2580" s="72" t="str">
        <f>IF(AND(C2580="",J2580=0,K2580=0,L2580=0,M2580=0),"",CADASTROS!$B$4+SUM($J$2:J2580)+SUM($M$2:M2580)-SUM($K$2:K2580)-SUM($L$2:L2580))</f>
        <v/>
      </c>
      <c r="O2580" s="72" t="str">
        <f>IF(A2580="","",SUMIF(RATEIOS!$A$2:$A$3142,$A2580,RATEIOS!$F$2:$F$3142))</f>
        <v/>
      </c>
      <c r="P2580" s="15" t="str">
        <f t="shared" si="82"/>
        <v/>
      </c>
      <c r="Q2580" s="49" t="str">
        <f>IF(AND(J2580=0,K2580=0,L2580=0,M2580=0),"",IF(O2580=0,"PENDENTE DE RATEIO",IF(ABS(P2580)&gt;0.005,"DIVERGÊNCIA",IF(COUNTIF(RATEIOS!$A$2:$A$3142,$A2580)-COUNTIFS(RATEIOS!$A$2:$A$3142,$A2580,RATEIOS!$D$2:$D$3142,"&lt;&gt;")&gt;0,"NÃO CLASSIFICADO","RATEIO OK"))))</f>
        <v/>
      </c>
      <c r="R2580" s="49"/>
      <c r="S2580" s="14"/>
    </row>
    <row r="2581" spans="1:19" ht="30" customHeight="1" x14ac:dyDescent="0.25">
      <c r="A2581" s="49" t="str">
        <f>IF(C2581="","","BAN-02580")</f>
        <v/>
      </c>
      <c r="B2581" s="98" t="str">
        <f>IF(C2581="","",2580)</f>
        <v/>
      </c>
      <c r="C2581" s="50"/>
      <c r="D2581" s="49" t="str">
        <f t="shared" si="81"/>
        <v/>
      </c>
      <c r="E2581" s="92"/>
      <c r="F2581" s="49"/>
      <c r="G2581" s="14"/>
      <c r="H2581" s="14"/>
      <c r="I2581" s="76"/>
      <c r="J2581" s="73"/>
      <c r="K2581" s="74"/>
      <c r="L2581" s="72"/>
      <c r="M2581" s="72"/>
      <c r="N2581" s="72" t="str">
        <f>IF(AND(C2581="",J2581=0,K2581=0,L2581=0,M2581=0),"",CADASTROS!$B$4+SUM($J$2:J2581)+SUM($M$2:M2581)-SUM($K$2:K2581)-SUM($L$2:L2581))</f>
        <v/>
      </c>
      <c r="O2581" s="72" t="str">
        <f>IF(A2581="","",SUMIF(RATEIOS!$A$2:$A$3142,$A2581,RATEIOS!$F$2:$F$3142))</f>
        <v/>
      </c>
      <c r="P2581" s="15" t="str">
        <f t="shared" si="82"/>
        <v/>
      </c>
      <c r="Q2581" s="49" t="str">
        <f>IF(AND(J2581=0,K2581=0,L2581=0,M2581=0),"",IF(O2581=0,"PENDENTE DE RATEIO",IF(ABS(P2581)&gt;0.005,"DIVERGÊNCIA",IF(COUNTIF(RATEIOS!$A$2:$A$3142,$A2581)-COUNTIFS(RATEIOS!$A$2:$A$3142,$A2581,RATEIOS!$D$2:$D$3142,"&lt;&gt;")&gt;0,"NÃO CLASSIFICADO","RATEIO OK"))))</f>
        <v/>
      </c>
      <c r="R2581" s="49"/>
      <c r="S2581" s="14"/>
    </row>
    <row r="2582" spans="1:19" ht="30" customHeight="1" x14ac:dyDescent="0.25">
      <c r="A2582" s="49" t="str">
        <f>IF(C2582="","","BAN-02581")</f>
        <v/>
      </c>
      <c r="B2582" s="98" t="str">
        <f>IF(C2582="","",2581)</f>
        <v/>
      </c>
      <c r="C2582" s="50"/>
      <c r="D2582" s="49" t="str">
        <f t="shared" si="81"/>
        <v/>
      </c>
      <c r="E2582" s="92"/>
      <c r="F2582" s="49"/>
      <c r="G2582" s="14"/>
      <c r="H2582" s="14"/>
      <c r="I2582" s="76"/>
      <c r="J2582" s="73"/>
      <c r="K2582" s="74"/>
      <c r="L2582" s="72"/>
      <c r="M2582" s="72"/>
      <c r="N2582" s="72" t="str">
        <f>IF(AND(C2582="",J2582=0,K2582=0,L2582=0,M2582=0),"",CADASTROS!$B$4+SUM($J$2:J2582)+SUM($M$2:M2582)-SUM($K$2:K2582)-SUM($L$2:L2582))</f>
        <v/>
      </c>
      <c r="O2582" s="72" t="str">
        <f>IF(A2582="","",SUMIF(RATEIOS!$A$2:$A$3142,$A2582,RATEIOS!$F$2:$F$3142))</f>
        <v/>
      </c>
      <c r="P2582" s="15" t="str">
        <f t="shared" si="82"/>
        <v/>
      </c>
      <c r="Q2582" s="49" t="str">
        <f>IF(AND(J2582=0,K2582=0,L2582=0,M2582=0),"",IF(O2582=0,"PENDENTE DE RATEIO",IF(ABS(P2582)&gt;0.005,"DIVERGÊNCIA",IF(COUNTIF(RATEIOS!$A$2:$A$3142,$A2582)-COUNTIFS(RATEIOS!$A$2:$A$3142,$A2582,RATEIOS!$D$2:$D$3142,"&lt;&gt;")&gt;0,"NÃO CLASSIFICADO","RATEIO OK"))))</f>
        <v/>
      </c>
      <c r="R2582" s="49"/>
      <c r="S2582" s="14"/>
    </row>
    <row r="2583" spans="1:19" ht="30" customHeight="1" x14ac:dyDescent="0.25">
      <c r="A2583" s="49" t="str">
        <f>IF(C2583="","","BAN-02582")</f>
        <v/>
      </c>
      <c r="B2583" s="98" t="str">
        <f>IF(C2583="","",2582)</f>
        <v/>
      </c>
      <c r="C2583" s="50"/>
      <c r="D2583" s="49" t="str">
        <f t="shared" si="81"/>
        <v/>
      </c>
      <c r="E2583" s="92"/>
      <c r="F2583" s="49"/>
      <c r="G2583" s="14"/>
      <c r="H2583" s="14"/>
      <c r="I2583" s="76"/>
      <c r="J2583" s="73"/>
      <c r="K2583" s="74"/>
      <c r="L2583" s="72"/>
      <c r="M2583" s="72"/>
      <c r="N2583" s="72" t="str">
        <f>IF(AND(C2583="",J2583=0,K2583=0,L2583=0,M2583=0),"",CADASTROS!$B$4+SUM($J$2:J2583)+SUM($M$2:M2583)-SUM($K$2:K2583)-SUM($L$2:L2583))</f>
        <v/>
      </c>
      <c r="O2583" s="72" t="str">
        <f>IF(A2583="","",SUMIF(RATEIOS!$A$2:$A$3142,$A2583,RATEIOS!$F$2:$F$3142))</f>
        <v/>
      </c>
      <c r="P2583" s="15" t="str">
        <f t="shared" si="82"/>
        <v/>
      </c>
      <c r="Q2583" s="49" t="str">
        <f>IF(AND(J2583=0,K2583=0,L2583=0,M2583=0),"",IF(O2583=0,"PENDENTE DE RATEIO",IF(ABS(P2583)&gt;0.005,"DIVERGÊNCIA",IF(COUNTIF(RATEIOS!$A$2:$A$3142,$A2583)-COUNTIFS(RATEIOS!$A$2:$A$3142,$A2583,RATEIOS!$D$2:$D$3142,"&lt;&gt;")&gt;0,"NÃO CLASSIFICADO","RATEIO OK"))))</f>
        <v/>
      </c>
      <c r="R2583" s="49"/>
      <c r="S2583" s="14"/>
    </row>
    <row r="2584" spans="1:19" ht="30" customHeight="1" x14ac:dyDescent="0.25">
      <c r="A2584" s="49" t="str">
        <f>IF(C2584="","","BAN-02583")</f>
        <v/>
      </c>
      <c r="B2584" s="98" t="str">
        <f>IF(C2584="","",2583)</f>
        <v/>
      </c>
      <c r="C2584" s="50"/>
      <c r="D2584" s="49" t="str">
        <f t="shared" si="81"/>
        <v/>
      </c>
      <c r="E2584" s="92"/>
      <c r="F2584" s="49"/>
      <c r="G2584" s="14"/>
      <c r="H2584" s="14"/>
      <c r="I2584" s="76"/>
      <c r="J2584" s="73"/>
      <c r="K2584" s="74"/>
      <c r="L2584" s="72"/>
      <c r="M2584" s="72"/>
      <c r="N2584" s="72" t="str">
        <f>IF(AND(C2584="",J2584=0,K2584=0,L2584=0,M2584=0),"",CADASTROS!$B$4+SUM($J$2:J2584)+SUM($M$2:M2584)-SUM($K$2:K2584)-SUM($L$2:L2584))</f>
        <v/>
      </c>
      <c r="O2584" s="72" t="str">
        <f>IF(A2584="","",SUMIF(RATEIOS!$A$2:$A$3142,$A2584,RATEIOS!$F$2:$F$3142))</f>
        <v/>
      </c>
      <c r="P2584" s="15" t="str">
        <f t="shared" si="82"/>
        <v/>
      </c>
      <c r="Q2584" s="49" t="str">
        <f>IF(AND(J2584=0,K2584=0,L2584=0,M2584=0),"",IF(O2584=0,"PENDENTE DE RATEIO",IF(ABS(P2584)&gt;0.005,"DIVERGÊNCIA",IF(COUNTIF(RATEIOS!$A$2:$A$3142,$A2584)-COUNTIFS(RATEIOS!$A$2:$A$3142,$A2584,RATEIOS!$D$2:$D$3142,"&lt;&gt;")&gt;0,"NÃO CLASSIFICADO","RATEIO OK"))))</f>
        <v/>
      </c>
      <c r="R2584" s="49"/>
      <c r="S2584" s="14"/>
    </row>
    <row r="2585" spans="1:19" ht="30" customHeight="1" x14ac:dyDescent="0.25">
      <c r="A2585" s="49" t="str">
        <f>IF(C2585="","","BAN-02584")</f>
        <v/>
      </c>
      <c r="B2585" s="98" t="str">
        <f>IF(C2585="","",2584)</f>
        <v/>
      </c>
      <c r="C2585" s="50"/>
      <c r="D2585" s="49" t="str">
        <f t="shared" si="81"/>
        <v/>
      </c>
      <c r="E2585" s="92"/>
      <c r="F2585" s="49"/>
      <c r="G2585" s="14"/>
      <c r="H2585" s="14"/>
      <c r="I2585" s="76"/>
      <c r="J2585" s="73"/>
      <c r="K2585" s="74"/>
      <c r="L2585" s="72"/>
      <c r="M2585" s="72"/>
      <c r="N2585" s="72" t="str">
        <f>IF(AND(C2585="",J2585=0,K2585=0,L2585=0,M2585=0),"",CADASTROS!$B$4+SUM($J$2:J2585)+SUM($M$2:M2585)-SUM($K$2:K2585)-SUM($L$2:L2585))</f>
        <v/>
      </c>
      <c r="O2585" s="72" t="str">
        <f>IF(A2585="","",SUMIF(RATEIOS!$A$2:$A$3142,$A2585,RATEIOS!$F$2:$F$3142))</f>
        <v/>
      </c>
      <c r="P2585" s="15" t="str">
        <f t="shared" si="82"/>
        <v/>
      </c>
      <c r="Q2585" s="49" t="str">
        <f>IF(AND(J2585=0,K2585=0,L2585=0,M2585=0),"",IF(O2585=0,"PENDENTE DE RATEIO",IF(ABS(P2585)&gt;0.005,"DIVERGÊNCIA",IF(COUNTIF(RATEIOS!$A$2:$A$3142,$A2585)-COUNTIFS(RATEIOS!$A$2:$A$3142,$A2585,RATEIOS!$D$2:$D$3142,"&lt;&gt;")&gt;0,"NÃO CLASSIFICADO","RATEIO OK"))))</f>
        <v/>
      </c>
      <c r="R2585" s="49"/>
      <c r="S2585" s="14"/>
    </row>
    <row r="2586" spans="1:19" ht="30" customHeight="1" x14ac:dyDescent="0.25">
      <c r="A2586" s="49" t="str">
        <f>IF(C2586="","","BAN-02585")</f>
        <v/>
      </c>
      <c r="B2586" s="98" t="str">
        <f>IF(C2586="","",2585)</f>
        <v/>
      </c>
      <c r="C2586" s="50"/>
      <c r="D2586" s="49" t="str">
        <f t="shared" si="81"/>
        <v/>
      </c>
      <c r="E2586" s="92"/>
      <c r="F2586" s="49"/>
      <c r="G2586" s="14"/>
      <c r="H2586" s="14"/>
      <c r="I2586" s="76"/>
      <c r="J2586" s="73"/>
      <c r="K2586" s="74"/>
      <c r="L2586" s="72"/>
      <c r="M2586" s="72"/>
      <c r="N2586" s="72" t="str">
        <f>IF(AND(C2586="",J2586=0,K2586=0,L2586=0,M2586=0),"",CADASTROS!$B$4+SUM($J$2:J2586)+SUM($M$2:M2586)-SUM($K$2:K2586)-SUM($L$2:L2586))</f>
        <v/>
      </c>
      <c r="O2586" s="72" t="str">
        <f>IF(A2586="","",SUMIF(RATEIOS!$A$2:$A$3142,$A2586,RATEIOS!$F$2:$F$3142))</f>
        <v/>
      </c>
      <c r="P2586" s="15" t="str">
        <f t="shared" si="82"/>
        <v/>
      </c>
      <c r="Q2586" s="49" t="str">
        <f>IF(AND(J2586=0,K2586=0,L2586=0,M2586=0),"",IF(O2586=0,"PENDENTE DE RATEIO",IF(ABS(P2586)&gt;0.005,"DIVERGÊNCIA",IF(COUNTIF(RATEIOS!$A$2:$A$3142,$A2586)-COUNTIFS(RATEIOS!$A$2:$A$3142,$A2586,RATEIOS!$D$2:$D$3142,"&lt;&gt;")&gt;0,"NÃO CLASSIFICADO","RATEIO OK"))))</f>
        <v/>
      </c>
      <c r="R2586" s="49"/>
      <c r="S2586" s="14"/>
    </row>
    <row r="2587" spans="1:19" ht="30" customHeight="1" x14ac:dyDescent="0.25">
      <c r="A2587" s="49" t="str">
        <f>IF(C2587="","","BAN-02586")</f>
        <v/>
      </c>
      <c r="B2587" s="98" t="str">
        <f>IF(C2587="","",2586)</f>
        <v/>
      </c>
      <c r="C2587" s="50"/>
      <c r="D2587" s="49" t="str">
        <f t="shared" si="81"/>
        <v/>
      </c>
      <c r="E2587" s="92"/>
      <c r="F2587" s="49"/>
      <c r="G2587" s="14"/>
      <c r="H2587" s="14"/>
      <c r="I2587" s="76"/>
      <c r="J2587" s="73"/>
      <c r="K2587" s="74"/>
      <c r="L2587" s="72"/>
      <c r="M2587" s="72"/>
      <c r="N2587" s="72" t="str">
        <f>IF(AND(C2587="",J2587=0,K2587=0,L2587=0,M2587=0),"",CADASTROS!$B$4+SUM($J$2:J2587)+SUM($M$2:M2587)-SUM($K$2:K2587)-SUM($L$2:L2587))</f>
        <v/>
      </c>
      <c r="O2587" s="72" t="str">
        <f>IF(A2587="","",SUMIF(RATEIOS!$A$2:$A$3142,$A2587,RATEIOS!$F$2:$F$3142))</f>
        <v/>
      </c>
      <c r="P2587" s="15" t="str">
        <f t="shared" si="82"/>
        <v/>
      </c>
      <c r="Q2587" s="49" t="str">
        <f>IF(AND(J2587=0,K2587=0,L2587=0,M2587=0),"",IF(O2587=0,"PENDENTE DE RATEIO",IF(ABS(P2587)&gt;0.005,"DIVERGÊNCIA",IF(COUNTIF(RATEIOS!$A$2:$A$3142,$A2587)-COUNTIFS(RATEIOS!$A$2:$A$3142,$A2587,RATEIOS!$D$2:$D$3142,"&lt;&gt;")&gt;0,"NÃO CLASSIFICADO","RATEIO OK"))))</f>
        <v/>
      </c>
      <c r="R2587" s="49"/>
      <c r="S2587" s="14"/>
    </row>
    <row r="2588" spans="1:19" ht="30" customHeight="1" x14ac:dyDescent="0.25">
      <c r="A2588" s="49" t="str">
        <f>IF(C2588="","","BAN-02587")</f>
        <v/>
      </c>
      <c r="B2588" s="98" t="str">
        <f>IF(C2588="","",2587)</f>
        <v/>
      </c>
      <c r="C2588" s="50"/>
      <c r="D2588" s="49" t="str">
        <f t="shared" si="81"/>
        <v/>
      </c>
      <c r="E2588" s="92"/>
      <c r="F2588" s="49"/>
      <c r="G2588" s="14"/>
      <c r="H2588" s="14"/>
      <c r="I2588" s="76"/>
      <c r="J2588" s="73"/>
      <c r="K2588" s="74"/>
      <c r="L2588" s="72"/>
      <c r="M2588" s="72"/>
      <c r="N2588" s="72" t="str">
        <f>IF(AND(C2588="",J2588=0,K2588=0,L2588=0,M2588=0),"",CADASTROS!$B$4+SUM($J$2:J2588)+SUM($M$2:M2588)-SUM($K$2:K2588)-SUM($L$2:L2588))</f>
        <v/>
      </c>
      <c r="O2588" s="72" t="str">
        <f>IF(A2588="","",SUMIF(RATEIOS!$A$2:$A$3142,$A2588,RATEIOS!$F$2:$F$3142))</f>
        <v/>
      </c>
      <c r="P2588" s="15" t="str">
        <f t="shared" si="82"/>
        <v/>
      </c>
      <c r="Q2588" s="49" t="str">
        <f>IF(AND(J2588=0,K2588=0,L2588=0,M2588=0),"",IF(O2588=0,"PENDENTE DE RATEIO",IF(ABS(P2588)&gt;0.005,"DIVERGÊNCIA",IF(COUNTIF(RATEIOS!$A$2:$A$3142,$A2588)-COUNTIFS(RATEIOS!$A$2:$A$3142,$A2588,RATEIOS!$D$2:$D$3142,"&lt;&gt;")&gt;0,"NÃO CLASSIFICADO","RATEIO OK"))))</f>
        <v/>
      </c>
      <c r="R2588" s="49"/>
      <c r="S2588" s="14"/>
    </row>
    <row r="2589" spans="1:19" ht="30" customHeight="1" x14ac:dyDescent="0.25">
      <c r="A2589" s="49" t="str">
        <f>IF(C2589="","","BAN-02588")</f>
        <v/>
      </c>
      <c r="B2589" s="98" t="str">
        <f>IF(C2589="","",2588)</f>
        <v/>
      </c>
      <c r="C2589" s="50"/>
      <c r="D2589" s="49" t="str">
        <f t="shared" si="81"/>
        <v/>
      </c>
      <c r="E2589" s="92"/>
      <c r="F2589" s="49"/>
      <c r="G2589" s="14"/>
      <c r="H2589" s="14"/>
      <c r="I2589" s="76"/>
      <c r="J2589" s="73"/>
      <c r="K2589" s="74"/>
      <c r="L2589" s="72"/>
      <c r="M2589" s="72"/>
      <c r="N2589" s="72" t="str">
        <f>IF(AND(C2589="",J2589=0,K2589=0,L2589=0,M2589=0),"",CADASTROS!$B$4+SUM($J$2:J2589)+SUM($M$2:M2589)-SUM($K$2:K2589)-SUM($L$2:L2589))</f>
        <v/>
      </c>
      <c r="O2589" s="72" t="str">
        <f>IF(A2589="","",SUMIF(RATEIOS!$A$2:$A$3142,$A2589,RATEIOS!$F$2:$F$3142))</f>
        <v/>
      </c>
      <c r="P2589" s="15" t="str">
        <f t="shared" si="82"/>
        <v/>
      </c>
      <c r="Q2589" s="49" t="str">
        <f>IF(AND(J2589=0,K2589=0,L2589=0,M2589=0),"",IF(O2589=0,"PENDENTE DE RATEIO",IF(ABS(P2589)&gt;0.005,"DIVERGÊNCIA",IF(COUNTIF(RATEIOS!$A$2:$A$3142,$A2589)-COUNTIFS(RATEIOS!$A$2:$A$3142,$A2589,RATEIOS!$D$2:$D$3142,"&lt;&gt;")&gt;0,"NÃO CLASSIFICADO","RATEIO OK"))))</f>
        <v/>
      </c>
      <c r="R2589" s="49"/>
      <c r="S2589" s="14"/>
    </row>
    <row r="2590" spans="1:19" ht="30" customHeight="1" x14ac:dyDescent="0.25">
      <c r="A2590" s="49" t="str">
        <f>IF(C2590="","","BAN-02589")</f>
        <v/>
      </c>
      <c r="B2590" s="98" t="str">
        <f>IF(C2590="","",2589)</f>
        <v/>
      </c>
      <c r="C2590" s="50"/>
      <c r="D2590" s="49" t="str">
        <f t="shared" si="81"/>
        <v/>
      </c>
      <c r="E2590" s="92"/>
      <c r="F2590" s="49"/>
      <c r="G2590" s="14"/>
      <c r="H2590" s="14"/>
      <c r="I2590" s="76"/>
      <c r="J2590" s="73"/>
      <c r="K2590" s="74"/>
      <c r="L2590" s="72"/>
      <c r="M2590" s="72"/>
      <c r="N2590" s="72" t="str">
        <f>IF(AND(C2590="",J2590=0,K2590=0,L2590=0,M2590=0),"",CADASTROS!$B$4+SUM($J$2:J2590)+SUM($M$2:M2590)-SUM($K$2:K2590)-SUM($L$2:L2590))</f>
        <v/>
      </c>
      <c r="O2590" s="72" t="str">
        <f>IF(A2590="","",SUMIF(RATEIOS!$A$2:$A$3142,$A2590,RATEIOS!$F$2:$F$3142))</f>
        <v/>
      </c>
      <c r="P2590" s="15" t="str">
        <f t="shared" si="82"/>
        <v/>
      </c>
      <c r="Q2590" s="49" t="str">
        <f>IF(AND(J2590=0,K2590=0,L2590=0,M2590=0),"",IF(O2590=0,"PENDENTE DE RATEIO",IF(ABS(P2590)&gt;0.005,"DIVERGÊNCIA",IF(COUNTIF(RATEIOS!$A$2:$A$3142,$A2590)-COUNTIFS(RATEIOS!$A$2:$A$3142,$A2590,RATEIOS!$D$2:$D$3142,"&lt;&gt;")&gt;0,"NÃO CLASSIFICADO","RATEIO OK"))))</f>
        <v/>
      </c>
      <c r="R2590" s="49"/>
      <c r="S2590" s="14"/>
    </row>
    <row r="2591" spans="1:19" ht="30" customHeight="1" x14ac:dyDescent="0.25">
      <c r="A2591" s="49" t="str">
        <f>IF(C2591="","","BAN-02590")</f>
        <v/>
      </c>
      <c r="B2591" s="98" t="str">
        <f>IF(C2591="","",2590)</f>
        <v/>
      </c>
      <c r="C2591" s="50"/>
      <c r="D2591" s="49" t="str">
        <f t="shared" si="81"/>
        <v/>
      </c>
      <c r="E2591" s="92"/>
      <c r="F2591" s="49"/>
      <c r="G2591" s="14"/>
      <c r="H2591" s="14"/>
      <c r="I2591" s="76"/>
      <c r="J2591" s="73"/>
      <c r="K2591" s="74"/>
      <c r="L2591" s="72"/>
      <c r="M2591" s="72"/>
      <c r="N2591" s="72" t="str">
        <f>IF(AND(C2591="",J2591=0,K2591=0,L2591=0,M2591=0),"",CADASTROS!$B$4+SUM($J$2:J2591)+SUM($M$2:M2591)-SUM($K$2:K2591)-SUM($L$2:L2591))</f>
        <v/>
      </c>
      <c r="O2591" s="72" t="str">
        <f>IF(A2591="","",SUMIF(RATEIOS!$A$2:$A$3142,$A2591,RATEIOS!$F$2:$F$3142))</f>
        <v/>
      </c>
      <c r="P2591" s="15" t="str">
        <f t="shared" si="82"/>
        <v/>
      </c>
      <c r="Q2591" s="49" t="str">
        <f>IF(AND(J2591=0,K2591=0,L2591=0,M2591=0),"",IF(O2591=0,"PENDENTE DE RATEIO",IF(ABS(P2591)&gt;0.005,"DIVERGÊNCIA",IF(COUNTIF(RATEIOS!$A$2:$A$3142,$A2591)-COUNTIFS(RATEIOS!$A$2:$A$3142,$A2591,RATEIOS!$D$2:$D$3142,"&lt;&gt;")&gt;0,"NÃO CLASSIFICADO","RATEIO OK"))))</f>
        <v/>
      </c>
      <c r="R2591" s="49"/>
      <c r="S2591" s="14"/>
    </row>
    <row r="2592" spans="1:19" ht="30" customHeight="1" x14ac:dyDescent="0.25">
      <c r="A2592" s="49" t="str">
        <f>IF(C2592="","","BAN-02591")</f>
        <v/>
      </c>
      <c r="B2592" s="98" t="str">
        <f>IF(C2592="","",2591)</f>
        <v/>
      </c>
      <c r="C2592" s="50"/>
      <c r="D2592" s="49" t="str">
        <f t="shared" si="81"/>
        <v/>
      </c>
      <c r="E2592" s="92"/>
      <c r="F2592" s="49"/>
      <c r="G2592" s="14"/>
      <c r="H2592" s="14"/>
      <c r="I2592" s="76"/>
      <c r="J2592" s="73"/>
      <c r="K2592" s="74"/>
      <c r="L2592" s="72"/>
      <c r="M2592" s="72"/>
      <c r="N2592" s="72" t="str">
        <f>IF(AND(C2592="",J2592=0,K2592=0,L2592=0,M2592=0),"",CADASTROS!$B$4+SUM($J$2:J2592)+SUM($M$2:M2592)-SUM($K$2:K2592)-SUM($L$2:L2592))</f>
        <v/>
      </c>
      <c r="O2592" s="72" t="str">
        <f>IF(A2592="","",SUMIF(RATEIOS!$A$2:$A$3142,$A2592,RATEIOS!$F$2:$F$3142))</f>
        <v/>
      </c>
      <c r="P2592" s="15" t="str">
        <f t="shared" si="82"/>
        <v/>
      </c>
      <c r="Q2592" s="49" t="str">
        <f>IF(AND(J2592=0,K2592=0,L2592=0,M2592=0),"",IF(O2592=0,"PENDENTE DE RATEIO",IF(ABS(P2592)&gt;0.005,"DIVERGÊNCIA",IF(COUNTIF(RATEIOS!$A$2:$A$3142,$A2592)-COUNTIFS(RATEIOS!$A$2:$A$3142,$A2592,RATEIOS!$D$2:$D$3142,"&lt;&gt;")&gt;0,"NÃO CLASSIFICADO","RATEIO OK"))))</f>
        <v/>
      </c>
      <c r="R2592" s="49"/>
      <c r="S2592" s="14"/>
    </row>
    <row r="2593" spans="1:19" ht="30" customHeight="1" x14ac:dyDescent="0.25">
      <c r="A2593" s="49" t="str">
        <f>IF(C2593="","","BAN-02592")</f>
        <v/>
      </c>
      <c r="B2593" s="98" t="str">
        <f>IF(C2593="","",2592)</f>
        <v/>
      </c>
      <c r="C2593" s="50"/>
      <c r="D2593" s="49" t="str">
        <f t="shared" si="81"/>
        <v/>
      </c>
      <c r="E2593" s="92"/>
      <c r="F2593" s="49"/>
      <c r="G2593" s="14"/>
      <c r="H2593" s="14"/>
      <c r="I2593" s="76"/>
      <c r="J2593" s="73"/>
      <c r="K2593" s="74"/>
      <c r="L2593" s="72"/>
      <c r="M2593" s="72"/>
      <c r="N2593" s="72" t="str">
        <f>IF(AND(C2593="",J2593=0,K2593=0,L2593=0,M2593=0),"",CADASTROS!$B$4+SUM($J$2:J2593)+SUM($M$2:M2593)-SUM($K$2:K2593)-SUM($L$2:L2593))</f>
        <v/>
      </c>
      <c r="O2593" s="72" t="str">
        <f>IF(A2593="","",SUMIF(RATEIOS!$A$2:$A$3142,$A2593,RATEIOS!$F$2:$F$3142))</f>
        <v/>
      </c>
      <c r="P2593" s="15" t="str">
        <f t="shared" si="82"/>
        <v/>
      </c>
      <c r="Q2593" s="49" t="str">
        <f>IF(AND(J2593=0,K2593=0,L2593=0,M2593=0),"",IF(O2593=0,"PENDENTE DE RATEIO",IF(ABS(P2593)&gt;0.005,"DIVERGÊNCIA",IF(COUNTIF(RATEIOS!$A$2:$A$3142,$A2593)-COUNTIFS(RATEIOS!$A$2:$A$3142,$A2593,RATEIOS!$D$2:$D$3142,"&lt;&gt;")&gt;0,"NÃO CLASSIFICADO","RATEIO OK"))))</f>
        <v/>
      </c>
      <c r="R2593" s="49"/>
      <c r="S2593" s="14"/>
    </row>
    <row r="2594" spans="1:19" ht="30" customHeight="1" x14ac:dyDescent="0.25">
      <c r="A2594" s="49" t="str">
        <f>IF(C2594="","","BAN-02593")</f>
        <v/>
      </c>
      <c r="B2594" s="98" t="str">
        <f>IF(C2594="","",2593)</f>
        <v/>
      </c>
      <c r="C2594" s="50"/>
      <c r="D2594" s="49" t="str">
        <f t="shared" si="81"/>
        <v/>
      </c>
      <c r="E2594" s="92"/>
      <c r="F2594" s="49"/>
      <c r="G2594" s="14"/>
      <c r="H2594" s="14"/>
      <c r="I2594" s="76"/>
      <c r="J2594" s="73"/>
      <c r="K2594" s="74"/>
      <c r="L2594" s="72"/>
      <c r="M2594" s="72"/>
      <c r="N2594" s="72" t="str">
        <f>IF(AND(C2594="",J2594=0,K2594=0,L2594=0,M2594=0),"",CADASTROS!$B$4+SUM($J$2:J2594)+SUM($M$2:M2594)-SUM($K$2:K2594)-SUM($L$2:L2594))</f>
        <v/>
      </c>
      <c r="O2594" s="72" t="str">
        <f>IF(A2594="","",SUMIF(RATEIOS!$A$2:$A$3142,$A2594,RATEIOS!$F$2:$F$3142))</f>
        <v/>
      </c>
      <c r="P2594" s="15" t="str">
        <f t="shared" si="82"/>
        <v/>
      </c>
      <c r="Q2594" s="49" t="str">
        <f>IF(AND(J2594=0,K2594=0,L2594=0,M2594=0),"",IF(O2594=0,"PENDENTE DE RATEIO",IF(ABS(P2594)&gt;0.005,"DIVERGÊNCIA",IF(COUNTIF(RATEIOS!$A$2:$A$3142,$A2594)-COUNTIFS(RATEIOS!$A$2:$A$3142,$A2594,RATEIOS!$D$2:$D$3142,"&lt;&gt;")&gt;0,"NÃO CLASSIFICADO","RATEIO OK"))))</f>
        <v/>
      </c>
      <c r="R2594" s="49"/>
      <c r="S2594" s="14"/>
    </row>
    <row r="2595" spans="1:19" ht="30" customHeight="1" x14ac:dyDescent="0.25">
      <c r="A2595" s="49" t="str">
        <f>IF(C2595="","","BAN-02594")</f>
        <v/>
      </c>
      <c r="B2595" s="98" t="str">
        <f>IF(C2595="","",2594)</f>
        <v/>
      </c>
      <c r="C2595" s="50"/>
      <c r="D2595" s="49" t="str">
        <f t="shared" si="81"/>
        <v/>
      </c>
      <c r="E2595" s="92"/>
      <c r="F2595" s="49"/>
      <c r="G2595" s="14"/>
      <c r="H2595" s="14"/>
      <c r="I2595" s="76"/>
      <c r="J2595" s="73"/>
      <c r="K2595" s="74"/>
      <c r="L2595" s="72"/>
      <c r="M2595" s="72"/>
      <c r="N2595" s="72" t="str">
        <f>IF(AND(C2595="",J2595=0,K2595=0,L2595=0,M2595=0),"",CADASTROS!$B$4+SUM($J$2:J2595)+SUM($M$2:M2595)-SUM($K$2:K2595)-SUM($L$2:L2595))</f>
        <v/>
      </c>
      <c r="O2595" s="72" t="str">
        <f>IF(A2595="","",SUMIF(RATEIOS!$A$2:$A$3142,$A2595,RATEIOS!$F$2:$F$3142))</f>
        <v/>
      </c>
      <c r="P2595" s="15" t="str">
        <f t="shared" si="82"/>
        <v/>
      </c>
      <c r="Q2595" s="49" t="str">
        <f>IF(AND(J2595=0,K2595=0,L2595=0,M2595=0),"",IF(O2595=0,"PENDENTE DE RATEIO",IF(ABS(P2595)&gt;0.005,"DIVERGÊNCIA",IF(COUNTIF(RATEIOS!$A$2:$A$3142,$A2595)-COUNTIFS(RATEIOS!$A$2:$A$3142,$A2595,RATEIOS!$D$2:$D$3142,"&lt;&gt;")&gt;0,"NÃO CLASSIFICADO","RATEIO OK"))))</f>
        <v/>
      </c>
      <c r="R2595" s="49"/>
      <c r="S2595" s="14"/>
    </row>
    <row r="2596" spans="1:19" ht="30" customHeight="1" x14ac:dyDescent="0.25">
      <c r="A2596" s="49" t="str">
        <f>IF(C2596="","","BAN-02595")</f>
        <v/>
      </c>
      <c r="B2596" s="98" t="str">
        <f>IF(C2596="","",2595)</f>
        <v/>
      </c>
      <c r="C2596" s="50"/>
      <c r="D2596" s="49" t="str">
        <f t="shared" si="81"/>
        <v/>
      </c>
      <c r="E2596" s="92"/>
      <c r="F2596" s="49"/>
      <c r="G2596" s="14"/>
      <c r="H2596" s="14"/>
      <c r="I2596" s="76"/>
      <c r="J2596" s="73"/>
      <c r="K2596" s="74"/>
      <c r="L2596" s="72"/>
      <c r="M2596" s="72"/>
      <c r="N2596" s="72" t="str">
        <f>IF(AND(C2596="",J2596=0,K2596=0,L2596=0,M2596=0),"",CADASTROS!$B$4+SUM($J$2:J2596)+SUM($M$2:M2596)-SUM($K$2:K2596)-SUM($L$2:L2596))</f>
        <v/>
      </c>
      <c r="O2596" s="72" t="str">
        <f>IF(A2596="","",SUMIF(RATEIOS!$A$2:$A$3142,$A2596,RATEIOS!$F$2:$F$3142))</f>
        <v/>
      </c>
      <c r="P2596" s="15" t="str">
        <f t="shared" si="82"/>
        <v/>
      </c>
      <c r="Q2596" s="49" t="str">
        <f>IF(AND(J2596=0,K2596=0,L2596=0,M2596=0),"",IF(O2596=0,"PENDENTE DE RATEIO",IF(ABS(P2596)&gt;0.005,"DIVERGÊNCIA",IF(COUNTIF(RATEIOS!$A$2:$A$3142,$A2596)-COUNTIFS(RATEIOS!$A$2:$A$3142,$A2596,RATEIOS!$D$2:$D$3142,"&lt;&gt;")&gt;0,"NÃO CLASSIFICADO","RATEIO OK"))))</f>
        <v/>
      </c>
      <c r="R2596" s="49"/>
      <c r="S2596" s="14"/>
    </row>
    <row r="2597" spans="1:19" ht="30" customHeight="1" x14ac:dyDescent="0.25">
      <c r="A2597" s="49" t="str">
        <f>IF(C2597="","","BAN-02596")</f>
        <v/>
      </c>
      <c r="B2597" s="98" t="str">
        <f>IF(C2597="","",2596)</f>
        <v/>
      </c>
      <c r="C2597" s="50"/>
      <c r="D2597" s="49" t="str">
        <f t="shared" si="81"/>
        <v/>
      </c>
      <c r="E2597" s="92"/>
      <c r="F2597" s="49"/>
      <c r="G2597" s="14"/>
      <c r="H2597" s="14"/>
      <c r="I2597" s="76"/>
      <c r="J2597" s="73"/>
      <c r="K2597" s="74"/>
      <c r="L2597" s="72"/>
      <c r="M2597" s="72"/>
      <c r="N2597" s="72" t="str">
        <f>IF(AND(C2597="",J2597=0,K2597=0,L2597=0,M2597=0),"",CADASTROS!$B$4+SUM($J$2:J2597)+SUM($M$2:M2597)-SUM($K$2:K2597)-SUM($L$2:L2597))</f>
        <v/>
      </c>
      <c r="O2597" s="72" t="str">
        <f>IF(A2597="","",SUMIF(RATEIOS!$A$2:$A$3142,$A2597,RATEIOS!$F$2:$F$3142))</f>
        <v/>
      </c>
      <c r="P2597" s="15" t="str">
        <f t="shared" si="82"/>
        <v/>
      </c>
      <c r="Q2597" s="49" t="str">
        <f>IF(AND(J2597=0,K2597=0,L2597=0,M2597=0),"",IF(O2597=0,"PENDENTE DE RATEIO",IF(ABS(P2597)&gt;0.005,"DIVERGÊNCIA",IF(COUNTIF(RATEIOS!$A$2:$A$3142,$A2597)-COUNTIFS(RATEIOS!$A$2:$A$3142,$A2597,RATEIOS!$D$2:$D$3142,"&lt;&gt;")&gt;0,"NÃO CLASSIFICADO","RATEIO OK"))))</f>
        <v/>
      </c>
      <c r="R2597" s="49"/>
      <c r="S2597" s="14"/>
    </row>
    <row r="2598" spans="1:19" ht="30" customHeight="1" x14ac:dyDescent="0.25">
      <c r="A2598" s="49" t="str">
        <f>IF(C2598="","","BAN-02597")</f>
        <v/>
      </c>
      <c r="B2598" s="98" t="str">
        <f>IF(C2598="","",2597)</f>
        <v/>
      </c>
      <c r="C2598" s="50"/>
      <c r="D2598" s="49" t="str">
        <f t="shared" si="81"/>
        <v/>
      </c>
      <c r="E2598" s="92"/>
      <c r="F2598" s="49"/>
      <c r="G2598" s="14"/>
      <c r="H2598" s="14"/>
      <c r="I2598" s="76"/>
      <c r="J2598" s="73"/>
      <c r="K2598" s="74"/>
      <c r="L2598" s="72"/>
      <c r="M2598" s="72"/>
      <c r="N2598" s="72" t="str">
        <f>IF(AND(C2598="",J2598=0,K2598=0,L2598=0,M2598=0),"",CADASTROS!$B$4+SUM($J$2:J2598)+SUM($M$2:M2598)-SUM($K$2:K2598)-SUM($L$2:L2598))</f>
        <v/>
      </c>
      <c r="O2598" s="72" t="str">
        <f>IF(A2598="","",SUMIF(RATEIOS!$A$2:$A$3142,$A2598,RATEIOS!$F$2:$F$3142))</f>
        <v/>
      </c>
      <c r="P2598" s="15" t="str">
        <f t="shared" si="82"/>
        <v/>
      </c>
      <c r="Q2598" s="49" t="str">
        <f>IF(AND(J2598=0,K2598=0,L2598=0,M2598=0),"",IF(O2598=0,"PENDENTE DE RATEIO",IF(ABS(P2598)&gt;0.005,"DIVERGÊNCIA",IF(COUNTIF(RATEIOS!$A$2:$A$3142,$A2598)-COUNTIFS(RATEIOS!$A$2:$A$3142,$A2598,RATEIOS!$D$2:$D$3142,"&lt;&gt;")&gt;0,"NÃO CLASSIFICADO","RATEIO OK"))))</f>
        <v/>
      </c>
      <c r="R2598" s="49"/>
      <c r="S2598" s="14"/>
    </row>
    <row r="2599" spans="1:19" ht="30" customHeight="1" x14ac:dyDescent="0.25">
      <c r="A2599" s="49" t="str">
        <f>IF(C2599="","","BAN-02598")</f>
        <v/>
      </c>
      <c r="B2599" s="98" t="str">
        <f>IF(C2599="","",2598)</f>
        <v/>
      </c>
      <c r="C2599" s="50"/>
      <c r="D2599" s="49" t="str">
        <f t="shared" si="81"/>
        <v/>
      </c>
      <c r="E2599" s="92"/>
      <c r="F2599" s="49"/>
      <c r="G2599" s="14"/>
      <c r="H2599" s="14"/>
      <c r="I2599" s="76"/>
      <c r="J2599" s="73"/>
      <c r="K2599" s="74"/>
      <c r="L2599" s="72"/>
      <c r="M2599" s="72"/>
      <c r="N2599" s="72" t="str">
        <f>IF(AND(C2599="",J2599=0,K2599=0,L2599=0,M2599=0),"",CADASTROS!$B$4+SUM($J$2:J2599)+SUM($M$2:M2599)-SUM($K$2:K2599)-SUM($L$2:L2599))</f>
        <v/>
      </c>
      <c r="O2599" s="72" t="str">
        <f>IF(A2599="","",SUMIF(RATEIOS!$A$2:$A$3142,$A2599,RATEIOS!$F$2:$F$3142))</f>
        <v/>
      </c>
      <c r="P2599" s="15" t="str">
        <f t="shared" si="82"/>
        <v/>
      </c>
      <c r="Q2599" s="49" t="str">
        <f>IF(AND(J2599=0,K2599=0,L2599=0,M2599=0),"",IF(O2599=0,"PENDENTE DE RATEIO",IF(ABS(P2599)&gt;0.005,"DIVERGÊNCIA",IF(COUNTIF(RATEIOS!$A$2:$A$3142,$A2599)-COUNTIFS(RATEIOS!$A$2:$A$3142,$A2599,RATEIOS!$D$2:$D$3142,"&lt;&gt;")&gt;0,"NÃO CLASSIFICADO","RATEIO OK"))))</f>
        <v/>
      </c>
      <c r="R2599" s="49"/>
      <c r="S2599" s="14"/>
    </row>
    <row r="2600" spans="1:19" ht="30" customHeight="1" x14ac:dyDescent="0.25">
      <c r="A2600" s="49" t="str">
        <f>IF(C2600="","","BAN-02599")</f>
        <v/>
      </c>
      <c r="B2600" s="98" t="str">
        <f>IF(C2600="","",2599)</f>
        <v/>
      </c>
      <c r="C2600" s="50"/>
      <c r="D2600" s="49" t="str">
        <f t="shared" si="81"/>
        <v/>
      </c>
      <c r="E2600" s="92"/>
      <c r="F2600" s="49"/>
      <c r="G2600" s="14"/>
      <c r="H2600" s="14"/>
      <c r="I2600" s="76"/>
      <c r="J2600" s="73"/>
      <c r="K2600" s="74"/>
      <c r="L2600" s="72"/>
      <c r="M2600" s="72"/>
      <c r="N2600" s="72" t="str">
        <f>IF(AND(C2600="",J2600=0,K2600=0,L2600=0,M2600=0),"",CADASTROS!$B$4+SUM($J$2:J2600)+SUM($M$2:M2600)-SUM($K$2:K2600)-SUM($L$2:L2600))</f>
        <v/>
      </c>
      <c r="O2600" s="72" t="str">
        <f>IF(A2600="","",SUMIF(RATEIOS!$A$2:$A$3142,$A2600,RATEIOS!$F$2:$F$3142))</f>
        <v/>
      </c>
      <c r="P2600" s="15" t="str">
        <f t="shared" si="82"/>
        <v/>
      </c>
      <c r="Q2600" s="49" t="str">
        <f>IF(AND(J2600=0,K2600=0,L2600=0,M2600=0),"",IF(O2600=0,"PENDENTE DE RATEIO",IF(ABS(P2600)&gt;0.005,"DIVERGÊNCIA",IF(COUNTIF(RATEIOS!$A$2:$A$3142,$A2600)-COUNTIFS(RATEIOS!$A$2:$A$3142,$A2600,RATEIOS!$D$2:$D$3142,"&lt;&gt;")&gt;0,"NÃO CLASSIFICADO","RATEIO OK"))))</f>
        <v/>
      </c>
      <c r="R2600" s="49"/>
      <c r="S2600" s="14"/>
    </row>
    <row r="2601" spans="1:19" ht="30" customHeight="1" x14ac:dyDescent="0.25">
      <c r="A2601" s="49" t="str">
        <f>IF(C2601="","","BAN-02600")</f>
        <v/>
      </c>
      <c r="B2601" s="98" t="str">
        <f>IF(C2601="","",2600)</f>
        <v/>
      </c>
      <c r="C2601" s="50"/>
      <c r="D2601" s="49" t="str">
        <f t="shared" si="81"/>
        <v/>
      </c>
      <c r="E2601" s="92"/>
      <c r="F2601" s="49"/>
      <c r="G2601" s="14"/>
      <c r="H2601" s="14"/>
      <c r="I2601" s="76"/>
      <c r="J2601" s="73"/>
      <c r="K2601" s="74"/>
      <c r="L2601" s="72"/>
      <c r="M2601" s="72"/>
      <c r="N2601" s="72" t="str">
        <f>IF(AND(C2601="",J2601=0,K2601=0,L2601=0,M2601=0),"",CADASTROS!$B$4+SUM($J$2:J2601)+SUM($M$2:M2601)-SUM($K$2:K2601)-SUM($L$2:L2601))</f>
        <v/>
      </c>
      <c r="O2601" s="72" t="str">
        <f>IF(A2601="","",SUMIF(RATEIOS!$A$2:$A$3142,$A2601,RATEIOS!$F$2:$F$3142))</f>
        <v/>
      </c>
      <c r="P2601" s="15" t="str">
        <f t="shared" si="82"/>
        <v/>
      </c>
      <c r="Q2601" s="49" t="str">
        <f>IF(AND(J2601=0,K2601=0,L2601=0,M2601=0),"",IF(O2601=0,"PENDENTE DE RATEIO",IF(ABS(P2601)&gt;0.005,"DIVERGÊNCIA",IF(COUNTIF(RATEIOS!$A$2:$A$3142,$A2601)-COUNTIFS(RATEIOS!$A$2:$A$3142,$A2601,RATEIOS!$D$2:$D$3142,"&lt;&gt;")&gt;0,"NÃO CLASSIFICADO","RATEIO OK"))))</f>
        <v/>
      </c>
      <c r="R2601" s="49"/>
      <c r="S2601" s="14"/>
    </row>
    <row r="2602" spans="1:19" ht="30" customHeight="1" x14ac:dyDescent="0.25">
      <c r="A2602" s="49" t="str">
        <f>IF(C2602="","","BAN-02601")</f>
        <v/>
      </c>
      <c r="B2602" s="98" t="str">
        <f>IF(C2602="","",2601)</f>
        <v/>
      </c>
      <c r="C2602" s="50"/>
      <c r="D2602" s="49" t="str">
        <f t="shared" si="81"/>
        <v/>
      </c>
      <c r="E2602" s="92"/>
      <c r="F2602" s="49"/>
      <c r="G2602" s="14"/>
      <c r="H2602" s="14"/>
      <c r="I2602" s="76"/>
      <c r="J2602" s="73"/>
      <c r="K2602" s="74"/>
      <c r="L2602" s="72"/>
      <c r="M2602" s="72"/>
      <c r="N2602" s="72" t="str">
        <f>IF(AND(C2602="",J2602=0,K2602=0,L2602=0,M2602=0),"",CADASTROS!$B$4+SUM($J$2:J2602)+SUM($M$2:M2602)-SUM($K$2:K2602)-SUM($L$2:L2602))</f>
        <v/>
      </c>
      <c r="O2602" s="72" t="str">
        <f>IF(A2602="","",SUMIF(RATEIOS!$A$2:$A$3142,$A2602,RATEIOS!$F$2:$F$3142))</f>
        <v/>
      </c>
      <c r="P2602" s="15" t="str">
        <f t="shared" si="82"/>
        <v/>
      </c>
      <c r="Q2602" s="49" t="str">
        <f>IF(AND(J2602=0,K2602=0,L2602=0,M2602=0),"",IF(O2602=0,"PENDENTE DE RATEIO",IF(ABS(P2602)&gt;0.005,"DIVERGÊNCIA",IF(COUNTIF(RATEIOS!$A$2:$A$3142,$A2602)-COUNTIFS(RATEIOS!$A$2:$A$3142,$A2602,RATEIOS!$D$2:$D$3142,"&lt;&gt;")&gt;0,"NÃO CLASSIFICADO","RATEIO OK"))))</f>
        <v/>
      </c>
      <c r="R2602" s="49"/>
      <c r="S2602" s="14"/>
    </row>
    <row r="2603" spans="1:19" ht="30" customHeight="1" x14ac:dyDescent="0.25">
      <c r="A2603" s="49" t="str">
        <f>IF(C2603="","","BAN-02602")</f>
        <v/>
      </c>
      <c r="B2603" s="98" t="str">
        <f>IF(C2603="","",2602)</f>
        <v/>
      </c>
      <c r="C2603" s="50"/>
      <c r="D2603" s="49" t="str">
        <f t="shared" si="81"/>
        <v/>
      </c>
      <c r="E2603" s="92"/>
      <c r="F2603" s="49"/>
      <c r="G2603" s="14"/>
      <c r="H2603" s="14"/>
      <c r="I2603" s="76"/>
      <c r="J2603" s="73"/>
      <c r="K2603" s="74"/>
      <c r="L2603" s="72"/>
      <c r="M2603" s="72"/>
      <c r="N2603" s="72" t="str">
        <f>IF(AND(C2603="",J2603=0,K2603=0,L2603=0,M2603=0),"",CADASTROS!$B$4+SUM($J$2:J2603)+SUM($M$2:M2603)-SUM($K$2:K2603)-SUM($L$2:L2603))</f>
        <v/>
      </c>
      <c r="O2603" s="72" t="str">
        <f>IF(A2603="","",SUMIF(RATEIOS!$A$2:$A$3142,$A2603,RATEIOS!$F$2:$F$3142))</f>
        <v/>
      </c>
      <c r="P2603" s="15" t="str">
        <f t="shared" si="82"/>
        <v/>
      </c>
      <c r="Q2603" s="49" t="str">
        <f>IF(AND(J2603=0,K2603=0,L2603=0,M2603=0),"",IF(O2603=0,"PENDENTE DE RATEIO",IF(ABS(P2603)&gt;0.005,"DIVERGÊNCIA",IF(COUNTIF(RATEIOS!$A$2:$A$3142,$A2603)-COUNTIFS(RATEIOS!$A$2:$A$3142,$A2603,RATEIOS!$D$2:$D$3142,"&lt;&gt;")&gt;0,"NÃO CLASSIFICADO","RATEIO OK"))))</f>
        <v/>
      </c>
      <c r="R2603" s="49"/>
      <c r="S2603" s="14"/>
    </row>
    <row r="2604" spans="1:19" ht="30" customHeight="1" x14ac:dyDescent="0.25">
      <c r="A2604" s="49" t="str">
        <f>IF(C2604="","","BAN-02603")</f>
        <v/>
      </c>
      <c r="B2604" s="98" t="str">
        <f>IF(C2604="","",2603)</f>
        <v/>
      </c>
      <c r="C2604" s="50"/>
      <c r="D2604" s="49" t="str">
        <f t="shared" si="81"/>
        <v/>
      </c>
      <c r="E2604" s="92"/>
      <c r="F2604" s="49"/>
      <c r="G2604" s="14"/>
      <c r="H2604" s="14"/>
      <c r="I2604" s="76"/>
      <c r="J2604" s="73"/>
      <c r="K2604" s="74"/>
      <c r="L2604" s="72"/>
      <c r="M2604" s="72"/>
      <c r="N2604" s="72" t="str">
        <f>IF(AND(C2604="",J2604=0,K2604=0,L2604=0,M2604=0),"",CADASTROS!$B$4+SUM($J$2:J2604)+SUM($M$2:M2604)-SUM($K$2:K2604)-SUM($L$2:L2604))</f>
        <v/>
      </c>
      <c r="O2604" s="72" t="str">
        <f>IF(A2604="","",SUMIF(RATEIOS!$A$2:$A$3142,$A2604,RATEIOS!$F$2:$F$3142))</f>
        <v/>
      </c>
      <c r="P2604" s="15" t="str">
        <f t="shared" si="82"/>
        <v/>
      </c>
      <c r="Q2604" s="49" t="str">
        <f>IF(AND(J2604=0,K2604=0,L2604=0,M2604=0),"",IF(O2604=0,"PENDENTE DE RATEIO",IF(ABS(P2604)&gt;0.005,"DIVERGÊNCIA",IF(COUNTIF(RATEIOS!$A$2:$A$3142,$A2604)-COUNTIFS(RATEIOS!$A$2:$A$3142,$A2604,RATEIOS!$D$2:$D$3142,"&lt;&gt;")&gt;0,"NÃO CLASSIFICADO","RATEIO OK"))))</f>
        <v/>
      </c>
      <c r="R2604" s="49"/>
      <c r="S2604" s="14"/>
    </row>
    <row r="2605" spans="1:19" ht="30" customHeight="1" x14ac:dyDescent="0.25">
      <c r="A2605" s="49" t="str">
        <f>IF(C2605="","","BAN-02604")</f>
        <v/>
      </c>
      <c r="B2605" s="98" t="str">
        <f>IF(C2605="","",2604)</f>
        <v/>
      </c>
      <c r="C2605" s="50"/>
      <c r="D2605" s="49" t="str">
        <f t="shared" si="81"/>
        <v/>
      </c>
      <c r="E2605" s="92"/>
      <c r="F2605" s="49"/>
      <c r="G2605" s="14"/>
      <c r="H2605" s="14"/>
      <c r="I2605" s="76"/>
      <c r="J2605" s="73"/>
      <c r="K2605" s="74"/>
      <c r="L2605" s="72"/>
      <c r="M2605" s="72"/>
      <c r="N2605" s="72" t="str">
        <f>IF(AND(C2605="",J2605=0,K2605=0,L2605=0,M2605=0),"",CADASTROS!$B$4+SUM($J$2:J2605)+SUM($M$2:M2605)-SUM($K$2:K2605)-SUM($L$2:L2605))</f>
        <v/>
      </c>
      <c r="O2605" s="72" t="str">
        <f>IF(A2605="","",SUMIF(RATEIOS!$A$2:$A$3142,$A2605,RATEIOS!$F$2:$F$3142))</f>
        <v/>
      </c>
      <c r="P2605" s="15" t="str">
        <f t="shared" si="82"/>
        <v/>
      </c>
      <c r="Q2605" s="49" t="str">
        <f>IF(AND(J2605=0,K2605=0,L2605=0,M2605=0),"",IF(O2605=0,"PENDENTE DE RATEIO",IF(ABS(P2605)&gt;0.005,"DIVERGÊNCIA",IF(COUNTIF(RATEIOS!$A$2:$A$3142,$A2605)-COUNTIFS(RATEIOS!$A$2:$A$3142,$A2605,RATEIOS!$D$2:$D$3142,"&lt;&gt;")&gt;0,"NÃO CLASSIFICADO","RATEIO OK"))))</f>
        <v/>
      </c>
      <c r="R2605" s="49"/>
      <c r="S2605" s="14"/>
    </row>
    <row r="2606" spans="1:19" ht="30" customHeight="1" x14ac:dyDescent="0.25">
      <c r="A2606" s="49" t="str">
        <f>IF(C2606="","","BAN-02605")</f>
        <v/>
      </c>
      <c r="B2606" s="98" t="str">
        <f>IF(C2606="","",2605)</f>
        <v/>
      </c>
      <c r="C2606" s="50"/>
      <c r="D2606" s="49" t="str">
        <f t="shared" si="81"/>
        <v/>
      </c>
      <c r="E2606" s="92"/>
      <c r="F2606" s="49"/>
      <c r="G2606" s="14"/>
      <c r="H2606" s="14"/>
      <c r="I2606" s="76"/>
      <c r="J2606" s="73"/>
      <c r="K2606" s="74"/>
      <c r="L2606" s="72"/>
      <c r="M2606" s="72"/>
      <c r="N2606" s="72" t="str">
        <f>IF(AND(C2606="",J2606=0,K2606=0,L2606=0,M2606=0),"",CADASTROS!$B$4+SUM($J$2:J2606)+SUM($M$2:M2606)-SUM($K$2:K2606)-SUM($L$2:L2606))</f>
        <v/>
      </c>
      <c r="O2606" s="72" t="str">
        <f>IF(A2606="","",SUMIF(RATEIOS!$A$2:$A$3142,$A2606,RATEIOS!$F$2:$F$3142))</f>
        <v/>
      </c>
      <c r="P2606" s="15" t="str">
        <f t="shared" si="82"/>
        <v/>
      </c>
      <c r="Q2606" s="49" t="str">
        <f>IF(AND(J2606=0,K2606=0,L2606=0,M2606=0),"",IF(O2606=0,"PENDENTE DE RATEIO",IF(ABS(P2606)&gt;0.005,"DIVERGÊNCIA",IF(COUNTIF(RATEIOS!$A$2:$A$3142,$A2606)-COUNTIFS(RATEIOS!$A$2:$A$3142,$A2606,RATEIOS!$D$2:$D$3142,"&lt;&gt;")&gt;0,"NÃO CLASSIFICADO","RATEIO OK"))))</f>
        <v/>
      </c>
      <c r="R2606" s="49"/>
      <c r="S2606" s="14"/>
    </row>
    <row r="2607" spans="1:19" ht="30" customHeight="1" x14ac:dyDescent="0.25">
      <c r="A2607" s="49" t="str">
        <f>IF(C2607="","","BAN-02606")</f>
        <v/>
      </c>
      <c r="B2607" s="98" t="str">
        <f>IF(C2607="","",2606)</f>
        <v/>
      </c>
      <c r="C2607" s="50"/>
      <c r="D2607" s="49" t="str">
        <f t="shared" si="81"/>
        <v/>
      </c>
      <c r="E2607" s="92"/>
      <c r="F2607" s="49"/>
      <c r="G2607" s="14"/>
      <c r="H2607" s="14"/>
      <c r="I2607" s="76"/>
      <c r="J2607" s="73"/>
      <c r="K2607" s="74"/>
      <c r="L2607" s="72"/>
      <c r="M2607" s="72"/>
      <c r="N2607" s="72" t="str">
        <f>IF(AND(C2607="",J2607=0,K2607=0,L2607=0,M2607=0),"",CADASTROS!$B$4+SUM($J$2:J2607)+SUM($M$2:M2607)-SUM($K$2:K2607)-SUM($L$2:L2607))</f>
        <v/>
      </c>
      <c r="O2607" s="72" t="str">
        <f>IF(A2607="","",SUMIF(RATEIOS!$A$2:$A$3142,$A2607,RATEIOS!$F$2:$F$3142))</f>
        <v/>
      </c>
      <c r="P2607" s="15" t="str">
        <f t="shared" si="82"/>
        <v/>
      </c>
      <c r="Q2607" s="49" t="str">
        <f>IF(AND(J2607=0,K2607=0,L2607=0,M2607=0),"",IF(O2607=0,"PENDENTE DE RATEIO",IF(ABS(P2607)&gt;0.005,"DIVERGÊNCIA",IF(COUNTIF(RATEIOS!$A$2:$A$3142,$A2607)-COUNTIFS(RATEIOS!$A$2:$A$3142,$A2607,RATEIOS!$D$2:$D$3142,"&lt;&gt;")&gt;0,"NÃO CLASSIFICADO","RATEIO OK"))))</f>
        <v/>
      </c>
      <c r="R2607" s="49"/>
      <c r="S2607" s="14"/>
    </row>
    <row r="2608" spans="1:19" ht="30" customHeight="1" x14ac:dyDescent="0.25">
      <c r="A2608" s="49" t="str">
        <f>IF(C2608="","","BAN-02607")</f>
        <v/>
      </c>
      <c r="B2608" s="98" t="str">
        <f>IF(C2608="","",2607)</f>
        <v/>
      </c>
      <c r="C2608" s="50"/>
      <c r="D2608" s="49" t="str">
        <f t="shared" si="81"/>
        <v/>
      </c>
      <c r="E2608" s="92"/>
      <c r="F2608" s="49"/>
      <c r="G2608" s="14"/>
      <c r="H2608" s="14"/>
      <c r="I2608" s="76"/>
      <c r="J2608" s="73"/>
      <c r="K2608" s="74"/>
      <c r="L2608" s="72"/>
      <c r="M2608" s="72"/>
      <c r="N2608" s="72" t="str">
        <f>IF(AND(C2608="",J2608=0,K2608=0,L2608=0,M2608=0),"",CADASTROS!$B$4+SUM($J$2:J2608)+SUM($M$2:M2608)-SUM($K$2:K2608)-SUM($L$2:L2608))</f>
        <v/>
      </c>
      <c r="O2608" s="72" t="str">
        <f>IF(A2608="","",SUMIF(RATEIOS!$A$2:$A$3142,$A2608,RATEIOS!$F$2:$F$3142))</f>
        <v/>
      </c>
      <c r="P2608" s="15" t="str">
        <f t="shared" si="82"/>
        <v/>
      </c>
      <c r="Q2608" s="49" t="str">
        <f>IF(AND(J2608=0,K2608=0,L2608=0,M2608=0),"",IF(O2608=0,"PENDENTE DE RATEIO",IF(ABS(P2608)&gt;0.005,"DIVERGÊNCIA",IF(COUNTIF(RATEIOS!$A$2:$A$3142,$A2608)-COUNTIFS(RATEIOS!$A$2:$A$3142,$A2608,RATEIOS!$D$2:$D$3142,"&lt;&gt;")&gt;0,"NÃO CLASSIFICADO","RATEIO OK"))))</f>
        <v/>
      </c>
      <c r="R2608" s="49"/>
      <c r="S2608" s="14"/>
    </row>
    <row r="2609" spans="1:19" ht="30" customHeight="1" x14ac:dyDescent="0.25">
      <c r="A2609" s="49" t="str">
        <f>IF(C2609="","","BAN-02608")</f>
        <v/>
      </c>
      <c r="B2609" s="98" t="str">
        <f>IF(C2609="","",2608)</f>
        <v/>
      </c>
      <c r="C2609" s="50"/>
      <c r="D2609" s="49" t="str">
        <f t="shared" si="81"/>
        <v/>
      </c>
      <c r="E2609" s="92"/>
      <c r="F2609" s="49"/>
      <c r="G2609" s="14"/>
      <c r="H2609" s="14"/>
      <c r="I2609" s="76"/>
      <c r="J2609" s="73"/>
      <c r="K2609" s="74"/>
      <c r="L2609" s="72"/>
      <c r="M2609" s="72"/>
      <c r="N2609" s="72" t="str">
        <f>IF(AND(C2609="",J2609=0,K2609=0,L2609=0,M2609=0),"",CADASTROS!$B$4+SUM($J$2:J2609)+SUM($M$2:M2609)-SUM($K$2:K2609)-SUM($L$2:L2609))</f>
        <v/>
      </c>
      <c r="O2609" s="72" t="str">
        <f>IF(A2609="","",SUMIF(RATEIOS!$A$2:$A$3142,$A2609,RATEIOS!$F$2:$F$3142))</f>
        <v/>
      </c>
      <c r="P2609" s="15" t="str">
        <f t="shared" si="82"/>
        <v/>
      </c>
      <c r="Q2609" s="49" t="str">
        <f>IF(AND(J2609=0,K2609=0,L2609=0,M2609=0),"",IF(O2609=0,"PENDENTE DE RATEIO",IF(ABS(P2609)&gt;0.005,"DIVERGÊNCIA",IF(COUNTIF(RATEIOS!$A$2:$A$3142,$A2609)-COUNTIFS(RATEIOS!$A$2:$A$3142,$A2609,RATEIOS!$D$2:$D$3142,"&lt;&gt;")&gt;0,"NÃO CLASSIFICADO","RATEIO OK"))))</f>
        <v/>
      </c>
      <c r="R2609" s="49"/>
      <c r="S2609" s="14"/>
    </row>
    <row r="2610" spans="1:19" ht="30" customHeight="1" x14ac:dyDescent="0.25">
      <c r="A2610" s="49" t="str">
        <f>IF(C2610="","","BAN-02609")</f>
        <v/>
      </c>
      <c r="B2610" s="98" t="str">
        <f>IF(C2610="","",2609)</f>
        <v/>
      </c>
      <c r="C2610" s="50"/>
      <c r="D2610" s="49" t="str">
        <f t="shared" si="81"/>
        <v/>
      </c>
      <c r="E2610" s="92"/>
      <c r="F2610" s="49"/>
      <c r="G2610" s="14"/>
      <c r="H2610" s="14"/>
      <c r="I2610" s="76"/>
      <c r="J2610" s="73"/>
      <c r="K2610" s="74"/>
      <c r="L2610" s="72"/>
      <c r="M2610" s="72"/>
      <c r="N2610" s="72" t="str">
        <f>IF(AND(C2610="",J2610=0,K2610=0,L2610=0,M2610=0),"",CADASTROS!$B$4+SUM($J$2:J2610)+SUM($M$2:M2610)-SUM($K$2:K2610)-SUM($L$2:L2610))</f>
        <v/>
      </c>
      <c r="O2610" s="72" t="str">
        <f>IF(A2610="","",SUMIF(RATEIOS!$A$2:$A$3142,$A2610,RATEIOS!$F$2:$F$3142))</f>
        <v/>
      </c>
      <c r="P2610" s="15" t="str">
        <f t="shared" si="82"/>
        <v/>
      </c>
      <c r="Q2610" s="49" t="str">
        <f>IF(AND(J2610=0,K2610=0,L2610=0,M2610=0),"",IF(O2610=0,"PENDENTE DE RATEIO",IF(ABS(P2610)&gt;0.005,"DIVERGÊNCIA",IF(COUNTIF(RATEIOS!$A$2:$A$3142,$A2610)-COUNTIFS(RATEIOS!$A$2:$A$3142,$A2610,RATEIOS!$D$2:$D$3142,"&lt;&gt;")&gt;0,"NÃO CLASSIFICADO","RATEIO OK"))))</f>
        <v/>
      </c>
      <c r="R2610" s="49"/>
      <c r="S2610" s="14"/>
    </row>
    <row r="2611" spans="1:19" ht="30" customHeight="1" x14ac:dyDescent="0.25">
      <c r="A2611" s="49" t="str">
        <f>IF(C2611="","","BAN-02610")</f>
        <v/>
      </c>
      <c r="B2611" s="98" t="str">
        <f>IF(C2611="","",2610)</f>
        <v/>
      </c>
      <c r="C2611" s="50"/>
      <c r="D2611" s="49" t="str">
        <f t="shared" si="81"/>
        <v/>
      </c>
      <c r="E2611" s="92"/>
      <c r="F2611" s="49"/>
      <c r="G2611" s="14"/>
      <c r="H2611" s="14"/>
      <c r="I2611" s="76"/>
      <c r="J2611" s="73"/>
      <c r="K2611" s="74"/>
      <c r="L2611" s="72"/>
      <c r="M2611" s="72"/>
      <c r="N2611" s="72" t="str">
        <f>IF(AND(C2611="",J2611=0,K2611=0,L2611=0,M2611=0),"",CADASTROS!$B$4+SUM($J$2:J2611)+SUM($M$2:M2611)-SUM($K$2:K2611)-SUM($L$2:L2611))</f>
        <v/>
      </c>
      <c r="O2611" s="72" t="str">
        <f>IF(A2611="","",SUMIF(RATEIOS!$A$2:$A$3142,$A2611,RATEIOS!$F$2:$F$3142))</f>
        <v/>
      </c>
      <c r="P2611" s="15" t="str">
        <f t="shared" si="82"/>
        <v/>
      </c>
      <c r="Q2611" s="49" t="str">
        <f>IF(AND(J2611=0,K2611=0,L2611=0,M2611=0),"",IF(O2611=0,"PENDENTE DE RATEIO",IF(ABS(P2611)&gt;0.005,"DIVERGÊNCIA",IF(COUNTIF(RATEIOS!$A$2:$A$3142,$A2611)-COUNTIFS(RATEIOS!$A$2:$A$3142,$A2611,RATEIOS!$D$2:$D$3142,"&lt;&gt;")&gt;0,"NÃO CLASSIFICADO","RATEIO OK"))))</f>
        <v/>
      </c>
      <c r="R2611" s="49"/>
      <c r="S2611" s="14"/>
    </row>
    <row r="2612" spans="1:19" ht="30" customHeight="1" x14ac:dyDescent="0.25">
      <c r="A2612" s="49" t="str">
        <f>IF(C2612="","","BAN-02611")</f>
        <v/>
      </c>
      <c r="B2612" s="98" t="str">
        <f>IF(C2612="","",2611)</f>
        <v/>
      </c>
      <c r="C2612" s="50"/>
      <c r="D2612" s="49" t="str">
        <f t="shared" si="81"/>
        <v/>
      </c>
      <c r="E2612" s="92"/>
      <c r="F2612" s="49"/>
      <c r="G2612" s="14"/>
      <c r="H2612" s="14"/>
      <c r="I2612" s="76"/>
      <c r="J2612" s="73"/>
      <c r="K2612" s="74"/>
      <c r="L2612" s="72"/>
      <c r="M2612" s="72"/>
      <c r="N2612" s="72" t="str">
        <f>IF(AND(C2612="",J2612=0,K2612=0,L2612=0,M2612=0),"",CADASTROS!$B$4+SUM($J$2:J2612)+SUM($M$2:M2612)-SUM($K$2:K2612)-SUM($L$2:L2612))</f>
        <v/>
      </c>
      <c r="O2612" s="72" t="str">
        <f>IF(A2612="","",SUMIF(RATEIOS!$A$2:$A$3142,$A2612,RATEIOS!$F$2:$F$3142))</f>
        <v/>
      </c>
      <c r="P2612" s="15" t="str">
        <f t="shared" si="82"/>
        <v/>
      </c>
      <c r="Q2612" s="49" t="str">
        <f>IF(AND(J2612=0,K2612=0,L2612=0,M2612=0),"",IF(O2612=0,"PENDENTE DE RATEIO",IF(ABS(P2612)&gt;0.005,"DIVERGÊNCIA",IF(COUNTIF(RATEIOS!$A$2:$A$3142,$A2612)-COUNTIFS(RATEIOS!$A$2:$A$3142,$A2612,RATEIOS!$D$2:$D$3142,"&lt;&gt;")&gt;0,"NÃO CLASSIFICADO","RATEIO OK"))))</f>
        <v/>
      </c>
      <c r="R2612" s="49"/>
      <c r="S2612" s="14"/>
    </row>
    <row r="2613" spans="1:19" ht="30" customHeight="1" x14ac:dyDescent="0.25">
      <c r="A2613" s="49" t="str">
        <f>IF(C2613="","","BAN-02612")</f>
        <v/>
      </c>
      <c r="B2613" s="98" t="str">
        <f>IF(C2613="","",2612)</f>
        <v/>
      </c>
      <c r="C2613" s="50"/>
      <c r="D2613" s="49" t="str">
        <f t="shared" si="81"/>
        <v/>
      </c>
      <c r="E2613" s="92"/>
      <c r="F2613" s="49"/>
      <c r="G2613" s="14"/>
      <c r="H2613" s="14"/>
      <c r="I2613" s="76"/>
      <c r="J2613" s="73"/>
      <c r="K2613" s="74"/>
      <c r="L2613" s="72"/>
      <c r="M2613" s="72"/>
      <c r="N2613" s="72" t="str">
        <f>IF(AND(C2613="",J2613=0,K2613=0,L2613=0,M2613=0),"",CADASTROS!$B$4+SUM($J$2:J2613)+SUM($M$2:M2613)-SUM($K$2:K2613)-SUM($L$2:L2613))</f>
        <v/>
      </c>
      <c r="O2613" s="72" t="str">
        <f>IF(A2613="","",SUMIF(RATEIOS!$A$2:$A$3142,$A2613,RATEIOS!$F$2:$F$3142))</f>
        <v/>
      </c>
      <c r="P2613" s="15" t="str">
        <f t="shared" si="82"/>
        <v/>
      </c>
      <c r="Q2613" s="49" t="str">
        <f>IF(AND(J2613=0,K2613=0,L2613=0,M2613=0),"",IF(O2613=0,"PENDENTE DE RATEIO",IF(ABS(P2613)&gt;0.005,"DIVERGÊNCIA",IF(COUNTIF(RATEIOS!$A$2:$A$3142,$A2613)-COUNTIFS(RATEIOS!$A$2:$A$3142,$A2613,RATEIOS!$D$2:$D$3142,"&lt;&gt;")&gt;0,"NÃO CLASSIFICADO","RATEIO OK"))))</f>
        <v/>
      </c>
      <c r="R2613" s="49"/>
      <c r="S2613" s="14"/>
    </row>
    <row r="2614" spans="1:19" ht="30" customHeight="1" x14ac:dyDescent="0.25">
      <c r="A2614" s="49" t="str">
        <f>IF(C2614="","","BAN-02613")</f>
        <v/>
      </c>
      <c r="B2614" s="98" t="str">
        <f>IF(C2614="","",2613)</f>
        <v/>
      </c>
      <c r="C2614" s="50"/>
      <c r="D2614" s="49" t="str">
        <f t="shared" si="81"/>
        <v/>
      </c>
      <c r="E2614" s="92"/>
      <c r="F2614" s="49"/>
      <c r="G2614" s="14"/>
      <c r="H2614" s="14"/>
      <c r="I2614" s="76"/>
      <c r="J2614" s="73"/>
      <c r="K2614" s="74"/>
      <c r="L2614" s="72"/>
      <c r="M2614" s="72"/>
      <c r="N2614" s="72" t="str">
        <f>IF(AND(C2614="",J2614=0,K2614=0,L2614=0,M2614=0),"",CADASTROS!$B$4+SUM($J$2:J2614)+SUM($M$2:M2614)-SUM($K$2:K2614)-SUM($L$2:L2614))</f>
        <v/>
      </c>
      <c r="O2614" s="72" t="str">
        <f>IF(A2614="","",SUMIF(RATEIOS!$A$2:$A$3142,$A2614,RATEIOS!$F$2:$F$3142))</f>
        <v/>
      </c>
      <c r="P2614" s="15" t="str">
        <f t="shared" si="82"/>
        <v/>
      </c>
      <c r="Q2614" s="49" t="str">
        <f>IF(AND(J2614=0,K2614=0,L2614=0,M2614=0),"",IF(O2614=0,"PENDENTE DE RATEIO",IF(ABS(P2614)&gt;0.005,"DIVERGÊNCIA",IF(COUNTIF(RATEIOS!$A$2:$A$3142,$A2614)-COUNTIFS(RATEIOS!$A$2:$A$3142,$A2614,RATEIOS!$D$2:$D$3142,"&lt;&gt;")&gt;0,"NÃO CLASSIFICADO","RATEIO OK"))))</f>
        <v/>
      </c>
      <c r="R2614" s="49"/>
      <c r="S2614" s="14"/>
    </row>
    <row r="2615" spans="1:19" ht="30" customHeight="1" x14ac:dyDescent="0.25">
      <c r="A2615" s="49" t="str">
        <f>IF(C2615="","","BAN-02614")</f>
        <v/>
      </c>
      <c r="B2615" s="98" t="str">
        <f>IF(C2615="","",2614)</f>
        <v/>
      </c>
      <c r="C2615" s="50"/>
      <c r="D2615" s="49" t="str">
        <f t="shared" si="81"/>
        <v/>
      </c>
      <c r="E2615" s="92"/>
      <c r="F2615" s="49"/>
      <c r="G2615" s="14"/>
      <c r="H2615" s="14"/>
      <c r="I2615" s="76"/>
      <c r="J2615" s="73"/>
      <c r="K2615" s="74"/>
      <c r="L2615" s="72"/>
      <c r="M2615" s="72"/>
      <c r="N2615" s="72" t="str">
        <f>IF(AND(C2615="",J2615=0,K2615=0,L2615=0,M2615=0),"",CADASTROS!$B$4+SUM($J$2:J2615)+SUM($M$2:M2615)-SUM($K$2:K2615)-SUM($L$2:L2615))</f>
        <v/>
      </c>
      <c r="O2615" s="72" t="str">
        <f>IF(A2615="","",SUMIF(RATEIOS!$A$2:$A$3142,$A2615,RATEIOS!$F$2:$F$3142))</f>
        <v/>
      </c>
      <c r="P2615" s="15" t="str">
        <f t="shared" si="82"/>
        <v/>
      </c>
      <c r="Q2615" s="49" t="str">
        <f>IF(AND(J2615=0,K2615=0,L2615=0,M2615=0),"",IF(O2615=0,"PENDENTE DE RATEIO",IF(ABS(P2615)&gt;0.005,"DIVERGÊNCIA",IF(COUNTIF(RATEIOS!$A$2:$A$3142,$A2615)-COUNTIFS(RATEIOS!$A$2:$A$3142,$A2615,RATEIOS!$D$2:$D$3142,"&lt;&gt;")&gt;0,"NÃO CLASSIFICADO","RATEIO OK"))))</f>
        <v/>
      </c>
      <c r="R2615" s="49"/>
      <c r="S2615" s="14"/>
    </row>
    <row r="2616" spans="1:19" ht="30" customHeight="1" x14ac:dyDescent="0.25">
      <c r="A2616" s="49" t="str">
        <f>IF(C2616="","","BAN-02615")</f>
        <v/>
      </c>
      <c r="B2616" s="98" t="str">
        <f>IF(C2616="","",2615)</f>
        <v/>
      </c>
      <c r="C2616" s="50"/>
      <c r="D2616" s="49" t="str">
        <f t="shared" si="81"/>
        <v/>
      </c>
      <c r="E2616" s="92"/>
      <c r="F2616" s="49"/>
      <c r="G2616" s="14"/>
      <c r="H2616" s="14"/>
      <c r="I2616" s="76"/>
      <c r="J2616" s="73"/>
      <c r="K2616" s="74"/>
      <c r="L2616" s="72"/>
      <c r="M2616" s="72"/>
      <c r="N2616" s="72" t="str">
        <f>IF(AND(C2616="",J2616=0,K2616=0,L2616=0,M2616=0),"",CADASTROS!$B$4+SUM($J$2:J2616)+SUM($M$2:M2616)-SUM($K$2:K2616)-SUM($L$2:L2616))</f>
        <v/>
      </c>
      <c r="O2616" s="72" t="str">
        <f>IF(A2616="","",SUMIF(RATEIOS!$A$2:$A$3142,$A2616,RATEIOS!$F$2:$F$3142))</f>
        <v/>
      </c>
      <c r="P2616" s="15" t="str">
        <f t="shared" si="82"/>
        <v/>
      </c>
      <c r="Q2616" s="49" t="str">
        <f>IF(AND(J2616=0,K2616=0,L2616=0,M2616=0),"",IF(O2616=0,"PENDENTE DE RATEIO",IF(ABS(P2616)&gt;0.005,"DIVERGÊNCIA",IF(COUNTIF(RATEIOS!$A$2:$A$3142,$A2616)-COUNTIFS(RATEIOS!$A$2:$A$3142,$A2616,RATEIOS!$D$2:$D$3142,"&lt;&gt;")&gt;0,"NÃO CLASSIFICADO","RATEIO OK"))))</f>
        <v/>
      </c>
      <c r="R2616" s="49"/>
      <c r="S2616" s="14"/>
    </row>
    <row r="2617" spans="1:19" ht="30" customHeight="1" x14ac:dyDescent="0.25">
      <c r="A2617" s="49" t="str">
        <f>IF(C2617="","","BAN-02616")</f>
        <v/>
      </c>
      <c r="B2617" s="98" t="str">
        <f>IF(C2617="","",2616)</f>
        <v/>
      </c>
      <c r="C2617" s="50"/>
      <c r="D2617" s="49" t="str">
        <f t="shared" si="81"/>
        <v/>
      </c>
      <c r="E2617" s="92"/>
      <c r="F2617" s="49"/>
      <c r="G2617" s="14"/>
      <c r="H2617" s="14"/>
      <c r="I2617" s="76"/>
      <c r="J2617" s="73"/>
      <c r="K2617" s="74"/>
      <c r="L2617" s="72"/>
      <c r="M2617" s="72"/>
      <c r="N2617" s="72" t="str">
        <f>IF(AND(C2617="",J2617=0,K2617=0,L2617=0,M2617=0),"",CADASTROS!$B$4+SUM($J$2:J2617)+SUM($M$2:M2617)-SUM($K$2:K2617)-SUM($L$2:L2617))</f>
        <v/>
      </c>
      <c r="O2617" s="72" t="str">
        <f>IF(A2617="","",SUMIF(RATEIOS!$A$2:$A$3142,$A2617,RATEIOS!$F$2:$F$3142))</f>
        <v/>
      </c>
      <c r="P2617" s="15" t="str">
        <f t="shared" si="82"/>
        <v/>
      </c>
      <c r="Q2617" s="49" t="str">
        <f>IF(AND(J2617=0,K2617=0,L2617=0,M2617=0),"",IF(O2617=0,"PENDENTE DE RATEIO",IF(ABS(P2617)&gt;0.005,"DIVERGÊNCIA",IF(COUNTIF(RATEIOS!$A$2:$A$3142,$A2617)-COUNTIFS(RATEIOS!$A$2:$A$3142,$A2617,RATEIOS!$D$2:$D$3142,"&lt;&gt;")&gt;0,"NÃO CLASSIFICADO","RATEIO OK"))))</f>
        <v/>
      </c>
      <c r="R2617" s="49"/>
      <c r="S2617" s="14"/>
    </row>
    <row r="2618" spans="1:19" ht="30" customHeight="1" x14ac:dyDescent="0.25">
      <c r="A2618" s="49" t="str">
        <f>IF(C2618="","","BAN-02617")</f>
        <v/>
      </c>
      <c r="B2618" s="98" t="str">
        <f>IF(C2618="","",2617)</f>
        <v/>
      </c>
      <c r="C2618" s="50"/>
      <c r="D2618" s="49" t="str">
        <f t="shared" si="81"/>
        <v/>
      </c>
      <c r="E2618" s="92"/>
      <c r="F2618" s="49"/>
      <c r="G2618" s="14"/>
      <c r="H2618" s="14"/>
      <c r="I2618" s="76"/>
      <c r="J2618" s="73"/>
      <c r="K2618" s="74"/>
      <c r="L2618" s="72"/>
      <c r="M2618" s="72"/>
      <c r="N2618" s="72" t="str">
        <f>IF(AND(C2618="",J2618=0,K2618=0,L2618=0,M2618=0),"",CADASTROS!$B$4+SUM($J$2:J2618)+SUM($M$2:M2618)-SUM($K$2:K2618)-SUM($L$2:L2618))</f>
        <v/>
      </c>
      <c r="O2618" s="72" t="str">
        <f>IF(A2618="","",SUMIF(RATEIOS!$A$2:$A$3142,$A2618,RATEIOS!$F$2:$F$3142))</f>
        <v/>
      </c>
      <c r="P2618" s="15" t="str">
        <f t="shared" si="82"/>
        <v/>
      </c>
      <c r="Q2618" s="49" t="str">
        <f>IF(AND(J2618=0,K2618=0,L2618=0,M2618=0),"",IF(O2618=0,"PENDENTE DE RATEIO",IF(ABS(P2618)&gt;0.005,"DIVERGÊNCIA",IF(COUNTIF(RATEIOS!$A$2:$A$3142,$A2618)-COUNTIFS(RATEIOS!$A$2:$A$3142,$A2618,RATEIOS!$D$2:$D$3142,"&lt;&gt;")&gt;0,"NÃO CLASSIFICADO","RATEIO OK"))))</f>
        <v/>
      </c>
      <c r="R2618" s="49"/>
      <c r="S2618" s="14"/>
    </row>
    <row r="2619" spans="1:19" ht="30" customHeight="1" x14ac:dyDescent="0.25">
      <c r="A2619" s="49" t="str">
        <f>IF(C2619="","","BAN-02618")</f>
        <v/>
      </c>
      <c r="B2619" s="98" t="str">
        <f>IF(C2619="","",2618)</f>
        <v/>
      </c>
      <c r="C2619" s="50"/>
      <c r="D2619" s="49" t="str">
        <f t="shared" si="81"/>
        <v/>
      </c>
      <c r="E2619" s="92"/>
      <c r="F2619" s="49"/>
      <c r="G2619" s="14"/>
      <c r="H2619" s="14"/>
      <c r="I2619" s="76"/>
      <c r="J2619" s="73"/>
      <c r="K2619" s="74"/>
      <c r="L2619" s="72"/>
      <c r="M2619" s="72"/>
      <c r="N2619" s="72" t="str">
        <f>IF(AND(C2619="",J2619=0,K2619=0,L2619=0,M2619=0),"",CADASTROS!$B$4+SUM($J$2:J2619)+SUM($M$2:M2619)-SUM($K$2:K2619)-SUM($L$2:L2619))</f>
        <v/>
      </c>
      <c r="O2619" s="72" t="str">
        <f>IF(A2619="","",SUMIF(RATEIOS!$A$2:$A$3142,$A2619,RATEIOS!$F$2:$F$3142))</f>
        <v/>
      </c>
      <c r="P2619" s="15" t="str">
        <f t="shared" si="82"/>
        <v/>
      </c>
      <c r="Q2619" s="49" t="str">
        <f>IF(AND(J2619=0,K2619=0,L2619=0,M2619=0),"",IF(O2619=0,"PENDENTE DE RATEIO",IF(ABS(P2619)&gt;0.005,"DIVERGÊNCIA",IF(COUNTIF(RATEIOS!$A$2:$A$3142,$A2619)-COUNTIFS(RATEIOS!$A$2:$A$3142,$A2619,RATEIOS!$D$2:$D$3142,"&lt;&gt;")&gt;0,"NÃO CLASSIFICADO","RATEIO OK"))))</f>
        <v/>
      </c>
      <c r="R2619" s="49"/>
      <c r="S2619" s="14"/>
    </row>
    <row r="2620" spans="1:19" ht="30" customHeight="1" x14ac:dyDescent="0.25">
      <c r="A2620" s="49" t="str">
        <f>IF(C2620="","","BAN-02619")</f>
        <v/>
      </c>
      <c r="B2620" s="98" t="str">
        <f>IF(C2620="","",2619)</f>
        <v/>
      </c>
      <c r="C2620" s="50"/>
      <c r="D2620" s="49" t="str">
        <f t="shared" si="81"/>
        <v/>
      </c>
      <c r="E2620" s="92"/>
      <c r="F2620" s="49"/>
      <c r="G2620" s="14"/>
      <c r="H2620" s="14"/>
      <c r="I2620" s="76"/>
      <c r="J2620" s="73"/>
      <c r="K2620" s="74"/>
      <c r="L2620" s="72"/>
      <c r="M2620" s="72"/>
      <c r="N2620" s="72" t="str">
        <f>IF(AND(C2620="",J2620=0,K2620=0,L2620=0,M2620=0),"",CADASTROS!$B$4+SUM($J$2:J2620)+SUM($M$2:M2620)-SUM($K$2:K2620)-SUM($L$2:L2620))</f>
        <v/>
      </c>
      <c r="O2620" s="72" t="str">
        <f>IF(A2620="","",SUMIF(RATEIOS!$A$2:$A$3142,$A2620,RATEIOS!$F$2:$F$3142))</f>
        <v/>
      </c>
      <c r="P2620" s="15" t="str">
        <f t="shared" si="82"/>
        <v/>
      </c>
      <c r="Q2620" s="49" t="str">
        <f>IF(AND(J2620=0,K2620=0,L2620=0,M2620=0),"",IF(O2620=0,"PENDENTE DE RATEIO",IF(ABS(P2620)&gt;0.005,"DIVERGÊNCIA",IF(COUNTIF(RATEIOS!$A$2:$A$3142,$A2620)-COUNTIFS(RATEIOS!$A$2:$A$3142,$A2620,RATEIOS!$D$2:$D$3142,"&lt;&gt;")&gt;0,"NÃO CLASSIFICADO","RATEIO OK"))))</f>
        <v/>
      </c>
      <c r="R2620" s="49"/>
      <c r="S2620" s="14"/>
    </row>
    <row r="2621" spans="1:19" ht="30" customHeight="1" x14ac:dyDescent="0.25">
      <c r="A2621" s="49" t="str">
        <f>IF(C2621="","","BAN-02620")</f>
        <v/>
      </c>
      <c r="B2621" s="98" t="str">
        <f>IF(C2621="","",2620)</f>
        <v/>
      </c>
      <c r="C2621" s="50"/>
      <c r="D2621" s="49" t="str">
        <f t="shared" si="81"/>
        <v/>
      </c>
      <c r="E2621" s="92"/>
      <c r="F2621" s="49"/>
      <c r="G2621" s="14"/>
      <c r="H2621" s="14"/>
      <c r="I2621" s="76"/>
      <c r="J2621" s="73"/>
      <c r="K2621" s="74"/>
      <c r="L2621" s="72"/>
      <c r="M2621" s="72"/>
      <c r="N2621" s="72" t="str">
        <f>IF(AND(C2621="",J2621=0,K2621=0,L2621=0,M2621=0),"",CADASTROS!$B$4+SUM($J$2:J2621)+SUM($M$2:M2621)-SUM($K$2:K2621)-SUM($L$2:L2621))</f>
        <v/>
      </c>
      <c r="O2621" s="72" t="str">
        <f>IF(A2621="","",SUMIF(RATEIOS!$A$2:$A$3142,$A2621,RATEIOS!$F$2:$F$3142))</f>
        <v/>
      </c>
      <c r="P2621" s="15" t="str">
        <f t="shared" si="82"/>
        <v/>
      </c>
      <c r="Q2621" s="49" t="str">
        <f>IF(AND(J2621=0,K2621=0,L2621=0,M2621=0),"",IF(O2621=0,"PENDENTE DE RATEIO",IF(ABS(P2621)&gt;0.005,"DIVERGÊNCIA",IF(COUNTIF(RATEIOS!$A$2:$A$3142,$A2621)-COUNTIFS(RATEIOS!$A$2:$A$3142,$A2621,RATEIOS!$D$2:$D$3142,"&lt;&gt;")&gt;0,"NÃO CLASSIFICADO","RATEIO OK"))))</f>
        <v/>
      </c>
      <c r="R2621" s="49"/>
      <c r="S2621" s="14"/>
    </row>
    <row r="2622" spans="1:19" ht="30" customHeight="1" x14ac:dyDescent="0.25">
      <c r="A2622" s="49" t="str">
        <f>IF(C2622="","","BAN-02621")</f>
        <v/>
      </c>
      <c r="B2622" s="98" t="str">
        <f>IF(C2622="","",2621)</f>
        <v/>
      </c>
      <c r="C2622" s="50"/>
      <c r="D2622" s="49" t="str">
        <f t="shared" si="81"/>
        <v/>
      </c>
      <c r="E2622" s="92"/>
      <c r="F2622" s="49"/>
      <c r="G2622" s="14"/>
      <c r="H2622" s="14"/>
      <c r="I2622" s="76"/>
      <c r="J2622" s="73"/>
      <c r="K2622" s="74"/>
      <c r="L2622" s="72"/>
      <c r="M2622" s="72"/>
      <c r="N2622" s="72" t="str">
        <f>IF(AND(C2622="",J2622=0,K2622=0,L2622=0,M2622=0),"",CADASTROS!$B$4+SUM($J$2:J2622)+SUM($M$2:M2622)-SUM($K$2:K2622)-SUM($L$2:L2622))</f>
        <v/>
      </c>
      <c r="O2622" s="72" t="str">
        <f>IF(A2622="","",SUMIF(RATEIOS!$A$2:$A$3142,$A2622,RATEIOS!$F$2:$F$3142))</f>
        <v/>
      </c>
      <c r="P2622" s="15" t="str">
        <f t="shared" si="82"/>
        <v/>
      </c>
      <c r="Q2622" s="49" t="str">
        <f>IF(AND(J2622=0,K2622=0,L2622=0,M2622=0),"",IF(O2622=0,"PENDENTE DE RATEIO",IF(ABS(P2622)&gt;0.005,"DIVERGÊNCIA",IF(COUNTIF(RATEIOS!$A$2:$A$3142,$A2622)-COUNTIFS(RATEIOS!$A$2:$A$3142,$A2622,RATEIOS!$D$2:$D$3142,"&lt;&gt;")&gt;0,"NÃO CLASSIFICADO","RATEIO OK"))))</f>
        <v/>
      </c>
      <c r="R2622" s="49"/>
      <c r="S2622" s="14"/>
    </row>
    <row r="2623" spans="1:19" ht="30" customHeight="1" x14ac:dyDescent="0.25">
      <c r="A2623" s="49" t="str">
        <f>IF(C2623="","","BAN-02622")</f>
        <v/>
      </c>
      <c r="B2623" s="98" t="str">
        <f>IF(C2623="","",2622)</f>
        <v/>
      </c>
      <c r="C2623" s="50"/>
      <c r="D2623" s="49" t="str">
        <f t="shared" si="81"/>
        <v/>
      </c>
      <c r="E2623" s="92"/>
      <c r="F2623" s="49"/>
      <c r="G2623" s="14"/>
      <c r="H2623" s="14"/>
      <c r="I2623" s="76"/>
      <c r="J2623" s="73"/>
      <c r="K2623" s="74"/>
      <c r="L2623" s="72"/>
      <c r="M2623" s="72"/>
      <c r="N2623" s="72" t="str">
        <f>IF(AND(C2623="",J2623=0,K2623=0,L2623=0,M2623=0),"",CADASTROS!$B$4+SUM($J$2:J2623)+SUM($M$2:M2623)-SUM($K$2:K2623)-SUM($L$2:L2623))</f>
        <v/>
      </c>
      <c r="O2623" s="72" t="str">
        <f>IF(A2623="","",SUMIF(RATEIOS!$A$2:$A$3142,$A2623,RATEIOS!$F$2:$F$3142))</f>
        <v/>
      </c>
      <c r="P2623" s="15" t="str">
        <f t="shared" si="82"/>
        <v/>
      </c>
      <c r="Q2623" s="49" t="str">
        <f>IF(AND(J2623=0,K2623=0,L2623=0,M2623=0),"",IF(O2623=0,"PENDENTE DE RATEIO",IF(ABS(P2623)&gt;0.005,"DIVERGÊNCIA",IF(COUNTIF(RATEIOS!$A$2:$A$3142,$A2623)-COUNTIFS(RATEIOS!$A$2:$A$3142,$A2623,RATEIOS!$D$2:$D$3142,"&lt;&gt;")&gt;0,"NÃO CLASSIFICADO","RATEIO OK"))))</f>
        <v/>
      </c>
      <c r="R2623" s="49"/>
      <c r="S2623" s="14"/>
    </row>
    <row r="2624" spans="1:19" ht="30" customHeight="1" x14ac:dyDescent="0.25">
      <c r="A2624" s="49" t="str">
        <f>IF(C2624="","","BAN-02623")</f>
        <v/>
      </c>
      <c r="B2624" s="98" t="str">
        <f>IF(C2624="","",2623)</f>
        <v/>
      </c>
      <c r="C2624" s="50"/>
      <c r="D2624" s="49" t="str">
        <f t="shared" si="81"/>
        <v/>
      </c>
      <c r="E2624" s="92"/>
      <c r="F2624" s="49"/>
      <c r="G2624" s="14"/>
      <c r="H2624" s="14"/>
      <c r="I2624" s="76"/>
      <c r="J2624" s="73"/>
      <c r="K2624" s="74"/>
      <c r="L2624" s="72"/>
      <c r="M2624" s="72"/>
      <c r="N2624" s="72" t="str">
        <f>IF(AND(C2624="",J2624=0,K2624=0,L2624=0,M2624=0),"",CADASTROS!$B$4+SUM($J$2:J2624)+SUM($M$2:M2624)-SUM($K$2:K2624)-SUM($L$2:L2624))</f>
        <v/>
      </c>
      <c r="O2624" s="72" t="str">
        <f>IF(A2624="","",SUMIF(RATEIOS!$A$2:$A$3142,$A2624,RATEIOS!$F$2:$F$3142))</f>
        <v/>
      </c>
      <c r="P2624" s="15" t="str">
        <f t="shared" si="82"/>
        <v/>
      </c>
      <c r="Q2624" s="49" t="str">
        <f>IF(AND(J2624=0,K2624=0,L2624=0,M2624=0),"",IF(O2624=0,"PENDENTE DE RATEIO",IF(ABS(P2624)&gt;0.005,"DIVERGÊNCIA",IF(COUNTIF(RATEIOS!$A$2:$A$3142,$A2624)-COUNTIFS(RATEIOS!$A$2:$A$3142,$A2624,RATEIOS!$D$2:$D$3142,"&lt;&gt;")&gt;0,"NÃO CLASSIFICADO","RATEIO OK"))))</f>
        <v/>
      </c>
      <c r="R2624" s="49"/>
      <c r="S2624" s="14"/>
    </row>
    <row r="2625" spans="1:19" ht="30" customHeight="1" x14ac:dyDescent="0.25">
      <c r="A2625" s="49" t="str">
        <f>IF(C2625="","","BAN-02624")</f>
        <v/>
      </c>
      <c r="B2625" s="98" t="str">
        <f>IF(C2625="","",2624)</f>
        <v/>
      </c>
      <c r="C2625" s="50"/>
      <c r="D2625" s="49" t="str">
        <f t="shared" si="81"/>
        <v/>
      </c>
      <c r="E2625" s="92"/>
      <c r="F2625" s="49"/>
      <c r="G2625" s="14"/>
      <c r="H2625" s="14"/>
      <c r="I2625" s="76"/>
      <c r="J2625" s="73"/>
      <c r="K2625" s="74"/>
      <c r="L2625" s="72"/>
      <c r="M2625" s="72"/>
      <c r="N2625" s="72" t="str">
        <f>IF(AND(C2625="",J2625=0,K2625=0,L2625=0,M2625=0),"",CADASTROS!$B$4+SUM($J$2:J2625)+SUM($M$2:M2625)-SUM($K$2:K2625)-SUM($L$2:L2625))</f>
        <v/>
      </c>
      <c r="O2625" s="72" t="str">
        <f>IF(A2625="","",SUMIF(RATEIOS!$A$2:$A$3142,$A2625,RATEIOS!$F$2:$F$3142))</f>
        <v/>
      </c>
      <c r="P2625" s="15" t="str">
        <f t="shared" si="82"/>
        <v/>
      </c>
      <c r="Q2625" s="49" t="str">
        <f>IF(AND(J2625=0,K2625=0,L2625=0,M2625=0),"",IF(O2625=0,"PENDENTE DE RATEIO",IF(ABS(P2625)&gt;0.005,"DIVERGÊNCIA",IF(COUNTIF(RATEIOS!$A$2:$A$3142,$A2625)-COUNTIFS(RATEIOS!$A$2:$A$3142,$A2625,RATEIOS!$D$2:$D$3142,"&lt;&gt;")&gt;0,"NÃO CLASSIFICADO","RATEIO OK"))))</f>
        <v/>
      </c>
      <c r="R2625" s="49"/>
      <c r="S2625" s="14"/>
    </row>
    <row r="2626" spans="1:19" ht="30" customHeight="1" x14ac:dyDescent="0.25">
      <c r="A2626" s="49" t="str">
        <f>IF(C2626="","","BAN-02625")</f>
        <v/>
      </c>
      <c r="B2626" s="98" t="str">
        <f>IF(C2626="","",2625)</f>
        <v/>
      </c>
      <c r="C2626" s="50"/>
      <c r="D2626" s="49" t="str">
        <f t="shared" ref="D2626:D2689" si="83">IF(C2626="","",MONTH(C2626))</f>
        <v/>
      </c>
      <c r="E2626" s="92"/>
      <c r="F2626" s="49"/>
      <c r="G2626" s="14"/>
      <c r="H2626" s="14"/>
      <c r="I2626" s="76"/>
      <c r="J2626" s="73"/>
      <c r="K2626" s="74"/>
      <c r="L2626" s="72"/>
      <c r="M2626" s="72"/>
      <c r="N2626" s="72" t="str">
        <f>IF(AND(C2626="",J2626=0,K2626=0,L2626=0,M2626=0),"",CADASTROS!$B$4+SUM($J$2:J2626)+SUM($M$2:M2626)-SUM($K$2:K2626)-SUM($L$2:L2626))</f>
        <v/>
      </c>
      <c r="O2626" s="72" t="str">
        <f>IF(A2626="","",SUMIF(RATEIOS!$A$2:$A$3142,$A2626,RATEIOS!$F$2:$F$3142))</f>
        <v/>
      </c>
      <c r="P2626" s="15" t="str">
        <f t="shared" ref="P2626:P2689" si="84">IF(A2626="","",(J2626+K2626+L2626+M2626)-O2626)</f>
        <v/>
      </c>
      <c r="Q2626" s="49" t="str">
        <f>IF(AND(J2626=0,K2626=0,L2626=0,M2626=0),"",IF(O2626=0,"PENDENTE DE RATEIO",IF(ABS(P2626)&gt;0.005,"DIVERGÊNCIA",IF(COUNTIF(RATEIOS!$A$2:$A$3142,$A2626)-COUNTIFS(RATEIOS!$A$2:$A$3142,$A2626,RATEIOS!$D$2:$D$3142,"&lt;&gt;")&gt;0,"NÃO CLASSIFICADO","RATEIO OK"))))</f>
        <v/>
      </c>
      <c r="R2626" s="49"/>
      <c r="S2626" s="14"/>
    </row>
    <row r="2627" spans="1:19" ht="30" customHeight="1" x14ac:dyDescent="0.25">
      <c r="A2627" s="49" t="str">
        <f>IF(C2627="","","BAN-02626")</f>
        <v/>
      </c>
      <c r="B2627" s="98" t="str">
        <f>IF(C2627="","",2626)</f>
        <v/>
      </c>
      <c r="C2627" s="50"/>
      <c r="D2627" s="49" t="str">
        <f t="shared" si="83"/>
        <v/>
      </c>
      <c r="E2627" s="92"/>
      <c r="F2627" s="49"/>
      <c r="G2627" s="14"/>
      <c r="H2627" s="14"/>
      <c r="I2627" s="76"/>
      <c r="J2627" s="73"/>
      <c r="K2627" s="74"/>
      <c r="L2627" s="72"/>
      <c r="M2627" s="72"/>
      <c r="N2627" s="72" t="str">
        <f>IF(AND(C2627="",J2627=0,K2627=0,L2627=0,M2627=0),"",CADASTROS!$B$4+SUM($J$2:J2627)+SUM($M$2:M2627)-SUM($K$2:K2627)-SUM($L$2:L2627))</f>
        <v/>
      </c>
      <c r="O2627" s="72" t="str">
        <f>IF(A2627="","",SUMIF(RATEIOS!$A$2:$A$3142,$A2627,RATEIOS!$F$2:$F$3142))</f>
        <v/>
      </c>
      <c r="P2627" s="15" t="str">
        <f t="shared" si="84"/>
        <v/>
      </c>
      <c r="Q2627" s="49" t="str">
        <f>IF(AND(J2627=0,K2627=0,L2627=0,M2627=0),"",IF(O2627=0,"PENDENTE DE RATEIO",IF(ABS(P2627)&gt;0.005,"DIVERGÊNCIA",IF(COUNTIF(RATEIOS!$A$2:$A$3142,$A2627)-COUNTIFS(RATEIOS!$A$2:$A$3142,$A2627,RATEIOS!$D$2:$D$3142,"&lt;&gt;")&gt;0,"NÃO CLASSIFICADO","RATEIO OK"))))</f>
        <v/>
      </c>
      <c r="R2627" s="49"/>
      <c r="S2627" s="14"/>
    </row>
    <row r="2628" spans="1:19" ht="30" customHeight="1" x14ac:dyDescent="0.25">
      <c r="A2628" s="49" t="str">
        <f>IF(C2628="","","BAN-02627")</f>
        <v/>
      </c>
      <c r="B2628" s="98" t="str">
        <f>IF(C2628="","",2627)</f>
        <v/>
      </c>
      <c r="C2628" s="50"/>
      <c r="D2628" s="49" t="str">
        <f t="shared" si="83"/>
        <v/>
      </c>
      <c r="E2628" s="92"/>
      <c r="F2628" s="49"/>
      <c r="G2628" s="14"/>
      <c r="H2628" s="14"/>
      <c r="I2628" s="76"/>
      <c r="J2628" s="73"/>
      <c r="K2628" s="74"/>
      <c r="L2628" s="72"/>
      <c r="M2628" s="72"/>
      <c r="N2628" s="72" t="str">
        <f>IF(AND(C2628="",J2628=0,K2628=0,L2628=0,M2628=0),"",CADASTROS!$B$4+SUM($J$2:J2628)+SUM($M$2:M2628)-SUM($K$2:K2628)-SUM($L$2:L2628))</f>
        <v/>
      </c>
      <c r="O2628" s="72" t="str">
        <f>IF(A2628="","",SUMIF(RATEIOS!$A$2:$A$3142,$A2628,RATEIOS!$F$2:$F$3142))</f>
        <v/>
      </c>
      <c r="P2628" s="15" t="str">
        <f t="shared" si="84"/>
        <v/>
      </c>
      <c r="Q2628" s="49" t="str">
        <f>IF(AND(J2628=0,K2628=0,L2628=0,M2628=0),"",IF(O2628=0,"PENDENTE DE RATEIO",IF(ABS(P2628)&gt;0.005,"DIVERGÊNCIA",IF(COUNTIF(RATEIOS!$A$2:$A$3142,$A2628)-COUNTIFS(RATEIOS!$A$2:$A$3142,$A2628,RATEIOS!$D$2:$D$3142,"&lt;&gt;")&gt;0,"NÃO CLASSIFICADO","RATEIO OK"))))</f>
        <v/>
      </c>
      <c r="R2628" s="49"/>
      <c r="S2628" s="14"/>
    </row>
    <row r="2629" spans="1:19" ht="30" customHeight="1" x14ac:dyDescent="0.25">
      <c r="A2629" s="49" t="str">
        <f>IF(C2629="","","BAN-02628")</f>
        <v/>
      </c>
      <c r="B2629" s="98" t="str">
        <f>IF(C2629="","",2628)</f>
        <v/>
      </c>
      <c r="C2629" s="50"/>
      <c r="D2629" s="49" t="str">
        <f t="shared" si="83"/>
        <v/>
      </c>
      <c r="E2629" s="92"/>
      <c r="F2629" s="49"/>
      <c r="G2629" s="14"/>
      <c r="H2629" s="14"/>
      <c r="I2629" s="76"/>
      <c r="J2629" s="73"/>
      <c r="K2629" s="74"/>
      <c r="L2629" s="72"/>
      <c r="M2629" s="72"/>
      <c r="N2629" s="72" t="str">
        <f>IF(AND(C2629="",J2629=0,K2629=0,L2629=0,M2629=0),"",CADASTROS!$B$4+SUM($J$2:J2629)+SUM($M$2:M2629)-SUM($K$2:K2629)-SUM($L$2:L2629))</f>
        <v/>
      </c>
      <c r="O2629" s="72" t="str">
        <f>IF(A2629="","",SUMIF(RATEIOS!$A$2:$A$3142,$A2629,RATEIOS!$F$2:$F$3142))</f>
        <v/>
      </c>
      <c r="P2629" s="15" t="str">
        <f t="shared" si="84"/>
        <v/>
      </c>
      <c r="Q2629" s="49" t="str">
        <f>IF(AND(J2629=0,K2629=0,L2629=0,M2629=0),"",IF(O2629=0,"PENDENTE DE RATEIO",IF(ABS(P2629)&gt;0.005,"DIVERGÊNCIA",IF(COUNTIF(RATEIOS!$A$2:$A$3142,$A2629)-COUNTIFS(RATEIOS!$A$2:$A$3142,$A2629,RATEIOS!$D$2:$D$3142,"&lt;&gt;")&gt;0,"NÃO CLASSIFICADO","RATEIO OK"))))</f>
        <v/>
      </c>
      <c r="R2629" s="49"/>
      <c r="S2629" s="14"/>
    </row>
    <row r="2630" spans="1:19" ht="30" customHeight="1" x14ac:dyDescent="0.25">
      <c r="A2630" s="49" t="str">
        <f>IF(C2630="","","BAN-02629")</f>
        <v/>
      </c>
      <c r="B2630" s="98" t="str">
        <f>IF(C2630="","",2629)</f>
        <v/>
      </c>
      <c r="C2630" s="50"/>
      <c r="D2630" s="49" t="str">
        <f t="shared" si="83"/>
        <v/>
      </c>
      <c r="E2630" s="92"/>
      <c r="F2630" s="49"/>
      <c r="G2630" s="14"/>
      <c r="H2630" s="14"/>
      <c r="I2630" s="76"/>
      <c r="J2630" s="73"/>
      <c r="K2630" s="74"/>
      <c r="L2630" s="72"/>
      <c r="M2630" s="72"/>
      <c r="N2630" s="72" t="str">
        <f>IF(AND(C2630="",J2630=0,K2630=0,L2630=0,M2630=0),"",CADASTROS!$B$4+SUM($J$2:J2630)+SUM($M$2:M2630)-SUM($K$2:K2630)-SUM($L$2:L2630))</f>
        <v/>
      </c>
      <c r="O2630" s="72" t="str">
        <f>IF(A2630="","",SUMIF(RATEIOS!$A$2:$A$3142,$A2630,RATEIOS!$F$2:$F$3142))</f>
        <v/>
      </c>
      <c r="P2630" s="15" t="str">
        <f t="shared" si="84"/>
        <v/>
      </c>
      <c r="Q2630" s="49" t="str">
        <f>IF(AND(J2630=0,K2630=0,L2630=0,M2630=0),"",IF(O2630=0,"PENDENTE DE RATEIO",IF(ABS(P2630)&gt;0.005,"DIVERGÊNCIA",IF(COUNTIF(RATEIOS!$A$2:$A$3142,$A2630)-COUNTIFS(RATEIOS!$A$2:$A$3142,$A2630,RATEIOS!$D$2:$D$3142,"&lt;&gt;")&gt;0,"NÃO CLASSIFICADO","RATEIO OK"))))</f>
        <v/>
      </c>
      <c r="R2630" s="49"/>
      <c r="S2630" s="14"/>
    </row>
    <row r="2631" spans="1:19" ht="30" customHeight="1" x14ac:dyDescent="0.25">
      <c r="A2631" s="49" t="str">
        <f>IF(C2631="","","BAN-02630")</f>
        <v/>
      </c>
      <c r="B2631" s="98" t="str">
        <f>IF(C2631="","",2630)</f>
        <v/>
      </c>
      <c r="C2631" s="50"/>
      <c r="D2631" s="49" t="str">
        <f t="shared" si="83"/>
        <v/>
      </c>
      <c r="E2631" s="92"/>
      <c r="F2631" s="49"/>
      <c r="G2631" s="14"/>
      <c r="H2631" s="14"/>
      <c r="I2631" s="76"/>
      <c r="J2631" s="73"/>
      <c r="K2631" s="74"/>
      <c r="L2631" s="72"/>
      <c r="M2631" s="72"/>
      <c r="N2631" s="72" t="str">
        <f>IF(AND(C2631="",J2631=0,K2631=0,L2631=0,M2631=0),"",CADASTROS!$B$4+SUM($J$2:J2631)+SUM($M$2:M2631)-SUM($K$2:K2631)-SUM($L$2:L2631))</f>
        <v/>
      </c>
      <c r="O2631" s="72" t="str">
        <f>IF(A2631="","",SUMIF(RATEIOS!$A$2:$A$3142,$A2631,RATEIOS!$F$2:$F$3142))</f>
        <v/>
      </c>
      <c r="P2631" s="15" t="str">
        <f t="shared" si="84"/>
        <v/>
      </c>
      <c r="Q2631" s="49" t="str">
        <f>IF(AND(J2631=0,K2631=0,L2631=0,M2631=0),"",IF(O2631=0,"PENDENTE DE RATEIO",IF(ABS(P2631)&gt;0.005,"DIVERGÊNCIA",IF(COUNTIF(RATEIOS!$A$2:$A$3142,$A2631)-COUNTIFS(RATEIOS!$A$2:$A$3142,$A2631,RATEIOS!$D$2:$D$3142,"&lt;&gt;")&gt;0,"NÃO CLASSIFICADO","RATEIO OK"))))</f>
        <v/>
      </c>
      <c r="R2631" s="49"/>
      <c r="S2631" s="14"/>
    </row>
    <row r="2632" spans="1:19" ht="30" customHeight="1" x14ac:dyDescent="0.25">
      <c r="A2632" s="49" t="str">
        <f>IF(C2632="","","BAN-02631")</f>
        <v/>
      </c>
      <c r="B2632" s="98" t="str">
        <f>IF(C2632="","",2631)</f>
        <v/>
      </c>
      <c r="C2632" s="50"/>
      <c r="D2632" s="49" t="str">
        <f t="shared" si="83"/>
        <v/>
      </c>
      <c r="E2632" s="92"/>
      <c r="F2632" s="49"/>
      <c r="G2632" s="14"/>
      <c r="H2632" s="14"/>
      <c r="I2632" s="76"/>
      <c r="J2632" s="73"/>
      <c r="K2632" s="74"/>
      <c r="L2632" s="72"/>
      <c r="M2632" s="72"/>
      <c r="N2632" s="72" t="str">
        <f>IF(AND(C2632="",J2632=0,K2632=0,L2632=0,M2632=0),"",CADASTROS!$B$4+SUM($J$2:J2632)+SUM($M$2:M2632)-SUM($K$2:K2632)-SUM($L$2:L2632))</f>
        <v/>
      </c>
      <c r="O2632" s="72" t="str">
        <f>IF(A2632="","",SUMIF(RATEIOS!$A$2:$A$3142,$A2632,RATEIOS!$F$2:$F$3142))</f>
        <v/>
      </c>
      <c r="P2632" s="15" t="str">
        <f t="shared" si="84"/>
        <v/>
      </c>
      <c r="Q2632" s="49" t="str">
        <f>IF(AND(J2632=0,K2632=0,L2632=0,M2632=0),"",IF(O2632=0,"PENDENTE DE RATEIO",IF(ABS(P2632)&gt;0.005,"DIVERGÊNCIA",IF(COUNTIF(RATEIOS!$A$2:$A$3142,$A2632)-COUNTIFS(RATEIOS!$A$2:$A$3142,$A2632,RATEIOS!$D$2:$D$3142,"&lt;&gt;")&gt;0,"NÃO CLASSIFICADO","RATEIO OK"))))</f>
        <v/>
      </c>
      <c r="R2632" s="49"/>
      <c r="S2632" s="14"/>
    </row>
    <row r="2633" spans="1:19" ht="30" customHeight="1" x14ac:dyDescent="0.25">
      <c r="A2633" s="49" t="str">
        <f>IF(C2633="","","BAN-02632")</f>
        <v/>
      </c>
      <c r="B2633" s="98" t="str">
        <f>IF(C2633="","",2632)</f>
        <v/>
      </c>
      <c r="C2633" s="50"/>
      <c r="D2633" s="49" t="str">
        <f t="shared" si="83"/>
        <v/>
      </c>
      <c r="E2633" s="92"/>
      <c r="F2633" s="49"/>
      <c r="G2633" s="14"/>
      <c r="H2633" s="14"/>
      <c r="I2633" s="76"/>
      <c r="J2633" s="73"/>
      <c r="K2633" s="74"/>
      <c r="L2633" s="72"/>
      <c r="M2633" s="72"/>
      <c r="N2633" s="72" t="str">
        <f>IF(AND(C2633="",J2633=0,K2633=0,L2633=0,M2633=0),"",CADASTROS!$B$4+SUM($J$2:J2633)+SUM($M$2:M2633)-SUM($K$2:K2633)-SUM($L$2:L2633))</f>
        <v/>
      </c>
      <c r="O2633" s="72" t="str">
        <f>IF(A2633="","",SUMIF(RATEIOS!$A$2:$A$3142,$A2633,RATEIOS!$F$2:$F$3142))</f>
        <v/>
      </c>
      <c r="P2633" s="15" t="str">
        <f t="shared" si="84"/>
        <v/>
      </c>
      <c r="Q2633" s="49" t="str">
        <f>IF(AND(J2633=0,K2633=0,L2633=0,M2633=0),"",IF(O2633=0,"PENDENTE DE RATEIO",IF(ABS(P2633)&gt;0.005,"DIVERGÊNCIA",IF(COUNTIF(RATEIOS!$A$2:$A$3142,$A2633)-COUNTIFS(RATEIOS!$A$2:$A$3142,$A2633,RATEIOS!$D$2:$D$3142,"&lt;&gt;")&gt;0,"NÃO CLASSIFICADO","RATEIO OK"))))</f>
        <v/>
      </c>
      <c r="R2633" s="49"/>
      <c r="S2633" s="14"/>
    </row>
    <row r="2634" spans="1:19" ht="30" customHeight="1" x14ac:dyDescent="0.25">
      <c r="A2634" s="49" t="str">
        <f>IF(C2634="","","BAN-02633")</f>
        <v/>
      </c>
      <c r="B2634" s="98" t="str">
        <f>IF(C2634="","",2633)</f>
        <v/>
      </c>
      <c r="C2634" s="50"/>
      <c r="D2634" s="49" t="str">
        <f t="shared" si="83"/>
        <v/>
      </c>
      <c r="E2634" s="92"/>
      <c r="F2634" s="49"/>
      <c r="G2634" s="14"/>
      <c r="H2634" s="14"/>
      <c r="I2634" s="76"/>
      <c r="J2634" s="73"/>
      <c r="K2634" s="74"/>
      <c r="L2634" s="72"/>
      <c r="M2634" s="72"/>
      <c r="N2634" s="72" t="str">
        <f>IF(AND(C2634="",J2634=0,K2634=0,L2634=0,M2634=0),"",CADASTROS!$B$4+SUM($J$2:J2634)+SUM($M$2:M2634)-SUM($K$2:K2634)-SUM($L$2:L2634))</f>
        <v/>
      </c>
      <c r="O2634" s="72" t="str">
        <f>IF(A2634="","",SUMIF(RATEIOS!$A$2:$A$3142,$A2634,RATEIOS!$F$2:$F$3142))</f>
        <v/>
      </c>
      <c r="P2634" s="15" t="str">
        <f t="shared" si="84"/>
        <v/>
      </c>
      <c r="Q2634" s="49" t="str">
        <f>IF(AND(J2634=0,K2634=0,L2634=0,M2634=0),"",IF(O2634=0,"PENDENTE DE RATEIO",IF(ABS(P2634)&gt;0.005,"DIVERGÊNCIA",IF(COUNTIF(RATEIOS!$A$2:$A$3142,$A2634)-COUNTIFS(RATEIOS!$A$2:$A$3142,$A2634,RATEIOS!$D$2:$D$3142,"&lt;&gt;")&gt;0,"NÃO CLASSIFICADO","RATEIO OK"))))</f>
        <v/>
      </c>
      <c r="R2634" s="49"/>
      <c r="S2634" s="14"/>
    </row>
    <row r="2635" spans="1:19" ht="30" customHeight="1" x14ac:dyDescent="0.25">
      <c r="A2635" s="49" t="str">
        <f>IF(C2635="","","BAN-02634")</f>
        <v/>
      </c>
      <c r="B2635" s="98" t="str">
        <f>IF(C2635="","",2634)</f>
        <v/>
      </c>
      <c r="C2635" s="50"/>
      <c r="D2635" s="49" t="str">
        <f t="shared" si="83"/>
        <v/>
      </c>
      <c r="E2635" s="92"/>
      <c r="F2635" s="49"/>
      <c r="G2635" s="14"/>
      <c r="H2635" s="14"/>
      <c r="I2635" s="76"/>
      <c r="J2635" s="73"/>
      <c r="K2635" s="74"/>
      <c r="L2635" s="72"/>
      <c r="M2635" s="72"/>
      <c r="N2635" s="72" t="str">
        <f>IF(AND(C2635="",J2635=0,K2635=0,L2635=0,M2635=0),"",CADASTROS!$B$4+SUM($J$2:J2635)+SUM($M$2:M2635)-SUM($K$2:K2635)-SUM($L$2:L2635))</f>
        <v/>
      </c>
      <c r="O2635" s="72" t="str">
        <f>IF(A2635="","",SUMIF(RATEIOS!$A$2:$A$3142,$A2635,RATEIOS!$F$2:$F$3142))</f>
        <v/>
      </c>
      <c r="P2635" s="15" t="str">
        <f t="shared" si="84"/>
        <v/>
      </c>
      <c r="Q2635" s="49" t="str">
        <f>IF(AND(J2635=0,K2635=0,L2635=0,M2635=0),"",IF(O2635=0,"PENDENTE DE RATEIO",IF(ABS(P2635)&gt;0.005,"DIVERGÊNCIA",IF(COUNTIF(RATEIOS!$A$2:$A$3142,$A2635)-COUNTIFS(RATEIOS!$A$2:$A$3142,$A2635,RATEIOS!$D$2:$D$3142,"&lt;&gt;")&gt;0,"NÃO CLASSIFICADO","RATEIO OK"))))</f>
        <v/>
      </c>
      <c r="R2635" s="49"/>
      <c r="S2635" s="14"/>
    </row>
    <row r="2636" spans="1:19" ht="30" customHeight="1" x14ac:dyDescent="0.25">
      <c r="A2636" s="49" t="str">
        <f>IF(C2636="","","BAN-02635")</f>
        <v/>
      </c>
      <c r="B2636" s="98" t="str">
        <f>IF(C2636="","",2635)</f>
        <v/>
      </c>
      <c r="C2636" s="50"/>
      <c r="D2636" s="49" t="str">
        <f t="shared" si="83"/>
        <v/>
      </c>
      <c r="E2636" s="92"/>
      <c r="F2636" s="49"/>
      <c r="G2636" s="14"/>
      <c r="H2636" s="14"/>
      <c r="I2636" s="76"/>
      <c r="J2636" s="73"/>
      <c r="K2636" s="74"/>
      <c r="L2636" s="72"/>
      <c r="M2636" s="72"/>
      <c r="N2636" s="72" t="str">
        <f>IF(AND(C2636="",J2636=0,K2636=0,L2636=0,M2636=0),"",CADASTROS!$B$4+SUM($J$2:J2636)+SUM($M$2:M2636)-SUM($K$2:K2636)-SUM($L$2:L2636))</f>
        <v/>
      </c>
      <c r="O2636" s="72" t="str">
        <f>IF(A2636="","",SUMIF(RATEIOS!$A$2:$A$3142,$A2636,RATEIOS!$F$2:$F$3142))</f>
        <v/>
      </c>
      <c r="P2636" s="15" t="str">
        <f t="shared" si="84"/>
        <v/>
      </c>
      <c r="Q2636" s="49" t="str">
        <f>IF(AND(J2636=0,K2636=0,L2636=0,M2636=0),"",IF(O2636=0,"PENDENTE DE RATEIO",IF(ABS(P2636)&gt;0.005,"DIVERGÊNCIA",IF(COUNTIF(RATEIOS!$A$2:$A$3142,$A2636)-COUNTIFS(RATEIOS!$A$2:$A$3142,$A2636,RATEIOS!$D$2:$D$3142,"&lt;&gt;")&gt;0,"NÃO CLASSIFICADO","RATEIO OK"))))</f>
        <v/>
      </c>
      <c r="R2636" s="49"/>
      <c r="S2636" s="14"/>
    </row>
    <row r="2637" spans="1:19" ht="30" customHeight="1" x14ac:dyDescent="0.25">
      <c r="A2637" s="49" t="str">
        <f>IF(C2637="","","BAN-02636")</f>
        <v/>
      </c>
      <c r="B2637" s="98" t="str">
        <f>IF(C2637="","",2636)</f>
        <v/>
      </c>
      <c r="C2637" s="50"/>
      <c r="D2637" s="49" t="str">
        <f t="shared" si="83"/>
        <v/>
      </c>
      <c r="E2637" s="92"/>
      <c r="F2637" s="49"/>
      <c r="G2637" s="14"/>
      <c r="H2637" s="14"/>
      <c r="I2637" s="76"/>
      <c r="J2637" s="73"/>
      <c r="K2637" s="74"/>
      <c r="L2637" s="72"/>
      <c r="M2637" s="72"/>
      <c r="N2637" s="72" t="str">
        <f>IF(AND(C2637="",J2637=0,K2637=0,L2637=0,M2637=0),"",CADASTROS!$B$4+SUM($J$2:J2637)+SUM($M$2:M2637)-SUM($K$2:K2637)-SUM($L$2:L2637))</f>
        <v/>
      </c>
      <c r="O2637" s="72" t="str">
        <f>IF(A2637="","",SUMIF(RATEIOS!$A$2:$A$3142,$A2637,RATEIOS!$F$2:$F$3142))</f>
        <v/>
      </c>
      <c r="P2637" s="15" t="str">
        <f t="shared" si="84"/>
        <v/>
      </c>
      <c r="Q2637" s="49" t="str">
        <f>IF(AND(J2637=0,K2637=0,L2637=0,M2637=0),"",IF(O2637=0,"PENDENTE DE RATEIO",IF(ABS(P2637)&gt;0.005,"DIVERGÊNCIA",IF(COUNTIF(RATEIOS!$A$2:$A$3142,$A2637)-COUNTIFS(RATEIOS!$A$2:$A$3142,$A2637,RATEIOS!$D$2:$D$3142,"&lt;&gt;")&gt;0,"NÃO CLASSIFICADO","RATEIO OK"))))</f>
        <v/>
      </c>
      <c r="R2637" s="49"/>
      <c r="S2637" s="14"/>
    </row>
    <row r="2638" spans="1:19" ht="30" customHeight="1" x14ac:dyDescent="0.25">
      <c r="A2638" s="49" t="str">
        <f>IF(C2638="","","BAN-02637")</f>
        <v/>
      </c>
      <c r="B2638" s="98" t="str">
        <f>IF(C2638="","",2637)</f>
        <v/>
      </c>
      <c r="C2638" s="50"/>
      <c r="D2638" s="49" t="str">
        <f t="shared" si="83"/>
        <v/>
      </c>
      <c r="E2638" s="92"/>
      <c r="F2638" s="49"/>
      <c r="G2638" s="14"/>
      <c r="H2638" s="14"/>
      <c r="I2638" s="76"/>
      <c r="J2638" s="73"/>
      <c r="K2638" s="74"/>
      <c r="L2638" s="72"/>
      <c r="M2638" s="72"/>
      <c r="N2638" s="72" t="str">
        <f>IF(AND(C2638="",J2638=0,K2638=0,L2638=0,M2638=0),"",CADASTROS!$B$4+SUM($J$2:J2638)+SUM($M$2:M2638)-SUM($K$2:K2638)-SUM($L$2:L2638))</f>
        <v/>
      </c>
      <c r="O2638" s="72" t="str">
        <f>IF(A2638="","",SUMIF(RATEIOS!$A$2:$A$3142,$A2638,RATEIOS!$F$2:$F$3142))</f>
        <v/>
      </c>
      <c r="P2638" s="15" t="str">
        <f t="shared" si="84"/>
        <v/>
      </c>
      <c r="Q2638" s="49" t="str">
        <f>IF(AND(J2638=0,K2638=0,L2638=0,M2638=0),"",IF(O2638=0,"PENDENTE DE RATEIO",IF(ABS(P2638)&gt;0.005,"DIVERGÊNCIA",IF(COUNTIF(RATEIOS!$A$2:$A$3142,$A2638)-COUNTIFS(RATEIOS!$A$2:$A$3142,$A2638,RATEIOS!$D$2:$D$3142,"&lt;&gt;")&gt;0,"NÃO CLASSIFICADO","RATEIO OK"))))</f>
        <v/>
      </c>
      <c r="R2638" s="49"/>
      <c r="S2638" s="14"/>
    </row>
    <row r="2639" spans="1:19" ht="30" customHeight="1" x14ac:dyDescent="0.25">
      <c r="A2639" s="49" t="str">
        <f>IF(C2639="","","BAN-02638")</f>
        <v/>
      </c>
      <c r="B2639" s="98" t="str">
        <f>IF(C2639="","",2638)</f>
        <v/>
      </c>
      <c r="C2639" s="50"/>
      <c r="D2639" s="49" t="str">
        <f t="shared" si="83"/>
        <v/>
      </c>
      <c r="E2639" s="92"/>
      <c r="F2639" s="49"/>
      <c r="G2639" s="14"/>
      <c r="H2639" s="14"/>
      <c r="I2639" s="76"/>
      <c r="J2639" s="73"/>
      <c r="K2639" s="74"/>
      <c r="L2639" s="72"/>
      <c r="M2639" s="72"/>
      <c r="N2639" s="72" t="str">
        <f>IF(AND(C2639="",J2639=0,K2639=0,L2639=0,M2639=0),"",CADASTROS!$B$4+SUM($J$2:J2639)+SUM($M$2:M2639)-SUM($K$2:K2639)-SUM($L$2:L2639))</f>
        <v/>
      </c>
      <c r="O2639" s="72" t="str">
        <f>IF(A2639="","",SUMIF(RATEIOS!$A$2:$A$3142,$A2639,RATEIOS!$F$2:$F$3142))</f>
        <v/>
      </c>
      <c r="P2639" s="15" t="str">
        <f t="shared" si="84"/>
        <v/>
      </c>
      <c r="Q2639" s="49" t="str">
        <f>IF(AND(J2639=0,K2639=0,L2639=0,M2639=0),"",IF(O2639=0,"PENDENTE DE RATEIO",IF(ABS(P2639)&gt;0.005,"DIVERGÊNCIA",IF(COUNTIF(RATEIOS!$A$2:$A$3142,$A2639)-COUNTIFS(RATEIOS!$A$2:$A$3142,$A2639,RATEIOS!$D$2:$D$3142,"&lt;&gt;")&gt;0,"NÃO CLASSIFICADO","RATEIO OK"))))</f>
        <v/>
      </c>
      <c r="R2639" s="49"/>
      <c r="S2639" s="14"/>
    </row>
    <row r="2640" spans="1:19" ht="30" customHeight="1" x14ac:dyDescent="0.25">
      <c r="A2640" s="49" t="str">
        <f>IF(C2640="","","BAN-02639")</f>
        <v/>
      </c>
      <c r="B2640" s="98" t="str">
        <f>IF(C2640="","",2639)</f>
        <v/>
      </c>
      <c r="C2640" s="50"/>
      <c r="D2640" s="49" t="str">
        <f t="shared" si="83"/>
        <v/>
      </c>
      <c r="E2640" s="92"/>
      <c r="F2640" s="49"/>
      <c r="G2640" s="14"/>
      <c r="H2640" s="14"/>
      <c r="I2640" s="76"/>
      <c r="J2640" s="73"/>
      <c r="K2640" s="74"/>
      <c r="L2640" s="72"/>
      <c r="M2640" s="72"/>
      <c r="N2640" s="72" t="str">
        <f>IF(AND(C2640="",J2640=0,K2640=0,L2640=0,M2640=0),"",CADASTROS!$B$4+SUM($J$2:J2640)+SUM($M$2:M2640)-SUM($K$2:K2640)-SUM($L$2:L2640))</f>
        <v/>
      </c>
      <c r="O2640" s="72" t="str">
        <f>IF(A2640="","",SUMIF(RATEIOS!$A$2:$A$3142,$A2640,RATEIOS!$F$2:$F$3142))</f>
        <v/>
      </c>
      <c r="P2640" s="15" t="str">
        <f t="shared" si="84"/>
        <v/>
      </c>
      <c r="Q2640" s="49" t="str">
        <f>IF(AND(J2640=0,K2640=0,L2640=0,M2640=0),"",IF(O2640=0,"PENDENTE DE RATEIO",IF(ABS(P2640)&gt;0.005,"DIVERGÊNCIA",IF(COUNTIF(RATEIOS!$A$2:$A$3142,$A2640)-COUNTIFS(RATEIOS!$A$2:$A$3142,$A2640,RATEIOS!$D$2:$D$3142,"&lt;&gt;")&gt;0,"NÃO CLASSIFICADO","RATEIO OK"))))</f>
        <v/>
      </c>
      <c r="R2640" s="49"/>
      <c r="S2640" s="14"/>
    </row>
    <row r="2641" spans="1:19" ht="30" customHeight="1" x14ac:dyDescent="0.25">
      <c r="A2641" s="49" t="str">
        <f>IF(C2641="","","BAN-02640")</f>
        <v/>
      </c>
      <c r="B2641" s="98" t="str">
        <f>IF(C2641="","",2640)</f>
        <v/>
      </c>
      <c r="C2641" s="50"/>
      <c r="D2641" s="49" t="str">
        <f t="shared" si="83"/>
        <v/>
      </c>
      <c r="E2641" s="92"/>
      <c r="F2641" s="49"/>
      <c r="G2641" s="14"/>
      <c r="H2641" s="14"/>
      <c r="I2641" s="76"/>
      <c r="J2641" s="73"/>
      <c r="K2641" s="74"/>
      <c r="L2641" s="72"/>
      <c r="M2641" s="72"/>
      <c r="N2641" s="72" t="str">
        <f>IF(AND(C2641="",J2641=0,K2641=0,L2641=0,M2641=0),"",CADASTROS!$B$4+SUM($J$2:J2641)+SUM($M$2:M2641)-SUM($K$2:K2641)-SUM($L$2:L2641))</f>
        <v/>
      </c>
      <c r="O2641" s="72" t="str">
        <f>IF(A2641="","",SUMIF(RATEIOS!$A$2:$A$3142,$A2641,RATEIOS!$F$2:$F$3142))</f>
        <v/>
      </c>
      <c r="P2641" s="15" t="str">
        <f t="shared" si="84"/>
        <v/>
      </c>
      <c r="Q2641" s="49" t="str">
        <f>IF(AND(J2641=0,K2641=0,L2641=0,M2641=0),"",IF(O2641=0,"PENDENTE DE RATEIO",IF(ABS(P2641)&gt;0.005,"DIVERGÊNCIA",IF(COUNTIF(RATEIOS!$A$2:$A$3142,$A2641)-COUNTIFS(RATEIOS!$A$2:$A$3142,$A2641,RATEIOS!$D$2:$D$3142,"&lt;&gt;")&gt;0,"NÃO CLASSIFICADO","RATEIO OK"))))</f>
        <v/>
      </c>
      <c r="R2641" s="49"/>
      <c r="S2641" s="14"/>
    </row>
    <row r="2642" spans="1:19" ht="30" customHeight="1" x14ac:dyDescent="0.25">
      <c r="A2642" s="49" t="str">
        <f>IF(C2642="","","BAN-02641")</f>
        <v/>
      </c>
      <c r="B2642" s="98" t="str">
        <f>IF(C2642="","",2641)</f>
        <v/>
      </c>
      <c r="C2642" s="50"/>
      <c r="D2642" s="49" t="str">
        <f t="shared" si="83"/>
        <v/>
      </c>
      <c r="E2642" s="92"/>
      <c r="F2642" s="49"/>
      <c r="G2642" s="14"/>
      <c r="H2642" s="14"/>
      <c r="I2642" s="76"/>
      <c r="J2642" s="73"/>
      <c r="K2642" s="74"/>
      <c r="L2642" s="72"/>
      <c r="M2642" s="72"/>
      <c r="N2642" s="72" t="str">
        <f>IF(AND(C2642="",J2642=0,K2642=0,L2642=0,M2642=0),"",CADASTROS!$B$4+SUM($J$2:J2642)+SUM($M$2:M2642)-SUM($K$2:K2642)-SUM($L$2:L2642))</f>
        <v/>
      </c>
      <c r="O2642" s="72" t="str">
        <f>IF(A2642="","",SUMIF(RATEIOS!$A$2:$A$3142,$A2642,RATEIOS!$F$2:$F$3142))</f>
        <v/>
      </c>
      <c r="P2642" s="15" t="str">
        <f t="shared" si="84"/>
        <v/>
      </c>
      <c r="Q2642" s="49" t="str">
        <f>IF(AND(J2642=0,K2642=0,L2642=0,M2642=0),"",IF(O2642=0,"PENDENTE DE RATEIO",IF(ABS(P2642)&gt;0.005,"DIVERGÊNCIA",IF(COUNTIF(RATEIOS!$A$2:$A$3142,$A2642)-COUNTIFS(RATEIOS!$A$2:$A$3142,$A2642,RATEIOS!$D$2:$D$3142,"&lt;&gt;")&gt;0,"NÃO CLASSIFICADO","RATEIO OK"))))</f>
        <v/>
      </c>
      <c r="R2642" s="49"/>
      <c r="S2642" s="14"/>
    </row>
    <row r="2643" spans="1:19" ht="30" customHeight="1" x14ac:dyDescent="0.25">
      <c r="A2643" s="49" t="str">
        <f>IF(C2643="","","BAN-02642")</f>
        <v/>
      </c>
      <c r="B2643" s="98" t="str">
        <f>IF(C2643="","",2642)</f>
        <v/>
      </c>
      <c r="C2643" s="50"/>
      <c r="D2643" s="49" t="str">
        <f t="shared" si="83"/>
        <v/>
      </c>
      <c r="E2643" s="92"/>
      <c r="F2643" s="49"/>
      <c r="G2643" s="14"/>
      <c r="H2643" s="14"/>
      <c r="I2643" s="76"/>
      <c r="J2643" s="73"/>
      <c r="K2643" s="74"/>
      <c r="L2643" s="72"/>
      <c r="M2643" s="72"/>
      <c r="N2643" s="72" t="str">
        <f>IF(AND(C2643="",J2643=0,K2643=0,L2643=0,M2643=0),"",CADASTROS!$B$4+SUM($J$2:J2643)+SUM($M$2:M2643)-SUM($K$2:K2643)-SUM($L$2:L2643))</f>
        <v/>
      </c>
      <c r="O2643" s="72" t="str">
        <f>IF(A2643="","",SUMIF(RATEIOS!$A$2:$A$3142,$A2643,RATEIOS!$F$2:$F$3142))</f>
        <v/>
      </c>
      <c r="P2643" s="15" t="str">
        <f t="shared" si="84"/>
        <v/>
      </c>
      <c r="Q2643" s="49" t="str">
        <f>IF(AND(J2643=0,K2643=0,L2643=0,M2643=0),"",IF(O2643=0,"PENDENTE DE RATEIO",IF(ABS(P2643)&gt;0.005,"DIVERGÊNCIA",IF(COUNTIF(RATEIOS!$A$2:$A$3142,$A2643)-COUNTIFS(RATEIOS!$A$2:$A$3142,$A2643,RATEIOS!$D$2:$D$3142,"&lt;&gt;")&gt;0,"NÃO CLASSIFICADO","RATEIO OK"))))</f>
        <v/>
      </c>
      <c r="R2643" s="49"/>
      <c r="S2643" s="14"/>
    </row>
    <row r="2644" spans="1:19" ht="30" customHeight="1" x14ac:dyDescent="0.25">
      <c r="A2644" s="49" t="str">
        <f>IF(C2644="","","BAN-02643")</f>
        <v/>
      </c>
      <c r="B2644" s="98" t="str">
        <f>IF(C2644="","",2643)</f>
        <v/>
      </c>
      <c r="C2644" s="50"/>
      <c r="D2644" s="49" t="str">
        <f t="shared" si="83"/>
        <v/>
      </c>
      <c r="E2644" s="92"/>
      <c r="F2644" s="49"/>
      <c r="G2644" s="14"/>
      <c r="H2644" s="14"/>
      <c r="I2644" s="76"/>
      <c r="J2644" s="73"/>
      <c r="K2644" s="74"/>
      <c r="L2644" s="72"/>
      <c r="M2644" s="72"/>
      <c r="N2644" s="72" t="str">
        <f>IF(AND(C2644="",J2644=0,K2644=0,L2644=0,M2644=0),"",CADASTROS!$B$4+SUM($J$2:J2644)+SUM($M$2:M2644)-SUM($K$2:K2644)-SUM($L$2:L2644))</f>
        <v/>
      </c>
      <c r="O2644" s="72" t="str">
        <f>IF(A2644="","",SUMIF(RATEIOS!$A$2:$A$3142,$A2644,RATEIOS!$F$2:$F$3142))</f>
        <v/>
      </c>
      <c r="P2644" s="15" t="str">
        <f t="shared" si="84"/>
        <v/>
      </c>
      <c r="Q2644" s="49" t="str">
        <f>IF(AND(J2644=0,K2644=0,L2644=0,M2644=0),"",IF(O2644=0,"PENDENTE DE RATEIO",IF(ABS(P2644)&gt;0.005,"DIVERGÊNCIA",IF(COUNTIF(RATEIOS!$A$2:$A$3142,$A2644)-COUNTIFS(RATEIOS!$A$2:$A$3142,$A2644,RATEIOS!$D$2:$D$3142,"&lt;&gt;")&gt;0,"NÃO CLASSIFICADO","RATEIO OK"))))</f>
        <v/>
      </c>
      <c r="R2644" s="49"/>
      <c r="S2644" s="14"/>
    </row>
    <row r="2645" spans="1:19" ht="30" customHeight="1" x14ac:dyDescent="0.25">
      <c r="A2645" s="49" t="str">
        <f>IF(C2645="","","BAN-02644")</f>
        <v/>
      </c>
      <c r="B2645" s="98" t="str">
        <f>IF(C2645="","",2644)</f>
        <v/>
      </c>
      <c r="C2645" s="50"/>
      <c r="D2645" s="49" t="str">
        <f t="shared" si="83"/>
        <v/>
      </c>
      <c r="E2645" s="92"/>
      <c r="F2645" s="49"/>
      <c r="G2645" s="14"/>
      <c r="H2645" s="14"/>
      <c r="I2645" s="76"/>
      <c r="J2645" s="73"/>
      <c r="K2645" s="74"/>
      <c r="L2645" s="72"/>
      <c r="M2645" s="72"/>
      <c r="N2645" s="72" t="str">
        <f>IF(AND(C2645="",J2645=0,K2645=0,L2645=0,M2645=0),"",CADASTROS!$B$4+SUM($J$2:J2645)+SUM($M$2:M2645)-SUM($K$2:K2645)-SUM($L$2:L2645))</f>
        <v/>
      </c>
      <c r="O2645" s="72" t="str">
        <f>IF(A2645="","",SUMIF(RATEIOS!$A$2:$A$3142,$A2645,RATEIOS!$F$2:$F$3142))</f>
        <v/>
      </c>
      <c r="P2645" s="15" t="str">
        <f t="shared" si="84"/>
        <v/>
      </c>
      <c r="Q2645" s="49" t="str">
        <f>IF(AND(J2645=0,K2645=0,L2645=0,M2645=0),"",IF(O2645=0,"PENDENTE DE RATEIO",IF(ABS(P2645)&gt;0.005,"DIVERGÊNCIA",IF(COUNTIF(RATEIOS!$A$2:$A$3142,$A2645)-COUNTIFS(RATEIOS!$A$2:$A$3142,$A2645,RATEIOS!$D$2:$D$3142,"&lt;&gt;")&gt;0,"NÃO CLASSIFICADO","RATEIO OK"))))</f>
        <v/>
      </c>
      <c r="R2645" s="49"/>
      <c r="S2645" s="14"/>
    </row>
    <row r="2646" spans="1:19" ht="30" customHeight="1" x14ac:dyDescent="0.25">
      <c r="A2646" s="49" t="str">
        <f>IF(C2646="","","BAN-02645")</f>
        <v/>
      </c>
      <c r="B2646" s="98" t="str">
        <f>IF(C2646="","",2645)</f>
        <v/>
      </c>
      <c r="C2646" s="50"/>
      <c r="D2646" s="49" t="str">
        <f t="shared" si="83"/>
        <v/>
      </c>
      <c r="E2646" s="92"/>
      <c r="F2646" s="49"/>
      <c r="G2646" s="14"/>
      <c r="H2646" s="14"/>
      <c r="I2646" s="76"/>
      <c r="J2646" s="73"/>
      <c r="K2646" s="74"/>
      <c r="L2646" s="72"/>
      <c r="M2646" s="72"/>
      <c r="N2646" s="72" t="str">
        <f>IF(AND(C2646="",J2646=0,K2646=0,L2646=0,M2646=0),"",CADASTROS!$B$4+SUM($J$2:J2646)+SUM($M$2:M2646)-SUM($K$2:K2646)-SUM($L$2:L2646))</f>
        <v/>
      </c>
      <c r="O2646" s="72" t="str">
        <f>IF(A2646="","",SUMIF(RATEIOS!$A$2:$A$3142,$A2646,RATEIOS!$F$2:$F$3142))</f>
        <v/>
      </c>
      <c r="P2646" s="15" t="str">
        <f t="shared" si="84"/>
        <v/>
      </c>
      <c r="Q2646" s="49" t="str">
        <f>IF(AND(J2646=0,K2646=0,L2646=0,M2646=0),"",IF(O2646=0,"PENDENTE DE RATEIO",IF(ABS(P2646)&gt;0.005,"DIVERGÊNCIA",IF(COUNTIF(RATEIOS!$A$2:$A$3142,$A2646)-COUNTIFS(RATEIOS!$A$2:$A$3142,$A2646,RATEIOS!$D$2:$D$3142,"&lt;&gt;")&gt;0,"NÃO CLASSIFICADO","RATEIO OK"))))</f>
        <v/>
      </c>
      <c r="R2646" s="49"/>
      <c r="S2646" s="14"/>
    </row>
    <row r="2647" spans="1:19" ht="30" customHeight="1" x14ac:dyDescent="0.25">
      <c r="A2647" s="49" t="str">
        <f>IF(C2647="","","BAN-02646")</f>
        <v/>
      </c>
      <c r="B2647" s="98" t="str">
        <f>IF(C2647="","",2646)</f>
        <v/>
      </c>
      <c r="C2647" s="50"/>
      <c r="D2647" s="49" t="str">
        <f t="shared" si="83"/>
        <v/>
      </c>
      <c r="E2647" s="92"/>
      <c r="F2647" s="49"/>
      <c r="G2647" s="14"/>
      <c r="H2647" s="14"/>
      <c r="I2647" s="76"/>
      <c r="J2647" s="73"/>
      <c r="K2647" s="74"/>
      <c r="L2647" s="72"/>
      <c r="M2647" s="72"/>
      <c r="N2647" s="72" t="str">
        <f>IF(AND(C2647="",J2647=0,K2647=0,L2647=0,M2647=0),"",CADASTROS!$B$4+SUM($J$2:J2647)+SUM($M$2:M2647)-SUM($K$2:K2647)-SUM($L$2:L2647))</f>
        <v/>
      </c>
      <c r="O2647" s="72" t="str">
        <f>IF(A2647="","",SUMIF(RATEIOS!$A$2:$A$3142,$A2647,RATEIOS!$F$2:$F$3142))</f>
        <v/>
      </c>
      <c r="P2647" s="15" t="str">
        <f t="shared" si="84"/>
        <v/>
      </c>
      <c r="Q2647" s="49" t="str">
        <f>IF(AND(J2647=0,K2647=0,L2647=0,M2647=0),"",IF(O2647=0,"PENDENTE DE RATEIO",IF(ABS(P2647)&gt;0.005,"DIVERGÊNCIA",IF(COUNTIF(RATEIOS!$A$2:$A$3142,$A2647)-COUNTIFS(RATEIOS!$A$2:$A$3142,$A2647,RATEIOS!$D$2:$D$3142,"&lt;&gt;")&gt;0,"NÃO CLASSIFICADO","RATEIO OK"))))</f>
        <v/>
      </c>
      <c r="R2647" s="49"/>
      <c r="S2647" s="14"/>
    </row>
    <row r="2648" spans="1:19" ht="30" customHeight="1" x14ac:dyDescent="0.25">
      <c r="A2648" s="49" t="str">
        <f>IF(C2648="","","BAN-02647")</f>
        <v/>
      </c>
      <c r="B2648" s="98" t="str">
        <f>IF(C2648="","",2647)</f>
        <v/>
      </c>
      <c r="C2648" s="50"/>
      <c r="D2648" s="49" t="str">
        <f t="shared" si="83"/>
        <v/>
      </c>
      <c r="E2648" s="92"/>
      <c r="F2648" s="49"/>
      <c r="G2648" s="14"/>
      <c r="H2648" s="14"/>
      <c r="I2648" s="76"/>
      <c r="J2648" s="73"/>
      <c r="K2648" s="74"/>
      <c r="L2648" s="72"/>
      <c r="M2648" s="72"/>
      <c r="N2648" s="72" t="str">
        <f>IF(AND(C2648="",J2648=0,K2648=0,L2648=0,M2648=0),"",CADASTROS!$B$4+SUM($J$2:J2648)+SUM($M$2:M2648)-SUM($K$2:K2648)-SUM($L$2:L2648))</f>
        <v/>
      </c>
      <c r="O2648" s="72" t="str">
        <f>IF(A2648="","",SUMIF(RATEIOS!$A$2:$A$3142,$A2648,RATEIOS!$F$2:$F$3142))</f>
        <v/>
      </c>
      <c r="P2648" s="15" t="str">
        <f t="shared" si="84"/>
        <v/>
      </c>
      <c r="Q2648" s="49" t="str">
        <f>IF(AND(J2648=0,K2648=0,L2648=0,M2648=0),"",IF(O2648=0,"PENDENTE DE RATEIO",IF(ABS(P2648)&gt;0.005,"DIVERGÊNCIA",IF(COUNTIF(RATEIOS!$A$2:$A$3142,$A2648)-COUNTIFS(RATEIOS!$A$2:$A$3142,$A2648,RATEIOS!$D$2:$D$3142,"&lt;&gt;")&gt;0,"NÃO CLASSIFICADO","RATEIO OK"))))</f>
        <v/>
      </c>
      <c r="R2648" s="49"/>
      <c r="S2648" s="14"/>
    </row>
    <row r="2649" spans="1:19" ht="30" customHeight="1" x14ac:dyDescent="0.25">
      <c r="A2649" s="49" t="str">
        <f>IF(C2649="","","BAN-02648")</f>
        <v/>
      </c>
      <c r="B2649" s="98" t="str">
        <f>IF(C2649="","",2648)</f>
        <v/>
      </c>
      <c r="C2649" s="50"/>
      <c r="D2649" s="49" t="str">
        <f t="shared" si="83"/>
        <v/>
      </c>
      <c r="E2649" s="92"/>
      <c r="F2649" s="49"/>
      <c r="G2649" s="14"/>
      <c r="H2649" s="14"/>
      <c r="I2649" s="76"/>
      <c r="J2649" s="73"/>
      <c r="K2649" s="74"/>
      <c r="L2649" s="72"/>
      <c r="M2649" s="72"/>
      <c r="N2649" s="72" t="str">
        <f>IF(AND(C2649="",J2649=0,K2649=0,L2649=0,M2649=0),"",CADASTROS!$B$4+SUM($J$2:J2649)+SUM($M$2:M2649)-SUM($K$2:K2649)-SUM($L$2:L2649))</f>
        <v/>
      </c>
      <c r="O2649" s="72" t="str">
        <f>IF(A2649="","",SUMIF(RATEIOS!$A$2:$A$3142,$A2649,RATEIOS!$F$2:$F$3142))</f>
        <v/>
      </c>
      <c r="P2649" s="15" t="str">
        <f t="shared" si="84"/>
        <v/>
      </c>
      <c r="Q2649" s="49" t="str">
        <f>IF(AND(J2649=0,K2649=0,L2649=0,M2649=0),"",IF(O2649=0,"PENDENTE DE RATEIO",IF(ABS(P2649)&gt;0.005,"DIVERGÊNCIA",IF(COUNTIF(RATEIOS!$A$2:$A$3142,$A2649)-COUNTIFS(RATEIOS!$A$2:$A$3142,$A2649,RATEIOS!$D$2:$D$3142,"&lt;&gt;")&gt;0,"NÃO CLASSIFICADO","RATEIO OK"))))</f>
        <v/>
      </c>
      <c r="R2649" s="49"/>
      <c r="S2649" s="14"/>
    </row>
    <row r="2650" spans="1:19" ht="30" customHeight="1" x14ac:dyDescent="0.25">
      <c r="A2650" s="49" t="str">
        <f>IF(C2650="","","BAN-02649")</f>
        <v/>
      </c>
      <c r="B2650" s="98" t="str">
        <f>IF(C2650="","",2649)</f>
        <v/>
      </c>
      <c r="C2650" s="50"/>
      <c r="D2650" s="49" t="str">
        <f t="shared" si="83"/>
        <v/>
      </c>
      <c r="E2650" s="92"/>
      <c r="F2650" s="49"/>
      <c r="G2650" s="14"/>
      <c r="H2650" s="14"/>
      <c r="I2650" s="76"/>
      <c r="J2650" s="73"/>
      <c r="K2650" s="74"/>
      <c r="L2650" s="72"/>
      <c r="M2650" s="72"/>
      <c r="N2650" s="72" t="str">
        <f>IF(AND(C2650="",J2650=0,K2650=0,L2650=0,M2650=0),"",CADASTROS!$B$4+SUM($J$2:J2650)+SUM($M$2:M2650)-SUM($K$2:K2650)-SUM($L$2:L2650))</f>
        <v/>
      </c>
      <c r="O2650" s="72" t="str">
        <f>IF(A2650="","",SUMIF(RATEIOS!$A$2:$A$3142,$A2650,RATEIOS!$F$2:$F$3142))</f>
        <v/>
      </c>
      <c r="P2650" s="15" t="str">
        <f t="shared" si="84"/>
        <v/>
      </c>
      <c r="Q2650" s="49" t="str">
        <f>IF(AND(J2650=0,K2650=0,L2650=0,M2650=0),"",IF(O2650=0,"PENDENTE DE RATEIO",IF(ABS(P2650)&gt;0.005,"DIVERGÊNCIA",IF(COUNTIF(RATEIOS!$A$2:$A$3142,$A2650)-COUNTIFS(RATEIOS!$A$2:$A$3142,$A2650,RATEIOS!$D$2:$D$3142,"&lt;&gt;")&gt;0,"NÃO CLASSIFICADO","RATEIO OK"))))</f>
        <v/>
      </c>
      <c r="R2650" s="49"/>
      <c r="S2650" s="14"/>
    </row>
    <row r="2651" spans="1:19" ht="30" customHeight="1" x14ac:dyDescent="0.25">
      <c r="A2651" s="49" t="str">
        <f>IF(C2651="","","BAN-02650")</f>
        <v/>
      </c>
      <c r="B2651" s="98" t="str">
        <f>IF(C2651="","",2650)</f>
        <v/>
      </c>
      <c r="C2651" s="50"/>
      <c r="D2651" s="49" t="str">
        <f t="shared" si="83"/>
        <v/>
      </c>
      <c r="E2651" s="92"/>
      <c r="F2651" s="49"/>
      <c r="G2651" s="14"/>
      <c r="H2651" s="14"/>
      <c r="I2651" s="76"/>
      <c r="J2651" s="73"/>
      <c r="K2651" s="74"/>
      <c r="L2651" s="72"/>
      <c r="M2651" s="72"/>
      <c r="N2651" s="72" t="str">
        <f>IF(AND(C2651="",J2651=0,K2651=0,L2651=0,M2651=0),"",CADASTROS!$B$4+SUM($J$2:J2651)+SUM($M$2:M2651)-SUM($K$2:K2651)-SUM($L$2:L2651))</f>
        <v/>
      </c>
      <c r="O2651" s="72" t="str">
        <f>IF(A2651="","",SUMIF(RATEIOS!$A$2:$A$3142,$A2651,RATEIOS!$F$2:$F$3142))</f>
        <v/>
      </c>
      <c r="P2651" s="15" t="str">
        <f t="shared" si="84"/>
        <v/>
      </c>
      <c r="Q2651" s="49" t="str">
        <f>IF(AND(J2651=0,K2651=0,L2651=0,M2651=0),"",IF(O2651=0,"PENDENTE DE RATEIO",IF(ABS(P2651)&gt;0.005,"DIVERGÊNCIA",IF(COUNTIF(RATEIOS!$A$2:$A$3142,$A2651)-COUNTIFS(RATEIOS!$A$2:$A$3142,$A2651,RATEIOS!$D$2:$D$3142,"&lt;&gt;")&gt;0,"NÃO CLASSIFICADO","RATEIO OK"))))</f>
        <v/>
      </c>
      <c r="R2651" s="49"/>
      <c r="S2651" s="14"/>
    </row>
    <row r="2652" spans="1:19" ht="30" customHeight="1" x14ac:dyDescent="0.25">
      <c r="A2652" s="49" t="str">
        <f>IF(C2652="","","BAN-02651")</f>
        <v/>
      </c>
      <c r="B2652" s="98" t="str">
        <f>IF(C2652="","",2651)</f>
        <v/>
      </c>
      <c r="C2652" s="50"/>
      <c r="D2652" s="49" t="str">
        <f t="shared" si="83"/>
        <v/>
      </c>
      <c r="E2652" s="92"/>
      <c r="F2652" s="49"/>
      <c r="G2652" s="14"/>
      <c r="H2652" s="14"/>
      <c r="I2652" s="76"/>
      <c r="J2652" s="73"/>
      <c r="K2652" s="74"/>
      <c r="L2652" s="72"/>
      <c r="M2652" s="72"/>
      <c r="N2652" s="72" t="str">
        <f>IF(AND(C2652="",J2652=0,K2652=0,L2652=0,M2652=0),"",CADASTROS!$B$4+SUM($J$2:J2652)+SUM($M$2:M2652)-SUM($K$2:K2652)-SUM($L$2:L2652))</f>
        <v/>
      </c>
      <c r="O2652" s="72" t="str">
        <f>IF(A2652="","",SUMIF(RATEIOS!$A$2:$A$3142,$A2652,RATEIOS!$F$2:$F$3142))</f>
        <v/>
      </c>
      <c r="P2652" s="15" t="str">
        <f t="shared" si="84"/>
        <v/>
      </c>
      <c r="Q2652" s="49" t="str">
        <f>IF(AND(J2652=0,K2652=0,L2652=0,M2652=0),"",IF(O2652=0,"PENDENTE DE RATEIO",IF(ABS(P2652)&gt;0.005,"DIVERGÊNCIA",IF(COUNTIF(RATEIOS!$A$2:$A$3142,$A2652)-COUNTIFS(RATEIOS!$A$2:$A$3142,$A2652,RATEIOS!$D$2:$D$3142,"&lt;&gt;")&gt;0,"NÃO CLASSIFICADO","RATEIO OK"))))</f>
        <v/>
      </c>
      <c r="R2652" s="49"/>
      <c r="S2652" s="14"/>
    </row>
    <row r="2653" spans="1:19" ht="30" customHeight="1" x14ac:dyDescent="0.25">
      <c r="A2653" s="49" t="str">
        <f>IF(C2653="","","BAN-02652")</f>
        <v/>
      </c>
      <c r="B2653" s="98" t="str">
        <f>IF(C2653="","",2652)</f>
        <v/>
      </c>
      <c r="C2653" s="50"/>
      <c r="D2653" s="49" t="str">
        <f t="shared" si="83"/>
        <v/>
      </c>
      <c r="E2653" s="92"/>
      <c r="F2653" s="49"/>
      <c r="G2653" s="14"/>
      <c r="H2653" s="14"/>
      <c r="I2653" s="76"/>
      <c r="J2653" s="73"/>
      <c r="K2653" s="74"/>
      <c r="L2653" s="72"/>
      <c r="M2653" s="72"/>
      <c r="N2653" s="72" t="str">
        <f>IF(AND(C2653="",J2653=0,K2653=0,L2653=0,M2653=0),"",CADASTROS!$B$4+SUM($J$2:J2653)+SUM($M$2:M2653)-SUM($K$2:K2653)-SUM($L$2:L2653))</f>
        <v/>
      </c>
      <c r="O2653" s="72" t="str">
        <f>IF(A2653="","",SUMIF(RATEIOS!$A$2:$A$3142,$A2653,RATEIOS!$F$2:$F$3142))</f>
        <v/>
      </c>
      <c r="P2653" s="15" t="str">
        <f t="shared" si="84"/>
        <v/>
      </c>
      <c r="Q2653" s="49" t="str">
        <f>IF(AND(J2653=0,K2653=0,L2653=0,M2653=0),"",IF(O2653=0,"PENDENTE DE RATEIO",IF(ABS(P2653)&gt;0.005,"DIVERGÊNCIA",IF(COUNTIF(RATEIOS!$A$2:$A$3142,$A2653)-COUNTIFS(RATEIOS!$A$2:$A$3142,$A2653,RATEIOS!$D$2:$D$3142,"&lt;&gt;")&gt;0,"NÃO CLASSIFICADO","RATEIO OK"))))</f>
        <v/>
      </c>
      <c r="R2653" s="49"/>
      <c r="S2653" s="14"/>
    </row>
    <row r="2654" spans="1:19" ht="30" customHeight="1" x14ac:dyDescent="0.25">
      <c r="A2654" s="49" t="str">
        <f>IF(C2654="","","BAN-02653")</f>
        <v/>
      </c>
      <c r="B2654" s="98" t="str">
        <f>IF(C2654="","",2653)</f>
        <v/>
      </c>
      <c r="C2654" s="50"/>
      <c r="D2654" s="49" t="str">
        <f t="shared" si="83"/>
        <v/>
      </c>
      <c r="E2654" s="92"/>
      <c r="F2654" s="49"/>
      <c r="G2654" s="14"/>
      <c r="H2654" s="14"/>
      <c r="I2654" s="76"/>
      <c r="J2654" s="73"/>
      <c r="K2654" s="74"/>
      <c r="L2654" s="72"/>
      <c r="M2654" s="72"/>
      <c r="N2654" s="72" t="str">
        <f>IF(AND(C2654="",J2654=0,K2654=0,L2654=0,M2654=0),"",CADASTROS!$B$4+SUM($J$2:J2654)+SUM($M$2:M2654)-SUM($K$2:K2654)-SUM($L$2:L2654))</f>
        <v/>
      </c>
      <c r="O2654" s="72" t="str">
        <f>IF(A2654="","",SUMIF(RATEIOS!$A$2:$A$3142,$A2654,RATEIOS!$F$2:$F$3142))</f>
        <v/>
      </c>
      <c r="P2654" s="15" t="str">
        <f t="shared" si="84"/>
        <v/>
      </c>
      <c r="Q2654" s="49" t="str">
        <f>IF(AND(J2654=0,K2654=0,L2654=0,M2654=0),"",IF(O2654=0,"PENDENTE DE RATEIO",IF(ABS(P2654)&gt;0.005,"DIVERGÊNCIA",IF(COUNTIF(RATEIOS!$A$2:$A$3142,$A2654)-COUNTIFS(RATEIOS!$A$2:$A$3142,$A2654,RATEIOS!$D$2:$D$3142,"&lt;&gt;")&gt;0,"NÃO CLASSIFICADO","RATEIO OK"))))</f>
        <v/>
      </c>
      <c r="R2654" s="49"/>
      <c r="S2654" s="14"/>
    </row>
    <row r="2655" spans="1:19" ht="30" customHeight="1" x14ac:dyDescent="0.25">
      <c r="A2655" s="49" t="str">
        <f>IF(C2655="","","BAN-02654")</f>
        <v/>
      </c>
      <c r="B2655" s="98" t="str">
        <f>IF(C2655="","",2654)</f>
        <v/>
      </c>
      <c r="C2655" s="50"/>
      <c r="D2655" s="49" t="str">
        <f t="shared" si="83"/>
        <v/>
      </c>
      <c r="E2655" s="92"/>
      <c r="F2655" s="49"/>
      <c r="G2655" s="14"/>
      <c r="H2655" s="14"/>
      <c r="I2655" s="76"/>
      <c r="J2655" s="73"/>
      <c r="K2655" s="74"/>
      <c r="L2655" s="72"/>
      <c r="M2655" s="72"/>
      <c r="N2655" s="72" t="str">
        <f>IF(AND(C2655="",J2655=0,K2655=0,L2655=0,M2655=0),"",CADASTROS!$B$4+SUM($J$2:J2655)+SUM($M$2:M2655)-SUM($K$2:K2655)-SUM($L$2:L2655))</f>
        <v/>
      </c>
      <c r="O2655" s="72" t="str">
        <f>IF(A2655="","",SUMIF(RATEIOS!$A$2:$A$3142,$A2655,RATEIOS!$F$2:$F$3142))</f>
        <v/>
      </c>
      <c r="P2655" s="15" t="str">
        <f t="shared" si="84"/>
        <v/>
      </c>
      <c r="Q2655" s="49" t="str">
        <f>IF(AND(J2655=0,K2655=0,L2655=0,M2655=0),"",IF(O2655=0,"PENDENTE DE RATEIO",IF(ABS(P2655)&gt;0.005,"DIVERGÊNCIA",IF(COUNTIF(RATEIOS!$A$2:$A$3142,$A2655)-COUNTIFS(RATEIOS!$A$2:$A$3142,$A2655,RATEIOS!$D$2:$D$3142,"&lt;&gt;")&gt;0,"NÃO CLASSIFICADO","RATEIO OK"))))</f>
        <v/>
      </c>
      <c r="R2655" s="49"/>
      <c r="S2655" s="14"/>
    </row>
    <row r="2656" spans="1:19" ht="30" customHeight="1" x14ac:dyDescent="0.25">
      <c r="A2656" s="49" t="str">
        <f>IF(C2656="","","BAN-02655")</f>
        <v/>
      </c>
      <c r="B2656" s="98" t="str">
        <f>IF(C2656="","",2655)</f>
        <v/>
      </c>
      <c r="C2656" s="50"/>
      <c r="D2656" s="49" t="str">
        <f t="shared" si="83"/>
        <v/>
      </c>
      <c r="E2656" s="92"/>
      <c r="F2656" s="49"/>
      <c r="G2656" s="14"/>
      <c r="H2656" s="14"/>
      <c r="I2656" s="76"/>
      <c r="J2656" s="73"/>
      <c r="K2656" s="74"/>
      <c r="L2656" s="72"/>
      <c r="M2656" s="72"/>
      <c r="N2656" s="72" t="str">
        <f>IF(AND(C2656="",J2656=0,K2656=0,L2656=0,M2656=0),"",CADASTROS!$B$4+SUM($J$2:J2656)+SUM($M$2:M2656)-SUM($K$2:K2656)-SUM($L$2:L2656))</f>
        <v/>
      </c>
      <c r="O2656" s="72" t="str">
        <f>IF(A2656="","",SUMIF(RATEIOS!$A$2:$A$3142,$A2656,RATEIOS!$F$2:$F$3142))</f>
        <v/>
      </c>
      <c r="P2656" s="15" t="str">
        <f t="shared" si="84"/>
        <v/>
      </c>
      <c r="Q2656" s="49" t="str">
        <f>IF(AND(J2656=0,K2656=0,L2656=0,M2656=0),"",IF(O2656=0,"PENDENTE DE RATEIO",IF(ABS(P2656)&gt;0.005,"DIVERGÊNCIA",IF(COUNTIF(RATEIOS!$A$2:$A$3142,$A2656)-COUNTIFS(RATEIOS!$A$2:$A$3142,$A2656,RATEIOS!$D$2:$D$3142,"&lt;&gt;")&gt;0,"NÃO CLASSIFICADO","RATEIO OK"))))</f>
        <v/>
      </c>
      <c r="R2656" s="49"/>
      <c r="S2656" s="14"/>
    </row>
    <row r="2657" spans="1:19" ht="30" customHeight="1" x14ac:dyDescent="0.25">
      <c r="A2657" s="49" t="str">
        <f>IF(C2657="","","BAN-02656")</f>
        <v/>
      </c>
      <c r="B2657" s="98" t="str">
        <f>IF(C2657="","",2656)</f>
        <v/>
      </c>
      <c r="C2657" s="50"/>
      <c r="D2657" s="49" t="str">
        <f t="shared" si="83"/>
        <v/>
      </c>
      <c r="E2657" s="92"/>
      <c r="F2657" s="49"/>
      <c r="G2657" s="14"/>
      <c r="H2657" s="14"/>
      <c r="I2657" s="76"/>
      <c r="J2657" s="73"/>
      <c r="K2657" s="74"/>
      <c r="L2657" s="72"/>
      <c r="M2657" s="72"/>
      <c r="N2657" s="72" t="str">
        <f>IF(AND(C2657="",J2657=0,K2657=0,L2657=0,M2657=0),"",CADASTROS!$B$4+SUM($J$2:J2657)+SUM($M$2:M2657)-SUM($K$2:K2657)-SUM($L$2:L2657))</f>
        <v/>
      </c>
      <c r="O2657" s="72" t="str">
        <f>IF(A2657="","",SUMIF(RATEIOS!$A$2:$A$3142,$A2657,RATEIOS!$F$2:$F$3142))</f>
        <v/>
      </c>
      <c r="P2657" s="15" t="str">
        <f t="shared" si="84"/>
        <v/>
      </c>
      <c r="Q2657" s="49" t="str">
        <f>IF(AND(J2657=0,K2657=0,L2657=0,M2657=0),"",IF(O2657=0,"PENDENTE DE RATEIO",IF(ABS(P2657)&gt;0.005,"DIVERGÊNCIA",IF(COUNTIF(RATEIOS!$A$2:$A$3142,$A2657)-COUNTIFS(RATEIOS!$A$2:$A$3142,$A2657,RATEIOS!$D$2:$D$3142,"&lt;&gt;")&gt;0,"NÃO CLASSIFICADO","RATEIO OK"))))</f>
        <v/>
      </c>
      <c r="R2657" s="49"/>
      <c r="S2657" s="14"/>
    </row>
    <row r="2658" spans="1:19" ht="30" customHeight="1" x14ac:dyDescent="0.25">
      <c r="A2658" s="49" t="str">
        <f>IF(C2658="","","BAN-02657")</f>
        <v/>
      </c>
      <c r="B2658" s="98" t="str">
        <f>IF(C2658="","",2657)</f>
        <v/>
      </c>
      <c r="C2658" s="50"/>
      <c r="D2658" s="49" t="str">
        <f t="shared" si="83"/>
        <v/>
      </c>
      <c r="E2658" s="92"/>
      <c r="F2658" s="49"/>
      <c r="G2658" s="14"/>
      <c r="H2658" s="14"/>
      <c r="I2658" s="76"/>
      <c r="J2658" s="73"/>
      <c r="K2658" s="74"/>
      <c r="L2658" s="72"/>
      <c r="M2658" s="72"/>
      <c r="N2658" s="72" t="str">
        <f>IF(AND(C2658="",J2658=0,K2658=0,L2658=0,M2658=0),"",CADASTROS!$B$4+SUM($J$2:J2658)+SUM($M$2:M2658)-SUM($K$2:K2658)-SUM($L$2:L2658))</f>
        <v/>
      </c>
      <c r="O2658" s="72" t="str">
        <f>IF(A2658="","",SUMIF(RATEIOS!$A$2:$A$3142,$A2658,RATEIOS!$F$2:$F$3142))</f>
        <v/>
      </c>
      <c r="P2658" s="15" t="str">
        <f t="shared" si="84"/>
        <v/>
      </c>
      <c r="Q2658" s="49" t="str">
        <f>IF(AND(J2658=0,K2658=0,L2658=0,M2658=0),"",IF(O2658=0,"PENDENTE DE RATEIO",IF(ABS(P2658)&gt;0.005,"DIVERGÊNCIA",IF(COUNTIF(RATEIOS!$A$2:$A$3142,$A2658)-COUNTIFS(RATEIOS!$A$2:$A$3142,$A2658,RATEIOS!$D$2:$D$3142,"&lt;&gt;")&gt;0,"NÃO CLASSIFICADO","RATEIO OK"))))</f>
        <v/>
      </c>
      <c r="R2658" s="49"/>
      <c r="S2658" s="14"/>
    </row>
    <row r="2659" spans="1:19" ht="30" customHeight="1" x14ac:dyDescent="0.25">
      <c r="A2659" s="49" t="str">
        <f>IF(C2659="","","BAN-02658")</f>
        <v/>
      </c>
      <c r="B2659" s="98" t="str">
        <f>IF(C2659="","",2658)</f>
        <v/>
      </c>
      <c r="C2659" s="50"/>
      <c r="D2659" s="49" t="str">
        <f t="shared" si="83"/>
        <v/>
      </c>
      <c r="E2659" s="92"/>
      <c r="F2659" s="49"/>
      <c r="G2659" s="14"/>
      <c r="H2659" s="14"/>
      <c r="I2659" s="76"/>
      <c r="J2659" s="73"/>
      <c r="K2659" s="74"/>
      <c r="L2659" s="72"/>
      <c r="M2659" s="72"/>
      <c r="N2659" s="72" t="str">
        <f>IF(AND(C2659="",J2659=0,K2659=0,L2659=0,M2659=0),"",CADASTROS!$B$4+SUM($J$2:J2659)+SUM($M$2:M2659)-SUM($K$2:K2659)-SUM($L$2:L2659))</f>
        <v/>
      </c>
      <c r="O2659" s="72" t="str">
        <f>IF(A2659="","",SUMIF(RATEIOS!$A$2:$A$3142,$A2659,RATEIOS!$F$2:$F$3142))</f>
        <v/>
      </c>
      <c r="P2659" s="15" t="str">
        <f t="shared" si="84"/>
        <v/>
      </c>
      <c r="Q2659" s="49" t="str">
        <f>IF(AND(J2659=0,K2659=0,L2659=0,M2659=0),"",IF(O2659=0,"PENDENTE DE RATEIO",IF(ABS(P2659)&gt;0.005,"DIVERGÊNCIA",IF(COUNTIF(RATEIOS!$A$2:$A$3142,$A2659)-COUNTIFS(RATEIOS!$A$2:$A$3142,$A2659,RATEIOS!$D$2:$D$3142,"&lt;&gt;")&gt;0,"NÃO CLASSIFICADO","RATEIO OK"))))</f>
        <v/>
      </c>
      <c r="R2659" s="49"/>
      <c r="S2659" s="14"/>
    </row>
    <row r="2660" spans="1:19" ht="30" customHeight="1" x14ac:dyDescent="0.25">
      <c r="A2660" s="49" t="str">
        <f>IF(C2660="","","BAN-02659")</f>
        <v/>
      </c>
      <c r="B2660" s="98" t="str">
        <f>IF(C2660="","",2659)</f>
        <v/>
      </c>
      <c r="C2660" s="50"/>
      <c r="D2660" s="49" t="str">
        <f t="shared" si="83"/>
        <v/>
      </c>
      <c r="E2660" s="92"/>
      <c r="F2660" s="49"/>
      <c r="G2660" s="14"/>
      <c r="H2660" s="14"/>
      <c r="I2660" s="76"/>
      <c r="J2660" s="73"/>
      <c r="K2660" s="74"/>
      <c r="L2660" s="72"/>
      <c r="M2660" s="72"/>
      <c r="N2660" s="72" t="str">
        <f>IF(AND(C2660="",J2660=0,K2660=0,L2660=0,M2660=0),"",CADASTROS!$B$4+SUM($J$2:J2660)+SUM($M$2:M2660)-SUM($K$2:K2660)-SUM($L$2:L2660))</f>
        <v/>
      </c>
      <c r="O2660" s="72" t="str">
        <f>IF(A2660="","",SUMIF(RATEIOS!$A$2:$A$3142,$A2660,RATEIOS!$F$2:$F$3142))</f>
        <v/>
      </c>
      <c r="P2660" s="15" t="str">
        <f t="shared" si="84"/>
        <v/>
      </c>
      <c r="Q2660" s="49" t="str">
        <f>IF(AND(J2660=0,K2660=0,L2660=0,M2660=0),"",IF(O2660=0,"PENDENTE DE RATEIO",IF(ABS(P2660)&gt;0.005,"DIVERGÊNCIA",IF(COUNTIF(RATEIOS!$A$2:$A$3142,$A2660)-COUNTIFS(RATEIOS!$A$2:$A$3142,$A2660,RATEIOS!$D$2:$D$3142,"&lt;&gt;")&gt;0,"NÃO CLASSIFICADO","RATEIO OK"))))</f>
        <v/>
      </c>
      <c r="R2660" s="49"/>
      <c r="S2660" s="14"/>
    </row>
    <row r="2661" spans="1:19" ht="30" customHeight="1" x14ac:dyDescent="0.25">
      <c r="A2661" s="49" t="str">
        <f>IF(C2661="","","BAN-02660")</f>
        <v/>
      </c>
      <c r="B2661" s="98" t="str">
        <f>IF(C2661="","",2660)</f>
        <v/>
      </c>
      <c r="C2661" s="50"/>
      <c r="D2661" s="49" t="str">
        <f t="shared" si="83"/>
        <v/>
      </c>
      <c r="E2661" s="92"/>
      <c r="F2661" s="49"/>
      <c r="G2661" s="14"/>
      <c r="H2661" s="14"/>
      <c r="I2661" s="76"/>
      <c r="J2661" s="73"/>
      <c r="K2661" s="74"/>
      <c r="L2661" s="72"/>
      <c r="M2661" s="72"/>
      <c r="N2661" s="72" t="str">
        <f>IF(AND(C2661="",J2661=0,K2661=0,L2661=0,M2661=0),"",CADASTROS!$B$4+SUM($J$2:J2661)+SUM($M$2:M2661)-SUM($K$2:K2661)-SUM($L$2:L2661))</f>
        <v/>
      </c>
      <c r="O2661" s="72" t="str">
        <f>IF(A2661="","",SUMIF(RATEIOS!$A$2:$A$3142,$A2661,RATEIOS!$F$2:$F$3142))</f>
        <v/>
      </c>
      <c r="P2661" s="15" t="str">
        <f t="shared" si="84"/>
        <v/>
      </c>
      <c r="Q2661" s="49" t="str">
        <f>IF(AND(J2661=0,K2661=0,L2661=0,M2661=0),"",IF(O2661=0,"PENDENTE DE RATEIO",IF(ABS(P2661)&gt;0.005,"DIVERGÊNCIA",IF(COUNTIF(RATEIOS!$A$2:$A$3142,$A2661)-COUNTIFS(RATEIOS!$A$2:$A$3142,$A2661,RATEIOS!$D$2:$D$3142,"&lt;&gt;")&gt;0,"NÃO CLASSIFICADO","RATEIO OK"))))</f>
        <v/>
      </c>
      <c r="R2661" s="49"/>
      <c r="S2661" s="14"/>
    </row>
    <row r="2662" spans="1:19" ht="30" customHeight="1" x14ac:dyDescent="0.25">
      <c r="A2662" s="49" t="str">
        <f>IF(C2662="","","BAN-02661")</f>
        <v/>
      </c>
      <c r="B2662" s="98" t="str">
        <f>IF(C2662="","",2661)</f>
        <v/>
      </c>
      <c r="C2662" s="50"/>
      <c r="D2662" s="49" t="str">
        <f t="shared" si="83"/>
        <v/>
      </c>
      <c r="E2662" s="92"/>
      <c r="F2662" s="49"/>
      <c r="G2662" s="14"/>
      <c r="H2662" s="14"/>
      <c r="I2662" s="76"/>
      <c r="J2662" s="73"/>
      <c r="K2662" s="74"/>
      <c r="L2662" s="72"/>
      <c r="M2662" s="72"/>
      <c r="N2662" s="72" t="str">
        <f>IF(AND(C2662="",J2662=0,K2662=0,L2662=0,M2662=0),"",CADASTROS!$B$4+SUM($J$2:J2662)+SUM($M$2:M2662)-SUM($K$2:K2662)-SUM($L$2:L2662))</f>
        <v/>
      </c>
      <c r="O2662" s="72" t="str">
        <f>IF(A2662="","",SUMIF(RATEIOS!$A$2:$A$3142,$A2662,RATEIOS!$F$2:$F$3142))</f>
        <v/>
      </c>
      <c r="P2662" s="15" t="str">
        <f t="shared" si="84"/>
        <v/>
      </c>
      <c r="Q2662" s="49" t="str">
        <f>IF(AND(J2662=0,K2662=0,L2662=0,M2662=0),"",IF(O2662=0,"PENDENTE DE RATEIO",IF(ABS(P2662)&gt;0.005,"DIVERGÊNCIA",IF(COUNTIF(RATEIOS!$A$2:$A$3142,$A2662)-COUNTIFS(RATEIOS!$A$2:$A$3142,$A2662,RATEIOS!$D$2:$D$3142,"&lt;&gt;")&gt;0,"NÃO CLASSIFICADO","RATEIO OK"))))</f>
        <v/>
      </c>
      <c r="R2662" s="49"/>
      <c r="S2662" s="14"/>
    </row>
    <row r="2663" spans="1:19" ht="30" customHeight="1" x14ac:dyDescent="0.25">
      <c r="A2663" s="49" t="str">
        <f>IF(C2663="","","BAN-02662")</f>
        <v/>
      </c>
      <c r="B2663" s="98" t="str">
        <f>IF(C2663="","",2662)</f>
        <v/>
      </c>
      <c r="C2663" s="50"/>
      <c r="D2663" s="49" t="str">
        <f t="shared" si="83"/>
        <v/>
      </c>
      <c r="E2663" s="92"/>
      <c r="F2663" s="49"/>
      <c r="G2663" s="14"/>
      <c r="H2663" s="14"/>
      <c r="I2663" s="76"/>
      <c r="J2663" s="73"/>
      <c r="K2663" s="74"/>
      <c r="L2663" s="72"/>
      <c r="M2663" s="72"/>
      <c r="N2663" s="72" t="str">
        <f>IF(AND(C2663="",J2663=0,K2663=0,L2663=0,M2663=0),"",CADASTROS!$B$4+SUM($J$2:J2663)+SUM($M$2:M2663)-SUM($K$2:K2663)-SUM($L$2:L2663))</f>
        <v/>
      </c>
      <c r="O2663" s="72" t="str">
        <f>IF(A2663="","",SUMIF(RATEIOS!$A$2:$A$3142,$A2663,RATEIOS!$F$2:$F$3142))</f>
        <v/>
      </c>
      <c r="P2663" s="15" t="str">
        <f t="shared" si="84"/>
        <v/>
      </c>
      <c r="Q2663" s="49" t="str">
        <f>IF(AND(J2663=0,K2663=0,L2663=0,M2663=0),"",IF(O2663=0,"PENDENTE DE RATEIO",IF(ABS(P2663)&gt;0.005,"DIVERGÊNCIA",IF(COUNTIF(RATEIOS!$A$2:$A$3142,$A2663)-COUNTIFS(RATEIOS!$A$2:$A$3142,$A2663,RATEIOS!$D$2:$D$3142,"&lt;&gt;")&gt;0,"NÃO CLASSIFICADO","RATEIO OK"))))</f>
        <v/>
      </c>
      <c r="R2663" s="49"/>
      <c r="S2663" s="14"/>
    </row>
    <row r="2664" spans="1:19" ht="30" customHeight="1" x14ac:dyDescent="0.25">
      <c r="A2664" s="49" t="str">
        <f>IF(C2664="","","BAN-02663")</f>
        <v/>
      </c>
      <c r="B2664" s="98" t="str">
        <f>IF(C2664="","",2663)</f>
        <v/>
      </c>
      <c r="C2664" s="50"/>
      <c r="D2664" s="49" t="str">
        <f t="shared" si="83"/>
        <v/>
      </c>
      <c r="E2664" s="92"/>
      <c r="F2664" s="49"/>
      <c r="G2664" s="14"/>
      <c r="H2664" s="14"/>
      <c r="I2664" s="76"/>
      <c r="J2664" s="73"/>
      <c r="K2664" s="74"/>
      <c r="L2664" s="72"/>
      <c r="M2664" s="72"/>
      <c r="N2664" s="72" t="str">
        <f>IF(AND(C2664="",J2664=0,K2664=0,L2664=0,M2664=0),"",CADASTROS!$B$4+SUM($J$2:J2664)+SUM($M$2:M2664)-SUM($K$2:K2664)-SUM($L$2:L2664))</f>
        <v/>
      </c>
      <c r="O2664" s="72" t="str">
        <f>IF(A2664="","",SUMIF(RATEIOS!$A$2:$A$3142,$A2664,RATEIOS!$F$2:$F$3142))</f>
        <v/>
      </c>
      <c r="P2664" s="15" t="str">
        <f t="shared" si="84"/>
        <v/>
      </c>
      <c r="Q2664" s="49" t="str">
        <f>IF(AND(J2664=0,K2664=0,L2664=0,M2664=0),"",IF(O2664=0,"PENDENTE DE RATEIO",IF(ABS(P2664)&gt;0.005,"DIVERGÊNCIA",IF(COUNTIF(RATEIOS!$A$2:$A$3142,$A2664)-COUNTIFS(RATEIOS!$A$2:$A$3142,$A2664,RATEIOS!$D$2:$D$3142,"&lt;&gt;")&gt;0,"NÃO CLASSIFICADO","RATEIO OK"))))</f>
        <v/>
      </c>
      <c r="R2664" s="49"/>
      <c r="S2664" s="14"/>
    </row>
    <row r="2665" spans="1:19" ht="30" customHeight="1" x14ac:dyDescent="0.25">
      <c r="A2665" s="49" t="str">
        <f>IF(C2665="","","BAN-02664")</f>
        <v/>
      </c>
      <c r="B2665" s="98" t="str">
        <f>IF(C2665="","",2664)</f>
        <v/>
      </c>
      <c r="C2665" s="50"/>
      <c r="D2665" s="49" t="str">
        <f t="shared" si="83"/>
        <v/>
      </c>
      <c r="E2665" s="92"/>
      <c r="F2665" s="49"/>
      <c r="G2665" s="14"/>
      <c r="H2665" s="14"/>
      <c r="I2665" s="76"/>
      <c r="J2665" s="73"/>
      <c r="K2665" s="74"/>
      <c r="L2665" s="72"/>
      <c r="M2665" s="72"/>
      <c r="N2665" s="72" t="str">
        <f>IF(AND(C2665="",J2665=0,K2665=0,L2665=0,M2665=0),"",CADASTROS!$B$4+SUM($J$2:J2665)+SUM($M$2:M2665)-SUM($K$2:K2665)-SUM($L$2:L2665))</f>
        <v/>
      </c>
      <c r="O2665" s="72" t="str">
        <f>IF(A2665="","",SUMIF(RATEIOS!$A$2:$A$3142,$A2665,RATEIOS!$F$2:$F$3142))</f>
        <v/>
      </c>
      <c r="P2665" s="15" t="str">
        <f t="shared" si="84"/>
        <v/>
      </c>
      <c r="Q2665" s="49" t="str">
        <f>IF(AND(J2665=0,K2665=0,L2665=0,M2665=0),"",IF(O2665=0,"PENDENTE DE RATEIO",IF(ABS(P2665)&gt;0.005,"DIVERGÊNCIA",IF(COUNTIF(RATEIOS!$A$2:$A$3142,$A2665)-COUNTIFS(RATEIOS!$A$2:$A$3142,$A2665,RATEIOS!$D$2:$D$3142,"&lt;&gt;")&gt;0,"NÃO CLASSIFICADO","RATEIO OK"))))</f>
        <v/>
      </c>
      <c r="R2665" s="49"/>
      <c r="S2665" s="14"/>
    </row>
    <row r="2666" spans="1:19" ht="30" customHeight="1" x14ac:dyDescent="0.25">
      <c r="A2666" s="49" t="str">
        <f>IF(C2666="","","BAN-02665")</f>
        <v/>
      </c>
      <c r="B2666" s="98" t="str">
        <f>IF(C2666="","",2665)</f>
        <v/>
      </c>
      <c r="C2666" s="50"/>
      <c r="D2666" s="49" t="str">
        <f t="shared" si="83"/>
        <v/>
      </c>
      <c r="E2666" s="92"/>
      <c r="F2666" s="49"/>
      <c r="G2666" s="14"/>
      <c r="H2666" s="14"/>
      <c r="I2666" s="76"/>
      <c r="J2666" s="73"/>
      <c r="K2666" s="74"/>
      <c r="L2666" s="72"/>
      <c r="M2666" s="72"/>
      <c r="N2666" s="72" t="str">
        <f>IF(AND(C2666="",J2666=0,K2666=0,L2666=0,M2666=0),"",CADASTROS!$B$4+SUM($J$2:J2666)+SUM($M$2:M2666)-SUM($K$2:K2666)-SUM($L$2:L2666))</f>
        <v/>
      </c>
      <c r="O2666" s="72" t="str">
        <f>IF(A2666="","",SUMIF(RATEIOS!$A$2:$A$3142,$A2666,RATEIOS!$F$2:$F$3142))</f>
        <v/>
      </c>
      <c r="P2666" s="15" t="str">
        <f t="shared" si="84"/>
        <v/>
      </c>
      <c r="Q2666" s="49" t="str">
        <f>IF(AND(J2666=0,K2666=0,L2666=0,M2666=0),"",IF(O2666=0,"PENDENTE DE RATEIO",IF(ABS(P2666)&gt;0.005,"DIVERGÊNCIA",IF(COUNTIF(RATEIOS!$A$2:$A$3142,$A2666)-COUNTIFS(RATEIOS!$A$2:$A$3142,$A2666,RATEIOS!$D$2:$D$3142,"&lt;&gt;")&gt;0,"NÃO CLASSIFICADO","RATEIO OK"))))</f>
        <v/>
      </c>
      <c r="R2666" s="49"/>
      <c r="S2666" s="14"/>
    </row>
    <row r="2667" spans="1:19" ht="30" customHeight="1" x14ac:dyDescent="0.25">
      <c r="A2667" s="49" t="str">
        <f>IF(C2667="","","BAN-02666")</f>
        <v/>
      </c>
      <c r="B2667" s="98" t="str">
        <f>IF(C2667="","",2666)</f>
        <v/>
      </c>
      <c r="C2667" s="50"/>
      <c r="D2667" s="49" t="str">
        <f t="shared" si="83"/>
        <v/>
      </c>
      <c r="E2667" s="92"/>
      <c r="F2667" s="49"/>
      <c r="G2667" s="14"/>
      <c r="H2667" s="14"/>
      <c r="I2667" s="76"/>
      <c r="J2667" s="73"/>
      <c r="K2667" s="74"/>
      <c r="L2667" s="72"/>
      <c r="M2667" s="72"/>
      <c r="N2667" s="72" t="str">
        <f>IF(AND(C2667="",J2667=0,K2667=0,L2667=0,M2667=0),"",CADASTROS!$B$4+SUM($J$2:J2667)+SUM($M$2:M2667)-SUM($K$2:K2667)-SUM($L$2:L2667))</f>
        <v/>
      </c>
      <c r="O2667" s="72" t="str">
        <f>IF(A2667="","",SUMIF(RATEIOS!$A$2:$A$3142,$A2667,RATEIOS!$F$2:$F$3142))</f>
        <v/>
      </c>
      <c r="P2667" s="15" t="str">
        <f t="shared" si="84"/>
        <v/>
      </c>
      <c r="Q2667" s="49" t="str">
        <f>IF(AND(J2667=0,K2667=0,L2667=0,M2667=0),"",IF(O2667=0,"PENDENTE DE RATEIO",IF(ABS(P2667)&gt;0.005,"DIVERGÊNCIA",IF(COUNTIF(RATEIOS!$A$2:$A$3142,$A2667)-COUNTIFS(RATEIOS!$A$2:$A$3142,$A2667,RATEIOS!$D$2:$D$3142,"&lt;&gt;")&gt;0,"NÃO CLASSIFICADO","RATEIO OK"))))</f>
        <v/>
      </c>
      <c r="R2667" s="49"/>
      <c r="S2667" s="14"/>
    </row>
    <row r="2668" spans="1:19" ht="30" customHeight="1" x14ac:dyDescent="0.25">
      <c r="A2668" s="49" t="str">
        <f>IF(C2668="","","BAN-02667")</f>
        <v/>
      </c>
      <c r="B2668" s="98" t="str">
        <f>IF(C2668="","",2667)</f>
        <v/>
      </c>
      <c r="C2668" s="50"/>
      <c r="D2668" s="49" t="str">
        <f t="shared" si="83"/>
        <v/>
      </c>
      <c r="E2668" s="92"/>
      <c r="F2668" s="49"/>
      <c r="G2668" s="14"/>
      <c r="H2668" s="14"/>
      <c r="I2668" s="76"/>
      <c r="J2668" s="73"/>
      <c r="K2668" s="74"/>
      <c r="L2668" s="72"/>
      <c r="M2668" s="72"/>
      <c r="N2668" s="72" t="str">
        <f>IF(AND(C2668="",J2668=0,K2668=0,L2668=0,M2668=0),"",CADASTROS!$B$4+SUM($J$2:J2668)+SUM($M$2:M2668)-SUM($K$2:K2668)-SUM($L$2:L2668))</f>
        <v/>
      </c>
      <c r="O2668" s="72" t="str">
        <f>IF(A2668="","",SUMIF(RATEIOS!$A$2:$A$3142,$A2668,RATEIOS!$F$2:$F$3142))</f>
        <v/>
      </c>
      <c r="P2668" s="15" t="str">
        <f t="shared" si="84"/>
        <v/>
      </c>
      <c r="Q2668" s="49" t="str">
        <f>IF(AND(J2668=0,K2668=0,L2668=0,M2668=0),"",IF(O2668=0,"PENDENTE DE RATEIO",IF(ABS(P2668)&gt;0.005,"DIVERGÊNCIA",IF(COUNTIF(RATEIOS!$A$2:$A$3142,$A2668)-COUNTIFS(RATEIOS!$A$2:$A$3142,$A2668,RATEIOS!$D$2:$D$3142,"&lt;&gt;")&gt;0,"NÃO CLASSIFICADO","RATEIO OK"))))</f>
        <v/>
      </c>
      <c r="R2668" s="49"/>
      <c r="S2668" s="14"/>
    </row>
    <row r="2669" spans="1:19" ht="30" customHeight="1" x14ac:dyDescent="0.25">
      <c r="A2669" s="49" t="str">
        <f>IF(C2669="","","BAN-02668")</f>
        <v/>
      </c>
      <c r="B2669" s="98" t="str">
        <f>IF(C2669="","",2668)</f>
        <v/>
      </c>
      <c r="C2669" s="50"/>
      <c r="D2669" s="49" t="str">
        <f t="shared" si="83"/>
        <v/>
      </c>
      <c r="E2669" s="92"/>
      <c r="F2669" s="49"/>
      <c r="G2669" s="14"/>
      <c r="H2669" s="14"/>
      <c r="I2669" s="76"/>
      <c r="J2669" s="73"/>
      <c r="K2669" s="74"/>
      <c r="L2669" s="72"/>
      <c r="M2669" s="72"/>
      <c r="N2669" s="72" t="str">
        <f>IF(AND(C2669="",J2669=0,K2669=0,L2669=0,M2669=0),"",CADASTROS!$B$4+SUM($J$2:J2669)+SUM($M$2:M2669)-SUM($K$2:K2669)-SUM($L$2:L2669))</f>
        <v/>
      </c>
      <c r="O2669" s="72" t="str">
        <f>IF(A2669="","",SUMIF(RATEIOS!$A$2:$A$3142,$A2669,RATEIOS!$F$2:$F$3142))</f>
        <v/>
      </c>
      <c r="P2669" s="15" t="str">
        <f t="shared" si="84"/>
        <v/>
      </c>
      <c r="Q2669" s="49" t="str">
        <f>IF(AND(J2669=0,K2669=0,L2669=0,M2669=0),"",IF(O2669=0,"PENDENTE DE RATEIO",IF(ABS(P2669)&gt;0.005,"DIVERGÊNCIA",IF(COUNTIF(RATEIOS!$A$2:$A$3142,$A2669)-COUNTIFS(RATEIOS!$A$2:$A$3142,$A2669,RATEIOS!$D$2:$D$3142,"&lt;&gt;")&gt;0,"NÃO CLASSIFICADO","RATEIO OK"))))</f>
        <v/>
      </c>
      <c r="R2669" s="49"/>
      <c r="S2669" s="14"/>
    </row>
    <row r="2670" spans="1:19" ht="30" customHeight="1" x14ac:dyDescent="0.25">
      <c r="A2670" s="49" t="str">
        <f>IF(C2670="","","BAN-02669")</f>
        <v/>
      </c>
      <c r="B2670" s="98" t="str">
        <f>IF(C2670="","",2669)</f>
        <v/>
      </c>
      <c r="C2670" s="50"/>
      <c r="D2670" s="49" t="str">
        <f t="shared" si="83"/>
        <v/>
      </c>
      <c r="E2670" s="92"/>
      <c r="F2670" s="49"/>
      <c r="G2670" s="14"/>
      <c r="H2670" s="14"/>
      <c r="I2670" s="76"/>
      <c r="J2670" s="73"/>
      <c r="K2670" s="74"/>
      <c r="L2670" s="72"/>
      <c r="M2670" s="72"/>
      <c r="N2670" s="72" t="str">
        <f>IF(AND(C2670="",J2670=0,K2670=0,L2670=0,M2670=0),"",CADASTROS!$B$4+SUM($J$2:J2670)+SUM($M$2:M2670)-SUM($K$2:K2670)-SUM($L$2:L2670))</f>
        <v/>
      </c>
      <c r="O2670" s="72" t="str">
        <f>IF(A2670="","",SUMIF(RATEIOS!$A$2:$A$3142,$A2670,RATEIOS!$F$2:$F$3142))</f>
        <v/>
      </c>
      <c r="P2670" s="15" t="str">
        <f t="shared" si="84"/>
        <v/>
      </c>
      <c r="Q2670" s="49" t="str">
        <f>IF(AND(J2670=0,K2670=0,L2670=0,M2670=0),"",IF(O2670=0,"PENDENTE DE RATEIO",IF(ABS(P2670)&gt;0.005,"DIVERGÊNCIA",IF(COUNTIF(RATEIOS!$A$2:$A$3142,$A2670)-COUNTIFS(RATEIOS!$A$2:$A$3142,$A2670,RATEIOS!$D$2:$D$3142,"&lt;&gt;")&gt;0,"NÃO CLASSIFICADO","RATEIO OK"))))</f>
        <v/>
      </c>
      <c r="R2670" s="49"/>
      <c r="S2670" s="14"/>
    </row>
    <row r="2671" spans="1:19" ht="30" customHeight="1" x14ac:dyDescent="0.25">
      <c r="A2671" s="49" t="str">
        <f>IF(C2671="","","BAN-02670")</f>
        <v/>
      </c>
      <c r="B2671" s="98" t="str">
        <f>IF(C2671="","",2670)</f>
        <v/>
      </c>
      <c r="C2671" s="50"/>
      <c r="D2671" s="49" t="str">
        <f t="shared" si="83"/>
        <v/>
      </c>
      <c r="E2671" s="92"/>
      <c r="F2671" s="49"/>
      <c r="G2671" s="14"/>
      <c r="H2671" s="14"/>
      <c r="I2671" s="76"/>
      <c r="J2671" s="73"/>
      <c r="K2671" s="74"/>
      <c r="L2671" s="72"/>
      <c r="M2671" s="72"/>
      <c r="N2671" s="72" t="str">
        <f>IF(AND(C2671="",J2671=0,K2671=0,L2671=0,M2671=0),"",CADASTROS!$B$4+SUM($J$2:J2671)+SUM($M$2:M2671)-SUM($K$2:K2671)-SUM($L$2:L2671))</f>
        <v/>
      </c>
      <c r="O2671" s="72" t="str">
        <f>IF(A2671="","",SUMIF(RATEIOS!$A$2:$A$3142,$A2671,RATEIOS!$F$2:$F$3142))</f>
        <v/>
      </c>
      <c r="P2671" s="15" t="str">
        <f t="shared" si="84"/>
        <v/>
      </c>
      <c r="Q2671" s="49" t="str">
        <f>IF(AND(J2671=0,K2671=0,L2671=0,M2671=0),"",IF(O2671=0,"PENDENTE DE RATEIO",IF(ABS(P2671)&gt;0.005,"DIVERGÊNCIA",IF(COUNTIF(RATEIOS!$A$2:$A$3142,$A2671)-COUNTIFS(RATEIOS!$A$2:$A$3142,$A2671,RATEIOS!$D$2:$D$3142,"&lt;&gt;")&gt;0,"NÃO CLASSIFICADO","RATEIO OK"))))</f>
        <v/>
      </c>
      <c r="R2671" s="49"/>
      <c r="S2671" s="14"/>
    </row>
    <row r="2672" spans="1:19" ht="30" customHeight="1" x14ac:dyDescent="0.25">
      <c r="A2672" s="49" t="str">
        <f>IF(C2672="","","BAN-02671")</f>
        <v/>
      </c>
      <c r="B2672" s="98" t="str">
        <f>IF(C2672="","",2671)</f>
        <v/>
      </c>
      <c r="C2672" s="50"/>
      <c r="D2672" s="49" t="str">
        <f t="shared" si="83"/>
        <v/>
      </c>
      <c r="E2672" s="92"/>
      <c r="F2672" s="49"/>
      <c r="G2672" s="14"/>
      <c r="H2672" s="14"/>
      <c r="I2672" s="76"/>
      <c r="J2672" s="73"/>
      <c r="K2672" s="74"/>
      <c r="L2672" s="72"/>
      <c r="M2672" s="72"/>
      <c r="N2672" s="72" t="str">
        <f>IF(AND(C2672="",J2672=0,K2672=0,L2672=0,M2672=0),"",CADASTROS!$B$4+SUM($J$2:J2672)+SUM($M$2:M2672)-SUM($K$2:K2672)-SUM($L$2:L2672))</f>
        <v/>
      </c>
      <c r="O2672" s="72" t="str">
        <f>IF(A2672="","",SUMIF(RATEIOS!$A$2:$A$3142,$A2672,RATEIOS!$F$2:$F$3142))</f>
        <v/>
      </c>
      <c r="P2672" s="15" t="str">
        <f t="shared" si="84"/>
        <v/>
      </c>
      <c r="Q2672" s="49" t="str">
        <f>IF(AND(J2672=0,K2672=0,L2672=0,M2672=0),"",IF(O2672=0,"PENDENTE DE RATEIO",IF(ABS(P2672)&gt;0.005,"DIVERGÊNCIA",IF(COUNTIF(RATEIOS!$A$2:$A$3142,$A2672)-COUNTIFS(RATEIOS!$A$2:$A$3142,$A2672,RATEIOS!$D$2:$D$3142,"&lt;&gt;")&gt;0,"NÃO CLASSIFICADO","RATEIO OK"))))</f>
        <v/>
      </c>
      <c r="R2672" s="49"/>
      <c r="S2672" s="14"/>
    </row>
    <row r="2673" spans="1:19" ht="30" customHeight="1" x14ac:dyDescent="0.25">
      <c r="A2673" s="49" t="str">
        <f>IF(C2673="","","BAN-02672")</f>
        <v/>
      </c>
      <c r="B2673" s="98" t="str">
        <f>IF(C2673="","",2672)</f>
        <v/>
      </c>
      <c r="C2673" s="50"/>
      <c r="D2673" s="49" t="str">
        <f t="shared" si="83"/>
        <v/>
      </c>
      <c r="E2673" s="92"/>
      <c r="F2673" s="49"/>
      <c r="G2673" s="14"/>
      <c r="H2673" s="14"/>
      <c r="I2673" s="76"/>
      <c r="J2673" s="73"/>
      <c r="K2673" s="74"/>
      <c r="L2673" s="72"/>
      <c r="M2673" s="72"/>
      <c r="N2673" s="72" t="str">
        <f>IF(AND(C2673="",J2673=0,K2673=0,L2673=0,M2673=0),"",CADASTROS!$B$4+SUM($J$2:J2673)+SUM($M$2:M2673)-SUM($K$2:K2673)-SUM($L$2:L2673))</f>
        <v/>
      </c>
      <c r="O2673" s="72" t="str">
        <f>IF(A2673="","",SUMIF(RATEIOS!$A$2:$A$3142,$A2673,RATEIOS!$F$2:$F$3142))</f>
        <v/>
      </c>
      <c r="P2673" s="15" t="str">
        <f t="shared" si="84"/>
        <v/>
      </c>
      <c r="Q2673" s="49" t="str">
        <f>IF(AND(J2673=0,K2673=0,L2673=0,M2673=0),"",IF(O2673=0,"PENDENTE DE RATEIO",IF(ABS(P2673)&gt;0.005,"DIVERGÊNCIA",IF(COUNTIF(RATEIOS!$A$2:$A$3142,$A2673)-COUNTIFS(RATEIOS!$A$2:$A$3142,$A2673,RATEIOS!$D$2:$D$3142,"&lt;&gt;")&gt;0,"NÃO CLASSIFICADO","RATEIO OK"))))</f>
        <v/>
      </c>
      <c r="R2673" s="49"/>
      <c r="S2673" s="14"/>
    </row>
    <row r="2674" spans="1:19" ht="30" customHeight="1" x14ac:dyDescent="0.25">
      <c r="A2674" s="49" t="str">
        <f>IF(C2674="","","BAN-02673")</f>
        <v/>
      </c>
      <c r="B2674" s="98" t="str">
        <f>IF(C2674="","",2673)</f>
        <v/>
      </c>
      <c r="C2674" s="50"/>
      <c r="D2674" s="49" t="str">
        <f t="shared" si="83"/>
        <v/>
      </c>
      <c r="E2674" s="92"/>
      <c r="F2674" s="49"/>
      <c r="G2674" s="14"/>
      <c r="H2674" s="14"/>
      <c r="I2674" s="76"/>
      <c r="J2674" s="73"/>
      <c r="K2674" s="74"/>
      <c r="L2674" s="72"/>
      <c r="M2674" s="72"/>
      <c r="N2674" s="72" t="str">
        <f>IF(AND(C2674="",J2674=0,K2674=0,L2674=0,M2674=0),"",CADASTROS!$B$4+SUM($J$2:J2674)+SUM($M$2:M2674)-SUM($K$2:K2674)-SUM($L$2:L2674))</f>
        <v/>
      </c>
      <c r="O2674" s="72" t="str">
        <f>IF(A2674="","",SUMIF(RATEIOS!$A$2:$A$3142,$A2674,RATEIOS!$F$2:$F$3142))</f>
        <v/>
      </c>
      <c r="P2674" s="15" t="str">
        <f t="shared" si="84"/>
        <v/>
      </c>
      <c r="Q2674" s="49" t="str">
        <f>IF(AND(J2674=0,K2674=0,L2674=0,M2674=0),"",IF(O2674=0,"PENDENTE DE RATEIO",IF(ABS(P2674)&gt;0.005,"DIVERGÊNCIA",IF(COUNTIF(RATEIOS!$A$2:$A$3142,$A2674)-COUNTIFS(RATEIOS!$A$2:$A$3142,$A2674,RATEIOS!$D$2:$D$3142,"&lt;&gt;")&gt;0,"NÃO CLASSIFICADO","RATEIO OK"))))</f>
        <v/>
      </c>
      <c r="R2674" s="49"/>
      <c r="S2674" s="14"/>
    </row>
    <row r="2675" spans="1:19" ht="30" customHeight="1" x14ac:dyDescent="0.25">
      <c r="A2675" s="49" t="str">
        <f>IF(C2675="","","BAN-02674")</f>
        <v/>
      </c>
      <c r="B2675" s="98" t="str">
        <f>IF(C2675="","",2674)</f>
        <v/>
      </c>
      <c r="C2675" s="50"/>
      <c r="D2675" s="49" t="str">
        <f t="shared" si="83"/>
        <v/>
      </c>
      <c r="E2675" s="92"/>
      <c r="F2675" s="49"/>
      <c r="G2675" s="14"/>
      <c r="H2675" s="14"/>
      <c r="I2675" s="76"/>
      <c r="J2675" s="73"/>
      <c r="K2675" s="74"/>
      <c r="L2675" s="72"/>
      <c r="M2675" s="72"/>
      <c r="N2675" s="72" t="str">
        <f>IF(AND(C2675="",J2675=0,K2675=0,L2675=0,M2675=0),"",CADASTROS!$B$4+SUM($J$2:J2675)+SUM($M$2:M2675)-SUM($K$2:K2675)-SUM($L$2:L2675))</f>
        <v/>
      </c>
      <c r="O2675" s="72" t="str">
        <f>IF(A2675="","",SUMIF(RATEIOS!$A$2:$A$3142,$A2675,RATEIOS!$F$2:$F$3142))</f>
        <v/>
      </c>
      <c r="P2675" s="15" t="str">
        <f t="shared" si="84"/>
        <v/>
      </c>
      <c r="Q2675" s="49" t="str">
        <f>IF(AND(J2675=0,K2675=0,L2675=0,M2675=0),"",IF(O2675=0,"PENDENTE DE RATEIO",IF(ABS(P2675)&gt;0.005,"DIVERGÊNCIA",IF(COUNTIF(RATEIOS!$A$2:$A$3142,$A2675)-COUNTIFS(RATEIOS!$A$2:$A$3142,$A2675,RATEIOS!$D$2:$D$3142,"&lt;&gt;")&gt;0,"NÃO CLASSIFICADO","RATEIO OK"))))</f>
        <v/>
      </c>
      <c r="R2675" s="49"/>
      <c r="S2675" s="14"/>
    </row>
    <row r="2676" spans="1:19" ht="30" customHeight="1" x14ac:dyDescent="0.25">
      <c r="A2676" s="49" t="str">
        <f>IF(C2676="","","BAN-02675")</f>
        <v/>
      </c>
      <c r="B2676" s="98" t="str">
        <f>IF(C2676="","",2675)</f>
        <v/>
      </c>
      <c r="C2676" s="50"/>
      <c r="D2676" s="49" t="str">
        <f t="shared" si="83"/>
        <v/>
      </c>
      <c r="E2676" s="92"/>
      <c r="F2676" s="49"/>
      <c r="G2676" s="14"/>
      <c r="H2676" s="14"/>
      <c r="I2676" s="76"/>
      <c r="J2676" s="73"/>
      <c r="K2676" s="74"/>
      <c r="L2676" s="72"/>
      <c r="M2676" s="72"/>
      <c r="N2676" s="72" t="str">
        <f>IF(AND(C2676="",J2676=0,K2676=0,L2676=0,M2676=0),"",CADASTROS!$B$4+SUM($J$2:J2676)+SUM($M$2:M2676)-SUM($K$2:K2676)-SUM($L$2:L2676))</f>
        <v/>
      </c>
      <c r="O2676" s="72" t="str">
        <f>IF(A2676="","",SUMIF(RATEIOS!$A$2:$A$3142,$A2676,RATEIOS!$F$2:$F$3142))</f>
        <v/>
      </c>
      <c r="P2676" s="15" t="str">
        <f t="shared" si="84"/>
        <v/>
      </c>
      <c r="Q2676" s="49" t="str">
        <f>IF(AND(J2676=0,K2676=0,L2676=0,M2676=0),"",IF(O2676=0,"PENDENTE DE RATEIO",IF(ABS(P2676)&gt;0.005,"DIVERGÊNCIA",IF(COUNTIF(RATEIOS!$A$2:$A$3142,$A2676)-COUNTIFS(RATEIOS!$A$2:$A$3142,$A2676,RATEIOS!$D$2:$D$3142,"&lt;&gt;")&gt;0,"NÃO CLASSIFICADO","RATEIO OK"))))</f>
        <v/>
      </c>
      <c r="R2676" s="49"/>
      <c r="S2676" s="14"/>
    </row>
    <row r="2677" spans="1:19" ht="30" customHeight="1" x14ac:dyDescent="0.25">
      <c r="A2677" s="49" t="str">
        <f>IF(C2677="","","BAN-02676")</f>
        <v/>
      </c>
      <c r="B2677" s="98" t="str">
        <f>IF(C2677="","",2676)</f>
        <v/>
      </c>
      <c r="C2677" s="50"/>
      <c r="D2677" s="49" t="str">
        <f t="shared" si="83"/>
        <v/>
      </c>
      <c r="E2677" s="92"/>
      <c r="F2677" s="49"/>
      <c r="G2677" s="14"/>
      <c r="H2677" s="14"/>
      <c r="I2677" s="76"/>
      <c r="J2677" s="73"/>
      <c r="K2677" s="74"/>
      <c r="L2677" s="72"/>
      <c r="M2677" s="72"/>
      <c r="N2677" s="72" t="str">
        <f>IF(AND(C2677="",J2677=0,K2677=0,L2677=0,M2677=0),"",CADASTROS!$B$4+SUM($J$2:J2677)+SUM($M$2:M2677)-SUM($K$2:K2677)-SUM($L$2:L2677))</f>
        <v/>
      </c>
      <c r="O2677" s="72" t="str">
        <f>IF(A2677="","",SUMIF(RATEIOS!$A$2:$A$3142,$A2677,RATEIOS!$F$2:$F$3142))</f>
        <v/>
      </c>
      <c r="P2677" s="15" t="str">
        <f t="shared" si="84"/>
        <v/>
      </c>
      <c r="Q2677" s="49" t="str">
        <f>IF(AND(J2677=0,K2677=0,L2677=0,M2677=0),"",IF(O2677=0,"PENDENTE DE RATEIO",IF(ABS(P2677)&gt;0.005,"DIVERGÊNCIA",IF(COUNTIF(RATEIOS!$A$2:$A$3142,$A2677)-COUNTIFS(RATEIOS!$A$2:$A$3142,$A2677,RATEIOS!$D$2:$D$3142,"&lt;&gt;")&gt;0,"NÃO CLASSIFICADO","RATEIO OK"))))</f>
        <v/>
      </c>
      <c r="R2677" s="49"/>
      <c r="S2677" s="14"/>
    </row>
    <row r="2678" spans="1:19" ht="30" customHeight="1" x14ac:dyDescent="0.25">
      <c r="A2678" s="49" t="str">
        <f>IF(C2678="","","BAN-02677")</f>
        <v/>
      </c>
      <c r="B2678" s="98" t="str">
        <f>IF(C2678="","",2677)</f>
        <v/>
      </c>
      <c r="C2678" s="50"/>
      <c r="D2678" s="49" t="str">
        <f t="shared" si="83"/>
        <v/>
      </c>
      <c r="E2678" s="92"/>
      <c r="F2678" s="49"/>
      <c r="G2678" s="14"/>
      <c r="H2678" s="14"/>
      <c r="I2678" s="76"/>
      <c r="J2678" s="73"/>
      <c r="K2678" s="74"/>
      <c r="L2678" s="72"/>
      <c r="M2678" s="72"/>
      <c r="N2678" s="72" t="str">
        <f>IF(AND(C2678="",J2678=0,K2678=0,L2678=0,M2678=0),"",CADASTROS!$B$4+SUM($J$2:J2678)+SUM($M$2:M2678)-SUM($K$2:K2678)-SUM($L$2:L2678))</f>
        <v/>
      </c>
      <c r="O2678" s="72" t="str">
        <f>IF(A2678="","",SUMIF(RATEIOS!$A$2:$A$3142,$A2678,RATEIOS!$F$2:$F$3142))</f>
        <v/>
      </c>
      <c r="P2678" s="15" t="str">
        <f t="shared" si="84"/>
        <v/>
      </c>
      <c r="Q2678" s="49" t="str">
        <f>IF(AND(J2678=0,K2678=0,L2678=0,M2678=0),"",IF(O2678=0,"PENDENTE DE RATEIO",IF(ABS(P2678)&gt;0.005,"DIVERGÊNCIA",IF(COUNTIF(RATEIOS!$A$2:$A$3142,$A2678)-COUNTIFS(RATEIOS!$A$2:$A$3142,$A2678,RATEIOS!$D$2:$D$3142,"&lt;&gt;")&gt;0,"NÃO CLASSIFICADO","RATEIO OK"))))</f>
        <v/>
      </c>
      <c r="R2678" s="49"/>
      <c r="S2678" s="14"/>
    </row>
    <row r="2679" spans="1:19" ht="30" customHeight="1" x14ac:dyDescent="0.25">
      <c r="A2679" s="49" t="str">
        <f>IF(C2679="","","BAN-02678")</f>
        <v/>
      </c>
      <c r="B2679" s="98" t="str">
        <f>IF(C2679="","",2678)</f>
        <v/>
      </c>
      <c r="C2679" s="50"/>
      <c r="D2679" s="49" t="str">
        <f t="shared" si="83"/>
        <v/>
      </c>
      <c r="E2679" s="92"/>
      <c r="F2679" s="49"/>
      <c r="G2679" s="14"/>
      <c r="H2679" s="14"/>
      <c r="I2679" s="76"/>
      <c r="J2679" s="73"/>
      <c r="K2679" s="74"/>
      <c r="L2679" s="72"/>
      <c r="M2679" s="72"/>
      <c r="N2679" s="72" t="str">
        <f>IF(AND(C2679="",J2679=0,K2679=0,L2679=0,M2679=0),"",CADASTROS!$B$4+SUM($J$2:J2679)+SUM($M$2:M2679)-SUM($K$2:K2679)-SUM($L$2:L2679))</f>
        <v/>
      </c>
      <c r="O2679" s="72" t="str">
        <f>IF(A2679="","",SUMIF(RATEIOS!$A$2:$A$3142,$A2679,RATEIOS!$F$2:$F$3142))</f>
        <v/>
      </c>
      <c r="P2679" s="15" t="str">
        <f t="shared" si="84"/>
        <v/>
      </c>
      <c r="Q2679" s="49" t="str">
        <f>IF(AND(J2679=0,K2679=0,L2679=0,M2679=0),"",IF(O2679=0,"PENDENTE DE RATEIO",IF(ABS(P2679)&gt;0.005,"DIVERGÊNCIA",IF(COUNTIF(RATEIOS!$A$2:$A$3142,$A2679)-COUNTIFS(RATEIOS!$A$2:$A$3142,$A2679,RATEIOS!$D$2:$D$3142,"&lt;&gt;")&gt;0,"NÃO CLASSIFICADO","RATEIO OK"))))</f>
        <v/>
      </c>
      <c r="R2679" s="49"/>
      <c r="S2679" s="14"/>
    </row>
    <row r="2680" spans="1:19" ht="30" customHeight="1" x14ac:dyDescent="0.25">
      <c r="A2680" s="49" t="str">
        <f>IF(C2680="","","BAN-02679")</f>
        <v/>
      </c>
      <c r="B2680" s="98" t="str">
        <f>IF(C2680="","",2679)</f>
        <v/>
      </c>
      <c r="C2680" s="50"/>
      <c r="D2680" s="49" t="str">
        <f t="shared" si="83"/>
        <v/>
      </c>
      <c r="E2680" s="92"/>
      <c r="F2680" s="49"/>
      <c r="G2680" s="14"/>
      <c r="H2680" s="14"/>
      <c r="I2680" s="76"/>
      <c r="J2680" s="73"/>
      <c r="K2680" s="74"/>
      <c r="L2680" s="72"/>
      <c r="M2680" s="72"/>
      <c r="N2680" s="72" t="str">
        <f>IF(AND(C2680="",J2680=0,K2680=0,L2680=0,M2680=0),"",CADASTROS!$B$4+SUM($J$2:J2680)+SUM($M$2:M2680)-SUM($K$2:K2680)-SUM($L$2:L2680))</f>
        <v/>
      </c>
      <c r="O2680" s="72" t="str">
        <f>IF(A2680="","",SUMIF(RATEIOS!$A$2:$A$3142,$A2680,RATEIOS!$F$2:$F$3142))</f>
        <v/>
      </c>
      <c r="P2680" s="15" t="str">
        <f t="shared" si="84"/>
        <v/>
      </c>
      <c r="Q2680" s="49" t="str">
        <f>IF(AND(J2680=0,K2680=0,L2680=0,M2680=0),"",IF(O2680=0,"PENDENTE DE RATEIO",IF(ABS(P2680)&gt;0.005,"DIVERGÊNCIA",IF(COUNTIF(RATEIOS!$A$2:$A$3142,$A2680)-COUNTIFS(RATEIOS!$A$2:$A$3142,$A2680,RATEIOS!$D$2:$D$3142,"&lt;&gt;")&gt;0,"NÃO CLASSIFICADO","RATEIO OK"))))</f>
        <v/>
      </c>
      <c r="R2680" s="49"/>
      <c r="S2680" s="14"/>
    </row>
    <row r="2681" spans="1:19" ht="30" customHeight="1" x14ac:dyDescent="0.25">
      <c r="A2681" s="49" t="str">
        <f>IF(C2681="","","BAN-02680")</f>
        <v/>
      </c>
      <c r="B2681" s="98" t="str">
        <f>IF(C2681="","",2680)</f>
        <v/>
      </c>
      <c r="C2681" s="50"/>
      <c r="D2681" s="49" t="str">
        <f t="shared" si="83"/>
        <v/>
      </c>
      <c r="E2681" s="92"/>
      <c r="F2681" s="49"/>
      <c r="G2681" s="14"/>
      <c r="H2681" s="14"/>
      <c r="I2681" s="76"/>
      <c r="J2681" s="73"/>
      <c r="K2681" s="74"/>
      <c r="L2681" s="72"/>
      <c r="M2681" s="72"/>
      <c r="N2681" s="72" t="str">
        <f>IF(AND(C2681="",J2681=0,K2681=0,L2681=0,M2681=0),"",CADASTROS!$B$4+SUM($J$2:J2681)+SUM($M$2:M2681)-SUM($K$2:K2681)-SUM($L$2:L2681))</f>
        <v/>
      </c>
      <c r="O2681" s="72" t="str">
        <f>IF(A2681="","",SUMIF(RATEIOS!$A$2:$A$3142,$A2681,RATEIOS!$F$2:$F$3142))</f>
        <v/>
      </c>
      <c r="P2681" s="15" t="str">
        <f t="shared" si="84"/>
        <v/>
      </c>
      <c r="Q2681" s="49" t="str">
        <f>IF(AND(J2681=0,K2681=0,L2681=0,M2681=0),"",IF(O2681=0,"PENDENTE DE RATEIO",IF(ABS(P2681)&gt;0.005,"DIVERGÊNCIA",IF(COUNTIF(RATEIOS!$A$2:$A$3142,$A2681)-COUNTIFS(RATEIOS!$A$2:$A$3142,$A2681,RATEIOS!$D$2:$D$3142,"&lt;&gt;")&gt;0,"NÃO CLASSIFICADO","RATEIO OK"))))</f>
        <v/>
      </c>
      <c r="R2681" s="49"/>
      <c r="S2681" s="14"/>
    </row>
    <row r="2682" spans="1:19" ht="30" customHeight="1" x14ac:dyDescent="0.25">
      <c r="A2682" s="49" t="str">
        <f>IF(C2682="","","BAN-02681")</f>
        <v/>
      </c>
      <c r="B2682" s="98" t="str">
        <f>IF(C2682="","",2681)</f>
        <v/>
      </c>
      <c r="C2682" s="50"/>
      <c r="D2682" s="49" t="str">
        <f t="shared" si="83"/>
        <v/>
      </c>
      <c r="E2682" s="92"/>
      <c r="F2682" s="49"/>
      <c r="G2682" s="14"/>
      <c r="H2682" s="14"/>
      <c r="I2682" s="76"/>
      <c r="J2682" s="73"/>
      <c r="K2682" s="74"/>
      <c r="L2682" s="72"/>
      <c r="M2682" s="72"/>
      <c r="N2682" s="72" t="str">
        <f>IF(AND(C2682="",J2682=0,K2682=0,L2682=0,M2682=0),"",CADASTROS!$B$4+SUM($J$2:J2682)+SUM($M$2:M2682)-SUM($K$2:K2682)-SUM($L$2:L2682))</f>
        <v/>
      </c>
      <c r="O2682" s="72" t="str">
        <f>IF(A2682="","",SUMIF(RATEIOS!$A$2:$A$3142,$A2682,RATEIOS!$F$2:$F$3142))</f>
        <v/>
      </c>
      <c r="P2682" s="15" t="str">
        <f t="shared" si="84"/>
        <v/>
      </c>
      <c r="Q2682" s="49" t="str">
        <f>IF(AND(J2682=0,K2682=0,L2682=0,M2682=0),"",IF(O2682=0,"PENDENTE DE RATEIO",IF(ABS(P2682)&gt;0.005,"DIVERGÊNCIA",IF(COUNTIF(RATEIOS!$A$2:$A$3142,$A2682)-COUNTIFS(RATEIOS!$A$2:$A$3142,$A2682,RATEIOS!$D$2:$D$3142,"&lt;&gt;")&gt;0,"NÃO CLASSIFICADO","RATEIO OK"))))</f>
        <v/>
      </c>
      <c r="R2682" s="49"/>
      <c r="S2682" s="14"/>
    </row>
    <row r="2683" spans="1:19" ht="30" customHeight="1" x14ac:dyDescent="0.25">
      <c r="A2683" s="49" t="str">
        <f>IF(C2683="","","BAN-02682")</f>
        <v/>
      </c>
      <c r="B2683" s="98" t="str">
        <f>IF(C2683="","",2682)</f>
        <v/>
      </c>
      <c r="C2683" s="50"/>
      <c r="D2683" s="49" t="str">
        <f t="shared" si="83"/>
        <v/>
      </c>
      <c r="E2683" s="92"/>
      <c r="F2683" s="49"/>
      <c r="G2683" s="14"/>
      <c r="H2683" s="14"/>
      <c r="I2683" s="76"/>
      <c r="J2683" s="73"/>
      <c r="K2683" s="74"/>
      <c r="L2683" s="72"/>
      <c r="M2683" s="72"/>
      <c r="N2683" s="72" t="str">
        <f>IF(AND(C2683="",J2683=0,K2683=0,L2683=0,M2683=0),"",CADASTROS!$B$4+SUM($J$2:J2683)+SUM($M$2:M2683)-SUM($K$2:K2683)-SUM($L$2:L2683))</f>
        <v/>
      </c>
      <c r="O2683" s="72" t="str">
        <f>IF(A2683="","",SUMIF(RATEIOS!$A$2:$A$3142,$A2683,RATEIOS!$F$2:$F$3142))</f>
        <v/>
      </c>
      <c r="P2683" s="15" t="str">
        <f t="shared" si="84"/>
        <v/>
      </c>
      <c r="Q2683" s="49" t="str">
        <f>IF(AND(J2683=0,K2683=0,L2683=0,M2683=0),"",IF(O2683=0,"PENDENTE DE RATEIO",IF(ABS(P2683)&gt;0.005,"DIVERGÊNCIA",IF(COUNTIF(RATEIOS!$A$2:$A$3142,$A2683)-COUNTIFS(RATEIOS!$A$2:$A$3142,$A2683,RATEIOS!$D$2:$D$3142,"&lt;&gt;")&gt;0,"NÃO CLASSIFICADO","RATEIO OK"))))</f>
        <v/>
      </c>
      <c r="R2683" s="49"/>
      <c r="S2683" s="14"/>
    </row>
    <row r="2684" spans="1:19" ht="30" customHeight="1" x14ac:dyDescent="0.25">
      <c r="A2684" s="49" t="str">
        <f>IF(C2684="","","BAN-02683")</f>
        <v/>
      </c>
      <c r="B2684" s="98" t="str">
        <f>IF(C2684="","",2683)</f>
        <v/>
      </c>
      <c r="C2684" s="50"/>
      <c r="D2684" s="49" t="str">
        <f t="shared" si="83"/>
        <v/>
      </c>
      <c r="E2684" s="92"/>
      <c r="F2684" s="49"/>
      <c r="G2684" s="14"/>
      <c r="H2684" s="14"/>
      <c r="I2684" s="76"/>
      <c r="J2684" s="73"/>
      <c r="K2684" s="74"/>
      <c r="L2684" s="72"/>
      <c r="M2684" s="72"/>
      <c r="N2684" s="72" t="str">
        <f>IF(AND(C2684="",J2684=0,K2684=0,L2684=0,M2684=0),"",CADASTROS!$B$4+SUM($J$2:J2684)+SUM($M$2:M2684)-SUM($K$2:K2684)-SUM($L$2:L2684))</f>
        <v/>
      </c>
      <c r="O2684" s="72" t="str">
        <f>IF(A2684="","",SUMIF(RATEIOS!$A$2:$A$3142,$A2684,RATEIOS!$F$2:$F$3142))</f>
        <v/>
      </c>
      <c r="P2684" s="15" t="str">
        <f t="shared" si="84"/>
        <v/>
      </c>
      <c r="Q2684" s="49" t="str">
        <f>IF(AND(J2684=0,K2684=0,L2684=0,M2684=0),"",IF(O2684=0,"PENDENTE DE RATEIO",IF(ABS(P2684)&gt;0.005,"DIVERGÊNCIA",IF(COUNTIF(RATEIOS!$A$2:$A$3142,$A2684)-COUNTIFS(RATEIOS!$A$2:$A$3142,$A2684,RATEIOS!$D$2:$D$3142,"&lt;&gt;")&gt;0,"NÃO CLASSIFICADO","RATEIO OK"))))</f>
        <v/>
      </c>
      <c r="R2684" s="49"/>
      <c r="S2684" s="14"/>
    </row>
    <row r="2685" spans="1:19" ht="30" customHeight="1" x14ac:dyDescent="0.25">
      <c r="A2685" s="49" t="str">
        <f>IF(C2685="","","BAN-02684")</f>
        <v/>
      </c>
      <c r="B2685" s="98" t="str">
        <f>IF(C2685="","",2684)</f>
        <v/>
      </c>
      <c r="C2685" s="50"/>
      <c r="D2685" s="49" t="str">
        <f t="shared" si="83"/>
        <v/>
      </c>
      <c r="E2685" s="92"/>
      <c r="F2685" s="49"/>
      <c r="G2685" s="14"/>
      <c r="H2685" s="14"/>
      <c r="I2685" s="76"/>
      <c r="J2685" s="73"/>
      <c r="K2685" s="74"/>
      <c r="L2685" s="72"/>
      <c r="M2685" s="72"/>
      <c r="N2685" s="72" t="str">
        <f>IF(AND(C2685="",J2685=0,K2685=0,L2685=0,M2685=0),"",CADASTROS!$B$4+SUM($J$2:J2685)+SUM($M$2:M2685)-SUM($K$2:K2685)-SUM($L$2:L2685))</f>
        <v/>
      </c>
      <c r="O2685" s="72" t="str">
        <f>IF(A2685="","",SUMIF(RATEIOS!$A$2:$A$3142,$A2685,RATEIOS!$F$2:$F$3142))</f>
        <v/>
      </c>
      <c r="P2685" s="15" t="str">
        <f t="shared" si="84"/>
        <v/>
      </c>
      <c r="Q2685" s="49" t="str">
        <f>IF(AND(J2685=0,K2685=0,L2685=0,M2685=0),"",IF(O2685=0,"PENDENTE DE RATEIO",IF(ABS(P2685)&gt;0.005,"DIVERGÊNCIA",IF(COUNTIF(RATEIOS!$A$2:$A$3142,$A2685)-COUNTIFS(RATEIOS!$A$2:$A$3142,$A2685,RATEIOS!$D$2:$D$3142,"&lt;&gt;")&gt;0,"NÃO CLASSIFICADO","RATEIO OK"))))</f>
        <v/>
      </c>
      <c r="R2685" s="49"/>
      <c r="S2685" s="14"/>
    </row>
    <row r="2686" spans="1:19" ht="30" customHeight="1" x14ac:dyDescent="0.25">
      <c r="A2686" s="49" t="str">
        <f>IF(C2686="","","BAN-02685")</f>
        <v/>
      </c>
      <c r="B2686" s="98" t="str">
        <f>IF(C2686="","",2685)</f>
        <v/>
      </c>
      <c r="C2686" s="50"/>
      <c r="D2686" s="49" t="str">
        <f t="shared" si="83"/>
        <v/>
      </c>
      <c r="E2686" s="92"/>
      <c r="F2686" s="49"/>
      <c r="G2686" s="14"/>
      <c r="H2686" s="14"/>
      <c r="I2686" s="76"/>
      <c r="J2686" s="73"/>
      <c r="K2686" s="74"/>
      <c r="L2686" s="72"/>
      <c r="M2686" s="72"/>
      <c r="N2686" s="72" t="str">
        <f>IF(AND(C2686="",J2686=0,K2686=0,L2686=0,M2686=0),"",CADASTROS!$B$4+SUM($J$2:J2686)+SUM($M$2:M2686)-SUM($K$2:K2686)-SUM($L$2:L2686))</f>
        <v/>
      </c>
      <c r="O2686" s="72" t="str">
        <f>IF(A2686="","",SUMIF(RATEIOS!$A$2:$A$3142,$A2686,RATEIOS!$F$2:$F$3142))</f>
        <v/>
      </c>
      <c r="P2686" s="15" t="str">
        <f t="shared" si="84"/>
        <v/>
      </c>
      <c r="Q2686" s="49" t="str">
        <f>IF(AND(J2686=0,K2686=0,L2686=0,M2686=0),"",IF(O2686=0,"PENDENTE DE RATEIO",IF(ABS(P2686)&gt;0.005,"DIVERGÊNCIA",IF(COUNTIF(RATEIOS!$A$2:$A$3142,$A2686)-COUNTIFS(RATEIOS!$A$2:$A$3142,$A2686,RATEIOS!$D$2:$D$3142,"&lt;&gt;")&gt;0,"NÃO CLASSIFICADO","RATEIO OK"))))</f>
        <v/>
      </c>
      <c r="R2686" s="49"/>
      <c r="S2686" s="14"/>
    </row>
    <row r="2687" spans="1:19" ht="30" customHeight="1" x14ac:dyDescent="0.25">
      <c r="A2687" s="49" t="str">
        <f>IF(C2687="","","BAN-02686")</f>
        <v/>
      </c>
      <c r="B2687" s="98" t="str">
        <f>IF(C2687="","",2686)</f>
        <v/>
      </c>
      <c r="C2687" s="50"/>
      <c r="D2687" s="49" t="str">
        <f t="shared" si="83"/>
        <v/>
      </c>
      <c r="E2687" s="92"/>
      <c r="F2687" s="49"/>
      <c r="G2687" s="14"/>
      <c r="H2687" s="14"/>
      <c r="I2687" s="76"/>
      <c r="J2687" s="73"/>
      <c r="K2687" s="74"/>
      <c r="L2687" s="72"/>
      <c r="M2687" s="72"/>
      <c r="N2687" s="72" t="str">
        <f>IF(AND(C2687="",J2687=0,K2687=0,L2687=0,M2687=0),"",CADASTROS!$B$4+SUM($J$2:J2687)+SUM($M$2:M2687)-SUM($K$2:K2687)-SUM($L$2:L2687))</f>
        <v/>
      </c>
      <c r="O2687" s="72" t="str">
        <f>IF(A2687="","",SUMIF(RATEIOS!$A$2:$A$3142,$A2687,RATEIOS!$F$2:$F$3142))</f>
        <v/>
      </c>
      <c r="P2687" s="15" t="str">
        <f t="shared" si="84"/>
        <v/>
      </c>
      <c r="Q2687" s="49" t="str">
        <f>IF(AND(J2687=0,K2687=0,L2687=0,M2687=0),"",IF(O2687=0,"PENDENTE DE RATEIO",IF(ABS(P2687)&gt;0.005,"DIVERGÊNCIA",IF(COUNTIF(RATEIOS!$A$2:$A$3142,$A2687)-COUNTIFS(RATEIOS!$A$2:$A$3142,$A2687,RATEIOS!$D$2:$D$3142,"&lt;&gt;")&gt;0,"NÃO CLASSIFICADO","RATEIO OK"))))</f>
        <v/>
      </c>
      <c r="R2687" s="49"/>
      <c r="S2687" s="14"/>
    </row>
    <row r="2688" spans="1:19" ht="30" customHeight="1" x14ac:dyDescent="0.25">
      <c r="A2688" s="49" t="str">
        <f>IF(C2688="","","BAN-02687")</f>
        <v/>
      </c>
      <c r="B2688" s="98" t="str">
        <f>IF(C2688="","",2687)</f>
        <v/>
      </c>
      <c r="C2688" s="50"/>
      <c r="D2688" s="49" t="str">
        <f t="shared" si="83"/>
        <v/>
      </c>
      <c r="E2688" s="92"/>
      <c r="F2688" s="49"/>
      <c r="G2688" s="14"/>
      <c r="H2688" s="14"/>
      <c r="I2688" s="76"/>
      <c r="J2688" s="73"/>
      <c r="K2688" s="74"/>
      <c r="L2688" s="72"/>
      <c r="M2688" s="72"/>
      <c r="N2688" s="72" t="str">
        <f>IF(AND(C2688="",J2688=0,K2688=0,L2688=0,M2688=0),"",CADASTROS!$B$4+SUM($J$2:J2688)+SUM($M$2:M2688)-SUM($K$2:K2688)-SUM($L$2:L2688))</f>
        <v/>
      </c>
      <c r="O2688" s="72" t="str">
        <f>IF(A2688="","",SUMIF(RATEIOS!$A$2:$A$3142,$A2688,RATEIOS!$F$2:$F$3142))</f>
        <v/>
      </c>
      <c r="P2688" s="15" t="str">
        <f t="shared" si="84"/>
        <v/>
      </c>
      <c r="Q2688" s="49" t="str">
        <f>IF(AND(J2688=0,K2688=0,L2688=0,M2688=0),"",IF(O2688=0,"PENDENTE DE RATEIO",IF(ABS(P2688)&gt;0.005,"DIVERGÊNCIA",IF(COUNTIF(RATEIOS!$A$2:$A$3142,$A2688)-COUNTIFS(RATEIOS!$A$2:$A$3142,$A2688,RATEIOS!$D$2:$D$3142,"&lt;&gt;")&gt;0,"NÃO CLASSIFICADO","RATEIO OK"))))</f>
        <v/>
      </c>
      <c r="R2688" s="49"/>
      <c r="S2688" s="14"/>
    </row>
    <row r="2689" spans="1:19" ht="30" customHeight="1" x14ac:dyDescent="0.25">
      <c r="A2689" s="49" t="str">
        <f>IF(C2689="","","BAN-02688")</f>
        <v/>
      </c>
      <c r="B2689" s="98" t="str">
        <f>IF(C2689="","",2688)</f>
        <v/>
      </c>
      <c r="C2689" s="50"/>
      <c r="D2689" s="49" t="str">
        <f t="shared" si="83"/>
        <v/>
      </c>
      <c r="E2689" s="92"/>
      <c r="F2689" s="49"/>
      <c r="G2689" s="14"/>
      <c r="H2689" s="14"/>
      <c r="I2689" s="76"/>
      <c r="J2689" s="73"/>
      <c r="K2689" s="74"/>
      <c r="L2689" s="72"/>
      <c r="M2689" s="72"/>
      <c r="N2689" s="72" t="str">
        <f>IF(AND(C2689="",J2689=0,K2689=0,L2689=0,M2689=0),"",CADASTROS!$B$4+SUM($J$2:J2689)+SUM($M$2:M2689)-SUM($K$2:K2689)-SUM($L$2:L2689))</f>
        <v/>
      </c>
      <c r="O2689" s="72" t="str">
        <f>IF(A2689="","",SUMIF(RATEIOS!$A$2:$A$3142,$A2689,RATEIOS!$F$2:$F$3142))</f>
        <v/>
      </c>
      <c r="P2689" s="15" t="str">
        <f t="shared" si="84"/>
        <v/>
      </c>
      <c r="Q2689" s="49" t="str">
        <f>IF(AND(J2689=0,K2689=0,L2689=0,M2689=0),"",IF(O2689=0,"PENDENTE DE RATEIO",IF(ABS(P2689)&gt;0.005,"DIVERGÊNCIA",IF(COUNTIF(RATEIOS!$A$2:$A$3142,$A2689)-COUNTIFS(RATEIOS!$A$2:$A$3142,$A2689,RATEIOS!$D$2:$D$3142,"&lt;&gt;")&gt;0,"NÃO CLASSIFICADO","RATEIO OK"))))</f>
        <v/>
      </c>
      <c r="R2689" s="49"/>
      <c r="S2689" s="14"/>
    </row>
    <row r="2690" spans="1:19" ht="30" customHeight="1" x14ac:dyDescent="0.25">
      <c r="A2690" s="49" t="str">
        <f>IF(C2690="","","BAN-02689")</f>
        <v/>
      </c>
      <c r="B2690" s="98" t="str">
        <f>IF(C2690="","",2689)</f>
        <v/>
      </c>
      <c r="C2690" s="50"/>
      <c r="D2690" s="49" t="str">
        <f t="shared" ref="D2690:D2753" si="85">IF(C2690="","",MONTH(C2690))</f>
        <v/>
      </c>
      <c r="E2690" s="92"/>
      <c r="F2690" s="49"/>
      <c r="G2690" s="14"/>
      <c r="H2690" s="14"/>
      <c r="I2690" s="76"/>
      <c r="J2690" s="73"/>
      <c r="K2690" s="74"/>
      <c r="L2690" s="72"/>
      <c r="M2690" s="72"/>
      <c r="N2690" s="72" t="str">
        <f>IF(AND(C2690="",J2690=0,K2690=0,L2690=0,M2690=0),"",CADASTROS!$B$4+SUM($J$2:J2690)+SUM($M$2:M2690)-SUM($K$2:K2690)-SUM($L$2:L2690))</f>
        <v/>
      </c>
      <c r="O2690" s="72" t="str">
        <f>IF(A2690="","",SUMIF(RATEIOS!$A$2:$A$3142,$A2690,RATEIOS!$F$2:$F$3142))</f>
        <v/>
      </c>
      <c r="P2690" s="15" t="str">
        <f t="shared" ref="P2690:P2753" si="86">IF(A2690="","",(J2690+K2690+L2690+M2690)-O2690)</f>
        <v/>
      </c>
      <c r="Q2690" s="49" t="str">
        <f>IF(AND(J2690=0,K2690=0,L2690=0,M2690=0),"",IF(O2690=0,"PENDENTE DE RATEIO",IF(ABS(P2690)&gt;0.005,"DIVERGÊNCIA",IF(COUNTIF(RATEIOS!$A$2:$A$3142,$A2690)-COUNTIFS(RATEIOS!$A$2:$A$3142,$A2690,RATEIOS!$D$2:$D$3142,"&lt;&gt;")&gt;0,"NÃO CLASSIFICADO","RATEIO OK"))))</f>
        <v/>
      </c>
      <c r="R2690" s="49"/>
      <c r="S2690" s="14"/>
    </row>
    <row r="2691" spans="1:19" ht="30" customHeight="1" x14ac:dyDescent="0.25">
      <c r="A2691" s="49" t="str">
        <f>IF(C2691="","","BAN-02690")</f>
        <v/>
      </c>
      <c r="B2691" s="98" t="str">
        <f>IF(C2691="","",2690)</f>
        <v/>
      </c>
      <c r="C2691" s="50"/>
      <c r="D2691" s="49" t="str">
        <f t="shared" si="85"/>
        <v/>
      </c>
      <c r="E2691" s="92"/>
      <c r="F2691" s="49"/>
      <c r="G2691" s="14"/>
      <c r="H2691" s="14"/>
      <c r="I2691" s="76"/>
      <c r="J2691" s="73"/>
      <c r="K2691" s="74"/>
      <c r="L2691" s="72"/>
      <c r="M2691" s="72"/>
      <c r="N2691" s="72" t="str">
        <f>IF(AND(C2691="",J2691=0,K2691=0,L2691=0,M2691=0),"",CADASTROS!$B$4+SUM($J$2:J2691)+SUM($M$2:M2691)-SUM($K$2:K2691)-SUM($L$2:L2691))</f>
        <v/>
      </c>
      <c r="O2691" s="72" t="str">
        <f>IF(A2691="","",SUMIF(RATEIOS!$A$2:$A$3142,$A2691,RATEIOS!$F$2:$F$3142))</f>
        <v/>
      </c>
      <c r="P2691" s="15" t="str">
        <f t="shared" si="86"/>
        <v/>
      </c>
      <c r="Q2691" s="49" t="str">
        <f>IF(AND(J2691=0,K2691=0,L2691=0,M2691=0),"",IF(O2691=0,"PENDENTE DE RATEIO",IF(ABS(P2691)&gt;0.005,"DIVERGÊNCIA",IF(COUNTIF(RATEIOS!$A$2:$A$3142,$A2691)-COUNTIFS(RATEIOS!$A$2:$A$3142,$A2691,RATEIOS!$D$2:$D$3142,"&lt;&gt;")&gt;0,"NÃO CLASSIFICADO","RATEIO OK"))))</f>
        <v/>
      </c>
      <c r="R2691" s="49"/>
      <c r="S2691" s="14"/>
    </row>
    <row r="2692" spans="1:19" ht="30" customHeight="1" x14ac:dyDescent="0.25">
      <c r="A2692" s="49" t="str">
        <f>IF(C2692="","","BAN-02691")</f>
        <v/>
      </c>
      <c r="B2692" s="98" t="str">
        <f>IF(C2692="","",2691)</f>
        <v/>
      </c>
      <c r="C2692" s="50"/>
      <c r="D2692" s="49" t="str">
        <f t="shared" si="85"/>
        <v/>
      </c>
      <c r="E2692" s="92"/>
      <c r="F2692" s="49"/>
      <c r="G2692" s="14"/>
      <c r="H2692" s="14"/>
      <c r="I2692" s="76"/>
      <c r="J2692" s="73"/>
      <c r="K2692" s="74"/>
      <c r="L2692" s="72"/>
      <c r="M2692" s="72"/>
      <c r="N2692" s="72" t="str">
        <f>IF(AND(C2692="",J2692=0,K2692=0,L2692=0,M2692=0),"",CADASTROS!$B$4+SUM($J$2:J2692)+SUM($M$2:M2692)-SUM($K$2:K2692)-SUM($L$2:L2692))</f>
        <v/>
      </c>
      <c r="O2692" s="72" t="str">
        <f>IF(A2692="","",SUMIF(RATEIOS!$A$2:$A$3142,$A2692,RATEIOS!$F$2:$F$3142))</f>
        <v/>
      </c>
      <c r="P2692" s="15" t="str">
        <f t="shared" si="86"/>
        <v/>
      </c>
      <c r="Q2692" s="49" t="str">
        <f>IF(AND(J2692=0,K2692=0,L2692=0,M2692=0),"",IF(O2692=0,"PENDENTE DE RATEIO",IF(ABS(P2692)&gt;0.005,"DIVERGÊNCIA",IF(COUNTIF(RATEIOS!$A$2:$A$3142,$A2692)-COUNTIFS(RATEIOS!$A$2:$A$3142,$A2692,RATEIOS!$D$2:$D$3142,"&lt;&gt;")&gt;0,"NÃO CLASSIFICADO","RATEIO OK"))))</f>
        <v/>
      </c>
      <c r="R2692" s="49"/>
      <c r="S2692" s="14"/>
    </row>
    <row r="2693" spans="1:19" ht="30" customHeight="1" x14ac:dyDescent="0.25">
      <c r="A2693" s="49" t="str">
        <f>IF(C2693="","","BAN-02692")</f>
        <v/>
      </c>
      <c r="B2693" s="98" t="str">
        <f>IF(C2693="","",2692)</f>
        <v/>
      </c>
      <c r="C2693" s="50"/>
      <c r="D2693" s="49" t="str">
        <f t="shared" si="85"/>
        <v/>
      </c>
      <c r="E2693" s="92"/>
      <c r="F2693" s="49"/>
      <c r="G2693" s="14"/>
      <c r="H2693" s="14"/>
      <c r="I2693" s="76"/>
      <c r="J2693" s="73"/>
      <c r="K2693" s="74"/>
      <c r="L2693" s="72"/>
      <c r="M2693" s="72"/>
      <c r="N2693" s="72" t="str">
        <f>IF(AND(C2693="",J2693=0,K2693=0,L2693=0,M2693=0),"",CADASTROS!$B$4+SUM($J$2:J2693)+SUM($M$2:M2693)-SUM($K$2:K2693)-SUM($L$2:L2693))</f>
        <v/>
      </c>
      <c r="O2693" s="72" t="str">
        <f>IF(A2693="","",SUMIF(RATEIOS!$A$2:$A$3142,$A2693,RATEIOS!$F$2:$F$3142))</f>
        <v/>
      </c>
      <c r="P2693" s="15" t="str">
        <f t="shared" si="86"/>
        <v/>
      </c>
      <c r="Q2693" s="49" t="str">
        <f>IF(AND(J2693=0,K2693=0,L2693=0,M2693=0),"",IF(O2693=0,"PENDENTE DE RATEIO",IF(ABS(P2693)&gt;0.005,"DIVERGÊNCIA",IF(COUNTIF(RATEIOS!$A$2:$A$3142,$A2693)-COUNTIFS(RATEIOS!$A$2:$A$3142,$A2693,RATEIOS!$D$2:$D$3142,"&lt;&gt;")&gt;0,"NÃO CLASSIFICADO","RATEIO OK"))))</f>
        <v/>
      </c>
      <c r="R2693" s="49"/>
      <c r="S2693" s="14"/>
    </row>
    <row r="2694" spans="1:19" ht="30" customHeight="1" x14ac:dyDescent="0.25">
      <c r="A2694" s="49" t="str">
        <f>IF(C2694="","","BAN-02693")</f>
        <v/>
      </c>
      <c r="B2694" s="98" t="str">
        <f>IF(C2694="","",2693)</f>
        <v/>
      </c>
      <c r="C2694" s="50"/>
      <c r="D2694" s="49" t="str">
        <f t="shared" si="85"/>
        <v/>
      </c>
      <c r="E2694" s="92"/>
      <c r="F2694" s="49"/>
      <c r="G2694" s="14"/>
      <c r="H2694" s="14"/>
      <c r="I2694" s="76"/>
      <c r="J2694" s="73"/>
      <c r="K2694" s="74"/>
      <c r="L2694" s="72"/>
      <c r="M2694" s="72"/>
      <c r="N2694" s="72" t="str">
        <f>IF(AND(C2694="",J2694=0,K2694=0,L2694=0,M2694=0),"",CADASTROS!$B$4+SUM($J$2:J2694)+SUM($M$2:M2694)-SUM($K$2:K2694)-SUM($L$2:L2694))</f>
        <v/>
      </c>
      <c r="O2694" s="72" t="str">
        <f>IF(A2694="","",SUMIF(RATEIOS!$A$2:$A$3142,$A2694,RATEIOS!$F$2:$F$3142))</f>
        <v/>
      </c>
      <c r="P2694" s="15" t="str">
        <f t="shared" si="86"/>
        <v/>
      </c>
      <c r="Q2694" s="49" t="str">
        <f>IF(AND(J2694=0,K2694=0,L2694=0,M2694=0),"",IF(O2694=0,"PENDENTE DE RATEIO",IF(ABS(P2694)&gt;0.005,"DIVERGÊNCIA",IF(COUNTIF(RATEIOS!$A$2:$A$3142,$A2694)-COUNTIFS(RATEIOS!$A$2:$A$3142,$A2694,RATEIOS!$D$2:$D$3142,"&lt;&gt;")&gt;0,"NÃO CLASSIFICADO","RATEIO OK"))))</f>
        <v/>
      </c>
      <c r="R2694" s="49"/>
      <c r="S2694" s="14"/>
    </row>
    <row r="2695" spans="1:19" ht="30" customHeight="1" x14ac:dyDescent="0.25">
      <c r="A2695" s="49" t="str">
        <f>IF(C2695="","","BAN-02694")</f>
        <v/>
      </c>
      <c r="B2695" s="98" t="str">
        <f>IF(C2695="","",2694)</f>
        <v/>
      </c>
      <c r="C2695" s="50"/>
      <c r="D2695" s="49" t="str">
        <f t="shared" si="85"/>
        <v/>
      </c>
      <c r="E2695" s="92"/>
      <c r="F2695" s="49"/>
      <c r="G2695" s="14"/>
      <c r="H2695" s="14"/>
      <c r="I2695" s="76"/>
      <c r="J2695" s="73"/>
      <c r="K2695" s="74"/>
      <c r="L2695" s="72"/>
      <c r="M2695" s="72"/>
      <c r="N2695" s="72" t="str">
        <f>IF(AND(C2695="",J2695=0,K2695=0,L2695=0,M2695=0),"",CADASTROS!$B$4+SUM($J$2:J2695)+SUM($M$2:M2695)-SUM($K$2:K2695)-SUM($L$2:L2695))</f>
        <v/>
      </c>
      <c r="O2695" s="72" t="str">
        <f>IF(A2695="","",SUMIF(RATEIOS!$A$2:$A$3142,$A2695,RATEIOS!$F$2:$F$3142))</f>
        <v/>
      </c>
      <c r="P2695" s="15" t="str">
        <f t="shared" si="86"/>
        <v/>
      </c>
      <c r="Q2695" s="49" t="str">
        <f>IF(AND(J2695=0,K2695=0,L2695=0,M2695=0),"",IF(O2695=0,"PENDENTE DE RATEIO",IF(ABS(P2695)&gt;0.005,"DIVERGÊNCIA",IF(COUNTIF(RATEIOS!$A$2:$A$3142,$A2695)-COUNTIFS(RATEIOS!$A$2:$A$3142,$A2695,RATEIOS!$D$2:$D$3142,"&lt;&gt;")&gt;0,"NÃO CLASSIFICADO","RATEIO OK"))))</f>
        <v/>
      </c>
      <c r="R2695" s="49"/>
      <c r="S2695" s="14"/>
    </row>
    <row r="2696" spans="1:19" ht="30" customHeight="1" x14ac:dyDescent="0.25">
      <c r="A2696" s="49" t="str">
        <f>IF(C2696="","","BAN-02695")</f>
        <v/>
      </c>
      <c r="B2696" s="98" t="str">
        <f>IF(C2696="","",2695)</f>
        <v/>
      </c>
      <c r="C2696" s="50"/>
      <c r="D2696" s="49" t="str">
        <f t="shared" si="85"/>
        <v/>
      </c>
      <c r="E2696" s="92"/>
      <c r="F2696" s="49"/>
      <c r="G2696" s="14"/>
      <c r="H2696" s="14"/>
      <c r="I2696" s="76"/>
      <c r="J2696" s="73"/>
      <c r="K2696" s="74"/>
      <c r="L2696" s="72"/>
      <c r="M2696" s="72"/>
      <c r="N2696" s="72" t="str">
        <f>IF(AND(C2696="",J2696=0,K2696=0,L2696=0,M2696=0),"",CADASTROS!$B$4+SUM($J$2:J2696)+SUM($M$2:M2696)-SUM($K$2:K2696)-SUM($L$2:L2696))</f>
        <v/>
      </c>
      <c r="O2696" s="72" t="str">
        <f>IF(A2696="","",SUMIF(RATEIOS!$A$2:$A$3142,$A2696,RATEIOS!$F$2:$F$3142))</f>
        <v/>
      </c>
      <c r="P2696" s="15" t="str">
        <f t="shared" si="86"/>
        <v/>
      </c>
      <c r="Q2696" s="49" t="str">
        <f>IF(AND(J2696=0,K2696=0,L2696=0,M2696=0),"",IF(O2696=0,"PENDENTE DE RATEIO",IF(ABS(P2696)&gt;0.005,"DIVERGÊNCIA",IF(COUNTIF(RATEIOS!$A$2:$A$3142,$A2696)-COUNTIFS(RATEIOS!$A$2:$A$3142,$A2696,RATEIOS!$D$2:$D$3142,"&lt;&gt;")&gt;0,"NÃO CLASSIFICADO","RATEIO OK"))))</f>
        <v/>
      </c>
      <c r="R2696" s="49"/>
      <c r="S2696" s="14"/>
    </row>
    <row r="2697" spans="1:19" ht="30" customHeight="1" x14ac:dyDescent="0.25">
      <c r="A2697" s="49" t="str">
        <f>IF(C2697="","","BAN-02696")</f>
        <v/>
      </c>
      <c r="B2697" s="98" t="str">
        <f>IF(C2697="","",2696)</f>
        <v/>
      </c>
      <c r="C2697" s="50"/>
      <c r="D2697" s="49" t="str">
        <f t="shared" si="85"/>
        <v/>
      </c>
      <c r="E2697" s="92"/>
      <c r="F2697" s="49"/>
      <c r="G2697" s="14"/>
      <c r="H2697" s="14"/>
      <c r="I2697" s="76"/>
      <c r="J2697" s="73"/>
      <c r="K2697" s="74"/>
      <c r="L2697" s="72"/>
      <c r="M2697" s="72"/>
      <c r="N2697" s="72" t="str">
        <f>IF(AND(C2697="",J2697=0,K2697=0,L2697=0,M2697=0),"",CADASTROS!$B$4+SUM($J$2:J2697)+SUM($M$2:M2697)-SUM($K$2:K2697)-SUM($L$2:L2697))</f>
        <v/>
      </c>
      <c r="O2697" s="72" t="str">
        <f>IF(A2697="","",SUMIF(RATEIOS!$A$2:$A$3142,$A2697,RATEIOS!$F$2:$F$3142))</f>
        <v/>
      </c>
      <c r="P2697" s="15" t="str">
        <f t="shared" si="86"/>
        <v/>
      </c>
      <c r="Q2697" s="49" t="str">
        <f>IF(AND(J2697=0,K2697=0,L2697=0,M2697=0),"",IF(O2697=0,"PENDENTE DE RATEIO",IF(ABS(P2697)&gt;0.005,"DIVERGÊNCIA",IF(COUNTIF(RATEIOS!$A$2:$A$3142,$A2697)-COUNTIFS(RATEIOS!$A$2:$A$3142,$A2697,RATEIOS!$D$2:$D$3142,"&lt;&gt;")&gt;0,"NÃO CLASSIFICADO","RATEIO OK"))))</f>
        <v/>
      </c>
      <c r="R2697" s="49"/>
      <c r="S2697" s="14"/>
    </row>
    <row r="2698" spans="1:19" ht="30" customHeight="1" x14ac:dyDescent="0.25">
      <c r="A2698" s="49" t="str">
        <f>IF(C2698="","","BAN-02697")</f>
        <v/>
      </c>
      <c r="B2698" s="98" t="str">
        <f>IF(C2698="","",2697)</f>
        <v/>
      </c>
      <c r="C2698" s="50"/>
      <c r="D2698" s="49" t="str">
        <f t="shared" si="85"/>
        <v/>
      </c>
      <c r="E2698" s="92"/>
      <c r="F2698" s="49"/>
      <c r="G2698" s="14"/>
      <c r="H2698" s="14"/>
      <c r="I2698" s="76"/>
      <c r="J2698" s="73"/>
      <c r="K2698" s="74"/>
      <c r="L2698" s="72"/>
      <c r="M2698" s="72"/>
      <c r="N2698" s="72" t="str">
        <f>IF(AND(C2698="",J2698=0,K2698=0,L2698=0,M2698=0),"",CADASTROS!$B$4+SUM($J$2:J2698)+SUM($M$2:M2698)-SUM($K$2:K2698)-SUM($L$2:L2698))</f>
        <v/>
      </c>
      <c r="O2698" s="72" t="str">
        <f>IF(A2698="","",SUMIF(RATEIOS!$A$2:$A$3142,$A2698,RATEIOS!$F$2:$F$3142))</f>
        <v/>
      </c>
      <c r="P2698" s="15" t="str">
        <f t="shared" si="86"/>
        <v/>
      </c>
      <c r="Q2698" s="49" t="str">
        <f>IF(AND(J2698=0,K2698=0,L2698=0,M2698=0),"",IF(O2698=0,"PENDENTE DE RATEIO",IF(ABS(P2698)&gt;0.005,"DIVERGÊNCIA",IF(COUNTIF(RATEIOS!$A$2:$A$3142,$A2698)-COUNTIFS(RATEIOS!$A$2:$A$3142,$A2698,RATEIOS!$D$2:$D$3142,"&lt;&gt;")&gt;0,"NÃO CLASSIFICADO","RATEIO OK"))))</f>
        <v/>
      </c>
      <c r="R2698" s="49"/>
      <c r="S2698" s="14"/>
    </row>
    <row r="2699" spans="1:19" ht="30" customHeight="1" x14ac:dyDescent="0.25">
      <c r="A2699" s="49" t="str">
        <f>IF(C2699="","","BAN-02698")</f>
        <v/>
      </c>
      <c r="B2699" s="98" t="str">
        <f>IF(C2699="","",2698)</f>
        <v/>
      </c>
      <c r="C2699" s="50"/>
      <c r="D2699" s="49" t="str">
        <f t="shared" si="85"/>
        <v/>
      </c>
      <c r="E2699" s="92"/>
      <c r="F2699" s="49"/>
      <c r="G2699" s="14"/>
      <c r="H2699" s="14"/>
      <c r="I2699" s="76"/>
      <c r="J2699" s="73"/>
      <c r="K2699" s="74"/>
      <c r="L2699" s="72"/>
      <c r="M2699" s="72"/>
      <c r="N2699" s="72" t="str">
        <f>IF(AND(C2699="",J2699=0,K2699=0,L2699=0,M2699=0),"",CADASTROS!$B$4+SUM($J$2:J2699)+SUM($M$2:M2699)-SUM($K$2:K2699)-SUM($L$2:L2699))</f>
        <v/>
      </c>
      <c r="O2699" s="72" t="str">
        <f>IF(A2699="","",SUMIF(RATEIOS!$A$2:$A$3142,$A2699,RATEIOS!$F$2:$F$3142))</f>
        <v/>
      </c>
      <c r="P2699" s="15" t="str">
        <f t="shared" si="86"/>
        <v/>
      </c>
      <c r="Q2699" s="49" t="str">
        <f>IF(AND(J2699=0,K2699=0,L2699=0,M2699=0),"",IF(O2699=0,"PENDENTE DE RATEIO",IF(ABS(P2699)&gt;0.005,"DIVERGÊNCIA",IF(COUNTIF(RATEIOS!$A$2:$A$3142,$A2699)-COUNTIFS(RATEIOS!$A$2:$A$3142,$A2699,RATEIOS!$D$2:$D$3142,"&lt;&gt;")&gt;0,"NÃO CLASSIFICADO","RATEIO OK"))))</f>
        <v/>
      </c>
      <c r="R2699" s="49"/>
      <c r="S2699" s="14"/>
    </row>
    <row r="2700" spans="1:19" ht="30" customHeight="1" x14ac:dyDescent="0.25">
      <c r="A2700" s="49" t="str">
        <f>IF(C2700="","","BAN-02699")</f>
        <v/>
      </c>
      <c r="B2700" s="98" t="str">
        <f>IF(C2700="","",2699)</f>
        <v/>
      </c>
      <c r="C2700" s="50"/>
      <c r="D2700" s="49" t="str">
        <f t="shared" si="85"/>
        <v/>
      </c>
      <c r="E2700" s="92"/>
      <c r="F2700" s="49"/>
      <c r="G2700" s="14"/>
      <c r="H2700" s="14"/>
      <c r="I2700" s="76"/>
      <c r="J2700" s="73"/>
      <c r="K2700" s="74"/>
      <c r="L2700" s="72"/>
      <c r="M2700" s="72"/>
      <c r="N2700" s="72" t="str">
        <f>IF(AND(C2700="",J2700=0,K2700=0,L2700=0,M2700=0),"",CADASTROS!$B$4+SUM($J$2:J2700)+SUM($M$2:M2700)-SUM($K$2:K2700)-SUM($L$2:L2700))</f>
        <v/>
      </c>
      <c r="O2700" s="72" t="str">
        <f>IF(A2700="","",SUMIF(RATEIOS!$A$2:$A$3142,$A2700,RATEIOS!$F$2:$F$3142))</f>
        <v/>
      </c>
      <c r="P2700" s="15" t="str">
        <f t="shared" si="86"/>
        <v/>
      </c>
      <c r="Q2700" s="49" t="str">
        <f>IF(AND(J2700=0,K2700=0,L2700=0,M2700=0),"",IF(O2700=0,"PENDENTE DE RATEIO",IF(ABS(P2700)&gt;0.005,"DIVERGÊNCIA",IF(COUNTIF(RATEIOS!$A$2:$A$3142,$A2700)-COUNTIFS(RATEIOS!$A$2:$A$3142,$A2700,RATEIOS!$D$2:$D$3142,"&lt;&gt;")&gt;0,"NÃO CLASSIFICADO","RATEIO OK"))))</f>
        <v/>
      </c>
      <c r="R2700" s="49"/>
      <c r="S2700" s="14"/>
    </row>
    <row r="2701" spans="1:19" ht="30" customHeight="1" x14ac:dyDescent="0.25">
      <c r="A2701" s="49" t="str">
        <f>IF(C2701="","","BAN-02700")</f>
        <v/>
      </c>
      <c r="B2701" s="98" t="str">
        <f>IF(C2701="","",2700)</f>
        <v/>
      </c>
      <c r="C2701" s="50"/>
      <c r="D2701" s="49" t="str">
        <f t="shared" si="85"/>
        <v/>
      </c>
      <c r="E2701" s="92"/>
      <c r="F2701" s="49"/>
      <c r="G2701" s="14"/>
      <c r="H2701" s="14"/>
      <c r="I2701" s="76"/>
      <c r="J2701" s="73"/>
      <c r="K2701" s="74"/>
      <c r="L2701" s="72"/>
      <c r="M2701" s="72"/>
      <c r="N2701" s="72" t="str">
        <f>IF(AND(C2701="",J2701=0,K2701=0,L2701=0,M2701=0),"",CADASTROS!$B$4+SUM($J$2:J2701)+SUM($M$2:M2701)-SUM($K$2:K2701)-SUM($L$2:L2701))</f>
        <v/>
      </c>
      <c r="O2701" s="72" t="str">
        <f>IF(A2701="","",SUMIF(RATEIOS!$A$2:$A$3142,$A2701,RATEIOS!$F$2:$F$3142))</f>
        <v/>
      </c>
      <c r="P2701" s="15" t="str">
        <f t="shared" si="86"/>
        <v/>
      </c>
      <c r="Q2701" s="49" t="str">
        <f>IF(AND(J2701=0,K2701=0,L2701=0,M2701=0),"",IF(O2701=0,"PENDENTE DE RATEIO",IF(ABS(P2701)&gt;0.005,"DIVERGÊNCIA",IF(COUNTIF(RATEIOS!$A$2:$A$3142,$A2701)-COUNTIFS(RATEIOS!$A$2:$A$3142,$A2701,RATEIOS!$D$2:$D$3142,"&lt;&gt;")&gt;0,"NÃO CLASSIFICADO","RATEIO OK"))))</f>
        <v/>
      </c>
      <c r="R2701" s="49"/>
      <c r="S2701" s="14"/>
    </row>
    <row r="2702" spans="1:19" ht="30" customHeight="1" x14ac:dyDescent="0.25">
      <c r="A2702" s="49" t="str">
        <f>IF(C2702="","","BAN-02701")</f>
        <v/>
      </c>
      <c r="B2702" s="98" t="str">
        <f>IF(C2702="","",2701)</f>
        <v/>
      </c>
      <c r="C2702" s="50"/>
      <c r="D2702" s="49" t="str">
        <f t="shared" si="85"/>
        <v/>
      </c>
      <c r="E2702" s="92"/>
      <c r="F2702" s="49"/>
      <c r="G2702" s="14"/>
      <c r="H2702" s="14"/>
      <c r="I2702" s="76"/>
      <c r="J2702" s="73"/>
      <c r="K2702" s="74"/>
      <c r="L2702" s="72"/>
      <c r="M2702" s="72"/>
      <c r="N2702" s="72" t="str">
        <f>IF(AND(C2702="",J2702=0,K2702=0,L2702=0,M2702=0),"",CADASTROS!$B$4+SUM($J$2:J2702)+SUM($M$2:M2702)-SUM($K$2:K2702)-SUM($L$2:L2702))</f>
        <v/>
      </c>
      <c r="O2702" s="72" t="str">
        <f>IF(A2702="","",SUMIF(RATEIOS!$A$2:$A$3142,$A2702,RATEIOS!$F$2:$F$3142))</f>
        <v/>
      </c>
      <c r="P2702" s="15" t="str">
        <f t="shared" si="86"/>
        <v/>
      </c>
      <c r="Q2702" s="49" t="str">
        <f>IF(AND(J2702=0,K2702=0,L2702=0,M2702=0),"",IF(O2702=0,"PENDENTE DE RATEIO",IF(ABS(P2702)&gt;0.005,"DIVERGÊNCIA",IF(COUNTIF(RATEIOS!$A$2:$A$3142,$A2702)-COUNTIFS(RATEIOS!$A$2:$A$3142,$A2702,RATEIOS!$D$2:$D$3142,"&lt;&gt;")&gt;0,"NÃO CLASSIFICADO","RATEIO OK"))))</f>
        <v/>
      </c>
      <c r="R2702" s="49"/>
      <c r="S2702" s="14"/>
    </row>
    <row r="2703" spans="1:19" ht="30" customHeight="1" x14ac:dyDescent="0.25">
      <c r="A2703" s="49" t="str">
        <f>IF(C2703="","","BAN-02702")</f>
        <v/>
      </c>
      <c r="B2703" s="98" t="str">
        <f>IF(C2703="","",2702)</f>
        <v/>
      </c>
      <c r="C2703" s="50"/>
      <c r="D2703" s="49" t="str">
        <f t="shared" si="85"/>
        <v/>
      </c>
      <c r="E2703" s="92"/>
      <c r="F2703" s="49"/>
      <c r="G2703" s="14"/>
      <c r="H2703" s="14"/>
      <c r="I2703" s="76"/>
      <c r="J2703" s="73"/>
      <c r="K2703" s="74"/>
      <c r="L2703" s="72"/>
      <c r="M2703" s="72"/>
      <c r="N2703" s="72" t="str">
        <f>IF(AND(C2703="",J2703=0,K2703=0,L2703=0,M2703=0),"",CADASTROS!$B$4+SUM($J$2:J2703)+SUM($M$2:M2703)-SUM($K$2:K2703)-SUM($L$2:L2703))</f>
        <v/>
      </c>
      <c r="O2703" s="72" t="str">
        <f>IF(A2703="","",SUMIF(RATEIOS!$A$2:$A$3142,$A2703,RATEIOS!$F$2:$F$3142))</f>
        <v/>
      </c>
      <c r="P2703" s="15" t="str">
        <f t="shared" si="86"/>
        <v/>
      </c>
      <c r="Q2703" s="49" t="str">
        <f>IF(AND(J2703=0,K2703=0,L2703=0,M2703=0),"",IF(O2703=0,"PENDENTE DE RATEIO",IF(ABS(P2703)&gt;0.005,"DIVERGÊNCIA",IF(COUNTIF(RATEIOS!$A$2:$A$3142,$A2703)-COUNTIFS(RATEIOS!$A$2:$A$3142,$A2703,RATEIOS!$D$2:$D$3142,"&lt;&gt;")&gt;0,"NÃO CLASSIFICADO","RATEIO OK"))))</f>
        <v/>
      </c>
      <c r="R2703" s="49"/>
      <c r="S2703" s="14"/>
    </row>
    <row r="2704" spans="1:19" ht="30" customHeight="1" x14ac:dyDescent="0.25">
      <c r="A2704" s="49" t="str">
        <f>IF(C2704="","","BAN-02703")</f>
        <v/>
      </c>
      <c r="B2704" s="98" t="str">
        <f>IF(C2704="","",2703)</f>
        <v/>
      </c>
      <c r="C2704" s="50"/>
      <c r="D2704" s="49" t="str">
        <f t="shared" si="85"/>
        <v/>
      </c>
      <c r="E2704" s="92"/>
      <c r="F2704" s="49"/>
      <c r="G2704" s="14"/>
      <c r="H2704" s="14"/>
      <c r="I2704" s="76"/>
      <c r="J2704" s="73"/>
      <c r="K2704" s="74"/>
      <c r="L2704" s="72"/>
      <c r="M2704" s="72"/>
      <c r="N2704" s="72" t="str">
        <f>IF(AND(C2704="",J2704=0,K2704=0,L2704=0,M2704=0),"",CADASTROS!$B$4+SUM($J$2:J2704)+SUM($M$2:M2704)-SUM($K$2:K2704)-SUM($L$2:L2704))</f>
        <v/>
      </c>
      <c r="O2704" s="72" t="str">
        <f>IF(A2704="","",SUMIF(RATEIOS!$A$2:$A$3142,$A2704,RATEIOS!$F$2:$F$3142))</f>
        <v/>
      </c>
      <c r="P2704" s="15" t="str">
        <f t="shared" si="86"/>
        <v/>
      </c>
      <c r="Q2704" s="49" t="str">
        <f>IF(AND(J2704=0,K2704=0,L2704=0,M2704=0),"",IF(O2704=0,"PENDENTE DE RATEIO",IF(ABS(P2704)&gt;0.005,"DIVERGÊNCIA",IF(COUNTIF(RATEIOS!$A$2:$A$3142,$A2704)-COUNTIFS(RATEIOS!$A$2:$A$3142,$A2704,RATEIOS!$D$2:$D$3142,"&lt;&gt;")&gt;0,"NÃO CLASSIFICADO","RATEIO OK"))))</f>
        <v/>
      </c>
      <c r="R2704" s="49"/>
      <c r="S2704" s="14"/>
    </row>
    <row r="2705" spans="1:19" ht="30" customHeight="1" x14ac:dyDescent="0.25">
      <c r="A2705" s="49" t="str">
        <f>IF(C2705="","","BAN-02704")</f>
        <v/>
      </c>
      <c r="B2705" s="98" t="str">
        <f>IF(C2705="","",2704)</f>
        <v/>
      </c>
      <c r="C2705" s="50"/>
      <c r="D2705" s="49" t="str">
        <f t="shared" si="85"/>
        <v/>
      </c>
      <c r="E2705" s="92"/>
      <c r="F2705" s="49"/>
      <c r="G2705" s="14"/>
      <c r="H2705" s="14"/>
      <c r="I2705" s="76"/>
      <c r="J2705" s="73"/>
      <c r="K2705" s="74"/>
      <c r="L2705" s="72"/>
      <c r="M2705" s="72"/>
      <c r="N2705" s="72" t="str">
        <f>IF(AND(C2705="",J2705=0,K2705=0,L2705=0,M2705=0),"",CADASTROS!$B$4+SUM($J$2:J2705)+SUM($M$2:M2705)-SUM($K$2:K2705)-SUM($L$2:L2705))</f>
        <v/>
      </c>
      <c r="O2705" s="72" t="str">
        <f>IF(A2705="","",SUMIF(RATEIOS!$A$2:$A$3142,$A2705,RATEIOS!$F$2:$F$3142))</f>
        <v/>
      </c>
      <c r="P2705" s="15" t="str">
        <f t="shared" si="86"/>
        <v/>
      </c>
      <c r="Q2705" s="49" t="str">
        <f>IF(AND(J2705=0,K2705=0,L2705=0,M2705=0),"",IF(O2705=0,"PENDENTE DE RATEIO",IF(ABS(P2705)&gt;0.005,"DIVERGÊNCIA",IF(COUNTIF(RATEIOS!$A$2:$A$3142,$A2705)-COUNTIFS(RATEIOS!$A$2:$A$3142,$A2705,RATEIOS!$D$2:$D$3142,"&lt;&gt;")&gt;0,"NÃO CLASSIFICADO","RATEIO OK"))))</f>
        <v/>
      </c>
      <c r="R2705" s="49"/>
      <c r="S2705" s="14"/>
    </row>
    <row r="2706" spans="1:19" ht="30" customHeight="1" x14ac:dyDescent="0.25">
      <c r="A2706" s="49" t="str">
        <f>IF(C2706="","","BAN-02705")</f>
        <v/>
      </c>
      <c r="B2706" s="98" t="str">
        <f>IF(C2706="","",2705)</f>
        <v/>
      </c>
      <c r="C2706" s="50"/>
      <c r="D2706" s="49" t="str">
        <f t="shared" si="85"/>
        <v/>
      </c>
      <c r="E2706" s="92"/>
      <c r="F2706" s="49"/>
      <c r="G2706" s="14"/>
      <c r="H2706" s="14"/>
      <c r="I2706" s="76"/>
      <c r="J2706" s="73"/>
      <c r="K2706" s="74"/>
      <c r="L2706" s="72"/>
      <c r="M2706" s="72"/>
      <c r="N2706" s="72" t="str">
        <f>IF(AND(C2706="",J2706=0,K2706=0,L2706=0,M2706=0),"",CADASTROS!$B$4+SUM($J$2:J2706)+SUM($M$2:M2706)-SUM($K$2:K2706)-SUM($L$2:L2706))</f>
        <v/>
      </c>
      <c r="O2706" s="72" t="str">
        <f>IF(A2706="","",SUMIF(RATEIOS!$A$2:$A$3142,$A2706,RATEIOS!$F$2:$F$3142))</f>
        <v/>
      </c>
      <c r="P2706" s="15" t="str">
        <f t="shared" si="86"/>
        <v/>
      </c>
      <c r="Q2706" s="49" t="str">
        <f>IF(AND(J2706=0,K2706=0,L2706=0,M2706=0),"",IF(O2706=0,"PENDENTE DE RATEIO",IF(ABS(P2706)&gt;0.005,"DIVERGÊNCIA",IF(COUNTIF(RATEIOS!$A$2:$A$3142,$A2706)-COUNTIFS(RATEIOS!$A$2:$A$3142,$A2706,RATEIOS!$D$2:$D$3142,"&lt;&gt;")&gt;0,"NÃO CLASSIFICADO","RATEIO OK"))))</f>
        <v/>
      </c>
      <c r="R2706" s="49"/>
      <c r="S2706" s="14"/>
    </row>
    <row r="2707" spans="1:19" ht="30" customHeight="1" x14ac:dyDescent="0.25">
      <c r="A2707" s="49" t="str">
        <f>IF(C2707="","","BAN-02706")</f>
        <v/>
      </c>
      <c r="B2707" s="98" t="str">
        <f>IF(C2707="","",2706)</f>
        <v/>
      </c>
      <c r="C2707" s="50"/>
      <c r="D2707" s="49" t="str">
        <f t="shared" si="85"/>
        <v/>
      </c>
      <c r="E2707" s="92"/>
      <c r="F2707" s="49"/>
      <c r="G2707" s="14"/>
      <c r="H2707" s="14"/>
      <c r="I2707" s="76"/>
      <c r="J2707" s="73"/>
      <c r="K2707" s="74"/>
      <c r="L2707" s="72"/>
      <c r="M2707" s="72"/>
      <c r="N2707" s="72" t="str">
        <f>IF(AND(C2707="",J2707=0,K2707=0,L2707=0,M2707=0),"",CADASTROS!$B$4+SUM($J$2:J2707)+SUM($M$2:M2707)-SUM($K$2:K2707)-SUM($L$2:L2707))</f>
        <v/>
      </c>
      <c r="O2707" s="72" t="str">
        <f>IF(A2707="","",SUMIF(RATEIOS!$A$2:$A$3142,$A2707,RATEIOS!$F$2:$F$3142))</f>
        <v/>
      </c>
      <c r="P2707" s="15" t="str">
        <f t="shared" si="86"/>
        <v/>
      </c>
      <c r="Q2707" s="49" t="str">
        <f>IF(AND(J2707=0,K2707=0,L2707=0,M2707=0),"",IF(O2707=0,"PENDENTE DE RATEIO",IF(ABS(P2707)&gt;0.005,"DIVERGÊNCIA",IF(COUNTIF(RATEIOS!$A$2:$A$3142,$A2707)-COUNTIFS(RATEIOS!$A$2:$A$3142,$A2707,RATEIOS!$D$2:$D$3142,"&lt;&gt;")&gt;0,"NÃO CLASSIFICADO","RATEIO OK"))))</f>
        <v/>
      </c>
      <c r="R2707" s="49"/>
      <c r="S2707" s="14"/>
    </row>
    <row r="2708" spans="1:19" ht="30" customHeight="1" x14ac:dyDescent="0.25">
      <c r="A2708" s="49" t="str">
        <f>IF(C2708="","","BAN-02707")</f>
        <v/>
      </c>
      <c r="B2708" s="98" t="str">
        <f>IF(C2708="","",2707)</f>
        <v/>
      </c>
      <c r="C2708" s="50"/>
      <c r="D2708" s="49" t="str">
        <f t="shared" si="85"/>
        <v/>
      </c>
      <c r="E2708" s="92"/>
      <c r="F2708" s="49"/>
      <c r="G2708" s="14"/>
      <c r="H2708" s="14"/>
      <c r="I2708" s="76"/>
      <c r="J2708" s="73"/>
      <c r="K2708" s="74"/>
      <c r="L2708" s="72"/>
      <c r="M2708" s="72"/>
      <c r="N2708" s="72" t="str">
        <f>IF(AND(C2708="",J2708=0,K2708=0,L2708=0,M2708=0),"",CADASTROS!$B$4+SUM($J$2:J2708)+SUM($M$2:M2708)-SUM($K$2:K2708)-SUM($L$2:L2708))</f>
        <v/>
      </c>
      <c r="O2708" s="72" t="str">
        <f>IF(A2708="","",SUMIF(RATEIOS!$A$2:$A$3142,$A2708,RATEIOS!$F$2:$F$3142))</f>
        <v/>
      </c>
      <c r="P2708" s="15" t="str">
        <f t="shared" si="86"/>
        <v/>
      </c>
      <c r="Q2708" s="49" t="str">
        <f>IF(AND(J2708=0,K2708=0,L2708=0,M2708=0),"",IF(O2708=0,"PENDENTE DE RATEIO",IF(ABS(P2708)&gt;0.005,"DIVERGÊNCIA",IF(COUNTIF(RATEIOS!$A$2:$A$3142,$A2708)-COUNTIFS(RATEIOS!$A$2:$A$3142,$A2708,RATEIOS!$D$2:$D$3142,"&lt;&gt;")&gt;0,"NÃO CLASSIFICADO","RATEIO OK"))))</f>
        <v/>
      </c>
      <c r="R2708" s="49"/>
      <c r="S2708" s="14"/>
    </row>
    <row r="2709" spans="1:19" ht="30" customHeight="1" x14ac:dyDescent="0.25">
      <c r="A2709" s="49" t="str">
        <f>IF(C2709="","","BAN-02708")</f>
        <v/>
      </c>
      <c r="B2709" s="98" t="str">
        <f>IF(C2709="","",2708)</f>
        <v/>
      </c>
      <c r="C2709" s="50"/>
      <c r="D2709" s="49" t="str">
        <f t="shared" si="85"/>
        <v/>
      </c>
      <c r="E2709" s="92"/>
      <c r="F2709" s="49"/>
      <c r="G2709" s="14"/>
      <c r="H2709" s="14"/>
      <c r="I2709" s="76"/>
      <c r="J2709" s="73"/>
      <c r="K2709" s="74"/>
      <c r="L2709" s="72"/>
      <c r="M2709" s="72"/>
      <c r="N2709" s="72" t="str">
        <f>IF(AND(C2709="",J2709=0,K2709=0,L2709=0,M2709=0),"",CADASTROS!$B$4+SUM($J$2:J2709)+SUM($M$2:M2709)-SUM($K$2:K2709)-SUM($L$2:L2709))</f>
        <v/>
      </c>
      <c r="O2709" s="72" t="str">
        <f>IF(A2709="","",SUMIF(RATEIOS!$A$2:$A$3142,$A2709,RATEIOS!$F$2:$F$3142))</f>
        <v/>
      </c>
      <c r="P2709" s="15" t="str">
        <f t="shared" si="86"/>
        <v/>
      </c>
      <c r="Q2709" s="49" t="str">
        <f>IF(AND(J2709=0,K2709=0,L2709=0,M2709=0),"",IF(O2709=0,"PENDENTE DE RATEIO",IF(ABS(P2709)&gt;0.005,"DIVERGÊNCIA",IF(COUNTIF(RATEIOS!$A$2:$A$3142,$A2709)-COUNTIFS(RATEIOS!$A$2:$A$3142,$A2709,RATEIOS!$D$2:$D$3142,"&lt;&gt;")&gt;0,"NÃO CLASSIFICADO","RATEIO OK"))))</f>
        <v/>
      </c>
      <c r="R2709" s="49"/>
      <c r="S2709" s="14"/>
    </row>
    <row r="2710" spans="1:19" ht="30" customHeight="1" x14ac:dyDescent="0.25">
      <c r="A2710" s="49" t="str">
        <f>IF(C2710="","","BAN-02709")</f>
        <v/>
      </c>
      <c r="B2710" s="98" t="str">
        <f>IF(C2710="","",2709)</f>
        <v/>
      </c>
      <c r="C2710" s="50"/>
      <c r="D2710" s="49" t="str">
        <f t="shared" si="85"/>
        <v/>
      </c>
      <c r="E2710" s="92"/>
      <c r="F2710" s="49"/>
      <c r="G2710" s="14"/>
      <c r="H2710" s="14"/>
      <c r="I2710" s="76"/>
      <c r="J2710" s="73"/>
      <c r="K2710" s="74"/>
      <c r="L2710" s="72"/>
      <c r="M2710" s="72"/>
      <c r="N2710" s="72" t="str">
        <f>IF(AND(C2710="",J2710=0,K2710=0,L2710=0,M2710=0),"",CADASTROS!$B$4+SUM($J$2:J2710)+SUM($M$2:M2710)-SUM($K$2:K2710)-SUM($L$2:L2710))</f>
        <v/>
      </c>
      <c r="O2710" s="72" t="str">
        <f>IF(A2710="","",SUMIF(RATEIOS!$A$2:$A$3142,$A2710,RATEIOS!$F$2:$F$3142))</f>
        <v/>
      </c>
      <c r="P2710" s="15" t="str">
        <f t="shared" si="86"/>
        <v/>
      </c>
      <c r="Q2710" s="49" t="str">
        <f>IF(AND(J2710=0,K2710=0,L2710=0,M2710=0),"",IF(O2710=0,"PENDENTE DE RATEIO",IF(ABS(P2710)&gt;0.005,"DIVERGÊNCIA",IF(COUNTIF(RATEIOS!$A$2:$A$3142,$A2710)-COUNTIFS(RATEIOS!$A$2:$A$3142,$A2710,RATEIOS!$D$2:$D$3142,"&lt;&gt;")&gt;0,"NÃO CLASSIFICADO","RATEIO OK"))))</f>
        <v/>
      </c>
      <c r="R2710" s="49"/>
      <c r="S2710" s="14"/>
    </row>
    <row r="2711" spans="1:19" ht="30" customHeight="1" x14ac:dyDescent="0.25">
      <c r="A2711" s="49" t="str">
        <f>IF(C2711="","","BAN-02710")</f>
        <v/>
      </c>
      <c r="B2711" s="98" t="str">
        <f>IF(C2711="","",2710)</f>
        <v/>
      </c>
      <c r="C2711" s="50"/>
      <c r="D2711" s="49" t="str">
        <f t="shared" si="85"/>
        <v/>
      </c>
      <c r="E2711" s="92"/>
      <c r="F2711" s="49"/>
      <c r="G2711" s="14"/>
      <c r="H2711" s="14"/>
      <c r="I2711" s="76"/>
      <c r="J2711" s="73"/>
      <c r="K2711" s="74"/>
      <c r="L2711" s="72"/>
      <c r="M2711" s="72"/>
      <c r="N2711" s="72" t="str">
        <f>IF(AND(C2711="",J2711=0,K2711=0,L2711=0,M2711=0),"",CADASTROS!$B$4+SUM($J$2:J2711)+SUM($M$2:M2711)-SUM($K$2:K2711)-SUM($L$2:L2711))</f>
        <v/>
      </c>
      <c r="O2711" s="72" t="str">
        <f>IF(A2711="","",SUMIF(RATEIOS!$A$2:$A$3142,$A2711,RATEIOS!$F$2:$F$3142))</f>
        <v/>
      </c>
      <c r="P2711" s="15" t="str">
        <f t="shared" si="86"/>
        <v/>
      </c>
      <c r="Q2711" s="49" t="str">
        <f>IF(AND(J2711=0,K2711=0,L2711=0,M2711=0),"",IF(O2711=0,"PENDENTE DE RATEIO",IF(ABS(P2711)&gt;0.005,"DIVERGÊNCIA",IF(COUNTIF(RATEIOS!$A$2:$A$3142,$A2711)-COUNTIFS(RATEIOS!$A$2:$A$3142,$A2711,RATEIOS!$D$2:$D$3142,"&lt;&gt;")&gt;0,"NÃO CLASSIFICADO","RATEIO OK"))))</f>
        <v/>
      </c>
      <c r="R2711" s="49"/>
      <c r="S2711" s="14"/>
    </row>
    <row r="2712" spans="1:19" ht="30" customHeight="1" x14ac:dyDescent="0.25">
      <c r="A2712" s="49" t="str">
        <f>IF(C2712="","","BAN-02711")</f>
        <v/>
      </c>
      <c r="B2712" s="98" t="str">
        <f>IF(C2712="","",2711)</f>
        <v/>
      </c>
      <c r="C2712" s="50"/>
      <c r="D2712" s="49" t="str">
        <f t="shared" si="85"/>
        <v/>
      </c>
      <c r="E2712" s="92"/>
      <c r="F2712" s="49"/>
      <c r="G2712" s="14"/>
      <c r="H2712" s="14"/>
      <c r="I2712" s="76"/>
      <c r="J2712" s="73"/>
      <c r="K2712" s="74"/>
      <c r="L2712" s="72"/>
      <c r="M2712" s="72"/>
      <c r="N2712" s="72" t="str">
        <f>IF(AND(C2712="",J2712=0,K2712=0,L2712=0,M2712=0),"",CADASTROS!$B$4+SUM($J$2:J2712)+SUM($M$2:M2712)-SUM($K$2:K2712)-SUM($L$2:L2712))</f>
        <v/>
      </c>
      <c r="O2712" s="72" t="str">
        <f>IF(A2712="","",SUMIF(RATEIOS!$A$2:$A$3142,$A2712,RATEIOS!$F$2:$F$3142))</f>
        <v/>
      </c>
      <c r="P2712" s="15" t="str">
        <f t="shared" si="86"/>
        <v/>
      </c>
      <c r="Q2712" s="49" t="str">
        <f>IF(AND(J2712=0,K2712=0,L2712=0,M2712=0),"",IF(O2712=0,"PENDENTE DE RATEIO",IF(ABS(P2712)&gt;0.005,"DIVERGÊNCIA",IF(COUNTIF(RATEIOS!$A$2:$A$3142,$A2712)-COUNTIFS(RATEIOS!$A$2:$A$3142,$A2712,RATEIOS!$D$2:$D$3142,"&lt;&gt;")&gt;0,"NÃO CLASSIFICADO","RATEIO OK"))))</f>
        <v/>
      </c>
      <c r="R2712" s="49"/>
      <c r="S2712" s="14"/>
    </row>
    <row r="2713" spans="1:19" ht="30" customHeight="1" x14ac:dyDescent="0.25">
      <c r="A2713" s="49" t="str">
        <f>IF(C2713="","","BAN-02712")</f>
        <v/>
      </c>
      <c r="B2713" s="98" t="str">
        <f>IF(C2713="","",2712)</f>
        <v/>
      </c>
      <c r="C2713" s="50"/>
      <c r="D2713" s="49" t="str">
        <f t="shared" si="85"/>
        <v/>
      </c>
      <c r="E2713" s="92"/>
      <c r="F2713" s="49"/>
      <c r="G2713" s="14"/>
      <c r="H2713" s="14"/>
      <c r="I2713" s="76"/>
      <c r="J2713" s="73"/>
      <c r="K2713" s="74"/>
      <c r="L2713" s="72"/>
      <c r="M2713" s="72"/>
      <c r="N2713" s="72" t="str">
        <f>IF(AND(C2713="",J2713=0,K2713=0,L2713=0,M2713=0),"",CADASTROS!$B$4+SUM($J$2:J2713)+SUM($M$2:M2713)-SUM($K$2:K2713)-SUM($L$2:L2713))</f>
        <v/>
      </c>
      <c r="O2713" s="72" t="str">
        <f>IF(A2713="","",SUMIF(RATEIOS!$A$2:$A$3142,$A2713,RATEIOS!$F$2:$F$3142))</f>
        <v/>
      </c>
      <c r="P2713" s="15" t="str">
        <f t="shared" si="86"/>
        <v/>
      </c>
      <c r="Q2713" s="49" t="str">
        <f>IF(AND(J2713=0,K2713=0,L2713=0,M2713=0),"",IF(O2713=0,"PENDENTE DE RATEIO",IF(ABS(P2713)&gt;0.005,"DIVERGÊNCIA",IF(COUNTIF(RATEIOS!$A$2:$A$3142,$A2713)-COUNTIFS(RATEIOS!$A$2:$A$3142,$A2713,RATEIOS!$D$2:$D$3142,"&lt;&gt;")&gt;0,"NÃO CLASSIFICADO","RATEIO OK"))))</f>
        <v/>
      </c>
      <c r="R2713" s="49"/>
      <c r="S2713" s="14"/>
    </row>
    <row r="2714" spans="1:19" ht="30" customHeight="1" x14ac:dyDescent="0.25">
      <c r="A2714" s="49" t="str">
        <f>IF(C2714="","","BAN-02713")</f>
        <v/>
      </c>
      <c r="B2714" s="98" t="str">
        <f>IF(C2714="","",2713)</f>
        <v/>
      </c>
      <c r="C2714" s="50"/>
      <c r="D2714" s="49" t="str">
        <f t="shared" si="85"/>
        <v/>
      </c>
      <c r="E2714" s="92"/>
      <c r="F2714" s="49"/>
      <c r="G2714" s="14"/>
      <c r="H2714" s="14"/>
      <c r="I2714" s="76"/>
      <c r="J2714" s="73"/>
      <c r="K2714" s="74"/>
      <c r="L2714" s="72"/>
      <c r="M2714" s="72"/>
      <c r="N2714" s="72" t="str">
        <f>IF(AND(C2714="",J2714=0,K2714=0,L2714=0,M2714=0),"",CADASTROS!$B$4+SUM($J$2:J2714)+SUM($M$2:M2714)-SUM($K$2:K2714)-SUM($L$2:L2714))</f>
        <v/>
      </c>
      <c r="O2714" s="72" t="str">
        <f>IF(A2714="","",SUMIF(RATEIOS!$A$2:$A$3142,$A2714,RATEIOS!$F$2:$F$3142))</f>
        <v/>
      </c>
      <c r="P2714" s="15" t="str">
        <f t="shared" si="86"/>
        <v/>
      </c>
      <c r="Q2714" s="49" t="str">
        <f>IF(AND(J2714=0,K2714=0,L2714=0,M2714=0),"",IF(O2714=0,"PENDENTE DE RATEIO",IF(ABS(P2714)&gt;0.005,"DIVERGÊNCIA",IF(COUNTIF(RATEIOS!$A$2:$A$3142,$A2714)-COUNTIFS(RATEIOS!$A$2:$A$3142,$A2714,RATEIOS!$D$2:$D$3142,"&lt;&gt;")&gt;0,"NÃO CLASSIFICADO","RATEIO OK"))))</f>
        <v/>
      </c>
      <c r="R2714" s="49"/>
      <c r="S2714" s="14"/>
    </row>
    <row r="2715" spans="1:19" ht="30" customHeight="1" x14ac:dyDescent="0.25">
      <c r="A2715" s="49" t="str">
        <f>IF(C2715="","","BAN-02714")</f>
        <v/>
      </c>
      <c r="B2715" s="98" t="str">
        <f>IF(C2715="","",2714)</f>
        <v/>
      </c>
      <c r="C2715" s="50"/>
      <c r="D2715" s="49" t="str">
        <f t="shared" si="85"/>
        <v/>
      </c>
      <c r="E2715" s="92"/>
      <c r="F2715" s="49"/>
      <c r="G2715" s="14"/>
      <c r="H2715" s="14"/>
      <c r="I2715" s="76"/>
      <c r="J2715" s="73"/>
      <c r="K2715" s="74"/>
      <c r="L2715" s="72"/>
      <c r="M2715" s="72"/>
      <c r="N2715" s="72" t="str">
        <f>IF(AND(C2715="",J2715=0,K2715=0,L2715=0,M2715=0),"",CADASTROS!$B$4+SUM($J$2:J2715)+SUM($M$2:M2715)-SUM($K$2:K2715)-SUM($L$2:L2715))</f>
        <v/>
      </c>
      <c r="O2715" s="72" t="str">
        <f>IF(A2715="","",SUMIF(RATEIOS!$A$2:$A$3142,$A2715,RATEIOS!$F$2:$F$3142))</f>
        <v/>
      </c>
      <c r="P2715" s="15" t="str">
        <f t="shared" si="86"/>
        <v/>
      </c>
      <c r="Q2715" s="49" t="str">
        <f>IF(AND(J2715=0,K2715=0,L2715=0,M2715=0),"",IF(O2715=0,"PENDENTE DE RATEIO",IF(ABS(P2715)&gt;0.005,"DIVERGÊNCIA",IF(COUNTIF(RATEIOS!$A$2:$A$3142,$A2715)-COUNTIFS(RATEIOS!$A$2:$A$3142,$A2715,RATEIOS!$D$2:$D$3142,"&lt;&gt;")&gt;0,"NÃO CLASSIFICADO","RATEIO OK"))))</f>
        <v/>
      </c>
      <c r="R2715" s="49"/>
      <c r="S2715" s="14"/>
    </row>
    <row r="2716" spans="1:19" ht="30" customHeight="1" x14ac:dyDescent="0.25">
      <c r="A2716" s="49" t="str">
        <f>IF(C2716="","","BAN-02715")</f>
        <v/>
      </c>
      <c r="B2716" s="98" t="str">
        <f>IF(C2716="","",2715)</f>
        <v/>
      </c>
      <c r="C2716" s="50"/>
      <c r="D2716" s="49" t="str">
        <f t="shared" si="85"/>
        <v/>
      </c>
      <c r="E2716" s="92"/>
      <c r="F2716" s="49"/>
      <c r="G2716" s="14"/>
      <c r="H2716" s="14"/>
      <c r="I2716" s="76"/>
      <c r="J2716" s="73"/>
      <c r="K2716" s="74"/>
      <c r="L2716" s="72"/>
      <c r="M2716" s="72"/>
      <c r="N2716" s="72" t="str">
        <f>IF(AND(C2716="",J2716=0,K2716=0,L2716=0,M2716=0),"",CADASTROS!$B$4+SUM($J$2:J2716)+SUM($M$2:M2716)-SUM($K$2:K2716)-SUM($L$2:L2716))</f>
        <v/>
      </c>
      <c r="O2716" s="72" t="str">
        <f>IF(A2716="","",SUMIF(RATEIOS!$A$2:$A$3142,$A2716,RATEIOS!$F$2:$F$3142))</f>
        <v/>
      </c>
      <c r="P2716" s="15" t="str">
        <f t="shared" si="86"/>
        <v/>
      </c>
      <c r="Q2716" s="49" t="str">
        <f>IF(AND(J2716=0,K2716=0,L2716=0,M2716=0),"",IF(O2716=0,"PENDENTE DE RATEIO",IF(ABS(P2716)&gt;0.005,"DIVERGÊNCIA",IF(COUNTIF(RATEIOS!$A$2:$A$3142,$A2716)-COUNTIFS(RATEIOS!$A$2:$A$3142,$A2716,RATEIOS!$D$2:$D$3142,"&lt;&gt;")&gt;0,"NÃO CLASSIFICADO","RATEIO OK"))))</f>
        <v/>
      </c>
      <c r="R2716" s="49"/>
      <c r="S2716" s="14"/>
    </row>
    <row r="2717" spans="1:19" ht="30" customHeight="1" x14ac:dyDescent="0.25">
      <c r="A2717" s="49" t="str">
        <f>IF(C2717="","","BAN-02716")</f>
        <v/>
      </c>
      <c r="B2717" s="98" t="str">
        <f>IF(C2717="","",2716)</f>
        <v/>
      </c>
      <c r="C2717" s="50"/>
      <c r="D2717" s="49" t="str">
        <f t="shared" si="85"/>
        <v/>
      </c>
      <c r="E2717" s="92"/>
      <c r="F2717" s="49"/>
      <c r="G2717" s="14"/>
      <c r="H2717" s="14"/>
      <c r="I2717" s="76"/>
      <c r="J2717" s="73"/>
      <c r="K2717" s="74"/>
      <c r="L2717" s="72"/>
      <c r="M2717" s="72"/>
      <c r="N2717" s="72" t="str">
        <f>IF(AND(C2717="",J2717=0,K2717=0,L2717=0,M2717=0),"",CADASTROS!$B$4+SUM($J$2:J2717)+SUM($M$2:M2717)-SUM($K$2:K2717)-SUM($L$2:L2717))</f>
        <v/>
      </c>
      <c r="O2717" s="72" t="str">
        <f>IF(A2717="","",SUMIF(RATEIOS!$A$2:$A$3142,$A2717,RATEIOS!$F$2:$F$3142))</f>
        <v/>
      </c>
      <c r="P2717" s="15" t="str">
        <f t="shared" si="86"/>
        <v/>
      </c>
      <c r="Q2717" s="49" t="str">
        <f>IF(AND(J2717=0,K2717=0,L2717=0,M2717=0),"",IF(O2717=0,"PENDENTE DE RATEIO",IF(ABS(P2717)&gt;0.005,"DIVERGÊNCIA",IF(COUNTIF(RATEIOS!$A$2:$A$3142,$A2717)-COUNTIFS(RATEIOS!$A$2:$A$3142,$A2717,RATEIOS!$D$2:$D$3142,"&lt;&gt;")&gt;0,"NÃO CLASSIFICADO","RATEIO OK"))))</f>
        <v/>
      </c>
      <c r="R2717" s="49"/>
      <c r="S2717" s="14"/>
    </row>
    <row r="2718" spans="1:19" ht="30" customHeight="1" x14ac:dyDescent="0.25">
      <c r="A2718" s="49" t="str">
        <f>IF(C2718="","","BAN-02717")</f>
        <v/>
      </c>
      <c r="B2718" s="98" t="str">
        <f>IF(C2718="","",2717)</f>
        <v/>
      </c>
      <c r="C2718" s="50"/>
      <c r="D2718" s="49" t="str">
        <f t="shared" si="85"/>
        <v/>
      </c>
      <c r="E2718" s="92"/>
      <c r="F2718" s="49"/>
      <c r="G2718" s="14"/>
      <c r="H2718" s="14"/>
      <c r="I2718" s="76"/>
      <c r="J2718" s="73"/>
      <c r="K2718" s="74"/>
      <c r="L2718" s="72"/>
      <c r="M2718" s="72"/>
      <c r="N2718" s="72" t="str">
        <f>IF(AND(C2718="",J2718=0,K2718=0,L2718=0,M2718=0),"",CADASTROS!$B$4+SUM($J$2:J2718)+SUM($M$2:M2718)-SUM($K$2:K2718)-SUM($L$2:L2718))</f>
        <v/>
      </c>
      <c r="O2718" s="72" t="str">
        <f>IF(A2718="","",SUMIF(RATEIOS!$A$2:$A$3142,$A2718,RATEIOS!$F$2:$F$3142))</f>
        <v/>
      </c>
      <c r="P2718" s="15" t="str">
        <f t="shared" si="86"/>
        <v/>
      </c>
      <c r="Q2718" s="49" t="str">
        <f>IF(AND(J2718=0,K2718=0,L2718=0,M2718=0),"",IF(O2718=0,"PENDENTE DE RATEIO",IF(ABS(P2718)&gt;0.005,"DIVERGÊNCIA",IF(COUNTIF(RATEIOS!$A$2:$A$3142,$A2718)-COUNTIFS(RATEIOS!$A$2:$A$3142,$A2718,RATEIOS!$D$2:$D$3142,"&lt;&gt;")&gt;0,"NÃO CLASSIFICADO","RATEIO OK"))))</f>
        <v/>
      </c>
      <c r="R2718" s="49"/>
      <c r="S2718" s="14"/>
    </row>
    <row r="2719" spans="1:19" ht="30" customHeight="1" x14ac:dyDescent="0.25">
      <c r="A2719" s="49" t="str">
        <f>IF(C2719="","","BAN-02718")</f>
        <v/>
      </c>
      <c r="B2719" s="98" t="str">
        <f>IF(C2719="","",2718)</f>
        <v/>
      </c>
      <c r="C2719" s="50"/>
      <c r="D2719" s="49" t="str">
        <f t="shared" si="85"/>
        <v/>
      </c>
      <c r="E2719" s="92"/>
      <c r="F2719" s="49"/>
      <c r="G2719" s="14"/>
      <c r="H2719" s="14"/>
      <c r="I2719" s="76"/>
      <c r="J2719" s="73"/>
      <c r="K2719" s="74"/>
      <c r="L2719" s="72"/>
      <c r="M2719" s="72"/>
      <c r="N2719" s="72" t="str">
        <f>IF(AND(C2719="",J2719=0,K2719=0,L2719=0,M2719=0),"",CADASTROS!$B$4+SUM($J$2:J2719)+SUM($M$2:M2719)-SUM($K$2:K2719)-SUM($L$2:L2719))</f>
        <v/>
      </c>
      <c r="O2719" s="72" t="str">
        <f>IF(A2719="","",SUMIF(RATEIOS!$A$2:$A$3142,$A2719,RATEIOS!$F$2:$F$3142))</f>
        <v/>
      </c>
      <c r="P2719" s="15" t="str">
        <f t="shared" si="86"/>
        <v/>
      </c>
      <c r="Q2719" s="49" t="str">
        <f>IF(AND(J2719=0,K2719=0,L2719=0,M2719=0),"",IF(O2719=0,"PENDENTE DE RATEIO",IF(ABS(P2719)&gt;0.005,"DIVERGÊNCIA",IF(COUNTIF(RATEIOS!$A$2:$A$3142,$A2719)-COUNTIFS(RATEIOS!$A$2:$A$3142,$A2719,RATEIOS!$D$2:$D$3142,"&lt;&gt;")&gt;0,"NÃO CLASSIFICADO","RATEIO OK"))))</f>
        <v/>
      </c>
      <c r="R2719" s="49"/>
      <c r="S2719" s="14"/>
    </row>
    <row r="2720" spans="1:19" ht="30" customHeight="1" x14ac:dyDescent="0.25">
      <c r="A2720" s="49" t="str">
        <f>IF(C2720="","","BAN-02719")</f>
        <v/>
      </c>
      <c r="B2720" s="98" t="str">
        <f>IF(C2720="","",2719)</f>
        <v/>
      </c>
      <c r="C2720" s="50"/>
      <c r="D2720" s="49" t="str">
        <f t="shared" si="85"/>
        <v/>
      </c>
      <c r="E2720" s="92"/>
      <c r="F2720" s="49"/>
      <c r="G2720" s="14"/>
      <c r="H2720" s="14"/>
      <c r="I2720" s="76"/>
      <c r="J2720" s="73"/>
      <c r="K2720" s="74"/>
      <c r="L2720" s="72"/>
      <c r="M2720" s="72"/>
      <c r="N2720" s="72" t="str">
        <f>IF(AND(C2720="",J2720=0,K2720=0,L2720=0,M2720=0),"",CADASTROS!$B$4+SUM($J$2:J2720)+SUM($M$2:M2720)-SUM($K$2:K2720)-SUM($L$2:L2720))</f>
        <v/>
      </c>
      <c r="O2720" s="72" t="str">
        <f>IF(A2720="","",SUMIF(RATEIOS!$A$2:$A$3142,$A2720,RATEIOS!$F$2:$F$3142))</f>
        <v/>
      </c>
      <c r="P2720" s="15" t="str">
        <f t="shared" si="86"/>
        <v/>
      </c>
      <c r="Q2720" s="49" t="str">
        <f>IF(AND(J2720=0,K2720=0,L2720=0,M2720=0),"",IF(O2720=0,"PENDENTE DE RATEIO",IF(ABS(P2720)&gt;0.005,"DIVERGÊNCIA",IF(COUNTIF(RATEIOS!$A$2:$A$3142,$A2720)-COUNTIFS(RATEIOS!$A$2:$A$3142,$A2720,RATEIOS!$D$2:$D$3142,"&lt;&gt;")&gt;0,"NÃO CLASSIFICADO","RATEIO OK"))))</f>
        <v/>
      </c>
      <c r="R2720" s="49"/>
      <c r="S2720" s="14"/>
    </row>
    <row r="2721" spans="1:19" ht="30" customHeight="1" x14ac:dyDescent="0.25">
      <c r="A2721" s="49" t="str">
        <f>IF(C2721="","","BAN-02720")</f>
        <v/>
      </c>
      <c r="B2721" s="98" t="str">
        <f>IF(C2721="","",2720)</f>
        <v/>
      </c>
      <c r="C2721" s="50"/>
      <c r="D2721" s="49" t="str">
        <f t="shared" si="85"/>
        <v/>
      </c>
      <c r="E2721" s="92"/>
      <c r="F2721" s="49"/>
      <c r="G2721" s="14"/>
      <c r="H2721" s="14"/>
      <c r="I2721" s="76"/>
      <c r="J2721" s="73"/>
      <c r="K2721" s="74"/>
      <c r="L2721" s="72"/>
      <c r="M2721" s="72"/>
      <c r="N2721" s="72" t="str">
        <f>IF(AND(C2721="",J2721=0,K2721=0,L2721=0,M2721=0),"",CADASTROS!$B$4+SUM($J$2:J2721)+SUM($M$2:M2721)-SUM($K$2:K2721)-SUM($L$2:L2721))</f>
        <v/>
      </c>
      <c r="O2721" s="72" t="str">
        <f>IF(A2721="","",SUMIF(RATEIOS!$A$2:$A$3142,$A2721,RATEIOS!$F$2:$F$3142))</f>
        <v/>
      </c>
      <c r="P2721" s="15" t="str">
        <f t="shared" si="86"/>
        <v/>
      </c>
      <c r="Q2721" s="49" t="str">
        <f>IF(AND(J2721=0,K2721=0,L2721=0,M2721=0),"",IF(O2721=0,"PENDENTE DE RATEIO",IF(ABS(P2721)&gt;0.005,"DIVERGÊNCIA",IF(COUNTIF(RATEIOS!$A$2:$A$3142,$A2721)-COUNTIFS(RATEIOS!$A$2:$A$3142,$A2721,RATEIOS!$D$2:$D$3142,"&lt;&gt;")&gt;0,"NÃO CLASSIFICADO","RATEIO OK"))))</f>
        <v/>
      </c>
      <c r="R2721" s="49"/>
      <c r="S2721" s="14"/>
    </row>
    <row r="2722" spans="1:19" ht="30" customHeight="1" x14ac:dyDescent="0.25">
      <c r="A2722" s="49" t="str">
        <f>IF(C2722="","","BAN-02721")</f>
        <v/>
      </c>
      <c r="B2722" s="98" t="str">
        <f>IF(C2722="","",2721)</f>
        <v/>
      </c>
      <c r="C2722" s="50"/>
      <c r="D2722" s="49" t="str">
        <f t="shared" si="85"/>
        <v/>
      </c>
      <c r="E2722" s="92"/>
      <c r="F2722" s="49"/>
      <c r="G2722" s="14"/>
      <c r="H2722" s="14"/>
      <c r="I2722" s="76"/>
      <c r="J2722" s="73"/>
      <c r="K2722" s="74"/>
      <c r="L2722" s="72"/>
      <c r="M2722" s="72"/>
      <c r="N2722" s="72" t="str">
        <f>IF(AND(C2722="",J2722=0,K2722=0,L2722=0,M2722=0),"",CADASTROS!$B$4+SUM($J$2:J2722)+SUM($M$2:M2722)-SUM($K$2:K2722)-SUM($L$2:L2722))</f>
        <v/>
      </c>
      <c r="O2722" s="72" t="str">
        <f>IF(A2722="","",SUMIF(RATEIOS!$A$2:$A$3142,$A2722,RATEIOS!$F$2:$F$3142))</f>
        <v/>
      </c>
      <c r="P2722" s="15" t="str">
        <f t="shared" si="86"/>
        <v/>
      </c>
      <c r="Q2722" s="49" t="str">
        <f>IF(AND(J2722=0,K2722=0,L2722=0,M2722=0),"",IF(O2722=0,"PENDENTE DE RATEIO",IF(ABS(P2722)&gt;0.005,"DIVERGÊNCIA",IF(COUNTIF(RATEIOS!$A$2:$A$3142,$A2722)-COUNTIFS(RATEIOS!$A$2:$A$3142,$A2722,RATEIOS!$D$2:$D$3142,"&lt;&gt;")&gt;0,"NÃO CLASSIFICADO","RATEIO OK"))))</f>
        <v/>
      </c>
      <c r="R2722" s="49"/>
      <c r="S2722" s="14"/>
    </row>
    <row r="2723" spans="1:19" ht="30" customHeight="1" x14ac:dyDescent="0.25">
      <c r="A2723" s="49" t="str">
        <f>IF(C2723="","","BAN-02722")</f>
        <v/>
      </c>
      <c r="B2723" s="98" t="str">
        <f>IF(C2723="","",2722)</f>
        <v/>
      </c>
      <c r="C2723" s="50"/>
      <c r="D2723" s="49" t="str">
        <f t="shared" si="85"/>
        <v/>
      </c>
      <c r="E2723" s="92"/>
      <c r="F2723" s="49"/>
      <c r="G2723" s="14"/>
      <c r="H2723" s="14"/>
      <c r="I2723" s="76"/>
      <c r="J2723" s="73"/>
      <c r="K2723" s="74"/>
      <c r="L2723" s="72"/>
      <c r="M2723" s="72"/>
      <c r="N2723" s="72" t="str">
        <f>IF(AND(C2723="",J2723=0,K2723=0,L2723=0,M2723=0),"",CADASTROS!$B$4+SUM($J$2:J2723)+SUM($M$2:M2723)-SUM($K$2:K2723)-SUM($L$2:L2723))</f>
        <v/>
      </c>
      <c r="O2723" s="72" t="str">
        <f>IF(A2723="","",SUMIF(RATEIOS!$A$2:$A$3142,$A2723,RATEIOS!$F$2:$F$3142))</f>
        <v/>
      </c>
      <c r="P2723" s="15" t="str">
        <f t="shared" si="86"/>
        <v/>
      </c>
      <c r="Q2723" s="49" t="str">
        <f>IF(AND(J2723=0,K2723=0,L2723=0,M2723=0),"",IF(O2723=0,"PENDENTE DE RATEIO",IF(ABS(P2723)&gt;0.005,"DIVERGÊNCIA",IF(COUNTIF(RATEIOS!$A$2:$A$3142,$A2723)-COUNTIFS(RATEIOS!$A$2:$A$3142,$A2723,RATEIOS!$D$2:$D$3142,"&lt;&gt;")&gt;0,"NÃO CLASSIFICADO","RATEIO OK"))))</f>
        <v/>
      </c>
      <c r="R2723" s="49"/>
      <c r="S2723" s="14"/>
    </row>
    <row r="2724" spans="1:19" ht="30" customHeight="1" x14ac:dyDescent="0.25">
      <c r="A2724" s="49" t="str">
        <f>IF(C2724="","","BAN-02723")</f>
        <v/>
      </c>
      <c r="B2724" s="98" t="str">
        <f>IF(C2724="","",2723)</f>
        <v/>
      </c>
      <c r="C2724" s="50"/>
      <c r="D2724" s="49" t="str">
        <f t="shared" si="85"/>
        <v/>
      </c>
      <c r="E2724" s="92"/>
      <c r="F2724" s="49"/>
      <c r="G2724" s="14"/>
      <c r="H2724" s="14"/>
      <c r="I2724" s="76"/>
      <c r="J2724" s="73"/>
      <c r="K2724" s="74"/>
      <c r="L2724" s="72"/>
      <c r="M2724" s="72"/>
      <c r="N2724" s="72" t="str">
        <f>IF(AND(C2724="",J2724=0,K2724=0,L2724=0,M2724=0),"",CADASTROS!$B$4+SUM($J$2:J2724)+SUM($M$2:M2724)-SUM($K$2:K2724)-SUM($L$2:L2724))</f>
        <v/>
      </c>
      <c r="O2724" s="72" t="str">
        <f>IF(A2724="","",SUMIF(RATEIOS!$A$2:$A$3142,$A2724,RATEIOS!$F$2:$F$3142))</f>
        <v/>
      </c>
      <c r="P2724" s="15" t="str">
        <f t="shared" si="86"/>
        <v/>
      </c>
      <c r="Q2724" s="49" t="str">
        <f>IF(AND(J2724=0,K2724=0,L2724=0,M2724=0),"",IF(O2724=0,"PENDENTE DE RATEIO",IF(ABS(P2724)&gt;0.005,"DIVERGÊNCIA",IF(COUNTIF(RATEIOS!$A$2:$A$3142,$A2724)-COUNTIFS(RATEIOS!$A$2:$A$3142,$A2724,RATEIOS!$D$2:$D$3142,"&lt;&gt;")&gt;0,"NÃO CLASSIFICADO","RATEIO OK"))))</f>
        <v/>
      </c>
      <c r="R2724" s="49"/>
      <c r="S2724" s="14"/>
    </row>
    <row r="2725" spans="1:19" ht="30" customHeight="1" x14ac:dyDescent="0.25">
      <c r="A2725" s="49" t="str">
        <f>IF(C2725="","","BAN-02724")</f>
        <v/>
      </c>
      <c r="B2725" s="98" t="str">
        <f>IF(C2725="","",2724)</f>
        <v/>
      </c>
      <c r="C2725" s="50"/>
      <c r="D2725" s="49" t="str">
        <f t="shared" si="85"/>
        <v/>
      </c>
      <c r="E2725" s="92"/>
      <c r="F2725" s="49"/>
      <c r="G2725" s="14"/>
      <c r="H2725" s="14"/>
      <c r="I2725" s="76"/>
      <c r="J2725" s="73"/>
      <c r="K2725" s="74"/>
      <c r="L2725" s="72"/>
      <c r="M2725" s="72"/>
      <c r="N2725" s="72" t="str">
        <f>IF(AND(C2725="",J2725=0,K2725=0,L2725=0,M2725=0),"",CADASTROS!$B$4+SUM($J$2:J2725)+SUM($M$2:M2725)-SUM($K$2:K2725)-SUM($L$2:L2725))</f>
        <v/>
      </c>
      <c r="O2725" s="72" t="str">
        <f>IF(A2725="","",SUMIF(RATEIOS!$A$2:$A$3142,$A2725,RATEIOS!$F$2:$F$3142))</f>
        <v/>
      </c>
      <c r="P2725" s="15" t="str">
        <f t="shared" si="86"/>
        <v/>
      </c>
      <c r="Q2725" s="49" t="str">
        <f>IF(AND(J2725=0,K2725=0,L2725=0,M2725=0),"",IF(O2725=0,"PENDENTE DE RATEIO",IF(ABS(P2725)&gt;0.005,"DIVERGÊNCIA",IF(COUNTIF(RATEIOS!$A$2:$A$3142,$A2725)-COUNTIFS(RATEIOS!$A$2:$A$3142,$A2725,RATEIOS!$D$2:$D$3142,"&lt;&gt;")&gt;0,"NÃO CLASSIFICADO","RATEIO OK"))))</f>
        <v/>
      </c>
      <c r="R2725" s="49"/>
      <c r="S2725" s="14"/>
    </row>
    <row r="2726" spans="1:19" ht="30" customHeight="1" x14ac:dyDescent="0.25">
      <c r="A2726" s="49" t="str">
        <f>IF(C2726="","","BAN-02725")</f>
        <v/>
      </c>
      <c r="B2726" s="98" t="str">
        <f>IF(C2726="","",2725)</f>
        <v/>
      </c>
      <c r="C2726" s="50"/>
      <c r="D2726" s="49" t="str">
        <f t="shared" si="85"/>
        <v/>
      </c>
      <c r="E2726" s="92"/>
      <c r="F2726" s="49"/>
      <c r="G2726" s="14"/>
      <c r="H2726" s="14"/>
      <c r="I2726" s="76"/>
      <c r="J2726" s="73"/>
      <c r="K2726" s="74"/>
      <c r="L2726" s="72"/>
      <c r="M2726" s="72"/>
      <c r="N2726" s="72" t="str">
        <f>IF(AND(C2726="",J2726=0,K2726=0,L2726=0,M2726=0),"",CADASTROS!$B$4+SUM($J$2:J2726)+SUM($M$2:M2726)-SUM($K$2:K2726)-SUM($L$2:L2726))</f>
        <v/>
      </c>
      <c r="O2726" s="72" t="str">
        <f>IF(A2726="","",SUMIF(RATEIOS!$A$2:$A$3142,$A2726,RATEIOS!$F$2:$F$3142))</f>
        <v/>
      </c>
      <c r="P2726" s="15" t="str">
        <f t="shared" si="86"/>
        <v/>
      </c>
      <c r="Q2726" s="49" t="str">
        <f>IF(AND(J2726=0,K2726=0,L2726=0,M2726=0),"",IF(O2726=0,"PENDENTE DE RATEIO",IF(ABS(P2726)&gt;0.005,"DIVERGÊNCIA",IF(COUNTIF(RATEIOS!$A$2:$A$3142,$A2726)-COUNTIFS(RATEIOS!$A$2:$A$3142,$A2726,RATEIOS!$D$2:$D$3142,"&lt;&gt;")&gt;0,"NÃO CLASSIFICADO","RATEIO OK"))))</f>
        <v/>
      </c>
      <c r="R2726" s="49"/>
      <c r="S2726" s="14"/>
    </row>
    <row r="2727" spans="1:19" ht="30" customHeight="1" x14ac:dyDescent="0.25">
      <c r="A2727" s="49" t="str">
        <f>IF(C2727="","","BAN-02726")</f>
        <v/>
      </c>
      <c r="B2727" s="98" t="str">
        <f>IF(C2727="","",2726)</f>
        <v/>
      </c>
      <c r="C2727" s="50"/>
      <c r="D2727" s="49" t="str">
        <f t="shared" si="85"/>
        <v/>
      </c>
      <c r="E2727" s="92"/>
      <c r="F2727" s="49"/>
      <c r="G2727" s="14"/>
      <c r="H2727" s="14"/>
      <c r="I2727" s="76"/>
      <c r="J2727" s="73"/>
      <c r="K2727" s="74"/>
      <c r="L2727" s="72"/>
      <c r="M2727" s="72"/>
      <c r="N2727" s="72" t="str">
        <f>IF(AND(C2727="",J2727=0,K2727=0,L2727=0,M2727=0),"",CADASTROS!$B$4+SUM($J$2:J2727)+SUM($M$2:M2727)-SUM($K$2:K2727)-SUM($L$2:L2727))</f>
        <v/>
      </c>
      <c r="O2727" s="72" t="str">
        <f>IF(A2727="","",SUMIF(RATEIOS!$A$2:$A$3142,$A2727,RATEIOS!$F$2:$F$3142))</f>
        <v/>
      </c>
      <c r="P2727" s="15" t="str">
        <f t="shared" si="86"/>
        <v/>
      </c>
      <c r="Q2727" s="49" t="str">
        <f>IF(AND(J2727=0,K2727=0,L2727=0,M2727=0),"",IF(O2727=0,"PENDENTE DE RATEIO",IF(ABS(P2727)&gt;0.005,"DIVERGÊNCIA",IF(COUNTIF(RATEIOS!$A$2:$A$3142,$A2727)-COUNTIFS(RATEIOS!$A$2:$A$3142,$A2727,RATEIOS!$D$2:$D$3142,"&lt;&gt;")&gt;0,"NÃO CLASSIFICADO","RATEIO OK"))))</f>
        <v/>
      </c>
      <c r="R2727" s="49"/>
      <c r="S2727" s="14"/>
    </row>
    <row r="2728" spans="1:19" ht="30" customHeight="1" x14ac:dyDescent="0.25">
      <c r="A2728" s="49" t="str">
        <f>IF(C2728="","","BAN-02727")</f>
        <v/>
      </c>
      <c r="B2728" s="98" t="str">
        <f>IF(C2728="","",2727)</f>
        <v/>
      </c>
      <c r="C2728" s="50"/>
      <c r="D2728" s="49" t="str">
        <f t="shared" si="85"/>
        <v/>
      </c>
      <c r="E2728" s="92"/>
      <c r="F2728" s="49"/>
      <c r="G2728" s="14"/>
      <c r="H2728" s="14"/>
      <c r="I2728" s="76"/>
      <c r="J2728" s="73"/>
      <c r="K2728" s="74"/>
      <c r="L2728" s="72"/>
      <c r="M2728" s="72"/>
      <c r="N2728" s="72" t="str">
        <f>IF(AND(C2728="",J2728=0,K2728=0,L2728=0,M2728=0),"",CADASTROS!$B$4+SUM($J$2:J2728)+SUM($M$2:M2728)-SUM($K$2:K2728)-SUM($L$2:L2728))</f>
        <v/>
      </c>
      <c r="O2728" s="72" t="str">
        <f>IF(A2728="","",SUMIF(RATEIOS!$A$2:$A$3142,$A2728,RATEIOS!$F$2:$F$3142))</f>
        <v/>
      </c>
      <c r="P2728" s="15" t="str">
        <f t="shared" si="86"/>
        <v/>
      </c>
      <c r="Q2728" s="49" t="str">
        <f>IF(AND(J2728=0,K2728=0,L2728=0,M2728=0),"",IF(O2728=0,"PENDENTE DE RATEIO",IF(ABS(P2728)&gt;0.005,"DIVERGÊNCIA",IF(COUNTIF(RATEIOS!$A$2:$A$3142,$A2728)-COUNTIFS(RATEIOS!$A$2:$A$3142,$A2728,RATEIOS!$D$2:$D$3142,"&lt;&gt;")&gt;0,"NÃO CLASSIFICADO","RATEIO OK"))))</f>
        <v/>
      </c>
      <c r="R2728" s="49"/>
      <c r="S2728" s="14"/>
    </row>
    <row r="2729" spans="1:19" ht="30" customHeight="1" x14ac:dyDescent="0.25">
      <c r="A2729" s="49" t="str">
        <f>IF(C2729="","","BAN-02728")</f>
        <v/>
      </c>
      <c r="B2729" s="98" t="str">
        <f>IF(C2729="","",2728)</f>
        <v/>
      </c>
      <c r="C2729" s="50"/>
      <c r="D2729" s="49" t="str">
        <f t="shared" si="85"/>
        <v/>
      </c>
      <c r="E2729" s="92"/>
      <c r="F2729" s="49"/>
      <c r="G2729" s="14"/>
      <c r="H2729" s="14"/>
      <c r="I2729" s="76"/>
      <c r="J2729" s="73"/>
      <c r="K2729" s="74"/>
      <c r="L2729" s="72"/>
      <c r="M2729" s="72"/>
      <c r="N2729" s="72" t="str">
        <f>IF(AND(C2729="",J2729=0,K2729=0,L2729=0,M2729=0),"",CADASTROS!$B$4+SUM($J$2:J2729)+SUM($M$2:M2729)-SUM($K$2:K2729)-SUM($L$2:L2729))</f>
        <v/>
      </c>
      <c r="O2729" s="72" t="str">
        <f>IF(A2729="","",SUMIF(RATEIOS!$A$2:$A$3142,$A2729,RATEIOS!$F$2:$F$3142))</f>
        <v/>
      </c>
      <c r="P2729" s="15" t="str">
        <f t="shared" si="86"/>
        <v/>
      </c>
      <c r="Q2729" s="49" t="str">
        <f>IF(AND(J2729=0,K2729=0,L2729=0,M2729=0),"",IF(O2729=0,"PENDENTE DE RATEIO",IF(ABS(P2729)&gt;0.005,"DIVERGÊNCIA",IF(COUNTIF(RATEIOS!$A$2:$A$3142,$A2729)-COUNTIFS(RATEIOS!$A$2:$A$3142,$A2729,RATEIOS!$D$2:$D$3142,"&lt;&gt;")&gt;0,"NÃO CLASSIFICADO","RATEIO OK"))))</f>
        <v/>
      </c>
      <c r="R2729" s="49"/>
      <c r="S2729" s="14"/>
    </row>
    <row r="2730" spans="1:19" ht="30" customHeight="1" x14ac:dyDescent="0.25">
      <c r="A2730" s="49" t="str">
        <f>IF(C2730="","","BAN-02729")</f>
        <v/>
      </c>
      <c r="B2730" s="98" t="str">
        <f>IF(C2730="","",2729)</f>
        <v/>
      </c>
      <c r="C2730" s="50"/>
      <c r="D2730" s="49" t="str">
        <f t="shared" si="85"/>
        <v/>
      </c>
      <c r="E2730" s="92"/>
      <c r="F2730" s="49"/>
      <c r="G2730" s="14"/>
      <c r="H2730" s="14"/>
      <c r="I2730" s="76"/>
      <c r="J2730" s="73"/>
      <c r="K2730" s="74"/>
      <c r="L2730" s="72"/>
      <c r="M2730" s="72"/>
      <c r="N2730" s="72" t="str">
        <f>IF(AND(C2730="",J2730=0,K2730=0,L2730=0,M2730=0),"",CADASTROS!$B$4+SUM($J$2:J2730)+SUM($M$2:M2730)-SUM($K$2:K2730)-SUM($L$2:L2730))</f>
        <v/>
      </c>
      <c r="O2730" s="72" t="str">
        <f>IF(A2730="","",SUMIF(RATEIOS!$A$2:$A$3142,$A2730,RATEIOS!$F$2:$F$3142))</f>
        <v/>
      </c>
      <c r="P2730" s="15" t="str">
        <f t="shared" si="86"/>
        <v/>
      </c>
      <c r="Q2730" s="49" t="str">
        <f>IF(AND(J2730=0,K2730=0,L2730=0,M2730=0),"",IF(O2730=0,"PENDENTE DE RATEIO",IF(ABS(P2730)&gt;0.005,"DIVERGÊNCIA",IF(COUNTIF(RATEIOS!$A$2:$A$3142,$A2730)-COUNTIFS(RATEIOS!$A$2:$A$3142,$A2730,RATEIOS!$D$2:$D$3142,"&lt;&gt;")&gt;0,"NÃO CLASSIFICADO","RATEIO OK"))))</f>
        <v/>
      </c>
      <c r="R2730" s="49"/>
      <c r="S2730" s="14"/>
    </row>
    <row r="2731" spans="1:19" ht="30" customHeight="1" x14ac:dyDescent="0.25">
      <c r="A2731" s="49" t="str">
        <f>IF(C2731="","","BAN-02730")</f>
        <v/>
      </c>
      <c r="B2731" s="98" t="str">
        <f>IF(C2731="","",2730)</f>
        <v/>
      </c>
      <c r="C2731" s="50"/>
      <c r="D2731" s="49" t="str">
        <f t="shared" si="85"/>
        <v/>
      </c>
      <c r="E2731" s="92"/>
      <c r="F2731" s="49"/>
      <c r="G2731" s="14"/>
      <c r="H2731" s="14"/>
      <c r="I2731" s="76"/>
      <c r="J2731" s="73"/>
      <c r="K2731" s="74"/>
      <c r="L2731" s="72"/>
      <c r="M2731" s="72"/>
      <c r="N2731" s="72" t="str">
        <f>IF(AND(C2731="",J2731=0,K2731=0,L2731=0,M2731=0),"",CADASTROS!$B$4+SUM($J$2:J2731)+SUM($M$2:M2731)-SUM($K$2:K2731)-SUM($L$2:L2731))</f>
        <v/>
      </c>
      <c r="O2731" s="72" t="str">
        <f>IF(A2731="","",SUMIF(RATEIOS!$A$2:$A$3142,$A2731,RATEIOS!$F$2:$F$3142))</f>
        <v/>
      </c>
      <c r="P2731" s="15" t="str">
        <f t="shared" si="86"/>
        <v/>
      </c>
      <c r="Q2731" s="49" t="str">
        <f>IF(AND(J2731=0,K2731=0,L2731=0,M2731=0),"",IF(O2731=0,"PENDENTE DE RATEIO",IF(ABS(P2731)&gt;0.005,"DIVERGÊNCIA",IF(COUNTIF(RATEIOS!$A$2:$A$3142,$A2731)-COUNTIFS(RATEIOS!$A$2:$A$3142,$A2731,RATEIOS!$D$2:$D$3142,"&lt;&gt;")&gt;0,"NÃO CLASSIFICADO","RATEIO OK"))))</f>
        <v/>
      </c>
      <c r="R2731" s="49"/>
      <c r="S2731" s="14"/>
    </row>
    <row r="2732" spans="1:19" ht="30" customHeight="1" x14ac:dyDescent="0.25">
      <c r="A2732" s="49" t="str">
        <f>IF(C2732="","","BAN-02731")</f>
        <v/>
      </c>
      <c r="B2732" s="98" t="str">
        <f>IF(C2732="","",2731)</f>
        <v/>
      </c>
      <c r="C2732" s="50"/>
      <c r="D2732" s="49" t="str">
        <f t="shared" si="85"/>
        <v/>
      </c>
      <c r="E2732" s="92"/>
      <c r="F2732" s="49"/>
      <c r="G2732" s="14"/>
      <c r="H2732" s="14"/>
      <c r="I2732" s="76"/>
      <c r="J2732" s="73"/>
      <c r="K2732" s="74"/>
      <c r="L2732" s="72"/>
      <c r="M2732" s="72"/>
      <c r="N2732" s="72" t="str">
        <f>IF(AND(C2732="",J2732=0,K2732=0,L2732=0,M2732=0),"",CADASTROS!$B$4+SUM($J$2:J2732)+SUM($M$2:M2732)-SUM($K$2:K2732)-SUM($L$2:L2732))</f>
        <v/>
      </c>
      <c r="O2732" s="72" t="str">
        <f>IF(A2732="","",SUMIF(RATEIOS!$A$2:$A$3142,$A2732,RATEIOS!$F$2:$F$3142))</f>
        <v/>
      </c>
      <c r="P2732" s="15" t="str">
        <f t="shared" si="86"/>
        <v/>
      </c>
      <c r="Q2732" s="49" t="str">
        <f>IF(AND(J2732=0,K2732=0,L2732=0,M2732=0),"",IF(O2732=0,"PENDENTE DE RATEIO",IF(ABS(P2732)&gt;0.005,"DIVERGÊNCIA",IF(COUNTIF(RATEIOS!$A$2:$A$3142,$A2732)-COUNTIFS(RATEIOS!$A$2:$A$3142,$A2732,RATEIOS!$D$2:$D$3142,"&lt;&gt;")&gt;0,"NÃO CLASSIFICADO","RATEIO OK"))))</f>
        <v/>
      </c>
      <c r="R2732" s="49"/>
      <c r="S2732" s="14"/>
    </row>
    <row r="2733" spans="1:19" ht="30" customHeight="1" x14ac:dyDescent="0.25">
      <c r="A2733" s="49" t="str">
        <f>IF(C2733="","","BAN-02732")</f>
        <v/>
      </c>
      <c r="B2733" s="98" t="str">
        <f>IF(C2733="","",2732)</f>
        <v/>
      </c>
      <c r="C2733" s="50"/>
      <c r="D2733" s="49" t="str">
        <f t="shared" si="85"/>
        <v/>
      </c>
      <c r="E2733" s="92"/>
      <c r="F2733" s="49"/>
      <c r="G2733" s="14"/>
      <c r="H2733" s="14"/>
      <c r="I2733" s="76"/>
      <c r="J2733" s="73"/>
      <c r="K2733" s="74"/>
      <c r="L2733" s="72"/>
      <c r="M2733" s="72"/>
      <c r="N2733" s="72" t="str">
        <f>IF(AND(C2733="",J2733=0,K2733=0,L2733=0,M2733=0),"",CADASTROS!$B$4+SUM($J$2:J2733)+SUM($M$2:M2733)-SUM($K$2:K2733)-SUM($L$2:L2733))</f>
        <v/>
      </c>
      <c r="O2733" s="72" t="str">
        <f>IF(A2733="","",SUMIF(RATEIOS!$A$2:$A$3142,$A2733,RATEIOS!$F$2:$F$3142))</f>
        <v/>
      </c>
      <c r="P2733" s="15" t="str">
        <f t="shared" si="86"/>
        <v/>
      </c>
      <c r="Q2733" s="49" t="str">
        <f>IF(AND(J2733=0,K2733=0,L2733=0,M2733=0),"",IF(O2733=0,"PENDENTE DE RATEIO",IF(ABS(P2733)&gt;0.005,"DIVERGÊNCIA",IF(COUNTIF(RATEIOS!$A$2:$A$3142,$A2733)-COUNTIFS(RATEIOS!$A$2:$A$3142,$A2733,RATEIOS!$D$2:$D$3142,"&lt;&gt;")&gt;0,"NÃO CLASSIFICADO","RATEIO OK"))))</f>
        <v/>
      </c>
      <c r="R2733" s="49"/>
      <c r="S2733" s="14"/>
    </row>
    <row r="2734" spans="1:19" ht="30" customHeight="1" x14ac:dyDescent="0.25">
      <c r="A2734" s="49" t="str">
        <f>IF(C2734="","","BAN-02733")</f>
        <v/>
      </c>
      <c r="B2734" s="98" t="str">
        <f>IF(C2734="","",2733)</f>
        <v/>
      </c>
      <c r="C2734" s="50"/>
      <c r="D2734" s="49" t="str">
        <f t="shared" si="85"/>
        <v/>
      </c>
      <c r="E2734" s="92"/>
      <c r="F2734" s="49"/>
      <c r="G2734" s="14"/>
      <c r="H2734" s="14"/>
      <c r="I2734" s="76"/>
      <c r="J2734" s="73"/>
      <c r="K2734" s="74"/>
      <c r="L2734" s="72"/>
      <c r="M2734" s="72"/>
      <c r="N2734" s="72" t="str">
        <f>IF(AND(C2734="",J2734=0,K2734=0,L2734=0,M2734=0),"",CADASTROS!$B$4+SUM($J$2:J2734)+SUM($M$2:M2734)-SUM($K$2:K2734)-SUM($L$2:L2734))</f>
        <v/>
      </c>
      <c r="O2734" s="72" t="str">
        <f>IF(A2734="","",SUMIF(RATEIOS!$A$2:$A$3142,$A2734,RATEIOS!$F$2:$F$3142))</f>
        <v/>
      </c>
      <c r="P2734" s="15" t="str">
        <f t="shared" si="86"/>
        <v/>
      </c>
      <c r="Q2734" s="49" t="str">
        <f>IF(AND(J2734=0,K2734=0,L2734=0,M2734=0),"",IF(O2734=0,"PENDENTE DE RATEIO",IF(ABS(P2734)&gt;0.005,"DIVERGÊNCIA",IF(COUNTIF(RATEIOS!$A$2:$A$3142,$A2734)-COUNTIFS(RATEIOS!$A$2:$A$3142,$A2734,RATEIOS!$D$2:$D$3142,"&lt;&gt;")&gt;0,"NÃO CLASSIFICADO","RATEIO OK"))))</f>
        <v/>
      </c>
      <c r="R2734" s="49"/>
      <c r="S2734" s="14"/>
    </row>
    <row r="2735" spans="1:19" ht="30" customHeight="1" x14ac:dyDescent="0.25">
      <c r="A2735" s="49" t="str">
        <f>IF(C2735="","","BAN-02734")</f>
        <v/>
      </c>
      <c r="B2735" s="98" t="str">
        <f>IF(C2735="","",2734)</f>
        <v/>
      </c>
      <c r="C2735" s="50"/>
      <c r="D2735" s="49" t="str">
        <f t="shared" si="85"/>
        <v/>
      </c>
      <c r="E2735" s="92"/>
      <c r="F2735" s="49"/>
      <c r="G2735" s="14"/>
      <c r="H2735" s="14"/>
      <c r="I2735" s="76"/>
      <c r="J2735" s="73"/>
      <c r="K2735" s="74"/>
      <c r="L2735" s="72"/>
      <c r="M2735" s="72"/>
      <c r="N2735" s="72" t="str">
        <f>IF(AND(C2735="",J2735=0,K2735=0,L2735=0,M2735=0),"",CADASTROS!$B$4+SUM($J$2:J2735)+SUM($M$2:M2735)-SUM($K$2:K2735)-SUM($L$2:L2735))</f>
        <v/>
      </c>
      <c r="O2735" s="72" t="str">
        <f>IF(A2735="","",SUMIF(RATEIOS!$A$2:$A$3142,$A2735,RATEIOS!$F$2:$F$3142))</f>
        <v/>
      </c>
      <c r="P2735" s="15" t="str">
        <f t="shared" si="86"/>
        <v/>
      </c>
      <c r="Q2735" s="49" t="str">
        <f>IF(AND(J2735=0,K2735=0,L2735=0,M2735=0),"",IF(O2735=0,"PENDENTE DE RATEIO",IF(ABS(P2735)&gt;0.005,"DIVERGÊNCIA",IF(COUNTIF(RATEIOS!$A$2:$A$3142,$A2735)-COUNTIFS(RATEIOS!$A$2:$A$3142,$A2735,RATEIOS!$D$2:$D$3142,"&lt;&gt;")&gt;0,"NÃO CLASSIFICADO","RATEIO OK"))))</f>
        <v/>
      </c>
      <c r="R2735" s="49"/>
      <c r="S2735" s="14"/>
    </row>
    <row r="2736" spans="1:19" ht="30" customHeight="1" x14ac:dyDescent="0.25">
      <c r="A2736" s="49" t="str">
        <f>IF(C2736="","","BAN-02735")</f>
        <v/>
      </c>
      <c r="B2736" s="98" t="str">
        <f>IF(C2736="","",2735)</f>
        <v/>
      </c>
      <c r="C2736" s="50"/>
      <c r="D2736" s="49" t="str">
        <f t="shared" si="85"/>
        <v/>
      </c>
      <c r="E2736" s="92"/>
      <c r="F2736" s="49"/>
      <c r="G2736" s="14"/>
      <c r="H2736" s="14"/>
      <c r="I2736" s="76"/>
      <c r="J2736" s="73"/>
      <c r="K2736" s="74"/>
      <c r="L2736" s="72"/>
      <c r="M2736" s="72"/>
      <c r="N2736" s="72" t="str">
        <f>IF(AND(C2736="",J2736=0,K2736=0,L2736=0,M2736=0),"",CADASTROS!$B$4+SUM($J$2:J2736)+SUM($M$2:M2736)-SUM($K$2:K2736)-SUM($L$2:L2736))</f>
        <v/>
      </c>
      <c r="O2736" s="72" t="str">
        <f>IF(A2736="","",SUMIF(RATEIOS!$A$2:$A$3142,$A2736,RATEIOS!$F$2:$F$3142))</f>
        <v/>
      </c>
      <c r="P2736" s="15" t="str">
        <f t="shared" si="86"/>
        <v/>
      </c>
      <c r="Q2736" s="49" t="str">
        <f>IF(AND(J2736=0,K2736=0,L2736=0,M2736=0),"",IF(O2736=0,"PENDENTE DE RATEIO",IF(ABS(P2736)&gt;0.005,"DIVERGÊNCIA",IF(COUNTIF(RATEIOS!$A$2:$A$3142,$A2736)-COUNTIFS(RATEIOS!$A$2:$A$3142,$A2736,RATEIOS!$D$2:$D$3142,"&lt;&gt;")&gt;0,"NÃO CLASSIFICADO","RATEIO OK"))))</f>
        <v/>
      </c>
      <c r="R2736" s="49"/>
      <c r="S2736" s="14"/>
    </row>
    <row r="2737" spans="1:19" ht="30" customHeight="1" x14ac:dyDescent="0.25">
      <c r="A2737" s="49" t="str">
        <f>IF(C2737="","","BAN-02736")</f>
        <v/>
      </c>
      <c r="B2737" s="98" t="str">
        <f>IF(C2737="","",2736)</f>
        <v/>
      </c>
      <c r="C2737" s="50"/>
      <c r="D2737" s="49" t="str">
        <f t="shared" si="85"/>
        <v/>
      </c>
      <c r="E2737" s="92"/>
      <c r="F2737" s="49"/>
      <c r="G2737" s="14"/>
      <c r="H2737" s="14"/>
      <c r="I2737" s="76"/>
      <c r="J2737" s="73"/>
      <c r="K2737" s="74"/>
      <c r="L2737" s="72"/>
      <c r="M2737" s="72"/>
      <c r="N2737" s="72" t="str">
        <f>IF(AND(C2737="",J2737=0,K2737=0,L2737=0,M2737=0),"",CADASTROS!$B$4+SUM($J$2:J2737)+SUM($M$2:M2737)-SUM($K$2:K2737)-SUM($L$2:L2737))</f>
        <v/>
      </c>
      <c r="O2737" s="72" t="str">
        <f>IF(A2737="","",SUMIF(RATEIOS!$A$2:$A$3142,$A2737,RATEIOS!$F$2:$F$3142))</f>
        <v/>
      </c>
      <c r="P2737" s="15" t="str">
        <f t="shared" si="86"/>
        <v/>
      </c>
      <c r="Q2737" s="49" t="str">
        <f>IF(AND(J2737=0,K2737=0,L2737=0,M2737=0),"",IF(O2737=0,"PENDENTE DE RATEIO",IF(ABS(P2737)&gt;0.005,"DIVERGÊNCIA",IF(COUNTIF(RATEIOS!$A$2:$A$3142,$A2737)-COUNTIFS(RATEIOS!$A$2:$A$3142,$A2737,RATEIOS!$D$2:$D$3142,"&lt;&gt;")&gt;0,"NÃO CLASSIFICADO","RATEIO OK"))))</f>
        <v/>
      </c>
      <c r="R2737" s="49"/>
      <c r="S2737" s="14"/>
    </row>
    <row r="2738" spans="1:19" ht="30" customHeight="1" x14ac:dyDescent="0.25">
      <c r="A2738" s="49" t="str">
        <f>IF(C2738="","","BAN-02737")</f>
        <v/>
      </c>
      <c r="B2738" s="98" t="str">
        <f>IF(C2738="","",2737)</f>
        <v/>
      </c>
      <c r="C2738" s="50"/>
      <c r="D2738" s="49" t="str">
        <f t="shared" si="85"/>
        <v/>
      </c>
      <c r="E2738" s="92"/>
      <c r="F2738" s="49"/>
      <c r="G2738" s="14"/>
      <c r="H2738" s="14"/>
      <c r="I2738" s="76"/>
      <c r="J2738" s="73"/>
      <c r="K2738" s="74"/>
      <c r="L2738" s="72"/>
      <c r="M2738" s="72"/>
      <c r="N2738" s="72" t="str">
        <f>IF(AND(C2738="",J2738=0,K2738=0,L2738=0,M2738=0),"",CADASTROS!$B$4+SUM($J$2:J2738)+SUM($M$2:M2738)-SUM($K$2:K2738)-SUM($L$2:L2738))</f>
        <v/>
      </c>
      <c r="O2738" s="72" t="str">
        <f>IF(A2738="","",SUMIF(RATEIOS!$A$2:$A$3142,$A2738,RATEIOS!$F$2:$F$3142))</f>
        <v/>
      </c>
      <c r="P2738" s="15" t="str">
        <f t="shared" si="86"/>
        <v/>
      </c>
      <c r="Q2738" s="49" t="str">
        <f>IF(AND(J2738=0,K2738=0,L2738=0,M2738=0),"",IF(O2738=0,"PENDENTE DE RATEIO",IF(ABS(P2738)&gt;0.005,"DIVERGÊNCIA",IF(COUNTIF(RATEIOS!$A$2:$A$3142,$A2738)-COUNTIFS(RATEIOS!$A$2:$A$3142,$A2738,RATEIOS!$D$2:$D$3142,"&lt;&gt;")&gt;0,"NÃO CLASSIFICADO","RATEIO OK"))))</f>
        <v/>
      </c>
      <c r="R2738" s="49"/>
      <c r="S2738" s="14"/>
    </row>
    <row r="2739" spans="1:19" ht="30" customHeight="1" x14ac:dyDescent="0.25">
      <c r="A2739" s="49" t="str">
        <f>IF(C2739="","","BAN-02738")</f>
        <v/>
      </c>
      <c r="B2739" s="98" t="str">
        <f>IF(C2739="","",2738)</f>
        <v/>
      </c>
      <c r="C2739" s="50"/>
      <c r="D2739" s="49" t="str">
        <f t="shared" si="85"/>
        <v/>
      </c>
      <c r="E2739" s="92"/>
      <c r="F2739" s="49"/>
      <c r="G2739" s="14"/>
      <c r="H2739" s="14"/>
      <c r="I2739" s="76"/>
      <c r="J2739" s="73"/>
      <c r="K2739" s="74"/>
      <c r="L2739" s="72"/>
      <c r="M2739" s="72"/>
      <c r="N2739" s="72" t="str">
        <f>IF(AND(C2739="",J2739=0,K2739=0,L2739=0,M2739=0),"",CADASTROS!$B$4+SUM($J$2:J2739)+SUM($M$2:M2739)-SUM($K$2:K2739)-SUM($L$2:L2739))</f>
        <v/>
      </c>
      <c r="O2739" s="72" t="str">
        <f>IF(A2739="","",SUMIF(RATEIOS!$A$2:$A$3142,$A2739,RATEIOS!$F$2:$F$3142))</f>
        <v/>
      </c>
      <c r="P2739" s="15" t="str">
        <f t="shared" si="86"/>
        <v/>
      </c>
      <c r="Q2739" s="49" t="str">
        <f>IF(AND(J2739=0,K2739=0,L2739=0,M2739=0),"",IF(O2739=0,"PENDENTE DE RATEIO",IF(ABS(P2739)&gt;0.005,"DIVERGÊNCIA",IF(COUNTIF(RATEIOS!$A$2:$A$3142,$A2739)-COUNTIFS(RATEIOS!$A$2:$A$3142,$A2739,RATEIOS!$D$2:$D$3142,"&lt;&gt;")&gt;0,"NÃO CLASSIFICADO","RATEIO OK"))))</f>
        <v/>
      </c>
      <c r="R2739" s="49"/>
      <c r="S2739" s="14"/>
    </row>
    <row r="2740" spans="1:19" ht="30" customHeight="1" x14ac:dyDescent="0.25">
      <c r="A2740" s="49" t="str">
        <f>IF(C2740="","","BAN-02739")</f>
        <v/>
      </c>
      <c r="B2740" s="98" t="str">
        <f>IF(C2740="","",2739)</f>
        <v/>
      </c>
      <c r="C2740" s="50"/>
      <c r="D2740" s="49" t="str">
        <f t="shared" si="85"/>
        <v/>
      </c>
      <c r="E2740" s="92"/>
      <c r="F2740" s="49"/>
      <c r="G2740" s="14"/>
      <c r="H2740" s="14"/>
      <c r="I2740" s="76"/>
      <c r="J2740" s="73"/>
      <c r="K2740" s="74"/>
      <c r="L2740" s="72"/>
      <c r="M2740" s="72"/>
      <c r="N2740" s="72" t="str">
        <f>IF(AND(C2740="",J2740=0,K2740=0,L2740=0,M2740=0),"",CADASTROS!$B$4+SUM($J$2:J2740)+SUM($M$2:M2740)-SUM($K$2:K2740)-SUM($L$2:L2740))</f>
        <v/>
      </c>
      <c r="O2740" s="72" t="str">
        <f>IF(A2740="","",SUMIF(RATEIOS!$A$2:$A$3142,$A2740,RATEIOS!$F$2:$F$3142))</f>
        <v/>
      </c>
      <c r="P2740" s="15" t="str">
        <f t="shared" si="86"/>
        <v/>
      </c>
      <c r="Q2740" s="49" t="str">
        <f>IF(AND(J2740=0,K2740=0,L2740=0,M2740=0),"",IF(O2740=0,"PENDENTE DE RATEIO",IF(ABS(P2740)&gt;0.005,"DIVERGÊNCIA",IF(COUNTIF(RATEIOS!$A$2:$A$3142,$A2740)-COUNTIFS(RATEIOS!$A$2:$A$3142,$A2740,RATEIOS!$D$2:$D$3142,"&lt;&gt;")&gt;0,"NÃO CLASSIFICADO","RATEIO OK"))))</f>
        <v/>
      </c>
      <c r="R2740" s="49"/>
      <c r="S2740" s="14"/>
    </row>
    <row r="2741" spans="1:19" ht="30" customHeight="1" x14ac:dyDescent="0.25">
      <c r="A2741" s="49" t="str">
        <f>IF(C2741="","","BAN-02740")</f>
        <v/>
      </c>
      <c r="B2741" s="98" t="str">
        <f>IF(C2741="","",2740)</f>
        <v/>
      </c>
      <c r="C2741" s="50"/>
      <c r="D2741" s="49" t="str">
        <f t="shared" si="85"/>
        <v/>
      </c>
      <c r="E2741" s="92"/>
      <c r="F2741" s="49"/>
      <c r="G2741" s="14"/>
      <c r="H2741" s="14"/>
      <c r="I2741" s="76"/>
      <c r="J2741" s="73"/>
      <c r="K2741" s="74"/>
      <c r="L2741" s="72"/>
      <c r="M2741" s="72"/>
      <c r="N2741" s="72" t="str">
        <f>IF(AND(C2741="",J2741=0,K2741=0,L2741=0,M2741=0),"",CADASTROS!$B$4+SUM($J$2:J2741)+SUM($M$2:M2741)-SUM($K$2:K2741)-SUM($L$2:L2741))</f>
        <v/>
      </c>
      <c r="O2741" s="72" t="str">
        <f>IF(A2741="","",SUMIF(RATEIOS!$A$2:$A$3142,$A2741,RATEIOS!$F$2:$F$3142))</f>
        <v/>
      </c>
      <c r="P2741" s="15" t="str">
        <f t="shared" si="86"/>
        <v/>
      </c>
      <c r="Q2741" s="49" t="str">
        <f>IF(AND(J2741=0,K2741=0,L2741=0,M2741=0),"",IF(O2741=0,"PENDENTE DE RATEIO",IF(ABS(P2741)&gt;0.005,"DIVERGÊNCIA",IF(COUNTIF(RATEIOS!$A$2:$A$3142,$A2741)-COUNTIFS(RATEIOS!$A$2:$A$3142,$A2741,RATEIOS!$D$2:$D$3142,"&lt;&gt;")&gt;0,"NÃO CLASSIFICADO","RATEIO OK"))))</f>
        <v/>
      </c>
      <c r="R2741" s="49"/>
      <c r="S2741" s="14"/>
    </row>
    <row r="2742" spans="1:19" ht="30" customHeight="1" x14ac:dyDescent="0.25">
      <c r="A2742" s="49" t="str">
        <f>IF(C2742="","","BAN-02741")</f>
        <v/>
      </c>
      <c r="B2742" s="98" t="str">
        <f>IF(C2742="","",2741)</f>
        <v/>
      </c>
      <c r="C2742" s="50"/>
      <c r="D2742" s="49" t="str">
        <f t="shared" si="85"/>
        <v/>
      </c>
      <c r="E2742" s="92"/>
      <c r="F2742" s="49"/>
      <c r="G2742" s="14"/>
      <c r="H2742" s="14"/>
      <c r="I2742" s="76"/>
      <c r="J2742" s="73"/>
      <c r="K2742" s="74"/>
      <c r="L2742" s="72"/>
      <c r="M2742" s="72"/>
      <c r="N2742" s="72" t="str">
        <f>IF(AND(C2742="",J2742=0,K2742=0,L2742=0,M2742=0),"",CADASTROS!$B$4+SUM($J$2:J2742)+SUM($M$2:M2742)-SUM($K$2:K2742)-SUM($L$2:L2742))</f>
        <v/>
      </c>
      <c r="O2742" s="72" t="str">
        <f>IF(A2742="","",SUMIF(RATEIOS!$A$2:$A$3142,$A2742,RATEIOS!$F$2:$F$3142))</f>
        <v/>
      </c>
      <c r="P2742" s="15" t="str">
        <f t="shared" si="86"/>
        <v/>
      </c>
      <c r="Q2742" s="49" t="str">
        <f>IF(AND(J2742=0,K2742=0,L2742=0,M2742=0),"",IF(O2742=0,"PENDENTE DE RATEIO",IF(ABS(P2742)&gt;0.005,"DIVERGÊNCIA",IF(COUNTIF(RATEIOS!$A$2:$A$3142,$A2742)-COUNTIFS(RATEIOS!$A$2:$A$3142,$A2742,RATEIOS!$D$2:$D$3142,"&lt;&gt;")&gt;0,"NÃO CLASSIFICADO","RATEIO OK"))))</f>
        <v/>
      </c>
      <c r="R2742" s="49"/>
      <c r="S2742" s="14"/>
    </row>
    <row r="2743" spans="1:19" ht="30" customHeight="1" x14ac:dyDescent="0.25">
      <c r="A2743" s="49" t="str">
        <f>IF(C2743="","","BAN-02742")</f>
        <v/>
      </c>
      <c r="B2743" s="98" t="str">
        <f>IF(C2743="","",2742)</f>
        <v/>
      </c>
      <c r="C2743" s="50"/>
      <c r="D2743" s="49" t="str">
        <f t="shared" si="85"/>
        <v/>
      </c>
      <c r="E2743" s="92"/>
      <c r="F2743" s="49"/>
      <c r="G2743" s="14"/>
      <c r="H2743" s="14"/>
      <c r="I2743" s="76"/>
      <c r="J2743" s="73"/>
      <c r="K2743" s="74"/>
      <c r="L2743" s="72"/>
      <c r="M2743" s="72"/>
      <c r="N2743" s="72" t="str">
        <f>IF(AND(C2743="",J2743=0,K2743=0,L2743=0,M2743=0),"",CADASTROS!$B$4+SUM($J$2:J2743)+SUM($M$2:M2743)-SUM($K$2:K2743)-SUM($L$2:L2743))</f>
        <v/>
      </c>
      <c r="O2743" s="72" t="str">
        <f>IF(A2743="","",SUMIF(RATEIOS!$A$2:$A$3142,$A2743,RATEIOS!$F$2:$F$3142))</f>
        <v/>
      </c>
      <c r="P2743" s="15" t="str">
        <f t="shared" si="86"/>
        <v/>
      </c>
      <c r="Q2743" s="49" t="str">
        <f>IF(AND(J2743=0,K2743=0,L2743=0,M2743=0),"",IF(O2743=0,"PENDENTE DE RATEIO",IF(ABS(P2743)&gt;0.005,"DIVERGÊNCIA",IF(COUNTIF(RATEIOS!$A$2:$A$3142,$A2743)-COUNTIFS(RATEIOS!$A$2:$A$3142,$A2743,RATEIOS!$D$2:$D$3142,"&lt;&gt;")&gt;0,"NÃO CLASSIFICADO","RATEIO OK"))))</f>
        <v/>
      </c>
      <c r="R2743" s="49"/>
      <c r="S2743" s="14"/>
    </row>
    <row r="2744" spans="1:19" ht="30" customHeight="1" x14ac:dyDescent="0.25">
      <c r="A2744" s="49" t="str">
        <f>IF(C2744="","","BAN-02743")</f>
        <v/>
      </c>
      <c r="B2744" s="98" t="str">
        <f>IF(C2744="","",2743)</f>
        <v/>
      </c>
      <c r="C2744" s="50"/>
      <c r="D2744" s="49" t="str">
        <f t="shared" si="85"/>
        <v/>
      </c>
      <c r="E2744" s="92"/>
      <c r="F2744" s="49"/>
      <c r="G2744" s="14"/>
      <c r="H2744" s="14"/>
      <c r="I2744" s="76"/>
      <c r="J2744" s="73"/>
      <c r="K2744" s="74"/>
      <c r="L2744" s="72"/>
      <c r="M2744" s="72"/>
      <c r="N2744" s="72" t="str">
        <f>IF(AND(C2744="",J2744=0,K2744=0,L2744=0,M2744=0),"",CADASTROS!$B$4+SUM($J$2:J2744)+SUM($M$2:M2744)-SUM($K$2:K2744)-SUM($L$2:L2744))</f>
        <v/>
      </c>
      <c r="O2744" s="72" t="str">
        <f>IF(A2744="","",SUMIF(RATEIOS!$A$2:$A$3142,$A2744,RATEIOS!$F$2:$F$3142))</f>
        <v/>
      </c>
      <c r="P2744" s="15" t="str">
        <f t="shared" si="86"/>
        <v/>
      </c>
      <c r="Q2744" s="49" t="str">
        <f>IF(AND(J2744=0,K2744=0,L2744=0,M2744=0),"",IF(O2744=0,"PENDENTE DE RATEIO",IF(ABS(P2744)&gt;0.005,"DIVERGÊNCIA",IF(COUNTIF(RATEIOS!$A$2:$A$3142,$A2744)-COUNTIFS(RATEIOS!$A$2:$A$3142,$A2744,RATEIOS!$D$2:$D$3142,"&lt;&gt;")&gt;0,"NÃO CLASSIFICADO","RATEIO OK"))))</f>
        <v/>
      </c>
      <c r="R2744" s="49"/>
      <c r="S2744" s="14"/>
    </row>
    <row r="2745" spans="1:19" ht="30" customHeight="1" x14ac:dyDescent="0.25">
      <c r="A2745" s="49" t="str">
        <f>IF(C2745="","","BAN-02744")</f>
        <v/>
      </c>
      <c r="B2745" s="98" t="str">
        <f>IF(C2745="","",2744)</f>
        <v/>
      </c>
      <c r="C2745" s="50"/>
      <c r="D2745" s="49" t="str">
        <f t="shared" si="85"/>
        <v/>
      </c>
      <c r="E2745" s="92"/>
      <c r="F2745" s="49"/>
      <c r="G2745" s="14"/>
      <c r="H2745" s="14"/>
      <c r="I2745" s="76"/>
      <c r="J2745" s="73"/>
      <c r="K2745" s="74"/>
      <c r="L2745" s="72"/>
      <c r="M2745" s="72"/>
      <c r="N2745" s="72" t="str">
        <f>IF(AND(C2745="",J2745=0,K2745=0,L2745=0,M2745=0),"",CADASTROS!$B$4+SUM($J$2:J2745)+SUM($M$2:M2745)-SUM($K$2:K2745)-SUM($L$2:L2745))</f>
        <v/>
      </c>
      <c r="O2745" s="72" t="str">
        <f>IF(A2745="","",SUMIF(RATEIOS!$A$2:$A$3142,$A2745,RATEIOS!$F$2:$F$3142))</f>
        <v/>
      </c>
      <c r="P2745" s="15" t="str">
        <f t="shared" si="86"/>
        <v/>
      </c>
      <c r="Q2745" s="49" t="str">
        <f>IF(AND(J2745=0,K2745=0,L2745=0,M2745=0),"",IF(O2745=0,"PENDENTE DE RATEIO",IF(ABS(P2745)&gt;0.005,"DIVERGÊNCIA",IF(COUNTIF(RATEIOS!$A$2:$A$3142,$A2745)-COUNTIFS(RATEIOS!$A$2:$A$3142,$A2745,RATEIOS!$D$2:$D$3142,"&lt;&gt;")&gt;0,"NÃO CLASSIFICADO","RATEIO OK"))))</f>
        <v/>
      </c>
      <c r="R2745" s="49"/>
      <c r="S2745" s="14"/>
    </row>
    <row r="2746" spans="1:19" ht="30" customHeight="1" x14ac:dyDescent="0.25">
      <c r="A2746" s="49" t="str">
        <f>IF(C2746="","","BAN-02745")</f>
        <v/>
      </c>
      <c r="B2746" s="98" t="str">
        <f>IF(C2746="","",2745)</f>
        <v/>
      </c>
      <c r="C2746" s="50"/>
      <c r="D2746" s="49" t="str">
        <f t="shared" si="85"/>
        <v/>
      </c>
      <c r="E2746" s="92"/>
      <c r="F2746" s="49"/>
      <c r="G2746" s="14"/>
      <c r="H2746" s="14"/>
      <c r="I2746" s="76"/>
      <c r="J2746" s="73"/>
      <c r="K2746" s="74"/>
      <c r="L2746" s="72"/>
      <c r="M2746" s="72"/>
      <c r="N2746" s="72" t="str">
        <f>IF(AND(C2746="",J2746=0,K2746=0,L2746=0,M2746=0),"",CADASTROS!$B$4+SUM($J$2:J2746)+SUM($M$2:M2746)-SUM($K$2:K2746)-SUM($L$2:L2746))</f>
        <v/>
      </c>
      <c r="O2746" s="72" t="str">
        <f>IF(A2746="","",SUMIF(RATEIOS!$A$2:$A$3142,$A2746,RATEIOS!$F$2:$F$3142))</f>
        <v/>
      </c>
      <c r="P2746" s="15" t="str">
        <f t="shared" si="86"/>
        <v/>
      </c>
      <c r="Q2746" s="49" t="str">
        <f>IF(AND(J2746=0,K2746=0,L2746=0,M2746=0),"",IF(O2746=0,"PENDENTE DE RATEIO",IF(ABS(P2746)&gt;0.005,"DIVERGÊNCIA",IF(COUNTIF(RATEIOS!$A$2:$A$3142,$A2746)-COUNTIFS(RATEIOS!$A$2:$A$3142,$A2746,RATEIOS!$D$2:$D$3142,"&lt;&gt;")&gt;0,"NÃO CLASSIFICADO","RATEIO OK"))))</f>
        <v/>
      </c>
      <c r="R2746" s="49"/>
      <c r="S2746" s="14"/>
    </row>
    <row r="2747" spans="1:19" ht="30" customHeight="1" x14ac:dyDescent="0.25">
      <c r="A2747" s="49" t="str">
        <f>IF(C2747="","","BAN-02746")</f>
        <v/>
      </c>
      <c r="B2747" s="98" t="str">
        <f>IF(C2747="","",2746)</f>
        <v/>
      </c>
      <c r="C2747" s="50"/>
      <c r="D2747" s="49" t="str">
        <f t="shared" si="85"/>
        <v/>
      </c>
      <c r="E2747" s="92"/>
      <c r="F2747" s="49"/>
      <c r="G2747" s="14"/>
      <c r="H2747" s="14"/>
      <c r="I2747" s="76"/>
      <c r="J2747" s="73"/>
      <c r="K2747" s="74"/>
      <c r="L2747" s="72"/>
      <c r="M2747" s="72"/>
      <c r="N2747" s="72" t="str">
        <f>IF(AND(C2747="",J2747=0,K2747=0,L2747=0,M2747=0),"",CADASTROS!$B$4+SUM($J$2:J2747)+SUM($M$2:M2747)-SUM($K$2:K2747)-SUM($L$2:L2747))</f>
        <v/>
      </c>
      <c r="O2747" s="72" t="str">
        <f>IF(A2747="","",SUMIF(RATEIOS!$A$2:$A$3142,$A2747,RATEIOS!$F$2:$F$3142))</f>
        <v/>
      </c>
      <c r="P2747" s="15" t="str">
        <f t="shared" si="86"/>
        <v/>
      </c>
      <c r="Q2747" s="49" t="str">
        <f>IF(AND(J2747=0,K2747=0,L2747=0,M2747=0),"",IF(O2747=0,"PENDENTE DE RATEIO",IF(ABS(P2747)&gt;0.005,"DIVERGÊNCIA",IF(COUNTIF(RATEIOS!$A$2:$A$3142,$A2747)-COUNTIFS(RATEIOS!$A$2:$A$3142,$A2747,RATEIOS!$D$2:$D$3142,"&lt;&gt;")&gt;0,"NÃO CLASSIFICADO","RATEIO OK"))))</f>
        <v/>
      </c>
      <c r="R2747" s="49"/>
      <c r="S2747" s="14"/>
    </row>
    <row r="2748" spans="1:19" ht="30" customHeight="1" x14ac:dyDescent="0.25">
      <c r="A2748" s="49" t="str">
        <f>IF(C2748="","","BAN-02747")</f>
        <v/>
      </c>
      <c r="B2748" s="98" t="str">
        <f>IF(C2748="","",2747)</f>
        <v/>
      </c>
      <c r="C2748" s="50"/>
      <c r="D2748" s="49" t="str">
        <f t="shared" si="85"/>
        <v/>
      </c>
      <c r="E2748" s="92"/>
      <c r="F2748" s="49"/>
      <c r="G2748" s="14"/>
      <c r="H2748" s="14"/>
      <c r="I2748" s="76"/>
      <c r="J2748" s="73"/>
      <c r="K2748" s="74"/>
      <c r="L2748" s="72"/>
      <c r="M2748" s="72"/>
      <c r="N2748" s="72" t="str">
        <f>IF(AND(C2748="",J2748=0,K2748=0,L2748=0,M2748=0),"",CADASTROS!$B$4+SUM($J$2:J2748)+SUM($M$2:M2748)-SUM($K$2:K2748)-SUM($L$2:L2748))</f>
        <v/>
      </c>
      <c r="O2748" s="72" t="str">
        <f>IF(A2748="","",SUMIF(RATEIOS!$A$2:$A$3142,$A2748,RATEIOS!$F$2:$F$3142))</f>
        <v/>
      </c>
      <c r="P2748" s="15" t="str">
        <f t="shared" si="86"/>
        <v/>
      </c>
      <c r="Q2748" s="49" t="str">
        <f>IF(AND(J2748=0,K2748=0,L2748=0,M2748=0),"",IF(O2748=0,"PENDENTE DE RATEIO",IF(ABS(P2748)&gt;0.005,"DIVERGÊNCIA",IF(COUNTIF(RATEIOS!$A$2:$A$3142,$A2748)-COUNTIFS(RATEIOS!$A$2:$A$3142,$A2748,RATEIOS!$D$2:$D$3142,"&lt;&gt;")&gt;0,"NÃO CLASSIFICADO","RATEIO OK"))))</f>
        <v/>
      </c>
      <c r="R2748" s="49"/>
      <c r="S2748" s="14"/>
    </row>
    <row r="2749" spans="1:19" ht="30" customHeight="1" x14ac:dyDescent="0.25">
      <c r="A2749" s="49" t="str">
        <f>IF(C2749="","","BAN-02748")</f>
        <v/>
      </c>
      <c r="B2749" s="98" t="str">
        <f>IF(C2749="","",2748)</f>
        <v/>
      </c>
      <c r="C2749" s="50"/>
      <c r="D2749" s="49" t="str">
        <f t="shared" si="85"/>
        <v/>
      </c>
      <c r="E2749" s="92"/>
      <c r="F2749" s="49"/>
      <c r="G2749" s="14"/>
      <c r="H2749" s="14"/>
      <c r="I2749" s="76"/>
      <c r="J2749" s="73"/>
      <c r="K2749" s="74"/>
      <c r="L2749" s="72"/>
      <c r="M2749" s="72"/>
      <c r="N2749" s="72" t="str">
        <f>IF(AND(C2749="",J2749=0,K2749=0,L2749=0,M2749=0),"",CADASTROS!$B$4+SUM($J$2:J2749)+SUM($M$2:M2749)-SUM($K$2:K2749)-SUM($L$2:L2749))</f>
        <v/>
      </c>
      <c r="O2749" s="72" t="str">
        <f>IF(A2749="","",SUMIF(RATEIOS!$A$2:$A$3142,$A2749,RATEIOS!$F$2:$F$3142))</f>
        <v/>
      </c>
      <c r="P2749" s="15" t="str">
        <f t="shared" si="86"/>
        <v/>
      </c>
      <c r="Q2749" s="49" t="str">
        <f>IF(AND(J2749=0,K2749=0,L2749=0,M2749=0),"",IF(O2749=0,"PENDENTE DE RATEIO",IF(ABS(P2749)&gt;0.005,"DIVERGÊNCIA",IF(COUNTIF(RATEIOS!$A$2:$A$3142,$A2749)-COUNTIFS(RATEIOS!$A$2:$A$3142,$A2749,RATEIOS!$D$2:$D$3142,"&lt;&gt;")&gt;0,"NÃO CLASSIFICADO","RATEIO OK"))))</f>
        <v/>
      </c>
      <c r="R2749" s="49"/>
      <c r="S2749" s="14"/>
    </row>
    <row r="2750" spans="1:19" ht="30" customHeight="1" x14ac:dyDescent="0.25">
      <c r="A2750" s="49" t="str">
        <f>IF(C2750="","","BAN-02749")</f>
        <v/>
      </c>
      <c r="B2750" s="98" t="str">
        <f>IF(C2750="","",2749)</f>
        <v/>
      </c>
      <c r="C2750" s="50"/>
      <c r="D2750" s="49" t="str">
        <f t="shared" si="85"/>
        <v/>
      </c>
      <c r="E2750" s="92"/>
      <c r="F2750" s="49"/>
      <c r="G2750" s="14"/>
      <c r="H2750" s="14"/>
      <c r="I2750" s="76"/>
      <c r="J2750" s="73"/>
      <c r="K2750" s="74"/>
      <c r="L2750" s="72"/>
      <c r="M2750" s="72"/>
      <c r="N2750" s="72" t="str">
        <f>IF(AND(C2750="",J2750=0,K2750=0,L2750=0,M2750=0),"",CADASTROS!$B$4+SUM($J$2:J2750)+SUM($M$2:M2750)-SUM($K$2:K2750)-SUM($L$2:L2750))</f>
        <v/>
      </c>
      <c r="O2750" s="72" t="str">
        <f>IF(A2750="","",SUMIF(RATEIOS!$A$2:$A$3142,$A2750,RATEIOS!$F$2:$F$3142))</f>
        <v/>
      </c>
      <c r="P2750" s="15" t="str">
        <f t="shared" si="86"/>
        <v/>
      </c>
      <c r="Q2750" s="49" t="str">
        <f>IF(AND(J2750=0,K2750=0,L2750=0,M2750=0),"",IF(O2750=0,"PENDENTE DE RATEIO",IF(ABS(P2750)&gt;0.005,"DIVERGÊNCIA",IF(COUNTIF(RATEIOS!$A$2:$A$3142,$A2750)-COUNTIFS(RATEIOS!$A$2:$A$3142,$A2750,RATEIOS!$D$2:$D$3142,"&lt;&gt;")&gt;0,"NÃO CLASSIFICADO","RATEIO OK"))))</f>
        <v/>
      </c>
      <c r="R2750" s="49"/>
      <c r="S2750" s="14"/>
    </row>
    <row r="2751" spans="1:19" ht="30" customHeight="1" x14ac:dyDescent="0.25">
      <c r="A2751" s="49" t="str">
        <f>IF(C2751="","","BAN-02750")</f>
        <v/>
      </c>
      <c r="B2751" s="98" t="str">
        <f>IF(C2751="","",2750)</f>
        <v/>
      </c>
      <c r="C2751" s="50"/>
      <c r="D2751" s="49" t="str">
        <f t="shared" si="85"/>
        <v/>
      </c>
      <c r="E2751" s="92"/>
      <c r="F2751" s="49"/>
      <c r="G2751" s="14"/>
      <c r="H2751" s="14"/>
      <c r="I2751" s="76"/>
      <c r="J2751" s="73"/>
      <c r="K2751" s="74"/>
      <c r="L2751" s="72"/>
      <c r="M2751" s="72"/>
      <c r="N2751" s="72" t="str">
        <f>IF(AND(C2751="",J2751=0,K2751=0,L2751=0,M2751=0),"",CADASTROS!$B$4+SUM($J$2:J2751)+SUM($M$2:M2751)-SUM($K$2:K2751)-SUM($L$2:L2751))</f>
        <v/>
      </c>
      <c r="O2751" s="72" t="str">
        <f>IF(A2751="","",SUMIF(RATEIOS!$A$2:$A$3142,$A2751,RATEIOS!$F$2:$F$3142))</f>
        <v/>
      </c>
      <c r="P2751" s="15" t="str">
        <f t="shared" si="86"/>
        <v/>
      </c>
      <c r="Q2751" s="49" t="str">
        <f>IF(AND(J2751=0,K2751=0,L2751=0,M2751=0),"",IF(O2751=0,"PENDENTE DE RATEIO",IF(ABS(P2751)&gt;0.005,"DIVERGÊNCIA",IF(COUNTIF(RATEIOS!$A$2:$A$3142,$A2751)-COUNTIFS(RATEIOS!$A$2:$A$3142,$A2751,RATEIOS!$D$2:$D$3142,"&lt;&gt;")&gt;0,"NÃO CLASSIFICADO","RATEIO OK"))))</f>
        <v/>
      </c>
      <c r="R2751" s="49"/>
      <c r="S2751" s="14"/>
    </row>
    <row r="2752" spans="1:19" ht="30" customHeight="1" x14ac:dyDescent="0.25">
      <c r="A2752" s="49" t="str">
        <f>IF(C2752="","","BAN-02751")</f>
        <v/>
      </c>
      <c r="B2752" s="98" t="str">
        <f>IF(C2752="","",2751)</f>
        <v/>
      </c>
      <c r="C2752" s="50"/>
      <c r="D2752" s="49" t="str">
        <f t="shared" si="85"/>
        <v/>
      </c>
      <c r="E2752" s="92"/>
      <c r="F2752" s="49"/>
      <c r="G2752" s="14"/>
      <c r="H2752" s="14"/>
      <c r="I2752" s="76"/>
      <c r="J2752" s="73"/>
      <c r="K2752" s="74"/>
      <c r="L2752" s="72"/>
      <c r="M2752" s="72"/>
      <c r="N2752" s="72" t="str">
        <f>IF(AND(C2752="",J2752=0,K2752=0,L2752=0,M2752=0),"",CADASTROS!$B$4+SUM($J$2:J2752)+SUM($M$2:M2752)-SUM($K$2:K2752)-SUM($L$2:L2752))</f>
        <v/>
      </c>
      <c r="O2752" s="72" t="str">
        <f>IF(A2752="","",SUMIF(RATEIOS!$A$2:$A$3142,$A2752,RATEIOS!$F$2:$F$3142))</f>
        <v/>
      </c>
      <c r="P2752" s="15" t="str">
        <f t="shared" si="86"/>
        <v/>
      </c>
      <c r="Q2752" s="49" t="str">
        <f>IF(AND(J2752=0,K2752=0,L2752=0,M2752=0),"",IF(O2752=0,"PENDENTE DE RATEIO",IF(ABS(P2752)&gt;0.005,"DIVERGÊNCIA",IF(COUNTIF(RATEIOS!$A$2:$A$3142,$A2752)-COUNTIFS(RATEIOS!$A$2:$A$3142,$A2752,RATEIOS!$D$2:$D$3142,"&lt;&gt;")&gt;0,"NÃO CLASSIFICADO","RATEIO OK"))))</f>
        <v/>
      </c>
      <c r="R2752" s="49"/>
      <c r="S2752" s="14"/>
    </row>
    <row r="2753" spans="1:19" ht="30" customHeight="1" x14ac:dyDescent="0.25">
      <c r="A2753" s="49" t="str">
        <f>IF(C2753="","","BAN-02752")</f>
        <v/>
      </c>
      <c r="B2753" s="98" t="str">
        <f>IF(C2753="","",2752)</f>
        <v/>
      </c>
      <c r="C2753" s="50"/>
      <c r="D2753" s="49" t="str">
        <f t="shared" si="85"/>
        <v/>
      </c>
      <c r="E2753" s="92"/>
      <c r="F2753" s="49"/>
      <c r="G2753" s="14"/>
      <c r="H2753" s="14"/>
      <c r="I2753" s="76"/>
      <c r="J2753" s="73"/>
      <c r="K2753" s="74"/>
      <c r="L2753" s="72"/>
      <c r="M2753" s="72"/>
      <c r="N2753" s="72" t="str">
        <f>IF(AND(C2753="",J2753=0,K2753=0,L2753=0,M2753=0),"",CADASTROS!$B$4+SUM($J$2:J2753)+SUM($M$2:M2753)-SUM($K$2:K2753)-SUM($L$2:L2753))</f>
        <v/>
      </c>
      <c r="O2753" s="72" t="str">
        <f>IF(A2753="","",SUMIF(RATEIOS!$A$2:$A$3142,$A2753,RATEIOS!$F$2:$F$3142))</f>
        <v/>
      </c>
      <c r="P2753" s="15" t="str">
        <f t="shared" si="86"/>
        <v/>
      </c>
      <c r="Q2753" s="49" t="str">
        <f>IF(AND(J2753=0,K2753=0,L2753=0,M2753=0),"",IF(O2753=0,"PENDENTE DE RATEIO",IF(ABS(P2753)&gt;0.005,"DIVERGÊNCIA",IF(COUNTIF(RATEIOS!$A$2:$A$3142,$A2753)-COUNTIFS(RATEIOS!$A$2:$A$3142,$A2753,RATEIOS!$D$2:$D$3142,"&lt;&gt;")&gt;0,"NÃO CLASSIFICADO","RATEIO OK"))))</f>
        <v/>
      </c>
      <c r="R2753" s="49"/>
      <c r="S2753" s="14"/>
    </row>
    <row r="2754" spans="1:19" ht="30" customHeight="1" x14ac:dyDescent="0.25">
      <c r="A2754" s="49" t="str">
        <f>IF(C2754="","","BAN-02753")</f>
        <v/>
      </c>
      <c r="B2754" s="98" t="str">
        <f>IF(C2754="","",2753)</f>
        <v/>
      </c>
      <c r="C2754" s="50"/>
      <c r="D2754" s="49" t="str">
        <f t="shared" ref="D2754:D2817" si="87">IF(C2754="","",MONTH(C2754))</f>
        <v/>
      </c>
      <c r="E2754" s="92"/>
      <c r="F2754" s="49"/>
      <c r="G2754" s="14"/>
      <c r="H2754" s="14"/>
      <c r="I2754" s="76"/>
      <c r="J2754" s="73"/>
      <c r="K2754" s="74"/>
      <c r="L2754" s="72"/>
      <c r="M2754" s="72"/>
      <c r="N2754" s="72" t="str">
        <f>IF(AND(C2754="",J2754=0,K2754=0,L2754=0,M2754=0),"",CADASTROS!$B$4+SUM($J$2:J2754)+SUM($M$2:M2754)-SUM($K$2:K2754)-SUM($L$2:L2754))</f>
        <v/>
      </c>
      <c r="O2754" s="72" t="str">
        <f>IF(A2754="","",SUMIF(RATEIOS!$A$2:$A$3142,$A2754,RATEIOS!$F$2:$F$3142))</f>
        <v/>
      </c>
      <c r="P2754" s="15" t="str">
        <f t="shared" ref="P2754:P2817" si="88">IF(A2754="","",(J2754+K2754+L2754+M2754)-O2754)</f>
        <v/>
      </c>
      <c r="Q2754" s="49" t="str">
        <f>IF(AND(J2754=0,K2754=0,L2754=0,M2754=0),"",IF(O2754=0,"PENDENTE DE RATEIO",IF(ABS(P2754)&gt;0.005,"DIVERGÊNCIA",IF(COUNTIF(RATEIOS!$A$2:$A$3142,$A2754)-COUNTIFS(RATEIOS!$A$2:$A$3142,$A2754,RATEIOS!$D$2:$D$3142,"&lt;&gt;")&gt;0,"NÃO CLASSIFICADO","RATEIO OK"))))</f>
        <v/>
      </c>
      <c r="R2754" s="49"/>
      <c r="S2754" s="14"/>
    </row>
    <row r="2755" spans="1:19" ht="30" customHeight="1" x14ac:dyDescent="0.25">
      <c r="A2755" s="49" t="str">
        <f>IF(C2755="","","BAN-02754")</f>
        <v/>
      </c>
      <c r="B2755" s="98" t="str">
        <f>IF(C2755="","",2754)</f>
        <v/>
      </c>
      <c r="C2755" s="50"/>
      <c r="D2755" s="49" t="str">
        <f t="shared" si="87"/>
        <v/>
      </c>
      <c r="E2755" s="92"/>
      <c r="F2755" s="49"/>
      <c r="G2755" s="14"/>
      <c r="H2755" s="14"/>
      <c r="I2755" s="76"/>
      <c r="J2755" s="73"/>
      <c r="K2755" s="74"/>
      <c r="L2755" s="72"/>
      <c r="M2755" s="72"/>
      <c r="N2755" s="72" t="str">
        <f>IF(AND(C2755="",J2755=0,K2755=0,L2755=0,M2755=0),"",CADASTROS!$B$4+SUM($J$2:J2755)+SUM($M$2:M2755)-SUM($K$2:K2755)-SUM($L$2:L2755))</f>
        <v/>
      </c>
      <c r="O2755" s="72" t="str">
        <f>IF(A2755="","",SUMIF(RATEIOS!$A$2:$A$3142,$A2755,RATEIOS!$F$2:$F$3142))</f>
        <v/>
      </c>
      <c r="P2755" s="15" t="str">
        <f t="shared" si="88"/>
        <v/>
      </c>
      <c r="Q2755" s="49" t="str">
        <f>IF(AND(J2755=0,K2755=0,L2755=0,M2755=0),"",IF(O2755=0,"PENDENTE DE RATEIO",IF(ABS(P2755)&gt;0.005,"DIVERGÊNCIA",IF(COUNTIF(RATEIOS!$A$2:$A$3142,$A2755)-COUNTIFS(RATEIOS!$A$2:$A$3142,$A2755,RATEIOS!$D$2:$D$3142,"&lt;&gt;")&gt;0,"NÃO CLASSIFICADO","RATEIO OK"))))</f>
        <v/>
      </c>
      <c r="R2755" s="49"/>
      <c r="S2755" s="14"/>
    </row>
    <row r="2756" spans="1:19" ht="30" customHeight="1" x14ac:dyDescent="0.25">
      <c r="A2756" s="49" t="str">
        <f>IF(C2756="","","BAN-02755")</f>
        <v/>
      </c>
      <c r="B2756" s="98" t="str">
        <f>IF(C2756="","",2755)</f>
        <v/>
      </c>
      <c r="C2756" s="50"/>
      <c r="D2756" s="49" t="str">
        <f t="shared" si="87"/>
        <v/>
      </c>
      <c r="E2756" s="92"/>
      <c r="F2756" s="49"/>
      <c r="G2756" s="14"/>
      <c r="H2756" s="14"/>
      <c r="I2756" s="76"/>
      <c r="J2756" s="73"/>
      <c r="K2756" s="74"/>
      <c r="L2756" s="72"/>
      <c r="M2756" s="72"/>
      <c r="N2756" s="72" t="str">
        <f>IF(AND(C2756="",J2756=0,K2756=0,L2756=0,M2756=0),"",CADASTROS!$B$4+SUM($J$2:J2756)+SUM($M$2:M2756)-SUM($K$2:K2756)-SUM($L$2:L2756))</f>
        <v/>
      </c>
      <c r="O2756" s="72" t="str">
        <f>IF(A2756="","",SUMIF(RATEIOS!$A$2:$A$3142,$A2756,RATEIOS!$F$2:$F$3142))</f>
        <v/>
      </c>
      <c r="P2756" s="15" t="str">
        <f t="shared" si="88"/>
        <v/>
      </c>
      <c r="Q2756" s="49" t="str">
        <f>IF(AND(J2756=0,K2756=0,L2756=0,M2756=0),"",IF(O2756=0,"PENDENTE DE RATEIO",IF(ABS(P2756)&gt;0.005,"DIVERGÊNCIA",IF(COUNTIF(RATEIOS!$A$2:$A$3142,$A2756)-COUNTIFS(RATEIOS!$A$2:$A$3142,$A2756,RATEIOS!$D$2:$D$3142,"&lt;&gt;")&gt;0,"NÃO CLASSIFICADO","RATEIO OK"))))</f>
        <v/>
      </c>
      <c r="R2756" s="49"/>
      <c r="S2756" s="14"/>
    </row>
    <row r="2757" spans="1:19" ht="30" customHeight="1" x14ac:dyDescent="0.25">
      <c r="A2757" s="49" t="str">
        <f>IF(C2757="","","BAN-02756")</f>
        <v/>
      </c>
      <c r="B2757" s="98" t="str">
        <f>IF(C2757="","",2756)</f>
        <v/>
      </c>
      <c r="C2757" s="50"/>
      <c r="D2757" s="49" t="str">
        <f t="shared" si="87"/>
        <v/>
      </c>
      <c r="E2757" s="92"/>
      <c r="F2757" s="49"/>
      <c r="G2757" s="14"/>
      <c r="H2757" s="14"/>
      <c r="I2757" s="76"/>
      <c r="J2757" s="73"/>
      <c r="K2757" s="74"/>
      <c r="L2757" s="72"/>
      <c r="M2757" s="72"/>
      <c r="N2757" s="72" t="str">
        <f>IF(AND(C2757="",J2757=0,K2757=0,L2757=0,M2757=0),"",CADASTROS!$B$4+SUM($J$2:J2757)+SUM($M$2:M2757)-SUM($K$2:K2757)-SUM($L$2:L2757))</f>
        <v/>
      </c>
      <c r="O2757" s="72" t="str">
        <f>IF(A2757="","",SUMIF(RATEIOS!$A$2:$A$3142,$A2757,RATEIOS!$F$2:$F$3142))</f>
        <v/>
      </c>
      <c r="P2757" s="15" t="str">
        <f t="shared" si="88"/>
        <v/>
      </c>
      <c r="Q2757" s="49" t="str">
        <f>IF(AND(J2757=0,K2757=0,L2757=0,M2757=0),"",IF(O2757=0,"PENDENTE DE RATEIO",IF(ABS(P2757)&gt;0.005,"DIVERGÊNCIA",IF(COUNTIF(RATEIOS!$A$2:$A$3142,$A2757)-COUNTIFS(RATEIOS!$A$2:$A$3142,$A2757,RATEIOS!$D$2:$D$3142,"&lt;&gt;")&gt;0,"NÃO CLASSIFICADO","RATEIO OK"))))</f>
        <v/>
      </c>
      <c r="R2757" s="49"/>
      <c r="S2757" s="14"/>
    </row>
    <row r="2758" spans="1:19" ht="30" customHeight="1" x14ac:dyDescent="0.25">
      <c r="A2758" s="49" t="str">
        <f>IF(C2758="","","BAN-02757")</f>
        <v/>
      </c>
      <c r="B2758" s="98" t="str">
        <f>IF(C2758="","",2757)</f>
        <v/>
      </c>
      <c r="C2758" s="50"/>
      <c r="D2758" s="49" t="str">
        <f t="shared" si="87"/>
        <v/>
      </c>
      <c r="E2758" s="92"/>
      <c r="F2758" s="49"/>
      <c r="G2758" s="14"/>
      <c r="H2758" s="14"/>
      <c r="I2758" s="76"/>
      <c r="J2758" s="73"/>
      <c r="K2758" s="74"/>
      <c r="L2758" s="72"/>
      <c r="M2758" s="72"/>
      <c r="N2758" s="72" t="str">
        <f>IF(AND(C2758="",J2758=0,K2758=0,L2758=0,M2758=0),"",CADASTROS!$B$4+SUM($J$2:J2758)+SUM($M$2:M2758)-SUM($K$2:K2758)-SUM($L$2:L2758))</f>
        <v/>
      </c>
      <c r="O2758" s="72" t="str">
        <f>IF(A2758="","",SUMIF(RATEIOS!$A$2:$A$3142,$A2758,RATEIOS!$F$2:$F$3142))</f>
        <v/>
      </c>
      <c r="P2758" s="15" t="str">
        <f t="shared" si="88"/>
        <v/>
      </c>
      <c r="Q2758" s="49" t="str">
        <f>IF(AND(J2758=0,K2758=0,L2758=0,M2758=0),"",IF(O2758=0,"PENDENTE DE RATEIO",IF(ABS(P2758)&gt;0.005,"DIVERGÊNCIA",IF(COUNTIF(RATEIOS!$A$2:$A$3142,$A2758)-COUNTIFS(RATEIOS!$A$2:$A$3142,$A2758,RATEIOS!$D$2:$D$3142,"&lt;&gt;")&gt;0,"NÃO CLASSIFICADO","RATEIO OK"))))</f>
        <v/>
      </c>
      <c r="R2758" s="49"/>
      <c r="S2758" s="14"/>
    </row>
    <row r="2759" spans="1:19" ht="30" customHeight="1" x14ac:dyDescent="0.25">
      <c r="A2759" s="49" t="str">
        <f>IF(C2759="","","BAN-02758")</f>
        <v/>
      </c>
      <c r="B2759" s="98" t="str">
        <f>IF(C2759="","",2758)</f>
        <v/>
      </c>
      <c r="C2759" s="50"/>
      <c r="D2759" s="49" t="str">
        <f t="shared" si="87"/>
        <v/>
      </c>
      <c r="E2759" s="92"/>
      <c r="F2759" s="49"/>
      <c r="G2759" s="14"/>
      <c r="H2759" s="14"/>
      <c r="I2759" s="76"/>
      <c r="J2759" s="73"/>
      <c r="K2759" s="74"/>
      <c r="L2759" s="72"/>
      <c r="M2759" s="72"/>
      <c r="N2759" s="72" t="str">
        <f>IF(AND(C2759="",J2759=0,K2759=0,L2759=0,M2759=0),"",CADASTROS!$B$4+SUM($J$2:J2759)+SUM($M$2:M2759)-SUM($K$2:K2759)-SUM($L$2:L2759))</f>
        <v/>
      </c>
      <c r="O2759" s="72" t="str">
        <f>IF(A2759="","",SUMIF(RATEIOS!$A$2:$A$3142,$A2759,RATEIOS!$F$2:$F$3142))</f>
        <v/>
      </c>
      <c r="P2759" s="15" t="str">
        <f t="shared" si="88"/>
        <v/>
      </c>
      <c r="Q2759" s="49" t="str">
        <f>IF(AND(J2759=0,K2759=0,L2759=0,M2759=0),"",IF(O2759=0,"PENDENTE DE RATEIO",IF(ABS(P2759)&gt;0.005,"DIVERGÊNCIA",IF(COUNTIF(RATEIOS!$A$2:$A$3142,$A2759)-COUNTIFS(RATEIOS!$A$2:$A$3142,$A2759,RATEIOS!$D$2:$D$3142,"&lt;&gt;")&gt;0,"NÃO CLASSIFICADO","RATEIO OK"))))</f>
        <v/>
      </c>
      <c r="R2759" s="49"/>
      <c r="S2759" s="14"/>
    </row>
    <row r="2760" spans="1:19" ht="30" customHeight="1" x14ac:dyDescent="0.25">
      <c r="A2760" s="49" t="str">
        <f>IF(C2760="","","BAN-02759")</f>
        <v/>
      </c>
      <c r="B2760" s="98" t="str">
        <f>IF(C2760="","",2759)</f>
        <v/>
      </c>
      <c r="C2760" s="50"/>
      <c r="D2760" s="49" t="str">
        <f t="shared" si="87"/>
        <v/>
      </c>
      <c r="E2760" s="92"/>
      <c r="F2760" s="49"/>
      <c r="G2760" s="14"/>
      <c r="H2760" s="14"/>
      <c r="I2760" s="76"/>
      <c r="J2760" s="73"/>
      <c r="K2760" s="74"/>
      <c r="L2760" s="72"/>
      <c r="M2760" s="72"/>
      <c r="N2760" s="72" t="str">
        <f>IF(AND(C2760="",J2760=0,K2760=0,L2760=0,M2760=0),"",CADASTROS!$B$4+SUM($J$2:J2760)+SUM($M$2:M2760)-SUM($K$2:K2760)-SUM($L$2:L2760))</f>
        <v/>
      </c>
      <c r="O2760" s="72" t="str">
        <f>IF(A2760="","",SUMIF(RATEIOS!$A$2:$A$3142,$A2760,RATEIOS!$F$2:$F$3142))</f>
        <v/>
      </c>
      <c r="P2760" s="15" t="str">
        <f t="shared" si="88"/>
        <v/>
      </c>
      <c r="Q2760" s="49" t="str">
        <f>IF(AND(J2760=0,K2760=0,L2760=0,M2760=0),"",IF(O2760=0,"PENDENTE DE RATEIO",IF(ABS(P2760)&gt;0.005,"DIVERGÊNCIA",IF(COUNTIF(RATEIOS!$A$2:$A$3142,$A2760)-COUNTIFS(RATEIOS!$A$2:$A$3142,$A2760,RATEIOS!$D$2:$D$3142,"&lt;&gt;")&gt;0,"NÃO CLASSIFICADO","RATEIO OK"))))</f>
        <v/>
      </c>
      <c r="R2760" s="49"/>
      <c r="S2760" s="14"/>
    </row>
    <row r="2761" spans="1:19" ht="30" customHeight="1" x14ac:dyDescent="0.25">
      <c r="A2761" s="49" t="str">
        <f>IF(C2761="","","BAN-02760")</f>
        <v/>
      </c>
      <c r="B2761" s="98" t="str">
        <f>IF(C2761="","",2760)</f>
        <v/>
      </c>
      <c r="C2761" s="50"/>
      <c r="D2761" s="49" t="str">
        <f t="shared" si="87"/>
        <v/>
      </c>
      <c r="E2761" s="92"/>
      <c r="F2761" s="49"/>
      <c r="G2761" s="14"/>
      <c r="H2761" s="14"/>
      <c r="I2761" s="76"/>
      <c r="J2761" s="73"/>
      <c r="K2761" s="74"/>
      <c r="L2761" s="72"/>
      <c r="M2761" s="72"/>
      <c r="N2761" s="72" t="str">
        <f>IF(AND(C2761="",J2761=0,K2761=0,L2761=0,M2761=0),"",CADASTROS!$B$4+SUM($J$2:J2761)+SUM($M$2:M2761)-SUM($K$2:K2761)-SUM($L$2:L2761))</f>
        <v/>
      </c>
      <c r="O2761" s="72" t="str">
        <f>IF(A2761="","",SUMIF(RATEIOS!$A$2:$A$3142,$A2761,RATEIOS!$F$2:$F$3142))</f>
        <v/>
      </c>
      <c r="P2761" s="15" t="str">
        <f t="shared" si="88"/>
        <v/>
      </c>
      <c r="Q2761" s="49" t="str">
        <f>IF(AND(J2761=0,K2761=0,L2761=0,M2761=0),"",IF(O2761=0,"PENDENTE DE RATEIO",IF(ABS(P2761)&gt;0.005,"DIVERGÊNCIA",IF(COUNTIF(RATEIOS!$A$2:$A$3142,$A2761)-COUNTIFS(RATEIOS!$A$2:$A$3142,$A2761,RATEIOS!$D$2:$D$3142,"&lt;&gt;")&gt;0,"NÃO CLASSIFICADO","RATEIO OK"))))</f>
        <v/>
      </c>
      <c r="R2761" s="49"/>
      <c r="S2761" s="14"/>
    </row>
    <row r="2762" spans="1:19" ht="30" customHeight="1" x14ac:dyDescent="0.25">
      <c r="A2762" s="49" t="str">
        <f>IF(C2762="","","BAN-02761")</f>
        <v/>
      </c>
      <c r="B2762" s="98" t="str">
        <f>IF(C2762="","",2761)</f>
        <v/>
      </c>
      <c r="C2762" s="50"/>
      <c r="D2762" s="49" t="str">
        <f t="shared" si="87"/>
        <v/>
      </c>
      <c r="E2762" s="92"/>
      <c r="F2762" s="49"/>
      <c r="G2762" s="14"/>
      <c r="H2762" s="14"/>
      <c r="I2762" s="76"/>
      <c r="J2762" s="73"/>
      <c r="K2762" s="74"/>
      <c r="L2762" s="72"/>
      <c r="M2762" s="72"/>
      <c r="N2762" s="72" t="str">
        <f>IF(AND(C2762="",J2762=0,K2762=0,L2762=0,M2762=0),"",CADASTROS!$B$4+SUM($J$2:J2762)+SUM($M$2:M2762)-SUM($K$2:K2762)-SUM($L$2:L2762))</f>
        <v/>
      </c>
      <c r="O2762" s="72" t="str">
        <f>IF(A2762="","",SUMIF(RATEIOS!$A$2:$A$3142,$A2762,RATEIOS!$F$2:$F$3142))</f>
        <v/>
      </c>
      <c r="P2762" s="15" t="str">
        <f t="shared" si="88"/>
        <v/>
      </c>
      <c r="Q2762" s="49" t="str">
        <f>IF(AND(J2762=0,K2762=0,L2762=0,M2762=0),"",IF(O2762=0,"PENDENTE DE RATEIO",IF(ABS(P2762)&gt;0.005,"DIVERGÊNCIA",IF(COUNTIF(RATEIOS!$A$2:$A$3142,$A2762)-COUNTIFS(RATEIOS!$A$2:$A$3142,$A2762,RATEIOS!$D$2:$D$3142,"&lt;&gt;")&gt;0,"NÃO CLASSIFICADO","RATEIO OK"))))</f>
        <v/>
      </c>
      <c r="R2762" s="49"/>
      <c r="S2762" s="14"/>
    </row>
    <row r="2763" spans="1:19" ht="30" customHeight="1" x14ac:dyDescent="0.25">
      <c r="A2763" s="49" t="str">
        <f>IF(C2763="","","BAN-02762")</f>
        <v/>
      </c>
      <c r="B2763" s="98" t="str">
        <f>IF(C2763="","",2762)</f>
        <v/>
      </c>
      <c r="C2763" s="50"/>
      <c r="D2763" s="49" t="str">
        <f t="shared" si="87"/>
        <v/>
      </c>
      <c r="E2763" s="92"/>
      <c r="F2763" s="49"/>
      <c r="G2763" s="14"/>
      <c r="H2763" s="14"/>
      <c r="I2763" s="76"/>
      <c r="J2763" s="73"/>
      <c r="K2763" s="74"/>
      <c r="L2763" s="72"/>
      <c r="M2763" s="72"/>
      <c r="N2763" s="72" t="str">
        <f>IF(AND(C2763="",J2763=0,K2763=0,L2763=0,M2763=0),"",CADASTROS!$B$4+SUM($J$2:J2763)+SUM($M$2:M2763)-SUM($K$2:K2763)-SUM($L$2:L2763))</f>
        <v/>
      </c>
      <c r="O2763" s="72" t="str">
        <f>IF(A2763="","",SUMIF(RATEIOS!$A$2:$A$3142,$A2763,RATEIOS!$F$2:$F$3142))</f>
        <v/>
      </c>
      <c r="P2763" s="15" t="str">
        <f t="shared" si="88"/>
        <v/>
      </c>
      <c r="Q2763" s="49" t="str">
        <f>IF(AND(J2763=0,K2763=0,L2763=0,M2763=0),"",IF(O2763=0,"PENDENTE DE RATEIO",IF(ABS(P2763)&gt;0.005,"DIVERGÊNCIA",IF(COUNTIF(RATEIOS!$A$2:$A$3142,$A2763)-COUNTIFS(RATEIOS!$A$2:$A$3142,$A2763,RATEIOS!$D$2:$D$3142,"&lt;&gt;")&gt;0,"NÃO CLASSIFICADO","RATEIO OK"))))</f>
        <v/>
      </c>
      <c r="R2763" s="49"/>
      <c r="S2763" s="14"/>
    </row>
    <row r="2764" spans="1:19" ht="30" customHeight="1" x14ac:dyDescent="0.25">
      <c r="A2764" s="49" t="str">
        <f>IF(C2764="","","BAN-02763")</f>
        <v/>
      </c>
      <c r="B2764" s="98" t="str">
        <f>IF(C2764="","",2763)</f>
        <v/>
      </c>
      <c r="C2764" s="50"/>
      <c r="D2764" s="49" t="str">
        <f t="shared" si="87"/>
        <v/>
      </c>
      <c r="E2764" s="92"/>
      <c r="F2764" s="49"/>
      <c r="G2764" s="14"/>
      <c r="H2764" s="14"/>
      <c r="I2764" s="76"/>
      <c r="J2764" s="73"/>
      <c r="K2764" s="74"/>
      <c r="L2764" s="72"/>
      <c r="M2764" s="72"/>
      <c r="N2764" s="72" t="str">
        <f>IF(AND(C2764="",J2764=0,K2764=0,L2764=0,M2764=0),"",CADASTROS!$B$4+SUM($J$2:J2764)+SUM($M$2:M2764)-SUM($K$2:K2764)-SUM($L$2:L2764))</f>
        <v/>
      </c>
      <c r="O2764" s="72" t="str">
        <f>IF(A2764="","",SUMIF(RATEIOS!$A$2:$A$3142,$A2764,RATEIOS!$F$2:$F$3142))</f>
        <v/>
      </c>
      <c r="P2764" s="15" t="str">
        <f t="shared" si="88"/>
        <v/>
      </c>
      <c r="Q2764" s="49" t="str">
        <f>IF(AND(J2764=0,K2764=0,L2764=0,M2764=0),"",IF(O2764=0,"PENDENTE DE RATEIO",IF(ABS(P2764)&gt;0.005,"DIVERGÊNCIA",IF(COUNTIF(RATEIOS!$A$2:$A$3142,$A2764)-COUNTIFS(RATEIOS!$A$2:$A$3142,$A2764,RATEIOS!$D$2:$D$3142,"&lt;&gt;")&gt;0,"NÃO CLASSIFICADO","RATEIO OK"))))</f>
        <v/>
      </c>
      <c r="R2764" s="49"/>
      <c r="S2764" s="14"/>
    </row>
    <row r="2765" spans="1:19" ht="30" customHeight="1" x14ac:dyDescent="0.25">
      <c r="A2765" s="49" t="str">
        <f>IF(C2765="","","BAN-02764")</f>
        <v/>
      </c>
      <c r="B2765" s="98" t="str">
        <f>IF(C2765="","",2764)</f>
        <v/>
      </c>
      <c r="C2765" s="50"/>
      <c r="D2765" s="49" t="str">
        <f t="shared" si="87"/>
        <v/>
      </c>
      <c r="E2765" s="92"/>
      <c r="F2765" s="49"/>
      <c r="G2765" s="14"/>
      <c r="H2765" s="14"/>
      <c r="I2765" s="76"/>
      <c r="J2765" s="73"/>
      <c r="K2765" s="74"/>
      <c r="L2765" s="72"/>
      <c r="M2765" s="72"/>
      <c r="N2765" s="72" t="str">
        <f>IF(AND(C2765="",J2765=0,K2765=0,L2765=0,M2765=0),"",CADASTROS!$B$4+SUM($J$2:J2765)+SUM($M$2:M2765)-SUM($K$2:K2765)-SUM($L$2:L2765))</f>
        <v/>
      </c>
      <c r="O2765" s="72" t="str">
        <f>IF(A2765="","",SUMIF(RATEIOS!$A$2:$A$3142,$A2765,RATEIOS!$F$2:$F$3142))</f>
        <v/>
      </c>
      <c r="P2765" s="15" t="str">
        <f t="shared" si="88"/>
        <v/>
      </c>
      <c r="Q2765" s="49" t="str">
        <f>IF(AND(J2765=0,K2765=0,L2765=0,M2765=0),"",IF(O2765=0,"PENDENTE DE RATEIO",IF(ABS(P2765)&gt;0.005,"DIVERGÊNCIA",IF(COUNTIF(RATEIOS!$A$2:$A$3142,$A2765)-COUNTIFS(RATEIOS!$A$2:$A$3142,$A2765,RATEIOS!$D$2:$D$3142,"&lt;&gt;")&gt;0,"NÃO CLASSIFICADO","RATEIO OK"))))</f>
        <v/>
      </c>
      <c r="R2765" s="49"/>
      <c r="S2765" s="14"/>
    </row>
    <row r="2766" spans="1:19" ht="30" customHeight="1" x14ac:dyDescent="0.25">
      <c r="A2766" s="49" t="str">
        <f>IF(C2766="","","BAN-02765")</f>
        <v/>
      </c>
      <c r="B2766" s="98" t="str">
        <f>IF(C2766="","",2765)</f>
        <v/>
      </c>
      <c r="C2766" s="50"/>
      <c r="D2766" s="49" t="str">
        <f t="shared" si="87"/>
        <v/>
      </c>
      <c r="E2766" s="92"/>
      <c r="F2766" s="49"/>
      <c r="G2766" s="14"/>
      <c r="H2766" s="14"/>
      <c r="I2766" s="76"/>
      <c r="J2766" s="73"/>
      <c r="K2766" s="74"/>
      <c r="L2766" s="72"/>
      <c r="M2766" s="72"/>
      <c r="N2766" s="72" t="str">
        <f>IF(AND(C2766="",J2766=0,K2766=0,L2766=0,M2766=0),"",CADASTROS!$B$4+SUM($J$2:J2766)+SUM($M$2:M2766)-SUM($K$2:K2766)-SUM($L$2:L2766))</f>
        <v/>
      </c>
      <c r="O2766" s="72" t="str">
        <f>IF(A2766="","",SUMIF(RATEIOS!$A$2:$A$3142,$A2766,RATEIOS!$F$2:$F$3142))</f>
        <v/>
      </c>
      <c r="P2766" s="15" t="str">
        <f t="shared" si="88"/>
        <v/>
      </c>
      <c r="Q2766" s="49" t="str">
        <f>IF(AND(J2766=0,K2766=0,L2766=0,M2766=0),"",IF(O2766=0,"PENDENTE DE RATEIO",IF(ABS(P2766)&gt;0.005,"DIVERGÊNCIA",IF(COUNTIF(RATEIOS!$A$2:$A$3142,$A2766)-COUNTIFS(RATEIOS!$A$2:$A$3142,$A2766,RATEIOS!$D$2:$D$3142,"&lt;&gt;")&gt;0,"NÃO CLASSIFICADO","RATEIO OK"))))</f>
        <v/>
      </c>
      <c r="R2766" s="49"/>
      <c r="S2766" s="14"/>
    </row>
    <row r="2767" spans="1:19" ht="30" customHeight="1" x14ac:dyDescent="0.25">
      <c r="A2767" s="49" t="str">
        <f>IF(C2767="","","BAN-02766")</f>
        <v/>
      </c>
      <c r="B2767" s="98" t="str">
        <f>IF(C2767="","",2766)</f>
        <v/>
      </c>
      <c r="C2767" s="50"/>
      <c r="D2767" s="49" t="str">
        <f t="shared" si="87"/>
        <v/>
      </c>
      <c r="E2767" s="92"/>
      <c r="F2767" s="49"/>
      <c r="G2767" s="14"/>
      <c r="H2767" s="14"/>
      <c r="I2767" s="76"/>
      <c r="J2767" s="73"/>
      <c r="K2767" s="74"/>
      <c r="L2767" s="72"/>
      <c r="M2767" s="72"/>
      <c r="N2767" s="72" t="str">
        <f>IF(AND(C2767="",J2767=0,K2767=0,L2767=0,M2767=0),"",CADASTROS!$B$4+SUM($J$2:J2767)+SUM($M$2:M2767)-SUM($K$2:K2767)-SUM($L$2:L2767))</f>
        <v/>
      </c>
      <c r="O2767" s="72" t="str">
        <f>IF(A2767="","",SUMIF(RATEIOS!$A$2:$A$3142,$A2767,RATEIOS!$F$2:$F$3142))</f>
        <v/>
      </c>
      <c r="P2767" s="15" t="str">
        <f t="shared" si="88"/>
        <v/>
      </c>
      <c r="Q2767" s="49" t="str">
        <f>IF(AND(J2767=0,K2767=0,L2767=0,M2767=0),"",IF(O2767=0,"PENDENTE DE RATEIO",IF(ABS(P2767)&gt;0.005,"DIVERGÊNCIA",IF(COUNTIF(RATEIOS!$A$2:$A$3142,$A2767)-COUNTIFS(RATEIOS!$A$2:$A$3142,$A2767,RATEIOS!$D$2:$D$3142,"&lt;&gt;")&gt;0,"NÃO CLASSIFICADO","RATEIO OK"))))</f>
        <v/>
      </c>
      <c r="R2767" s="49"/>
      <c r="S2767" s="14"/>
    </row>
    <row r="2768" spans="1:19" ht="30" customHeight="1" x14ac:dyDescent="0.25">
      <c r="A2768" s="49" t="str">
        <f>IF(C2768="","","BAN-02767")</f>
        <v/>
      </c>
      <c r="B2768" s="98" t="str">
        <f>IF(C2768="","",2767)</f>
        <v/>
      </c>
      <c r="C2768" s="50"/>
      <c r="D2768" s="49" t="str">
        <f t="shared" si="87"/>
        <v/>
      </c>
      <c r="E2768" s="92"/>
      <c r="F2768" s="49"/>
      <c r="G2768" s="14"/>
      <c r="H2768" s="14"/>
      <c r="I2768" s="76"/>
      <c r="J2768" s="73"/>
      <c r="K2768" s="74"/>
      <c r="L2768" s="72"/>
      <c r="M2768" s="72"/>
      <c r="N2768" s="72" t="str">
        <f>IF(AND(C2768="",J2768=0,K2768=0,L2768=0,M2768=0),"",CADASTROS!$B$4+SUM($J$2:J2768)+SUM($M$2:M2768)-SUM($K$2:K2768)-SUM($L$2:L2768))</f>
        <v/>
      </c>
      <c r="O2768" s="72" t="str">
        <f>IF(A2768="","",SUMIF(RATEIOS!$A$2:$A$3142,$A2768,RATEIOS!$F$2:$F$3142))</f>
        <v/>
      </c>
      <c r="P2768" s="15" t="str">
        <f t="shared" si="88"/>
        <v/>
      </c>
      <c r="Q2768" s="49" t="str">
        <f>IF(AND(J2768=0,K2768=0,L2768=0,M2768=0),"",IF(O2768=0,"PENDENTE DE RATEIO",IF(ABS(P2768)&gt;0.005,"DIVERGÊNCIA",IF(COUNTIF(RATEIOS!$A$2:$A$3142,$A2768)-COUNTIFS(RATEIOS!$A$2:$A$3142,$A2768,RATEIOS!$D$2:$D$3142,"&lt;&gt;")&gt;0,"NÃO CLASSIFICADO","RATEIO OK"))))</f>
        <v/>
      </c>
      <c r="R2768" s="49"/>
      <c r="S2768" s="14"/>
    </row>
    <row r="2769" spans="1:19" ht="30" customHeight="1" x14ac:dyDescent="0.25">
      <c r="A2769" s="49" t="str">
        <f>IF(C2769="","","BAN-02768")</f>
        <v/>
      </c>
      <c r="B2769" s="98" t="str">
        <f>IF(C2769="","",2768)</f>
        <v/>
      </c>
      <c r="C2769" s="50"/>
      <c r="D2769" s="49" t="str">
        <f t="shared" si="87"/>
        <v/>
      </c>
      <c r="E2769" s="92"/>
      <c r="F2769" s="49"/>
      <c r="G2769" s="14"/>
      <c r="H2769" s="14"/>
      <c r="I2769" s="76"/>
      <c r="J2769" s="73"/>
      <c r="K2769" s="74"/>
      <c r="L2769" s="72"/>
      <c r="M2769" s="72"/>
      <c r="N2769" s="72" t="str">
        <f>IF(AND(C2769="",J2769=0,K2769=0,L2769=0,M2769=0),"",CADASTROS!$B$4+SUM($J$2:J2769)+SUM($M$2:M2769)-SUM($K$2:K2769)-SUM($L$2:L2769))</f>
        <v/>
      </c>
      <c r="O2769" s="72" t="str">
        <f>IF(A2769="","",SUMIF(RATEIOS!$A$2:$A$3142,$A2769,RATEIOS!$F$2:$F$3142))</f>
        <v/>
      </c>
      <c r="P2769" s="15" t="str">
        <f t="shared" si="88"/>
        <v/>
      </c>
      <c r="Q2769" s="49" t="str">
        <f>IF(AND(J2769=0,K2769=0,L2769=0,M2769=0),"",IF(O2769=0,"PENDENTE DE RATEIO",IF(ABS(P2769)&gt;0.005,"DIVERGÊNCIA",IF(COUNTIF(RATEIOS!$A$2:$A$3142,$A2769)-COUNTIFS(RATEIOS!$A$2:$A$3142,$A2769,RATEIOS!$D$2:$D$3142,"&lt;&gt;")&gt;0,"NÃO CLASSIFICADO","RATEIO OK"))))</f>
        <v/>
      </c>
      <c r="R2769" s="49"/>
      <c r="S2769" s="14"/>
    </row>
    <row r="2770" spans="1:19" ht="30" customHeight="1" x14ac:dyDescent="0.25">
      <c r="A2770" s="49" t="str">
        <f>IF(C2770="","","BAN-02769")</f>
        <v/>
      </c>
      <c r="B2770" s="98" t="str">
        <f>IF(C2770="","",2769)</f>
        <v/>
      </c>
      <c r="C2770" s="50"/>
      <c r="D2770" s="49" t="str">
        <f t="shared" si="87"/>
        <v/>
      </c>
      <c r="E2770" s="92"/>
      <c r="F2770" s="49"/>
      <c r="G2770" s="14"/>
      <c r="H2770" s="14"/>
      <c r="I2770" s="76"/>
      <c r="J2770" s="73"/>
      <c r="K2770" s="74"/>
      <c r="L2770" s="72"/>
      <c r="M2770" s="72"/>
      <c r="N2770" s="72" t="str">
        <f>IF(AND(C2770="",J2770=0,K2770=0,L2770=0,M2770=0),"",CADASTROS!$B$4+SUM($J$2:J2770)+SUM($M$2:M2770)-SUM($K$2:K2770)-SUM($L$2:L2770))</f>
        <v/>
      </c>
      <c r="O2770" s="72" t="str">
        <f>IF(A2770="","",SUMIF(RATEIOS!$A$2:$A$3142,$A2770,RATEIOS!$F$2:$F$3142))</f>
        <v/>
      </c>
      <c r="P2770" s="15" t="str">
        <f t="shared" si="88"/>
        <v/>
      </c>
      <c r="Q2770" s="49" t="str">
        <f>IF(AND(J2770=0,K2770=0,L2770=0,M2770=0),"",IF(O2770=0,"PENDENTE DE RATEIO",IF(ABS(P2770)&gt;0.005,"DIVERGÊNCIA",IF(COUNTIF(RATEIOS!$A$2:$A$3142,$A2770)-COUNTIFS(RATEIOS!$A$2:$A$3142,$A2770,RATEIOS!$D$2:$D$3142,"&lt;&gt;")&gt;0,"NÃO CLASSIFICADO","RATEIO OK"))))</f>
        <v/>
      </c>
      <c r="R2770" s="49"/>
      <c r="S2770" s="14"/>
    </row>
    <row r="2771" spans="1:19" ht="30" customHeight="1" x14ac:dyDescent="0.25">
      <c r="A2771" s="49" t="str">
        <f>IF(C2771="","","BAN-02770")</f>
        <v/>
      </c>
      <c r="B2771" s="98" t="str">
        <f>IF(C2771="","",2770)</f>
        <v/>
      </c>
      <c r="C2771" s="50"/>
      <c r="D2771" s="49" t="str">
        <f t="shared" si="87"/>
        <v/>
      </c>
      <c r="E2771" s="92"/>
      <c r="F2771" s="49"/>
      <c r="G2771" s="14"/>
      <c r="H2771" s="14"/>
      <c r="I2771" s="76"/>
      <c r="J2771" s="73"/>
      <c r="K2771" s="74"/>
      <c r="L2771" s="72"/>
      <c r="M2771" s="72"/>
      <c r="N2771" s="72" t="str">
        <f>IF(AND(C2771="",J2771=0,K2771=0,L2771=0,M2771=0),"",CADASTROS!$B$4+SUM($J$2:J2771)+SUM($M$2:M2771)-SUM($K$2:K2771)-SUM($L$2:L2771))</f>
        <v/>
      </c>
      <c r="O2771" s="72" t="str">
        <f>IF(A2771="","",SUMIF(RATEIOS!$A$2:$A$3142,$A2771,RATEIOS!$F$2:$F$3142))</f>
        <v/>
      </c>
      <c r="P2771" s="15" t="str">
        <f t="shared" si="88"/>
        <v/>
      </c>
      <c r="Q2771" s="49" t="str">
        <f>IF(AND(J2771=0,K2771=0,L2771=0,M2771=0),"",IF(O2771=0,"PENDENTE DE RATEIO",IF(ABS(P2771)&gt;0.005,"DIVERGÊNCIA",IF(COUNTIF(RATEIOS!$A$2:$A$3142,$A2771)-COUNTIFS(RATEIOS!$A$2:$A$3142,$A2771,RATEIOS!$D$2:$D$3142,"&lt;&gt;")&gt;0,"NÃO CLASSIFICADO","RATEIO OK"))))</f>
        <v/>
      </c>
      <c r="R2771" s="49"/>
      <c r="S2771" s="14"/>
    </row>
    <row r="2772" spans="1:19" ht="30" customHeight="1" x14ac:dyDescent="0.25">
      <c r="A2772" s="49" t="str">
        <f>IF(C2772="","","BAN-02771")</f>
        <v/>
      </c>
      <c r="B2772" s="98" t="str">
        <f>IF(C2772="","",2771)</f>
        <v/>
      </c>
      <c r="C2772" s="50"/>
      <c r="D2772" s="49" t="str">
        <f t="shared" si="87"/>
        <v/>
      </c>
      <c r="E2772" s="92"/>
      <c r="F2772" s="49"/>
      <c r="G2772" s="14"/>
      <c r="H2772" s="14"/>
      <c r="I2772" s="76"/>
      <c r="J2772" s="73"/>
      <c r="K2772" s="74"/>
      <c r="L2772" s="72"/>
      <c r="M2772" s="72"/>
      <c r="N2772" s="72" t="str">
        <f>IF(AND(C2772="",J2772=0,K2772=0,L2772=0,M2772=0),"",CADASTROS!$B$4+SUM($J$2:J2772)+SUM($M$2:M2772)-SUM($K$2:K2772)-SUM($L$2:L2772))</f>
        <v/>
      </c>
      <c r="O2772" s="72" t="str">
        <f>IF(A2772="","",SUMIF(RATEIOS!$A$2:$A$3142,$A2772,RATEIOS!$F$2:$F$3142))</f>
        <v/>
      </c>
      <c r="P2772" s="15" t="str">
        <f t="shared" si="88"/>
        <v/>
      </c>
      <c r="Q2772" s="49" t="str">
        <f>IF(AND(J2772=0,K2772=0,L2772=0,M2772=0),"",IF(O2772=0,"PENDENTE DE RATEIO",IF(ABS(P2772)&gt;0.005,"DIVERGÊNCIA",IF(COUNTIF(RATEIOS!$A$2:$A$3142,$A2772)-COUNTIFS(RATEIOS!$A$2:$A$3142,$A2772,RATEIOS!$D$2:$D$3142,"&lt;&gt;")&gt;0,"NÃO CLASSIFICADO","RATEIO OK"))))</f>
        <v/>
      </c>
      <c r="R2772" s="49"/>
      <c r="S2772" s="14"/>
    </row>
    <row r="2773" spans="1:19" ht="30" customHeight="1" x14ac:dyDescent="0.25">
      <c r="A2773" s="49" t="str">
        <f>IF(C2773="","","BAN-02772")</f>
        <v/>
      </c>
      <c r="B2773" s="98" t="str">
        <f>IF(C2773="","",2772)</f>
        <v/>
      </c>
      <c r="C2773" s="50"/>
      <c r="D2773" s="49" t="str">
        <f t="shared" si="87"/>
        <v/>
      </c>
      <c r="E2773" s="92"/>
      <c r="F2773" s="49"/>
      <c r="G2773" s="14"/>
      <c r="H2773" s="14"/>
      <c r="I2773" s="76"/>
      <c r="J2773" s="73"/>
      <c r="K2773" s="74"/>
      <c r="L2773" s="72"/>
      <c r="M2773" s="72"/>
      <c r="N2773" s="72" t="str">
        <f>IF(AND(C2773="",J2773=0,K2773=0,L2773=0,M2773=0),"",CADASTROS!$B$4+SUM($J$2:J2773)+SUM($M$2:M2773)-SUM($K$2:K2773)-SUM($L$2:L2773))</f>
        <v/>
      </c>
      <c r="O2773" s="72" t="str">
        <f>IF(A2773="","",SUMIF(RATEIOS!$A$2:$A$3142,$A2773,RATEIOS!$F$2:$F$3142))</f>
        <v/>
      </c>
      <c r="P2773" s="15" t="str">
        <f t="shared" si="88"/>
        <v/>
      </c>
      <c r="Q2773" s="49" t="str">
        <f>IF(AND(J2773=0,K2773=0,L2773=0,M2773=0),"",IF(O2773=0,"PENDENTE DE RATEIO",IF(ABS(P2773)&gt;0.005,"DIVERGÊNCIA",IF(COUNTIF(RATEIOS!$A$2:$A$3142,$A2773)-COUNTIFS(RATEIOS!$A$2:$A$3142,$A2773,RATEIOS!$D$2:$D$3142,"&lt;&gt;")&gt;0,"NÃO CLASSIFICADO","RATEIO OK"))))</f>
        <v/>
      </c>
      <c r="R2773" s="49"/>
      <c r="S2773" s="14"/>
    </row>
    <row r="2774" spans="1:19" ht="30" customHeight="1" x14ac:dyDescent="0.25">
      <c r="A2774" s="49" t="str">
        <f>IF(C2774="","","BAN-02773")</f>
        <v/>
      </c>
      <c r="B2774" s="98" t="str">
        <f>IF(C2774="","",2773)</f>
        <v/>
      </c>
      <c r="C2774" s="50"/>
      <c r="D2774" s="49" t="str">
        <f t="shared" si="87"/>
        <v/>
      </c>
      <c r="E2774" s="92"/>
      <c r="F2774" s="49"/>
      <c r="G2774" s="14"/>
      <c r="H2774" s="14"/>
      <c r="I2774" s="76"/>
      <c r="J2774" s="73"/>
      <c r="K2774" s="74"/>
      <c r="L2774" s="72"/>
      <c r="M2774" s="72"/>
      <c r="N2774" s="72" t="str">
        <f>IF(AND(C2774="",J2774=0,K2774=0,L2774=0,M2774=0),"",CADASTROS!$B$4+SUM($J$2:J2774)+SUM($M$2:M2774)-SUM($K$2:K2774)-SUM($L$2:L2774))</f>
        <v/>
      </c>
      <c r="O2774" s="72" t="str">
        <f>IF(A2774="","",SUMIF(RATEIOS!$A$2:$A$3142,$A2774,RATEIOS!$F$2:$F$3142))</f>
        <v/>
      </c>
      <c r="P2774" s="15" t="str">
        <f t="shared" si="88"/>
        <v/>
      </c>
      <c r="Q2774" s="49" t="str">
        <f>IF(AND(J2774=0,K2774=0,L2774=0,M2774=0),"",IF(O2774=0,"PENDENTE DE RATEIO",IF(ABS(P2774)&gt;0.005,"DIVERGÊNCIA",IF(COUNTIF(RATEIOS!$A$2:$A$3142,$A2774)-COUNTIFS(RATEIOS!$A$2:$A$3142,$A2774,RATEIOS!$D$2:$D$3142,"&lt;&gt;")&gt;0,"NÃO CLASSIFICADO","RATEIO OK"))))</f>
        <v/>
      </c>
      <c r="R2774" s="49"/>
      <c r="S2774" s="14"/>
    </row>
    <row r="2775" spans="1:19" ht="30" customHeight="1" x14ac:dyDescent="0.25">
      <c r="A2775" s="49" t="str">
        <f>IF(C2775="","","BAN-02774")</f>
        <v/>
      </c>
      <c r="B2775" s="98" t="str">
        <f>IF(C2775="","",2774)</f>
        <v/>
      </c>
      <c r="C2775" s="50"/>
      <c r="D2775" s="49" t="str">
        <f t="shared" si="87"/>
        <v/>
      </c>
      <c r="E2775" s="92"/>
      <c r="F2775" s="49"/>
      <c r="G2775" s="14"/>
      <c r="H2775" s="14"/>
      <c r="I2775" s="76"/>
      <c r="J2775" s="73"/>
      <c r="K2775" s="74"/>
      <c r="L2775" s="72"/>
      <c r="M2775" s="72"/>
      <c r="N2775" s="72" t="str">
        <f>IF(AND(C2775="",J2775=0,K2775=0,L2775=0,M2775=0),"",CADASTROS!$B$4+SUM($J$2:J2775)+SUM($M$2:M2775)-SUM($K$2:K2775)-SUM($L$2:L2775))</f>
        <v/>
      </c>
      <c r="O2775" s="72" t="str">
        <f>IF(A2775="","",SUMIF(RATEIOS!$A$2:$A$3142,$A2775,RATEIOS!$F$2:$F$3142))</f>
        <v/>
      </c>
      <c r="P2775" s="15" t="str">
        <f t="shared" si="88"/>
        <v/>
      </c>
      <c r="Q2775" s="49" t="str">
        <f>IF(AND(J2775=0,K2775=0,L2775=0,M2775=0),"",IF(O2775=0,"PENDENTE DE RATEIO",IF(ABS(P2775)&gt;0.005,"DIVERGÊNCIA",IF(COUNTIF(RATEIOS!$A$2:$A$3142,$A2775)-COUNTIFS(RATEIOS!$A$2:$A$3142,$A2775,RATEIOS!$D$2:$D$3142,"&lt;&gt;")&gt;0,"NÃO CLASSIFICADO","RATEIO OK"))))</f>
        <v/>
      </c>
      <c r="R2775" s="49"/>
      <c r="S2775" s="14"/>
    </row>
    <row r="2776" spans="1:19" ht="30" customHeight="1" x14ac:dyDescent="0.25">
      <c r="A2776" s="49" t="str">
        <f>IF(C2776="","","BAN-02775")</f>
        <v/>
      </c>
      <c r="B2776" s="98" t="str">
        <f>IF(C2776="","",2775)</f>
        <v/>
      </c>
      <c r="C2776" s="50"/>
      <c r="D2776" s="49" t="str">
        <f t="shared" si="87"/>
        <v/>
      </c>
      <c r="E2776" s="92"/>
      <c r="F2776" s="49"/>
      <c r="G2776" s="14"/>
      <c r="H2776" s="14"/>
      <c r="I2776" s="76"/>
      <c r="J2776" s="73"/>
      <c r="K2776" s="74"/>
      <c r="L2776" s="72"/>
      <c r="M2776" s="72"/>
      <c r="N2776" s="72" t="str">
        <f>IF(AND(C2776="",J2776=0,K2776=0,L2776=0,M2776=0),"",CADASTROS!$B$4+SUM($J$2:J2776)+SUM($M$2:M2776)-SUM($K$2:K2776)-SUM($L$2:L2776))</f>
        <v/>
      </c>
      <c r="O2776" s="72" t="str">
        <f>IF(A2776="","",SUMIF(RATEIOS!$A$2:$A$3142,$A2776,RATEIOS!$F$2:$F$3142))</f>
        <v/>
      </c>
      <c r="P2776" s="15" t="str">
        <f t="shared" si="88"/>
        <v/>
      </c>
      <c r="Q2776" s="49" t="str">
        <f>IF(AND(J2776=0,K2776=0,L2776=0,M2776=0),"",IF(O2776=0,"PENDENTE DE RATEIO",IF(ABS(P2776)&gt;0.005,"DIVERGÊNCIA",IF(COUNTIF(RATEIOS!$A$2:$A$3142,$A2776)-COUNTIFS(RATEIOS!$A$2:$A$3142,$A2776,RATEIOS!$D$2:$D$3142,"&lt;&gt;")&gt;0,"NÃO CLASSIFICADO","RATEIO OK"))))</f>
        <v/>
      </c>
      <c r="R2776" s="49"/>
      <c r="S2776" s="14"/>
    </row>
    <row r="2777" spans="1:19" ht="30" customHeight="1" x14ac:dyDescent="0.25">
      <c r="A2777" s="49" t="str">
        <f>IF(C2777="","","BAN-02776")</f>
        <v/>
      </c>
      <c r="B2777" s="98" t="str">
        <f>IF(C2777="","",2776)</f>
        <v/>
      </c>
      <c r="C2777" s="50"/>
      <c r="D2777" s="49" t="str">
        <f t="shared" si="87"/>
        <v/>
      </c>
      <c r="E2777" s="92"/>
      <c r="F2777" s="49"/>
      <c r="G2777" s="14"/>
      <c r="H2777" s="14"/>
      <c r="I2777" s="76"/>
      <c r="J2777" s="73"/>
      <c r="K2777" s="74"/>
      <c r="L2777" s="72"/>
      <c r="M2777" s="72"/>
      <c r="N2777" s="72" t="str">
        <f>IF(AND(C2777="",J2777=0,K2777=0,L2777=0,M2777=0),"",CADASTROS!$B$4+SUM($J$2:J2777)+SUM($M$2:M2777)-SUM($K$2:K2777)-SUM($L$2:L2777))</f>
        <v/>
      </c>
      <c r="O2777" s="72" t="str">
        <f>IF(A2777="","",SUMIF(RATEIOS!$A$2:$A$3142,$A2777,RATEIOS!$F$2:$F$3142))</f>
        <v/>
      </c>
      <c r="P2777" s="15" t="str">
        <f t="shared" si="88"/>
        <v/>
      </c>
      <c r="Q2777" s="49" t="str">
        <f>IF(AND(J2777=0,K2777=0,L2777=0,M2777=0),"",IF(O2777=0,"PENDENTE DE RATEIO",IF(ABS(P2777)&gt;0.005,"DIVERGÊNCIA",IF(COUNTIF(RATEIOS!$A$2:$A$3142,$A2777)-COUNTIFS(RATEIOS!$A$2:$A$3142,$A2777,RATEIOS!$D$2:$D$3142,"&lt;&gt;")&gt;0,"NÃO CLASSIFICADO","RATEIO OK"))))</f>
        <v/>
      </c>
      <c r="R2777" s="49"/>
      <c r="S2777" s="14"/>
    </row>
    <row r="2778" spans="1:19" ht="30" customHeight="1" x14ac:dyDescent="0.25">
      <c r="A2778" s="49" t="str">
        <f>IF(C2778="","","BAN-02777")</f>
        <v/>
      </c>
      <c r="B2778" s="98" t="str">
        <f>IF(C2778="","",2777)</f>
        <v/>
      </c>
      <c r="C2778" s="50"/>
      <c r="D2778" s="49" t="str">
        <f t="shared" si="87"/>
        <v/>
      </c>
      <c r="E2778" s="92"/>
      <c r="F2778" s="49"/>
      <c r="G2778" s="14"/>
      <c r="H2778" s="14"/>
      <c r="I2778" s="76"/>
      <c r="J2778" s="73"/>
      <c r="K2778" s="74"/>
      <c r="L2778" s="72"/>
      <c r="M2778" s="72"/>
      <c r="N2778" s="72" t="str">
        <f>IF(AND(C2778="",J2778=0,K2778=0,L2778=0,M2778=0),"",CADASTROS!$B$4+SUM($J$2:J2778)+SUM($M$2:M2778)-SUM($K$2:K2778)-SUM($L$2:L2778))</f>
        <v/>
      </c>
      <c r="O2778" s="72" t="str">
        <f>IF(A2778="","",SUMIF(RATEIOS!$A$2:$A$3142,$A2778,RATEIOS!$F$2:$F$3142))</f>
        <v/>
      </c>
      <c r="P2778" s="15" t="str">
        <f t="shared" si="88"/>
        <v/>
      </c>
      <c r="Q2778" s="49" t="str">
        <f>IF(AND(J2778=0,K2778=0,L2778=0,M2778=0),"",IF(O2778=0,"PENDENTE DE RATEIO",IF(ABS(P2778)&gt;0.005,"DIVERGÊNCIA",IF(COUNTIF(RATEIOS!$A$2:$A$3142,$A2778)-COUNTIFS(RATEIOS!$A$2:$A$3142,$A2778,RATEIOS!$D$2:$D$3142,"&lt;&gt;")&gt;0,"NÃO CLASSIFICADO","RATEIO OK"))))</f>
        <v/>
      </c>
      <c r="R2778" s="49"/>
      <c r="S2778" s="14"/>
    </row>
    <row r="2779" spans="1:19" ht="30" customHeight="1" x14ac:dyDescent="0.25">
      <c r="A2779" s="49" t="str">
        <f>IF(C2779="","","BAN-02778")</f>
        <v/>
      </c>
      <c r="B2779" s="98" t="str">
        <f>IF(C2779="","",2778)</f>
        <v/>
      </c>
      <c r="C2779" s="50"/>
      <c r="D2779" s="49" t="str">
        <f t="shared" si="87"/>
        <v/>
      </c>
      <c r="E2779" s="92"/>
      <c r="F2779" s="49"/>
      <c r="G2779" s="14"/>
      <c r="H2779" s="14"/>
      <c r="I2779" s="76"/>
      <c r="J2779" s="73"/>
      <c r="K2779" s="74"/>
      <c r="L2779" s="72"/>
      <c r="M2779" s="72"/>
      <c r="N2779" s="72" t="str">
        <f>IF(AND(C2779="",J2779=0,K2779=0,L2779=0,M2779=0),"",CADASTROS!$B$4+SUM($J$2:J2779)+SUM($M$2:M2779)-SUM($K$2:K2779)-SUM($L$2:L2779))</f>
        <v/>
      </c>
      <c r="O2779" s="72" t="str">
        <f>IF(A2779="","",SUMIF(RATEIOS!$A$2:$A$3142,$A2779,RATEIOS!$F$2:$F$3142))</f>
        <v/>
      </c>
      <c r="P2779" s="15" t="str">
        <f t="shared" si="88"/>
        <v/>
      </c>
      <c r="Q2779" s="49" t="str">
        <f>IF(AND(J2779=0,K2779=0,L2779=0,M2779=0),"",IF(O2779=0,"PENDENTE DE RATEIO",IF(ABS(P2779)&gt;0.005,"DIVERGÊNCIA",IF(COUNTIF(RATEIOS!$A$2:$A$3142,$A2779)-COUNTIFS(RATEIOS!$A$2:$A$3142,$A2779,RATEIOS!$D$2:$D$3142,"&lt;&gt;")&gt;0,"NÃO CLASSIFICADO","RATEIO OK"))))</f>
        <v/>
      </c>
      <c r="R2779" s="49"/>
      <c r="S2779" s="14"/>
    </row>
    <row r="2780" spans="1:19" ht="30" customHeight="1" x14ac:dyDescent="0.25">
      <c r="A2780" s="49" t="str">
        <f>IF(C2780="","","BAN-02779")</f>
        <v/>
      </c>
      <c r="B2780" s="98" t="str">
        <f>IF(C2780="","",2779)</f>
        <v/>
      </c>
      <c r="C2780" s="50"/>
      <c r="D2780" s="49" t="str">
        <f t="shared" si="87"/>
        <v/>
      </c>
      <c r="E2780" s="92"/>
      <c r="F2780" s="49"/>
      <c r="G2780" s="14"/>
      <c r="H2780" s="14"/>
      <c r="I2780" s="76"/>
      <c r="J2780" s="73"/>
      <c r="K2780" s="74"/>
      <c r="L2780" s="72"/>
      <c r="M2780" s="72"/>
      <c r="N2780" s="72" t="str">
        <f>IF(AND(C2780="",J2780=0,K2780=0,L2780=0,M2780=0),"",CADASTROS!$B$4+SUM($J$2:J2780)+SUM($M$2:M2780)-SUM($K$2:K2780)-SUM($L$2:L2780))</f>
        <v/>
      </c>
      <c r="O2780" s="72" t="str">
        <f>IF(A2780="","",SUMIF(RATEIOS!$A$2:$A$3142,$A2780,RATEIOS!$F$2:$F$3142))</f>
        <v/>
      </c>
      <c r="P2780" s="15" t="str">
        <f t="shared" si="88"/>
        <v/>
      </c>
      <c r="Q2780" s="49" t="str">
        <f>IF(AND(J2780=0,K2780=0,L2780=0,M2780=0),"",IF(O2780=0,"PENDENTE DE RATEIO",IF(ABS(P2780)&gt;0.005,"DIVERGÊNCIA",IF(COUNTIF(RATEIOS!$A$2:$A$3142,$A2780)-COUNTIFS(RATEIOS!$A$2:$A$3142,$A2780,RATEIOS!$D$2:$D$3142,"&lt;&gt;")&gt;0,"NÃO CLASSIFICADO","RATEIO OK"))))</f>
        <v/>
      </c>
      <c r="R2780" s="49"/>
      <c r="S2780" s="14"/>
    </row>
    <row r="2781" spans="1:19" ht="30" customHeight="1" x14ac:dyDescent="0.25">
      <c r="A2781" s="49" t="str">
        <f>IF(C2781="","","BAN-02780")</f>
        <v/>
      </c>
      <c r="B2781" s="98" t="str">
        <f>IF(C2781="","",2780)</f>
        <v/>
      </c>
      <c r="C2781" s="50"/>
      <c r="D2781" s="49" t="str">
        <f t="shared" si="87"/>
        <v/>
      </c>
      <c r="E2781" s="92"/>
      <c r="F2781" s="49"/>
      <c r="G2781" s="14"/>
      <c r="H2781" s="14"/>
      <c r="I2781" s="76"/>
      <c r="J2781" s="73"/>
      <c r="K2781" s="74"/>
      <c r="L2781" s="72"/>
      <c r="M2781" s="72"/>
      <c r="N2781" s="72" t="str">
        <f>IF(AND(C2781="",J2781=0,K2781=0,L2781=0,M2781=0),"",CADASTROS!$B$4+SUM($J$2:J2781)+SUM($M$2:M2781)-SUM($K$2:K2781)-SUM($L$2:L2781))</f>
        <v/>
      </c>
      <c r="O2781" s="72" t="str">
        <f>IF(A2781="","",SUMIF(RATEIOS!$A$2:$A$3142,$A2781,RATEIOS!$F$2:$F$3142))</f>
        <v/>
      </c>
      <c r="P2781" s="15" t="str">
        <f t="shared" si="88"/>
        <v/>
      </c>
      <c r="Q2781" s="49" t="str">
        <f>IF(AND(J2781=0,K2781=0,L2781=0,M2781=0),"",IF(O2781=0,"PENDENTE DE RATEIO",IF(ABS(P2781)&gt;0.005,"DIVERGÊNCIA",IF(COUNTIF(RATEIOS!$A$2:$A$3142,$A2781)-COUNTIFS(RATEIOS!$A$2:$A$3142,$A2781,RATEIOS!$D$2:$D$3142,"&lt;&gt;")&gt;0,"NÃO CLASSIFICADO","RATEIO OK"))))</f>
        <v/>
      </c>
      <c r="R2781" s="49"/>
      <c r="S2781" s="14"/>
    </row>
    <row r="2782" spans="1:19" ht="30" customHeight="1" x14ac:dyDescent="0.25">
      <c r="A2782" s="49" t="str">
        <f>IF(C2782="","","BAN-02781")</f>
        <v/>
      </c>
      <c r="B2782" s="98" t="str">
        <f>IF(C2782="","",2781)</f>
        <v/>
      </c>
      <c r="C2782" s="50"/>
      <c r="D2782" s="49" t="str">
        <f t="shared" si="87"/>
        <v/>
      </c>
      <c r="E2782" s="92"/>
      <c r="F2782" s="49"/>
      <c r="G2782" s="14"/>
      <c r="H2782" s="14"/>
      <c r="I2782" s="76"/>
      <c r="J2782" s="73"/>
      <c r="K2782" s="74"/>
      <c r="L2782" s="72"/>
      <c r="M2782" s="72"/>
      <c r="N2782" s="72" t="str">
        <f>IF(AND(C2782="",J2782=0,K2782=0,L2782=0,M2782=0),"",CADASTROS!$B$4+SUM($J$2:J2782)+SUM($M$2:M2782)-SUM($K$2:K2782)-SUM($L$2:L2782))</f>
        <v/>
      </c>
      <c r="O2782" s="72" t="str">
        <f>IF(A2782="","",SUMIF(RATEIOS!$A$2:$A$3142,$A2782,RATEIOS!$F$2:$F$3142))</f>
        <v/>
      </c>
      <c r="P2782" s="15" t="str">
        <f t="shared" si="88"/>
        <v/>
      </c>
      <c r="Q2782" s="49" t="str">
        <f>IF(AND(J2782=0,K2782=0,L2782=0,M2782=0),"",IF(O2782=0,"PENDENTE DE RATEIO",IF(ABS(P2782)&gt;0.005,"DIVERGÊNCIA",IF(COUNTIF(RATEIOS!$A$2:$A$3142,$A2782)-COUNTIFS(RATEIOS!$A$2:$A$3142,$A2782,RATEIOS!$D$2:$D$3142,"&lt;&gt;")&gt;0,"NÃO CLASSIFICADO","RATEIO OK"))))</f>
        <v/>
      </c>
      <c r="R2782" s="49"/>
      <c r="S2782" s="14"/>
    </row>
    <row r="2783" spans="1:19" ht="30" customHeight="1" x14ac:dyDescent="0.25">
      <c r="A2783" s="49" t="str">
        <f>IF(C2783="","","BAN-02782")</f>
        <v/>
      </c>
      <c r="B2783" s="98" t="str">
        <f>IF(C2783="","",2782)</f>
        <v/>
      </c>
      <c r="C2783" s="50"/>
      <c r="D2783" s="49" t="str">
        <f t="shared" si="87"/>
        <v/>
      </c>
      <c r="E2783" s="92"/>
      <c r="F2783" s="49"/>
      <c r="G2783" s="14"/>
      <c r="H2783" s="14"/>
      <c r="I2783" s="76"/>
      <c r="J2783" s="73"/>
      <c r="K2783" s="74"/>
      <c r="L2783" s="72"/>
      <c r="M2783" s="72"/>
      <c r="N2783" s="72" t="str">
        <f>IF(AND(C2783="",J2783=0,K2783=0,L2783=0,M2783=0),"",CADASTROS!$B$4+SUM($J$2:J2783)+SUM($M$2:M2783)-SUM($K$2:K2783)-SUM($L$2:L2783))</f>
        <v/>
      </c>
      <c r="O2783" s="72" t="str">
        <f>IF(A2783="","",SUMIF(RATEIOS!$A$2:$A$3142,$A2783,RATEIOS!$F$2:$F$3142))</f>
        <v/>
      </c>
      <c r="P2783" s="15" t="str">
        <f t="shared" si="88"/>
        <v/>
      </c>
      <c r="Q2783" s="49" t="str">
        <f>IF(AND(J2783=0,K2783=0,L2783=0,M2783=0),"",IF(O2783=0,"PENDENTE DE RATEIO",IF(ABS(P2783)&gt;0.005,"DIVERGÊNCIA",IF(COUNTIF(RATEIOS!$A$2:$A$3142,$A2783)-COUNTIFS(RATEIOS!$A$2:$A$3142,$A2783,RATEIOS!$D$2:$D$3142,"&lt;&gt;")&gt;0,"NÃO CLASSIFICADO","RATEIO OK"))))</f>
        <v/>
      </c>
      <c r="R2783" s="49"/>
      <c r="S2783" s="14"/>
    </row>
    <row r="2784" spans="1:19" ht="30" customHeight="1" x14ac:dyDescent="0.25">
      <c r="A2784" s="49" t="str">
        <f>IF(C2784="","","BAN-02783")</f>
        <v/>
      </c>
      <c r="B2784" s="98" t="str">
        <f>IF(C2784="","",2783)</f>
        <v/>
      </c>
      <c r="C2784" s="50"/>
      <c r="D2784" s="49" t="str">
        <f t="shared" si="87"/>
        <v/>
      </c>
      <c r="E2784" s="92"/>
      <c r="F2784" s="49"/>
      <c r="G2784" s="14"/>
      <c r="H2784" s="14"/>
      <c r="I2784" s="76"/>
      <c r="J2784" s="73"/>
      <c r="K2784" s="74"/>
      <c r="L2784" s="72"/>
      <c r="M2784" s="72"/>
      <c r="N2784" s="72" t="str">
        <f>IF(AND(C2784="",J2784=0,K2784=0,L2784=0,M2784=0),"",CADASTROS!$B$4+SUM($J$2:J2784)+SUM($M$2:M2784)-SUM($K$2:K2784)-SUM($L$2:L2784))</f>
        <v/>
      </c>
      <c r="O2784" s="72" t="str">
        <f>IF(A2784="","",SUMIF(RATEIOS!$A$2:$A$3142,$A2784,RATEIOS!$F$2:$F$3142))</f>
        <v/>
      </c>
      <c r="P2784" s="15" t="str">
        <f t="shared" si="88"/>
        <v/>
      </c>
      <c r="Q2784" s="49" t="str">
        <f>IF(AND(J2784=0,K2784=0,L2784=0,M2784=0),"",IF(O2784=0,"PENDENTE DE RATEIO",IF(ABS(P2784)&gt;0.005,"DIVERGÊNCIA",IF(COUNTIF(RATEIOS!$A$2:$A$3142,$A2784)-COUNTIFS(RATEIOS!$A$2:$A$3142,$A2784,RATEIOS!$D$2:$D$3142,"&lt;&gt;")&gt;0,"NÃO CLASSIFICADO","RATEIO OK"))))</f>
        <v/>
      </c>
      <c r="R2784" s="49"/>
      <c r="S2784" s="14"/>
    </row>
    <row r="2785" spans="1:19" ht="30" customHeight="1" x14ac:dyDescent="0.25">
      <c r="A2785" s="49" t="str">
        <f>IF(C2785="","","BAN-02784")</f>
        <v/>
      </c>
      <c r="B2785" s="98" t="str">
        <f>IF(C2785="","",2784)</f>
        <v/>
      </c>
      <c r="C2785" s="50"/>
      <c r="D2785" s="49" t="str">
        <f t="shared" si="87"/>
        <v/>
      </c>
      <c r="E2785" s="92"/>
      <c r="F2785" s="49"/>
      <c r="G2785" s="14"/>
      <c r="H2785" s="14"/>
      <c r="I2785" s="76"/>
      <c r="J2785" s="73"/>
      <c r="K2785" s="74"/>
      <c r="L2785" s="72"/>
      <c r="M2785" s="72"/>
      <c r="N2785" s="72" t="str">
        <f>IF(AND(C2785="",J2785=0,K2785=0,L2785=0,M2785=0),"",CADASTROS!$B$4+SUM($J$2:J2785)+SUM($M$2:M2785)-SUM($K$2:K2785)-SUM($L$2:L2785))</f>
        <v/>
      </c>
      <c r="O2785" s="72" t="str">
        <f>IF(A2785="","",SUMIF(RATEIOS!$A$2:$A$3142,$A2785,RATEIOS!$F$2:$F$3142))</f>
        <v/>
      </c>
      <c r="P2785" s="15" t="str">
        <f t="shared" si="88"/>
        <v/>
      </c>
      <c r="Q2785" s="49" t="str">
        <f>IF(AND(J2785=0,K2785=0,L2785=0,M2785=0),"",IF(O2785=0,"PENDENTE DE RATEIO",IF(ABS(P2785)&gt;0.005,"DIVERGÊNCIA",IF(COUNTIF(RATEIOS!$A$2:$A$3142,$A2785)-COUNTIFS(RATEIOS!$A$2:$A$3142,$A2785,RATEIOS!$D$2:$D$3142,"&lt;&gt;")&gt;0,"NÃO CLASSIFICADO","RATEIO OK"))))</f>
        <v/>
      </c>
      <c r="R2785" s="49"/>
      <c r="S2785" s="14"/>
    </row>
    <row r="2786" spans="1:19" ht="30" customHeight="1" x14ac:dyDescent="0.25">
      <c r="A2786" s="49" t="str">
        <f>IF(C2786="","","BAN-02785")</f>
        <v/>
      </c>
      <c r="B2786" s="98" t="str">
        <f>IF(C2786="","",2785)</f>
        <v/>
      </c>
      <c r="C2786" s="50"/>
      <c r="D2786" s="49" t="str">
        <f t="shared" si="87"/>
        <v/>
      </c>
      <c r="E2786" s="92"/>
      <c r="F2786" s="49"/>
      <c r="G2786" s="14"/>
      <c r="H2786" s="14"/>
      <c r="I2786" s="76"/>
      <c r="J2786" s="73"/>
      <c r="K2786" s="74"/>
      <c r="L2786" s="72"/>
      <c r="M2786" s="72"/>
      <c r="N2786" s="72" t="str">
        <f>IF(AND(C2786="",J2786=0,K2786=0,L2786=0,M2786=0),"",CADASTROS!$B$4+SUM($J$2:J2786)+SUM($M$2:M2786)-SUM($K$2:K2786)-SUM($L$2:L2786))</f>
        <v/>
      </c>
      <c r="O2786" s="72" t="str">
        <f>IF(A2786="","",SUMIF(RATEIOS!$A$2:$A$3142,$A2786,RATEIOS!$F$2:$F$3142))</f>
        <v/>
      </c>
      <c r="P2786" s="15" t="str">
        <f t="shared" si="88"/>
        <v/>
      </c>
      <c r="Q2786" s="49" t="str">
        <f>IF(AND(J2786=0,K2786=0,L2786=0,M2786=0),"",IF(O2786=0,"PENDENTE DE RATEIO",IF(ABS(P2786)&gt;0.005,"DIVERGÊNCIA",IF(COUNTIF(RATEIOS!$A$2:$A$3142,$A2786)-COUNTIFS(RATEIOS!$A$2:$A$3142,$A2786,RATEIOS!$D$2:$D$3142,"&lt;&gt;")&gt;0,"NÃO CLASSIFICADO","RATEIO OK"))))</f>
        <v/>
      </c>
      <c r="R2786" s="49"/>
      <c r="S2786" s="14"/>
    </row>
    <row r="2787" spans="1:19" ht="30" customHeight="1" x14ac:dyDescent="0.25">
      <c r="A2787" s="49" t="str">
        <f>IF(C2787="","","BAN-02786")</f>
        <v/>
      </c>
      <c r="B2787" s="98" t="str">
        <f>IF(C2787="","",2786)</f>
        <v/>
      </c>
      <c r="C2787" s="50"/>
      <c r="D2787" s="49" t="str">
        <f t="shared" si="87"/>
        <v/>
      </c>
      <c r="E2787" s="92"/>
      <c r="F2787" s="49"/>
      <c r="G2787" s="14"/>
      <c r="H2787" s="14"/>
      <c r="I2787" s="76"/>
      <c r="J2787" s="73"/>
      <c r="K2787" s="74"/>
      <c r="L2787" s="72"/>
      <c r="M2787" s="72"/>
      <c r="N2787" s="72" t="str">
        <f>IF(AND(C2787="",J2787=0,K2787=0,L2787=0,M2787=0),"",CADASTROS!$B$4+SUM($J$2:J2787)+SUM($M$2:M2787)-SUM($K$2:K2787)-SUM($L$2:L2787))</f>
        <v/>
      </c>
      <c r="O2787" s="72" t="str">
        <f>IF(A2787="","",SUMIF(RATEIOS!$A$2:$A$3142,$A2787,RATEIOS!$F$2:$F$3142))</f>
        <v/>
      </c>
      <c r="P2787" s="15" t="str">
        <f t="shared" si="88"/>
        <v/>
      </c>
      <c r="Q2787" s="49" t="str">
        <f>IF(AND(J2787=0,K2787=0,L2787=0,M2787=0),"",IF(O2787=0,"PENDENTE DE RATEIO",IF(ABS(P2787)&gt;0.005,"DIVERGÊNCIA",IF(COUNTIF(RATEIOS!$A$2:$A$3142,$A2787)-COUNTIFS(RATEIOS!$A$2:$A$3142,$A2787,RATEIOS!$D$2:$D$3142,"&lt;&gt;")&gt;0,"NÃO CLASSIFICADO","RATEIO OK"))))</f>
        <v/>
      </c>
      <c r="R2787" s="49"/>
      <c r="S2787" s="14"/>
    </row>
    <row r="2788" spans="1:19" ht="30" customHeight="1" x14ac:dyDescent="0.25">
      <c r="A2788" s="49" t="str">
        <f>IF(C2788="","","BAN-02787")</f>
        <v/>
      </c>
      <c r="B2788" s="98" t="str">
        <f>IF(C2788="","",2787)</f>
        <v/>
      </c>
      <c r="C2788" s="50"/>
      <c r="D2788" s="49" t="str">
        <f t="shared" si="87"/>
        <v/>
      </c>
      <c r="E2788" s="92"/>
      <c r="F2788" s="49"/>
      <c r="G2788" s="14"/>
      <c r="H2788" s="14"/>
      <c r="I2788" s="76"/>
      <c r="J2788" s="73"/>
      <c r="K2788" s="74"/>
      <c r="L2788" s="72"/>
      <c r="M2788" s="72"/>
      <c r="N2788" s="72" t="str">
        <f>IF(AND(C2788="",J2788=0,K2788=0,L2788=0,M2788=0),"",CADASTROS!$B$4+SUM($J$2:J2788)+SUM($M$2:M2788)-SUM($K$2:K2788)-SUM($L$2:L2788))</f>
        <v/>
      </c>
      <c r="O2788" s="72" t="str">
        <f>IF(A2788="","",SUMIF(RATEIOS!$A$2:$A$3142,$A2788,RATEIOS!$F$2:$F$3142))</f>
        <v/>
      </c>
      <c r="P2788" s="15" t="str">
        <f t="shared" si="88"/>
        <v/>
      </c>
      <c r="Q2788" s="49" t="str">
        <f>IF(AND(J2788=0,K2788=0,L2788=0,M2788=0),"",IF(O2788=0,"PENDENTE DE RATEIO",IF(ABS(P2788)&gt;0.005,"DIVERGÊNCIA",IF(COUNTIF(RATEIOS!$A$2:$A$3142,$A2788)-COUNTIFS(RATEIOS!$A$2:$A$3142,$A2788,RATEIOS!$D$2:$D$3142,"&lt;&gt;")&gt;0,"NÃO CLASSIFICADO","RATEIO OK"))))</f>
        <v/>
      </c>
      <c r="R2788" s="49"/>
      <c r="S2788" s="14"/>
    </row>
    <row r="2789" spans="1:19" ht="30" customHeight="1" x14ac:dyDescent="0.25">
      <c r="A2789" s="49" t="str">
        <f>IF(C2789="","","BAN-02788")</f>
        <v/>
      </c>
      <c r="B2789" s="98" t="str">
        <f>IF(C2789="","",2788)</f>
        <v/>
      </c>
      <c r="C2789" s="50"/>
      <c r="D2789" s="49" t="str">
        <f t="shared" si="87"/>
        <v/>
      </c>
      <c r="E2789" s="92"/>
      <c r="F2789" s="49"/>
      <c r="G2789" s="14"/>
      <c r="H2789" s="14"/>
      <c r="I2789" s="76"/>
      <c r="J2789" s="73"/>
      <c r="K2789" s="74"/>
      <c r="L2789" s="72"/>
      <c r="M2789" s="72"/>
      <c r="N2789" s="72" t="str">
        <f>IF(AND(C2789="",J2789=0,K2789=0,L2789=0,M2789=0),"",CADASTROS!$B$4+SUM($J$2:J2789)+SUM($M$2:M2789)-SUM($K$2:K2789)-SUM($L$2:L2789))</f>
        <v/>
      </c>
      <c r="O2789" s="72" t="str">
        <f>IF(A2789="","",SUMIF(RATEIOS!$A$2:$A$3142,$A2789,RATEIOS!$F$2:$F$3142))</f>
        <v/>
      </c>
      <c r="P2789" s="15" t="str">
        <f t="shared" si="88"/>
        <v/>
      </c>
      <c r="Q2789" s="49" t="str">
        <f>IF(AND(J2789=0,K2789=0,L2789=0,M2789=0),"",IF(O2789=0,"PENDENTE DE RATEIO",IF(ABS(P2789)&gt;0.005,"DIVERGÊNCIA",IF(COUNTIF(RATEIOS!$A$2:$A$3142,$A2789)-COUNTIFS(RATEIOS!$A$2:$A$3142,$A2789,RATEIOS!$D$2:$D$3142,"&lt;&gt;")&gt;0,"NÃO CLASSIFICADO","RATEIO OK"))))</f>
        <v/>
      </c>
      <c r="R2789" s="49"/>
      <c r="S2789" s="14"/>
    </row>
    <row r="2790" spans="1:19" ht="30" customHeight="1" x14ac:dyDescent="0.25">
      <c r="A2790" s="49" t="str">
        <f>IF(C2790="","","BAN-02789")</f>
        <v/>
      </c>
      <c r="B2790" s="98" t="str">
        <f>IF(C2790="","",2789)</f>
        <v/>
      </c>
      <c r="C2790" s="50"/>
      <c r="D2790" s="49" t="str">
        <f t="shared" si="87"/>
        <v/>
      </c>
      <c r="E2790" s="92"/>
      <c r="F2790" s="49"/>
      <c r="G2790" s="14"/>
      <c r="H2790" s="14"/>
      <c r="I2790" s="76"/>
      <c r="J2790" s="73"/>
      <c r="K2790" s="74"/>
      <c r="L2790" s="72"/>
      <c r="M2790" s="72"/>
      <c r="N2790" s="72" t="str">
        <f>IF(AND(C2790="",J2790=0,K2790=0,L2790=0,M2790=0),"",CADASTROS!$B$4+SUM($J$2:J2790)+SUM($M$2:M2790)-SUM($K$2:K2790)-SUM($L$2:L2790))</f>
        <v/>
      </c>
      <c r="O2790" s="72" t="str">
        <f>IF(A2790="","",SUMIF(RATEIOS!$A$2:$A$3142,$A2790,RATEIOS!$F$2:$F$3142))</f>
        <v/>
      </c>
      <c r="P2790" s="15" t="str">
        <f t="shared" si="88"/>
        <v/>
      </c>
      <c r="Q2790" s="49" t="str">
        <f>IF(AND(J2790=0,K2790=0,L2790=0,M2790=0),"",IF(O2790=0,"PENDENTE DE RATEIO",IF(ABS(P2790)&gt;0.005,"DIVERGÊNCIA",IF(COUNTIF(RATEIOS!$A$2:$A$3142,$A2790)-COUNTIFS(RATEIOS!$A$2:$A$3142,$A2790,RATEIOS!$D$2:$D$3142,"&lt;&gt;")&gt;0,"NÃO CLASSIFICADO","RATEIO OK"))))</f>
        <v/>
      </c>
      <c r="R2790" s="49"/>
      <c r="S2790" s="14"/>
    </row>
    <row r="2791" spans="1:19" ht="30" customHeight="1" x14ac:dyDescent="0.25">
      <c r="A2791" s="49" t="str">
        <f>IF(C2791="","","BAN-02790")</f>
        <v/>
      </c>
      <c r="B2791" s="98" t="str">
        <f>IF(C2791="","",2790)</f>
        <v/>
      </c>
      <c r="C2791" s="50"/>
      <c r="D2791" s="49" t="str">
        <f t="shared" si="87"/>
        <v/>
      </c>
      <c r="E2791" s="92"/>
      <c r="F2791" s="49"/>
      <c r="G2791" s="14"/>
      <c r="H2791" s="14"/>
      <c r="I2791" s="76"/>
      <c r="J2791" s="73"/>
      <c r="K2791" s="74"/>
      <c r="L2791" s="72"/>
      <c r="M2791" s="72"/>
      <c r="N2791" s="72" t="str">
        <f>IF(AND(C2791="",J2791=0,K2791=0,L2791=0,M2791=0),"",CADASTROS!$B$4+SUM($J$2:J2791)+SUM($M$2:M2791)-SUM($K$2:K2791)-SUM($L$2:L2791))</f>
        <v/>
      </c>
      <c r="O2791" s="72" t="str">
        <f>IF(A2791="","",SUMIF(RATEIOS!$A$2:$A$3142,$A2791,RATEIOS!$F$2:$F$3142))</f>
        <v/>
      </c>
      <c r="P2791" s="15" t="str">
        <f t="shared" si="88"/>
        <v/>
      </c>
      <c r="Q2791" s="49" t="str">
        <f>IF(AND(J2791=0,K2791=0,L2791=0,M2791=0),"",IF(O2791=0,"PENDENTE DE RATEIO",IF(ABS(P2791)&gt;0.005,"DIVERGÊNCIA",IF(COUNTIF(RATEIOS!$A$2:$A$3142,$A2791)-COUNTIFS(RATEIOS!$A$2:$A$3142,$A2791,RATEIOS!$D$2:$D$3142,"&lt;&gt;")&gt;0,"NÃO CLASSIFICADO","RATEIO OK"))))</f>
        <v/>
      </c>
      <c r="R2791" s="49"/>
      <c r="S2791" s="14"/>
    </row>
    <row r="2792" spans="1:19" ht="30" customHeight="1" x14ac:dyDescent="0.25">
      <c r="A2792" s="49" t="str">
        <f>IF(C2792="","","BAN-02791")</f>
        <v/>
      </c>
      <c r="B2792" s="98" t="str">
        <f>IF(C2792="","",2791)</f>
        <v/>
      </c>
      <c r="C2792" s="50"/>
      <c r="D2792" s="49" t="str">
        <f t="shared" si="87"/>
        <v/>
      </c>
      <c r="E2792" s="92"/>
      <c r="F2792" s="49"/>
      <c r="G2792" s="14"/>
      <c r="H2792" s="14"/>
      <c r="I2792" s="76"/>
      <c r="J2792" s="73"/>
      <c r="K2792" s="74"/>
      <c r="L2792" s="72"/>
      <c r="M2792" s="72"/>
      <c r="N2792" s="72" t="str">
        <f>IF(AND(C2792="",J2792=0,K2792=0,L2792=0,M2792=0),"",CADASTROS!$B$4+SUM($J$2:J2792)+SUM($M$2:M2792)-SUM($K$2:K2792)-SUM($L$2:L2792))</f>
        <v/>
      </c>
      <c r="O2792" s="72" t="str">
        <f>IF(A2792="","",SUMIF(RATEIOS!$A$2:$A$3142,$A2792,RATEIOS!$F$2:$F$3142))</f>
        <v/>
      </c>
      <c r="P2792" s="15" t="str">
        <f t="shared" si="88"/>
        <v/>
      </c>
      <c r="Q2792" s="49" t="str">
        <f>IF(AND(J2792=0,K2792=0,L2792=0,M2792=0),"",IF(O2792=0,"PENDENTE DE RATEIO",IF(ABS(P2792)&gt;0.005,"DIVERGÊNCIA",IF(COUNTIF(RATEIOS!$A$2:$A$3142,$A2792)-COUNTIFS(RATEIOS!$A$2:$A$3142,$A2792,RATEIOS!$D$2:$D$3142,"&lt;&gt;")&gt;0,"NÃO CLASSIFICADO","RATEIO OK"))))</f>
        <v/>
      </c>
      <c r="R2792" s="49"/>
      <c r="S2792" s="14"/>
    </row>
    <row r="2793" spans="1:19" ht="30" customHeight="1" x14ac:dyDescent="0.25">
      <c r="A2793" s="49" t="str">
        <f>IF(C2793="","","BAN-02792")</f>
        <v/>
      </c>
      <c r="B2793" s="98" t="str">
        <f>IF(C2793="","",2792)</f>
        <v/>
      </c>
      <c r="C2793" s="50"/>
      <c r="D2793" s="49" t="str">
        <f t="shared" si="87"/>
        <v/>
      </c>
      <c r="E2793" s="92"/>
      <c r="F2793" s="49"/>
      <c r="G2793" s="14"/>
      <c r="H2793" s="14"/>
      <c r="I2793" s="76"/>
      <c r="J2793" s="73"/>
      <c r="K2793" s="74"/>
      <c r="L2793" s="72"/>
      <c r="M2793" s="72"/>
      <c r="N2793" s="72" t="str">
        <f>IF(AND(C2793="",J2793=0,K2793=0,L2793=0,M2793=0),"",CADASTROS!$B$4+SUM($J$2:J2793)+SUM($M$2:M2793)-SUM($K$2:K2793)-SUM($L$2:L2793))</f>
        <v/>
      </c>
      <c r="O2793" s="72" t="str">
        <f>IF(A2793="","",SUMIF(RATEIOS!$A$2:$A$3142,$A2793,RATEIOS!$F$2:$F$3142))</f>
        <v/>
      </c>
      <c r="P2793" s="15" t="str">
        <f t="shared" si="88"/>
        <v/>
      </c>
      <c r="Q2793" s="49" t="str">
        <f>IF(AND(J2793=0,K2793=0,L2793=0,M2793=0),"",IF(O2793=0,"PENDENTE DE RATEIO",IF(ABS(P2793)&gt;0.005,"DIVERGÊNCIA",IF(COUNTIF(RATEIOS!$A$2:$A$3142,$A2793)-COUNTIFS(RATEIOS!$A$2:$A$3142,$A2793,RATEIOS!$D$2:$D$3142,"&lt;&gt;")&gt;0,"NÃO CLASSIFICADO","RATEIO OK"))))</f>
        <v/>
      </c>
      <c r="R2793" s="49"/>
      <c r="S2793" s="14"/>
    </row>
    <row r="2794" spans="1:19" ht="30" customHeight="1" x14ac:dyDescent="0.25">
      <c r="A2794" s="49" t="str">
        <f>IF(C2794="","","BAN-02793")</f>
        <v/>
      </c>
      <c r="B2794" s="98" t="str">
        <f>IF(C2794="","",2793)</f>
        <v/>
      </c>
      <c r="C2794" s="50"/>
      <c r="D2794" s="49" t="str">
        <f t="shared" si="87"/>
        <v/>
      </c>
      <c r="E2794" s="92"/>
      <c r="F2794" s="49"/>
      <c r="G2794" s="14"/>
      <c r="H2794" s="14"/>
      <c r="I2794" s="76"/>
      <c r="J2794" s="73"/>
      <c r="K2794" s="74"/>
      <c r="L2794" s="72"/>
      <c r="M2794" s="72"/>
      <c r="N2794" s="72" t="str">
        <f>IF(AND(C2794="",J2794=0,K2794=0,L2794=0,M2794=0),"",CADASTROS!$B$4+SUM($J$2:J2794)+SUM($M$2:M2794)-SUM($K$2:K2794)-SUM($L$2:L2794))</f>
        <v/>
      </c>
      <c r="O2794" s="72" t="str">
        <f>IF(A2794="","",SUMIF(RATEIOS!$A$2:$A$3142,$A2794,RATEIOS!$F$2:$F$3142))</f>
        <v/>
      </c>
      <c r="P2794" s="15" t="str">
        <f t="shared" si="88"/>
        <v/>
      </c>
      <c r="Q2794" s="49" t="str">
        <f>IF(AND(J2794=0,K2794=0,L2794=0,M2794=0),"",IF(O2794=0,"PENDENTE DE RATEIO",IF(ABS(P2794)&gt;0.005,"DIVERGÊNCIA",IF(COUNTIF(RATEIOS!$A$2:$A$3142,$A2794)-COUNTIFS(RATEIOS!$A$2:$A$3142,$A2794,RATEIOS!$D$2:$D$3142,"&lt;&gt;")&gt;0,"NÃO CLASSIFICADO","RATEIO OK"))))</f>
        <v/>
      </c>
      <c r="R2794" s="49"/>
      <c r="S2794" s="14"/>
    </row>
    <row r="2795" spans="1:19" ht="30" customHeight="1" x14ac:dyDescent="0.25">
      <c r="A2795" s="49" t="str">
        <f>IF(C2795="","","BAN-02794")</f>
        <v/>
      </c>
      <c r="B2795" s="98" t="str">
        <f>IF(C2795="","",2794)</f>
        <v/>
      </c>
      <c r="C2795" s="50"/>
      <c r="D2795" s="49" t="str">
        <f t="shared" si="87"/>
        <v/>
      </c>
      <c r="E2795" s="92"/>
      <c r="F2795" s="49"/>
      <c r="G2795" s="14"/>
      <c r="H2795" s="14"/>
      <c r="I2795" s="76"/>
      <c r="J2795" s="73"/>
      <c r="K2795" s="74"/>
      <c r="L2795" s="72"/>
      <c r="M2795" s="72"/>
      <c r="N2795" s="72" t="str">
        <f>IF(AND(C2795="",J2795=0,K2795=0,L2795=0,M2795=0),"",CADASTROS!$B$4+SUM($J$2:J2795)+SUM($M$2:M2795)-SUM($K$2:K2795)-SUM($L$2:L2795))</f>
        <v/>
      </c>
      <c r="O2795" s="72" t="str">
        <f>IF(A2795="","",SUMIF(RATEIOS!$A$2:$A$3142,$A2795,RATEIOS!$F$2:$F$3142))</f>
        <v/>
      </c>
      <c r="P2795" s="15" t="str">
        <f t="shared" si="88"/>
        <v/>
      </c>
      <c r="Q2795" s="49" t="str">
        <f>IF(AND(J2795=0,K2795=0,L2795=0,M2795=0),"",IF(O2795=0,"PENDENTE DE RATEIO",IF(ABS(P2795)&gt;0.005,"DIVERGÊNCIA",IF(COUNTIF(RATEIOS!$A$2:$A$3142,$A2795)-COUNTIFS(RATEIOS!$A$2:$A$3142,$A2795,RATEIOS!$D$2:$D$3142,"&lt;&gt;")&gt;0,"NÃO CLASSIFICADO","RATEIO OK"))))</f>
        <v/>
      </c>
      <c r="R2795" s="49"/>
      <c r="S2795" s="14"/>
    </row>
    <row r="2796" spans="1:19" ht="30" customHeight="1" x14ac:dyDescent="0.25">
      <c r="A2796" s="49" t="str">
        <f>IF(C2796="","","BAN-02795")</f>
        <v/>
      </c>
      <c r="B2796" s="98" t="str">
        <f>IF(C2796="","",2795)</f>
        <v/>
      </c>
      <c r="C2796" s="50"/>
      <c r="D2796" s="49" t="str">
        <f t="shared" si="87"/>
        <v/>
      </c>
      <c r="E2796" s="92"/>
      <c r="F2796" s="49"/>
      <c r="G2796" s="14"/>
      <c r="H2796" s="14"/>
      <c r="I2796" s="76"/>
      <c r="J2796" s="73"/>
      <c r="K2796" s="74"/>
      <c r="L2796" s="72"/>
      <c r="M2796" s="72"/>
      <c r="N2796" s="72" t="str">
        <f>IF(AND(C2796="",J2796=0,K2796=0,L2796=0,M2796=0),"",CADASTROS!$B$4+SUM($J$2:J2796)+SUM($M$2:M2796)-SUM($K$2:K2796)-SUM($L$2:L2796))</f>
        <v/>
      </c>
      <c r="O2796" s="72" t="str">
        <f>IF(A2796="","",SUMIF(RATEIOS!$A$2:$A$3142,$A2796,RATEIOS!$F$2:$F$3142))</f>
        <v/>
      </c>
      <c r="P2796" s="15" t="str">
        <f t="shared" si="88"/>
        <v/>
      </c>
      <c r="Q2796" s="49" t="str">
        <f>IF(AND(J2796=0,K2796=0,L2796=0,M2796=0),"",IF(O2796=0,"PENDENTE DE RATEIO",IF(ABS(P2796)&gt;0.005,"DIVERGÊNCIA",IF(COUNTIF(RATEIOS!$A$2:$A$3142,$A2796)-COUNTIFS(RATEIOS!$A$2:$A$3142,$A2796,RATEIOS!$D$2:$D$3142,"&lt;&gt;")&gt;0,"NÃO CLASSIFICADO","RATEIO OK"))))</f>
        <v/>
      </c>
      <c r="R2796" s="49"/>
      <c r="S2796" s="14"/>
    </row>
    <row r="2797" spans="1:19" ht="30" customHeight="1" x14ac:dyDescent="0.25">
      <c r="A2797" s="49" t="str">
        <f>IF(C2797="","","BAN-02796")</f>
        <v/>
      </c>
      <c r="B2797" s="98" t="str">
        <f>IF(C2797="","",2796)</f>
        <v/>
      </c>
      <c r="C2797" s="50"/>
      <c r="D2797" s="49" t="str">
        <f t="shared" si="87"/>
        <v/>
      </c>
      <c r="E2797" s="92"/>
      <c r="F2797" s="49"/>
      <c r="G2797" s="14"/>
      <c r="H2797" s="14"/>
      <c r="I2797" s="76"/>
      <c r="J2797" s="73"/>
      <c r="K2797" s="74"/>
      <c r="L2797" s="72"/>
      <c r="M2797" s="72"/>
      <c r="N2797" s="72" t="str">
        <f>IF(AND(C2797="",J2797=0,K2797=0,L2797=0,M2797=0),"",CADASTROS!$B$4+SUM($J$2:J2797)+SUM($M$2:M2797)-SUM($K$2:K2797)-SUM($L$2:L2797))</f>
        <v/>
      </c>
      <c r="O2797" s="72" t="str">
        <f>IF(A2797="","",SUMIF(RATEIOS!$A$2:$A$3142,$A2797,RATEIOS!$F$2:$F$3142))</f>
        <v/>
      </c>
      <c r="P2797" s="15" t="str">
        <f t="shared" si="88"/>
        <v/>
      </c>
      <c r="Q2797" s="49" t="str">
        <f>IF(AND(J2797=0,K2797=0,L2797=0,M2797=0),"",IF(O2797=0,"PENDENTE DE RATEIO",IF(ABS(P2797)&gt;0.005,"DIVERGÊNCIA",IF(COUNTIF(RATEIOS!$A$2:$A$3142,$A2797)-COUNTIFS(RATEIOS!$A$2:$A$3142,$A2797,RATEIOS!$D$2:$D$3142,"&lt;&gt;")&gt;0,"NÃO CLASSIFICADO","RATEIO OK"))))</f>
        <v/>
      </c>
      <c r="R2797" s="49"/>
      <c r="S2797" s="14"/>
    </row>
    <row r="2798" spans="1:19" ht="30" customHeight="1" x14ac:dyDescent="0.25">
      <c r="A2798" s="49" t="str">
        <f>IF(C2798="","","BAN-02797")</f>
        <v/>
      </c>
      <c r="B2798" s="98" t="str">
        <f>IF(C2798="","",2797)</f>
        <v/>
      </c>
      <c r="C2798" s="50"/>
      <c r="D2798" s="49" t="str">
        <f t="shared" si="87"/>
        <v/>
      </c>
      <c r="E2798" s="92"/>
      <c r="F2798" s="49"/>
      <c r="G2798" s="14"/>
      <c r="H2798" s="14"/>
      <c r="I2798" s="76"/>
      <c r="J2798" s="73"/>
      <c r="K2798" s="74"/>
      <c r="L2798" s="72"/>
      <c r="M2798" s="72"/>
      <c r="N2798" s="72" t="str">
        <f>IF(AND(C2798="",J2798=0,K2798=0,L2798=0,M2798=0),"",CADASTROS!$B$4+SUM($J$2:J2798)+SUM($M$2:M2798)-SUM($K$2:K2798)-SUM($L$2:L2798))</f>
        <v/>
      </c>
      <c r="O2798" s="72" t="str">
        <f>IF(A2798="","",SUMIF(RATEIOS!$A$2:$A$3142,$A2798,RATEIOS!$F$2:$F$3142))</f>
        <v/>
      </c>
      <c r="P2798" s="15" t="str">
        <f t="shared" si="88"/>
        <v/>
      </c>
      <c r="Q2798" s="49" t="str">
        <f>IF(AND(J2798=0,K2798=0,L2798=0,M2798=0),"",IF(O2798=0,"PENDENTE DE RATEIO",IF(ABS(P2798)&gt;0.005,"DIVERGÊNCIA",IF(COUNTIF(RATEIOS!$A$2:$A$3142,$A2798)-COUNTIFS(RATEIOS!$A$2:$A$3142,$A2798,RATEIOS!$D$2:$D$3142,"&lt;&gt;")&gt;0,"NÃO CLASSIFICADO","RATEIO OK"))))</f>
        <v/>
      </c>
      <c r="R2798" s="49"/>
      <c r="S2798" s="14"/>
    </row>
    <row r="2799" spans="1:19" ht="30" customHeight="1" x14ac:dyDescent="0.25">
      <c r="A2799" s="49" t="str">
        <f>IF(C2799="","","BAN-02798")</f>
        <v/>
      </c>
      <c r="B2799" s="98" t="str">
        <f>IF(C2799="","",2798)</f>
        <v/>
      </c>
      <c r="C2799" s="50"/>
      <c r="D2799" s="49" t="str">
        <f t="shared" si="87"/>
        <v/>
      </c>
      <c r="E2799" s="92"/>
      <c r="F2799" s="49"/>
      <c r="G2799" s="14"/>
      <c r="H2799" s="14"/>
      <c r="I2799" s="76"/>
      <c r="J2799" s="73"/>
      <c r="K2799" s="74"/>
      <c r="L2799" s="72"/>
      <c r="M2799" s="72"/>
      <c r="N2799" s="72" t="str">
        <f>IF(AND(C2799="",J2799=0,K2799=0,L2799=0,M2799=0),"",CADASTROS!$B$4+SUM($J$2:J2799)+SUM($M$2:M2799)-SUM($K$2:K2799)-SUM($L$2:L2799))</f>
        <v/>
      </c>
      <c r="O2799" s="72" t="str">
        <f>IF(A2799="","",SUMIF(RATEIOS!$A$2:$A$3142,$A2799,RATEIOS!$F$2:$F$3142))</f>
        <v/>
      </c>
      <c r="P2799" s="15" t="str">
        <f t="shared" si="88"/>
        <v/>
      </c>
      <c r="Q2799" s="49" t="str">
        <f>IF(AND(J2799=0,K2799=0,L2799=0,M2799=0),"",IF(O2799=0,"PENDENTE DE RATEIO",IF(ABS(P2799)&gt;0.005,"DIVERGÊNCIA",IF(COUNTIF(RATEIOS!$A$2:$A$3142,$A2799)-COUNTIFS(RATEIOS!$A$2:$A$3142,$A2799,RATEIOS!$D$2:$D$3142,"&lt;&gt;")&gt;0,"NÃO CLASSIFICADO","RATEIO OK"))))</f>
        <v/>
      </c>
      <c r="R2799" s="49"/>
      <c r="S2799" s="14"/>
    </row>
    <row r="2800" spans="1:19" ht="30" customHeight="1" x14ac:dyDescent="0.25">
      <c r="A2800" s="49" t="str">
        <f>IF(C2800="","","BAN-02799")</f>
        <v/>
      </c>
      <c r="B2800" s="98" t="str">
        <f>IF(C2800="","",2799)</f>
        <v/>
      </c>
      <c r="C2800" s="50"/>
      <c r="D2800" s="49" t="str">
        <f t="shared" si="87"/>
        <v/>
      </c>
      <c r="E2800" s="92"/>
      <c r="F2800" s="49"/>
      <c r="G2800" s="14"/>
      <c r="H2800" s="14"/>
      <c r="I2800" s="76"/>
      <c r="J2800" s="73"/>
      <c r="K2800" s="74"/>
      <c r="L2800" s="72"/>
      <c r="M2800" s="72"/>
      <c r="N2800" s="72" t="str">
        <f>IF(AND(C2800="",J2800=0,K2800=0,L2800=0,M2800=0),"",CADASTROS!$B$4+SUM($J$2:J2800)+SUM($M$2:M2800)-SUM($K$2:K2800)-SUM($L$2:L2800))</f>
        <v/>
      </c>
      <c r="O2800" s="72" t="str">
        <f>IF(A2800="","",SUMIF(RATEIOS!$A$2:$A$3142,$A2800,RATEIOS!$F$2:$F$3142))</f>
        <v/>
      </c>
      <c r="P2800" s="15" t="str">
        <f t="shared" si="88"/>
        <v/>
      </c>
      <c r="Q2800" s="49" t="str">
        <f>IF(AND(J2800=0,K2800=0,L2800=0,M2800=0),"",IF(O2800=0,"PENDENTE DE RATEIO",IF(ABS(P2800)&gt;0.005,"DIVERGÊNCIA",IF(COUNTIF(RATEIOS!$A$2:$A$3142,$A2800)-COUNTIFS(RATEIOS!$A$2:$A$3142,$A2800,RATEIOS!$D$2:$D$3142,"&lt;&gt;")&gt;0,"NÃO CLASSIFICADO","RATEIO OK"))))</f>
        <v/>
      </c>
      <c r="R2800" s="49"/>
      <c r="S2800" s="14"/>
    </row>
    <row r="2801" spans="1:19" ht="30" customHeight="1" x14ac:dyDescent="0.25">
      <c r="A2801" s="49" t="str">
        <f>IF(C2801="","","BAN-02800")</f>
        <v/>
      </c>
      <c r="B2801" s="98" t="str">
        <f>IF(C2801="","",2800)</f>
        <v/>
      </c>
      <c r="C2801" s="50"/>
      <c r="D2801" s="49" t="str">
        <f t="shared" si="87"/>
        <v/>
      </c>
      <c r="E2801" s="92"/>
      <c r="F2801" s="49"/>
      <c r="G2801" s="14"/>
      <c r="H2801" s="14"/>
      <c r="I2801" s="76"/>
      <c r="J2801" s="73"/>
      <c r="K2801" s="74"/>
      <c r="L2801" s="72"/>
      <c r="M2801" s="72"/>
      <c r="N2801" s="72" t="str">
        <f>IF(AND(C2801="",J2801=0,K2801=0,L2801=0,M2801=0),"",CADASTROS!$B$4+SUM($J$2:J2801)+SUM($M$2:M2801)-SUM($K$2:K2801)-SUM($L$2:L2801))</f>
        <v/>
      </c>
      <c r="O2801" s="72" t="str">
        <f>IF(A2801="","",SUMIF(RATEIOS!$A$2:$A$3142,$A2801,RATEIOS!$F$2:$F$3142))</f>
        <v/>
      </c>
      <c r="P2801" s="15" t="str">
        <f t="shared" si="88"/>
        <v/>
      </c>
      <c r="Q2801" s="49" t="str">
        <f>IF(AND(J2801=0,K2801=0,L2801=0,M2801=0),"",IF(O2801=0,"PENDENTE DE RATEIO",IF(ABS(P2801)&gt;0.005,"DIVERGÊNCIA",IF(COUNTIF(RATEIOS!$A$2:$A$3142,$A2801)-COUNTIFS(RATEIOS!$A$2:$A$3142,$A2801,RATEIOS!$D$2:$D$3142,"&lt;&gt;")&gt;0,"NÃO CLASSIFICADO","RATEIO OK"))))</f>
        <v/>
      </c>
      <c r="R2801" s="49"/>
      <c r="S2801" s="14"/>
    </row>
    <row r="2802" spans="1:19" ht="30" customHeight="1" x14ac:dyDescent="0.25">
      <c r="A2802" s="49" t="str">
        <f>IF(C2802="","","BAN-02801")</f>
        <v/>
      </c>
      <c r="B2802" s="98" t="str">
        <f>IF(C2802="","",2801)</f>
        <v/>
      </c>
      <c r="C2802" s="50"/>
      <c r="D2802" s="49" t="str">
        <f t="shared" si="87"/>
        <v/>
      </c>
      <c r="E2802" s="92"/>
      <c r="F2802" s="49"/>
      <c r="G2802" s="14"/>
      <c r="H2802" s="14"/>
      <c r="I2802" s="76"/>
      <c r="J2802" s="73"/>
      <c r="K2802" s="74"/>
      <c r="L2802" s="72"/>
      <c r="M2802" s="72"/>
      <c r="N2802" s="72" t="str">
        <f>IF(AND(C2802="",J2802=0,K2802=0,L2802=0,M2802=0),"",CADASTROS!$B$4+SUM($J$2:J2802)+SUM($M$2:M2802)-SUM($K$2:K2802)-SUM($L$2:L2802))</f>
        <v/>
      </c>
      <c r="O2802" s="72" t="str">
        <f>IF(A2802="","",SUMIF(RATEIOS!$A$2:$A$3142,$A2802,RATEIOS!$F$2:$F$3142))</f>
        <v/>
      </c>
      <c r="P2802" s="15" t="str">
        <f t="shared" si="88"/>
        <v/>
      </c>
      <c r="Q2802" s="49" t="str">
        <f>IF(AND(J2802=0,K2802=0,L2802=0,M2802=0),"",IF(O2802=0,"PENDENTE DE RATEIO",IF(ABS(P2802)&gt;0.005,"DIVERGÊNCIA",IF(COUNTIF(RATEIOS!$A$2:$A$3142,$A2802)-COUNTIFS(RATEIOS!$A$2:$A$3142,$A2802,RATEIOS!$D$2:$D$3142,"&lt;&gt;")&gt;0,"NÃO CLASSIFICADO","RATEIO OK"))))</f>
        <v/>
      </c>
      <c r="R2802" s="49"/>
      <c r="S2802" s="14"/>
    </row>
    <row r="2803" spans="1:19" ht="30" customHeight="1" x14ac:dyDescent="0.25">
      <c r="A2803" s="49" t="str">
        <f>IF(C2803="","","BAN-02802")</f>
        <v/>
      </c>
      <c r="B2803" s="98" t="str">
        <f>IF(C2803="","",2802)</f>
        <v/>
      </c>
      <c r="C2803" s="50"/>
      <c r="D2803" s="49" t="str">
        <f t="shared" si="87"/>
        <v/>
      </c>
      <c r="E2803" s="92"/>
      <c r="F2803" s="49"/>
      <c r="G2803" s="14"/>
      <c r="H2803" s="14"/>
      <c r="I2803" s="76"/>
      <c r="J2803" s="73"/>
      <c r="K2803" s="74"/>
      <c r="L2803" s="72"/>
      <c r="M2803" s="72"/>
      <c r="N2803" s="72" t="str">
        <f>IF(AND(C2803="",J2803=0,K2803=0,L2803=0,M2803=0),"",CADASTROS!$B$4+SUM($J$2:J2803)+SUM($M$2:M2803)-SUM($K$2:K2803)-SUM($L$2:L2803))</f>
        <v/>
      </c>
      <c r="O2803" s="72" t="str">
        <f>IF(A2803="","",SUMIF(RATEIOS!$A$2:$A$3142,$A2803,RATEIOS!$F$2:$F$3142))</f>
        <v/>
      </c>
      <c r="P2803" s="15" t="str">
        <f t="shared" si="88"/>
        <v/>
      </c>
      <c r="Q2803" s="49" t="str">
        <f>IF(AND(J2803=0,K2803=0,L2803=0,M2803=0),"",IF(O2803=0,"PENDENTE DE RATEIO",IF(ABS(P2803)&gt;0.005,"DIVERGÊNCIA",IF(COUNTIF(RATEIOS!$A$2:$A$3142,$A2803)-COUNTIFS(RATEIOS!$A$2:$A$3142,$A2803,RATEIOS!$D$2:$D$3142,"&lt;&gt;")&gt;0,"NÃO CLASSIFICADO","RATEIO OK"))))</f>
        <v/>
      </c>
      <c r="R2803" s="49"/>
      <c r="S2803" s="14"/>
    </row>
    <row r="2804" spans="1:19" ht="30" customHeight="1" x14ac:dyDescent="0.25">
      <c r="A2804" s="49" t="str">
        <f>IF(C2804="","","BAN-02803")</f>
        <v/>
      </c>
      <c r="B2804" s="98" t="str">
        <f>IF(C2804="","",2803)</f>
        <v/>
      </c>
      <c r="C2804" s="50"/>
      <c r="D2804" s="49" t="str">
        <f t="shared" si="87"/>
        <v/>
      </c>
      <c r="E2804" s="92"/>
      <c r="F2804" s="49"/>
      <c r="G2804" s="14"/>
      <c r="H2804" s="14"/>
      <c r="I2804" s="76"/>
      <c r="J2804" s="73"/>
      <c r="K2804" s="74"/>
      <c r="L2804" s="72"/>
      <c r="M2804" s="72"/>
      <c r="N2804" s="72" t="str">
        <f>IF(AND(C2804="",J2804=0,K2804=0,L2804=0,M2804=0),"",CADASTROS!$B$4+SUM($J$2:J2804)+SUM($M$2:M2804)-SUM($K$2:K2804)-SUM($L$2:L2804))</f>
        <v/>
      </c>
      <c r="O2804" s="72" t="str">
        <f>IF(A2804="","",SUMIF(RATEIOS!$A$2:$A$3142,$A2804,RATEIOS!$F$2:$F$3142))</f>
        <v/>
      </c>
      <c r="P2804" s="15" t="str">
        <f t="shared" si="88"/>
        <v/>
      </c>
      <c r="Q2804" s="49" t="str">
        <f>IF(AND(J2804=0,K2804=0,L2804=0,M2804=0),"",IF(O2804=0,"PENDENTE DE RATEIO",IF(ABS(P2804)&gt;0.005,"DIVERGÊNCIA",IF(COUNTIF(RATEIOS!$A$2:$A$3142,$A2804)-COUNTIFS(RATEIOS!$A$2:$A$3142,$A2804,RATEIOS!$D$2:$D$3142,"&lt;&gt;")&gt;0,"NÃO CLASSIFICADO","RATEIO OK"))))</f>
        <v/>
      </c>
      <c r="R2804" s="49"/>
      <c r="S2804" s="14"/>
    </row>
    <row r="2805" spans="1:19" ht="30" customHeight="1" x14ac:dyDescent="0.25">
      <c r="A2805" s="49" t="str">
        <f>IF(C2805="","","BAN-02804")</f>
        <v/>
      </c>
      <c r="B2805" s="98" t="str">
        <f>IF(C2805="","",2804)</f>
        <v/>
      </c>
      <c r="C2805" s="50"/>
      <c r="D2805" s="49" t="str">
        <f t="shared" si="87"/>
        <v/>
      </c>
      <c r="E2805" s="92"/>
      <c r="F2805" s="49"/>
      <c r="G2805" s="14"/>
      <c r="H2805" s="14"/>
      <c r="I2805" s="76"/>
      <c r="J2805" s="73"/>
      <c r="K2805" s="74"/>
      <c r="L2805" s="72"/>
      <c r="M2805" s="72"/>
      <c r="N2805" s="72" t="str">
        <f>IF(AND(C2805="",J2805=0,K2805=0,L2805=0,M2805=0),"",CADASTROS!$B$4+SUM($J$2:J2805)+SUM($M$2:M2805)-SUM($K$2:K2805)-SUM($L$2:L2805))</f>
        <v/>
      </c>
      <c r="O2805" s="72" t="str">
        <f>IF(A2805="","",SUMIF(RATEIOS!$A$2:$A$3142,$A2805,RATEIOS!$F$2:$F$3142))</f>
        <v/>
      </c>
      <c r="P2805" s="15" t="str">
        <f t="shared" si="88"/>
        <v/>
      </c>
      <c r="Q2805" s="49" t="str">
        <f>IF(AND(J2805=0,K2805=0,L2805=0,M2805=0),"",IF(O2805=0,"PENDENTE DE RATEIO",IF(ABS(P2805)&gt;0.005,"DIVERGÊNCIA",IF(COUNTIF(RATEIOS!$A$2:$A$3142,$A2805)-COUNTIFS(RATEIOS!$A$2:$A$3142,$A2805,RATEIOS!$D$2:$D$3142,"&lt;&gt;")&gt;0,"NÃO CLASSIFICADO","RATEIO OK"))))</f>
        <v/>
      </c>
      <c r="R2805" s="49"/>
      <c r="S2805" s="14"/>
    </row>
    <row r="2806" spans="1:19" ht="30" customHeight="1" x14ac:dyDescent="0.25">
      <c r="A2806" s="49" t="str">
        <f>IF(C2806="","","BAN-02805")</f>
        <v/>
      </c>
      <c r="B2806" s="98" t="str">
        <f>IF(C2806="","",2805)</f>
        <v/>
      </c>
      <c r="C2806" s="50"/>
      <c r="D2806" s="49" t="str">
        <f t="shared" si="87"/>
        <v/>
      </c>
      <c r="E2806" s="92"/>
      <c r="F2806" s="49"/>
      <c r="G2806" s="14"/>
      <c r="H2806" s="14"/>
      <c r="I2806" s="76"/>
      <c r="J2806" s="73"/>
      <c r="K2806" s="74"/>
      <c r="L2806" s="72"/>
      <c r="M2806" s="72"/>
      <c r="N2806" s="72" t="str">
        <f>IF(AND(C2806="",J2806=0,K2806=0,L2806=0,M2806=0),"",CADASTROS!$B$4+SUM($J$2:J2806)+SUM($M$2:M2806)-SUM($K$2:K2806)-SUM($L$2:L2806))</f>
        <v/>
      </c>
      <c r="O2806" s="72" t="str">
        <f>IF(A2806="","",SUMIF(RATEIOS!$A$2:$A$3142,$A2806,RATEIOS!$F$2:$F$3142))</f>
        <v/>
      </c>
      <c r="P2806" s="15" t="str">
        <f t="shared" si="88"/>
        <v/>
      </c>
      <c r="Q2806" s="49" t="str">
        <f>IF(AND(J2806=0,K2806=0,L2806=0,M2806=0),"",IF(O2806=0,"PENDENTE DE RATEIO",IF(ABS(P2806)&gt;0.005,"DIVERGÊNCIA",IF(COUNTIF(RATEIOS!$A$2:$A$3142,$A2806)-COUNTIFS(RATEIOS!$A$2:$A$3142,$A2806,RATEIOS!$D$2:$D$3142,"&lt;&gt;")&gt;0,"NÃO CLASSIFICADO","RATEIO OK"))))</f>
        <v/>
      </c>
      <c r="R2806" s="49"/>
      <c r="S2806" s="14"/>
    </row>
    <row r="2807" spans="1:19" ht="30" customHeight="1" x14ac:dyDescent="0.25">
      <c r="A2807" s="49" t="str">
        <f>IF(C2807="","","BAN-02806")</f>
        <v/>
      </c>
      <c r="B2807" s="98" t="str">
        <f>IF(C2807="","",2806)</f>
        <v/>
      </c>
      <c r="C2807" s="50"/>
      <c r="D2807" s="49" t="str">
        <f t="shared" si="87"/>
        <v/>
      </c>
      <c r="E2807" s="92"/>
      <c r="F2807" s="49"/>
      <c r="G2807" s="14"/>
      <c r="H2807" s="14"/>
      <c r="I2807" s="76"/>
      <c r="J2807" s="73"/>
      <c r="K2807" s="74"/>
      <c r="L2807" s="72"/>
      <c r="M2807" s="72"/>
      <c r="N2807" s="72" t="str">
        <f>IF(AND(C2807="",J2807=0,K2807=0,L2807=0,M2807=0),"",CADASTROS!$B$4+SUM($J$2:J2807)+SUM($M$2:M2807)-SUM($K$2:K2807)-SUM($L$2:L2807))</f>
        <v/>
      </c>
      <c r="O2807" s="72" t="str">
        <f>IF(A2807="","",SUMIF(RATEIOS!$A$2:$A$3142,$A2807,RATEIOS!$F$2:$F$3142))</f>
        <v/>
      </c>
      <c r="P2807" s="15" t="str">
        <f t="shared" si="88"/>
        <v/>
      </c>
      <c r="Q2807" s="49" t="str">
        <f>IF(AND(J2807=0,K2807=0,L2807=0,M2807=0),"",IF(O2807=0,"PENDENTE DE RATEIO",IF(ABS(P2807)&gt;0.005,"DIVERGÊNCIA",IF(COUNTIF(RATEIOS!$A$2:$A$3142,$A2807)-COUNTIFS(RATEIOS!$A$2:$A$3142,$A2807,RATEIOS!$D$2:$D$3142,"&lt;&gt;")&gt;0,"NÃO CLASSIFICADO","RATEIO OK"))))</f>
        <v/>
      </c>
      <c r="R2807" s="49"/>
      <c r="S2807" s="14"/>
    </row>
    <row r="2808" spans="1:19" ht="30" customHeight="1" x14ac:dyDescent="0.25">
      <c r="A2808" s="49" t="str">
        <f>IF(C2808="","","BAN-02807")</f>
        <v/>
      </c>
      <c r="B2808" s="98" t="str">
        <f>IF(C2808="","",2807)</f>
        <v/>
      </c>
      <c r="C2808" s="50"/>
      <c r="D2808" s="49" t="str">
        <f t="shared" si="87"/>
        <v/>
      </c>
      <c r="E2808" s="92"/>
      <c r="F2808" s="49"/>
      <c r="G2808" s="14"/>
      <c r="H2808" s="14"/>
      <c r="I2808" s="76"/>
      <c r="J2808" s="73"/>
      <c r="K2808" s="74"/>
      <c r="L2808" s="72"/>
      <c r="M2808" s="72"/>
      <c r="N2808" s="72" t="str">
        <f>IF(AND(C2808="",J2808=0,K2808=0,L2808=0,M2808=0),"",CADASTROS!$B$4+SUM($J$2:J2808)+SUM($M$2:M2808)-SUM($K$2:K2808)-SUM($L$2:L2808))</f>
        <v/>
      </c>
      <c r="O2808" s="72" t="str">
        <f>IF(A2808="","",SUMIF(RATEIOS!$A$2:$A$3142,$A2808,RATEIOS!$F$2:$F$3142))</f>
        <v/>
      </c>
      <c r="P2808" s="15" t="str">
        <f t="shared" si="88"/>
        <v/>
      </c>
      <c r="Q2808" s="49" t="str">
        <f>IF(AND(J2808=0,K2808=0,L2808=0,M2808=0),"",IF(O2808=0,"PENDENTE DE RATEIO",IF(ABS(P2808)&gt;0.005,"DIVERGÊNCIA",IF(COUNTIF(RATEIOS!$A$2:$A$3142,$A2808)-COUNTIFS(RATEIOS!$A$2:$A$3142,$A2808,RATEIOS!$D$2:$D$3142,"&lt;&gt;")&gt;0,"NÃO CLASSIFICADO","RATEIO OK"))))</f>
        <v/>
      </c>
      <c r="R2808" s="49"/>
      <c r="S2808" s="14"/>
    </row>
    <row r="2809" spans="1:19" ht="30" customHeight="1" x14ac:dyDescent="0.25">
      <c r="A2809" s="49" t="str">
        <f>IF(C2809="","","BAN-02808")</f>
        <v/>
      </c>
      <c r="B2809" s="98" t="str">
        <f>IF(C2809="","",2808)</f>
        <v/>
      </c>
      <c r="C2809" s="50"/>
      <c r="D2809" s="49" t="str">
        <f t="shared" si="87"/>
        <v/>
      </c>
      <c r="E2809" s="92"/>
      <c r="F2809" s="49"/>
      <c r="G2809" s="14"/>
      <c r="H2809" s="14"/>
      <c r="I2809" s="76"/>
      <c r="J2809" s="73"/>
      <c r="K2809" s="74"/>
      <c r="L2809" s="72"/>
      <c r="M2809" s="72"/>
      <c r="N2809" s="72" t="str">
        <f>IF(AND(C2809="",J2809=0,K2809=0,L2809=0,M2809=0),"",CADASTROS!$B$4+SUM($J$2:J2809)+SUM($M$2:M2809)-SUM($K$2:K2809)-SUM($L$2:L2809))</f>
        <v/>
      </c>
      <c r="O2809" s="72" t="str">
        <f>IF(A2809="","",SUMIF(RATEIOS!$A$2:$A$3142,$A2809,RATEIOS!$F$2:$F$3142))</f>
        <v/>
      </c>
      <c r="P2809" s="15" t="str">
        <f t="shared" si="88"/>
        <v/>
      </c>
      <c r="Q2809" s="49" t="str">
        <f>IF(AND(J2809=0,K2809=0,L2809=0,M2809=0),"",IF(O2809=0,"PENDENTE DE RATEIO",IF(ABS(P2809)&gt;0.005,"DIVERGÊNCIA",IF(COUNTIF(RATEIOS!$A$2:$A$3142,$A2809)-COUNTIFS(RATEIOS!$A$2:$A$3142,$A2809,RATEIOS!$D$2:$D$3142,"&lt;&gt;")&gt;0,"NÃO CLASSIFICADO","RATEIO OK"))))</f>
        <v/>
      </c>
      <c r="R2809" s="49"/>
      <c r="S2809" s="14"/>
    </row>
    <row r="2810" spans="1:19" ht="30" customHeight="1" x14ac:dyDescent="0.25">
      <c r="A2810" s="49" t="str">
        <f>IF(C2810="","","BAN-02809")</f>
        <v/>
      </c>
      <c r="B2810" s="98" t="str">
        <f>IF(C2810="","",2809)</f>
        <v/>
      </c>
      <c r="C2810" s="50"/>
      <c r="D2810" s="49" t="str">
        <f t="shared" si="87"/>
        <v/>
      </c>
      <c r="E2810" s="92"/>
      <c r="F2810" s="49"/>
      <c r="G2810" s="14"/>
      <c r="H2810" s="14"/>
      <c r="I2810" s="76"/>
      <c r="J2810" s="73"/>
      <c r="K2810" s="74"/>
      <c r="L2810" s="72"/>
      <c r="M2810" s="72"/>
      <c r="N2810" s="72" t="str">
        <f>IF(AND(C2810="",J2810=0,K2810=0,L2810=0,M2810=0),"",CADASTROS!$B$4+SUM($J$2:J2810)+SUM($M$2:M2810)-SUM($K$2:K2810)-SUM($L$2:L2810))</f>
        <v/>
      </c>
      <c r="O2810" s="72" t="str">
        <f>IF(A2810="","",SUMIF(RATEIOS!$A$2:$A$3142,$A2810,RATEIOS!$F$2:$F$3142))</f>
        <v/>
      </c>
      <c r="P2810" s="15" t="str">
        <f t="shared" si="88"/>
        <v/>
      </c>
      <c r="Q2810" s="49" t="str">
        <f>IF(AND(J2810=0,K2810=0,L2810=0,M2810=0),"",IF(O2810=0,"PENDENTE DE RATEIO",IF(ABS(P2810)&gt;0.005,"DIVERGÊNCIA",IF(COUNTIF(RATEIOS!$A$2:$A$3142,$A2810)-COUNTIFS(RATEIOS!$A$2:$A$3142,$A2810,RATEIOS!$D$2:$D$3142,"&lt;&gt;")&gt;0,"NÃO CLASSIFICADO","RATEIO OK"))))</f>
        <v/>
      </c>
      <c r="R2810" s="49"/>
      <c r="S2810" s="14"/>
    </row>
    <row r="2811" spans="1:19" ht="30" customHeight="1" x14ac:dyDescent="0.25">
      <c r="A2811" s="49" t="str">
        <f>IF(C2811="","","BAN-02810")</f>
        <v/>
      </c>
      <c r="B2811" s="98" t="str">
        <f>IF(C2811="","",2810)</f>
        <v/>
      </c>
      <c r="C2811" s="50"/>
      <c r="D2811" s="49" t="str">
        <f t="shared" si="87"/>
        <v/>
      </c>
      <c r="E2811" s="92"/>
      <c r="F2811" s="49"/>
      <c r="G2811" s="14"/>
      <c r="H2811" s="14"/>
      <c r="I2811" s="76"/>
      <c r="J2811" s="73"/>
      <c r="K2811" s="74"/>
      <c r="L2811" s="72"/>
      <c r="M2811" s="72"/>
      <c r="N2811" s="72" t="str">
        <f>IF(AND(C2811="",J2811=0,K2811=0,L2811=0,M2811=0),"",CADASTROS!$B$4+SUM($J$2:J2811)+SUM($M$2:M2811)-SUM($K$2:K2811)-SUM($L$2:L2811))</f>
        <v/>
      </c>
      <c r="O2811" s="72" t="str">
        <f>IF(A2811="","",SUMIF(RATEIOS!$A$2:$A$3142,$A2811,RATEIOS!$F$2:$F$3142))</f>
        <v/>
      </c>
      <c r="P2811" s="15" t="str">
        <f t="shared" si="88"/>
        <v/>
      </c>
      <c r="Q2811" s="49" t="str">
        <f>IF(AND(J2811=0,K2811=0,L2811=0,M2811=0),"",IF(O2811=0,"PENDENTE DE RATEIO",IF(ABS(P2811)&gt;0.005,"DIVERGÊNCIA",IF(COUNTIF(RATEIOS!$A$2:$A$3142,$A2811)-COUNTIFS(RATEIOS!$A$2:$A$3142,$A2811,RATEIOS!$D$2:$D$3142,"&lt;&gt;")&gt;0,"NÃO CLASSIFICADO","RATEIO OK"))))</f>
        <v/>
      </c>
      <c r="R2811" s="49"/>
      <c r="S2811" s="14"/>
    </row>
    <row r="2812" spans="1:19" ht="30" customHeight="1" x14ac:dyDescent="0.25">
      <c r="A2812" s="49" t="str">
        <f>IF(C2812="","","BAN-02811")</f>
        <v/>
      </c>
      <c r="B2812" s="98" t="str">
        <f>IF(C2812="","",2811)</f>
        <v/>
      </c>
      <c r="C2812" s="50"/>
      <c r="D2812" s="49" t="str">
        <f t="shared" si="87"/>
        <v/>
      </c>
      <c r="E2812" s="92"/>
      <c r="F2812" s="49"/>
      <c r="G2812" s="14"/>
      <c r="H2812" s="14"/>
      <c r="I2812" s="76"/>
      <c r="J2812" s="73"/>
      <c r="K2812" s="74"/>
      <c r="L2812" s="72"/>
      <c r="M2812" s="72"/>
      <c r="N2812" s="72" t="str">
        <f>IF(AND(C2812="",J2812=0,K2812=0,L2812=0,M2812=0),"",CADASTROS!$B$4+SUM($J$2:J2812)+SUM($M$2:M2812)-SUM($K$2:K2812)-SUM($L$2:L2812))</f>
        <v/>
      </c>
      <c r="O2812" s="72" t="str">
        <f>IF(A2812="","",SUMIF(RATEIOS!$A$2:$A$3142,$A2812,RATEIOS!$F$2:$F$3142))</f>
        <v/>
      </c>
      <c r="P2812" s="15" t="str">
        <f t="shared" si="88"/>
        <v/>
      </c>
      <c r="Q2812" s="49" t="str">
        <f>IF(AND(J2812=0,K2812=0,L2812=0,M2812=0),"",IF(O2812=0,"PENDENTE DE RATEIO",IF(ABS(P2812)&gt;0.005,"DIVERGÊNCIA",IF(COUNTIF(RATEIOS!$A$2:$A$3142,$A2812)-COUNTIFS(RATEIOS!$A$2:$A$3142,$A2812,RATEIOS!$D$2:$D$3142,"&lt;&gt;")&gt;0,"NÃO CLASSIFICADO","RATEIO OK"))))</f>
        <v/>
      </c>
      <c r="R2812" s="49"/>
      <c r="S2812" s="14"/>
    </row>
    <row r="2813" spans="1:19" ht="30" customHeight="1" x14ac:dyDescent="0.25">
      <c r="A2813" s="49" t="str">
        <f>IF(C2813="","","BAN-02812")</f>
        <v/>
      </c>
      <c r="B2813" s="98" t="str">
        <f>IF(C2813="","",2812)</f>
        <v/>
      </c>
      <c r="C2813" s="50"/>
      <c r="D2813" s="49" t="str">
        <f t="shared" si="87"/>
        <v/>
      </c>
      <c r="E2813" s="92"/>
      <c r="F2813" s="49"/>
      <c r="G2813" s="14"/>
      <c r="H2813" s="14"/>
      <c r="I2813" s="76"/>
      <c r="J2813" s="73"/>
      <c r="K2813" s="74"/>
      <c r="L2813" s="72"/>
      <c r="M2813" s="72"/>
      <c r="N2813" s="72" t="str">
        <f>IF(AND(C2813="",J2813=0,K2813=0,L2813=0,M2813=0),"",CADASTROS!$B$4+SUM($J$2:J2813)+SUM($M$2:M2813)-SUM($K$2:K2813)-SUM($L$2:L2813))</f>
        <v/>
      </c>
      <c r="O2813" s="72" t="str">
        <f>IF(A2813="","",SUMIF(RATEIOS!$A$2:$A$3142,$A2813,RATEIOS!$F$2:$F$3142))</f>
        <v/>
      </c>
      <c r="P2813" s="15" t="str">
        <f t="shared" si="88"/>
        <v/>
      </c>
      <c r="Q2813" s="49" t="str">
        <f>IF(AND(J2813=0,K2813=0,L2813=0,M2813=0),"",IF(O2813=0,"PENDENTE DE RATEIO",IF(ABS(P2813)&gt;0.005,"DIVERGÊNCIA",IF(COUNTIF(RATEIOS!$A$2:$A$3142,$A2813)-COUNTIFS(RATEIOS!$A$2:$A$3142,$A2813,RATEIOS!$D$2:$D$3142,"&lt;&gt;")&gt;0,"NÃO CLASSIFICADO","RATEIO OK"))))</f>
        <v/>
      </c>
      <c r="R2813" s="49"/>
      <c r="S2813" s="14"/>
    </row>
    <row r="2814" spans="1:19" ht="30" customHeight="1" x14ac:dyDescent="0.25">
      <c r="A2814" s="49" t="str">
        <f>IF(C2814="","","BAN-02813")</f>
        <v/>
      </c>
      <c r="B2814" s="98" t="str">
        <f>IF(C2814="","",2813)</f>
        <v/>
      </c>
      <c r="C2814" s="50"/>
      <c r="D2814" s="49" t="str">
        <f t="shared" si="87"/>
        <v/>
      </c>
      <c r="E2814" s="92"/>
      <c r="F2814" s="49"/>
      <c r="G2814" s="14"/>
      <c r="H2814" s="14"/>
      <c r="I2814" s="76"/>
      <c r="J2814" s="73"/>
      <c r="K2814" s="74"/>
      <c r="L2814" s="72"/>
      <c r="M2814" s="72"/>
      <c r="N2814" s="72" t="str">
        <f>IF(AND(C2814="",J2814=0,K2814=0,L2814=0,M2814=0),"",CADASTROS!$B$4+SUM($J$2:J2814)+SUM($M$2:M2814)-SUM($K$2:K2814)-SUM($L$2:L2814))</f>
        <v/>
      </c>
      <c r="O2814" s="72" t="str">
        <f>IF(A2814="","",SUMIF(RATEIOS!$A$2:$A$3142,$A2814,RATEIOS!$F$2:$F$3142))</f>
        <v/>
      </c>
      <c r="P2814" s="15" t="str">
        <f t="shared" si="88"/>
        <v/>
      </c>
      <c r="Q2814" s="49" t="str">
        <f>IF(AND(J2814=0,K2814=0,L2814=0,M2814=0),"",IF(O2814=0,"PENDENTE DE RATEIO",IF(ABS(P2814)&gt;0.005,"DIVERGÊNCIA",IF(COUNTIF(RATEIOS!$A$2:$A$3142,$A2814)-COUNTIFS(RATEIOS!$A$2:$A$3142,$A2814,RATEIOS!$D$2:$D$3142,"&lt;&gt;")&gt;0,"NÃO CLASSIFICADO","RATEIO OK"))))</f>
        <v/>
      </c>
      <c r="R2814" s="49"/>
      <c r="S2814" s="14"/>
    </row>
    <row r="2815" spans="1:19" ht="30" customHeight="1" x14ac:dyDescent="0.25">
      <c r="A2815" s="49" t="str">
        <f>IF(C2815="","","BAN-02814")</f>
        <v/>
      </c>
      <c r="B2815" s="98" t="str">
        <f>IF(C2815="","",2814)</f>
        <v/>
      </c>
      <c r="C2815" s="50"/>
      <c r="D2815" s="49" t="str">
        <f t="shared" si="87"/>
        <v/>
      </c>
      <c r="E2815" s="92"/>
      <c r="F2815" s="49"/>
      <c r="G2815" s="14"/>
      <c r="H2815" s="14"/>
      <c r="I2815" s="76"/>
      <c r="J2815" s="73"/>
      <c r="K2815" s="74"/>
      <c r="L2815" s="72"/>
      <c r="M2815" s="72"/>
      <c r="N2815" s="72" t="str">
        <f>IF(AND(C2815="",J2815=0,K2815=0,L2815=0,M2815=0),"",CADASTROS!$B$4+SUM($J$2:J2815)+SUM($M$2:M2815)-SUM($K$2:K2815)-SUM($L$2:L2815))</f>
        <v/>
      </c>
      <c r="O2815" s="72" t="str">
        <f>IF(A2815="","",SUMIF(RATEIOS!$A$2:$A$3142,$A2815,RATEIOS!$F$2:$F$3142))</f>
        <v/>
      </c>
      <c r="P2815" s="15" t="str">
        <f t="shared" si="88"/>
        <v/>
      </c>
      <c r="Q2815" s="49" t="str">
        <f>IF(AND(J2815=0,K2815=0,L2815=0,M2815=0),"",IF(O2815=0,"PENDENTE DE RATEIO",IF(ABS(P2815)&gt;0.005,"DIVERGÊNCIA",IF(COUNTIF(RATEIOS!$A$2:$A$3142,$A2815)-COUNTIFS(RATEIOS!$A$2:$A$3142,$A2815,RATEIOS!$D$2:$D$3142,"&lt;&gt;")&gt;0,"NÃO CLASSIFICADO","RATEIO OK"))))</f>
        <v/>
      </c>
      <c r="R2815" s="49"/>
      <c r="S2815" s="14"/>
    </row>
    <row r="2816" spans="1:19" ht="30" customHeight="1" x14ac:dyDescent="0.25">
      <c r="A2816" s="49" t="str">
        <f>IF(C2816="","","BAN-02815")</f>
        <v/>
      </c>
      <c r="B2816" s="98" t="str">
        <f>IF(C2816="","",2815)</f>
        <v/>
      </c>
      <c r="C2816" s="50"/>
      <c r="D2816" s="49" t="str">
        <f t="shared" si="87"/>
        <v/>
      </c>
      <c r="E2816" s="92"/>
      <c r="F2816" s="49"/>
      <c r="G2816" s="14"/>
      <c r="H2816" s="14"/>
      <c r="I2816" s="76"/>
      <c r="J2816" s="73"/>
      <c r="K2816" s="74"/>
      <c r="L2816" s="72"/>
      <c r="M2816" s="72"/>
      <c r="N2816" s="72" t="str">
        <f>IF(AND(C2816="",J2816=0,K2816=0,L2816=0,M2816=0),"",CADASTROS!$B$4+SUM($J$2:J2816)+SUM($M$2:M2816)-SUM($K$2:K2816)-SUM($L$2:L2816))</f>
        <v/>
      </c>
      <c r="O2816" s="72" t="str">
        <f>IF(A2816="","",SUMIF(RATEIOS!$A$2:$A$3142,$A2816,RATEIOS!$F$2:$F$3142))</f>
        <v/>
      </c>
      <c r="P2816" s="15" t="str">
        <f t="shared" si="88"/>
        <v/>
      </c>
      <c r="Q2816" s="49" t="str">
        <f>IF(AND(J2816=0,K2816=0,L2816=0,M2816=0),"",IF(O2816=0,"PENDENTE DE RATEIO",IF(ABS(P2816)&gt;0.005,"DIVERGÊNCIA",IF(COUNTIF(RATEIOS!$A$2:$A$3142,$A2816)-COUNTIFS(RATEIOS!$A$2:$A$3142,$A2816,RATEIOS!$D$2:$D$3142,"&lt;&gt;")&gt;0,"NÃO CLASSIFICADO","RATEIO OK"))))</f>
        <v/>
      </c>
      <c r="R2816" s="49"/>
      <c r="S2816" s="14"/>
    </row>
    <row r="2817" spans="1:19" ht="30" customHeight="1" x14ac:dyDescent="0.25">
      <c r="A2817" s="49" t="str">
        <f>IF(C2817="","","BAN-02816")</f>
        <v/>
      </c>
      <c r="B2817" s="98" t="str">
        <f>IF(C2817="","",2816)</f>
        <v/>
      </c>
      <c r="C2817" s="50"/>
      <c r="D2817" s="49" t="str">
        <f t="shared" si="87"/>
        <v/>
      </c>
      <c r="E2817" s="92"/>
      <c r="F2817" s="49"/>
      <c r="G2817" s="14"/>
      <c r="H2817" s="14"/>
      <c r="I2817" s="76"/>
      <c r="J2817" s="73"/>
      <c r="K2817" s="74"/>
      <c r="L2817" s="72"/>
      <c r="M2817" s="72"/>
      <c r="N2817" s="72" t="str">
        <f>IF(AND(C2817="",J2817=0,K2817=0,L2817=0,M2817=0),"",CADASTROS!$B$4+SUM($J$2:J2817)+SUM($M$2:M2817)-SUM($K$2:K2817)-SUM($L$2:L2817))</f>
        <v/>
      </c>
      <c r="O2817" s="72" t="str">
        <f>IF(A2817="","",SUMIF(RATEIOS!$A$2:$A$3142,$A2817,RATEIOS!$F$2:$F$3142))</f>
        <v/>
      </c>
      <c r="P2817" s="15" t="str">
        <f t="shared" si="88"/>
        <v/>
      </c>
      <c r="Q2817" s="49" t="str">
        <f>IF(AND(J2817=0,K2817=0,L2817=0,M2817=0),"",IF(O2817=0,"PENDENTE DE RATEIO",IF(ABS(P2817)&gt;0.005,"DIVERGÊNCIA",IF(COUNTIF(RATEIOS!$A$2:$A$3142,$A2817)-COUNTIFS(RATEIOS!$A$2:$A$3142,$A2817,RATEIOS!$D$2:$D$3142,"&lt;&gt;")&gt;0,"NÃO CLASSIFICADO","RATEIO OK"))))</f>
        <v/>
      </c>
      <c r="R2817" s="49"/>
      <c r="S2817" s="14"/>
    </row>
    <row r="2818" spans="1:19" ht="30" customHeight="1" x14ac:dyDescent="0.25">
      <c r="A2818" s="49" t="str">
        <f>IF(C2818="","","BAN-02817")</f>
        <v/>
      </c>
      <c r="B2818" s="98" t="str">
        <f>IF(C2818="","",2817)</f>
        <v/>
      </c>
      <c r="C2818" s="50"/>
      <c r="D2818" s="49" t="str">
        <f t="shared" ref="D2818:D2881" si="89">IF(C2818="","",MONTH(C2818))</f>
        <v/>
      </c>
      <c r="E2818" s="92"/>
      <c r="F2818" s="49"/>
      <c r="G2818" s="14"/>
      <c r="H2818" s="14"/>
      <c r="I2818" s="76"/>
      <c r="J2818" s="73"/>
      <c r="K2818" s="74"/>
      <c r="L2818" s="72"/>
      <c r="M2818" s="72"/>
      <c r="N2818" s="72" t="str">
        <f>IF(AND(C2818="",J2818=0,K2818=0,L2818=0,M2818=0),"",CADASTROS!$B$4+SUM($J$2:J2818)+SUM($M$2:M2818)-SUM($K$2:K2818)-SUM($L$2:L2818))</f>
        <v/>
      </c>
      <c r="O2818" s="72" t="str">
        <f>IF(A2818="","",SUMIF(RATEIOS!$A$2:$A$3142,$A2818,RATEIOS!$F$2:$F$3142))</f>
        <v/>
      </c>
      <c r="P2818" s="15" t="str">
        <f t="shared" ref="P2818:P2881" si="90">IF(A2818="","",(J2818+K2818+L2818+M2818)-O2818)</f>
        <v/>
      </c>
      <c r="Q2818" s="49" t="str">
        <f>IF(AND(J2818=0,K2818=0,L2818=0,M2818=0),"",IF(O2818=0,"PENDENTE DE RATEIO",IF(ABS(P2818)&gt;0.005,"DIVERGÊNCIA",IF(COUNTIF(RATEIOS!$A$2:$A$3142,$A2818)-COUNTIFS(RATEIOS!$A$2:$A$3142,$A2818,RATEIOS!$D$2:$D$3142,"&lt;&gt;")&gt;0,"NÃO CLASSIFICADO","RATEIO OK"))))</f>
        <v/>
      </c>
      <c r="R2818" s="49"/>
      <c r="S2818" s="14"/>
    </row>
    <row r="2819" spans="1:19" ht="30" customHeight="1" x14ac:dyDescent="0.25">
      <c r="A2819" s="49" t="str">
        <f>IF(C2819="","","BAN-02818")</f>
        <v/>
      </c>
      <c r="B2819" s="98" t="str">
        <f>IF(C2819="","",2818)</f>
        <v/>
      </c>
      <c r="C2819" s="50"/>
      <c r="D2819" s="49" t="str">
        <f t="shared" si="89"/>
        <v/>
      </c>
      <c r="E2819" s="92"/>
      <c r="F2819" s="49"/>
      <c r="G2819" s="14"/>
      <c r="H2819" s="14"/>
      <c r="I2819" s="76"/>
      <c r="J2819" s="73"/>
      <c r="K2819" s="74"/>
      <c r="L2819" s="72"/>
      <c r="M2819" s="72"/>
      <c r="N2819" s="72" t="str">
        <f>IF(AND(C2819="",J2819=0,K2819=0,L2819=0,M2819=0),"",CADASTROS!$B$4+SUM($J$2:J2819)+SUM($M$2:M2819)-SUM($K$2:K2819)-SUM($L$2:L2819))</f>
        <v/>
      </c>
      <c r="O2819" s="72" t="str">
        <f>IF(A2819="","",SUMIF(RATEIOS!$A$2:$A$3142,$A2819,RATEIOS!$F$2:$F$3142))</f>
        <v/>
      </c>
      <c r="P2819" s="15" t="str">
        <f t="shared" si="90"/>
        <v/>
      </c>
      <c r="Q2819" s="49" t="str">
        <f>IF(AND(J2819=0,K2819=0,L2819=0,M2819=0),"",IF(O2819=0,"PENDENTE DE RATEIO",IF(ABS(P2819)&gt;0.005,"DIVERGÊNCIA",IF(COUNTIF(RATEIOS!$A$2:$A$3142,$A2819)-COUNTIFS(RATEIOS!$A$2:$A$3142,$A2819,RATEIOS!$D$2:$D$3142,"&lt;&gt;")&gt;0,"NÃO CLASSIFICADO","RATEIO OK"))))</f>
        <v/>
      </c>
      <c r="R2819" s="49"/>
      <c r="S2819" s="14"/>
    </row>
    <row r="2820" spans="1:19" ht="30" customHeight="1" x14ac:dyDescent="0.25">
      <c r="A2820" s="49" t="str">
        <f>IF(C2820="","","BAN-02819")</f>
        <v/>
      </c>
      <c r="B2820" s="98" t="str">
        <f>IF(C2820="","",2819)</f>
        <v/>
      </c>
      <c r="C2820" s="50"/>
      <c r="D2820" s="49" t="str">
        <f t="shared" si="89"/>
        <v/>
      </c>
      <c r="E2820" s="92"/>
      <c r="F2820" s="49"/>
      <c r="G2820" s="14"/>
      <c r="H2820" s="14"/>
      <c r="I2820" s="76"/>
      <c r="J2820" s="73"/>
      <c r="K2820" s="74"/>
      <c r="L2820" s="72"/>
      <c r="M2820" s="72"/>
      <c r="N2820" s="72" t="str">
        <f>IF(AND(C2820="",J2820=0,K2820=0,L2820=0,M2820=0),"",CADASTROS!$B$4+SUM($J$2:J2820)+SUM($M$2:M2820)-SUM($K$2:K2820)-SUM($L$2:L2820))</f>
        <v/>
      </c>
      <c r="O2820" s="72" t="str">
        <f>IF(A2820="","",SUMIF(RATEIOS!$A$2:$A$3142,$A2820,RATEIOS!$F$2:$F$3142))</f>
        <v/>
      </c>
      <c r="P2820" s="15" t="str">
        <f t="shared" si="90"/>
        <v/>
      </c>
      <c r="Q2820" s="49" t="str">
        <f>IF(AND(J2820=0,K2820=0,L2820=0,M2820=0),"",IF(O2820=0,"PENDENTE DE RATEIO",IF(ABS(P2820)&gt;0.005,"DIVERGÊNCIA",IF(COUNTIF(RATEIOS!$A$2:$A$3142,$A2820)-COUNTIFS(RATEIOS!$A$2:$A$3142,$A2820,RATEIOS!$D$2:$D$3142,"&lt;&gt;")&gt;0,"NÃO CLASSIFICADO","RATEIO OK"))))</f>
        <v/>
      </c>
      <c r="R2820" s="49"/>
      <c r="S2820" s="14"/>
    </row>
    <row r="2821" spans="1:19" ht="30" customHeight="1" x14ac:dyDescent="0.25">
      <c r="A2821" s="49" t="str">
        <f>IF(C2821="","","BAN-02820")</f>
        <v/>
      </c>
      <c r="B2821" s="98" t="str">
        <f>IF(C2821="","",2820)</f>
        <v/>
      </c>
      <c r="C2821" s="50"/>
      <c r="D2821" s="49" t="str">
        <f t="shared" si="89"/>
        <v/>
      </c>
      <c r="E2821" s="92"/>
      <c r="F2821" s="49"/>
      <c r="G2821" s="14"/>
      <c r="H2821" s="14"/>
      <c r="I2821" s="76"/>
      <c r="J2821" s="73"/>
      <c r="K2821" s="74"/>
      <c r="L2821" s="72"/>
      <c r="M2821" s="72"/>
      <c r="N2821" s="72" t="str">
        <f>IF(AND(C2821="",J2821=0,K2821=0,L2821=0,M2821=0),"",CADASTROS!$B$4+SUM($J$2:J2821)+SUM($M$2:M2821)-SUM($K$2:K2821)-SUM($L$2:L2821))</f>
        <v/>
      </c>
      <c r="O2821" s="72" t="str">
        <f>IF(A2821="","",SUMIF(RATEIOS!$A$2:$A$3142,$A2821,RATEIOS!$F$2:$F$3142))</f>
        <v/>
      </c>
      <c r="P2821" s="15" t="str">
        <f t="shared" si="90"/>
        <v/>
      </c>
      <c r="Q2821" s="49" t="str">
        <f>IF(AND(J2821=0,K2821=0,L2821=0,M2821=0),"",IF(O2821=0,"PENDENTE DE RATEIO",IF(ABS(P2821)&gt;0.005,"DIVERGÊNCIA",IF(COUNTIF(RATEIOS!$A$2:$A$3142,$A2821)-COUNTIFS(RATEIOS!$A$2:$A$3142,$A2821,RATEIOS!$D$2:$D$3142,"&lt;&gt;")&gt;0,"NÃO CLASSIFICADO","RATEIO OK"))))</f>
        <v/>
      </c>
      <c r="R2821" s="49"/>
      <c r="S2821" s="14"/>
    </row>
    <row r="2822" spans="1:19" ht="30" customHeight="1" x14ac:dyDescent="0.25">
      <c r="A2822" s="49" t="str">
        <f>IF(C2822="","","BAN-02821")</f>
        <v/>
      </c>
      <c r="B2822" s="98" t="str">
        <f>IF(C2822="","",2821)</f>
        <v/>
      </c>
      <c r="C2822" s="50"/>
      <c r="D2822" s="49" t="str">
        <f t="shared" si="89"/>
        <v/>
      </c>
      <c r="E2822" s="92"/>
      <c r="F2822" s="49"/>
      <c r="G2822" s="14"/>
      <c r="H2822" s="14"/>
      <c r="I2822" s="76"/>
      <c r="J2822" s="73"/>
      <c r="K2822" s="74"/>
      <c r="L2822" s="72"/>
      <c r="M2822" s="72"/>
      <c r="N2822" s="72" t="str">
        <f>IF(AND(C2822="",J2822=0,K2822=0,L2822=0,M2822=0),"",CADASTROS!$B$4+SUM($J$2:J2822)+SUM($M$2:M2822)-SUM($K$2:K2822)-SUM($L$2:L2822))</f>
        <v/>
      </c>
      <c r="O2822" s="72" t="str">
        <f>IF(A2822="","",SUMIF(RATEIOS!$A$2:$A$3142,$A2822,RATEIOS!$F$2:$F$3142))</f>
        <v/>
      </c>
      <c r="P2822" s="15" t="str">
        <f t="shared" si="90"/>
        <v/>
      </c>
      <c r="Q2822" s="49" t="str">
        <f>IF(AND(J2822=0,K2822=0,L2822=0,M2822=0),"",IF(O2822=0,"PENDENTE DE RATEIO",IF(ABS(P2822)&gt;0.005,"DIVERGÊNCIA",IF(COUNTIF(RATEIOS!$A$2:$A$3142,$A2822)-COUNTIFS(RATEIOS!$A$2:$A$3142,$A2822,RATEIOS!$D$2:$D$3142,"&lt;&gt;")&gt;0,"NÃO CLASSIFICADO","RATEIO OK"))))</f>
        <v/>
      </c>
      <c r="R2822" s="49"/>
      <c r="S2822" s="14"/>
    </row>
    <row r="2823" spans="1:19" ht="30" customHeight="1" x14ac:dyDescent="0.25">
      <c r="A2823" s="49" t="str">
        <f>IF(C2823="","","BAN-02822")</f>
        <v/>
      </c>
      <c r="B2823" s="98" t="str">
        <f>IF(C2823="","",2822)</f>
        <v/>
      </c>
      <c r="C2823" s="50"/>
      <c r="D2823" s="49" t="str">
        <f t="shared" si="89"/>
        <v/>
      </c>
      <c r="E2823" s="92"/>
      <c r="F2823" s="49"/>
      <c r="G2823" s="14"/>
      <c r="H2823" s="14"/>
      <c r="I2823" s="76"/>
      <c r="J2823" s="73"/>
      <c r="K2823" s="74"/>
      <c r="L2823" s="72"/>
      <c r="M2823" s="72"/>
      <c r="N2823" s="72" t="str">
        <f>IF(AND(C2823="",J2823=0,K2823=0,L2823=0,M2823=0),"",CADASTROS!$B$4+SUM($J$2:J2823)+SUM($M$2:M2823)-SUM($K$2:K2823)-SUM($L$2:L2823))</f>
        <v/>
      </c>
      <c r="O2823" s="72" t="str">
        <f>IF(A2823="","",SUMIF(RATEIOS!$A$2:$A$3142,$A2823,RATEIOS!$F$2:$F$3142))</f>
        <v/>
      </c>
      <c r="P2823" s="15" t="str">
        <f t="shared" si="90"/>
        <v/>
      </c>
      <c r="Q2823" s="49" t="str">
        <f>IF(AND(J2823=0,K2823=0,L2823=0,M2823=0),"",IF(O2823=0,"PENDENTE DE RATEIO",IF(ABS(P2823)&gt;0.005,"DIVERGÊNCIA",IF(COUNTIF(RATEIOS!$A$2:$A$3142,$A2823)-COUNTIFS(RATEIOS!$A$2:$A$3142,$A2823,RATEIOS!$D$2:$D$3142,"&lt;&gt;")&gt;0,"NÃO CLASSIFICADO","RATEIO OK"))))</f>
        <v/>
      </c>
      <c r="R2823" s="49"/>
      <c r="S2823" s="14"/>
    </row>
    <row r="2824" spans="1:19" ht="30" customHeight="1" x14ac:dyDescent="0.25">
      <c r="A2824" s="49" t="str">
        <f>IF(C2824="","","BAN-02823")</f>
        <v/>
      </c>
      <c r="B2824" s="98" t="str">
        <f>IF(C2824="","",2823)</f>
        <v/>
      </c>
      <c r="C2824" s="50"/>
      <c r="D2824" s="49" t="str">
        <f t="shared" si="89"/>
        <v/>
      </c>
      <c r="E2824" s="92"/>
      <c r="F2824" s="49"/>
      <c r="G2824" s="14"/>
      <c r="H2824" s="14"/>
      <c r="I2824" s="76"/>
      <c r="J2824" s="73"/>
      <c r="K2824" s="74"/>
      <c r="L2824" s="72"/>
      <c r="M2824" s="72"/>
      <c r="N2824" s="72" t="str">
        <f>IF(AND(C2824="",J2824=0,K2824=0,L2824=0,M2824=0),"",CADASTROS!$B$4+SUM($J$2:J2824)+SUM($M$2:M2824)-SUM($K$2:K2824)-SUM($L$2:L2824))</f>
        <v/>
      </c>
      <c r="O2824" s="72" t="str">
        <f>IF(A2824="","",SUMIF(RATEIOS!$A$2:$A$3142,$A2824,RATEIOS!$F$2:$F$3142))</f>
        <v/>
      </c>
      <c r="P2824" s="15" t="str">
        <f t="shared" si="90"/>
        <v/>
      </c>
      <c r="Q2824" s="49" t="str">
        <f>IF(AND(J2824=0,K2824=0,L2824=0,M2824=0),"",IF(O2824=0,"PENDENTE DE RATEIO",IF(ABS(P2824)&gt;0.005,"DIVERGÊNCIA",IF(COUNTIF(RATEIOS!$A$2:$A$3142,$A2824)-COUNTIFS(RATEIOS!$A$2:$A$3142,$A2824,RATEIOS!$D$2:$D$3142,"&lt;&gt;")&gt;0,"NÃO CLASSIFICADO","RATEIO OK"))))</f>
        <v/>
      </c>
      <c r="R2824" s="49"/>
      <c r="S2824" s="14"/>
    </row>
    <row r="2825" spans="1:19" ht="30" customHeight="1" x14ac:dyDescent="0.25">
      <c r="A2825" s="49" t="str">
        <f>IF(C2825="","","BAN-02824")</f>
        <v/>
      </c>
      <c r="B2825" s="98" t="str">
        <f>IF(C2825="","",2824)</f>
        <v/>
      </c>
      <c r="C2825" s="50"/>
      <c r="D2825" s="49" t="str">
        <f t="shared" si="89"/>
        <v/>
      </c>
      <c r="E2825" s="92"/>
      <c r="F2825" s="49"/>
      <c r="G2825" s="14"/>
      <c r="H2825" s="14"/>
      <c r="I2825" s="76"/>
      <c r="J2825" s="73"/>
      <c r="K2825" s="74"/>
      <c r="L2825" s="72"/>
      <c r="M2825" s="72"/>
      <c r="N2825" s="72" t="str">
        <f>IF(AND(C2825="",J2825=0,K2825=0,L2825=0,M2825=0),"",CADASTROS!$B$4+SUM($J$2:J2825)+SUM($M$2:M2825)-SUM($K$2:K2825)-SUM($L$2:L2825))</f>
        <v/>
      </c>
      <c r="O2825" s="72" t="str">
        <f>IF(A2825="","",SUMIF(RATEIOS!$A$2:$A$3142,$A2825,RATEIOS!$F$2:$F$3142))</f>
        <v/>
      </c>
      <c r="P2825" s="15" t="str">
        <f t="shared" si="90"/>
        <v/>
      </c>
      <c r="Q2825" s="49" t="str">
        <f>IF(AND(J2825=0,K2825=0,L2825=0,M2825=0),"",IF(O2825=0,"PENDENTE DE RATEIO",IF(ABS(P2825)&gt;0.005,"DIVERGÊNCIA",IF(COUNTIF(RATEIOS!$A$2:$A$3142,$A2825)-COUNTIFS(RATEIOS!$A$2:$A$3142,$A2825,RATEIOS!$D$2:$D$3142,"&lt;&gt;")&gt;0,"NÃO CLASSIFICADO","RATEIO OK"))))</f>
        <v/>
      </c>
      <c r="R2825" s="49"/>
      <c r="S2825" s="14"/>
    </row>
    <row r="2826" spans="1:19" ht="30" customHeight="1" x14ac:dyDescent="0.25">
      <c r="A2826" s="49" t="str">
        <f>IF(C2826="","","BAN-02825")</f>
        <v/>
      </c>
      <c r="B2826" s="98" t="str">
        <f>IF(C2826="","",2825)</f>
        <v/>
      </c>
      <c r="C2826" s="50"/>
      <c r="D2826" s="49" t="str">
        <f t="shared" si="89"/>
        <v/>
      </c>
      <c r="E2826" s="92"/>
      <c r="F2826" s="49"/>
      <c r="G2826" s="14"/>
      <c r="H2826" s="14"/>
      <c r="I2826" s="76"/>
      <c r="J2826" s="73"/>
      <c r="K2826" s="74"/>
      <c r="L2826" s="72"/>
      <c r="M2826" s="72"/>
      <c r="N2826" s="72" t="str">
        <f>IF(AND(C2826="",J2826=0,K2826=0,L2826=0,M2826=0),"",CADASTROS!$B$4+SUM($J$2:J2826)+SUM($M$2:M2826)-SUM($K$2:K2826)-SUM($L$2:L2826))</f>
        <v/>
      </c>
      <c r="O2826" s="72" t="str">
        <f>IF(A2826="","",SUMIF(RATEIOS!$A$2:$A$3142,$A2826,RATEIOS!$F$2:$F$3142))</f>
        <v/>
      </c>
      <c r="P2826" s="15" t="str">
        <f t="shared" si="90"/>
        <v/>
      </c>
      <c r="Q2826" s="49" t="str">
        <f>IF(AND(J2826=0,K2826=0,L2826=0,M2826=0),"",IF(O2826=0,"PENDENTE DE RATEIO",IF(ABS(P2826)&gt;0.005,"DIVERGÊNCIA",IF(COUNTIF(RATEIOS!$A$2:$A$3142,$A2826)-COUNTIFS(RATEIOS!$A$2:$A$3142,$A2826,RATEIOS!$D$2:$D$3142,"&lt;&gt;")&gt;0,"NÃO CLASSIFICADO","RATEIO OK"))))</f>
        <v/>
      </c>
      <c r="R2826" s="49"/>
      <c r="S2826" s="14"/>
    </row>
    <row r="2827" spans="1:19" ht="30" customHeight="1" x14ac:dyDescent="0.25">
      <c r="A2827" s="49" t="str">
        <f>IF(C2827="","","BAN-02826")</f>
        <v/>
      </c>
      <c r="B2827" s="98" t="str">
        <f>IF(C2827="","",2826)</f>
        <v/>
      </c>
      <c r="C2827" s="50"/>
      <c r="D2827" s="49" t="str">
        <f t="shared" si="89"/>
        <v/>
      </c>
      <c r="E2827" s="92"/>
      <c r="F2827" s="49"/>
      <c r="G2827" s="14"/>
      <c r="H2827" s="14"/>
      <c r="I2827" s="76"/>
      <c r="J2827" s="73"/>
      <c r="K2827" s="74"/>
      <c r="L2827" s="72"/>
      <c r="M2827" s="72"/>
      <c r="N2827" s="72" t="str">
        <f>IF(AND(C2827="",J2827=0,K2827=0,L2827=0,M2827=0),"",CADASTROS!$B$4+SUM($J$2:J2827)+SUM($M$2:M2827)-SUM($K$2:K2827)-SUM($L$2:L2827))</f>
        <v/>
      </c>
      <c r="O2827" s="72" t="str">
        <f>IF(A2827="","",SUMIF(RATEIOS!$A$2:$A$3142,$A2827,RATEIOS!$F$2:$F$3142))</f>
        <v/>
      </c>
      <c r="P2827" s="15" t="str">
        <f t="shared" si="90"/>
        <v/>
      </c>
      <c r="Q2827" s="49" t="str">
        <f>IF(AND(J2827=0,K2827=0,L2827=0,M2827=0),"",IF(O2827=0,"PENDENTE DE RATEIO",IF(ABS(P2827)&gt;0.005,"DIVERGÊNCIA",IF(COUNTIF(RATEIOS!$A$2:$A$3142,$A2827)-COUNTIFS(RATEIOS!$A$2:$A$3142,$A2827,RATEIOS!$D$2:$D$3142,"&lt;&gt;")&gt;0,"NÃO CLASSIFICADO","RATEIO OK"))))</f>
        <v/>
      </c>
      <c r="R2827" s="49"/>
      <c r="S2827" s="14"/>
    </row>
    <row r="2828" spans="1:19" ht="30" customHeight="1" x14ac:dyDescent="0.25">
      <c r="A2828" s="49" t="str">
        <f>IF(C2828="","","BAN-02827")</f>
        <v/>
      </c>
      <c r="B2828" s="98" t="str">
        <f>IF(C2828="","",2827)</f>
        <v/>
      </c>
      <c r="C2828" s="50"/>
      <c r="D2828" s="49" t="str">
        <f t="shared" si="89"/>
        <v/>
      </c>
      <c r="E2828" s="92"/>
      <c r="F2828" s="49"/>
      <c r="G2828" s="14"/>
      <c r="H2828" s="14"/>
      <c r="I2828" s="76"/>
      <c r="J2828" s="73"/>
      <c r="K2828" s="74"/>
      <c r="L2828" s="72"/>
      <c r="M2828" s="72"/>
      <c r="N2828" s="72" t="str">
        <f>IF(AND(C2828="",J2828=0,K2828=0,L2828=0,M2828=0),"",CADASTROS!$B$4+SUM($J$2:J2828)+SUM($M$2:M2828)-SUM($K$2:K2828)-SUM($L$2:L2828))</f>
        <v/>
      </c>
      <c r="O2828" s="72" t="str">
        <f>IF(A2828="","",SUMIF(RATEIOS!$A$2:$A$3142,$A2828,RATEIOS!$F$2:$F$3142))</f>
        <v/>
      </c>
      <c r="P2828" s="15" t="str">
        <f t="shared" si="90"/>
        <v/>
      </c>
      <c r="Q2828" s="49" t="str">
        <f>IF(AND(J2828=0,K2828=0,L2828=0,M2828=0),"",IF(O2828=0,"PENDENTE DE RATEIO",IF(ABS(P2828)&gt;0.005,"DIVERGÊNCIA",IF(COUNTIF(RATEIOS!$A$2:$A$3142,$A2828)-COUNTIFS(RATEIOS!$A$2:$A$3142,$A2828,RATEIOS!$D$2:$D$3142,"&lt;&gt;")&gt;0,"NÃO CLASSIFICADO","RATEIO OK"))))</f>
        <v/>
      </c>
      <c r="R2828" s="49"/>
      <c r="S2828" s="14"/>
    </row>
    <row r="2829" spans="1:19" ht="30" customHeight="1" x14ac:dyDescent="0.25">
      <c r="A2829" s="49" t="str">
        <f>IF(C2829="","","BAN-02828")</f>
        <v/>
      </c>
      <c r="B2829" s="98" t="str">
        <f>IF(C2829="","",2828)</f>
        <v/>
      </c>
      <c r="C2829" s="50"/>
      <c r="D2829" s="49" t="str">
        <f t="shared" si="89"/>
        <v/>
      </c>
      <c r="E2829" s="92"/>
      <c r="F2829" s="49"/>
      <c r="G2829" s="14"/>
      <c r="H2829" s="14"/>
      <c r="I2829" s="76"/>
      <c r="J2829" s="73"/>
      <c r="K2829" s="74"/>
      <c r="L2829" s="72"/>
      <c r="M2829" s="72"/>
      <c r="N2829" s="72" t="str">
        <f>IF(AND(C2829="",J2829=0,K2829=0,L2829=0,M2829=0),"",CADASTROS!$B$4+SUM($J$2:J2829)+SUM($M$2:M2829)-SUM($K$2:K2829)-SUM($L$2:L2829))</f>
        <v/>
      </c>
      <c r="O2829" s="72" t="str">
        <f>IF(A2829="","",SUMIF(RATEIOS!$A$2:$A$3142,$A2829,RATEIOS!$F$2:$F$3142))</f>
        <v/>
      </c>
      <c r="P2829" s="15" t="str">
        <f t="shared" si="90"/>
        <v/>
      </c>
      <c r="Q2829" s="49" t="str">
        <f>IF(AND(J2829=0,K2829=0,L2829=0,M2829=0),"",IF(O2829=0,"PENDENTE DE RATEIO",IF(ABS(P2829)&gt;0.005,"DIVERGÊNCIA",IF(COUNTIF(RATEIOS!$A$2:$A$3142,$A2829)-COUNTIFS(RATEIOS!$A$2:$A$3142,$A2829,RATEIOS!$D$2:$D$3142,"&lt;&gt;")&gt;0,"NÃO CLASSIFICADO","RATEIO OK"))))</f>
        <v/>
      </c>
      <c r="R2829" s="49"/>
      <c r="S2829" s="14"/>
    </row>
    <row r="2830" spans="1:19" ht="30" customHeight="1" x14ac:dyDescent="0.25">
      <c r="A2830" s="49" t="str">
        <f>IF(C2830="","","BAN-02829")</f>
        <v/>
      </c>
      <c r="B2830" s="98" t="str">
        <f>IF(C2830="","",2829)</f>
        <v/>
      </c>
      <c r="C2830" s="50"/>
      <c r="D2830" s="49" t="str">
        <f t="shared" si="89"/>
        <v/>
      </c>
      <c r="E2830" s="92"/>
      <c r="F2830" s="49"/>
      <c r="G2830" s="14"/>
      <c r="H2830" s="14"/>
      <c r="I2830" s="76"/>
      <c r="J2830" s="73"/>
      <c r="K2830" s="74"/>
      <c r="L2830" s="72"/>
      <c r="M2830" s="72"/>
      <c r="N2830" s="72" t="str">
        <f>IF(AND(C2830="",J2830=0,K2830=0,L2830=0,M2830=0),"",CADASTROS!$B$4+SUM($J$2:J2830)+SUM($M$2:M2830)-SUM($K$2:K2830)-SUM($L$2:L2830))</f>
        <v/>
      </c>
      <c r="O2830" s="72" t="str">
        <f>IF(A2830="","",SUMIF(RATEIOS!$A$2:$A$3142,$A2830,RATEIOS!$F$2:$F$3142))</f>
        <v/>
      </c>
      <c r="P2830" s="15" t="str">
        <f t="shared" si="90"/>
        <v/>
      </c>
      <c r="Q2830" s="49" t="str">
        <f>IF(AND(J2830=0,K2830=0,L2830=0,M2830=0),"",IF(O2830=0,"PENDENTE DE RATEIO",IF(ABS(P2830)&gt;0.005,"DIVERGÊNCIA",IF(COUNTIF(RATEIOS!$A$2:$A$3142,$A2830)-COUNTIFS(RATEIOS!$A$2:$A$3142,$A2830,RATEIOS!$D$2:$D$3142,"&lt;&gt;")&gt;0,"NÃO CLASSIFICADO","RATEIO OK"))))</f>
        <v/>
      </c>
      <c r="R2830" s="49"/>
      <c r="S2830" s="14"/>
    </row>
    <row r="2831" spans="1:19" ht="30" customHeight="1" x14ac:dyDescent="0.25">
      <c r="A2831" s="49" t="str">
        <f>IF(C2831="","","BAN-02830")</f>
        <v/>
      </c>
      <c r="B2831" s="98" t="str">
        <f>IF(C2831="","",2830)</f>
        <v/>
      </c>
      <c r="C2831" s="50"/>
      <c r="D2831" s="49" t="str">
        <f t="shared" si="89"/>
        <v/>
      </c>
      <c r="E2831" s="92"/>
      <c r="F2831" s="49"/>
      <c r="G2831" s="14"/>
      <c r="H2831" s="14"/>
      <c r="I2831" s="76"/>
      <c r="J2831" s="73"/>
      <c r="K2831" s="74"/>
      <c r="L2831" s="72"/>
      <c r="M2831" s="72"/>
      <c r="N2831" s="72" t="str">
        <f>IF(AND(C2831="",J2831=0,K2831=0,L2831=0,M2831=0),"",CADASTROS!$B$4+SUM($J$2:J2831)+SUM($M$2:M2831)-SUM($K$2:K2831)-SUM($L$2:L2831))</f>
        <v/>
      </c>
      <c r="O2831" s="72" t="str">
        <f>IF(A2831="","",SUMIF(RATEIOS!$A$2:$A$3142,$A2831,RATEIOS!$F$2:$F$3142))</f>
        <v/>
      </c>
      <c r="P2831" s="15" t="str">
        <f t="shared" si="90"/>
        <v/>
      </c>
      <c r="Q2831" s="49" t="str">
        <f>IF(AND(J2831=0,K2831=0,L2831=0,M2831=0),"",IF(O2831=0,"PENDENTE DE RATEIO",IF(ABS(P2831)&gt;0.005,"DIVERGÊNCIA",IF(COUNTIF(RATEIOS!$A$2:$A$3142,$A2831)-COUNTIFS(RATEIOS!$A$2:$A$3142,$A2831,RATEIOS!$D$2:$D$3142,"&lt;&gt;")&gt;0,"NÃO CLASSIFICADO","RATEIO OK"))))</f>
        <v/>
      </c>
      <c r="R2831" s="49"/>
      <c r="S2831" s="14"/>
    </row>
    <row r="2832" spans="1:19" ht="30" customHeight="1" x14ac:dyDescent="0.25">
      <c r="A2832" s="49" t="str">
        <f>IF(C2832="","","BAN-02831")</f>
        <v/>
      </c>
      <c r="B2832" s="98" t="str">
        <f>IF(C2832="","",2831)</f>
        <v/>
      </c>
      <c r="C2832" s="50"/>
      <c r="D2832" s="49" t="str">
        <f t="shared" si="89"/>
        <v/>
      </c>
      <c r="E2832" s="92"/>
      <c r="F2832" s="49"/>
      <c r="G2832" s="14"/>
      <c r="H2832" s="14"/>
      <c r="I2832" s="76"/>
      <c r="J2832" s="73"/>
      <c r="K2832" s="74"/>
      <c r="L2832" s="72"/>
      <c r="M2832" s="72"/>
      <c r="N2832" s="72" t="str">
        <f>IF(AND(C2832="",J2832=0,K2832=0,L2832=0,M2832=0),"",CADASTROS!$B$4+SUM($J$2:J2832)+SUM($M$2:M2832)-SUM($K$2:K2832)-SUM($L$2:L2832))</f>
        <v/>
      </c>
      <c r="O2832" s="72" t="str">
        <f>IF(A2832="","",SUMIF(RATEIOS!$A$2:$A$3142,$A2832,RATEIOS!$F$2:$F$3142))</f>
        <v/>
      </c>
      <c r="P2832" s="15" t="str">
        <f t="shared" si="90"/>
        <v/>
      </c>
      <c r="Q2832" s="49" t="str">
        <f>IF(AND(J2832=0,K2832=0,L2832=0,M2832=0),"",IF(O2832=0,"PENDENTE DE RATEIO",IF(ABS(P2832)&gt;0.005,"DIVERGÊNCIA",IF(COUNTIF(RATEIOS!$A$2:$A$3142,$A2832)-COUNTIFS(RATEIOS!$A$2:$A$3142,$A2832,RATEIOS!$D$2:$D$3142,"&lt;&gt;")&gt;0,"NÃO CLASSIFICADO","RATEIO OK"))))</f>
        <v/>
      </c>
      <c r="R2832" s="49"/>
      <c r="S2832" s="14"/>
    </row>
    <row r="2833" spans="1:19" ht="30" customHeight="1" x14ac:dyDescent="0.25">
      <c r="A2833" s="49" t="str">
        <f>IF(C2833="","","BAN-02832")</f>
        <v/>
      </c>
      <c r="B2833" s="98" t="str">
        <f>IF(C2833="","",2832)</f>
        <v/>
      </c>
      <c r="C2833" s="50"/>
      <c r="D2833" s="49" t="str">
        <f t="shared" si="89"/>
        <v/>
      </c>
      <c r="E2833" s="92"/>
      <c r="F2833" s="49"/>
      <c r="G2833" s="14"/>
      <c r="H2833" s="14"/>
      <c r="I2833" s="76"/>
      <c r="J2833" s="73"/>
      <c r="K2833" s="74"/>
      <c r="L2833" s="72"/>
      <c r="M2833" s="72"/>
      <c r="N2833" s="72" t="str">
        <f>IF(AND(C2833="",J2833=0,K2833=0,L2833=0,M2833=0),"",CADASTROS!$B$4+SUM($J$2:J2833)+SUM($M$2:M2833)-SUM($K$2:K2833)-SUM($L$2:L2833))</f>
        <v/>
      </c>
      <c r="O2833" s="72" t="str">
        <f>IF(A2833="","",SUMIF(RATEIOS!$A$2:$A$3142,$A2833,RATEIOS!$F$2:$F$3142))</f>
        <v/>
      </c>
      <c r="P2833" s="15" t="str">
        <f t="shared" si="90"/>
        <v/>
      </c>
      <c r="Q2833" s="49" t="str">
        <f>IF(AND(J2833=0,K2833=0,L2833=0,M2833=0),"",IF(O2833=0,"PENDENTE DE RATEIO",IF(ABS(P2833)&gt;0.005,"DIVERGÊNCIA",IF(COUNTIF(RATEIOS!$A$2:$A$3142,$A2833)-COUNTIFS(RATEIOS!$A$2:$A$3142,$A2833,RATEIOS!$D$2:$D$3142,"&lt;&gt;")&gt;0,"NÃO CLASSIFICADO","RATEIO OK"))))</f>
        <v/>
      </c>
      <c r="R2833" s="49"/>
      <c r="S2833" s="14"/>
    </row>
    <row r="2834" spans="1:19" ht="30" customHeight="1" x14ac:dyDescent="0.25">
      <c r="A2834" s="49" t="str">
        <f>IF(C2834="","","BAN-02833")</f>
        <v/>
      </c>
      <c r="B2834" s="98" t="str">
        <f>IF(C2834="","",2833)</f>
        <v/>
      </c>
      <c r="C2834" s="50"/>
      <c r="D2834" s="49" t="str">
        <f t="shared" si="89"/>
        <v/>
      </c>
      <c r="E2834" s="92"/>
      <c r="F2834" s="49"/>
      <c r="G2834" s="14"/>
      <c r="H2834" s="14"/>
      <c r="I2834" s="76"/>
      <c r="J2834" s="73"/>
      <c r="K2834" s="74"/>
      <c r="L2834" s="72"/>
      <c r="M2834" s="72"/>
      <c r="N2834" s="72" t="str">
        <f>IF(AND(C2834="",J2834=0,K2834=0,L2834=0,M2834=0),"",CADASTROS!$B$4+SUM($J$2:J2834)+SUM($M$2:M2834)-SUM($K$2:K2834)-SUM($L$2:L2834))</f>
        <v/>
      </c>
      <c r="O2834" s="72" t="str">
        <f>IF(A2834="","",SUMIF(RATEIOS!$A$2:$A$3142,$A2834,RATEIOS!$F$2:$F$3142))</f>
        <v/>
      </c>
      <c r="P2834" s="15" t="str">
        <f t="shared" si="90"/>
        <v/>
      </c>
      <c r="Q2834" s="49" t="str">
        <f>IF(AND(J2834=0,K2834=0,L2834=0,M2834=0),"",IF(O2834=0,"PENDENTE DE RATEIO",IF(ABS(P2834)&gt;0.005,"DIVERGÊNCIA",IF(COUNTIF(RATEIOS!$A$2:$A$3142,$A2834)-COUNTIFS(RATEIOS!$A$2:$A$3142,$A2834,RATEIOS!$D$2:$D$3142,"&lt;&gt;")&gt;0,"NÃO CLASSIFICADO","RATEIO OK"))))</f>
        <v/>
      </c>
      <c r="R2834" s="49"/>
      <c r="S2834" s="14"/>
    </row>
    <row r="2835" spans="1:19" ht="30" customHeight="1" x14ac:dyDescent="0.25">
      <c r="A2835" s="49" t="str">
        <f>IF(C2835="","","BAN-02834")</f>
        <v/>
      </c>
      <c r="B2835" s="98" t="str">
        <f>IF(C2835="","",2834)</f>
        <v/>
      </c>
      <c r="C2835" s="50"/>
      <c r="D2835" s="49" t="str">
        <f t="shared" si="89"/>
        <v/>
      </c>
      <c r="E2835" s="92"/>
      <c r="F2835" s="49"/>
      <c r="G2835" s="14"/>
      <c r="H2835" s="14"/>
      <c r="I2835" s="76"/>
      <c r="J2835" s="73"/>
      <c r="K2835" s="74"/>
      <c r="L2835" s="72"/>
      <c r="M2835" s="72"/>
      <c r="N2835" s="72" t="str">
        <f>IF(AND(C2835="",J2835=0,K2835=0,L2835=0,M2835=0),"",CADASTROS!$B$4+SUM($J$2:J2835)+SUM($M$2:M2835)-SUM($K$2:K2835)-SUM($L$2:L2835))</f>
        <v/>
      </c>
      <c r="O2835" s="72" t="str">
        <f>IF(A2835="","",SUMIF(RATEIOS!$A$2:$A$3142,$A2835,RATEIOS!$F$2:$F$3142))</f>
        <v/>
      </c>
      <c r="P2835" s="15" t="str">
        <f t="shared" si="90"/>
        <v/>
      </c>
      <c r="Q2835" s="49" t="str">
        <f>IF(AND(J2835=0,K2835=0,L2835=0,M2835=0),"",IF(O2835=0,"PENDENTE DE RATEIO",IF(ABS(P2835)&gt;0.005,"DIVERGÊNCIA",IF(COUNTIF(RATEIOS!$A$2:$A$3142,$A2835)-COUNTIFS(RATEIOS!$A$2:$A$3142,$A2835,RATEIOS!$D$2:$D$3142,"&lt;&gt;")&gt;0,"NÃO CLASSIFICADO","RATEIO OK"))))</f>
        <v/>
      </c>
      <c r="R2835" s="49"/>
      <c r="S2835" s="14"/>
    </row>
    <row r="2836" spans="1:19" ht="30" customHeight="1" x14ac:dyDescent="0.25">
      <c r="A2836" s="49" t="str">
        <f>IF(C2836="","","BAN-02835")</f>
        <v/>
      </c>
      <c r="B2836" s="98" t="str">
        <f>IF(C2836="","",2835)</f>
        <v/>
      </c>
      <c r="C2836" s="50"/>
      <c r="D2836" s="49" t="str">
        <f t="shared" si="89"/>
        <v/>
      </c>
      <c r="E2836" s="92"/>
      <c r="F2836" s="49"/>
      <c r="G2836" s="14"/>
      <c r="H2836" s="14"/>
      <c r="I2836" s="76"/>
      <c r="J2836" s="73"/>
      <c r="K2836" s="74"/>
      <c r="L2836" s="72"/>
      <c r="M2836" s="72"/>
      <c r="N2836" s="72" t="str">
        <f>IF(AND(C2836="",J2836=0,K2836=0,L2836=0,M2836=0),"",CADASTROS!$B$4+SUM($J$2:J2836)+SUM($M$2:M2836)-SUM($K$2:K2836)-SUM($L$2:L2836))</f>
        <v/>
      </c>
      <c r="O2836" s="72" t="str">
        <f>IF(A2836="","",SUMIF(RATEIOS!$A$2:$A$3142,$A2836,RATEIOS!$F$2:$F$3142))</f>
        <v/>
      </c>
      <c r="P2836" s="15" t="str">
        <f t="shared" si="90"/>
        <v/>
      </c>
      <c r="Q2836" s="49" t="str">
        <f>IF(AND(J2836=0,K2836=0,L2836=0,M2836=0),"",IF(O2836=0,"PENDENTE DE RATEIO",IF(ABS(P2836)&gt;0.005,"DIVERGÊNCIA",IF(COUNTIF(RATEIOS!$A$2:$A$3142,$A2836)-COUNTIFS(RATEIOS!$A$2:$A$3142,$A2836,RATEIOS!$D$2:$D$3142,"&lt;&gt;")&gt;0,"NÃO CLASSIFICADO","RATEIO OK"))))</f>
        <v/>
      </c>
      <c r="R2836" s="49"/>
      <c r="S2836" s="14"/>
    </row>
    <row r="2837" spans="1:19" ht="30" customHeight="1" x14ac:dyDescent="0.25">
      <c r="A2837" s="49" t="str">
        <f>IF(C2837="","","BAN-02836")</f>
        <v/>
      </c>
      <c r="B2837" s="98" t="str">
        <f>IF(C2837="","",2836)</f>
        <v/>
      </c>
      <c r="C2837" s="50"/>
      <c r="D2837" s="49" t="str">
        <f t="shared" si="89"/>
        <v/>
      </c>
      <c r="E2837" s="92"/>
      <c r="F2837" s="49"/>
      <c r="G2837" s="14"/>
      <c r="H2837" s="14"/>
      <c r="I2837" s="76"/>
      <c r="J2837" s="73"/>
      <c r="K2837" s="74"/>
      <c r="L2837" s="72"/>
      <c r="M2837" s="72"/>
      <c r="N2837" s="72" t="str">
        <f>IF(AND(C2837="",J2837=0,K2837=0,L2837=0,M2837=0),"",CADASTROS!$B$4+SUM($J$2:J2837)+SUM($M$2:M2837)-SUM($K$2:K2837)-SUM($L$2:L2837))</f>
        <v/>
      </c>
      <c r="O2837" s="72" t="str">
        <f>IF(A2837="","",SUMIF(RATEIOS!$A$2:$A$3142,$A2837,RATEIOS!$F$2:$F$3142))</f>
        <v/>
      </c>
      <c r="P2837" s="15" t="str">
        <f t="shared" si="90"/>
        <v/>
      </c>
      <c r="Q2837" s="49" t="str">
        <f>IF(AND(J2837=0,K2837=0,L2837=0,M2837=0),"",IF(O2837=0,"PENDENTE DE RATEIO",IF(ABS(P2837)&gt;0.005,"DIVERGÊNCIA",IF(COUNTIF(RATEIOS!$A$2:$A$3142,$A2837)-COUNTIFS(RATEIOS!$A$2:$A$3142,$A2837,RATEIOS!$D$2:$D$3142,"&lt;&gt;")&gt;0,"NÃO CLASSIFICADO","RATEIO OK"))))</f>
        <v/>
      </c>
      <c r="R2837" s="49"/>
      <c r="S2837" s="14"/>
    </row>
    <row r="2838" spans="1:19" ht="30" customHeight="1" x14ac:dyDescent="0.25">
      <c r="A2838" s="49" t="str">
        <f>IF(C2838="","","BAN-02837")</f>
        <v/>
      </c>
      <c r="B2838" s="98" t="str">
        <f>IF(C2838="","",2837)</f>
        <v/>
      </c>
      <c r="C2838" s="50"/>
      <c r="D2838" s="49" t="str">
        <f t="shared" si="89"/>
        <v/>
      </c>
      <c r="E2838" s="92"/>
      <c r="F2838" s="49"/>
      <c r="G2838" s="14"/>
      <c r="H2838" s="14"/>
      <c r="I2838" s="76"/>
      <c r="J2838" s="73"/>
      <c r="K2838" s="74"/>
      <c r="L2838" s="72"/>
      <c r="M2838" s="72"/>
      <c r="N2838" s="72" t="str">
        <f>IF(AND(C2838="",J2838=0,K2838=0,L2838=0,M2838=0),"",CADASTROS!$B$4+SUM($J$2:J2838)+SUM($M$2:M2838)-SUM($K$2:K2838)-SUM($L$2:L2838))</f>
        <v/>
      </c>
      <c r="O2838" s="72" t="str">
        <f>IF(A2838="","",SUMIF(RATEIOS!$A$2:$A$3142,$A2838,RATEIOS!$F$2:$F$3142))</f>
        <v/>
      </c>
      <c r="P2838" s="15" t="str">
        <f t="shared" si="90"/>
        <v/>
      </c>
      <c r="Q2838" s="49" t="str">
        <f>IF(AND(J2838=0,K2838=0,L2838=0,M2838=0),"",IF(O2838=0,"PENDENTE DE RATEIO",IF(ABS(P2838)&gt;0.005,"DIVERGÊNCIA",IF(COUNTIF(RATEIOS!$A$2:$A$3142,$A2838)-COUNTIFS(RATEIOS!$A$2:$A$3142,$A2838,RATEIOS!$D$2:$D$3142,"&lt;&gt;")&gt;0,"NÃO CLASSIFICADO","RATEIO OK"))))</f>
        <v/>
      </c>
      <c r="R2838" s="49"/>
      <c r="S2838" s="14"/>
    </row>
    <row r="2839" spans="1:19" ht="30" customHeight="1" x14ac:dyDescent="0.25">
      <c r="A2839" s="49" t="str">
        <f>IF(C2839="","","BAN-02838")</f>
        <v/>
      </c>
      <c r="B2839" s="98" t="str">
        <f>IF(C2839="","",2838)</f>
        <v/>
      </c>
      <c r="C2839" s="50"/>
      <c r="D2839" s="49" t="str">
        <f t="shared" si="89"/>
        <v/>
      </c>
      <c r="E2839" s="92"/>
      <c r="F2839" s="49"/>
      <c r="G2839" s="14"/>
      <c r="H2839" s="14"/>
      <c r="I2839" s="76"/>
      <c r="J2839" s="73"/>
      <c r="K2839" s="74"/>
      <c r="L2839" s="72"/>
      <c r="M2839" s="72"/>
      <c r="N2839" s="72" t="str">
        <f>IF(AND(C2839="",J2839=0,K2839=0,L2839=0,M2839=0),"",CADASTROS!$B$4+SUM($J$2:J2839)+SUM($M$2:M2839)-SUM($K$2:K2839)-SUM($L$2:L2839))</f>
        <v/>
      </c>
      <c r="O2839" s="72" t="str">
        <f>IF(A2839="","",SUMIF(RATEIOS!$A$2:$A$3142,$A2839,RATEIOS!$F$2:$F$3142))</f>
        <v/>
      </c>
      <c r="P2839" s="15" t="str">
        <f t="shared" si="90"/>
        <v/>
      </c>
      <c r="Q2839" s="49" t="str">
        <f>IF(AND(J2839=0,K2839=0,L2839=0,M2839=0),"",IF(O2839=0,"PENDENTE DE RATEIO",IF(ABS(P2839)&gt;0.005,"DIVERGÊNCIA",IF(COUNTIF(RATEIOS!$A$2:$A$3142,$A2839)-COUNTIFS(RATEIOS!$A$2:$A$3142,$A2839,RATEIOS!$D$2:$D$3142,"&lt;&gt;")&gt;0,"NÃO CLASSIFICADO","RATEIO OK"))))</f>
        <v/>
      </c>
      <c r="R2839" s="49"/>
      <c r="S2839" s="14"/>
    </row>
    <row r="2840" spans="1:19" ht="30" customHeight="1" x14ac:dyDescent="0.25">
      <c r="A2840" s="49" t="str">
        <f>IF(C2840="","","BAN-02839")</f>
        <v/>
      </c>
      <c r="B2840" s="98" t="str">
        <f>IF(C2840="","",2839)</f>
        <v/>
      </c>
      <c r="C2840" s="50"/>
      <c r="D2840" s="49" t="str">
        <f t="shared" si="89"/>
        <v/>
      </c>
      <c r="E2840" s="92"/>
      <c r="F2840" s="49"/>
      <c r="G2840" s="14"/>
      <c r="H2840" s="14"/>
      <c r="I2840" s="76"/>
      <c r="J2840" s="73"/>
      <c r="K2840" s="74"/>
      <c r="L2840" s="72"/>
      <c r="M2840" s="72"/>
      <c r="N2840" s="72" t="str">
        <f>IF(AND(C2840="",J2840=0,K2840=0,L2840=0,M2840=0),"",CADASTROS!$B$4+SUM($J$2:J2840)+SUM($M$2:M2840)-SUM($K$2:K2840)-SUM($L$2:L2840))</f>
        <v/>
      </c>
      <c r="O2840" s="72" t="str">
        <f>IF(A2840="","",SUMIF(RATEIOS!$A$2:$A$3142,$A2840,RATEIOS!$F$2:$F$3142))</f>
        <v/>
      </c>
      <c r="P2840" s="15" t="str">
        <f t="shared" si="90"/>
        <v/>
      </c>
      <c r="Q2840" s="49" t="str">
        <f>IF(AND(J2840=0,K2840=0,L2840=0,M2840=0),"",IF(O2840=0,"PENDENTE DE RATEIO",IF(ABS(P2840)&gt;0.005,"DIVERGÊNCIA",IF(COUNTIF(RATEIOS!$A$2:$A$3142,$A2840)-COUNTIFS(RATEIOS!$A$2:$A$3142,$A2840,RATEIOS!$D$2:$D$3142,"&lt;&gt;")&gt;0,"NÃO CLASSIFICADO","RATEIO OK"))))</f>
        <v/>
      </c>
      <c r="R2840" s="49"/>
      <c r="S2840" s="14"/>
    </row>
    <row r="2841" spans="1:19" ht="30" customHeight="1" x14ac:dyDescent="0.25">
      <c r="A2841" s="49" t="str">
        <f>IF(C2841="","","BAN-02840")</f>
        <v/>
      </c>
      <c r="B2841" s="98" t="str">
        <f>IF(C2841="","",2840)</f>
        <v/>
      </c>
      <c r="C2841" s="50"/>
      <c r="D2841" s="49" t="str">
        <f t="shared" si="89"/>
        <v/>
      </c>
      <c r="E2841" s="92"/>
      <c r="F2841" s="49"/>
      <c r="G2841" s="14"/>
      <c r="H2841" s="14"/>
      <c r="I2841" s="76"/>
      <c r="J2841" s="73"/>
      <c r="K2841" s="74"/>
      <c r="L2841" s="72"/>
      <c r="M2841" s="72"/>
      <c r="N2841" s="72" t="str">
        <f>IF(AND(C2841="",J2841=0,K2841=0,L2841=0,M2841=0),"",CADASTROS!$B$4+SUM($J$2:J2841)+SUM($M$2:M2841)-SUM($K$2:K2841)-SUM($L$2:L2841))</f>
        <v/>
      </c>
      <c r="O2841" s="72" t="str">
        <f>IF(A2841="","",SUMIF(RATEIOS!$A$2:$A$3142,$A2841,RATEIOS!$F$2:$F$3142))</f>
        <v/>
      </c>
      <c r="P2841" s="15" t="str">
        <f t="shared" si="90"/>
        <v/>
      </c>
      <c r="Q2841" s="49" t="str">
        <f>IF(AND(J2841=0,K2841=0,L2841=0,M2841=0),"",IF(O2841=0,"PENDENTE DE RATEIO",IF(ABS(P2841)&gt;0.005,"DIVERGÊNCIA",IF(COUNTIF(RATEIOS!$A$2:$A$3142,$A2841)-COUNTIFS(RATEIOS!$A$2:$A$3142,$A2841,RATEIOS!$D$2:$D$3142,"&lt;&gt;")&gt;0,"NÃO CLASSIFICADO","RATEIO OK"))))</f>
        <v/>
      </c>
      <c r="R2841" s="49"/>
      <c r="S2841" s="14"/>
    </row>
    <row r="2842" spans="1:19" ht="30" customHeight="1" x14ac:dyDescent="0.25">
      <c r="A2842" s="49" t="str">
        <f>IF(C2842="","","BAN-02841")</f>
        <v/>
      </c>
      <c r="B2842" s="98" t="str">
        <f>IF(C2842="","",2841)</f>
        <v/>
      </c>
      <c r="C2842" s="50"/>
      <c r="D2842" s="49" t="str">
        <f t="shared" si="89"/>
        <v/>
      </c>
      <c r="E2842" s="92"/>
      <c r="F2842" s="49"/>
      <c r="G2842" s="14"/>
      <c r="H2842" s="14"/>
      <c r="I2842" s="76"/>
      <c r="J2842" s="73"/>
      <c r="K2842" s="74"/>
      <c r="L2842" s="72"/>
      <c r="M2842" s="72"/>
      <c r="N2842" s="72" t="str">
        <f>IF(AND(C2842="",J2842=0,K2842=0,L2842=0,M2842=0),"",CADASTROS!$B$4+SUM($J$2:J2842)+SUM($M$2:M2842)-SUM($K$2:K2842)-SUM($L$2:L2842))</f>
        <v/>
      </c>
      <c r="O2842" s="72" t="str">
        <f>IF(A2842="","",SUMIF(RATEIOS!$A$2:$A$3142,$A2842,RATEIOS!$F$2:$F$3142))</f>
        <v/>
      </c>
      <c r="P2842" s="15" t="str">
        <f t="shared" si="90"/>
        <v/>
      </c>
      <c r="Q2842" s="49" t="str">
        <f>IF(AND(J2842=0,K2842=0,L2842=0,M2842=0),"",IF(O2842=0,"PENDENTE DE RATEIO",IF(ABS(P2842)&gt;0.005,"DIVERGÊNCIA",IF(COUNTIF(RATEIOS!$A$2:$A$3142,$A2842)-COUNTIFS(RATEIOS!$A$2:$A$3142,$A2842,RATEIOS!$D$2:$D$3142,"&lt;&gt;")&gt;0,"NÃO CLASSIFICADO","RATEIO OK"))))</f>
        <v/>
      </c>
      <c r="R2842" s="49"/>
      <c r="S2842" s="14"/>
    </row>
    <row r="2843" spans="1:19" ht="30" customHeight="1" x14ac:dyDescent="0.25">
      <c r="A2843" s="49" t="str">
        <f>IF(C2843="","","BAN-02842")</f>
        <v/>
      </c>
      <c r="B2843" s="98" t="str">
        <f>IF(C2843="","",2842)</f>
        <v/>
      </c>
      <c r="C2843" s="50"/>
      <c r="D2843" s="49" t="str">
        <f t="shared" si="89"/>
        <v/>
      </c>
      <c r="E2843" s="92"/>
      <c r="F2843" s="49"/>
      <c r="G2843" s="14"/>
      <c r="H2843" s="14"/>
      <c r="I2843" s="76"/>
      <c r="J2843" s="73"/>
      <c r="K2843" s="74"/>
      <c r="L2843" s="72"/>
      <c r="M2843" s="72"/>
      <c r="N2843" s="72" t="str">
        <f>IF(AND(C2843="",J2843=0,K2843=0,L2843=0,M2843=0),"",CADASTROS!$B$4+SUM($J$2:J2843)+SUM($M$2:M2843)-SUM($K$2:K2843)-SUM($L$2:L2843))</f>
        <v/>
      </c>
      <c r="O2843" s="72" t="str">
        <f>IF(A2843="","",SUMIF(RATEIOS!$A$2:$A$3142,$A2843,RATEIOS!$F$2:$F$3142))</f>
        <v/>
      </c>
      <c r="P2843" s="15" t="str">
        <f t="shared" si="90"/>
        <v/>
      </c>
      <c r="Q2843" s="49" t="str">
        <f>IF(AND(J2843=0,K2843=0,L2843=0,M2843=0),"",IF(O2843=0,"PENDENTE DE RATEIO",IF(ABS(P2843)&gt;0.005,"DIVERGÊNCIA",IF(COUNTIF(RATEIOS!$A$2:$A$3142,$A2843)-COUNTIFS(RATEIOS!$A$2:$A$3142,$A2843,RATEIOS!$D$2:$D$3142,"&lt;&gt;")&gt;0,"NÃO CLASSIFICADO","RATEIO OK"))))</f>
        <v/>
      </c>
      <c r="R2843" s="49"/>
      <c r="S2843" s="14"/>
    </row>
    <row r="2844" spans="1:19" ht="30" customHeight="1" x14ac:dyDescent="0.25">
      <c r="A2844" s="49" t="str">
        <f>IF(C2844="","","BAN-02843")</f>
        <v/>
      </c>
      <c r="B2844" s="98" t="str">
        <f>IF(C2844="","",2843)</f>
        <v/>
      </c>
      <c r="C2844" s="50"/>
      <c r="D2844" s="49" t="str">
        <f t="shared" si="89"/>
        <v/>
      </c>
      <c r="E2844" s="92"/>
      <c r="F2844" s="49"/>
      <c r="G2844" s="14"/>
      <c r="H2844" s="14"/>
      <c r="I2844" s="76"/>
      <c r="J2844" s="73"/>
      <c r="K2844" s="74"/>
      <c r="L2844" s="72"/>
      <c r="M2844" s="72"/>
      <c r="N2844" s="72" t="str">
        <f>IF(AND(C2844="",J2844=0,K2844=0,L2844=0,M2844=0),"",CADASTROS!$B$4+SUM($J$2:J2844)+SUM($M$2:M2844)-SUM($K$2:K2844)-SUM($L$2:L2844))</f>
        <v/>
      </c>
      <c r="O2844" s="72" t="str">
        <f>IF(A2844="","",SUMIF(RATEIOS!$A$2:$A$3142,$A2844,RATEIOS!$F$2:$F$3142))</f>
        <v/>
      </c>
      <c r="P2844" s="15" t="str">
        <f t="shared" si="90"/>
        <v/>
      </c>
      <c r="Q2844" s="49" t="str">
        <f>IF(AND(J2844=0,K2844=0,L2844=0,M2844=0),"",IF(O2844=0,"PENDENTE DE RATEIO",IF(ABS(P2844)&gt;0.005,"DIVERGÊNCIA",IF(COUNTIF(RATEIOS!$A$2:$A$3142,$A2844)-COUNTIFS(RATEIOS!$A$2:$A$3142,$A2844,RATEIOS!$D$2:$D$3142,"&lt;&gt;")&gt;0,"NÃO CLASSIFICADO","RATEIO OK"))))</f>
        <v/>
      </c>
      <c r="R2844" s="49"/>
      <c r="S2844" s="14"/>
    </row>
    <row r="2845" spans="1:19" ht="30" customHeight="1" x14ac:dyDescent="0.25">
      <c r="A2845" s="49" t="str">
        <f>IF(C2845="","","BAN-02844")</f>
        <v/>
      </c>
      <c r="B2845" s="98" t="str">
        <f>IF(C2845="","",2844)</f>
        <v/>
      </c>
      <c r="C2845" s="50"/>
      <c r="D2845" s="49" t="str">
        <f t="shared" si="89"/>
        <v/>
      </c>
      <c r="E2845" s="92"/>
      <c r="F2845" s="49"/>
      <c r="G2845" s="14"/>
      <c r="H2845" s="14"/>
      <c r="I2845" s="76"/>
      <c r="J2845" s="73"/>
      <c r="K2845" s="74"/>
      <c r="L2845" s="72"/>
      <c r="M2845" s="72"/>
      <c r="N2845" s="72" t="str">
        <f>IF(AND(C2845="",J2845=0,K2845=0,L2845=0,M2845=0),"",CADASTROS!$B$4+SUM($J$2:J2845)+SUM($M$2:M2845)-SUM($K$2:K2845)-SUM($L$2:L2845))</f>
        <v/>
      </c>
      <c r="O2845" s="72" t="str">
        <f>IF(A2845="","",SUMIF(RATEIOS!$A$2:$A$3142,$A2845,RATEIOS!$F$2:$F$3142))</f>
        <v/>
      </c>
      <c r="P2845" s="15" t="str">
        <f t="shared" si="90"/>
        <v/>
      </c>
      <c r="Q2845" s="49" t="str">
        <f>IF(AND(J2845=0,K2845=0,L2845=0,M2845=0),"",IF(O2845=0,"PENDENTE DE RATEIO",IF(ABS(P2845)&gt;0.005,"DIVERGÊNCIA",IF(COUNTIF(RATEIOS!$A$2:$A$3142,$A2845)-COUNTIFS(RATEIOS!$A$2:$A$3142,$A2845,RATEIOS!$D$2:$D$3142,"&lt;&gt;")&gt;0,"NÃO CLASSIFICADO","RATEIO OK"))))</f>
        <v/>
      </c>
      <c r="R2845" s="49"/>
      <c r="S2845" s="14"/>
    </row>
    <row r="2846" spans="1:19" ht="30" customHeight="1" x14ac:dyDescent="0.25">
      <c r="A2846" s="49" t="str">
        <f>IF(C2846="","","BAN-02845")</f>
        <v/>
      </c>
      <c r="B2846" s="98" t="str">
        <f>IF(C2846="","",2845)</f>
        <v/>
      </c>
      <c r="C2846" s="50"/>
      <c r="D2846" s="49" t="str">
        <f t="shared" si="89"/>
        <v/>
      </c>
      <c r="E2846" s="92"/>
      <c r="F2846" s="49"/>
      <c r="G2846" s="14"/>
      <c r="H2846" s="14"/>
      <c r="I2846" s="76"/>
      <c r="J2846" s="73"/>
      <c r="K2846" s="74"/>
      <c r="L2846" s="72"/>
      <c r="M2846" s="72"/>
      <c r="N2846" s="72" t="str">
        <f>IF(AND(C2846="",J2846=0,K2846=0,L2846=0,M2846=0),"",CADASTROS!$B$4+SUM($J$2:J2846)+SUM($M$2:M2846)-SUM($K$2:K2846)-SUM($L$2:L2846))</f>
        <v/>
      </c>
      <c r="O2846" s="72" t="str">
        <f>IF(A2846="","",SUMIF(RATEIOS!$A$2:$A$3142,$A2846,RATEIOS!$F$2:$F$3142))</f>
        <v/>
      </c>
      <c r="P2846" s="15" t="str">
        <f t="shared" si="90"/>
        <v/>
      </c>
      <c r="Q2846" s="49" t="str">
        <f>IF(AND(J2846=0,K2846=0,L2846=0,M2846=0),"",IF(O2846=0,"PENDENTE DE RATEIO",IF(ABS(P2846)&gt;0.005,"DIVERGÊNCIA",IF(COUNTIF(RATEIOS!$A$2:$A$3142,$A2846)-COUNTIFS(RATEIOS!$A$2:$A$3142,$A2846,RATEIOS!$D$2:$D$3142,"&lt;&gt;")&gt;0,"NÃO CLASSIFICADO","RATEIO OK"))))</f>
        <v/>
      </c>
      <c r="R2846" s="49"/>
      <c r="S2846" s="14"/>
    </row>
    <row r="2847" spans="1:19" ht="30" customHeight="1" x14ac:dyDescent="0.25">
      <c r="A2847" s="49" t="str">
        <f>IF(C2847="","","BAN-02846")</f>
        <v/>
      </c>
      <c r="B2847" s="98" t="str">
        <f>IF(C2847="","",2846)</f>
        <v/>
      </c>
      <c r="C2847" s="50"/>
      <c r="D2847" s="49" t="str">
        <f t="shared" si="89"/>
        <v/>
      </c>
      <c r="E2847" s="92"/>
      <c r="F2847" s="49"/>
      <c r="G2847" s="14"/>
      <c r="H2847" s="14"/>
      <c r="I2847" s="76"/>
      <c r="J2847" s="73"/>
      <c r="K2847" s="74"/>
      <c r="L2847" s="72"/>
      <c r="M2847" s="72"/>
      <c r="N2847" s="72" t="str">
        <f>IF(AND(C2847="",J2847=0,K2847=0,L2847=0,M2847=0),"",CADASTROS!$B$4+SUM($J$2:J2847)+SUM($M$2:M2847)-SUM($K$2:K2847)-SUM($L$2:L2847))</f>
        <v/>
      </c>
      <c r="O2847" s="72" t="str">
        <f>IF(A2847="","",SUMIF(RATEIOS!$A$2:$A$3142,$A2847,RATEIOS!$F$2:$F$3142))</f>
        <v/>
      </c>
      <c r="P2847" s="15" t="str">
        <f t="shared" si="90"/>
        <v/>
      </c>
      <c r="Q2847" s="49" t="str">
        <f>IF(AND(J2847=0,K2847=0,L2847=0,M2847=0),"",IF(O2847=0,"PENDENTE DE RATEIO",IF(ABS(P2847)&gt;0.005,"DIVERGÊNCIA",IF(COUNTIF(RATEIOS!$A$2:$A$3142,$A2847)-COUNTIFS(RATEIOS!$A$2:$A$3142,$A2847,RATEIOS!$D$2:$D$3142,"&lt;&gt;")&gt;0,"NÃO CLASSIFICADO","RATEIO OK"))))</f>
        <v/>
      </c>
      <c r="R2847" s="49"/>
      <c r="S2847" s="14"/>
    </row>
    <row r="2848" spans="1:19" ht="30" customHeight="1" x14ac:dyDescent="0.25">
      <c r="A2848" s="49" t="str">
        <f>IF(C2848="","","BAN-02847")</f>
        <v/>
      </c>
      <c r="B2848" s="98" t="str">
        <f>IF(C2848="","",2847)</f>
        <v/>
      </c>
      <c r="C2848" s="50"/>
      <c r="D2848" s="49" t="str">
        <f t="shared" si="89"/>
        <v/>
      </c>
      <c r="E2848" s="92"/>
      <c r="F2848" s="49"/>
      <c r="G2848" s="14"/>
      <c r="H2848" s="14"/>
      <c r="I2848" s="76"/>
      <c r="J2848" s="73"/>
      <c r="K2848" s="74"/>
      <c r="L2848" s="72"/>
      <c r="M2848" s="72"/>
      <c r="N2848" s="72" t="str">
        <f>IF(AND(C2848="",J2848=0,K2848=0,L2848=0,M2848=0),"",CADASTROS!$B$4+SUM($J$2:J2848)+SUM($M$2:M2848)-SUM($K$2:K2848)-SUM($L$2:L2848))</f>
        <v/>
      </c>
      <c r="O2848" s="72" t="str">
        <f>IF(A2848="","",SUMIF(RATEIOS!$A$2:$A$3142,$A2848,RATEIOS!$F$2:$F$3142))</f>
        <v/>
      </c>
      <c r="P2848" s="15" t="str">
        <f t="shared" si="90"/>
        <v/>
      </c>
      <c r="Q2848" s="49" t="str">
        <f>IF(AND(J2848=0,K2848=0,L2848=0,M2848=0),"",IF(O2848=0,"PENDENTE DE RATEIO",IF(ABS(P2848)&gt;0.005,"DIVERGÊNCIA",IF(COUNTIF(RATEIOS!$A$2:$A$3142,$A2848)-COUNTIFS(RATEIOS!$A$2:$A$3142,$A2848,RATEIOS!$D$2:$D$3142,"&lt;&gt;")&gt;0,"NÃO CLASSIFICADO","RATEIO OK"))))</f>
        <v/>
      </c>
      <c r="R2848" s="49"/>
      <c r="S2848" s="14"/>
    </row>
    <row r="2849" spans="1:19" ht="30" customHeight="1" x14ac:dyDescent="0.25">
      <c r="A2849" s="49" t="str">
        <f>IF(C2849="","","BAN-02848")</f>
        <v/>
      </c>
      <c r="B2849" s="98" t="str">
        <f>IF(C2849="","",2848)</f>
        <v/>
      </c>
      <c r="C2849" s="50"/>
      <c r="D2849" s="49" t="str">
        <f t="shared" si="89"/>
        <v/>
      </c>
      <c r="E2849" s="92"/>
      <c r="F2849" s="49"/>
      <c r="G2849" s="14"/>
      <c r="H2849" s="14"/>
      <c r="I2849" s="76"/>
      <c r="J2849" s="73"/>
      <c r="K2849" s="74"/>
      <c r="L2849" s="72"/>
      <c r="M2849" s="72"/>
      <c r="N2849" s="72" t="str">
        <f>IF(AND(C2849="",J2849=0,K2849=0,L2849=0,M2849=0),"",CADASTROS!$B$4+SUM($J$2:J2849)+SUM($M$2:M2849)-SUM($K$2:K2849)-SUM($L$2:L2849))</f>
        <v/>
      </c>
      <c r="O2849" s="72" t="str">
        <f>IF(A2849="","",SUMIF(RATEIOS!$A$2:$A$3142,$A2849,RATEIOS!$F$2:$F$3142))</f>
        <v/>
      </c>
      <c r="P2849" s="15" t="str">
        <f t="shared" si="90"/>
        <v/>
      </c>
      <c r="Q2849" s="49" t="str">
        <f>IF(AND(J2849=0,K2849=0,L2849=0,M2849=0),"",IF(O2849=0,"PENDENTE DE RATEIO",IF(ABS(P2849)&gt;0.005,"DIVERGÊNCIA",IF(COUNTIF(RATEIOS!$A$2:$A$3142,$A2849)-COUNTIFS(RATEIOS!$A$2:$A$3142,$A2849,RATEIOS!$D$2:$D$3142,"&lt;&gt;")&gt;0,"NÃO CLASSIFICADO","RATEIO OK"))))</f>
        <v/>
      </c>
      <c r="R2849" s="49"/>
      <c r="S2849" s="14"/>
    </row>
    <row r="2850" spans="1:19" ht="30" customHeight="1" x14ac:dyDescent="0.25">
      <c r="A2850" s="49" t="str">
        <f>IF(C2850="","","BAN-02849")</f>
        <v/>
      </c>
      <c r="B2850" s="98" t="str">
        <f>IF(C2850="","",2849)</f>
        <v/>
      </c>
      <c r="C2850" s="50"/>
      <c r="D2850" s="49" t="str">
        <f t="shared" si="89"/>
        <v/>
      </c>
      <c r="E2850" s="92"/>
      <c r="F2850" s="49"/>
      <c r="G2850" s="14"/>
      <c r="H2850" s="14"/>
      <c r="I2850" s="76"/>
      <c r="J2850" s="73"/>
      <c r="K2850" s="74"/>
      <c r="L2850" s="72"/>
      <c r="M2850" s="72"/>
      <c r="N2850" s="72" t="str">
        <f>IF(AND(C2850="",J2850=0,K2850=0,L2850=0,M2850=0),"",CADASTROS!$B$4+SUM($J$2:J2850)+SUM($M$2:M2850)-SUM($K$2:K2850)-SUM($L$2:L2850))</f>
        <v/>
      </c>
      <c r="O2850" s="72" t="str">
        <f>IF(A2850="","",SUMIF(RATEIOS!$A$2:$A$3142,$A2850,RATEIOS!$F$2:$F$3142))</f>
        <v/>
      </c>
      <c r="P2850" s="15" t="str">
        <f t="shared" si="90"/>
        <v/>
      </c>
      <c r="Q2850" s="49" t="str">
        <f>IF(AND(J2850=0,K2850=0,L2850=0,M2850=0),"",IF(O2850=0,"PENDENTE DE RATEIO",IF(ABS(P2850)&gt;0.005,"DIVERGÊNCIA",IF(COUNTIF(RATEIOS!$A$2:$A$3142,$A2850)-COUNTIFS(RATEIOS!$A$2:$A$3142,$A2850,RATEIOS!$D$2:$D$3142,"&lt;&gt;")&gt;0,"NÃO CLASSIFICADO","RATEIO OK"))))</f>
        <v/>
      </c>
      <c r="R2850" s="49"/>
      <c r="S2850" s="14"/>
    </row>
    <row r="2851" spans="1:19" ht="30" customHeight="1" x14ac:dyDescent="0.25">
      <c r="A2851" s="49" t="str">
        <f>IF(C2851="","","BAN-02850")</f>
        <v/>
      </c>
      <c r="B2851" s="98" t="str">
        <f>IF(C2851="","",2850)</f>
        <v/>
      </c>
      <c r="C2851" s="50"/>
      <c r="D2851" s="49" t="str">
        <f t="shared" si="89"/>
        <v/>
      </c>
      <c r="E2851" s="92"/>
      <c r="F2851" s="49"/>
      <c r="G2851" s="14"/>
      <c r="H2851" s="14"/>
      <c r="I2851" s="76"/>
      <c r="J2851" s="73"/>
      <c r="K2851" s="74"/>
      <c r="L2851" s="72"/>
      <c r="M2851" s="72"/>
      <c r="N2851" s="72" t="str">
        <f>IF(AND(C2851="",J2851=0,K2851=0,L2851=0,M2851=0),"",CADASTROS!$B$4+SUM($J$2:J2851)+SUM($M$2:M2851)-SUM($K$2:K2851)-SUM($L$2:L2851))</f>
        <v/>
      </c>
      <c r="O2851" s="72" t="str">
        <f>IF(A2851="","",SUMIF(RATEIOS!$A$2:$A$3142,$A2851,RATEIOS!$F$2:$F$3142))</f>
        <v/>
      </c>
      <c r="P2851" s="15" t="str">
        <f t="shared" si="90"/>
        <v/>
      </c>
      <c r="Q2851" s="49" t="str">
        <f>IF(AND(J2851=0,K2851=0,L2851=0,M2851=0),"",IF(O2851=0,"PENDENTE DE RATEIO",IF(ABS(P2851)&gt;0.005,"DIVERGÊNCIA",IF(COUNTIF(RATEIOS!$A$2:$A$3142,$A2851)-COUNTIFS(RATEIOS!$A$2:$A$3142,$A2851,RATEIOS!$D$2:$D$3142,"&lt;&gt;")&gt;0,"NÃO CLASSIFICADO","RATEIO OK"))))</f>
        <v/>
      </c>
      <c r="R2851" s="49"/>
      <c r="S2851" s="14"/>
    </row>
    <row r="2852" spans="1:19" ht="30" customHeight="1" x14ac:dyDescent="0.25">
      <c r="A2852" s="49" t="str">
        <f>IF(C2852="","","BAN-02851")</f>
        <v/>
      </c>
      <c r="B2852" s="98" t="str">
        <f>IF(C2852="","",2851)</f>
        <v/>
      </c>
      <c r="C2852" s="50"/>
      <c r="D2852" s="49" t="str">
        <f t="shared" si="89"/>
        <v/>
      </c>
      <c r="E2852" s="92"/>
      <c r="F2852" s="49"/>
      <c r="G2852" s="14"/>
      <c r="H2852" s="14"/>
      <c r="I2852" s="76"/>
      <c r="J2852" s="73"/>
      <c r="K2852" s="74"/>
      <c r="L2852" s="72"/>
      <c r="M2852" s="72"/>
      <c r="N2852" s="72" t="str">
        <f>IF(AND(C2852="",J2852=0,K2852=0,L2852=0,M2852=0),"",CADASTROS!$B$4+SUM($J$2:J2852)+SUM($M$2:M2852)-SUM($K$2:K2852)-SUM($L$2:L2852))</f>
        <v/>
      </c>
      <c r="O2852" s="72" t="str">
        <f>IF(A2852="","",SUMIF(RATEIOS!$A$2:$A$3142,$A2852,RATEIOS!$F$2:$F$3142))</f>
        <v/>
      </c>
      <c r="P2852" s="15" t="str">
        <f t="shared" si="90"/>
        <v/>
      </c>
      <c r="Q2852" s="49" t="str">
        <f>IF(AND(J2852=0,K2852=0,L2852=0,M2852=0),"",IF(O2852=0,"PENDENTE DE RATEIO",IF(ABS(P2852)&gt;0.005,"DIVERGÊNCIA",IF(COUNTIF(RATEIOS!$A$2:$A$3142,$A2852)-COUNTIFS(RATEIOS!$A$2:$A$3142,$A2852,RATEIOS!$D$2:$D$3142,"&lt;&gt;")&gt;0,"NÃO CLASSIFICADO","RATEIO OK"))))</f>
        <v/>
      </c>
      <c r="R2852" s="49"/>
      <c r="S2852" s="14"/>
    </row>
    <row r="2853" spans="1:19" ht="30" customHeight="1" x14ac:dyDescent="0.25">
      <c r="A2853" s="49" t="str">
        <f>IF(C2853="","","BAN-02852")</f>
        <v/>
      </c>
      <c r="B2853" s="98" t="str">
        <f>IF(C2853="","",2852)</f>
        <v/>
      </c>
      <c r="C2853" s="50"/>
      <c r="D2853" s="49" t="str">
        <f t="shared" si="89"/>
        <v/>
      </c>
      <c r="E2853" s="92"/>
      <c r="F2853" s="49"/>
      <c r="G2853" s="14"/>
      <c r="H2853" s="14"/>
      <c r="I2853" s="76"/>
      <c r="J2853" s="73"/>
      <c r="K2853" s="74"/>
      <c r="L2853" s="72"/>
      <c r="M2853" s="72"/>
      <c r="N2853" s="72" t="str">
        <f>IF(AND(C2853="",J2853=0,K2853=0,L2853=0,M2853=0),"",CADASTROS!$B$4+SUM($J$2:J2853)+SUM($M$2:M2853)-SUM($K$2:K2853)-SUM($L$2:L2853))</f>
        <v/>
      </c>
      <c r="O2853" s="72" t="str">
        <f>IF(A2853="","",SUMIF(RATEIOS!$A$2:$A$3142,$A2853,RATEIOS!$F$2:$F$3142))</f>
        <v/>
      </c>
      <c r="P2853" s="15" t="str">
        <f t="shared" si="90"/>
        <v/>
      </c>
      <c r="Q2853" s="49" t="str">
        <f>IF(AND(J2853=0,K2853=0,L2853=0,M2853=0),"",IF(O2853=0,"PENDENTE DE RATEIO",IF(ABS(P2853)&gt;0.005,"DIVERGÊNCIA",IF(COUNTIF(RATEIOS!$A$2:$A$3142,$A2853)-COUNTIFS(RATEIOS!$A$2:$A$3142,$A2853,RATEIOS!$D$2:$D$3142,"&lt;&gt;")&gt;0,"NÃO CLASSIFICADO","RATEIO OK"))))</f>
        <v/>
      </c>
      <c r="R2853" s="49"/>
      <c r="S2853" s="14"/>
    </row>
    <row r="2854" spans="1:19" ht="30" customHeight="1" x14ac:dyDescent="0.25">
      <c r="A2854" s="49" t="str">
        <f>IF(C2854="","","BAN-02853")</f>
        <v/>
      </c>
      <c r="B2854" s="98" t="str">
        <f>IF(C2854="","",2853)</f>
        <v/>
      </c>
      <c r="C2854" s="50"/>
      <c r="D2854" s="49" t="str">
        <f t="shared" si="89"/>
        <v/>
      </c>
      <c r="E2854" s="92"/>
      <c r="F2854" s="49"/>
      <c r="G2854" s="14"/>
      <c r="H2854" s="14"/>
      <c r="I2854" s="76"/>
      <c r="J2854" s="73"/>
      <c r="K2854" s="74"/>
      <c r="L2854" s="72"/>
      <c r="M2854" s="72"/>
      <c r="N2854" s="72" t="str">
        <f>IF(AND(C2854="",J2854=0,K2854=0,L2854=0,M2854=0),"",CADASTROS!$B$4+SUM($J$2:J2854)+SUM($M$2:M2854)-SUM($K$2:K2854)-SUM($L$2:L2854))</f>
        <v/>
      </c>
      <c r="O2854" s="72" t="str">
        <f>IF(A2854="","",SUMIF(RATEIOS!$A$2:$A$3142,$A2854,RATEIOS!$F$2:$F$3142))</f>
        <v/>
      </c>
      <c r="P2854" s="15" t="str">
        <f t="shared" si="90"/>
        <v/>
      </c>
      <c r="Q2854" s="49" t="str">
        <f>IF(AND(J2854=0,K2854=0,L2854=0,M2854=0),"",IF(O2854=0,"PENDENTE DE RATEIO",IF(ABS(P2854)&gt;0.005,"DIVERGÊNCIA",IF(COUNTIF(RATEIOS!$A$2:$A$3142,$A2854)-COUNTIFS(RATEIOS!$A$2:$A$3142,$A2854,RATEIOS!$D$2:$D$3142,"&lt;&gt;")&gt;0,"NÃO CLASSIFICADO","RATEIO OK"))))</f>
        <v/>
      </c>
      <c r="R2854" s="49"/>
      <c r="S2854" s="14"/>
    </row>
    <row r="2855" spans="1:19" ht="30" customHeight="1" x14ac:dyDescent="0.25">
      <c r="A2855" s="49" t="str">
        <f>IF(C2855="","","BAN-02854")</f>
        <v/>
      </c>
      <c r="B2855" s="98" t="str">
        <f>IF(C2855="","",2854)</f>
        <v/>
      </c>
      <c r="C2855" s="50"/>
      <c r="D2855" s="49" t="str">
        <f t="shared" si="89"/>
        <v/>
      </c>
      <c r="E2855" s="92"/>
      <c r="F2855" s="49"/>
      <c r="G2855" s="14"/>
      <c r="H2855" s="14"/>
      <c r="I2855" s="76"/>
      <c r="J2855" s="73"/>
      <c r="K2855" s="74"/>
      <c r="L2855" s="72"/>
      <c r="M2855" s="72"/>
      <c r="N2855" s="72" t="str">
        <f>IF(AND(C2855="",J2855=0,K2855=0,L2855=0,M2855=0),"",CADASTROS!$B$4+SUM($J$2:J2855)+SUM($M$2:M2855)-SUM($K$2:K2855)-SUM($L$2:L2855))</f>
        <v/>
      </c>
      <c r="O2855" s="72" t="str">
        <f>IF(A2855="","",SUMIF(RATEIOS!$A$2:$A$3142,$A2855,RATEIOS!$F$2:$F$3142))</f>
        <v/>
      </c>
      <c r="P2855" s="15" t="str">
        <f t="shared" si="90"/>
        <v/>
      </c>
      <c r="Q2855" s="49" t="str">
        <f>IF(AND(J2855=0,K2855=0,L2855=0,M2855=0),"",IF(O2855=0,"PENDENTE DE RATEIO",IF(ABS(P2855)&gt;0.005,"DIVERGÊNCIA",IF(COUNTIF(RATEIOS!$A$2:$A$3142,$A2855)-COUNTIFS(RATEIOS!$A$2:$A$3142,$A2855,RATEIOS!$D$2:$D$3142,"&lt;&gt;")&gt;0,"NÃO CLASSIFICADO","RATEIO OK"))))</f>
        <v/>
      </c>
      <c r="R2855" s="49"/>
      <c r="S2855" s="14"/>
    </row>
    <row r="2856" spans="1:19" ht="30" customHeight="1" x14ac:dyDescent="0.25">
      <c r="A2856" s="49" t="str">
        <f>IF(C2856="","","BAN-02855")</f>
        <v/>
      </c>
      <c r="B2856" s="98" t="str">
        <f>IF(C2856="","",2855)</f>
        <v/>
      </c>
      <c r="C2856" s="50"/>
      <c r="D2856" s="49" t="str">
        <f t="shared" si="89"/>
        <v/>
      </c>
      <c r="E2856" s="92"/>
      <c r="F2856" s="49"/>
      <c r="G2856" s="14"/>
      <c r="H2856" s="14"/>
      <c r="I2856" s="76"/>
      <c r="J2856" s="73"/>
      <c r="K2856" s="74"/>
      <c r="L2856" s="72"/>
      <c r="M2856" s="72"/>
      <c r="N2856" s="72" t="str">
        <f>IF(AND(C2856="",J2856=0,K2856=0,L2856=0,M2856=0),"",CADASTROS!$B$4+SUM($J$2:J2856)+SUM($M$2:M2856)-SUM($K$2:K2856)-SUM($L$2:L2856))</f>
        <v/>
      </c>
      <c r="O2856" s="72" t="str">
        <f>IF(A2856="","",SUMIF(RATEIOS!$A$2:$A$3142,$A2856,RATEIOS!$F$2:$F$3142))</f>
        <v/>
      </c>
      <c r="P2856" s="15" t="str">
        <f t="shared" si="90"/>
        <v/>
      </c>
      <c r="Q2856" s="49" t="str">
        <f>IF(AND(J2856=0,K2856=0,L2856=0,M2856=0),"",IF(O2856=0,"PENDENTE DE RATEIO",IF(ABS(P2856)&gt;0.005,"DIVERGÊNCIA",IF(COUNTIF(RATEIOS!$A$2:$A$3142,$A2856)-COUNTIFS(RATEIOS!$A$2:$A$3142,$A2856,RATEIOS!$D$2:$D$3142,"&lt;&gt;")&gt;0,"NÃO CLASSIFICADO","RATEIO OK"))))</f>
        <v/>
      </c>
      <c r="R2856" s="49"/>
      <c r="S2856" s="14"/>
    </row>
    <row r="2857" spans="1:19" ht="30" customHeight="1" x14ac:dyDescent="0.25">
      <c r="A2857" s="49" t="str">
        <f>IF(C2857="","","BAN-02856")</f>
        <v/>
      </c>
      <c r="B2857" s="98" t="str">
        <f>IF(C2857="","",2856)</f>
        <v/>
      </c>
      <c r="C2857" s="50"/>
      <c r="D2857" s="49" t="str">
        <f t="shared" si="89"/>
        <v/>
      </c>
      <c r="E2857" s="92"/>
      <c r="F2857" s="49"/>
      <c r="G2857" s="14"/>
      <c r="H2857" s="14"/>
      <c r="I2857" s="76"/>
      <c r="J2857" s="73"/>
      <c r="K2857" s="74"/>
      <c r="L2857" s="72"/>
      <c r="M2857" s="72"/>
      <c r="N2857" s="72" t="str">
        <f>IF(AND(C2857="",J2857=0,K2857=0,L2857=0,M2857=0),"",CADASTROS!$B$4+SUM($J$2:J2857)+SUM($M$2:M2857)-SUM($K$2:K2857)-SUM($L$2:L2857))</f>
        <v/>
      </c>
      <c r="O2857" s="72" t="str">
        <f>IF(A2857="","",SUMIF(RATEIOS!$A$2:$A$3142,$A2857,RATEIOS!$F$2:$F$3142))</f>
        <v/>
      </c>
      <c r="P2857" s="15" t="str">
        <f t="shared" si="90"/>
        <v/>
      </c>
      <c r="Q2857" s="49" t="str">
        <f>IF(AND(J2857=0,K2857=0,L2857=0,M2857=0),"",IF(O2857=0,"PENDENTE DE RATEIO",IF(ABS(P2857)&gt;0.005,"DIVERGÊNCIA",IF(COUNTIF(RATEIOS!$A$2:$A$3142,$A2857)-COUNTIFS(RATEIOS!$A$2:$A$3142,$A2857,RATEIOS!$D$2:$D$3142,"&lt;&gt;")&gt;0,"NÃO CLASSIFICADO","RATEIO OK"))))</f>
        <v/>
      </c>
      <c r="R2857" s="49"/>
      <c r="S2857" s="14"/>
    </row>
    <row r="2858" spans="1:19" ht="30" customHeight="1" x14ac:dyDescent="0.25">
      <c r="A2858" s="49" t="str">
        <f>IF(C2858="","","BAN-02857")</f>
        <v/>
      </c>
      <c r="B2858" s="98" t="str">
        <f>IF(C2858="","",2857)</f>
        <v/>
      </c>
      <c r="C2858" s="50"/>
      <c r="D2858" s="49" t="str">
        <f t="shared" si="89"/>
        <v/>
      </c>
      <c r="E2858" s="92"/>
      <c r="F2858" s="49"/>
      <c r="G2858" s="14"/>
      <c r="H2858" s="14"/>
      <c r="I2858" s="76"/>
      <c r="J2858" s="73"/>
      <c r="K2858" s="74"/>
      <c r="L2858" s="72"/>
      <c r="M2858" s="72"/>
      <c r="N2858" s="72" t="str">
        <f>IF(AND(C2858="",J2858=0,K2858=0,L2858=0,M2858=0),"",CADASTROS!$B$4+SUM($J$2:J2858)+SUM($M$2:M2858)-SUM($K$2:K2858)-SUM($L$2:L2858))</f>
        <v/>
      </c>
      <c r="O2858" s="72" t="str">
        <f>IF(A2858="","",SUMIF(RATEIOS!$A$2:$A$3142,$A2858,RATEIOS!$F$2:$F$3142))</f>
        <v/>
      </c>
      <c r="P2858" s="15" t="str">
        <f t="shared" si="90"/>
        <v/>
      </c>
      <c r="Q2858" s="49" t="str">
        <f>IF(AND(J2858=0,K2858=0,L2858=0,M2858=0),"",IF(O2858=0,"PENDENTE DE RATEIO",IF(ABS(P2858)&gt;0.005,"DIVERGÊNCIA",IF(COUNTIF(RATEIOS!$A$2:$A$3142,$A2858)-COUNTIFS(RATEIOS!$A$2:$A$3142,$A2858,RATEIOS!$D$2:$D$3142,"&lt;&gt;")&gt;0,"NÃO CLASSIFICADO","RATEIO OK"))))</f>
        <v/>
      </c>
      <c r="R2858" s="49"/>
      <c r="S2858" s="14"/>
    </row>
    <row r="2859" spans="1:19" ht="30" customHeight="1" x14ac:dyDescent="0.25">
      <c r="A2859" s="49" t="str">
        <f>IF(C2859="","","BAN-02858")</f>
        <v/>
      </c>
      <c r="B2859" s="98" t="str">
        <f>IF(C2859="","",2858)</f>
        <v/>
      </c>
      <c r="C2859" s="50"/>
      <c r="D2859" s="49" t="str">
        <f t="shared" si="89"/>
        <v/>
      </c>
      <c r="E2859" s="92"/>
      <c r="F2859" s="49"/>
      <c r="G2859" s="14"/>
      <c r="H2859" s="14"/>
      <c r="I2859" s="76"/>
      <c r="J2859" s="73"/>
      <c r="K2859" s="74"/>
      <c r="L2859" s="72"/>
      <c r="M2859" s="72"/>
      <c r="N2859" s="72" t="str">
        <f>IF(AND(C2859="",J2859=0,K2859=0,L2859=0,M2859=0),"",CADASTROS!$B$4+SUM($J$2:J2859)+SUM($M$2:M2859)-SUM($K$2:K2859)-SUM($L$2:L2859))</f>
        <v/>
      </c>
      <c r="O2859" s="72" t="str">
        <f>IF(A2859="","",SUMIF(RATEIOS!$A$2:$A$3142,$A2859,RATEIOS!$F$2:$F$3142))</f>
        <v/>
      </c>
      <c r="P2859" s="15" t="str">
        <f t="shared" si="90"/>
        <v/>
      </c>
      <c r="Q2859" s="49" t="str">
        <f>IF(AND(J2859=0,K2859=0,L2859=0,M2859=0),"",IF(O2859=0,"PENDENTE DE RATEIO",IF(ABS(P2859)&gt;0.005,"DIVERGÊNCIA",IF(COUNTIF(RATEIOS!$A$2:$A$3142,$A2859)-COUNTIFS(RATEIOS!$A$2:$A$3142,$A2859,RATEIOS!$D$2:$D$3142,"&lt;&gt;")&gt;0,"NÃO CLASSIFICADO","RATEIO OK"))))</f>
        <v/>
      </c>
      <c r="R2859" s="49"/>
      <c r="S2859" s="14"/>
    </row>
    <row r="2860" spans="1:19" ht="30" customHeight="1" x14ac:dyDescent="0.25">
      <c r="A2860" s="49" t="str">
        <f>IF(C2860="","","BAN-02859")</f>
        <v/>
      </c>
      <c r="B2860" s="98" t="str">
        <f>IF(C2860="","",2859)</f>
        <v/>
      </c>
      <c r="C2860" s="50"/>
      <c r="D2860" s="49" t="str">
        <f t="shared" si="89"/>
        <v/>
      </c>
      <c r="E2860" s="92"/>
      <c r="F2860" s="49"/>
      <c r="G2860" s="14"/>
      <c r="H2860" s="14"/>
      <c r="I2860" s="76"/>
      <c r="J2860" s="73"/>
      <c r="K2860" s="74"/>
      <c r="L2860" s="72"/>
      <c r="M2860" s="72"/>
      <c r="N2860" s="72" t="str">
        <f>IF(AND(C2860="",J2860=0,K2860=0,L2860=0,M2860=0),"",CADASTROS!$B$4+SUM($J$2:J2860)+SUM($M$2:M2860)-SUM($K$2:K2860)-SUM($L$2:L2860))</f>
        <v/>
      </c>
      <c r="O2860" s="72" t="str">
        <f>IF(A2860="","",SUMIF(RATEIOS!$A$2:$A$3142,$A2860,RATEIOS!$F$2:$F$3142))</f>
        <v/>
      </c>
      <c r="P2860" s="15" t="str">
        <f t="shared" si="90"/>
        <v/>
      </c>
      <c r="Q2860" s="49" t="str">
        <f>IF(AND(J2860=0,K2860=0,L2860=0,M2860=0),"",IF(O2860=0,"PENDENTE DE RATEIO",IF(ABS(P2860)&gt;0.005,"DIVERGÊNCIA",IF(COUNTIF(RATEIOS!$A$2:$A$3142,$A2860)-COUNTIFS(RATEIOS!$A$2:$A$3142,$A2860,RATEIOS!$D$2:$D$3142,"&lt;&gt;")&gt;0,"NÃO CLASSIFICADO","RATEIO OK"))))</f>
        <v/>
      </c>
      <c r="R2860" s="49"/>
      <c r="S2860" s="14"/>
    </row>
    <row r="2861" spans="1:19" ht="30" customHeight="1" x14ac:dyDescent="0.25">
      <c r="A2861" s="49" t="str">
        <f>IF(C2861="","","BAN-02860")</f>
        <v/>
      </c>
      <c r="B2861" s="98" t="str">
        <f>IF(C2861="","",2860)</f>
        <v/>
      </c>
      <c r="C2861" s="50"/>
      <c r="D2861" s="49" t="str">
        <f t="shared" si="89"/>
        <v/>
      </c>
      <c r="E2861" s="92"/>
      <c r="F2861" s="49"/>
      <c r="G2861" s="14"/>
      <c r="H2861" s="14"/>
      <c r="I2861" s="76"/>
      <c r="J2861" s="73"/>
      <c r="K2861" s="74"/>
      <c r="L2861" s="72"/>
      <c r="M2861" s="72"/>
      <c r="N2861" s="72" t="str">
        <f>IF(AND(C2861="",J2861=0,K2861=0,L2861=0,M2861=0),"",CADASTROS!$B$4+SUM($J$2:J2861)+SUM($M$2:M2861)-SUM($K$2:K2861)-SUM($L$2:L2861))</f>
        <v/>
      </c>
      <c r="O2861" s="72" t="str">
        <f>IF(A2861="","",SUMIF(RATEIOS!$A$2:$A$3142,$A2861,RATEIOS!$F$2:$F$3142))</f>
        <v/>
      </c>
      <c r="P2861" s="15" t="str">
        <f t="shared" si="90"/>
        <v/>
      </c>
      <c r="Q2861" s="49" t="str">
        <f>IF(AND(J2861=0,K2861=0,L2861=0,M2861=0),"",IF(O2861=0,"PENDENTE DE RATEIO",IF(ABS(P2861)&gt;0.005,"DIVERGÊNCIA",IF(COUNTIF(RATEIOS!$A$2:$A$3142,$A2861)-COUNTIFS(RATEIOS!$A$2:$A$3142,$A2861,RATEIOS!$D$2:$D$3142,"&lt;&gt;")&gt;0,"NÃO CLASSIFICADO","RATEIO OK"))))</f>
        <v/>
      </c>
      <c r="R2861" s="49"/>
      <c r="S2861" s="14"/>
    </row>
    <row r="2862" spans="1:19" ht="30" customHeight="1" x14ac:dyDescent="0.25">
      <c r="A2862" s="49" t="str">
        <f>IF(C2862="","","BAN-02861")</f>
        <v/>
      </c>
      <c r="B2862" s="98" t="str">
        <f>IF(C2862="","",2861)</f>
        <v/>
      </c>
      <c r="C2862" s="50"/>
      <c r="D2862" s="49" t="str">
        <f t="shared" si="89"/>
        <v/>
      </c>
      <c r="E2862" s="92"/>
      <c r="F2862" s="49"/>
      <c r="G2862" s="14"/>
      <c r="H2862" s="14"/>
      <c r="I2862" s="76"/>
      <c r="J2862" s="73"/>
      <c r="K2862" s="74"/>
      <c r="L2862" s="72"/>
      <c r="M2862" s="72"/>
      <c r="N2862" s="72" t="str">
        <f>IF(AND(C2862="",J2862=0,K2862=0,L2862=0,M2862=0),"",CADASTROS!$B$4+SUM($J$2:J2862)+SUM($M$2:M2862)-SUM($K$2:K2862)-SUM($L$2:L2862))</f>
        <v/>
      </c>
      <c r="O2862" s="72" t="str">
        <f>IF(A2862="","",SUMIF(RATEIOS!$A$2:$A$3142,$A2862,RATEIOS!$F$2:$F$3142))</f>
        <v/>
      </c>
      <c r="P2862" s="15" t="str">
        <f t="shared" si="90"/>
        <v/>
      </c>
      <c r="Q2862" s="49" t="str">
        <f>IF(AND(J2862=0,K2862=0,L2862=0,M2862=0),"",IF(O2862=0,"PENDENTE DE RATEIO",IF(ABS(P2862)&gt;0.005,"DIVERGÊNCIA",IF(COUNTIF(RATEIOS!$A$2:$A$3142,$A2862)-COUNTIFS(RATEIOS!$A$2:$A$3142,$A2862,RATEIOS!$D$2:$D$3142,"&lt;&gt;")&gt;0,"NÃO CLASSIFICADO","RATEIO OK"))))</f>
        <v/>
      </c>
      <c r="R2862" s="49"/>
      <c r="S2862" s="14"/>
    </row>
    <row r="2863" spans="1:19" ht="30" customHeight="1" x14ac:dyDescent="0.25">
      <c r="A2863" s="49" t="str">
        <f>IF(C2863="","","BAN-02862")</f>
        <v/>
      </c>
      <c r="B2863" s="98" t="str">
        <f>IF(C2863="","",2862)</f>
        <v/>
      </c>
      <c r="C2863" s="50"/>
      <c r="D2863" s="49" t="str">
        <f t="shared" si="89"/>
        <v/>
      </c>
      <c r="E2863" s="92"/>
      <c r="F2863" s="49"/>
      <c r="G2863" s="14"/>
      <c r="H2863" s="14"/>
      <c r="I2863" s="76"/>
      <c r="J2863" s="73"/>
      <c r="K2863" s="74"/>
      <c r="L2863" s="72"/>
      <c r="M2863" s="72"/>
      <c r="N2863" s="72" t="str">
        <f>IF(AND(C2863="",J2863=0,K2863=0,L2863=0,M2863=0),"",CADASTROS!$B$4+SUM($J$2:J2863)+SUM($M$2:M2863)-SUM($K$2:K2863)-SUM($L$2:L2863))</f>
        <v/>
      </c>
      <c r="O2863" s="72" t="str">
        <f>IF(A2863="","",SUMIF(RATEIOS!$A$2:$A$3142,$A2863,RATEIOS!$F$2:$F$3142))</f>
        <v/>
      </c>
      <c r="P2863" s="15" t="str">
        <f t="shared" si="90"/>
        <v/>
      </c>
      <c r="Q2863" s="49" t="str">
        <f>IF(AND(J2863=0,K2863=0,L2863=0,M2863=0),"",IF(O2863=0,"PENDENTE DE RATEIO",IF(ABS(P2863)&gt;0.005,"DIVERGÊNCIA",IF(COUNTIF(RATEIOS!$A$2:$A$3142,$A2863)-COUNTIFS(RATEIOS!$A$2:$A$3142,$A2863,RATEIOS!$D$2:$D$3142,"&lt;&gt;")&gt;0,"NÃO CLASSIFICADO","RATEIO OK"))))</f>
        <v/>
      </c>
      <c r="R2863" s="49"/>
      <c r="S2863" s="14"/>
    </row>
    <row r="2864" spans="1:19" ht="30" customHeight="1" x14ac:dyDescent="0.25">
      <c r="A2864" s="49" t="str">
        <f>IF(C2864="","","BAN-02863")</f>
        <v/>
      </c>
      <c r="B2864" s="98" t="str">
        <f>IF(C2864="","",2863)</f>
        <v/>
      </c>
      <c r="C2864" s="50"/>
      <c r="D2864" s="49" t="str">
        <f t="shared" si="89"/>
        <v/>
      </c>
      <c r="E2864" s="92"/>
      <c r="F2864" s="49"/>
      <c r="G2864" s="14"/>
      <c r="H2864" s="14"/>
      <c r="I2864" s="76"/>
      <c r="J2864" s="73"/>
      <c r="K2864" s="74"/>
      <c r="L2864" s="72"/>
      <c r="M2864" s="72"/>
      <c r="N2864" s="72" t="str">
        <f>IF(AND(C2864="",J2864=0,K2864=0,L2864=0,M2864=0),"",CADASTROS!$B$4+SUM($J$2:J2864)+SUM($M$2:M2864)-SUM($K$2:K2864)-SUM($L$2:L2864))</f>
        <v/>
      </c>
      <c r="O2864" s="72" t="str">
        <f>IF(A2864="","",SUMIF(RATEIOS!$A$2:$A$3142,$A2864,RATEIOS!$F$2:$F$3142))</f>
        <v/>
      </c>
      <c r="P2864" s="15" t="str">
        <f t="shared" si="90"/>
        <v/>
      </c>
      <c r="Q2864" s="49" t="str">
        <f>IF(AND(J2864=0,K2864=0,L2864=0,M2864=0),"",IF(O2864=0,"PENDENTE DE RATEIO",IF(ABS(P2864)&gt;0.005,"DIVERGÊNCIA",IF(COUNTIF(RATEIOS!$A$2:$A$3142,$A2864)-COUNTIFS(RATEIOS!$A$2:$A$3142,$A2864,RATEIOS!$D$2:$D$3142,"&lt;&gt;")&gt;0,"NÃO CLASSIFICADO","RATEIO OK"))))</f>
        <v/>
      </c>
      <c r="R2864" s="49"/>
      <c r="S2864" s="14"/>
    </row>
    <row r="2865" spans="1:19" ht="30" customHeight="1" x14ac:dyDescent="0.25">
      <c r="A2865" s="49" t="str">
        <f>IF(C2865="","","BAN-02864")</f>
        <v/>
      </c>
      <c r="B2865" s="98" t="str">
        <f>IF(C2865="","",2864)</f>
        <v/>
      </c>
      <c r="C2865" s="50"/>
      <c r="D2865" s="49" t="str">
        <f t="shared" si="89"/>
        <v/>
      </c>
      <c r="E2865" s="92"/>
      <c r="F2865" s="49"/>
      <c r="G2865" s="14"/>
      <c r="H2865" s="14"/>
      <c r="I2865" s="76"/>
      <c r="J2865" s="73"/>
      <c r="K2865" s="74"/>
      <c r="L2865" s="72"/>
      <c r="M2865" s="72"/>
      <c r="N2865" s="72" t="str">
        <f>IF(AND(C2865="",J2865=0,K2865=0,L2865=0,M2865=0),"",CADASTROS!$B$4+SUM($J$2:J2865)+SUM($M$2:M2865)-SUM($K$2:K2865)-SUM($L$2:L2865))</f>
        <v/>
      </c>
      <c r="O2865" s="72" t="str">
        <f>IF(A2865="","",SUMIF(RATEIOS!$A$2:$A$3142,$A2865,RATEIOS!$F$2:$F$3142))</f>
        <v/>
      </c>
      <c r="P2865" s="15" t="str">
        <f t="shared" si="90"/>
        <v/>
      </c>
      <c r="Q2865" s="49" t="str">
        <f>IF(AND(J2865=0,K2865=0,L2865=0,M2865=0),"",IF(O2865=0,"PENDENTE DE RATEIO",IF(ABS(P2865)&gt;0.005,"DIVERGÊNCIA",IF(COUNTIF(RATEIOS!$A$2:$A$3142,$A2865)-COUNTIFS(RATEIOS!$A$2:$A$3142,$A2865,RATEIOS!$D$2:$D$3142,"&lt;&gt;")&gt;0,"NÃO CLASSIFICADO","RATEIO OK"))))</f>
        <v/>
      </c>
      <c r="R2865" s="49"/>
      <c r="S2865" s="14"/>
    </row>
    <row r="2866" spans="1:19" ht="30" customHeight="1" x14ac:dyDescent="0.25">
      <c r="A2866" s="49" t="str">
        <f>IF(C2866="","","BAN-02865")</f>
        <v/>
      </c>
      <c r="B2866" s="98" t="str">
        <f>IF(C2866="","",2865)</f>
        <v/>
      </c>
      <c r="C2866" s="50"/>
      <c r="D2866" s="49" t="str">
        <f t="shared" si="89"/>
        <v/>
      </c>
      <c r="E2866" s="92"/>
      <c r="F2866" s="49"/>
      <c r="G2866" s="14"/>
      <c r="H2866" s="14"/>
      <c r="I2866" s="76"/>
      <c r="J2866" s="73"/>
      <c r="K2866" s="74"/>
      <c r="L2866" s="72"/>
      <c r="M2866" s="72"/>
      <c r="N2866" s="72" t="str">
        <f>IF(AND(C2866="",J2866=0,K2866=0,L2866=0,M2866=0),"",CADASTROS!$B$4+SUM($J$2:J2866)+SUM($M$2:M2866)-SUM($K$2:K2866)-SUM($L$2:L2866))</f>
        <v/>
      </c>
      <c r="O2866" s="72" t="str">
        <f>IF(A2866="","",SUMIF(RATEIOS!$A$2:$A$3142,$A2866,RATEIOS!$F$2:$F$3142))</f>
        <v/>
      </c>
      <c r="P2866" s="15" t="str">
        <f t="shared" si="90"/>
        <v/>
      </c>
      <c r="Q2866" s="49" t="str">
        <f>IF(AND(J2866=0,K2866=0,L2866=0,M2866=0),"",IF(O2866=0,"PENDENTE DE RATEIO",IF(ABS(P2866)&gt;0.005,"DIVERGÊNCIA",IF(COUNTIF(RATEIOS!$A$2:$A$3142,$A2866)-COUNTIFS(RATEIOS!$A$2:$A$3142,$A2866,RATEIOS!$D$2:$D$3142,"&lt;&gt;")&gt;0,"NÃO CLASSIFICADO","RATEIO OK"))))</f>
        <v/>
      </c>
      <c r="R2866" s="49"/>
      <c r="S2866" s="14"/>
    </row>
    <row r="2867" spans="1:19" ht="30" customHeight="1" x14ac:dyDescent="0.25">
      <c r="A2867" s="49" t="str">
        <f>IF(C2867="","","BAN-02866")</f>
        <v/>
      </c>
      <c r="B2867" s="98" t="str">
        <f>IF(C2867="","",2866)</f>
        <v/>
      </c>
      <c r="C2867" s="50"/>
      <c r="D2867" s="49" t="str">
        <f t="shared" si="89"/>
        <v/>
      </c>
      <c r="E2867" s="92"/>
      <c r="F2867" s="49"/>
      <c r="G2867" s="14"/>
      <c r="H2867" s="14"/>
      <c r="I2867" s="76"/>
      <c r="J2867" s="73"/>
      <c r="K2867" s="74"/>
      <c r="L2867" s="72"/>
      <c r="M2867" s="72"/>
      <c r="N2867" s="72" t="str">
        <f>IF(AND(C2867="",J2867=0,K2867=0,L2867=0,M2867=0),"",CADASTROS!$B$4+SUM($J$2:J2867)+SUM($M$2:M2867)-SUM($K$2:K2867)-SUM($L$2:L2867))</f>
        <v/>
      </c>
      <c r="O2867" s="72" t="str">
        <f>IF(A2867="","",SUMIF(RATEIOS!$A$2:$A$3142,$A2867,RATEIOS!$F$2:$F$3142))</f>
        <v/>
      </c>
      <c r="P2867" s="15" t="str">
        <f t="shared" si="90"/>
        <v/>
      </c>
      <c r="Q2867" s="49" t="str">
        <f>IF(AND(J2867=0,K2867=0,L2867=0,M2867=0),"",IF(O2867=0,"PENDENTE DE RATEIO",IF(ABS(P2867)&gt;0.005,"DIVERGÊNCIA",IF(COUNTIF(RATEIOS!$A$2:$A$3142,$A2867)-COUNTIFS(RATEIOS!$A$2:$A$3142,$A2867,RATEIOS!$D$2:$D$3142,"&lt;&gt;")&gt;0,"NÃO CLASSIFICADO","RATEIO OK"))))</f>
        <v/>
      </c>
      <c r="R2867" s="49"/>
      <c r="S2867" s="14"/>
    </row>
    <row r="2868" spans="1:19" ht="30" customHeight="1" x14ac:dyDescent="0.25">
      <c r="A2868" s="49" t="str">
        <f>IF(C2868="","","BAN-02867")</f>
        <v/>
      </c>
      <c r="B2868" s="98" t="str">
        <f>IF(C2868="","",2867)</f>
        <v/>
      </c>
      <c r="C2868" s="50"/>
      <c r="D2868" s="49" t="str">
        <f t="shared" si="89"/>
        <v/>
      </c>
      <c r="E2868" s="92"/>
      <c r="F2868" s="49"/>
      <c r="G2868" s="14"/>
      <c r="H2868" s="14"/>
      <c r="I2868" s="76"/>
      <c r="J2868" s="73"/>
      <c r="K2868" s="74"/>
      <c r="L2868" s="72"/>
      <c r="M2868" s="72"/>
      <c r="N2868" s="72" t="str">
        <f>IF(AND(C2868="",J2868=0,K2868=0,L2868=0,M2868=0),"",CADASTROS!$B$4+SUM($J$2:J2868)+SUM($M$2:M2868)-SUM($K$2:K2868)-SUM($L$2:L2868))</f>
        <v/>
      </c>
      <c r="O2868" s="72" t="str">
        <f>IF(A2868="","",SUMIF(RATEIOS!$A$2:$A$3142,$A2868,RATEIOS!$F$2:$F$3142))</f>
        <v/>
      </c>
      <c r="P2868" s="15" t="str">
        <f t="shared" si="90"/>
        <v/>
      </c>
      <c r="Q2868" s="49" t="str">
        <f>IF(AND(J2868=0,K2868=0,L2868=0,M2868=0),"",IF(O2868=0,"PENDENTE DE RATEIO",IF(ABS(P2868)&gt;0.005,"DIVERGÊNCIA",IF(COUNTIF(RATEIOS!$A$2:$A$3142,$A2868)-COUNTIFS(RATEIOS!$A$2:$A$3142,$A2868,RATEIOS!$D$2:$D$3142,"&lt;&gt;")&gt;0,"NÃO CLASSIFICADO","RATEIO OK"))))</f>
        <v/>
      </c>
      <c r="R2868" s="49"/>
      <c r="S2868" s="14"/>
    </row>
    <row r="2869" spans="1:19" ht="30" customHeight="1" x14ac:dyDescent="0.25">
      <c r="A2869" s="49" t="str">
        <f>IF(C2869="","","BAN-02868")</f>
        <v/>
      </c>
      <c r="B2869" s="98" t="str">
        <f>IF(C2869="","",2868)</f>
        <v/>
      </c>
      <c r="C2869" s="50"/>
      <c r="D2869" s="49" t="str">
        <f t="shared" si="89"/>
        <v/>
      </c>
      <c r="E2869" s="92"/>
      <c r="F2869" s="49"/>
      <c r="G2869" s="14"/>
      <c r="H2869" s="14"/>
      <c r="I2869" s="76"/>
      <c r="J2869" s="73"/>
      <c r="K2869" s="74"/>
      <c r="L2869" s="72"/>
      <c r="M2869" s="72"/>
      <c r="N2869" s="72" t="str">
        <f>IF(AND(C2869="",J2869=0,K2869=0,L2869=0,M2869=0),"",CADASTROS!$B$4+SUM($J$2:J2869)+SUM($M$2:M2869)-SUM($K$2:K2869)-SUM($L$2:L2869))</f>
        <v/>
      </c>
      <c r="O2869" s="72" t="str">
        <f>IF(A2869="","",SUMIF(RATEIOS!$A$2:$A$3142,$A2869,RATEIOS!$F$2:$F$3142))</f>
        <v/>
      </c>
      <c r="P2869" s="15" t="str">
        <f t="shared" si="90"/>
        <v/>
      </c>
      <c r="Q2869" s="49" t="str">
        <f>IF(AND(J2869=0,K2869=0,L2869=0,M2869=0),"",IF(O2869=0,"PENDENTE DE RATEIO",IF(ABS(P2869)&gt;0.005,"DIVERGÊNCIA",IF(COUNTIF(RATEIOS!$A$2:$A$3142,$A2869)-COUNTIFS(RATEIOS!$A$2:$A$3142,$A2869,RATEIOS!$D$2:$D$3142,"&lt;&gt;")&gt;0,"NÃO CLASSIFICADO","RATEIO OK"))))</f>
        <v/>
      </c>
      <c r="R2869" s="49"/>
      <c r="S2869" s="14"/>
    </row>
    <row r="2870" spans="1:19" ht="30" customHeight="1" x14ac:dyDescent="0.25">
      <c r="A2870" s="49" t="str">
        <f>IF(C2870="","","BAN-02869")</f>
        <v/>
      </c>
      <c r="B2870" s="98" t="str">
        <f>IF(C2870="","",2869)</f>
        <v/>
      </c>
      <c r="C2870" s="50"/>
      <c r="D2870" s="49" t="str">
        <f t="shared" si="89"/>
        <v/>
      </c>
      <c r="E2870" s="92"/>
      <c r="F2870" s="49"/>
      <c r="G2870" s="14"/>
      <c r="H2870" s="14"/>
      <c r="I2870" s="76"/>
      <c r="J2870" s="73"/>
      <c r="K2870" s="74"/>
      <c r="L2870" s="72"/>
      <c r="M2870" s="72"/>
      <c r="N2870" s="72" t="str">
        <f>IF(AND(C2870="",J2870=0,K2870=0,L2870=0,M2870=0),"",CADASTROS!$B$4+SUM($J$2:J2870)+SUM($M$2:M2870)-SUM($K$2:K2870)-SUM($L$2:L2870))</f>
        <v/>
      </c>
      <c r="O2870" s="72" t="str">
        <f>IF(A2870="","",SUMIF(RATEIOS!$A$2:$A$3142,$A2870,RATEIOS!$F$2:$F$3142))</f>
        <v/>
      </c>
      <c r="P2870" s="15" t="str">
        <f t="shared" si="90"/>
        <v/>
      </c>
      <c r="Q2870" s="49" t="str">
        <f>IF(AND(J2870=0,K2870=0,L2870=0,M2870=0),"",IF(O2870=0,"PENDENTE DE RATEIO",IF(ABS(P2870)&gt;0.005,"DIVERGÊNCIA",IF(COUNTIF(RATEIOS!$A$2:$A$3142,$A2870)-COUNTIFS(RATEIOS!$A$2:$A$3142,$A2870,RATEIOS!$D$2:$D$3142,"&lt;&gt;")&gt;0,"NÃO CLASSIFICADO","RATEIO OK"))))</f>
        <v/>
      </c>
      <c r="R2870" s="49"/>
      <c r="S2870" s="14"/>
    </row>
    <row r="2871" spans="1:19" ht="30" customHeight="1" x14ac:dyDescent="0.25">
      <c r="A2871" s="49" t="str">
        <f>IF(C2871="","","BAN-02870")</f>
        <v/>
      </c>
      <c r="B2871" s="98" t="str">
        <f>IF(C2871="","",2870)</f>
        <v/>
      </c>
      <c r="C2871" s="50"/>
      <c r="D2871" s="49" t="str">
        <f t="shared" si="89"/>
        <v/>
      </c>
      <c r="E2871" s="92"/>
      <c r="F2871" s="49"/>
      <c r="G2871" s="14"/>
      <c r="H2871" s="14"/>
      <c r="I2871" s="76"/>
      <c r="J2871" s="73"/>
      <c r="K2871" s="74"/>
      <c r="L2871" s="72"/>
      <c r="M2871" s="72"/>
      <c r="N2871" s="72" t="str">
        <f>IF(AND(C2871="",J2871=0,K2871=0,L2871=0,M2871=0),"",CADASTROS!$B$4+SUM($J$2:J2871)+SUM($M$2:M2871)-SUM($K$2:K2871)-SUM($L$2:L2871))</f>
        <v/>
      </c>
      <c r="O2871" s="72" t="str">
        <f>IF(A2871="","",SUMIF(RATEIOS!$A$2:$A$3142,$A2871,RATEIOS!$F$2:$F$3142))</f>
        <v/>
      </c>
      <c r="P2871" s="15" t="str">
        <f t="shared" si="90"/>
        <v/>
      </c>
      <c r="Q2871" s="49" t="str">
        <f>IF(AND(J2871=0,K2871=0,L2871=0,M2871=0),"",IF(O2871=0,"PENDENTE DE RATEIO",IF(ABS(P2871)&gt;0.005,"DIVERGÊNCIA",IF(COUNTIF(RATEIOS!$A$2:$A$3142,$A2871)-COUNTIFS(RATEIOS!$A$2:$A$3142,$A2871,RATEIOS!$D$2:$D$3142,"&lt;&gt;")&gt;0,"NÃO CLASSIFICADO","RATEIO OK"))))</f>
        <v/>
      </c>
      <c r="R2871" s="49"/>
      <c r="S2871" s="14"/>
    </row>
    <row r="2872" spans="1:19" ht="30" customHeight="1" x14ac:dyDescent="0.25">
      <c r="A2872" s="49" t="str">
        <f>IF(C2872="","","BAN-02871")</f>
        <v/>
      </c>
      <c r="B2872" s="98" t="str">
        <f>IF(C2872="","",2871)</f>
        <v/>
      </c>
      <c r="C2872" s="50"/>
      <c r="D2872" s="49" t="str">
        <f t="shared" si="89"/>
        <v/>
      </c>
      <c r="E2872" s="92"/>
      <c r="F2872" s="49"/>
      <c r="G2872" s="14"/>
      <c r="H2872" s="14"/>
      <c r="I2872" s="76"/>
      <c r="J2872" s="73"/>
      <c r="K2872" s="74"/>
      <c r="L2872" s="72"/>
      <c r="M2872" s="72"/>
      <c r="N2872" s="72" t="str">
        <f>IF(AND(C2872="",J2872=0,K2872=0,L2872=0,M2872=0),"",CADASTROS!$B$4+SUM($J$2:J2872)+SUM($M$2:M2872)-SUM($K$2:K2872)-SUM($L$2:L2872))</f>
        <v/>
      </c>
      <c r="O2872" s="72" t="str">
        <f>IF(A2872="","",SUMIF(RATEIOS!$A$2:$A$3142,$A2872,RATEIOS!$F$2:$F$3142))</f>
        <v/>
      </c>
      <c r="P2872" s="15" t="str">
        <f t="shared" si="90"/>
        <v/>
      </c>
      <c r="Q2872" s="49" t="str">
        <f>IF(AND(J2872=0,K2872=0,L2872=0,M2872=0),"",IF(O2872=0,"PENDENTE DE RATEIO",IF(ABS(P2872)&gt;0.005,"DIVERGÊNCIA",IF(COUNTIF(RATEIOS!$A$2:$A$3142,$A2872)-COUNTIFS(RATEIOS!$A$2:$A$3142,$A2872,RATEIOS!$D$2:$D$3142,"&lt;&gt;")&gt;0,"NÃO CLASSIFICADO","RATEIO OK"))))</f>
        <v/>
      </c>
      <c r="R2872" s="49"/>
      <c r="S2872" s="14"/>
    </row>
    <row r="2873" spans="1:19" ht="30" customHeight="1" x14ac:dyDescent="0.25">
      <c r="A2873" s="49" t="str">
        <f>IF(C2873="","","BAN-02872")</f>
        <v/>
      </c>
      <c r="B2873" s="98" t="str">
        <f>IF(C2873="","",2872)</f>
        <v/>
      </c>
      <c r="C2873" s="50"/>
      <c r="D2873" s="49" t="str">
        <f t="shared" si="89"/>
        <v/>
      </c>
      <c r="E2873" s="92"/>
      <c r="F2873" s="49"/>
      <c r="G2873" s="14"/>
      <c r="H2873" s="14"/>
      <c r="I2873" s="76"/>
      <c r="J2873" s="73"/>
      <c r="K2873" s="74"/>
      <c r="L2873" s="72"/>
      <c r="M2873" s="72"/>
      <c r="N2873" s="72" t="str">
        <f>IF(AND(C2873="",J2873=0,K2873=0,L2873=0,M2873=0),"",CADASTROS!$B$4+SUM($J$2:J2873)+SUM($M$2:M2873)-SUM($K$2:K2873)-SUM($L$2:L2873))</f>
        <v/>
      </c>
      <c r="O2873" s="72" t="str">
        <f>IF(A2873="","",SUMIF(RATEIOS!$A$2:$A$3142,$A2873,RATEIOS!$F$2:$F$3142))</f>
        <v/>
      </c>
      <c r="P2873" s="15" t="str">
        <f t="shared" si="90"/>
        <v/>
      </c>
      <c r="Q2873" s="49" t="str">
        <f>IF(AND(J2873=0,K2873=0,L2873=0,M2873=0),"",IF(O2873=0,"PENDENTE DE RATEIO",IF(ABS(P2873)&gt;0.005,"DIVERGÊNCIA",IF(COUNTIF(RATEIOS!$A$2:$A$3142,$A2873)-COUNTIFS(RATEIOS!$A$2:$A$3142,$A2873,RATEIOS!$D$2:$D$3142,"&lt;&gt;")&gt;0,"NÃO CLASSIFICADO","RATEIO OK"))))</f>
        <v/>
      </c>
      <c r="R2873" s="49"/>
      <c r="S2873" s="14"/>
    </row>
    <row r="2874" spans="1:19" ht="30" customHeight="1" x14ac:dyDescent="0.25">
      <c r="A2874" s="49" t="str">
        <f>IF(C2874="","","BAN-02873")</f>
        <v/>
      </c>
      <c r="B2874" s="98" t="str">
        <f>IF(C2874="","",2873)</f>
        <v/>
      </c>
      <c r="C2874" s="50"/>
      <c r="D2874" s="49" t="str">
        <f t="shared" si="89"/>
        <v/>
      </c>
      <c r="E2874" s="92"/>
      <c r="F2874" s="49"/>
      <c r="G2874" s="14"/>
      <c r="H2874" s="14"/>
      <c r="I2874" s="76"/>
      <c r="J2874" s="73"/>
      <c r="K2874" s="74"/>
      <c r="L2874" s="72"/>
      <c r="M2874" s="72"/>
      <c r="N2874" s="72" t="str">
        <f>IF(AND(C2874="",J2874=0,K2874=0,L2874=0,M2874=0),"",CADASTROS!$B$4+SUM($J$2:J2874)+SUM($M$2:M2874)-SUM($K$2:K2874)-SUM($L$2:L2874))</f>
        <v/>
      </c>
      <c r="O2874" s="72" t="str">
        <f>IF(A2874="","",SUMIF(RATEIOS!$A$2:$A$3142,$A2874,RATEIOS!$F$2:$F$3142))</f>
        <v/>
      </c>
      <c r="P2874" s="15" t="str">
        <f t="shared" si="90"/>
        <v/>
      </c>
      <c r="Q2874" s="49" t="str">
        <f>IF(AND(J2874=0,K2874=0,L2874=0,M2874=0),"",IF(O2874=0,"PENDENTE DE RATEIO",IF(ABS(P2874)&gt;0.005,"DIVERGÊNCIA",IF(COUNTIF(RATEIOS!$A$2:$A$3142,$A2874)-COUNTIFS(RATEIOS!$A$2:$A$3142,$A2874,RATEIOS!$D$2:$D$3142,"&lt;&gt;")&gt;0,"NÃO CLASSIFICADO","RATEIO OK"))))</f>
        <v/>
      </c>
      <c r="R2874" s="49"/>
      <c r="S2874" s="14"/>
    </row>
    <row r="2875" spans="1:19" ht="30" customHeight="1" x14ac:dyDescent="0.25">
      <c r="A2875" s="49" t="str">
        <f>IF(C2875="","","BAN-02874")</f>
        <v/>
      </c>
      <c r="B2875" s="98" t="str">
        <f>IF(C2875="","",2874)</f>
        <v/>
      </c>
      <c r="C2875" s="50"/>
      <c r="D2875" s="49" t="str">
        <f t="shared" si="89"/>
        <v/>
      </c>
      <c r="E2875" s="92"/>
      <c r="F2875" s="49"/>
      <c r="G2875" s="14"/>
      <c r="H2875" s="14"/>
      <c r="I2875" s="76"/>
      <c r="J2875" s="73"/>
      <c r="K2875" s="74"/>
      <c r="L2875" s="72"/>
      <c r="M2875" s="72"/>
      <c r="N2875" s="72" t="str">
        <f>IF(AND(C2875="",J2875=0,K2875=0,L2875=0,M2875=0),"",CADASTROS!$B$4+SUM($J$2:J2875)+SUM($M$2:M2875)-SUM($K$2:K2875)-SUM($L$2:L2875))</f>
        <v/>
      </c>
      <c r="O2875" s="72" t="str">
        <f>IF(A2875="","",SUMIF(RATEIOS!$A$2:$A$3142,$A2875,RATEIOS!$F$2:$F$3142))</f>
        <v/>
      </c>
      <c r="P2875" s="15" t="str">
        <f t="shared" si="90"/>
        <v/>
      </c>
      <c r="Q2875" s="49" t="str">
        <f>IF(AND(J2875=0,K2875=0,L2875=0,M2875=0),"",IF(O2875=0,"PENDENTE DE RATEIO",IF(ABS(P2875)&gt;0.005,"DIVERGÊNCIA",IF(COUNTIF(RATEIOS!$A$2:$A$3142,$A2875)-COUNTIFS(RATEIOS!$A$2:$A$3142,$A2875,RATEIOS!$D$2:$D$3142,"&lt;&gt;")&gt;0,"NÃO CLASSIFICADO","RATEIO OK"))))</f>
        <v/>
      </c>
      <c r="R2875" s="49"/>
      <c r="S2875" s="14"/>
    </row>
    <row r="2876" spans="1:19" ht="30" customHeight="1" x14ac:dyDescent="0.25">
      <c r="A2876" s="49" t="str">
        <f>IF(C2876="","","BAN-02875")</f>
        <v/>
      </c>
      <c r="B2876" s="98" t="str">
        <f>IF(C2876="","",2875)</f>
        <v/>
      </c>
      <c r="C2876" s="50"/>
      <c r="D2876" s="49" t="str">
        <f t="shared" si="89"/>
        <v/>
      </c>
      <c r="E2876" s="92"/>
      <c r="F2876" s="49"/>
      <c r="G2876" s="14"/>
      <c r="H2876" s="14"/>
      <c r="I2876" s="76"/>
      <c r="J2876" s="73"/>
      <c r="K2876" s="74"/>
      <c r="L2876" s="72"/>
      <c r="M2876" s="72"/>
      <c r="N2876" s="72" t="str">
        <f>IF(AND(C2876="",J2876=0,K2876=0,L2876=0,M2876=0),"",CADASTROS!$B$4+SUM($J$2:J2876)+SUM($M$2:M2876)-SUM($K$2:K2876)-SUM($L$2:L2876))</f>
        <v/>
      </c>
      <c r="O2876" s="72" t="str">
        <f>IF(A2876="","",SUMIF(RATEIOS!$A$2:$A$3142,$A2876,RATEIOS!$F$2:$F$3142))</f>
        <v/>
      </c>
      <c r="P2876" s="15" t="str">
        <f t="shared" si="90"/>
        <v/>
      </c>
      <c r="Q2876" s="49" t="str">
        <f>IF(AND(J2876=0,K2876=0,L2876=0,M2876=0),"",IF(O2876=0,"PENDENTE DE RATEIO",IF(ABS(P2876)&gt;0.005,"DIVERGÊNCIA",IF(COUNTIF(RATEIOS!$A$2:$A$3142,$A2876)-COUNTIFS(RATEIOS!$A$2:$A$3142,$A2876,RATEIOS!$D$2:$D$3142,"&lt;&gt;")&gt;0,"NÃO CLASSIFICADO","RATEIO OK"))))</f>
        <v/>
      </c>
      <c r="R2876" s="49"/>
      <c r="S2876" s="14"/>
    </row>
    <row r="2877" spans="1:19" ht="30" customHeight="1" x14ac:dyDescent="0.25">
      <c r="A2877" s="49" t="str">
        <f>IF(C2877="","","BAN-02876")</f>
        <v/>
      </c>
      <c r="B2877" s="98" t="str">
        <f>IF(C2877="","",2876)</f>
        <v/>
      </c>
      <c r="C2877" s="50"/>
      <c r="D2877" s="49" t="str">
        <f t="shared" si="89"/>
        <v/>
      </c>
      <c r="E2877" s="92"/>
      <c r="F2877" s="49"/>
      <c r="G2877" s="14"/>
      <c r="H2877" s="14"/>
      <c r="I2877" s="76"/>
      <c r="J2877" s="73"/>
      <c r="K2877" s="74"/>
      <c r="L2877" s="72"/>
      <c r="M2877" s="72"/>
      <c r="N2877" s="72" t="str">
        <f>IF(AND(C2877="",J2877=0,K2877=0,L2877=0,M2877=0),"",CADASTROS!$B$4+SUM($J$2:J2877)+SUM($M$2:M2877)-SUM($K$2:K2877)-SUM($L$2:L2877))</f>
        <v/>
      </c>
      <c r="O2877" s="72" t="str">
        <f>IF(A2877="","",SUMIF(RATEIOS!$A$2:$A$3142,$A2877,RATEIOS!$F$2:$F$3142))</f>
        <v/>
      </c>
      <c r="P2877" s="15" t="str">
        <f t="shared" si="90"/>
        <v/>
      </c>
      <c r="Q2877" s="49" t="str">
        <f>IF(AND(J2877=0,K2877=0,L2877=0,M2877=0),"",IF(O2877=0,"PENDENTE DE RATEIO",IF(ABS(P2877)&gt;0.005,"DIVERGÊNCIA",IF(COUNTIF(RATEIOS!$A$2:$A$3142,$A2877)-COUNTIFS(RATEIOS!$A$2:$A$3142,$A2877,RATEIOS!$D$2:$D$3142,"&lt;&gt;")&gt;0,"NÃO CLASSIFICADO","RATEIO OK"))))</f>
        <v/>
      </c>
      <c r="R2877" s="49"/>
      <c r="S2877" s="14"/>
    </row>
    <row r="2878" spans="1:19" ht="30" customHeight="1" x14ac:dyDescent="0.25">
      <c r="A2878" s="49" t="str">
        <f>IF(C2878="","","BAN-02877")</f>
        <v/>
      </c>
      <c r="B2878" s="98" t="str">
        <f>IF(C2878="","",2877)</f>
        <v/>
      </c>
      <c r="C2878" s="50"/>
      <c r="D2878" s="49" t="str">
        <f t="shared" si="89"/>
        <v/>
      </c>
      <c r="E2878" s="92"/>
      <c r="F2878" s="49"/>
      <c r="G2878" s="14"/>
      <c r="H2878" s="14"/>
      <c r="I2878" s="76"/>
      <c r="J2878" s="73"/>
      <c r="K2878" s="74"/>
      <c r="L2878" s="72"/>
      <c r="M2878" s="72"/>
      <c r="N2878" s="72" t="str">
        <f>IF(AND(C2878="",J2878=0,K2878=0,L2878=0,M2878=0),"",CADASTROS!$B$4+SUM($J$2:J2878)+SUM($M$2:M2878)-SUM($K$2:K2878)-SUM($L$2:L2878))</f>
        <v/>
      </c>
      <c r="O2878" s="72" t="str">
        <f>IF(A2878="","",SUMIF(RATEIOS!$A$2:$A$3142,$A2878,RATEIOS!$F$2:$F$3142))</f>
        <v/>
      </c>
      <c r="P2878" s="15" t="str">
        <f t="shared" si="90"/>
        <v/>
      </c>
      <c r="Q2878" s="49" t="str">
        <f>IF(AND(J2878=0,K2878=0,L2878=0,M2878=0),"",IF(O2878=0,"PENDENTE DE RATEIO",IF(ABS(P2878)&gt;0.005,"DIVERGÊNCIA",IF(COUNTIF(RATEIOS!$A$2:$A$3142,$A2878)-COUNTIFS(RATEIOS!$A$2:$A$3142,$A2878,RATEIOS!$D$2:$D$3142,"&lt;&gt;")&gt;0,"NÃO CLASSIFICADO","RATEIO OK"))))</f>
        <v/>
      </c>
      <c r="R2878" s="49"/>
      <c r="S2878" s="14"/>
    </row>
    <row r="2879" spans="1:19" ht="30" customHeight="1" x14ac:dyDescent="0.25">
      <c r="A2879" s="49" t="str">
        <f>IF(C2879="","","BAN-02878")</f>
        <v/>
      </c>
      <c r="B2879" s="98" t="str">
        <f>IF(C2879="","",2878)</f>
        <v/>
      </c>
      <c r="C2879" s="50"/>
      <c r="D2879" s="49" t="str">
        <f t="shared" si="89"/>
        <v/>
      </c>
      <c r="E2879" s="92"/>
      <c r="F2879" s="49"/>
      <c r="G2879" s="14"/>
      <c r="H2879" s="14"/>
      <c r="I2879" s="76"/>
      <c r="J2879" s="73"/>
      <c r="K2879" s="74"/>
      <c r="L2879" s="72"/>
      <c r="M2879" s="72"/>
      <c r="N2879" s="72" t="str">
        <f>IF(AND(C2879="",J2879=0,K2879=0,L2879=0,M2879=0),"",CADASTROS!$B$4+SUM($J$2:J2879)+SUM($M$2:M2879)-SUM($K$2:K2879)-SUM($L$2:L2879))</f>
        <v/>
      </c>
      <c r="O2879" s="72" t="str">
        <f>IF(A2879="","",SUMIF(RATEIOS!$A$2:$A$3142,$A2879,RATEIOS!$F$2:$F$3142))</f>
        <v/>
      </c>
      <c r="P2879" s="15" t="str">
        <f t="shared" si="90"/>
        <v/>
      </c>
      <c r="Q2879" s="49" t="str">
        <f>IF(AND(J2879=0,K2879=0,L2879=0,M2879=0),"",IF(O2879=0,"PENDENTE DE RATEIO",IF(ABS(P2879)&gt;0.005,"DIVERGÊNCIA",IF(COUNTIF(RATEIOS!$A$2:$A$3142,$A2879)-COUNTIFS(RATEIOS!$A$2:$A$3142,$A2879,RATEIOS!$D$2:$D$3142,"&lt;&gt;")&gt;0,"NÃO CLASSIFICADO","RATEIO OK"))))</f>
        <v/>
      </c>
      <c r="R2879" s="49"/>
      <c r="S2879" s="14"/>
    </row>
    <row r="2880" spans="1:19" ht="30" customHeight="1" x14ac:dyDescent="0.25">
      <c r="A2880" s="49" t="str">
        <f>IF(C2880="","","BAN-02879")</f>
        <v/>
      </c>
      <c r="B2880" s="98" t="str">
        <f>IF(C2880="","",2879)</f>
        <v/>
      </c>
      <c r="C2880" s="50"/>
      <c r="D2880" s="49" t="str">
        <f t="shared" si="89"/>
        <v/>
      </c>
      <c r="E2880" s="92"/>
      <c r="F2880" s="49"/>
      <c r="G2880" s="14"/>
      <c r="H2880" s="14"/>
      <c r="I2880" s="76"/>
      <c r="J2880" s="73"/>
      <c r="K2880" s="74"/>
      <c r="L2880" s="72"/>
      <c r="M2880" s="72"/>
      <c r="N2880" s="72" t="str">
        <f>IF(AND(C2880="",J2880=0,K2880=0,L2880=0,M2880=0),"",CADASTROS!$B$4+SUM($J$2:J2880)+SUM($M$2:M2880)-SUM($K$2:K2880)-SUM($L$2:L2880))</f>
        <v/>
      </c>
      <c r="O2880" s="72" t="str">
        <f>IF(A2880="","",SUMIF(RATEIOS!$A$2:$A$3142,$A2880,RATEIOS!$F$2:$F$3142))</f>
        <v/>
      </c>
      <c r="P2880" s="15" t="str">
        <f t="shared" si="90"/>
        <v/>
      </c>
      <c r="Q2880" s="49" t="str">
        <f>IF(AND(J2880=0,K2880=0,L2880=0,M2880=0),"",IF(O2880=0,"PENDENTE DE RATEIO",IF(ABS(P2880)&gt;0.005,"DIVERGÊNCIA",IF(COUNTIF(RATEIOS!$A$2:$A$3142,$A2880)-COUNTIFS(RATEIOS!$A$2:$A$3142,$A2880,RATEIOS!$D$2:$D$3142,"&lt;&gt;")&gt;0,"NÃO CLASSIFICADO","RATEIO OK"))))</f>
        <v/>
      </c>
      <c r="R2880" s="49"/>
      <c r="S2880" s="14"/>
    </row>
    <row r="2881" spans="1:19" ht="30" customHeight="1" x14ac:dyDescent="0.25">
      <c r="A2881" s="49" t="str">
        <f>IF(C2881="","","BAN-02880")</f>
        <v/>
      </c>
      <c r="B2881" s="98" t="str">
        <f>IF(C2881="","",2880)</f>
        <v/>
      </c>
      <c r="C2881" s="50"/>
      <c r="D2881" s="49" t="str">
        <f t="shared" si="89"/>
        <v/>
      </c>
      <c r="E2881" s="92"/>
      <c r="F2881" s="49"/>
      <c r="G2881" s="14"/>
      <c r="H2881" s="14"/>
      <c r="I2881" s="76"/>
      <c r="J2881" s="73"/>
      <c r="K2881" s="74"/>
      <c r="L2881" s="72"/>
      <c r="M2881" s="72"/>
      <c r="N2881" s="72" t="str">
        <f>IF(AND(C2881="",J2881=0,K2881=0,L2881=0,M2881=0),"",CADASTROS!$B$4+SUM($J$2:J2881)+SUM($M$2:M2881)-SUM($K$2:K2881)-SUM($L$2:L2881))</f>
        <v/>
      </c>
      <c r="O2881" s="72" t="str">
        <f>IF(A2881="","",SUMIF(RATEIOS!$A$2:$A$3142,$A2881,RATEIOS!$F$2:$F$3142))</f>
        <v/>
      </c>
      <c r="P2881" s="15" t="str">
        <f t="shared" si="90"/>
        <v/>
      </c>
      <c r="Q2881" s="49" t="str">
        <f>IF(AND(J2881=0,K2881=0,L2881=0,M2881=0),"",IF(O2881=0,"PENDENTE DE RATEIO",IF(ABS(P2881)&gt;0.005,"DIVERGÊNCIA",IF(COUNTIF(RATEIOS!$A$2:$A$3142,$A2881)-COUNTIFS(RATEIOS!$A$2:$A$3142,$A2881,RATEIOS!$D$2:$D$3142,"&lt;&gt;")&gt;0,"NÃO CLASSIFICADO","RATEIO OK"))))</f>
        <v/>
      </c>
      <c r="R2881" s="49"/>
      <c r="S2881" s="14"/>
    </row>
    <row r="2882" spans="1:19" ht="30" customHeight="1" x14ac:dyDescent="0.25">
      <c r="A2882" s="49" t="str">
        <f>IF(C2882="","","BAN-02881")</f>
        <v/>
      </c>
      <c r="B2882" s="98" t="str">
        <f>IF(C2882="","",2881)</f>
        <v/>
      </c>
      <c r="C2882" s="50"/>
      <c r="D2882" s="49" t="str">
        <f t="shared" ref="D2882:D2945" si="91">IF(C2882="","",MONTH(C2882))</f>
        <v/>
      </c>
      <c r="E2882" s="92"/>
      <c r="F2882" s="49"/>
      <c r="G2882" s="14"/>
      <c r="H2882" s="14"/>
      <c r="I2882" s="76"/>
      <c r="J2882" s="73"/>
      <c r="K2882" s="74"/>
      <c r="L2882" s="72"/>
      <c r="M2882" s="72"/>
      <c r="N2882" s="72" t="str">
        <f>IF(AND(C2882="",J2882=0,K2882=0,L2882=0,M2882=0),"",CADASTROS!$B$4+SUM($J$2:J2882)+SUM($M$2:M2882)-SUM($K$2:K2882)-SUM($L$2:L2882))</f>
        <v/>
      </c>
      <c r="O2882" s="72" t="str">
        <f>IF(A2882="","",SUMIF(RATEIOS!$A$2:$A$3142,$A2882,RATEIOS!$F$2:$F$3142))</f>
        <v/>
      </c>
      <c r="P2882" s="15" t="str">
        <f t="shared" ref="P2882:P2945" si="92">IF(A2882="","",(J2882+K2882+L2882+M2882)-O2882)</f>
        <v/>
      </c>
      <c r="Q2882" s="49" t="str">
        <f>IF(AND(J2882=0,K2882=0,L2882=0,M2882=0),"",IF(O2882=0,"PENDENTE DE RATEIO",IF(ABS(P2882)&gt;0.005,"DIVERGÊNCIA",IF(COUNTIF(RATEIOS!$A$2:$A$3142,$A2882)-COUNTIFS(RATEIOS!$A$2:$A$3142,$A2882,RATEIOS!$D$2:$D$3142,"&lt;&gt;")&gt;0,"NÃO CLASSIFICADO","RATEIO OK"))))</f>
        <v/>
      </c>
      <c r="R2882" s="49"/>
      <c r="S2882" s="14"/>
    </row>
    <row r="2883" spans="1:19" ht="30" customHeight="1" x14ac:dyDescent="0.25">
      <c r="A2883" s="49" t="str">
        <f>IF(C2883="","","BAN-02882")</f>
        <v/>
      </c>
      <c r="B2883" s="98" t="str">
        <f>IF(C2883="","",2882)</f>
        <v/>
      </c>
      <c r="C2883" s="50"/>
      <c r="D2883" s="49" t="str">
        <f t="shared" si="91"/>
        <v/>
      </c>
      <c r="E2883" s="92"/>
      <c r="F2883" s="49"/>
      <c r="G2883" s="14"/>
      <c r="H2883" s="14"/>
      <c r="I2883" s="76"/>
      <c r="J2883" s="73"/>
      <c r="K2883" s="74"/>
      <c r="L2883" s="72"/>
      <c r="M2883" s="72"/>
      <c r="N2883" s="72" t="str">
        <f>IF(AND(C2883="",J2883=0,K2883=0,L2883=0,M2883=0),"",CADASTROS!$B$4+SUM($J$2:J2883)+SUM($M$2:M2883)-SUM($K$2:K2883)-SUM($L$2:L2883))</f>
        <v/>
      </c>
      <c r="O2883" s="72" t="str">
        <f>IF(A2883="","",SUMIF(RATEIOS!$A$2:$A$3142,$A2883,RATEIOS!$F$2:$F$3142))</f>
        <v/>
      </c>
      <c r="P2883" s="15" t="str">
        <f t="shared" si="92"/>
        <v/>
      </c>
      <c r="Q2883" s="49" t="str">
        <f>IF(AND(J2883=0,K2883=0,L2883=0,M2883=0),"",IF(O2883=0,"PENDENTE DE RATEIO",IF(ABS(P2883)&gt;0.005,"DIVERGÊNCIA",IF(COUNTIF(RATEIOS!$A$2:$A$3142,$A2883)-COUNTIFS(RATEIOS!$A$2:$A$3142,$A2883,RATEIOS!$D$2:$D$3142,"&lt;&gt;")&gt;0,"NÃO CLASSIFICADO","RATEIO OK"))))</f>
        <v/>
      </c>
      <c r="R2883" s="49"/>
      <c r="S2883" s="14"/>
    </row>
    <row r="2884" spans="1:19" ht="30" customHeight="1" x14ac:dyDescent="0.25">
      <c r="A2884" s="49" t="str">
        <f>IF(C2884="","","BAN-02883")</f>
        <v/>
      </c>
      <c r="B2884" s="98" t="str">
        <f>IF(C2884="","",2883)</f>
        <v/>
      </c>
      <c r="C2884" s="50"/>
      <c r="D2884" s="49" t="str">
        <f t="shared" si="91"/>
        <v/>
      </c>
      <c r="E2884" s="92"/>
      <c r="F2884" s="49"/>
      <c r="G2884" s="14"/>
      <c r="H2884" s="14"/>
      <c r="I2884" s="76"/>
      <c r="J2884" s="73"/>
      <c r="K2884" s="74"/>
      <c r="L2884" s="72"/>
      <c r="M2884" s="72"/>
      <c r="N2884" s="72" t="str">
        <f>IF(AND(C2884="",J2884=0,K2884=0,L2884=0,M2884=0),"",CADASTROS!$B$4+SUM($J$2:J2884)+SUM($M$2:M2884)-SUM($K$2:K2884)-SUM($L$2:L2884))</f>
        <v/>
      </c>
      <c r="O2884" s="72" t="str">
        <f>IF(A2884="","",SUMIF(RATEIOS!$A$2:$A$3142,$A2884,RATEIOS!$F$2:$F$3142))</f>
        <v/>
      </c>
      <c r="P2884" s="15" t="str">
        <f t="shared" si="92"/>
        <v/>
      </c>
      <c r="Q2884" s="49" t="str">
        <f>IF(AND(J2884=0,K2884=0,L2884=0,M2884=0),"",IF(O2884=0,"PENDENTE DE RATEIO",IF(ABS(P2884)&gt;0.005,"DIVERGÊNCIA",IF(COUNTIF(RATEIOS!$A$2:$A$3142,$A2884)-COUNTIFS(RATEIOS!$A$2:$A$3142,$A2884,RATEIOS!$D$2:$D$3142,"&lt;&gt;")&gt;0,"NÃO CLASSIFICADO","RATEIO OK"))))</f>
        <v/>
      </c>
      <c r="R2884" s="49"/>
      <c r="S2884" s="14"/>
    </row>
    <row r="2885" spans="1:19" ht="30" customHeight="1" x14ac:dyDescent="0.25">
      <c r="A2885" s="49" t="str">
        <f>IF(C2885="","","BAN-02884")</f>
        <v/>
      </c>
      <c r="B2885" s="98" t="str">
        <f>IF(C2885="","",2884)</f>
        <v/>
      </c>
      <c r="C2885" s="50"/>
      <c r="D2885" s="49" t="str">
        <f t="shared" si="91"/>
        <v/>
      </c>
      <c r="E2885" s="92"/>
      <c r="F2885" s="49"/>
      <c r="G2885" s="14"/>
      <c r="H2885" s="14"/>
      <c r="I2885" s="76"/>
      <c r="J2885" s="73"/>
      <c r="K2885" s="74"/>
      <c r="L2885" s="72"/>
      <c r="M2885" s="72"/>
      <c r="N2885" s="72" t="str">
        <f>IF(AND(C2885="",J2885=0,K2885=0,L2885=0,M2885=0),"",CADASTROS!$B$4+SUM($J$2:J2885)+SUM($M$2:M2885)-SUM($K$2:K2885)-SUM($L$2:L2885))</f>
        <v/>
      </c>
      <c r="O2885" s="72" t="str">
        <f>IF(A2885="","",SUMIF(RATEIOS!$A$2:$A$3142,$A2885,RATEIOS!$F$2:$F$3142))</f>
        <v/>
      </c>
      <c r="P2885" s="15" t="str">
        <f t="shared" si="92"/>
        <v/>
      </c>
      <c r="Q2885" s="49" t="str">
        <f>IF(AND(J2885=0,K2885=0,L2885=0,M2885=0),"",IF(O2885=0,"PENDENTE DE RATEIO",IF(ABS(P2885)&gt;0.005,"DIVERGÊNCIA",IF(COUNTIF(RATEIOS!$A$2:$A$3142,$A2885)-COUNTIFS(RATEIOS!$A$2:$A$3142,$A2885,RATEIOS!$D$2:$D$3142,"&lt;&gt;")&gt;0,"NÃO CLASSIFICADO","RATEIO OK"))))</f>
        <v/>
      </c>
      <c r="R2885" s="49"/>
      <c r="S2885" s="14"/>
    </row>
    <row r="2886" spans="1:19" ht="30" customHeight="1" x14ac:dyDescent="0.25">
      <c r="A2886" s="49" t="str">
        <f>IF(C2886="","","BAN-02885")</f>
        <v/>
      </c>
      <c r="B2886" s="98" t="str">
        <f>IF(C2886="","",2885)</f>
        <v/>
      </c>
      <c r="C2886" s="50"/>
      <c r="D2886" s="49" t="str">
        <f t="shared" si="91"/>
        <v/>
      </c>
      <c r="E2886" s="92"/>
      <c r="F2886" s="49"/>
      <c r="G2886" s="14"/>
      <c r="H2886" s="14"/>
      <c r="I2886" s="76"/>
      <c r="J2886" s="73"/>
      <c r="K2886" s="74"/>
      <c r="L2886" s="72"/>
      <c r="M2886" s="72"/>
      <c r="N2886" s="72" t="str">
        <f>IF(AND(C2886="",J2886=0,K2886=0,L2886=0,M2886=0),"",CADASTROS!$B$4+SUM($J$2:J2886)+SUM($M$2:M2886)-SUM($K$2:K2886)-SUM($L$2:L2886))</f>
        <v/>
      </c>
      <c r="O2886" s="72" t="str">
        <f>IF(A2886="","",SUMIF(RATEIOS!$A$2:$A$3142,$A2886,RATEIOS!$F$2:$F$3142))</f>
        <v/>
      </c>
      <c r="P2886" s="15" t="str">
        <f t="shared" si="92"/>
        <v/>
      </c>
      <c r="Q2886" s="49" t="str">
        <f>IF(AND(J2886=0,K2886=0,L2886=0,M2886=0),"",IF(O2886=0,"PENDENTE DE RATEIO",IF(ABS(P2886)&gt;0.005,"DIVERGÊNCIA",IF(COUNTIF(RATEIOS!$A$2:$A$3142,$A2886)-COUNTIFS(RATEIOS!$A$2:$A$3142,$A2886,RATEIOS!$D$2:$D$3142,"&lt;&gt;")&gt;0,"NÃO CLASSIFICADO","RATEIO OK"))))</f>
        <v/>
      </c>
      <c r="R2886" s="49"/>
      <c r="S2886" s="14"/>
    </row>
    <row r="2887" spans="1:19" ht="30" customHeight="1" x14ac:dyDescent="0.25">
      <c r="A2887" s="49" t="str">
        <f>IF(C2887="","","BAN-02886")</f>
        <v/>
      </c>
      <c r="B2887" s="98" t="str">
        <f>IF(C2887="","",2886)</f>
        <v/>
      </c>
      <c r="C2887" s="50"/>
      <c r="D2887" s="49" t="str">
        <f t="shared" si="91"/>
        <v/>
      </c>
      <c r="E2887" s="92"/>
      <c r="F2887" s="49"/>
      <c r="G2887" s="14"/>
      <c r="H2887" s="14"/>
      <c r="I2887" s="76"/>
      <c r="J2887" s="73"/>
      <c r="K2887" s="74"/>
      <c r="L2887" s="72"/>
      <c r="M2887" s="72"/>
      <c r="N2887" s="72" t="str">
        <f>IF(AND(C2887="",J2887=0,K2887=0,L2887=0,M2887=0),"",CADASTROS!$B$4+SUM($J$2:J2887)+SUM($M$2:M2887)-SUM($K$2:K2887)-SUM($L$2:L2887))</f>
        <v/>
      </c>
      <c r="O2887" s="72" t="str">
        <f>IF(A2887="","",SUMIF(RATEIOS!$A$2:$A$3142,$A2887,RATEIOS!$F$2:$F$3142))</f>
        <v/>
      </c>
      <c r="P2887" s="15" t="str">
        <f t="shared" si="92"/>
        <v/>
      </c>
      <c r="Q2887" s="49" t="str">
        <f>IF(AND(J2887=0,K2887=0,L2887=0,M2887=0),"",IF(O2887=0,"PENDENTE DE RATEIO",IF(ABS(P2887)&gt;0.005,"DIVERGÊNCIA",IF(COUNTIF(RATEIOS!$A$2:$A$3142,$A2887)-COUNTIFS(RATEIOS!$A$2:$A$3142,$A2887,RATEIOS!$D$2:$D$3142,"&lt;&gt;")&gt;0,"NÃO CLASSIFICADO","RATEIO OK"))))</f>
        <v/>
      </c>
      <c r="R2887" s="49"/>
      <c r="S2887" s="14"/>
    </row>
    <row r="2888" spans="1:19" ht="30" customHeight="1" x14ac:dyDescent="0.25">
      <c r="A2888" s="49" t="str">
        <f>IF(C2888="","","BAN-02887")</f>
        <v/>
      </c>
      <c r="B2888" s="98" t="str">
        <f>IF(C2888="","",2887)</f>
        <v/>
      </c>
      <c r="C2888" s="50"/>
      <c r="D2888" s="49" t="str">
        <f t="shared" si="91"/>
        <v/>
      </c>
      <c r="E2888" s="92"/>
      <c r="F2888" s="49"/>
      <c r="G2888" s="14"/>
      <c r="H2888" s="14"/>
      <c r="I2888" s="76"/>
      <c r="J2888" s="73"/>
      <c r="K2888" s="74"/>
      <c r="L2888" s="72"/>
      <c r="M2888" s="72"/>
      <c r="N2888" s="72" t="str">
        <f>IF(AND(C2888="",J2888=0,K2888=0,L2888=0,M2888=0),"",CADASTROS!$B$4+SUM($J$2:J2888)+SUM($M$2:M2888)-SUM($K$2:K2888)-SUM($L$2:L2888))</f>
        <v/>
      </c>
      <c r="O2888" s="72" t="str">
        <f>IF(A2888="","",SUMIF(RATEIOS!$A$2:$A$3142,$A2888,RATEIOS!$F$2:$F$3142))</f>
        <v/>
      </c>
      <c r="P2888" s="15" t="str">
        <f t="shared" si="92"/>
        <v/>
      </c>
      <c r="Q2888" s="49" t="str">
        <f>IF(AND(J2888=0,K2888=0,L2888=0,M2888=0),"",IF(O2888=0,"PENDENTE DE RATEIO",IF(ABS(P2888)&gt;0.005,"DIVERGÊNCIA",IF(COUNTIF(RATEIOS!$A$2:$A$3142,$A2888)-COUNTIFS(RATEIOS!$A$2:$A$3142,$A2888,RATEIOS!$D$2:$D$3142,"&lt;&gt;")&gt;0,"NÃO CLASSIFICADO","RATEIO OK"))))</f>
        <v/>
      </c>
      <c r="R2888" s="49"/>
      <c r="S2888" s="14"/>
    </row>
    <row r="2889" spans="1:19" ht="30" customHeight="1" x14ac:dyDescent="0.25">
      <c r="A2889" s="49" t="str">
        <f>IF(C2889="","","BAN-02888")</f>
        <v/>
      </c>
      <c r="B2889" s="98" t="str">
        <f>IF(C2889="","",2888)</f>
        <v/>
      </c>
      <c r="C2889" s="50"/>
      <c r="D2889" s="49" t="str">
        <f t="shared" si="91"/>
        <v/>
      </c>
      <c r="E2889" s="92"/>
      <c r="F2889" s="49"/>
      <c r="G2889" s="14"/>
      <c r="H2889" s="14"/>
      <c r="I2889" s="76"/>
      <c r="J2889" s="73"/>
      <c r="K2889" s="74"/>
      <c r="L2889" s="72"/>
      <c r="M2889" s="72"/>
      <c r="N2889" s="72" t="str">
        <f>IF(AND(C2889="",J2889=0,K2889=0,L2889=0,M2889=0),"",CADASTROS!$B$4+SUM($J$2:J2889)+SUM($M$2:M2889)-SUM($K$2:K2889)-SUM($L$2:L2889))</f>
        <v/>
      </c>
      <c r="O2889" s="72" t="str">
        <f>IF(A2889="","",SUMIF(RATEIOS!$A$2:$A$3142,$A2889,RATEIOS!$F$2:$F$3142))</f>
        <v/>
      </c>
      <c r="P2889" s="15" t="str">
        <f t="shared" si="92"/>
        <v/>
      </c>
      <c r="Q2889" s="49" t="str">
        <f>IF(AND(J2889=0,K2889=0,L2889=0,M2889=0),"",IF(O2889=0,"PENDENTE DE RATEIO",IF(ABS(P2889)&gt;0.005,"DIVERGÊNCIA",IF(COUNTIF(RATEIOS!$A$2:$A$3142,$A2889)-COUNTIFS(RATEIOS!$A$2:$A$3142,$A2889,RATEIOS!$D$2:$D$3142,"&lt;&gt;")&gt;0,"NÃO CLASSIFICADO","RATEIO OK"))))</f>
        <v/>
      </c>
      <c r="R2889" s="49"/>
      <c r="S2889" s="14"/>
    </row>
    <row r="2890" spans="1:19" ht="30" customHeight="1" x14ac:dyDescent="0.25">
      <c r="A2890" s="49" t="str">
        <f>IF(C2890="","","BAN-02889")</f>
        <v/>
      </c>
      <c r="B2890" s="98" t="str">
        <f>IF(C2890="","",2889)</f>
        <v/>
      </c>
      <c r="C2890" s="50"/>
      <c r="D2890" s="49" t="str">
        <f t="shared" si="91"/>
        <v/>
      </c>
      <c r="E2890" s="92"/>
      <c r="F2890" s="49"/>
      <c r="G2890" s="14"/>
      <c r="H2890" s="14"/>
      <c r="I2890" s="76"/>
      <c r="J2890" s="73"/>
      <c r="K2890" s="74"/>
      <c r="L2890" s="72"/>
      <c r="M2890" s="72"/>
      <c r="N2890" s="72" t="str">
        <f>IF(AND(C2890="",J2890=0,K2890=0,L2890=0,M2890=0),"",CADASTROS!$B$4+SUM($J$2:J2890)+SUM($M$2:M2890)-SUM($K$2:K2890)-SUM($L$2:L2890))</f>
        <v/>
      </c>
      <c r="O2890" s="72" t="str">
        <f>IF(A2890="","",SUMIF(RATEIOS!$A$2:$A$3142,$A2890,RATEIOS!$F$2:$F$3142))</f>
        <v/>
      </c>
      <c r="P2890" s="15" t="str">
        <f t="shared" si="92"/>
        <v/>
      </c>
      <c r="Q2890" s="49" t="str">
        <f>IF(AND(J2890=0,K2890=0,L2890=0,M2890=0),"",IF(O2890=0,"PENDENTE DE RATEIO",IF(ABS(P2890)&gt;0.005,"DIVERGÊNCIA",IF(COUNTIF(RATEIOS!$A$2:$A$3142,$A2890)-COUNTIFS(RATEIOS!$A$2:$A$3142,$A2890,RATEIOS!$D$2:$D$3142,"&lt;&gt;")&gt;0,"NÃO CLASSIFICADO","RATEIO OK"))))</f>
        <v/>
      </c>
      <c r="R2890" s="49"/>
      <c r="S2890" s="14"/>
    </row>
    <row r="2891" spans="1:19" ht="30" customHeight="1" x14ac:dyDescent="0.25">
      <c r="A2891" s="49" t="str">
        <f>IF(C2891="","","BAN-02890")</f>
        <v/>
      </c>
      <c r="B2891" s="98" t="str">
        <f>IF(C2891="","",2890)</f>
        <v/>
      </c>
      <c r="C2891" s="50"/>
      <c r="D2891" s="49" t="str">
        <f t="shared" si="91"/>
        <v/>
      </c>
      <c r="E2891" s="92"/>
      <c r="F2891" s="49"/>
      <c r="G2891" s="14"/>
      <c r="H2891" s="14"/>
      <c r="I2891" s="76"/>
      <c r="J2891" s="73"/>
      <c r="K2891" s="74"/>
      <c r="L2891" s="72"/>
      <c r="M2891" s="72"/>
      <c r="N2891" s="72" t="str">
        <f>IF(AND(C2891="",J2891=0,K2891=0,L2891=0,M2891=0),"",CADASTROS!$B$4+SUM($J$2:J2891)+SUM($M$2:M2891)-SUM($K$2:K2891)-SUM($L$2:L2891))</f>
        <v/>
      </c>
      <c r="O2891" s="72" t="str">
        <f>IF(A2891="","",SUMIF(RATEIOS!$A$2:$A$3142,$A2891,RATEIOS!$F$2:$F$3142))</f>
        <v/>
      </c>
      <c r="P2891" s="15" t="str">
        <f t="shared" si="92"/>
        <v/>
      </c>
      <c r="Q2891" s="49" t="str">
        <f>IF(AND(J2891=0,K2891=0,L2891=0,M2891=0),"",IF(O2891=0,"PENDENTE DE RATEIO",IF(ABS(P2891)&gt;0.005,"DIVERGÊNCIA",IF(COUNTIF(RATEIOS!$A$2:$A$3142,$A2891)-COUNTIFS(RATEIOS!$A$2:$A$3142,$A2891,RATEIOS!$D$2:$D$3142,"&lt;&gt;")&gt;0,"NÃO CLASSIFICADO","RATEIO OK"))))</f>
        <v/>
      </c>
      <c r="R2891" s="49"/>
      <c r="S2891" s="14"/>
    </row>
    <row r="2892" spans="1:19" ht="30" customHeight="1" x14ac:dyDescent="0.25">
      <c r="A2892" s="49" t="str">
        <f>IF(C2892="","","BAN-02891")</f>
        <v/>
      </c>
      <c r="B2892" s="98" t="str">
        <f>IF(C2892="","",2891)</f>
        <v/>
      </c>
      <c r="C2892" s="50"/>
      <c r="D2892" s="49" t="str">
        <f t="shared" si="91"/>
        <v/>
      </c>
      <c r="E2892" s="92"/>
      <c r="F2892" s="49"/>
      <c r="G2892" s="14"/>
      <c r="H2892" s="14"/>
      <c r="I2892" s="76"/>
      <c r="J2892" s="73"/>
      <c r="K2892" s="74"/>
      <c r="L2892" s="72"/>
      <c r="M2892" s="72"/>
      <c r="N2892" s="72" t="str">
        <f>IF(AND(C2892="",J2892=0,K2892=0,L2892=0,M2892=0),"",CADASTROS!$B$4+SUM($J$2:J2892)+SUM($M$2:M2892)-SUM($K$2:K2892)-SUM($L$2:L2892))</f>
        <v/>
      </c>
      <c r="O2892" s="72" t="str">
        <f>IF(A2892="","",SUMIF(RATEIOS!$A$2:$A$3142,$A2892,RATEIOS!$F$2:$F$3142))</f>
        <v/>
      </c>
      <c r="P2892" s="15" t="str">
        <f t="shared" si="92"/>
        <v/>
      </c>
      <c r="Q2892" s="49" t="str">
        <f>IF(AND(J2892=0,K2892=0,L2892=0,M2892=0),"",IF(O2892=0,"PENDENTE DE RATEIO",IF(ABS(P2892)&gt;0.005,"DIVERGÊNCIA",IF(COUNTIF(RATEIOS!$A$2:$A$3142,$A2892)-COUNTIFS(RATEIOS!$A$2:$A$3142,$A2892,RATEIOS!$D$2:$D$3142,"&lt;&gt;")&gt;0,"NÃO CLASSIFICADO","RATEIO OK"))))</f>
        <v/>
      </c>
      <c r="R2892" s="49"/>
      <c r="S2892" s="14"/>
    </row>
    <row r="2893" spans="1:19" ht="30" customHeight="1" x14ac:dyDescent="0.25">
      <c r="A2893" s="49" t="str">
        <f>IF(C2893="","","BAN-02892")</f>
        <v/>
      </c>
      <c r="B2893" s="98" t="str">
        <f>IF(C2893="","",2892)</f>
        <v/>
      </c>
      <c r="C2893" s="50"/>
      <c r="D2893" s="49" t="str">
        <f t="shared" si="91"/>
        <v/>
      </c>
      <c r="E2893" s="92"/>
      <c r="F2893" s="49"/>
      <c r="G2893" s="14"/>
      <c r="H2893" s="14"/>
      <c r="I2893" s="76"/>
      <c r="J2893" s="73"/>
      <c r="K2893" s="74"/>
      <c r="L2893" s="72"/>
      <c r="M2893" s="72"/>
      <c r="N2893" s="72" t="str">
        <f>IF(AND(C2893="",J2893=0,K2893=0,L2893=0,M2893=0),"",CADASTROS!$B$4+SUM($J$2:J2893)+SUM($M$2:M2893)-SUM($K$2:K2893)-SUM($L$2:L2893))</f>
        <v/>
      </c>
      <c r="O2893" s="72" t="str">
        <f>IF(A2893="","",SUMIF(RATEIOS!$A$2:$A$3142,$A2893,RATEIOS!$F$2:$F$3142))</f>
        <v/>
      </c>
      <c r="P2893" s="15" t="str">
        <f t="shared" si="92"/>
        <v/>
      </c>
      <c r="Q2893" s="49" t="str">
        <f>IF(AND(J2893=0,K2893=0,L2893=0,M2893=0),"",IF(O2893=0,"PENDENTE DE RATEIO",IF(ABS(P2893)&gt;0.005,"DIVERGÊNCIA",IF(COUNTIF(RATEIOS!$A$2:$A$3142,$A2893)-COUNTIFS(RATEIOS!$A$2:$A$3142,$A2893,RATEIOS!$D$2:$D$3142,"&lt;&gt;")&gt;0,"NÃO CLASSIFICADO","RATEIO OK"))))</f>
        <v/>
      </c>
      <c r="R2893" s="49"/>
      <c r="S2893" s="14"/>
    </row>
    <row r="2894" spans="1:19" ht="30" customHeight="1" x14ac:dyDescent="0.25">
      <c r="A2894" s="49" t="str">
        <f>IF(C2894="","","BAN-02893")</f>
        <v/>
      </c>
      <c r="B2894" s="98" t="str">
        <f>IF(C2894="","",2893)</f>
        <v/>
      </c>
      <c r="C2894" s="50"/>
      <c r="D2894" s="49" t="str">
        <f t="shared" si="91"/>
        <v/>
      </c>
      <c r="E2894" s="92"/>
      <c r="F2894" s="49"/>
      <c r="G2894" s="14"/>
      <c r="H2894" s="14"/>
      <c r="I2894" s="76"/>
      <c r="J2894" s="73"/>
      <c r="K2894" s="74"/>
      <c r="L2894" s="72"/>
      <c r="M2894" s="72"/>
      <c r="N2894" s="72" t="str">
        <f>IF(AND(C2894="",J2894=0,K2894=0,L2894=0,M2894=0),"",CADASTROS!$B$4+SUM($J$2:J2894)+SUM($M$2:M2894)-SUM($K$2:K2894)-SUM($L$2:L2894))</f>
        <v/>
      </c>
      <c r="O2894" s="72" t="str">
        <f>IF(A2894="","",SUMIF(RATEIOS!$A$2:$A$3142,$A2894,RATEIOS!$F$2:$F$3142))</f>
        <v/>
      </c>
      <c r="P2894" s="15" t="str">
        <f t="shared" si="92"/>
        <v/>
      </c>
      <c r="Q2894" s="49" t="str">
        <f>IF(AND(J2894=0,K2894=0,L2894=0,M2894=0),"",IF(O2894=0,"PENDENTE DE RATEIO",IF(ABS(P2894)&gt;0.005,"DIVERGÊNCIA",IF(COUNTIF(RATEIOS!$A$2:$A$3142,$A2894)-COUNTIFS(RATEIOS!$A$2:$A$3142,$A2894,RATEIOS!$D$2:$D$3142,"&lt;&gt;")&gt;0,"NÃO CLASSIFICADO","RATEIO OK"))))</f>
        <v/>
      </c>
      <c r="R2894" s="49"/>
      <c r="S2894" s="14"/>
    </row>
    <row r="2895" spans="1:19" ht="30" customHeight="1" x14ac:dyDescent="0.25">
      <c r="A2895" s="49" t="str">
        <f>IF(C2895="","","BAN-02894")</f>
        <v/>
      </c>
      <c r="B2895" s="98" t="str">
        <f>IF(C2895="","",2894)</f>
        <v/>
      </c>
      <c r="C2895" s="50"/>
      <c r="D2895" s="49" t="str">
        <f t="shared" si="91"/>
        <v/>
      </c>
      <c r="E2895" s="92"/>
      <c r="F2895" s="49"/>
      <c r="G2895" s="14"/>
      <c r="H2895" s="14"/>
      <c r="I2895" s="76"/>
      <c r="J2895" s="73"/>
      <c r="K2895" s="74"/>
      <c r="L2895" s="72"/>
      <c r="M2895" s="72"/>
      <c r="N2895" s="72" t="str">
        <f>IF(AND(C2895="",J2895=0,K2895=0,L2895=0,M2895=0),"",CADASTROS!$B$4+SUM($J$2:J2895)+SUM($M$2:M2895)-SUM($K$2:K2895)-SUM($L$2:L2895))</f>
        <v/>
      </c>
      <c r="O2895" s="72" t="str">
        <f>IF(A2895="","",SUMIF(RATEIOS!$A$2:$A$3142,$A2895,RATEIOS!$F$2:$F$3142))</f>
        <v/>
      </c>
      <c r="P2895" s="15" t="str">
        <f t="shared" si="92"/>
        <v/>
      </c>
      <c r="Q2895" s="49" t="str">
        <f>IF(AND(J2895=0,K2895=0,L2895=0,M2895=0),"",IF(O2895=0,"PENDENTE DE RATEIO",IF(ABS(P2895)&gt;0.005,"DIVERGÊNCIA",IF(COUNTIF(RATEIOS!$A$2:$A$3142,$A2895)-COUNTIFS(RATEIOS!$A$2:$A$3142,$A2895,RATEIOS!$D$2:$D$3142,"&lt;&gt;")&gt;0,"NÃO CLASSIFICADO","RATEIO OK"))))</f>
        <v/>
      </c>
      <c r="R2895" s="49"/>
      <c r="S2895" s="14"/>
    </row>
    <row r="2896" spans="1:19" ht="30" customHeight="1" x14ac:dyDescent="0.25">
      <c r="A2896" s="49" t="str">
        <f>IF(C2896="","","BAN-02895")</f>
        <v/>
      </c>
      <c r="B2896" s="98" t="str">
        <f>IF(C2896="","",2895)</f>
        <v/>
      </c>
      <c r="C2896" s="50"/>
      <c r="D2896" s="49" t="str">
        <f t="shared" si="91"/>
        <v/>
      </c>
      <c r="E2896" s="92"/>
      <c r="F2896" s="49"/>
      <c r="G2896" s="14"/>
      <c r="H2896" s="14"/>
      <c r="I2896" s="76"/>
      <c r="J2896" s="73"/>
      <c r="K2896" s="74"/>
      <c r="L2896" s="72"/>
      <c r="M2896" s="72"/>
      <c r="N2896" s="72" t="str">
        <f>IF(AND(C2896="",J2896=0,K2896=0,L2896=0,M2896=0),"",CADASTROS!$B$4+SUM($J$2:J2896)+SUM($M$2:M2896)-SUM($K$2:K2896)-SUM($L$2:L2896))</f>
        <v/>
      </c>
      <c r="O2896" s="72" t="str">
        <f>IF(A2896="","",SUMIF(RATEIOS!$A$2:$A$3142,$A2896,RATEIOS!$F$2:$F$3142))</f>
        <v/>
      </c>
      <c r="P2896" s="15" t="str">
        <f t="shared" si="92"/>
        <v/>
      </c>
      <c r="Q2896" s="49" t="str">
        <f>IF(AND(J2896=0,K2896=0,L2896=0,M2896=0),"",IF(O2896=0,"PENDENTE DE RATEIO",IF(ABS(P2896)&gt;0.005,"DIVERGÊNCIA",IF(COUNTIF(RATEIOS!$A$2:$A$3142,$A2896)-COUNTIFS(RATEIOS!$A$2:$A$3142,$A2896,RATEIOS!$D$2:$D$3142,"&lt;&gt;")&gt;0,"NÃO CLASSIFICADO","RATEIO OK"))))</f>
        <v/>
      </c>
      <c r="R2896" s="49"/>
      <c r="S2896" s="14"/>
    </row>
    <row r="2897" spans="1:19" ht="30" customHeight="1" x14ac:dyDescent="0.25">
      <c r="A2897" s="49" t="str">
        <f>IF(C2897="","","BAN-02896")</f>
        <v/>
      </c>
      <c r="B2897" s="98" t="str">
        <f>IF(C2897="","",2896)</f>
        <v/>
      </c>
      <c r="C2897" s="50"/>
      <c r="D2897" s="49" t="str">
        <f t="shared" si="91"/>
        <v/>
      </c>
      <c r="E2897" s="92"/>
      <c r="F2897" s="49"/>
      <c r="G2897" s="14"/>
      <c r="H2897" s="14"/>
      <c r="I2897" s="76"/>
      <c r="J2897" s="73"/>
      <c r="K2897" s="74"/>
      <c r="L2897" s="72"/>
      <c r="M2897" s="72"/>
      <c r="N2897" s="72" t="str">
        <f>IF(AND(C2897="",J2897=0,K2897=0,L2897=0,M2897=0),"",CADASTROS!$B$4+SUM($J$2:J2897)+SUM($M$2:M2897)-SUM($K$2:K2897)-SUM($L$2:L2897))</f>
        <v/>
      </c>
      <c r="O2897" s="72" t="str">
        <f>IF(A2897="","",SUMIF(RATEIOS!$A$2:$A$3142,$A2897,RATEIOS!$F$2:$F$3142))</f>
        <v/>
      </c>
      <c r="P2897" s="15" t="str">
        <f t="shared" si="92"/>
        <v/>
      </c>
      <c r="Q2897" s="49" t="str">
        <f>IF(AND(J2897=0,K2897=0,L2897=0,M2897=0),"",IF(O2897=0,"PENDENTE DE RATEIO",IF(ABS(P2897)&gt;0.005,"DIVERGÊNCIA",IF(COUNTIF(RATEIOS!$A$2:$A$3142,$A2897)-COUNTIFS(RATEIOS!$A$2:$A$3142,$A2897,RATEIOS!$D$2:$D$3142,"&lt;&gt;")&gt;0,"NÃO CLASSIFICADO","RATEIO OK"))))</f>
        <v/>
      </c>
      <c r="R2897" s="49"/>
      <c r="S2897" s="14"/>
    </row>
    <row r="2898" spans="1:19" ht="30" customHeight="1" x14ac:dyDescent="0.25">
      <c r="A2898" s="49" t="str">
        <f>IF(C2898="","","BAN-02897")</f>
        <v/>
      </c>
      <c r="B2898" s="98" t="str">
        <f>IF(C2898="","",2897)</f>
        <v/>
      </c>
      <c r="C2898" s="50"/>
      <c r="D2898" s="49" t="str">
        <f t="shared" si="91"/>
        <v/>
      </c>
      <c r="E2898" s="92"/>
      <c r="F2898" s="49"/>
      <c r="G2898" s="14"/>
      <c r="H2898" s="14"/>
      <c r="I2898" s="76"/>
      <c r="J2898" s="73"/>
      <c r="K2898" s="74"/>
      <c r="L2898" s="72"/>
      <c r="M2898" s="72"/>
      <c r="N2898" s="72" t="str">
        <f>IF(AND(C2898="",J2898=0,K2898=0,L2898=0,M2898=0),"",CADASTROS!$B$4+SUM($J$2:J2898)+SUM($M$2:M2898)-SUM($K$2:K2898)-SUM($L$2:L2898))</f>
        <v/>
      </c>
      <c r="O2898" s="72" t="str">
        <f>IF(A2898="","",SUMIF(RATEIOS!$A$2:$A$3142,$A2898,RATEIOS!$F$2:$F$3142))</f>
        <v/>
      </c>
      <c r="P2898" s="15" t="str">
        <f t="shared" si="92"/>
        <v/>
      </c>
      <c r="Q2898" s="49" t="str">
        <f>IF(AND(J2898=0,K2898=0,L2898=0,M2898=0),"",IF(O2898=0,"PENDENTE DE RATEIO",IF(ABS(P2898)&gt;0.005,"DIVERGÊNCIA",IF(COUNTIF(RATEIOS!$A$2:$A$3142,$A2898)-COUNTIFS(RATEIOS!$A$2:$A$3142,$A2898,RATEIOS!$D$2:$D$3142,"&lt;&gt;")&gt;0,"NÃO CLASSIFICADO","RATEIO OK"))))</f>
        <v/>
      </c>
      <c r="R2898" s="49"/>
      <c r="S2898" s="14"/>
    </row>
    <row r="2899" spans="1:19" ht="30" customHeight="1" x14ac:dyDescent="0.25">
      <c r="A2899" s="49" t="str">
        <f>IF(C2899="","","BAN-02898")</f>
        <v/>
      </c>
      <c r="B2899" s="98" t="str">
        <f>IF(C2899="","",2898)</f>
        <v/>
      </c>
      <c r="C2899" s="50"/>
      <c r="D2899" s="49" t="str">
        <f t="shared" si="91"/>
        <v/>
      </c>
      <c r="E2899" s="92"/>
      <c r="F2899" s="49"/>
      <c r="G2899" s="14"/>
      <c r="H2899" s="14"/>
      <c r="I2899" s="76"/>
      <c r="J2899" s="73"/>
      <c r="K2899" s="74"/>
      <c r="L2899" s="72"/>
      <c r="M2899" s="72"/>
      <c r="N2899" s="72" t="str">
        <f>IF(AND(C2899="",J2899=0,K2899=0,L2899=0,M2899=0),"",CADASTROS!$B$4+SUM($J$2:J2899)+SUM($M$2:M2899)-SUM($K$2:K2899)-SUM($L$2:L2899))</f>
        <v/>
      </c>
      <c r="O2899" s="72" t="str">
        <f>IF(A2899="","",SUMIF(RATEIOS!$A$2:$A$3142,$A2899,RATEIOS!$F$2:$F$3142))</f>
        <v/>
      </c>
      <c r="P2899" s="15" t="str">
        <f t="shared" si="92"/>
        <v/>
      </c>
      <c r="Q2899" s="49" t="str">
        <f>IF(AND(J2899=0,K2899=0,L2899=0,M2899=0),"",IF(O2899=0,"PENDENTE DE RATEIO",IF(ABS(P2899)&gt;0.005,"DIVERGÊNCIA",IF(COUNTIF(RATEIOS!$A$2:$A$3142,$A2899)-COUNTIFS(RATEIOS!$A$2:$A$3142,$A2899,RATEIOS!$D$2:$D$3142,"&lt;&gt;")&gt;0,"NÃO CLASSIFICADO","RATEIO OK"))))</f>
        <v/>
      </c>
      <c r="R2899" s="49"/>
      <c r="S2899" s="14"/>
    </row>
    <row r="2900" spans="1:19" ht="30" customHeight="1" x14ac:dyDescent="0.25">
      <c r="A2900" s="49" t="str">
        <f>IF(C2900="","","BAN-02899")</f>
        <v/>
      </c>
      <c r="B2900" s="98" t="str">
        <f>IF(C2900="","",2899)</f>
        <v/>
      </c>
      <c r="C2900" s="50"/>
      <c r="D2900" s="49" t="str">
        <f t="shared" si="91"/>
        <v/>
      </c>
      <c r="E2900" s="92"/>
      <c r="F2900" s="49"/>
      <c r="G2900" s="14"/>
      <c r="H2900" s="14"/>
      <c r="I2900" s="76"/>
      <c r="J2900" s="73"/>
      <c r="K2900" s="74"/>
      <c r="L2900" s="72"/>
      <c r="M2900" s="72"/>
      <c r="N2900" s="72" t="str">
        <f>IF(AND(C2900="",J2900=0,K2900=0,L2900=0,M2900=0),"",CADASTROS!$B$4+SUM($J$2:J2900)+SUM($M$2:M2900)-SUM($K$2:K2900)-SUM($L$2:L2900))</f>
        <v/>
      </c>
      <c r="O2900" s="72" t="str">
        <f>IF(A2900="","",SUMIF(RATEIOS!$A$2:$A$3142,$A2900,RATEIOS!$F$2:$F$3142))</f>
        <v/>
      </c>
      <c r="P2900" s="15" t="str">
        <f t="shared" si="92"/>
        <v/>
      </c>
      <c r="Q2900" s="49" t="str">
        <f>IF(AND(J2900=0,K2900=0,L2900=0,M2900=0),"",IF(O2900=0,"PENDENTE DE RATEIO",IF(ABS(P2900)&gt;0.005,"DIVERGÊNCIA",IF(COUNTIF(RATEIOS!$A$2:$A$3142,$A2900)-COUNTIFS(RATEIOS!$A$2:$A$3142,$A2900,RATEIOS!$D$2:$D$3142,"&lt;&gt;")&gt;0,"NÃO CLASSIFICADO","RATEIO OK"))))</f>
        <v/>
      </c>
      <c r="R2900" s="49"/>
      <c r="S2900" s="14"/>
    </row>
    <row r="2901" spans="1:19" ht="30" customHeight="1" x14ac:dyDescent="0.25">
      <c r="A2901" s="49" t="str">
        <f>IF(C2901="","","BAN-02900")</f>
        <v/>
      </c>
      <c r="B2901" s="98" t="str">
        <f>IF(C2901="","",2900)</f>
        <v/>
      </c>
      <c r="C2901" s="50"/>
      <c r="D2901" s="49" t="str">
        <f t="shared" si="91"/>
        <v/>
      </c>
      <c r="E2901" s="92"/>
      <c r="F2901" s="49"/>
      <c r="G2901" s="14"/>
      <c r="H2901" s="14"/>
      <c r="I2901" s="76"/>
      <c r="J2901" s="73"/>
      <c r="K2901" s="74"/>
      <c r="L2901" s="72"/>
      <c r="M2901" s="72"/>
      <c r="N2901" s="72" t="str">
        <f>IF(AND(C2901="",J2901=0,K2901=0,L2901=0,M2901=0),"",CADASTROS!$B$4+SUM($J$2:J2901)+SUM($M$2:M2901)-SUM($K$2:K2901)-SUM($L$2:L2901))</f>
        <v/>
      </c>
      <c r="O2901" s="72" t="str">
        <f>IF(A2901="","",SUMIF(RATEIOS!$A$2:$A$3142,$A2901,RATEIOS!$F$2:$F$3142))</f>
        <v/>
      </c>
      <c r="P2901" s="15" t="str">
        <f t="shared" si="92"/>
        <v/>
      </c>
      <c r="Q2901" s="49" t="str">
        <f>IF(AND(J2901=0,K2901=0,L2901=0,M2901=0),"",IF(O2901=0,"PENDENTE DE RATEIO",IF(ABS(P2901)&gt;0.005,"DIVERGÊNCIA",IF(COUNTIF(RATEIOS!$A$2:$A$3142,$A2901)-COUNTIFS(RATEIOS!$A$2:$A$3142,$A2901,RATEIOS!$D$2:$D$3142,"&lt;&gt;")&gt;0,"NÃO CLASSIFICADO","RATEIO OK"))))</f>
        <v/>
      </c>
      <c r="R2901" s="49"/>
      <c r="S2901" s="14"/>
    </row>
    <row r="2902" spans="1:19" ht="30" customHeight="1" x14ac:dyDescent="0.25">
      <c r="A2902" s="49" t="str">
        <f>IF(C2902="","","BAN-02901")</f>
        <v/>
      </c>
      <c r="B2902" s="98" t="str">
        <f>IF(C2902="","",2901)</f>
        <v/>
      </c>
      <c r="C2902" s="50"/>
      <c r="D2902" s="49" t="str">
        <f t="shared" si="91"/>
        <v/>
      </c>
      <c r="E2902" s="92"/>
      <c r="F2902" s="49"/>
      <c r="G2902" s="14"/>
      <c r="H2902" s="14"/>
      <c r="I2902" s="76"/>
      <c r="J2902" s="73"/>
      <c r="K2902" s="74"/>
      <c r="L2902" s="72"/>
      <c r="M2902" s="72"/>
      <c r="N2902" s="72" t="str">
        <f>IF(AND(C2902="",J2902=0,K2902=0,L2902=0,M2902=0),"",CADASTROS!$B$4+SUM($J$2:J2902)+SUM($M$2:M2902)-SUM($K$2:K2902)-SUM($L$2:L2902))</f>
        <v/>
      </c>
      <c r="O2902" s="72" t="str">
        <f>IF(A2902="","",SUMIF(RATEIOS!$A$2:$A$3142,$A2902,RATEIOS!$F$2:$F$3142))</f>
        <v/>
      </c>
      <c r="P2902" s="15" t="str">
        <f t="shared" si="92"/>
        <v/>
      </c>
      <c r="Q2902" s="49" t="str">
        <f>IF(AND(J2902=0,K2902=0,L2902=0,M2902=0),"",IF(O2902=0,"PENDENTE DE RATEIO",IF(ABS(P2902)&gt;0.005,"DIVERGÊNCIA",IF(COUNTIF(RATEIOS!$A$2:$A$3142,$A2902)-COUNTIFS(RATEIOS!$A$2:$A$3142,$A2902,RATEIOS!$D$2:$D$3142,"&lt;&gt;")&gt;0,"NÃO CLASSIFICADO","RATEIO OK"))))</f>
        <v/>
      </c>
      <c r="R2902" s="49"/>
      <c r="S2902" s="14"/>
    </row>
    <row r="2903" spans="1:19" ht="30" customHeight="1" x14ac:dyDescent="0.25">
      <c r="A2903" s="49" t="str">
        <f>IF(C2903="","","BAN-02902")</f>
        <v/>
      </c>
      <c r="B2903" s="98" t="str">
        <f>IF(C2903="","",2902)</f>
        <v/>
      </c>
      <c r="C2903" s="50"/>
      <c r="D2903" s="49" t="str">
        <f t="shared" si="91"/>
        <v/>
      </c>
      <c r="E2903" s="92"/>
      <c r="F2903" s="49"/>
      <c r="G2903" s="14"/>
      <c r="H2903" s="14"/>
      <c r="I2903" s="76"/>
      <c r="J2903" s="73"/>
      <c r="K2903" s="74"/>
      <c r="L2903" s="72"/>
      <c r="M2903" s="72"/>
      <c r="N2903" s="72" t="str">
        <f>IF(AND(C2903="",J2903=0,K2903=0,L2903=0,M2903=0),"",CADASTROS!$B$4+SUM($J$2:J2903)+SUM($M$2:M2903)-SUM($K$2:K2903)-SUM($L$2:L2903))</f>
        <v/>
      </c>
      <c r="O2903" s="72" t="str">
        <f>IF(A2903="","",SUMIF(RATEIOS!$A$2:$A$3142,$A2903,RATEIOS!$F$2:$F$3142))</f>
        <v/>
      </c>
      <c r="P2903" s="15" t="str">
        <f t="shared" si="92"/>
        <v/>
      </c>
      <c r="Q2903" s="49" t="str">
        <f>IF(AND(J2903=0,K2903=0,L2903=0,M2903=0),"",IF(O2903=0,"PENDENTE DE RATEIO",IF(ABS(P2903)&gt;0.005,"DIVERGÊNCIA",IF(COUNTIF(RATEIOS!$A$2:$A$3142,$A2903)-COUNTIFS(RATEIOS!$A$2:$A$3142,$A2903,RATEIOS!$D$2:$D$3142,"&lt;&gt;")&gt;0,"NÃO CLASSIFICADO","RATEIO OK"))))</f>
        <v/>
      </c>
      <c r="R2903" s="49"/>
      <c r="S2903" s="14"/>
    </row>
    <row r="2904" spans="1:19" ht="30" customHeight="1" x14ac:dyDescent="0.25">
      <c r="A2904" s="49" t="str">
        <f>IF(C2904="","","BAN-02903")</f>
        <v/>
      </c>
      <c r="B2904" s="98" t="str">
        <f>IF(C2904="","",2903)</f>
        <v/>
      </c>
      <c r="C2904" s="50"/>
      <c r="D2904" s="49" t="str">
        <f t="shared" si="91"/>
        <v/>
      </c>
      <c r="E2904" s="92"/>
      <c r="F2904" s="49"/>
      <c r="G2904" s="14"/>
      <c r="H2904" s="14"/>
      <c r="I2904" s="76"/>
      <c r="J2904" s="73"/>
      <c r="K2904" s="74"/>
      <c r="L2904" s="72"/>
      <c r="M2904" s="72"/>
      <c r="N2904" s="72" t="str">
        <f>IF(AND(C2904="",J2904=0,K2904=0,L2904=0,M2904=0),"",CADASTROS!$B$4+SUM($J$2:J2904)+SUM($M$2:M2904)-SUM($K$2:K2904)-SUM($L$2:L2904))</f>
        <v/>
      </c>
      <c r="O2904" s="72" t="str">
        <f>IF(A2904="","",SUMIF(RATEIOS!$A$2:$A$3142,$A2904,RATEIOS!$F$2:$F$3142))</f>
        <v/>
      </c>
      <c r="P2904" s="15" t="str">
        <f t="shared" si="92"/>
        <v/>
      </c>
      <c r="Q2904" s="49" t="str">
        <f>IF(AND(J2904=0,K2904=0,L2904=0,M2904=0),"",IF(O2904=0,"PENDENTE DE RATEIO",IF(ABS(P2904)&gt;0.005,"DIVERGÊNCIA",IF(COUNTIF(RATEIOS!$A$2:$A$3142,$A2904)-COUNTIFS(RATEIOS!$A$2:$A$3142,$A2904,RATEIOS!$D$2:$D$3142,"&lt;&gt;")&gt;0,"NÃO CLASSIFICADO","RATEIO OK"))))</f>
        <v/>
      </c>
      <c r="R2904" s="49"/>
      <c r="S2904" s="14"/>
    </row>
    <row r="2905" spans="1:19" ht="30" customHeight="1" x14ac:dyDescent="0.25">
      <c r="A2905" s="49" t="str">
        <f>IF(C2905="","","BAN-02904")</f>
        <v/>
      </c>
      <c r="B2905" s="98" t="str">
        <f>IF(C2905="","",2904)</f>
        <v/>
      </c>
      <c r="C2905" s="50"/>
      <c r="D2905" s="49" t="str">
        <f t="shared" si="91"/>
        <v/>
      </c>
      <c r="E2905" s="92"/>
      <c r="F2905" s="49"/>
      <c r="G2905" s="14"/>
      <c r="H2905" s="14"/>
      <c r="I2905" s="76"/>
      <c r="J2905" s="73"/>
      <c r="K2905" s="74"/>
      <c r="L2905" s="72"/>
      <c r="M2905" s="72"/>
      <c r="N2905" s="72" t="str">
        <f>IF(AND(C2905="",J2905=0,K2905=0,L2905=0,M2905=0),"",CADASTROS!$B$4+SUM($J$2:J2905)+SUM($M$2:M2905)-SUM($K$2:K2905)-SUM($L$2:L2905))</f>
        <v/>
      </c>
      <c r="O2905" s="72" t="str">
        <f>IF(A2905="","",SUMIF(RATEIOS!$A$2:$A$3142,$A2905,RATEIOS!$F$2:$F$3142))</f>
        <v/>
      </c>
      <c r="P2905" s="15" t="str">
        <f t="shared" si="92"/>
        <v/>
      </c>
      <c r="Q2905" s="49" t="str">
        <f>IF(AND(J2905=0,K2905=0,L2905=0,M2905=0),"",IF(O2905=0,"PENDENTE DE RATEIO",IF(ABS(P2905)&gt;0.005,"DIVERGÊNCIA",IF(COUNTIF(RATEIOS!$A$2:$A$3142,$A2905)-COUNTIFS(RATEIOS!$A$2:$A$3142,$A2905,RATEIOS!$D$2:$D$3142,"&lt;&gt;")&gt;0,"NÃO CLASSIFICADO","RATEIO OK"))))</f>
        <v/>
      </c>
      <c r="R2905" s="49"/>
      <c r="S2905" s="14"/>
    </row>
    <row r="2906" spans="1:19" ht="30" customHeight="1" x14ac:dyDescent="0.25">
      <c r="A2906" s="49" t="str">
        <f>IF(C2906="","","BAN-02905")</f>
        <v/>
      </c>
      <c r="B2906" s="98" t="str">
        <f>IF(C2906="","",2905)</f>
        <v/>
      </c>
      <c r="C2906" s="50"/>
      <c r="D2906" s="49" t="str">
        <f t="shared" si="91"/>
        <v/>
      </c>
      <c r="E2906" s="92"/>
      <c r="F2906" s="49"/>
      <c r="G2906" s="14"/>
      <c r="H2906" s="14"/>
      <c r="I2906" s="76"/>
      <c r="J2906" s="73"/>
      <c r="K2906" s="74"/>
      <c r="L2906" s="72"/>
      <c r="M2906" s="72"/>
      <c r="N2906" s="72" t="str">
        <f>IF(AND(C2906="",J2906=0,K2906=0,L2906=0,M2906=0),"",CADASTROS!$B$4+SUM($J$2:J2906)+SUM($M$2:M2906)-SUM($K$2:K2906)-SUM($L$2:L2906))</f>
        <v/>
      </c>
      <c r="O2906" s="72" t="str">
        <f>IF(A2906="","",SUMIF(RATEIOS!$A$2:$A$3142,$A2906,RATEIOS!$F$2:$F$3142))</f>
        <v/>
      </c>
      <c r="P2906" s="15" t="str">
        <f t="shared" si="92"/>
        <v/>
      </c>
      <c r="Q2906" s="49" t="str">
        <f>IF(AND(J2906=0,K2906=0,L2906=0,M2906=0),"",IF(O2906=0,"PENDENTE DE RATEIO",IF(ABS(P2906)&gt;0.005,"DIVERGÊNCIA",IF(COUNTIF(RATEIOS!$A$2:$A$3142,$A2906)-COUNTIFS(RATEIOS!$A$2:$A$3142,$A2906,RATEIOS!$D$2:$D$3142,"&lt;&gt;")&gt;0,"NÃO CLASSIFICADO","RATEIO OK"))))</f>
        <v/>
      </c>
      <c r="R2906" s="49"/>
      <c r="S2906" s="14"/>
    </row>
    <row r="2907" spans="1:19" ht="30" customHeight="1" x14ac:dyDescent="0.25">
      <c r="A2907" s="49" t="str">
        <f>IF(C2907="","","BAN-02906")</f>
        <v/>
      </c>
      <c r="B2907" s="98" t="str">
        <f>IF(C2907="","",2906)</f>
        <v/>
      </c>
      <c r="C2907" s="50"/>
      <c r="D2907" s="49" t="str">
        <f t="shared" si="91"/>
        <v/>
      </c>
      <c r="E2907" s="92"/>
      <c r="F2907" s="49"/>
      <c r="G2907" s="14"/>
      <c r="H2907" s="14"/>
      <c r="I2907" s="76"/>
      <c r="J2907" s="73"/>
      <c r="K2907" s="74"/>
      <c r="L2907" s="72"/>
      <c r="M2907" s="72"/>
      <c r="N2907" s="72" t="str">
        <f>IF(AND(C2907="",J2907=0,K2907=0,L2907=0,M2907=0),"",CADASTROS!$B$4+SUM($J$2:J2907)+SUM($M$2:M2907)-SUM($K$2:K2907)-SUM($L$2:L2907))</f>
        <v/>
      </c>
      <c r="O2907" s="72" t="str">
        <f>IF(A2907="","",SUMIF(RATEIOS!$A$2:$A$3142,$A2907,RATEIOS!$F$2:$F$3142))</f>
        <v/>
      </c>
      <c r="P2907" s="15" t="str">
        <f t="shared" si="92"/>
        <v/>
      </c>
      <c r="Q2907" s="49" t="str">
        <f>IF(AND(J2907=0,K2907=0,L2907=0,M2907=0),"",IF(O2907=0,"PENDENTE DE RATEIO",IF(ABS(P2907)&gt;0.005,"DIVERGÊNCIA",IF(COUNTIF(RATEIOS!$A$2:$A$3142,$A2907)-COUNTIFS(RATEIOS!$A$2:$A$3142,$A2907,RATEIOS!$D$2:$D$3142,"&lt;&gt;")&gt;0,"NÃO CLASSIFICADO","RATEIO OK"))))</f>
        <v/>
      </c>
      <c r="R2907" s="49"/>
      <c r="S2907" s="14"/>
    </row>
    <row r="2908" spans="1:19" ht="30" customHeight="1" x14ac:dyDescent="0.25">
      <c r="A2908" s="49" t="str">
        <f>IF(C2908="","","BAN-02907")</f>
        <v/>
      </c>
      <c r="B2908" s="98" t="str">
        <f>IF(C2908="","",2907)</f>
        <v/>
      </c>
      <c r="C2908" s="50"/>
      <c r="D2908" s="49" t="str">
        <f t="shared" si="91"/>
        <v/>
      </c>
      <c r="E2908" s="92"/>
      <c r="F2908" s="49"/>
      <c r="G2908" s="14"/>
      <c r="H2908" s="14"/>
      <c r="I2908" s="76"/>
      <c r="J2908" s="73"/>
      <c r="K2908" s="74"/>
      <c r="L2908" s="72"/>
      <c r="M2908" s="72"/>
      <c r="N2908" s="72" t="str">
        <f>IF(AND(C2908="",J2908=0,K2908=0,L2908=0,M2908=0),"",CADASTROS!$B$4+SUM($J$2:J2908)+SUM($M$2:M2908)-SUM($K$2:K2908)-SUM($L$2:L2908))</f>
        <v/>
      </c>
      <c r="O2908" s="72" t="str">
        <f>IF(A2908="","",SUMIF(RATEIOS!$A$2:$A$3142,$A2908,RATEIOS!$F$2:$F$3142))</f>
        <v/>
      </c>
      <c r="P2908" s="15" t="str">
        <f t="shared" si="92"/>
        <v/>
      </c>
      <c r="Q2908" s="49" t="str">
        <f>IF(AND(J2908=0,K2908=0,L2908=0,M2908=0),"",IF(O2908=0,"PENDENTE DE RATEIO",IF(ABS(P2908)&gt;0.005,"DIVERGÊNCIA",IF(COUNTIF(RATEIOS!$A$2:$A$3142,$A2908)-COUNTIFS(RATEIOS!$A$2:$A$3142,$A2908,RATEIOS!$D$2:$D$3142,"&lt;&gt;")&gt;0,"NÃO CLASSIFICADO","RATEIO OK"))))</f>
        <v/>
      </c>
      <c r="R2908" s="49"/>
      <c r="S2908" s="14"/>
    </row>
    <row r="2909" spans="1:19" ht="30" customHeight="1" x14ac:dyDescent="0.25">
      <c r="A2909" s="49" t="str">
        <f>IF(C2909="","","BAN-02908")</f>
        <v/>
      </c>
      <c r="B2909" s="98" t="str">
        <f>IF(C2909="","",2908)</f>
        <v/>
      </c>
      <c r="C2909" s="50"/>
      <c r="D2909" s="49" t="str">
        <f t="shared" si="91"/>
        <v/>
      </c>
      <c r="E2909" s="92"/>
      <c r="F2909" s="49"/>
      <c r="G2909" s="14"/>
      <c r="H2909" s="14"/>
      <c r="I2909" s="76"/>
      <c r="J2909" s="73"/>
      <c r="K2909" s="74"/>
      <c r="L2909" s="72"/>
      <c r="M2909" s="72"/>
      <c r="N2909" s="72" t="str">
        <f>IF(AND(C2909="",J2909=0,K2909=0,L2909=0,M2909=0),"",CADASTROS!$B$4+SUM($J$2:J2909)+SUM($M$2:M2909)-SUM($K$2:K2909)-SUM($L$2:L2909))</f>
        <v/>
      </c>
      <c r="O2909" s="72" t="str">
        <f>IF(A2909="","",SUMIF(RATEIOS!$A$2:$A$3142,$A2909,RATEIOS!$F$2:$F$3142))</f>
        <v/>
      </c>
      <c r="P2909" s="15" t="str">
        <f t="shared" si="92"/>
        <v/>
      </c>
      <c r="Q2909" s="49" t="str">
        <f>IF(AND(J2909=0,K2909=0,L2909=0,M2909=0),"",IF(O2909=0,"PENDENTE DE RATEIO",IF(ABS(P2909)&gt;0.005,"DIVERGÊNCIA",IF(COUNTIF(RATEIOS!$A$2:$A$3142,$A2909)-COUNTIFS(RATEIOS!$A$2:$A$3142,$A2909,RATEIOS!$D$2:$D$3142,"&lt;&gt;")&gt;0,"NÃO CLASSIFICADO","RATEIO OK"))))</f>
        <v/>
      </c>
      <c r="R2909" s="49"/>
      <c r="S2909" s="14"/>
    </row>
    <row r="2910" spans="1:19" ht="30" customHeight="1" x14ac:dyDescent="0.25">
      <c r="A2910" s="49" t="str">
        <f>IF(C2910="","","BAN-02909")</f>
        <v/>
      </c>
      <c r="B2910" s="98" t="str">
        <f>IF(C2910="","",2909)</f>
        <v/>
      </c>
      <c r="C2910" s="50"/>
      <c r="D2910" s="49" t="str">
        <f t="shared" si="91"/>
        <v/>
      </c>
      <c r="E2910" s="92"/>
      <c r="F2910" s="49"/>
      <c r="G2910" s="14"/>
      <c r="H2910" s="14"/>
      <c r="I2910" s="76"/>
      <c r="J2910" s="73"/>
      <c r="K2910" s="74"/>
      <c r="L2910" s="72"/>
      <c r="M2910" s="72"/>
      <c r="N2910" s="72" t="str">
        <f>IF(AND(C2910="",J2910=0,K2910=0,L2910=0,M2910=0),"",CADASTROS!$B$4+SUM($J$2:J2910)+SUM($M$2:M2910)-SUM($K$2:K2910)-SUM($L$2:L2910))</f>
        <v/>
      </c>
      <c r="O2910" s="72" t="str">
        <f>IF(A2910="","",SUMIF(RATEIOS!$A$2:$A$3142,$A2910,RATEIOS!$F$2:$F$3142))</f>
        <v/>
      </c>
      <c r="P2910" s="15" t="str">
        <f t="shared" si="92"/>
        <v/>
      </c>
      <c r="Q2910" s="49" t="str">
        <f>IF(AND(J2910=0,K2910=0,L2910=0,M2910=0),"",IF(O2910=0,"PENDENTE DE RATEIO",IF(ABS(P2910)&gt;0.005,"DIVERGÊNCIA",IF(COUNTIF(RATEIOS!$A$2:$A$3142,$A2910)-COUNTIFS(RATEIOS!$A$2:$A$3142,$A2910,RATEIOS!$D$2:$D$3142,"&lt;&gt;")&gt;0,"NÃO CLASSIFICADO","RATEIO OK"))))</f>
        <v/>
      </c>
      <c r="R2910" s="49"/>
      <c r="S2910" s="14"/>
    </row>
    <row r="2911" spans="1:19" ht="30" customHeight="1" x14ac:dyDescent="0.25">
      <c r="A2911" s="49" t="str">
        <f>IF(C2911="","","BAN-02910")</f>
        <v/>
      </c>
      <c r="B2911" s="98" t="str">
        <f>IF(C2911="","",2910)</f>
        <v/>
      </c>
      <c r="C2911" s="50"/>
      <c r="D2911" s="49" t="str">
        <f t="shared" si="91"/>
        <v/>
      </c>
      <c r="E2911" s="92"/>
      <c r="F2911" s="49"/>
      <c r="G2911" s="14"/>
      <c r="H2911" s="14"/>
      <c r="I2911" s="76"/>
      <c r="J2911" s="73"/>
      <c r="K2911" s="74"/>
      <c r="L2911" s="72"/>
      <c r="M2911" s="72"/>
      <c r="N2911" s="72" t="str">
        <f>IF(AND(C2911="",J2911=0,K2911=0,L2911=0,M2911=0),"",CADASTROS!$B$4+SUM($J$2:J2911)+SUM($M$2:M2911)-SUM($K$2:K2911)-SUM($L$2:L2911))</f>
        <v/>
      </c>
      <c r="O2911" s="72" t="str">
        <f>IF(A2911="","",SUMIF(RATEIOS!$A$2:$A$3142,$A2911,RATEIOS!$F$2:$F$3142))</f>
        <v/>
      </c>
      <c r="P2911" s="15" t="str">
        <f t="shared" si="92"/>
        <v/>
      </c>
      <c r="Q2911" s="49" t="str">
        <f>IF(AND(J2911=0,K2911=0,L2911=0,M2911=0),"",IF(O2911=0,"PENDENTE DE RATEIO",IF(ABS(P2911)&gt;0.005,"DIVERGÊNCIA",IF(COUNTIF(RATEIOS!$A$2:$A$3142,$A2911)-COUNTIFS(RATEIOS!$A$2:$A$3142,$A2911,RATEIOS!$D$2:$D$3142,"&lt;&gt;")&gt;0,"NÃO CLASSIFICADO","RATEIO OK"))))</f>
        <v/>
      </c>
      <c r="R2911" s="49"/>
      <c r="S2911" s="14"/>
    </row>
    <row r="2912" spans="1:19" ht="30" customHeight="1" x14ac:dyDescent="0.25">
      <c r="A2912" s="49" t="str">
        <f>IF(C2912="","","BAN-02911")</f>
        <v/>
      </c>
      <c r="B2912" s="98" t="str">
        <f>IF(C2912="","",2911)</f>
        <v/>
      </c>
      <c r="C2912" s="50"/>
      <c r="D2912" s="49" t="str">
        <f t="shared" si="91"/>
        <v/>
      </c>
      <c r="E2912" s="92"/>
      <c r="F2912" s="49"/>
      <c r="G2912" s="14"/>
      <c r="H2912" s="14"/>
      <c r="I2912" s="76"/>
      <c r="J2912" s="73"/>
      <c r="K2912" s="74"/>
      <c r="L2912" s="72"/>
      <c r="M2912" s="72"/>
      <c r="N2912" s="72" t="str">
        <f>IF(AND(C2912="",J2912=0,K2912=0,L2912=0,M2912=0),"",CADASTROS!$B$4+SUM($J$2:J2912)+SUM($M$2:M2912)-SUM($K$2:K2912)-SUM($L$2:L2912))</f>
        <v/>
      </c>
      <c r="O2912" s="72" t="str">
        <f>IF(A2912="","",SUMIF(RATEIOS!$A$2:$A$3142,$A2912,RATEIOS!$F$2:$F$3142))</f>
        <v/>
      </c>
      <c r="P2912" s="15" t="str">
        <f t="shared" si="92"/>
        <v/>
      </c>
      <c r="Q2912" s="49" t="str">
        <f>IF(AND(J2912=0,K2912=0,L2912=0,M2912=0),"",IF(O2912=0,"PENDENTE DE RATEIO",IF(ABS(P2912)&gt;0.005,"DIVERGÊNCIA",IF(COUNTIF(RATEIOS!$A$2:$A$3142,$A2912)-COUNTIFS(RATEIOS!$A$2:$A$3142,$A2912,RATEIOS!$D$2:$D$3142,"&lt;&gt;")&gt;0,"NÃO CLASSIFICADO","RATEIO OK"))))</f>
        <v/>
      </c>
      <c r="R2912" s="49"/>
      <c r="S2912" s="14"/>
    </row>
    <row r="2913" spans="1:19" ht="30" customHeight="1" x14ac:dyDescent="0.25">
      <c r="A2913" s="49" t="str">
        <f>IF(C2913="","","BAN-02912")</f>
        <v/>
      </c>
      <c r="B2913" s="98" t="str">
        <f>IF(C2913="","",2912)</f>
        <v/>
      </c>
      <c r="C2913" s="50"/>
      <c r="D2913" s="49" t="str">
        <f t="shared" si="91"/>
        <v/>
      </c>
      <c r="E2913" s="92"/>
      <c r="F2913" s="49"/>
      <c r="G2913" s="14"/>
      <c r="H2913" s="14"/>
      <c r="I2913" s="76"/>
      <c r="J2913" s="73"/>
      <c r="K2913" s="74"/>
      <c r="L2913" s="72"/>
      <c r="M2913" s="72"/>
      <c r="N2913" s="72" t="str">
        <f>IF(AND(C2913="",J2913=0,K2913=0,L2913=0,M2913=0),"",CADASTROS!$B$4+SUM($J$2:J2913)+SUM($M$2:M2913)-SUM($K$2:K2913)-SUM($L$2:L2913))</f>
        <v/>
      </c>
      <c r="O2913" s="72" t="str">
        <f>IF(A2913="","",SUMIF(RATEIOS!$A$2:$A$3142,$A2913,RATEIOS!$F$2:$F$3142))</f>
        <v/>
      </c>
      <c r="P2913" s="15" t="str">
        <f t="shared" si="92"/>
        <v/>
      </c>
      <c r="Q2913" s="49" t="str">
        <f>IF(AND(J2913=0,K2913=0,L2913=0,M2913=0),"",IF(O2913=0,"PENDENTE DE RATEIO",IF(ABS(P2913)&gt;0.005,"DIVERGÊNCIA",IF(COUNTIF(RATEIOS!$A$2:$A$3142,$A2913)-COUNTIFS(RATEIOS!$A$2:$A$3142,$A2913,RATEIOS!$D$2:$D$3142,"&lt;&gt;")&gt;0,"NÃO CLASSIFICADO","RATEIO OK"))))</f>
        <v/>
      </c>
      <c r="R2913" s="49"/>
      <c r="S2913" s="14"/>
    </row>
    <row r="2914" spans="1:19" ht="30" customHeight="1" x14ac:dyDescent="0.25">
      <c r="A2914" s="49" t="str">
        <f>IF(C2914="","","BAN-02913")</f>
        <v/>
      </c>
      <c r="B2914" s="98" t="str">
        <f>IF(C2914="","",2913)</f>
        <v/>
      </c>
      <c r="C2914" s="50"/>
      <c r="D2914" s="49" t="str">
        <f t="shared" si="91"/>
        <v/>
      </c>
      <c r="E2914" s="92"/>
      <c r="F2914" s="49"/>
      <c r="G2914" s="14"/>
      <c r="H2914" s="14"/>
      <c r="I2914" s="76"/>
      <c r="J2914" s="73"/>
      <c r="K2914" s="74"/>
      <c r="L2914" s="72"/>
      <c r="M2914" s="72"/>
      <c r="N2914" s="72" t="str">
        <f>IF(AND(C2914="",J2914=0,K2914=0,L2914=0,M2914=0),"",CADASTROS!$B$4+SUM($J$2:J2914)+SUM($M$2:M2914)-SUM($K$2:K2914)-SUM($L$2:L2914))</f>
        <v/>
      </c>
      <c r="O2914" s="72" t="str">
        <f>IF(A2914="","",SUMIF(RATEIOS!$A$2:$A$3142,$A2914,RATEIOS!$F$2:$F$3142))</f>
        <v/>
      </c>
      <c r="P2914" s="15" t="str">
        <f t="shared" si="92"/>
        <v/>
      </c>
      <c r="Q2914" s="49" t="str">
        <f>IF(AND(J2914=0,K2914=0,L2914=0,M2914=0),"",IF(O2914=0,"PENDENTE DE RATEIO",IF(ABS(P2914)&gt;0.005,"DIVERGÊNCIA",IF(COUNTIF(RATEIOS!$A$2:$A$3142,$A2914)-COUNTIFS(RATEIOS!$A$2:$A$3142,$A2914,RATEIOS!$D$2:$D$3142,"&lt;&gt;")&gt;0,"NÃO CLASSIFICADO","RATEIO OK"))))</f>
        <v/>
      </c>
      <c r="R2914" s="49"/>
      <c r="S2914" s="14"/>
    </row>
    <row r="2915" spans="1:19" ht="30" customHeight="1" x14ac:dyDescent="0.25">
      <c r="A2915" s="49" t="str">
        <f>IF(C2915="","","BAN-02914")</f>
        <v/>
      </c>
      <c r="B2915" s="98" t="str">
        <f>IF(C2915="","",2914)</f>
        <v/>
      </c>
      <c r="C2915" s="50"/>
      <c r="D2915" s="49" t="str">
        <f t="shared" si="91"/>
        <v/>
      </c>
      <c r="E2915" s="92"/>
      <c r="F2915" s="49"/>
      <c r="G2915" s="14"/>
      <c r="H2915" s="14"/>
      <c r="I2915" s="76"/>
      <c r="J2915" s="73"/>
      <c r="K2915" s="74"/>
      <c r="L2915" s="72"/>
      <c r="M2915" s="72"/>
      <c r="N2915" s="72" t="str">
        <f>IF(AND(C2915="",J2915=0,K2915=0,L2915=0,M2915=0),"",CADASTROS!$B$4+SUM($J$2:J2915)+SUM($M$2:M2915)-SUM($K$2:K2915)-SUM($L$2:L2915))</f>
        <v/>
      </c>
      <c r="O2915" s="72" t="str">
        <f>IF(A2915="","",SUMIF(RATEIOS!$A$2:$A$3142,$A2915,RATEIOS!$F$2:$F$3142))</f>
        <v/>
      </c>
      <c r="P2915" s="15" t="str">
        <f t="shared" si="92"/>
        <v/>
      </c>
      <c r="Q2915" s="49" t="str">
        <f>IF(AND(J2915=0,K2915=0,L2915=0,M2915=0),"",IF(O2915=0,"PENDENTE DE RATEIO",IF(ABS(P2915)&gt;0.005,"DIVERGÊNCIA",IF(COUNTIF(RATEIOS!$A$2:$A$3142,$A2915)-COUNTIFS(RATEIOS!$A$2:$A$3142,$A2915,RATEIOS!$D$2:$D$3142,"&lt;&gt;")&gt;0,"NÃO CLASSIFICADO","RATEIO OK"))))</f>
        <v/>
      </c>
      <c r="R2915" s="49"/>
      <c r="S2915" s="14"/>
    </row>
    <row r="2916" spans="1:19" ht="30" customHeight="1" x14ac:dyDescent="0.25">
      <c r="A2916" s="49" t="str">
        <f>IF(C2916="","","BAN-02915")</f>
        <v/>
      </c>
      <c r="B2916" s="98" t="str">
        <f>IF(C2916="","",2915)</f>
        <v/>
      </c>
      <c r="C2916" s="50"/>
      <c r="D2916" s="49" t="str">
        <f t="shared" si="91"/>
        <v/>
      </c>
      <c r="E2916" s="92"/>
      <c r="F2916" s="49"/>
      <c r="G2916" s="14"/>
      <c r="H2916" s="14"/>
      <c r="I2916" s="76"/>
      <c r="J2916" s="73"/>
      <c r="K2916" s="74"/>
      <c r="L2916" s="72"/>
      <c r="M2916" s="72"/>
      <c r="N2916" s="72" t="str">
        <f>IF(AND(C2916="",J2916=0,K2916=0,L2916=0,M2916=0),"",CADASTROS!$B$4+SUM($J$2:J2916)+SUM($M$2:M2916)-SUM($K$2:K2916)-SUM($L$2:L2916))</f>
        <v/>
      </c>
      <c r="O2916" s="72" t="str">
        <f>IF(A2916="","",SUMIF(RATEIOS!$A$2:$A$3142,$A2916,RATEIOS!$F$2:$F$3142))</f>
        <v/>
      </c>
      <c r="P2916" s="15" t="str">
        <f t="shared" si="92"/>
        <v/>
      </c>
      <c r="Q2916" s="49" t="str">
        <f>IF(AND(J2916=0,K2916=0,L2916=0,M2916=0),"",IF(O2916=0,"PENDENTE DE RATEIO",IF(ABS(P2916)&gt;0.005,"DIVERGÊNCIA",IF(COUNTIF(RATEIOS!$A$2:$A$3142,$A2916)-COUNTIFS(RATEIOS!$A$2:$A$3142,$A2916,RATEIOS!$D$2:$D$3142,"&lt;&gt;")&gt;0,"NÃO CLASSIFICADO","RATEIO OK"))))</f>
        <v/>
      </c>
      <c r="R2916" s="49"/>
      <c r="S2916" s="14"/>
    </row>
    <row r="2917" spans="1:19" ht="30" customHeight="1" x14ac:dyDescent="0.25">
      <c r="A2917" s="49" t="str">
        <f>IF(C2917="","","BAN-02916")</f>
        <v/>
      </c>
      <c r="B2917" s="98" t="str">
        <f>IF(C2917="","",2916)</f>
        <v/>
      </c>
      <c r="C2917" s="50"/>
      <c r="D2917" s="49" t="str">
        <f t="shared" si="91"/>
        <v/>
      </c>
      <c r="E2917" s="92"/>
      <c r="F2917" s="49"/>
      <c r="G2917" s="14"/>
      <c r="H2917" s="14"/>
      <c r="I2917" s="76"/>
      <c r="J2917" s="73"/>
      <c r="K2917" s="74"/>
      <c r="L2917" s="72"/>
      <c r="M2917" s="72"/>
      <c r="N2917" s="72" t="str">
        <f>IF(AND(C2917="",J2917=0,K2917=0,L2917=0,M2917=0),"",CADASTROS!$B$4+SUM($J$2:J2917)+SUM($M$2:M2917)-SUM($K$2:K2917)-SUM($L$2:L2917))</f>
        <v/>
      </c>
      <c r="O2917" s="72" t="str">
        <f>IF(A2917="","",SUMIF(RATEIOS!$A$2:$A$3142,$A2917,RATEIOS!$F$2:$F$3142))</f>
        <v/>
      </c>
      <c r="P2917" s="15" t="str">
        <f t="shared" si="92"/>
        <v/>
      </c>
      <c r="Q2917" s="49" t="str">
        <f>IF(AND(J2917=0,K2917=0,L2917=0,M2917=0),"",IF(O2917=0,"PENDENTE DE RATEIO",IF(ABS(P2917)&gt;0.005,"DIVERGÊNCIA",IF(COUNTIF(RATEIOS!$A$2:$A$3142,$A2917)-COUNTIFS(RATEIOS!$A$2:$A$3142,$A2917,RATEIOS!$D$2:$D$3142,"&lt;&gt;")&gt;0,"NÃO CLASSIFICADO","RATEIO OK"))))</f>
        <v/>
      </c>
      <c r="R2917" s="49"/>
      <c r="S2917" s="14"/>
    </row>
    <row r="2918" spans="1:19" ht="30" customHeight="1" x14ac:dyDescent="0.25">
      <c r="A2918" s="49" t="str">
        <f>IF(C2918="","","BAN-02917")</f>
        <v/>
      </c>
      <c r="B2918" s="98" t="str">
        <f>IF(C2918="","",2917)</f>
        <v/>
      </c>
      <c r="C2918" s="50"/>
      <c r="D2918" s="49" t="str">
        <f t="shared" si="91"/>
        <v/>
      </c>
      <c r="E2918" s="92"/>
      <c r="F2918" s="49"/>
      <c r="G2918" s="14"/>
      <c r="H2918" s="14"/>
      <c r="I2918" s="76"/>
      <c r="J2918" s="73"/>
      <c r="K2918" s="74"/>
      <c r="L2918" s="72"/>
      <c r="M2918" s="72"/>
      <c r="N2918" s="72" t="str">
        <f>IF(AND(C2918="",J2918=0,K2918=0,L2918=0,M2918=0),"",CADASTROS!$B$4+SUM($J$2:J2918)+SUM($M$2:M2918)-SUM($K$2:K2918)-SUM($L$2:L2918))</f>
        <v/>
      </c>
      <c r="O2918" s="72" t="str">
        <f>IF(A2918="","",SUMIF(RATEIOS!$A$2:$A$3142,$A2918,RATEIOS!$F$2:$F$3142))</f>
        <v/>
      </c>
      <c r="P2918" s="15" t="str">
        <f t="shared" si="92"/>
        <v/>
      </c>
      <c r="Q2918" s="49" t="str">
        <f>IF(AND(J2918=0,K2918=0,L2918=0,M2918=0),"",IF(O2918=0,"PENDENTE DE RATEIO",IF(ABS(P2918)&gt;0.005,"DIVERGÊNCIA",IF(COUNTIF(RATEIOS!$A$2:$A$3142,$A2918)-COUNTIFS(RATEIOS!$A$2:$A$3142,$A2918,RATEIOS!$D$2:$D$3142,"&lt;&gt;")&gt;0,"NÃO CLASSIFICADO","RATEIO OK"))))</f>
        <v/>
      </c>
      <c r="R2918" s="49"/>
      <c r="S2918" s="14"/>
    </row>
    <row r="2919" spans="1:19" ht="30" customHeight="1" x14ac:dyDescent="0.25">
      <c r="A2919" s="49" t="str">
        <f>IF(C2919="","","BAN-02918")</f>
        <v/>
      </c>
      <c r="B2919" s="98" t="str">
        <f>IF(C2919="","",2918)</f>
        <v/>
      </c>
      <c r="C2919" s="50"/>
      <c r="D2919" s="49" t="str">
        <f t="shared" si="91"/>
        <v/>
      </c>
      <c r="E2919" s="92"/>
      <c r="F2919" s="49"/>
      <c r="G2919" s="14"/>
      <c r="H2919" s="14"/>
      <c r="I2919" s="76"/>
      <c r="J2919" s="73"/>
      <c r="K2919" s="74"/>
      <c r="L2919" s="72"/>
      <c r="M2919" s="72"/>
      <c r="N2919" s="72" t="str">
        <f>IF(AND(C2919="",J2919=0,K2919=0,L2919=0,M2919=0),"",CADASTROS!$B$4+SUM($J$2:J2919)+SUM($M$2:M2919)-SUM($K$2:K2919)-SUM($L$2:L2919))</f>
        <v/>
      </c>
      <c r="O2919" s="72" t="str">
        <f>IF(A2919="","",SUMIF(RATEIOS!$A$2:$A$3142,$A2919,RATEIOS!$F$2:$F$3142))</f>
        <v/>
      </c>
      <c r="P2919" s="15" t="str">
        <f t="shared" si="92"/>
        <v/>
      </c>
      <c r="Q2919" s="49" t="str">
        <f>IF(AND(J2919=0,K2919=0,L2919=0,M2919=0),"",IF(O2919=0,"PENDENTE DE RATEIO",IF(ABS(P2919)&gt;0.005,"DIVERGÊNCIA",IF(COUNTIF(RATEIOS!$A$2:$A$3142,$A2919)-COUNTIFS(RATEIOS!$A$2:$A$3142,$A2919,RATEIOS!$D$2:$D$3142,"&lt;&gt;")&gt;0,"NÃO CLASSIFICADO","RATEIO OK"))))</f>
        <v/>
      </c>
      <c r="R2919" s="49"/>
      <c r="S2919" s="14"/>
    </row>
    <row r="2920" spans="1:19" ht="30" customHeight="1" x14ac:dyDescent="0.25">
      <c r="A2920" s="49" t="str">
        <f>IF(C2920="","","BAN-02919")</f>
        <v/>
      </c>
      <c r="B2920" s="98" t="str">
        <f>IF(C2920="","",2919)</f>
        <v/>
      </c>
      <c r="C2920" s="50"/>
      <c r="D2920" s="49" t="str">
        <f t="shared" si="91"/>
        <v/>
      </c>
      <c r="E2920" s="92"/>
      <c r="F2920" s="49"/>
      <c r="G2920" s="14"/>
      <c r="H2920" s="14"/>
      <c r="I2920" s="76"/>
      <c r="J2920" s="73"/>
      <c r="K2920" s="74"/>
      <c r="L2920" s="72"/>
      <c r="M2920" s="72"/>
      <c r="N2920" s="72" t="str">
        <f>IF(AND(C2920="",J2920=0,K2920=0,L2920=0,M2920=0),"",CADASTROS!$B$4+SUM($J$2:J2920)+SUM($M$2:M2920)-SUM($K$2:K2920)-SUM($L$2:L2920))</f>
        <v/>
      </c>
      <c r="O2920" s="72" t="str">
        <f>IF(A2920="","",SUMIF(RATEIOS!$A$2:$A$3142,$A2920,RATEIOS!$F$2:$F$3142))</f>
        <v/>
      </c>
      <c r="P2920" s="15" t="str">
        <f t="shared" si="92"/>
        <v/>
      </c>
      <c r="Q2920" s="49" t="str">
        <f>IF(AND(J2920=0,K2920=0,L2920=0,M2920=0),"",IF(O2920=0,"PENDENTE DE RATEIO",IF(ABS(P2920)&gt;0.005,"DIVERGÊNCIA",IF(COUNTIF(RATEIOS!$A$2:$A$3142,$A2920)-COUNTIFS(RATEIOS!$A$2:$A$3142,$A2920,RATEIOS!$D$2:$D$3142,"&lt;&gt;")&gt;0,"NÃO CLASSIFICADO","RATEIO OK"))))</f>
        <v/>
      </c>
      <c r="R2920" s="49"/>
      <c r="S2920" s="14"/>
    </row>
    <row r="2921" spans="1:19" ht="30" customHeight="1" x14ac:dyDescent="0.25">
      <c r="A2921" s="49" t="str">
        <f>IF(C2921="","","BAN-02920")</f>
        <v/>
      </c>
      <c r="B2921" s="98" t="str">
        <f>IF(C2921="","",2920)</f>
        <v/>
      </c>
      <c r="C2921" s="50"/>
      <c r="D2921" s="49" t="str">
        <f t="shared" si="91"/>
        <v/>
      </c>
      <c r="E2921" s="92"/>
      <c r="F2921" s="49"/>
      <c r="G2921" s="14"/>
      <c r="H2921" s="14"/>
      <c r="I2921" s="76"/>
      <c r="J2921" s="73"/>
      <c r="K2921" s="74"/>
      <c r="L2921" s="72"/>
      <c r="M2921" s="72"/>
      <c r="N2921" s="72" t="str">
        <f>IF(AND(C2921="",J2921=0,K2921=0,L2921=0,M2921=0),"",CADASTROS!$B$4+SUM($J$2:J2921)+SUM($M$2:M2921)-SUM($K$2:K2921)-SUM($L$2:L2921))</f>
        <v/>
      </c>
      <c r="O2921" s="72" t="str">
        <f>IF(A2921="","",SUMIF(RATEIOS!$A$2:$A$3142,$A2921,RATEIOS!$F$2:$F$3142))</f>
        <v/>
      </c>
      <c r="P2921" s="15" t="str">
        <f t="shared" si="92"/>
        <v/>
      </c>
      <c r="Q2921" s="49" t="str">
        <f>IF(AND(J2921=0,K2921=0,L2921=0,M2921=0),"",IF(O2921=0,"PENDENTE DE RATEIO",IF(ABS(P2921)&gt;0.005,"DIVERGÊNCIA",IF(COUNTIF(RATEIOS!$A$2:$A$3142,$A2921)-COUNTIFS(RATEIOS!$A$2:$A$3142,$A2921,RATEIOS!$D$2:$D$3142,"&lt;&gt;")&gt;0,"NÃO CLASSIFICADO","RATEIO OK"))))</f>
        <v/>
      </c>
      <c r="R2921" s="49"/>
      <c r="S2921" s="14"/>
    </row>
    <row r="2922" spans="1:19" ht="30" customHeight="1" x14ac:dyDescent="0.25">
      <c r="A2922" s="49" t="str">
        <f>IF(C2922="","","BAN-02921")</f>
        <v/>
      </c>
      <c r="B2922" s="98" t="str">
        <f>IF(C2922="","",2921)</f>
        <v/>
      </c>
      <c r="C2922" s="50"/>
      <c r="D2922" s="49" t="str">
        <f t="shared" si="91"/>
        <v/>
      </c>
      <c r="E2922" s="92"/>
      <c r="F2922" s="49"/>
      <c r="G2922" s="14"/>
      <c r="H2922" s="14"/>
      <c r="I2922" s="76"/>
      <c r="J2922" s="73"/>
      <c r="K2922" s="74"/>
      <c r="L2922" s="72"/>
      <c r="M2922" s="72"/>
      <c r="N2922" s="72" t="str">
        <f>IF(AND(C2922="",J2922=0,K2922=0,L2922=0,M2922=0),"",CADASTROS!$B$4+SUM($J$2:J2922)+SUM($M$2:M2922)-SUM($K$2:K2922)-SUM($L$2:L2922))</f>
        <v/>
      </c>
      <c r="O2922" s="72" t="str">
        <f>IF(A2922="","",SUMIF(RATEIOS!$A$2:$A$3142,$A2922,RATEIOS!$F$2:$F$3142))</f>
        <v/>
      </c>
      <c r="P2922" s="15" t="str">
        <f t="shared" si="92"/>
        <v/>
      </c>
      <c r="Q2922" s="49" t="str">
        <f>IF(AND(J2922=0,K2922=0,L2922=0,M2922=0),"",IF(O2922=0,"PENDENTE DE RATEIO",IF(ABS(P2922)&gt;0.005,"DIVERGÊNCIA",IF(COUNTIF(RATEIOS!$A$2:$A$3142,$A2922)-COUNTIFS(RATEIOS!$A$2:$A$3142,$A2922,RATEIOS!$D$2:$D$3142,"&lt;&gt;")&gt;0,"NÃO CLASSIFICADO","RATEIO OK"))))</f>
        <v/>
      </c>
      <c r="R2922" s="49"/>
      <c r="S2922" s="14"/>
    </row>
    <row r="2923" spans="1:19" ht="30" customHeight="1" x14ac:dyDescent="0.25">
      <c r="A2923" s="49" t="str">
        <f>IF(C2923="","","BAN-02922")</f>
        <v/>
      </c>
      <c r="B2923" s="98" t="str">
        <f>IF(C2923="","",2922)</f>
        <v/>
      </c>
      <c r="C2923" s="50"/>
      <c r="D2923" s="49" t="str">
        <f t="shared" si="91"/>
        <v/>
      </c>
      <c r="E2923" s="92"/>
      <c r="F2923" s="49"/>
      <c r="G2923" s="14"/>
      <c r="H2923" s="14"/>
      <c r="I2923" s="76"/>
      <c r="J2923" s="73"/>
      <c r="K2923" s="74"/>
      <c r="L2923" s="72"/>
      <c r="M2923" s="72"/>
      <c r="N2923" s="72" t="str">
        <f>IF(AND(C2923="",J2923=0,K2923=0,L2923=0,M2923=0),"",CADASTROS!$B$4+SUM($J$2:J2923)+SUM($M$2:M2923)-SUM($K$2:K2923)-SUM($L$2:L2923))</f>
        <v/>
      </c>
      <c r="O2923" s="72" t="str">
        <f>IF(A2923="","",SUMIF(RATEIOS!$A$2:$A$3142,$A2923,RATEIOS!$F$2:$F$3142))</f>
        <v/>
      </c>
      <c r="P2923" s="15" t="str">
        <f t="shared" si="92"/>
        <v/>
      </c>
      <c r="Q2923" s="49" t="str">
        <f>IF(AND(J2923=0,K2923=0,L2923=0,M2923=0),"",IF(O2923=0,"PENDENTE DE RATEIO",IF(ABS(P2923)&gt;0.005,"DIVERGÊNCIA",IF(COUNTIF(RATEIOS!$A$2:$A$3142,$A2923)-COUNTIFS(RATEIOS!$A$2:$A$3142,$A2923,RATEIOS!$D$2:$D$3142,"&lt;&gt;")&gt;0,"NÃO CLASSIFICADO","RATEIO OK"))))</f>
        <v/>
      </c>
      <c r="R2923" s="49"/>
      <c r="S2923" s="14"/>
    </row>
    <row r="2924" spans="1:19" ht="30" customHeight="1" x14ac:dyDescent="0.25">
      <c r="A2924" s="49" t="str">
        <f>IF(C2924="","","BAN-02923")</f>
        <v/>
      </c>
      <c r="B2924" s="98" t="str">
        <f>IF(C2924="","",2923)</f>
        <v/>
      </c>
      <c r="C2924" s="50"/>
      <c r="D2924" s="49" t="str">
        <f t="shared" si="91"/>
        <v/>
      </c>
      <c r="E2924" s="92"/>
      <c r="F2924" s="49"/>
      <c r="G2924" s="14"/>
      <c r="H2924" s="14"/>
      <c r="I2924" s="76"/>
      <c r="J2924" s="73"/>
      <c r="K2924" s="74"/>
      <c r="L2924" s="72"/>
      <c r="M2924" s="72"/>
      <c r="N2924" s="72" t="str">
        <f>IF(AND(C2924="",J2924=0,K2924=0,L2924=0,M2924=0),"",CADASTROS!$B$4+SUM($J$2:J2924)+SUM($M$2:M2924)-SUM($K$2:K2924)-SUM($L$2:L2924))</f>
        <v/>
      </c>
      <c r="O2924" s="72" t="str">
        <f>IF(A2924="","",SUMIF(RATEIOS!$A$2:$A$3142,$A2924,RATEIOS!$F$2:$F$3142))</f>
        <v/>
      </c>
      <c r="P2924" s="15" t="str">
        <f t="shared" si="92"/>
        <v/>
      </c>
      <c r="Q2924" s="49" t="str">
        <f>IF(AND(J2924=0,K2924=0,L2924=0,M2924=0),"",IF(O2924=0,"PENDENTE DE RATEIO",IF(ABS(P2924)&gt;0.005,"DIVERGÊNCIA",IF(COUNTIF(RATEIOS!$A$2:$A$3142,$A2924)-COUNTIFS(RATEIOS!$A$2:$A$3142,$A2924,RATEIOS!$D$2:$D$3142,"&lt;&gt;")&gt;0,"NÃO CLASSIFICADO","RATEIO OK"))))</f>
        <v/>
      </c>
      <c r="R2924" s="49"/>
      <c r="S2924" s="14"/>
    </row>
    <row r="2925" spans="1:19" ht="30" customHeight="1" x14ac:dyDescent="0.25">
      <c r="A2925" s="49" t="str">
        <f>IF(C2925="","","BAN-02924")</f>
        <v/>
      </c>
      <c r="B2925" s="98" t="str">
        <f>IF(C2925="","",2924)</f>
        <v/>
      </c>
      <c r="C2925" s="50"/>
      <c r="D2925" s="49" t="str">
        <f t="shared" si="91"/>
        <v/>
      </c>
      <c r="E2925" s="92"/>
      <c r="F2925" s="49"/>
      <c r="G2925" s="14"/>
      <c r="H2925" s="14"/>
      <c r="I2925" s="76"/>
      <c r="J2925" s="73"/>
      <c r="K2925" s="74"/>
      <c r="L2925" s="72"/>
      <c r="M2925" s="72"/>
      <c r="N2925" s="72" t="str">
        <f>IF(AND(C2925="",J2925=0,K2925=0,L2925=0,M2925=0),"",CADASTROS!$B$4+SUM($J$2:J2925)+SUM($M$2:M2925)-SUM($K$2:K2925)-SUM($L$2:L2925))</f>
        <v/>
      </c>
      <c r="O2925" s="72" t="str">
        <f>IF(A2925="","",SUMIF(RATEIOS!$A$2:$A$3142,$A2925,RATEIOS!$F$2:$F$3142))</f>
        <v/>
      </c>
      <c r="P2925" s="15" t="str">
        <f t="shared" si="92"/>
        <v/>
      </c>
      <c r="Q2925" s="49" t="str">
        <f>IF(AND(J2925=0,K2925=0,L2925=0,M2925=0),"",IF(O2925=0,"PENDENTE DE RATEIO",IF(ABS(P2925)&gt;0.005,"DIVERGÊNCIA",IF(COUNTIF(RATEIOS!$A$2:$A$3142,$A2925)-COUNTIFS(RATEIOS!$A$2:$A$3142,$A2925,RATEIOS!$D$2:$D$3142,"&lt;&gt;")&gt;0,"NÃO CLASSIFICADO","RATEIO OK"))))</f>
        <v/>
      </c>
      <c r="R2925" s="49"/>
      <c r="S2925" s="14"/>
    </row>
    <row r="2926" spans="1:19" ht="30" customHeight="1" x14ac:dyDescent="0.25">
      <c r="A2926" s="49" t="str">
        <f>IF(C2926="","","BAN-02925")</f>
        <v/>
      </c>
      <c r="B2926" s="98" t="str">
        <f>IF(C2926="","",2925)</f>
        <v/>
      </c>
      <c r="C2926" s="50"/>
      <c r="D2926" s="49" t="str">
        <f t="shared" si="91"/>
        <v/>
      </c>
      <c r="E2926" s="92"/>
      <c r="F2926" s="49"/>
      <c r="G2926" s="14"/>
      <c r="H2926" s="14"/>
      <c r="I2926" s="76"/>
      <c r="J2926" s="73"/>
      <c r="K2926" s="74"/>
      <c r="L2926" s="72"/>
      <c r="M2926" s="72"/>
      <c r="N2926" s="72" t="str">
        <f>IF(AND(C2926="",J2926=0,K2926=0,L2926=0,M2926=0),"",CADASTROS!$B$4+SUM($J$2:J2926)+SUM($M$2:M2926)-SUM($K$2:K2926)-SUM($L$2:L2926))</f>
        <v/>
      </c>
      <c r="O2926" s="72" t="str">
        <f>IF(A2926="","",SUMIF(RATEIOS!$A$2:$A$3142,$A2926,RATEIOS!$F$2:$F$3142))</f>
        <v/>
      </c>
      <c r="P2926" s="15" t="str">
        <f t="shared" si="92"/>
        <v/>
      </c>
      <c r="Q2926" s="49" t="str">
        <f>IF(AND(J2926=0,K2926=0,L2926=0,M2926=0),"",IF(O2926=0,"PENDENTE DE RATEIO",IF(ABS(P2926)&gt;0.005,"DIVERGÊNCIA",IF(COUNTIF(RATEIOS!$A$2:$A$3142,$A2926)-COUNTIFS(RATEIOS!$A$2:$A$3142,$A2926,RATEIOS!$D$2:$D$3142,"&lt;&gt;")&gt;0,"NÃO CLASSIFICADO","RATEIO OK"))))</f>
        <v/>
      </c>
      <c r="R2926" s="49"/>
      <c r="S2926" s="14"/>
    </row>
    <row r="2927" spans="1:19" ht="30" customHeight="1" x14ac:dyDescent="0.25">
      <c r="A2927" s="49" t="str">
        <f>IF(C2927="","","BAN-02926")</f>
        <v/>
      </c>
      <c r="B2927" s="98" t="str">
        <f>IF(C2927="","",2926)</f>
        <v/>
      </c>
      <c r="C2927" s="50"/>
      <c r="D2927" s="49" t="str">
        <f t="shared" si="91"/>
        <v/>
      </c>
      <c r="E2927" s="92"/>
      <c r="F2927" s="49"/>
      <c r="G2927" s="14"/>
      <c r="H2927" s="14"/>
      <c r="I2927" s="76"/>
      <c r="J2927" s="73"/>
      <c r="K2927" s="74"/>
      <c r="L2927" s="72"/>
      <c r="M2927" s="72"/>
      <c r="N2927" s="72" t="str">
        <f>IF(AND(C2927="",J2927=0,K2927=0,L2927=0,M2927=0),"",CADASTROS!$B$4+SUM($J$2:J2927)+SUM($M$2:M2927)-SUM($K$2:K2927)-SUM($L$2:L2927))</f>
        <v/>
      </c>
      <c r="O2927" s="72" t="str">
        <f>IF(A2927="","",SUMIF(RATEIOS!$A$2:$A$3142,$A2927,RATEIOS!$F$2:$F$3142))</f>
        <v/>
      </c>
      <c r="P2927" s="15" t="str">
        <f t="shared" si="92"/>
        <v/>
      </c>
      <c r="Q2927" s="49" t="str">
        <f>IF(AND(J2927=0,K2927=0,L2927=0,M2927=0),"",IF(O2927=0,"PENDENTE DE RATEIO",IF(ABS(P2927)&gt;0.005,"DIVERGÊNCIA",IF(COUNTIF(RATEIOS!$A$2:$A$3142,$A2927)-COUNTIFS(RATEIOS!$A$2:$A$3142,$A2927,RATEIOS!$D$2:$D$3142,"&lt;&gt;")&gt;0,"NÃO CLASSIFICADO","RATEIO OK"))))</f>
        <v/>
      </c>
      <c r="R2927" s="49"/>
      <c r="S2927" s="14"/>
    </row>
    <row r="2928" spans="1:19" ht="30" customHeight="1" x14ac:dyDescent="0.25">
      <c r="A2928" s="49" t="str">
        <f>IF(C2928="","","BAN-02927")</f>
        <v/>
      </c>
      <c r="B2928" s="98" t="str">
        <f>IF(C2928="","",2927)</f>
        <v/>
      </c>
      <c r="C2928" s="50"/>
      <c r="D2928" s="49" t="str">
        <f t="shared" si="91"/>
        <v/>
      </c>
      <c r="E2928" s="92"/>
      <c r="F2928" s="49"/>
      <c r="G2928" s="14"/>
      <c r="H2928" s="14"/>
      <c r="I2928" s="76"/>
      <c r="J2928" s="73"/>
      <c r="K2928" s="74"/>
      <c r="L2928" s="72"/>
      <c r="M2928" s="72"/>
      <c r="N2928" s="72" t="str">
        <f>IF(AND(C2928="",J2928=0,K2928=0,L2928=0,M2928=0),"",CADASTROS!$B$4+SUM($J$2:J2928)+SUM($M$2:M2928)-SUM($K$2:K2928)-SUM($L$2:L2928))</f>
        <v/>
      </c>
      <c r="O2928" s="72" t="str">
        <f>IF(A2928="","",SUMIF(RATEIOS!$A$2:$A$3142,$A2928,RATEIOS!$F$2:$F$3142))</f>
        <v/>
      </c>
      <c r="P2928" s="15" t="str">
        <f t="shared" si="92"/>
        <v/>
      </c>
      <c r="Q2928" s="49" t="str">
        <f>IF(AND(J2928=0,K2928=0,L2928=0,M2928=0),"",IF(O2928=0,"PENDENTE DE RATEIO",IF(ABS(P2928)&gt;0.005,"DIVERGÊNCIA",IF(COUNTIF(RATEIOS!$A$2:$A$3142,$A2928)-COUNTIFS(RATEIOS!$A$2:$A$3142,$A2928,RATEIOS!$D$2:$D$3142,"&lt;&gt;")&gt;0,"NÃO CLASSIFICADO","RATEIO OK"))))</f>
        <v/>
      </c>
      <c r="R2928" s="49"/>
      <c r="S2928" s="14"/>
    </row>
    <row r="2929" spans="1:19" ht="30" customHeight="1" x14ac:dyDescent="0.25">
      <c r="A2929" s="49" t="str">
        <f>IF(C2929="","","BAN-02928")</f>
        <v/>
      </c>
      <c r="B2929" s="98" t="str">
        <f>IF(C2929="","",2928)</f>
        <v/>
      </c>
      <c r="C2929" s="50"/>
      <c r="D2929" s="49" t="str">
        <f t="shared" si="91"/>
        <v/>
      </c>
      <c r="E2929" s="92"/>
      <c r="F2929" s="49"/>
      <c r="G2929" s="14"/>
      <c r="H2929" s="14"/>
      <c r="I2929" s="76"/>
      <c r="J2929" s="73"/>
      <c r="K2929" s="74"/>
      <c r="L2929" s="72"/>
      <c r="M2929" s="72"/>
      <c r="N2929" s="72" t="str">
        <f>IF(AND(C2929="",J2929=0,K2929=0,L2929=0,M2929=0),"",CADASTROS!$B$4+SUM($J$2:J2929)+SUM($M$2:M2929)-SUM($K$2:K2929)-SUM($L$2:L2929))</f>
        <v/>
      </c>
      <c r="O2929" s="72" t="str">
        <f>IF(A2929="","",SUMIF(RATEIOS!$A$2:$A$3142,$A2929,RATEIOS!$F$2:$F$3142))</f>
        <v/>
      </c>
      <c r="P2929" s="15" t="str">
        <f t="shared" si="92"/>
        <v/>
      </c>
      <c r="Q2929" s="49" t="str">
        <f>IF(AND(J2929=0,K2929=0,L2929=0,M2929=0),"",IF(O2929=0,"PENDENTE DE RATEIO",IF(ABS(P2929)&gt;0.005,"DIVERGÊNCIA",IF(COUNTIF(RATEIOS!$A$2:$A$3142,$A2929)-COUNTIFS(RATEIOS!$A$2:$A$3142,$A2929,RATEIOS!$D$2:$D$3142,"&lt;&gt;")&gt;0,"NÃO CLASSIFICADO","RATEIO OK"))))</f>
        <v/>
      </c>
      <c r="R2929" s="49"/>
      <c r="S2929" s="14"/>
    </row>
    <row r="2930" spans="1:19" ht="30" customHeight="1" x14ac:dyDescent="0.25">
      <c r="A2930" s="49" t="str">
        <f>IF(C2930="","","BAN-02929")</f>
        <v/>
      </c>
      <c r="B2930" s="98" t="str">
        <f>IF(C2930="","",2929)</f>
        <v/>
      </c>
      <c r="C2930" s="50"/>
      <c r="D2930" s="49" t="str">
        <f t="shared" si="91"/>
        <v/>
      </c>
      <c r="E2930" s="92"/>
      <c r="F2930" s="49"/>
      <c r="G2930" s="14"/>
      <c r="H2930" s="14"/>
      <c r="I2930" s="76"/>
      <c r="J2930" s="73"/>
      <c r="K2930" s="74"/>
      <c r="L2930" s="72"/>
      <c r="M2930" s="72"/>
      <c r="N2930" s="72" t="str">
        <f>IF(AND(C2930="",J2930=0,K2930=0,L2930=0,M2930=0),"",CADASTROS!$B$4+SUM($J$2:J2930)+SUM($M$2:M2930)-SUM($K$2:K2930)-SUM($L$2:L2930))</f>
        <v/>
      </c>
      <c r="O2930" s="72" t="str">
        <f>IF(A2930="","",SUMIF(RATEIOS!$A$2:$A$3142,$A2930,RATEIOS!$F$2:$F$3142))</f>
        <v/>
      </c>
      <c r="P2930" s="15" t="str">
        <f t="shared" si="92"/>
        <v/>
      </c>
      <c r="Q2930" s="49" t="str">
        <f>IF(AND(J2930=0,K2930=0,L2930=0,M2930=0),"",IF(O2930=0,"PENDENTE DE RATEIO",IF(ABS(P2930)&gt;0.005,"DIVERGÊNCIA",IF(COUNTIF(RATEIOS!$A$2:$A$3142,$A2930)-COUNTIFS(RATEIOS!$A$2:$A$3142,$A2930,RATEIOS!$D$2:$D$3142,"&lt;&gt;")&gt;0,"NÃO CLASSIFICADO","RATEIO OK"))))</f>
        <v/>
      </c>
      <c r="R2930" s="49"/>
      <c r="S2930" s="14"/>
    </row>
    <row r="2931" spans="1:19" ht="30" customHeight="1" x14ac:dyDescent="0.25">
      <c r="A2931" s="49" t="str">
        <f>IF(C2931="","","BAN-02930")</f>
        <v/>
      </c>
      <c r="B2931" s="98" t="str">
        <f>IF(C2931="","",2930)</f>
        <v/>
      </c>
      <c r="C2931" s="50"/>
      <c r="D2931" s="49" t="str">
        <f t="shared" si="91"/>
        <v/>
      </c>
      <c r="E2931" s="92"/>
      <c r="F2931" s="49"/>
      <c r="G2931" s="14"/>
      <c r="H2931" s="14"/>
      <c r="I2931" s="76"/>
      <c r="J2931" s="73"/>
      <c r="K2931" s="74"/>
      <c r="L2931" s="72"/>
      <c r="M2931" s="72"/>
      <c r="N2931" s="72" t="str">
        <f>IF(AND(C2931="",J2931=0,K2931=0,L2931=0,M2931=0),"",CADASTROS!$B$4+SUM($J$2:J2931)+SUM($M$2:M2931)-SUM($K$2:K2931)-SUM($L$2:L2931))</f>
        <v/>
      </c>
      <c r="O2931" s="72" t="str">
        <f>IF(A2931="","",SUMIF(RATEIOS!$A$2:$A$3142,$A2931,RATEIOS!$F$2:$F$3142))</f>
        <v/>
      </c>
      <c r="P2931" s="15" t="str">
        <f t="shared" si="92"/>
        <v/>
      </c>
      <c r="Q2931" s="49" t="str">
        <f>IF(AND(J2931=0,K2931=0,L2931=0,M2931=0),"",IF(O2931=0,"PENDENTE DE RATEIO",IF(ABS(P2931)&gt;0.005,"DIVERGÊNCIA",IF(COUNTIF(RATEIOS!$A$2:$A$3142,$A2931)-COUNTIFS(RATEIOS!$A$2:$A$3142,$A2931,RATEIOS!$D$2:$D$3142,"&lt;&gt;")&gt;0,"NÃO CLASSIFICADO","RATEIO OK"))))</f>
        <v/>
      </c>
      <c r="R2931" s="49"/>
      <c r="S2931" s="14"/>
    </row>
    <row r="2932" spans="1:19" ht="30" customHeight="1" x14ac:dyDescent="0.25">
      <c r="A2932" s="49" t="str">
        <f>IF(C2932="","","BAN-02931")</f>
        <v/>
      </c>
      <c r="B2932" s="98" t="str">
        <f>IF(C2932="","",2931)</f>
        <v/>
      </c>
      <c r="C2932" s="50"/>
      <c r="D2932" s="49" t="str">
        <f t="shared" si="91"/>
        <v/>
      </c>
      <c r="E2932" s="92"/>
      <c r="F2932" s="49"/>
      <c r="G2932" s="14"/>
      <c r="H2932" s="14"/>
      <c r="I2932" s="76"/>
      <c r="J2932" s="73"/>
      <c r="K2932" s="74"/>
      <c r="L2932" s="72"/>
      <c r="M2932" s="72"/>
      <c r="N2932" s="72" t="str">
        <f>IF(AND(C2932="",J2932=0,K2932=0,L2932=0,M2932=0),"",CADASTROS!$B$4+SUM($J$2:J2932)+SUM($M$2:M2932)-SUM($K$2:K2932)-SUM($L$2:L2932))</f>
        <v/>
      </c>
      <c r="O2932" s="72" t="str">
        <f>IF(A2932="","",SUMIF(RATEIOS!$A$2:$A$3142,$A2932,RATEIOS!$F$2:$F$3142))</f>
        <v/>
      </c>
      <c r="P2932" s="15" t="str">
        <f t="shared" si="92"/>
        <v/>
      </c>
      <c r="Q2932" s="49" t="str">
        <f>IF(AND(J2932=0,K2932=0,L2932=0,M2932=0),"",IF(O2932=0,"PENDENTE DE RATEIO",IF(ABS(P2932)&gt;0.005,"DIVERGÊNCIA",IF(COUNTIF(RATEIOS!$A$2:$A$3142,$A2932)-COUNTIFS(RATEIOS!$A$2:$A$3142,$A2932,RATEIOS!$D$2:$D$3142,"&lt;&gt;")&gt;0,"NÃO CLASSIFICADO","RATEIO OK"))))</f>
        <v/>
      </c>
      <c r="R2932" s="49"/>
      <c r="S2932" s="14"/>
    </row>
    <row r="2933" spans="1:19" ht="30" customHeight="1" x14ac:dyDescent="0.25">
      <c r="A2933" s="49" t="str">
        <f>IF(C2933="","","BAN-02932")</f>
        <v/>
      </c>
      <c r="B2933" s="98" t="str">
        <f>IF(C2933="","",2932)</f>
        <v/>
      </c>
      <c r="C2933" s="50"/>
      <c r="D2933" s="49" t="str">
        <f t="shared" si="91"/>
        <v/>
      </c>
      <c r="E2933" s="92"/>
      <c r="F2933" s="49"/>
      <c r="G2933" s="14"/>
      <c r="H2933" s="14"/>
      <c r="I2933" s="76"/>
      <c r="J2933" s="73"/>
      <c r="K2933" s="74"/>
      <c r="L2933" s="72"/>
      <c r="M2933" s="72"/>
      <c r="N2933" s="72" t="str">
        <f>IF(AND(C2933="",J2933=0,K2933=0,L2933=0,M2933=0),"",CADASTROS!$B$4+SUM($J$2:J2933)+SUM($M$2:M2933)-SUM($K$2:K2933)-SUM($L$2:L2933))</f>
        <v/>
      </c>
      <c r="O2933" s="72" t="str">
        <f>IF(A2933="","",SUMIF(RATEIOS!$A$2:$A$3142,$A2933,RATEIOS!$F$2:$F$3142))</f>
        <v/>
      </c>
      <c r="P2933" s="15" t="str">
        <f t="shared" si="92"/>
        <v/>
      </c>
      <c r="Q2933" s="49" t="str">
        <f>IF(AND(J2933=0,K2933=0,L2933=0,M2933=0),"",IF(O2933=0,"PENDENTE DE RATEIO",IF(ABS(P2933)&gt;0.005,"DIVERGÊNCIA",IF(COUNTIF(RATEIOS!$A$2:$A$3142,$A2933)-COUNTIFS(RATEIOS!$A$2:$A$3142,$A2933,RATEIOS!$D$2:$D$3142,"&lt;&gt;")&gt;0,"NÃO CLASSIFICADO","RATEIO OK"))))</f>
        <v/>
      </c>
      <c r="R2933" s="49"/>
      <c r="S2933" s="14"/>
    </row>
    <row r="2934" spans="1:19" ht="30" customHeight="1" x14ac:dyDescent="0.25">
      <c r="A2934" s="49" t="str">
        <f>IF(C2934="","","BAN-02933")</f>
        <v/>
      </c>
      <c r="B2934" s="98" t="str">
        <f>IF(C2934="","",2933)</f>
        <v/>
      </c>
      <c r="C2934" s="50"/>
      <c r="D2934" s="49" t="str">
        <f t="shared" si="91"/>
        <v/>
      </c>
      <c r="E2934" s="92"/>
      <c r="F2934" s="49"/>
      <c r="G2934" s="14"/>
      <c r="H2934" s="14"/>
      <c r="I2934" s="76"/>
      <c r="J2934" s="73"/>
      <c r="K2934" s="74"/>
      <c r="L2934" s="72"/>
      <c r="M2934" s="72"/>
      <c r="N2934" s="72" t="str">
        <f>IF(AND(C2934="",J2934=0,K2934=0,L2934=0,M2934=0),"",CADASTROS!$B$4+SUM($J$2:J2934)+SUM($M$2:M2934)-SUM($K$2:K2934)-SUM($L$2:L2934))</f>
        <v/>
      </c>
      <c r="O2934" s="72" t="str">
        <f>IF(A2934="","",SUMIF(RATEIOS!$A$2:$A$3142,$A2934,RATEIOS!$F$2:$F$3142))</f>
        <v/>
      </c>
      <c r="P2934" s="15" t="str">
        <f t="shared" si="92"/>
        <v/>
      </c>
      <c r="Q2934" s="49" t="str">
        <f>IF(AND(J2934=0,K2934=0,L2934=0,M2934=0),"",IF(O2934=0,"PENDENTE DE RATEIO",IF(ABS(P2934)&gt;0.005,"DIVERGÊNCIA",IF(COUNTIF(RATEIOS!$A$2:$A$3142,$A2934)-COUNTIFS(RATEIOS!$A$2:$A$3142,$A2934,RATEIOS!$D$2:$D$3142,"&lt;&gt;")&gt;0,"NÃO CLASSIFICADO","RATEIO OK"))))</f>
        <v/>
      </c>
      <c r="R2934" s="49"/>
      <c r="S2934" s="14"/>
    </row>
    <row r="2935" spans="1:19" ht="30" customHeight="1" x14ac:dyDescent="0.25">
      <c r="A2935" s="49" t="str">
        <f>IF(C2935="","","BAN-02934")</f>
        <v/>
      </c>
      <c r="B2935" s="98" t="str">
        <f>IF(C2935="","",2934)</f>
        <v/>
      </c>
      <c r="C2935" s="50"/>
      <c r="D2935" s="49" t="str">
        <f t="shared" si="91"/>
        <v/>
      </c>
      <c r="E2935" s="92"/>
      <c r="F2935" s="49"/>
      <c r="G2935" s="14"/>
      <c r="H2935" s="14"/>
      <c r="I2935" s="76"/>
      <c r="J2935" s="73"/>
      <c r="K2935" s="74"/>
      <c r="L2935" s="72"/>
      <c r="M2935" s="72"/>
      <c r="N2935" s="72" t="str">
        <f>IF(AND(C2935="",J2935=0,K2935=0,L2935=0,M2935=0),"",CADASTROS!$B$4+SUM($J$2:J2935)+SUM($M$2:M2935)-SUM($K$2:K2935)-SUM($L$2:L2935))</f>
        <v/>
      </c>
      <c r="O2935" s="72" t="str">
        <f>IF(A2935="","",SUMIF(RATEIOS!$A$2:$A$3142,$A2935,RATEIOS!$F$2:$F$3142))</f>
        <v/>
      </c>
      <c r="P2935" s="15" t="str">
        <f t="shared" si="92"/>
        <v/>
      </c>
      <c r="Q2935" s="49" t="str">
        <f>IF(AND(J2935=0,K2935=0,L2935=0,M2935=0),"",IF(O2935=0,"PENDENTE DE RATEIO",IF(ABS(P2935)&gt;0.005,"DIVERGÊNCIA",IF(COUNTIF(RATEIOS!$A$2:$A$3142,$A2935)-COUNTIFS(RATEIOS!$A$2:$A$3142,$A2935,RATEIOS!$D$2:$D$3142,"&lt;&gt;")&gt;0,"NÃO CLASSIFICADO","RATEIO OK"))))</f>
        <v/>
      </c>
      <c r="R2935" s="49"/>
      <c r="S2935" s="14"/>
    </row>
    <row r="2936" spans="1:19" ht="30" customHeight="1" x14ac:dyDescent="0.25">
      <c r="A2936" s="49" t="str">
        <f>IF(C2936="","","BAN-02935")</f>
        <v/>
      </c>
      <c r="B2936" s="98" t="str">
        <f>IF(C2936="","",2935)</f>
        <v/>
      </c>
      <c r="C2936" s="50"/>
      <c r="D2936" s="49" t="str">
        <f t="shared" si="91"/>
        <v/>
      </c>
      <c r="E2936" s="92"/>
      <c r="F2936" s="49"/>
      <c r="G2936" s="14"/>
      <c r="H2936" s="14"/>
      <c r="I2936" s="76"/>
      <c r="J2936" s="73"/>
      <c r="K2936" s="74"/>
      <c r="L2936" s="72"/>
      <c r="M2936" s="72"/>
      <c r="N2936" s="72" t="str">
        <f>IF(AND(C2936="",J2936=0,K2936=0,L2936=0,M2936=0),"",CADASTROS!$B$4+SUM($J$2:J2936)+SUM($M$2:M2936)-SUM($K$2:K2936)-SUM($L$2:L2936))</f>
        <v/>
      </c>
      <c r="O2936" s="72" t="str">
        <f>IF(A2936="","",SUMIF(RATEIOS!$A$2:$A$3142,$A2936,RATEIOS!$F$2:$F$3142))</f>
        <v/>
      </c>
      <c r="P2936" s="15" t="str">
        <f t="shared" si="92"/>
        <v/>
      </c>
      <c r="Q2936" s="49" t="str">
        <f>IF(AND(J2936=0,K2936=0,L2936=0,M2936=0),"",IF(O2936=0,"PENDENTE DE RATEIO",IF(ABS(P2936)&gt;0.005,"DIVERGÊNCIA",IF(COUNTIF(RATEIOS!$A$2:$A$3142,$A2936)-COUNTIFS(RATEIOS!$A$2:$A$3142,$A2936,RATEIOS!$D$2:$D$3142,"&lt;&gt;")&gt;0,"NÃO CLASSIFICADO","RATEIO OK"))))</f>
        <v/>
      </c>
      <c r="R2936" s="49"/>
      <c r="S2936" s="14"/>
    </row>
    <row r="2937" spans="1:19" ht="30" customHeight="1" x14ac:dyDescent="0.25">
      <c r="A2937" s="49" t="str">
        <f>IF(C2937="","","BAN-02936")</f>
        <v/>
      </c>
      <c r="B2937" s="98" t="str">
        <f>IF(C2937="","",2936)</f>
        <v/>
      </c>
      <c r="C2937" s="50"/>
      <c r="D2937" s="49" t="str">
        <f t="shared" si="91"/>
        <v/>
      </c>
      <c r="E2937" s="92"/>
      <c r="F2937" s="49"/>
      <c r="G2937" s="14"/>
      <c r="H2937" s="14"/>
      <c r="I2937" s="76"/>
      <c r="J2937" s="73"/>
      <c r="K2937" s="74"/>
      <c r="L2937" s="72"/>
      <c r="M2937" s="72"/>
      <c r="N2937" s="72" t="str">
        <f>IF(AND(C2937="",J2937=0,K2937=0,L2937=0,M2937=0),"",CADASTROS!$B$4+SUM($J$2:J2937)+SUM($M$2:M2937)-SUM($K$2:K2937)-SUM($L$2:L2937))</f>
        <v/>
      </c>
      <c r="O2937" s="72" t="str">
        <f>IF(A2937="","",SUMIF(RATEIOS!$A$2:$A$3142,$A2937,RATEIOS!$F$2:$F$3142))</f>
        <v/>
      </c>
      <c r="P2937" s="15" t="str">
        <f t="shared" si="92"/>
        <v/>
      </c>
      <c r="Q2937" s="49" t="str">
        <f>IF(AND(J2937=0,K2937=0,L2937=0,M2937=0),"",IF(O2937=0,"PENDENTE DE RATEIO",IF(ABS(P2937)&gt;0.005,"DIVERGÊNCIA",IF(COUNTIF(RATEIOS!$A$2:$A$3142,$A2937)-COUNTIFS(RATEIOS!$A$2:$A$3142,$A2937,RATEIOS!$D$2:$D$3142,"&lt;&gt;")&gt;0,"NÃO CLASSIFICADO","RATEIO OK"))))</f>
        <v/>
      </c>
      <c r="R2937" s="49"/>
      <c r="S2937" s="14"/>
    </row>
    <row r="2938" spans="1:19" ht="30" customHeight="1" x14ac:dyDescent="0.25">
      <c r="A2938" s="49" t="str">
        <f>IF(C2938="","","BAN-02937")</f>
        <v/>
      </c>
      <c r="B2938" s="98" t="str">
        <f>IF(C2938="","",2937)</f>
        <v/>
      </c>
      <c r="C2938" s="50"/>
      <c r="D2938" s="49" t="str">
        <f t="shared" si="91"/>
        <v/>
      </c>
      <c r="E2938" s="92"/>
      <c r="F2938" s="49"/>
      <c r="G2938" s="14"/>
      <c r="H2938" s="14"/>
      <c r="I2938" s="76"/>
      <c r="J2938" s="73"/>
      <c r="K2938" s="74"/>
      <c r="L2938" s="72"/>
      <c r="M2938" s="72"/>
      <c r="N2938" s="72" t="str">
        <f>IF(AND(C2938="",J2938=0,K2938=0,L2938=0,M2938=0),"",CADASTROS!$B$4+SUM($J$2:J2938)+SUM($M$2:M2938)-SUM($K$2:K2938)-SUM($L$2:L2938))</f>
        <v/>
      </c>
      <c r="O2938" s="72" t="str">
        <f>IF(A2938="","",SUMIF(RATEIOS!$A$2:$A$3142,$A2938,RATEIOS!$F$2:$F$3142))</f>
        <v/>
      </c>
      <c r="P2938" s="15" t="str">
        <f t="shared" si="92"/>
        <v/>
      </c>
      <c r="Q2938" s="49" t="str">
        <f>IF(AND(J2938=0,K2938=0,L2938=0,M2938=0),"",IF(O2938=0,"PENDENTE DE RATEIO",IF(ABS(P2938)&gt;0.005,"DIVERGÊNCIA",IF(COUNTIF(RATEIOS!$A$2:$A$3142,$A2938)-COUNTIFS(RATEIOS!$A$2:$A$3142,$A2938,RATEIOS!$D$2:$D$3142,"&lt;&gt;")&gt;0,"NÃO CLASSIFICADO","RATEIO OK"))))</f>
        <v/>
      </c>
      <c r="R2938" s="49"/>
      <c r="S2938" s="14"/>
    </row>
    <row r="2939" spans="1:19" ht="30" customHeight="1" x14ac:dyDescent="0.25">
      <c r="A2939" s="49" t="str">
        <f>IF(C2939="","","BAN-02938")</f>
        <v/>
      </c>
      <c r="B2939" s="98" t="str">
        <f>IF(C2939="","",2938)</f>
        <v/>
      </c>
      <c r="C2939" s="50"/>
      <c r="D2939" s="49" t="str">
        <f t="shared" si="91"/>
        <v/>
      </c>
      <c r="E2939" s="92"/>
      <c r="F2939" s="49"/>
      <c r="G2939" s="14"/>
      <c r="H2939" s="14"/>
      <c r="I2939" s="76"/>
      <c r="J2939" s="73"/>
      <c r="K2939" s="74"/>
      <c r="L2939" s="72"/>
      <c r="M2939" s="72"/>
      <c r="N2939" s="72" t="str">
        <f>IF(AND(C2939="",J2939=0,K2939=0,L2939=0,M2939=0),"",CADASTROS!$B$4+SUM($J$2:J2939)+SUM($M$2:M2939)-SUM($K$2:K2939)-SUM($L$2:L2939))</f>
        <v/>
      </c>
      <c r="O2939" s="72" t="str">
        <f>IF(A2939="","",SUMIF(RATEIOS!$A$2:$A$3142,$A2939,RATEIOS!$F$2:$F$3142))</f>
        <v/>
      </c>
      <c r="P2939" s="15" t="str">
        <f t="shared" si="92"/>
        <v/>
      </c>
      <c r="Q2939" s="49" t="str">
        <f>IF(AND(J2939=0,K2939=0,L2939=0,M2939=0),"",IF(O2939=0,"PENDENTE DE RATEIO",IF(ABS(P2939)&gt;0.005,"DIVERGÊNCIA",IF(COUNTIF(RATEIOS!$A$2:$A$3142,$A2939)-COUNTIFS(RATEIOS!$A$2:$A$3142,$A2939,RATEIOS!$D$2:$D$3142,"&lt;&gt;")&gt;0,"NÃO CLASSIFICADO","RATEIO OK"))))</f>
        <v/>
      </c>
      <c r="R2939" s="49"/>
      <c r="S2939" s="14"/>
    </row>
    <row r="2940" spans="1:19" ht="30" customHeight="1" x14ac:dyDescent="0.25">
      <c r="A2940" s="49" t="str">
        <f>IF(C2940="","","BAN-02939")</f>
        <v/>
      </c>
      <c r="B2940" s="98" t="str">
        <f>IF(C2940="","",2939)</f>
        <v/>
      </c>
      <c r="C2940" s="50"/>
      <c r="D2940" s="49" t="str">
        <f t="shared" si="91"/>
        <v/>
      </c>
      <c r="E2940" s="92"/>
      <c r="F2940" s="49"/>
      <c r="G2940" s="14"/>
      <c r="H2940" s="14"/>
      <c r="I2940" s="76"/>
      <c r="J2940" s="73"/>
      <c r="K2940" s="74"/>
      <c r="L2940" s="72"/>
      <c r="M2940" s="72"/>
      <c r="N2940" s="72" t="str">
        <f>IF(AND(C2940="",J2940=0,K2940=0,L2940=0,M2940=0),"",CADASTROS!$B$4+SUM($J$2:J2940)+SUM($M$2:M2940)-SUM($K$2:K2940)-SUM($L$2:L2940))</f>
        <v/>
      </c>
      <c r="O2940" s="72" t="str">
        <f>IF(A2940="","",SUMIF(RATEIOS!$A$2:$A$3142,$A2940,RATEIOS!$F$2:$F$3142))</f>
        <v/>
      </c>
      <c r="P2940" s="15" t="str">
        <f t="shared" si="92"/>
        <v/>
      </c>
      <c r="Q2940" s="49" t="str">
        <f>IF(AND(J2940=0,K2940=0,L2940=0,M2940=0),"",IF(O2940=0,"PENDENTE DE RATEIO",IF(ABS(P2940)&gt;0.005,"DIVERGÊNCIA",IF(COUNTIF(RATEIOS!$A$2:$A$3142,$A2940)-COUNTIFS(RATEIOS!$A$2:$A$3142,$A2940,RATEIOS!$D$2:$D$3142,"&lt;&gt;")&gt;0,"NÃO CLASSIFICADO","RATEIO OK"))))</f>
        <v/>
      </c>
      <c r="R2940" s="49"/>
      <c r="S2940" s="14"/>
    </row>
    <row r="2941" spans="1:19" ht="30" customHeight="1" x14ac:dyDescent="0.25">
      <c r="A2941" s="49" t="str">
        <f>IF(C2941="","","BAN-02940")</f>
        <v/>
      </c>
      <c r="B2941" s="98" t="str">
        <f>IF(C2941="","",2940)</f>
        <v/>
      </c>
      <c r="C2941" s="50"/>
      <c r="D2941" s="49" t="str">
        <f t="shared" si="91"/>
        <v/>
      </c>
      <c r="E2941" s="92"/>
      <c r="F2941" s="49"/>
      <c r="G2941" s="14"/>
      <c r="H2941" s="14"/>
      <c r="I2941" s="76"/>
      <c r="J2941" s="73"/>
      <c r="K2941" s="74"/>
      <c r="L2941" s="72"/>
      <c r="M2941" s="72"/>
      <c r="N2941" s="72" t="str">
        <f>IF(AND(C2941="",J2941=0,K2941=0,L2941=0,M2941=0),"",CADASTROS!$B$4+SUM($J$2:J2941)+SUM($M$2:M2941)-SUM($K$2:K2941)-SUM($L$2:L2941))</f>
        <v/>
      </c>
      <c r="O2941" s="72" t="str">
        <f>IF(A2941="","",SUMIF(RATEIOS!$A$2:$A$3142,$A2941,RATEIOS!$F$2:$F$3142))</f>
        <v/>
      </c>
      <c r="P2941" s="15" t="str">
        <f t="shared" si="92"/>
        <v/>
      </c>
      <c r="Q2941" s="49" t="str">
        <f>IF(AND(J2941=0,K2941=0,L2941=0,M2941=0),"",IF(O2941=0,"PENDENTE DE RATEIO",IF(ABS(P2941)&gt;0.005,"DIVERGÊNCIA",IF(COUNTIF(RATEIOS!$A$2:$A$3142,$A2941)-COUNTIFS(RATEIOS!$A$2:$A$3142,$A2941,RATEIOS!$D$2:$D$3142,"&lt;&gt;")&gt;0,"NÃO CLASSIFICADO","RATEIO OK"))))</f>
        <v/>
      </c>
      <c r="R2941" s="49"/>
      <c r="S2941" s="14"/>
    </row>
    <row r="2942" spans="1:19" ht="30" customHeight="1" x14ac:dyDescent="0.25">
      <c r="A2942" s="49" t="str">
        <f>IF(C2942="","","BAN-02941")</f>
        <v/>
      </c>
      <c r="B2942" s="98" t="str">
        <f>IF(C2942="","",2941)</f>
        <v/>
      </c>
      <c r="C2942" s="50"/>
      <c r="D2942" s="49" t="str">
        <f t="shared" si="91"/>
        <v/>
      </c>
      <c r="E2942" s="92"/>
      <c r="F2942" s="49"/>
      <c r="G2942" s="14"/>
      <c r="H2942" s="14"/>
      <c r="I2942" s="76"/>
      <c r="J2942" s="73"/>
      <c r="K2942" s="74"/>
      <c r="L2942" s="72"/>
      <c r="M2942" s="72"/>
      <c r="N2942" s="72" t="str">
        <f>IF(AND(C2942="",J2942=0,K2942=0,L2942=0,M2942=0),"",CADASTROS!$B$4+SUM($J$2:J2942)+SUM($M$2:M2942)-SUM($K$2:K2942)-SUM($L$2:L2942))</f>
        <v/>
      </c>
      <c r="O2942" s="72" t="str">
        <f>IF(A2942="","",SUMIF(RATEIOS!$A$2:$A$3142,$A2942,RATEIOS!$F$2:$F$3142))</f>
        <v/>
      </c>
      <c r="P2942" s="15" t="str">
        <f t="shared" si="92"/>
        <v/>
      </c>
      <c r="Q2942" s="49" t="str">
        <f>IF(AND(J2942=0,K2942=0,L2942=0,M2942=0),"",IF(O2942=0,"PENDENTE DE RATEIO",IF(ABS(P2942)&gt;0.005,"DIVERGÊNCIA",IF(COUNTIF(RATEIOS!$A$2:$A$3142,$A2942)-COUNTIFS(RATEIOS!$A$2:$A$3142,$A2942,RATEIOS!$D$2:$D$3142,"&lt;&gt;")&gt;0,"NÃO CLASSIFICADO","RATEIO OK"))))</f>
        <v/>
      </c>
      <c r="R2942" s="49"/>
      <c r="S2942" s="14"/>
    </row>
    <row r="2943" spans="1:19" ht="30" customHeight="1" x14ac:dyDescent="0.25">
      <c r="A2943" s="49" t="str">
        <f>IF(C2943="","","BAN-02942")</f>
        <v/>
      </c>
      <c r="B2943" s="98" t="str">
        <f>IF(C2943="","",2942)</f>
        <v/>
      </c>
      <c r="C2943" s="50"/>
      <c r="D2943" s="49" t="str">
        <f t="shared" si="91"/>
        <v/>
      </c>
      <c r="E2943" s="92"/>
      <c r="F2943" s="49"/>
      <c r="G2943" s="14"/>
      <c r="H2943" s="14"/>
      <c r="I2943" s="76"/>
      <c r="J2943" s="73"/>
      <c r="K2943" s="74"/>
      <c r="L2943" s="72"/>
      <c r="M2943" s="72"/>
      <c r="N2943" s="72" t="str">
        <f>IF(AND(C2943="",J2943=0,K2943=0,L2943=0,M2943=0),"",CADASTROS!$B$4+SUM($J$2:J2943)+SUM($M$2:M2943)-SUM($K$2:K2943)-SUM($L$2:L2943))</f>
        <v/>
      </c>
      <c r="O2943" s="72" t="str">
        <f>IF(A2943="","",SUMIF(RATEIOS!$A$2:$A$3142,$A2943,RATEIOS!$F$2:$F$3142))</f>
        <v/>
      </c>
      <c r="P2943" s="15" t="str">
        <f t="shared" si="92"/>
        <v/>
      </c>
      <c r="Q2943" s="49" t="str">
        <f>IF(AND(J2943=0,K2943=0,L2943=0,M2943=0),"",IF(O2943=0,"PENDENTE DE RATEIO",IF(ABS(P2943)&gt;0.005,"DIVERGÊNCIA",IF(COUNTIF(RATEIOS!$A$2:$A$3142,$A2943)-COUNTIFS(RATEIOS!$A$2:$A$3142,$A2943,RATEIOS!$D$2:$D$3142,"&lt;&gt;")&gt;0,"NÃO CLASSIFICADO","RATEIO OK"))))</f>
        <v/>
      </c>
      <c r="R2943" s="49"/>
      <c r="S2943" s="14"/>
    </row>
    <row r="2944" spans="1:19" ht="30" customHeight="1" x14ac:dyDescent="0.25">
      <c r="A2944" s="49" t="str">
        <f>IF(C2944="","","BAN-02943")</f>
        <v/>
      </c>
      <c r="B2944" s="98" t="str">
        <f>IF(C2944="","",2943)</f>
        <v/>
      </c>
      <c r="C2944" s="50"/>
      <c r="D2944" s="49" t="str">
        <f t="shared" si="91"/>
        <v/>
      </c>
      <c r="E2944" s="92"/>
      <c r="F2944" s="49"/>
      <c r="G2944" s="14"/>
      <c r="H2944" s="14"/>
      <c r="I2944" s="76"/>
      <c r="J2944" s="73"/>
      <c r="K2944" s="74"/>
      <c r="L2944" s="72"/>
      <c r="M2944" s="72"/>
      <c r="N2944" s="72" t="str">
        <f>IF(AND(C2944="",J2944=0,K2944=0,L2944=0,M2944=0),"",CADASTROS!$B$4+SUM($J$2:J2944)+SUM($M$2:M2944)-SUM($K$2:K2944)-SUM($L$2:L2944))</f>
        <v/>
      </c>
      <c r="O2944" s="72" t="str">
        <f>IF(A2944="","",SUMIF(RATEIOS!$A$2:$A$3142,$A2944,RATEIOS!$F$2:$F$3142))</f>
        <v/>
      </c>
      <c r="P2944" s="15" t="str">
        <f t="shared" si="92"/>
        <v/>
      </c>
      <c r="Q2944" s="49" t="str">
        <f>IF(AND(J2944=0,K2944=0,L2944=0,M2944=0),"",IF(O2944=0,"PENDENTE DE RATEIO",IF(ABS(P2944)&gt;0.005,"DIVERGÊNCIA",IF(COUNTIF(RATEIOS!$A$2:$A$3142,$A2944)-COUNTIFS(RATEIOS!$A$2:$A$3142,$A2944,RATEIOS!$D$2:$D$3142,"&lt;&gt;")&gt;0,"NÃO CLASSIFICADO","RATEIO OK"))))</f>
        <v/>
      </c>
      <c r="R2944" s="49"/>
      <c r="S2944" s="14"/>
    </row>
    <row r="2945" spans="1:19" ht="30" customHeight="1" x14ac:dyDescent="0.25">
      <c r="A2945" s="49" t="str">
        <f>IF(C2945="","","BAN-02944")</f>
        <v/>
      </c>
      <c r="B2945" s="98" t="str">
        <f>IF(C2945="","",2944)</f>
        <v/>
      </c>
      <c r="C2945" s="50"/>
      <c r="D2945" s="49" t="str">
        <f t="shared" si="91"/>
        <v/>
      </c>
      <c r="E2945" s="92"/>
      <c r="F2945" s="49"/>
      <c r="G2945" s="14"/>
      <c r="H2945" s="14"/>
      <c r="I2945" s="76"/>
      <c r="J2945" s="73"/>
      <c r="K2945" s="74"/>
      <c r="L2945" s="72"/>
      <c r="M2945" s="72"/>
      <c r="N2945" s="72" t="str">
        <f>IF(AND(C2945="",J2945=0,K2945=0,L2945=0,M2945=0),"",CADASTROS!$B$4+SUM($J$2:J2945)+SUM($M$2:M2945)-SUM($K$2:K2945)-SUM($L$2:L2945))</f>
        <v/>
      </c>
      <c r="O2945" s="72" t="str">
        <f>IF(A2945="","",SUMIF(RATEIOS!$A$2:$A$3142,$A2945,RATEIOS!$F$2:$F$3142))</f>
        <v/>
      </c>
      <c r="P2945" s="15" t="str">
        <f t="shared" si="92"/>
        <v/>
      </c>
      <c r="Q2945" s="49" t="str">
        <f>IF(AND(J2945=0,K2945=0,L2945=0,M2945=0),"",IF(O2945=0,"PENDENTE DE RATEIO",IF(ABS(P2945)&gt;0.005,"DIVERGÊNCIA",IF(COUNTIF(RATEIOS!$A$2:$A$3142,$A2945)-COUNTIFS(RATEIOS!$A$2:$A$3142,$A2945,RATEIOS!$D$2:$D$3142,"&lt;&gt;")&gt;0,"NÃO CLASSIFICADO","RATEIO OK"))))</f>
        <v/>
      </c>
      <c r="R2945" s="49"/>
      <c r="S2945" s="14"/>
    </row>
    <row r="2946" spans="1:19" ht="30" customHeight="1" x14ac:dyDescent="0.25">
      <c r="A2946" s="49" t="str">
        <f>IF(C2946="","","BAN-02945")</f>
        <v/>
      </c>
      <c r="B2946" s="98" t="str">
        <f>IF(C2946="","",2945)</f>
        <v/>
      </c>
      <c r="C2946" s="50"/>
      <c r="D2946" s="49" t="str">
        <f t="shared" ref="D2946:D3000" si="93">IF(C2946="","",MONTH(C2946))</f>
        <v/>
      </c>
      <c r="E2946" s="92"/>
      <c r="F2946" s="49"/>
      <c r="G2946" s="14"/>
      <c r="H2946" s="14"/>
      <c r="I2946" s="76"/>
      <c r="J2946" s="73"/>
      <c r="K2946" s="74"/>
      <c r="L2946" s="72"/>
      <c r="M2946" s="72"/>
      <c r="N2946" s="72" t="str">
        <f>IF(AND(C2946="",J2946=0,K2946=0,L2946=0,M2946=0),"",CADASTROS!$B$4+SUM($J$2:J2946)+SUM($M$2:M2946)-SUM($K$2:K2946)-SUM($L$2:L2946))</f>
        <v/>
      </c>
      <c r="O2946" s="72" t="str">
        <f>IF(A2946="","",SUMIF(RATEIOS!$A$2:$A$3142,$A2946,RATEIOS!$F$2:$F$3142))</f>
        <v/>
      </c>
      <c r="P2946" s="15" t="str">
        <f t="shared" ref="P2946:P3000" si="94">IF(A2946="","",(J2946+K2946+L2946+M2946)-O2946)</f>
        <v/>
      </c>
      <c r="Q2946" s="49" t="str">
        <f>IF(AND(J2946=0,K2946=0,L2946=0,M2946=0),"",IF(O2946=0,"PENDENTE DE RATEIO",IF(ABS(P2946)&gt;0.005,"DIVERGÊNCIA",IF(COUNTIF(RATEIOS!$A$2:$A$3142,$A2946)-COUNTIFS(RATEIOS!$A$2:$A$3142,$A2946,RATEIOS!$D$2:$D$3142,"&lt;&gt;")&gt;0,"NÃO CLASSIFICADO","RATEIO OK"))))</f>
        <v/>
      </c>
      <c r="R2946" s="49"/>
      <c r="S2946" s="14"/>
    </row>
    <row r="2947" spans="1:19" ht="30" customHeight="1" x14ac:dyDescent="0.25">
      <c r="A2947" s="49" t="str">
        <f>IF(C2947="","","BAN-02946")</f>
        <v/>
      </c>
      <c r="B2947" s="98" t="str">
        <f>IF(C2947="","",2946)</f>
        <v/>
      </c>
      <c r="C2947" s="50"/>
      <c r="D2947" s="49" t="str">
        <f t="shared" si="93"/>
        <v/>
      </c>
      <c r="E2947" s="92"/>
      <c r="F2947" s="49"/>
      <c r="G2947" s="14"/>
      <c r="H2947" s="14"/>
      <c r="I2947" s="76"/>
      <c r="J2947" s="73"/>
      <c r="K2947" s="74"/>
      <c r="L2947" s="72"/>
      <c r="M2947" s="72"/>
      <c r="N2947" s="72" t="str">
        <f>IF(AND(C2947="",J2947=0,K2947=0,L2947=0,M2947=0),"",CADASTROS!$B$4+SUM($J$2:J2947)+SUM($M$2:M2947)-SUM($K$2:K2947)-SUM($L$2:L2947))</f>
        <v/>
      </c>
      <c r="O2947" s="72" t="str">
        <f>IF(A2947="","",SUMIF(RATEIOS!$A$2:$A$3142,$A2947,RATEIOS!$F$2:$F$3142))</f>
        <v/>
      </c>
      <c r="P2947" s="15" t="str">
        <f t="shared" si="94"/>
        <v/>
      </c>
      <c r="Q2947" s="49" t="str">
        <f>IF(AND(J2947=0,K2947=0,L2947=0,M2947=0),"",IF(O2947=0,"PENDENTE DE RATEIO",IF(ABS(P2947)&gt;0.005,"DIVERGÊNCIA",IF(COUNTIF(RATEIOS!$A$2:$A$3142,$A2947)-COUNTIFS(RATEIOS!$A$2:$A$3142,$A2947,RATEIOS!$D$2:$D$3142,"&lt;&gt;")&gt;0,"NÃO CLASSIFICADO","RATEIO OK"))))</f>
        <v/>
      </c>
      <c r="R2947" s="49"/>
      <c r="S2947" s="14"/>
    </row>
    <row r="2948" spans="1:19" ht="30" customHeight="1" x14ac:dyDescent="0.25">
      <c r="A2948" s="49" t="str">
        <f>IF(C2948="","","BAN-02947")</f>
        <v/>
      </c>
      <c r="B2948" s="98" t="str">
        <f>IF(C2948="","",2947)</f>
        <v/>
      </c>
      <c r="C2948" s="50"/>
      <c r="D2948" s="49" t="str">
        <f t="shared" si="93"/>
        <v/>
      </c>
      <c r="E2948" s="92"/>
      <c r="F2948" s="49"/>
      <c r="G2948" s="14"/>
      <c r="H2948" s="14"/>
      <c r="I2948" s="76"/>
      <c r="J2948" s="73"/>
      <c r="K2948" s="74"/>
      <c r="L2948" s="72"/>
      <c r="M2948" s="72"/>
      <c r="N2948" s="72" t="str">
        <f>IF(AND(C2948="",J2948=0,K2948=0,L2948=0,M2948=0),"",CADASTROS!$B$4+SUM($J$2:J2948)+SUM($M$2:M2948)-SUM($K$2:K2948)-SUM($L$2:L2948))</f>
        <v/>
      </c>
      <c r="O2948" s="72" t="str">
        <f>IF(A2948="","",SUMIF(RATEIOS!$A$2:$A$3142,$A2948,RATEIOS!$F$2:$F$3142))</f>
        <v/>
      </c>
      <c r="P2948" s="15" t="str">
        <f t="shared" si="94"/>
        <v/>
      </c>
      <c r="Q2948" s="49" t="str">
        <f>IF(AND(J2948=0,K2948=0,L2948=0,M2948=0),"",IF(O2948=0,"PENDENTE DE RATEIO",IF(ABS(P2948)&gt;0.005,"DIVERGÊNCIA",IF(COUNTIF(RATEIOS!$A$2:$A$3142,$A2948)-COUNTIFS(RATEIOS!$A$2:$A$3142,$A2948,RATEIOS!$D$2:$D$3142,"&lt;&gt;")&gt;0,"NÃO CLASSIFICADO","RATEIO OK"))))</f>
        <v/>
      </c>
      <c r="R2948" s="49"/>
      <c r="S2948" s="14"/>
    </row>
    <row r="2949" spans="1:19" ht="30" customHeight="1" x14ac:dyDescent="0.25">
      <c r="A2949" s="49" t="str">
        <f>IF(C2949="","","BAN-02948")</f>
        <v/>
      </c>
      <c r="B2949" s="98" t="str">
        <f>IF(C2949="","",2948)</f>
        <v/>
      </c>
      <c r="C2949" s="50"/>
      <c r="D2949" s="49" t="str">
        <f t="shared" si="93"/>
        <v/>
      </c>
      <c r="E2949" s="92"/>
      <c r="F2949" s="49"/>
      <c r="G2949" s="14"/>
      <c r="H2949" s="14"/>
      <c r="I2949" s="76"/>
      <c r="J2949" s="73"/>
      <c r="K2949" s="74"/>
      <c r="L2949" s="72"/>
      <c r="M2949" s="72"/>
      <c r="N2949" s="72" t="str">
        <f>IF(AND(C2949="",J2949=0,K2949=0,L2949=0,M2949=0),"",CADASTROS!$B$4+SUM($J$2:J2949)+SUM($M$2:M2949)-SUM($K$2:K2949)-SUM($L$2:L2949))</f>
        <v/>
      </c>
      <c r="O2949" s="72" t="str">
        <f>IF(A2949="","",SUMIF(RATEIOS!$A$2:$A$3142,$A2949,RATEIOS!$F$2:$F$3142))</f>
        <v/>
      </c>
      <c r="P2949" s="15" t="str">
        <f t="shared" si="94"/>
        <v/>
      </c>
      <c r="Q2949" s="49" t="str">
        <f>IF(AND(J2949=0,K2949=0,L2949=0,M2949=0),"",IF(O2949=0,"PENDENTE DE RATEIO",IF(ABS(P2949)&gt;0.005,"DIVERGÊNCIA",IF(COUNTIF(RATEIOS!$A$2:$A$3142,$A2949)-COUNTIFS(RATEIOS!$A$2:$A$3142,$A2949,RATEIOS!$D$2:$D$3142,"&lt;&gt;")&gt;0,"NÃO CLASSIFICADO","RATEIO OK"))))</f>
        <v/>
      </c>
      <c r="R2949" s="49"/>
      <c r="S2949" s="14"/>
    </row>
    <row r="2950" spans="1:19" ht="30" customHeight="1" x14ac:dyDescent="0.25">
      <c r="A2950" s="49" t="str">
        <f>IF(C2950="","","BAN-02949")</f>
        <v/>
      </c>
      <c r="B2950" s="98" t="str">
        <f>IF(C2950="","",2949)</f>
        <v/>
      </c>
      <c r="C2950" s="50"/>
      <c r="D2950" s="49" t="str">
        <f t="shared" si="93"/>
        <v/>
      </c>
      <c r="E2950" s="92"/>
      <c r="F2950" s="49"/>
      <c r="G2950" s="14"/>
      <c r="H2950" s="14"/>
      <c r="I2950" s="76"/>
      <c r="J2950" s="73"/>
      <c r="K2950" s="74"/>
      <c r="L2950" s="72"/>
      <c r="M2950" s="72"/>
      <c r="N2950" s="72" t="str">
        <f>IF(AND(C2950="",J2950=0,K2950=0,L2950=0,M2950=0),"",CADASTROS!$B$4+SUM($J$2:J2950)+SUM($M$2:M2950)-SUM($K$2:K2950)-SUM($L$2:L2950))</f>
        <v/>
      </c>
      <c r="O2950" s="72" t="str">
        <f>IF(A2950="","",SUMIF(RATEIOS!$A$2:$A$3142,$A2950,RATEIOS!$F$2:$F$3142))</f>
        <v/>
      </c>
      <c r="P2950" s="15" t="str">
        <f t="shared" si="94"/>
        <v/>
      </c>
      <c r="Q2950" s="49" t="str">
        <f>IF(AND(J2950=0,K2950=0,L2950=0,M2950=0),"",IF(O2950=0,"PENDENTE DE RATEIO",IF(ABS(P2950)&gt;0.005,"DIVERGÊNCIA",IF(COUNTIF(RATEIOS!$A$2:$A$3142,$A2950)-COUNTIFS(RATEIOS!$A$2:$A$3142,$A2950,RATEIOS!$D$2:$D$3142,"&lt;&gt;")&gt;0,"NÃO CLASSIFICADO","RATEIO OK"))))</f>
        <v/>
      </c>
      <c r="R2950" s="49"/>
      <c r="S2950" s="14"/>
    </row>
    <row r="2951" spans="1:19" ht="30" customHeight="1" x14ac:dyDescent="0.25">
      <c r="A2951" s="49" t="str">
        <f>IF(C2951="","","BAN-02950")</f>
        <v/>
      </c>
      <c r="B2951" s="98" t="str">
        <f>IF(C2951="","",2950)</f>
        <v/>
      </c>
      <c r="C2951" s="50"/>
      <c r="D2951" s="49" t="str">
        <f t="shared" si="93"/>
        <v/>
      </c>
      <c r="E2951" s="92"/>
      <c r="F2951" s="49"/>
      <c r="G2951" s="14"/>
      <c r="H2951" s="14"/>
      <c r="I2951" s="76"/>
      <c r="J2951" s="73"/>
      <c r="K2951" s="74"/>
      <c r="L2951" s="72"/>
      <c r="M2951" s="72"/>
      <c r="N2951" s="72" t="str">
        <f>IF(AND(C2951="",J2951=0,K2951=0,L2951=0,M2951=0),"",CADASTROS!$B$4+SUM($J$2:J2951)+SUM($M$2:M2951)-SUM($K$2:K2951)-SUM($L$2:L2951))</f>
        <v/>
      </c>
      <c r="O2951" s="72" t="str">
        <f>IF(A2951="","",SUMIF(RATEIOS!$A$2:$A$3142,$A2951,RATEIOS!$F$2:$F$3142))</f>
        <v/>
      </c>
      <c r="P2951" s="15" t="str">
        <f t="shared" si="94"/>
        <v/>
      </c>
      <c r="Q2951" s="49" t="str">
        <f>IF(AND(J2951=0,K2951=0,L2951=0,M2951=0),"",IF(O2951=0,"PENDENTE DE RATEIO",IF(ABS(P2951)&gt;0.005,"DIVERGÊNCIA",IF(COUNTIF(RATEIOS!$A$2:$A$3142,$A2951)-COUNTIFS(RATEIOS!$A$2:$A$3142,$A2951,RATEIOS!$D$2:$D$3142,"&lt;&gt;")&gt;0,"NÃO CLASSIFICADO","RATEIO OK"))))</f>
        <v/>
      </c>
      <c r="R2951" s="49"/>
      <c r="S2951" s="14"/>
    </row>
    <row r="2952" spans="1:19" ht="30" customHeight="1" x14ac:dyDescent="0.25">
      <c r="A2952" s="49" t="str">
        <f>IF(C2952="","","BAN-02951")</f>
        <v/>
      </c>
      <c r="B2952" s="98" t="str">
        <f>IF(C2952="","",2951)</f>
        <v/>
      </c>
      <c r="C2952" s="50"/>
      <c r="D2952" s="49" t="str">
        <f t="shared" si="93"/>
        <v/>
      </c>
      <c r="E2952" s="92"/>
      <c r="F2952" s="49"/>
      <c r="G2952" s="14"/>
      <c r="H2952" s="14"/>
      <c r="I2952" s="76"/>
      <c r="J2952" s="73"/>
      <c r="K2952" s="74"/>
      <c r="L2952" s="72"/>
      <c r="M2952" s="72"/>
      <c r="N2952" s="72" t="str">
        <f>IF(AND(C2952="",J2952=0,K2952=0,L2952=0,M2952=0),"",CADASTROS!$B$4+SUM($J$2:J2952)+SUM($M$2:M2952)-SUM($K$2:K2952)-SUM($L$2:L2952))</f>
        <v/>
      </c>
      <c r="O2952" s="72" t="str">
        <f>IF(A2952="","",SUMIF(RATEIOS!$A$2:$A$3142,$A2952,RATEIOS!$F$2:$F$3142))</f>
        <v/>
      </c>
      <c r="P2952" s="15" t="str">
        <f t="shared" si="94"/>
        <v/>
      </c>
      <c r="Q2952" s="49" t="str">
        <f>IF(AND(J2952=0,K2952=0,L2952=0,M2952=0),"",IF(O2952=0,"PENDENTE DE RATEIO",IF(ABS(P2952)&gt;0.005,"DIVERGÊNCIA",IF(COUNTIF(RATEIOS!$A$2:$A$3142,$A2952)-COUNTIFS(RATEIOS!$A$2:$A$3142,$A2952,RATEIOS!$D$2:$D$3142,"&lt;&gt;")&gt;0,"NÃO CLASSIFICADO","RATEIO OK"))))</f>
        <v/>
      </c>
      <c r="R2952" s="49"/>
      <c r="S2952" s="14"/>
    </row>
    <row r="2953" spans="1:19" ht="30" customHeight="1" x14ac:dyDescent="0.25">
      <c r="A2953" s="49" t="str">
        <f>IF(C2953="","","BAN-02952")</f>
        <v/>
      </c>
      <c r="B2953" s="98" t="str">
        <f>IF(C2953="","",2952)</f>
        <v/>
      </c>
      <c r="C2953" s="50"/>
      <c r="D2953" s="49" t="str">
        <f t="shared" si="93"/>
        <v/>
      </c>
      <c r="E2953" s="92"/>
      <c r="F2953" s="49"/>
      <c r="G2953" s="14"/>
      <c r="H2953" s="14"/>
      <c r="I2953" s="76"/>
      <c r="J2953" s="73"/>
      <c r="K2953" s="74"/>
      <c r="L2953" s="72"/>
      <c r="M2953" s="72"/>
      <c r="N2953" s="72" t="str">
        <f>IF(AND(C2953="",J2953=0,K2953=0,L2953=0,M2953=0),"",CADASTROS!$B$4+SUM($J$2:J2953)+SUM($M$2:M2953)-SUM($K$2:K2953)-SUM($L$2:L2953))</f>
        <v/>
      </c>
      <c r="O2953" s="72" t="str">
        <f>IF(A2953="","",SUMIF(RATEIOS!$A$2:$A$3142,$A2953,RATEIOS!$F$2:$F$3142))</f>
        <v/>
      </c>
      <c r="P2953" s="15" t="str">
        <f t="shared" si="94"/>
        <v/>
      </c>
      <c r="Q2953" s="49" t="str">
        <f>IF(AND(J2953=0,K2953=0,L2953=0,M2953=0),"",IF(O2953=0,"PENDENTE DE RATEIO",IF(ABS(P2953)&gt;0.005,"DIVERGÊNCIA",IF(COUNTIF(RATEIOS!$A$2:$A$3142,$A2953)-COUNTIFS(RATEIOS!$A$2:$A$3142,$A2953,RATEIOS!$D$2:$D$3142,"&lt;&gt;")&gt;0,"NÃO CLASSIFICADO","RATEIO OK"))))</f>
        <v/>
      </c>
      <c r="R2953" s="49"/>
      <c r="S2953" s="14"/>
    </row>
    <row r="2954" spans="1:19" ht="30" customHeight="1" x14ac:dyDescent="0.25">
      <c r="A2954" s="49" t="str">
        <f>IF(C2954="","","BAN-02953")</f>
        <v/>
      </c>
      <c r="B2954" s="98" t="str">
        <f>IF(C2954="","",2953)</f>
        <v/>
      </c>
      <c r="C2954" s="50"/>
      <c r="D2954" s="49" t="str">
        <f t="shared" si="93"/>
        <v/>
      </c>
      <c r="E2954" s="92"/>
      <c r="F2954" s="49"/>
      <c r="G2954" s="14"/>
      <c r="H2954" s="14"/>
      <c r="I2954" s="76"/>
      <c r="J2954" s="73"/>
      <c r="K2954" s="74"/>
      <c r="L2954" s="72"/>
      <c r="M2954" s="72"/>
      <c r="N2954" s="72" t="str">
        <f>IF(AND(C2954="",J2954=0,K2954=0,L2954=0,M2954=0),"",CADASTROS!$B$4+SUM($J$2:J2954)+SUM($M$2:M2954)-SUM($K$2:K2954)-SUM($L$2:L2954))</f>
        <v/>
      </c>
      <c r="O2954" s="72" t="str">
        <f>IF(A2954="","",SUMIF(RATEIOS!$A$2:$A$3142,$A2954,RATEIOS!$F$2:$F$3142))</f>
        <v/>
      </c>
      <c r="P2954" s="15" t="str">
        <f t="shared" si="94"/>
        <v/>
      </c>
      <c r="Q2954" s="49" t="str">
        <f>IF(AND(J2954=0,K2954=0,L2954=0,M2954=0),"",IF(O2954=0,"PENDENTE DE RATEIO",IF(ABS(P2954)&gt;0.005,"DIVERGÊNCIA",IF(COUNTIF(RATEIOS!$A$2:$A$3142,$A2954)-COUNTIFS(RATEIOS!$A$2:$A$3142,$A2954,RATEIOS!$D$2:$D$3142,"&lt;&gt;")&gt;0,"NÃO CLASSIFICADO","RATEIO OK"))))</f>
        <v/>
      </c>
      <c r="R2954" s="49"/>
      <c r="S2954" s="14"/>
    </row>
    <row r="2955" spans="1:19" ht="30" customHeight="1" x14ac:dyDescent="0.25">
      <c r="A2955" s="49" t="str">
        <f>IF(C2955="","","BAN-02954")</f>
        <v/>
      </c>
      <c r="B2955" s="98" t="str">
        <f>IF(C2955="","",2954)</f>
        <v/>
      </c>
      <c r="C2955" s="50"/>
      <c r="D2955" s="49" t="str">
        <f t="shared" si="93"/>
        <v/>
      </c>
      <c r="E2955" s="92"/>
      <c r="F2955" s="49"/>
      <c r="G2955" s="14"/>
      <c r="H2955" s="14"/>
      <c r="I2955" s="76"/>
      <c r="J2955" s="73"/>
      <c r="K2955" s="74"/>
      <c r="L2955" s="72"/>
      <c r="M2955" s="72"/>
      <c r="N2955" s="72" t="str">
        <f>IF(AND(C2955="",J2955=0,K2955=0,L2955=0,M2955=0),"",CADASTROS!$B$4+SUM($J$2:J2955)+SUM($M$2:M2955)-SUM($K$2:K2955)-SUM($L$2:L2955))</f>
        <v/>
      </c>
      <c r="O2955" s="72" t="str">
        <f>IF(A2955="","",SUMIF(RATEIOS!$A$2:$A$3142,$A2955,RATEIOS!$F$2:$F$3142))</f>
        <v/>
      </c>
      <c r="P2955" s="15" t="str">
        <f t="shared" si="94"/>
        <v/>
      </c>
      <c r="Q2955" s="49" t="str">
        <f>IF(AND(J2955=0,K2955=0,L2955=0,M2955=0),"",IF(O2955=0,"PENDENTE DE RATEIO",IF(ABS(P2955)&gt;0.005,"DIVERGÊNCIA",IF(COUNTIF(RATEIOS!$A$2:$A$3142,$A2955)-COUNTIFS(RATEIOS!$A$2:$A$3142,$A2955,RATEIOS!$D$2:$D$3142,"&lt;&gt;")&gt;0,"NÃO CLASSIFICADO","RATEIO OK"))))</f>
        <v/>
      </c>
      <c r="R2955" s="49"/>
      <c r="S2955" s="14"/>
    </row>
    <row r="2956" spans="1:19" ht="30" customHeight="1" x14ac:dyDescent="0.25">
      <c r="A2956" s="49" t="str">
        <f>IF(C2956="","","BAN-02955")</f>
        <v/>
      </c>
      <c r="B2956" s="98" t="str">
        <f>IF(C2956="","",2955)</f>
        <v/>
      </c>
      <c r="C2956" s="50"/>
      <c r="D2956" s="49" t="str">
        <f t="shared" si="93"/>
        <v/>
      </c>
      <c r="E2956" s="92"/>
      <c r="F2956" s="49"/>
      <c r="G2956" s="14"/>
      <c r="H2956" s="14"/>
      <c r="I2956" s="76"/>
      <c r="J2956" s="73"/>
      <c r="K2956" s="74"/>
      <c r="L2956" s="72"/>
      <c r="M2956" s="72"/>
      <c r="N2956" s="72" t="str">
        <f>IF(AND(C2956="",J2956=0,K2956=0,L2956=0,M2956=0),"",CADASTROS!$B$4+SUM($J$2:J2956)+SUM($M$2:M2956)-SUM($K$2:K2956)-SUM($L$2:L2956))</f>
        <v/>
      </c>
      <c r="O2956" s="72" t="str">
        <f>IF(A2956="","",SUMIF(RATEIOS!$A$2:$A$3142,$A2956,RATEIOS!$F$2:$F$3142))</f>
        <v/>
      </c>
      <c r="P2956" s="15" t="str">
        <f t="shared" si="94"/>
        <v/>
      </c>
      <c r="Q2956" s="49" t="str">
        <f>IF(AND(J2956=0,K2956=0,L2956=0,M2956=0),"",IF(O2956=0,"PENDENTE DE RATEIO",IF(ABS(P2956)&gt;0.005,"DIVERGÊNCIA",IF(COUNTIF(RATEIOS!$A$2:$A$3142,$A2956)-COUNTIFS(RATEIOS!$A$2:$A$3142,$A2956,RATEIOS!$D$2:$D$3142,"&lt;&gt;")&gt;0,"NÃO CLASSIFICADO","RATEIO OK"))))</f>
        <v/>
      </c>
      <c r="R2956" s="49"/>
      <c r="S2956" s="14"/>
    </row>
    <row r="2957" spans="1:19" ht="30" customHeight="1" x14ac:dyDescent="0.25">
      <c r="A2957" s="49" t="str">
        <f>IF(C2957="","","BAN-02956")</f>
        <v/>
      </c>
      <c r="B2957" s="98" t="str">
        <f>IF(C2957="","",2956)</f>
        <v/>
      </c>
      <c r="C2957" s="50"/>
      <c r="D2957" s="49" t="str">
        <f t="shared" si="93"/>
        <v/>
      </c>
      <c r="E2957" s="92"/>
      <c r="F2957" s="49"/>
      <c r="G2957" s="14"/>
      <c r="H2957" s="14"/>
      <c r="I2957" s="76"/>
      <c r="J2957" s="73"/>
      <c r="K2957" s="74"/>
      <c r="L2957" s="72"/>
      <c r="M2957" s="72"/>
      <c r="N2957" s="72" t="str">
        <f>IF(AND(C2957="",J2957=0,K2957=0,L2957=0,M2957=0),"",CADASTROS!$B$4+SUM($J$2:J2957)+SUM($M$2:M2957)-SUM($K$2:K2957)-SUM($L$2:L2957))</f>
        <v/>
      </c>
      <c r="O2957" s="72" t="str">
        <f>IF(A2957="","",SUMIF(RATEIOS!$A$2:$A$3142,$A2957,RATEIOS!$F$2:$F$3142))</f>
        <v/>
      </c>
      <c r="P2957" s="15" t="str">
        <f t="shared" si="94"/>
        <v/>
      </c>
      <c r="Q2957" s="49" t="str">
        <f>IF(AND(J2957=0,K2957=0,L2957=0,M2957=0),"",IF(O2957=0,"PENDENTE DE RATEIO",IF(ABS(P2957)&gt;0.005,"DIVERGÊNCIA",IF(COUNTIF(RATEIOS!$A$2:$A$3142,$A2957)-COUNTIFS(RATEIOS!$A$2:$A$3142,$A2957,RATEIOS!$D$2:$D$3142,"&lt;&gt;")&gt;0,"NÃO CLASSIFICADO","RATEIO OK"))))</f>
        <v/>
      </c>
      <c r="R2957" s="49"/>
      <c r="S2957" s="14"/>
    </row>
    <row r="2958" spans="1:19" ht="30" customHeight="1" x14ac:dyDescent="0.25">
      <c r="A2958" s="49" t="str">
        <f>IF(C2958="","","BAN-02957")</f>
        <v/>
      </c>
      <c r="B2958" s="98" t="str">
        <f>IF(C2958="","",2957)</f>
        <v/>
      </c>
      <c r="C2958" s="50"/>
      <c r="D2958" s="49" t="str">
        <f t="shared" si="93"/>
        <v/>
      </c>
      <c r="E2958" s="92"/>
      <c r="F2958" s="49"/>
      <c r="G2958" s="14"/>
      <c r="H2958" s="14"/>
      <c r="I2958" s="76"/>
      <c r="J2958" s="73"/>
      <c r="K2958" s="74"/>
      <c r="L2958" s="72"/>
      <c r="M2958" s="72"/>
      <c r="N2958" s="72" t="str">
        <f>IF(AND(C2958="",J2958=0,K2958=0,L2958=0,M2958=0),"",CADASTROS!$B$4+SUM($J$2:J2958)+SUM($M$2:M2958)-SUM($K$2:K2958)-SUM($L$2:L2958))</f>
        <v/>
      </c>
      <c r="O2958" s="72" t="str">
        <f>IF(A2958="","",SUMIF(RATEIOS!$A$2:$A$3142,$A2958,RATEIOS!$F$2:$F$3142))</f>
        <v/>
      </c>
      <c r="P2958" s="15" t="str">
        <f t="shared" si="94"/>
        <v/>
      </c>
      <c r="Q2958" s="49" t="str">
        <f>IF(AND(J2958=0,K2958=0,L2958=0,M2958=0),"",IF(O2958=0,"PENDENTE DE RATEIO",IF(ABS(P2958)&gt;0.005,"DIVERGÊNCIA",IF(COUNTIF(RATEIOS!$A$2:$A$3142,$A2958)-COUNTIFS(RATEIOS!$A$2:$A$3142,$A2958,RATEIOS!$D$2:$D$3142,"&lt;&gt;")&gt;0,"NÃO CLASSIFICADO","RATEIO OK"))))</f>
        <v/>
      </c>
      <c r="R2958" s="49"/>
      <c r="S2958" s="14"/>
    </row>
    <row r="2959" spans="1:19" ht="30" customHeight="1" x14ac:dyDescent="0.25">
      <c r="A2959" s="49" t="str">
        <f>IF(C2959="","","BAN-02958")</f>
        <v/>
      </c>
      <c r="B2959" s="98" t="str">
        <f>IF(C2959="","",2958)</f>
        <v/>
      </c>
      <c r="C2959" s="50"/>
      <c r="D2959" s="49" t="str">
        <f t="shared" si="93"/>
        <v/>
      </c>
      <c r="E2959" s="92"/>
      <c r="F2959" s="49"/>
      <c r="G2959" s="14"/>
      <c r="H2959" s="14"/>
      <c r="I2959" s="76"/>
      <c r="J2959" s="73"/>
      <c r="K2959" s="74"/>
      <c r="L2959" s="72"/>
      <c r="M2959" s="72"/>
      <c r="N2959" s="72" t="str">
        <f>IF(AND(C2959="",J2959=0,K2959=0,L2959=0,M2959=0),"",CADASTROS!$B$4+SUM($J$2:J2959)+SUM($M$2:M2959)-SUM($K$2:K2959)-SUM($L$2:L2959))</f>
        <v/>
      </c>
      <c r="O2959" s="72" t="str">
        <f>IF(A2959="","",SUMIF(RATEIOS!$A$2:$A$3142,$A2959,RATEIOS!$F$2:$F$3142))</f>
        <v/>
      </c>
      <c r="P2959" s="15" t="str">
        <f t="shared" si="94"/>
        <v/>
      </c>
      <c r="Q2959" s="49" t="str">
        <f>IF(AND(J2959=0,K2959=0,L2959=0,M2959=0),"",IF(O2959=0,"PENDENTE DE RATEIO",IF(ABS(P2959)&gt;0.005,"DIVERGÊNCIA",IF(COUNTIF(RATEIOS!$A$2:$A$3142,$A2959)-COUNTIFS(RATEIOS!$A$2:$A$3142,$A2959,RATEIOS!$D$2:$D$3142,"&lt;&gt;")&gt;0,"NÃO CLASSIFICADO","RATEIO OK"))))</f>
        <v/>
      </c>
      <c r="R2959" s="49"/>
      <c r="S2959" s="14"/>
    </row>
    <row r="2960" spans="1:19" ht="30" customHeight="1" x14ac:dyDescent="0.25">
      <c r="A2960" s="49" t="str">
        <f>IF(C2960="","","BAN-02959")</f>
        <v/>
      </c>
      <c r="B2960" s="98" t="str">
        <f>IF(C2960="","",2959)</f>
        <v/>
      </c>
      <c r="C2960" s="50"/>
      <c r="D2960" s="49" t="str">
        <f t="shared" si="93"/>
        <v/>
      </c>
      <c r="E2960" s="92"/>
      <c r="F2960" s="49"/>
      <c r="G2960" s="14"/>
      <c r="H2960" s="14"/>
      <c r="I2960" s="76"/>
      <c r="J2960" s="73"/>
      <c r="K2960" s="74"/>
      <c r="L2960" s="72"/>
      <c r="M2960" s="72"/>
      <c r="N2960" s="72" t="str">
        <f>IF(AND(C2960="",J2960=0,K2960=0,L2960=0,M2960=0),"",CADASTROS!$B$4+SUM($J$2:J2960)+SUM($M$2:M2960)-SUM($K$2:K2960)-SUM($L$2:L2960))</f>
        <v/>
      </c>
      <c r="O2960" s="72" t="str">
        <f>IF(A2960="","",SUMIF(RATEIOS!$A$2:$A$3142,$A2960,RATEIOS!$F$2:$F$3142))</f>
        <v/>
      </c>
      <c r="P2960" s="15" t="str">
        <f t="shared" si="94"/>
        <v/>
      </c>
      <c r="Q2960" s="49" t="str">
        <f>IF(AND(J2960=0,K2960=0,L2960=0,M2960=0),"",IF(O2960=0,"PENDENTE DE RATEIO",IF(ABS(P2960)&gt;0.005,"DIVERGÊNCIA",IF(COUNTIF(RATEIOS!$A$2:$A$3142,$A2960)-COUNTIFS(RATEIOS!$A$2:$A$3142,$A2960,RATEIOS!$D$2:$D$3142,"&lt;&gt;")&gt;0,"NÃO CLASSIFICADO","RATEIO OK"))))</f>
        <v/>
      </c>
      <c r="R2960" s="49"/>
      <c r="S2960" s="14"/>
    </row>
    <row r="2961" spans="1:19" ht="30" customHeight="1" x14ac:dyDescent="0.25">
      <c r="A2961" s="49" t="str">
        <f>IF(C2961="","","BAN-02960")</f>
        <v/>
      </c>
      <c r="B2961" s="98" t="str">
        <f>IF(C2961="","",2960)</f>
        <v/>
      </c>
      <c r="C2961" s="50"/>
      <c r="D2961" s="49" t="str">
        <f t="shared" si="93"/>
        <v/>
      </c>
      <c r="E2961" s="92"/>
      <c r="F2961" s="49"/>
      <c r="G2961" s="14"/>
      <c r="H2961" s="14"/>
      <c r="I2961" s="76"/>
      <c r="J2961" s="73"/>
      <c r="K2961" s="74"/>
      <c r="L2961" s="72"/>
      <c r="M2961" s="72"/>
      <c r="N2961" s="72" t="str">
        <f>IF(AND(C2961="",J2961=0,K2961=0,L2961=0,M2961=0),"",CADASTROS!$B$4+SUM($J$2:J2961)+SUM($M$2:M2961)-SUM($K$2:K2961)-SUM($L$2:L2961))</f>
        <v/>
      </c>
      <c r="O2961" s="72" t="str">
        <f>IF(A2961="","",SUMIF(RATEIOS!$A$2:$A$3142,$A2961,RATEIOS!$F$2:$F$3142))</f>
        <v/>
      </c>
      <c r="P2961" s="15" t="str">
        <f t="shared" si="94"/>
        <v/>
      </c>
      <c r="Q2961" s="49" t="str">
        <f>IF(AND(J2961=0,K2961=0,L2961=0,M2961=0),"",IF(O2961=0,"PENDENTE DE RATEIO",IF(ABS(P2961)&gt;0.005,"DIVERGÊNCIA",IF(COUNTIF(RATEIOS!$A$2:$A$3142,$A2961)-COUNTIFS(RATEIOS!$A$2:$A$3142,$A2961,RATEIOS!$D$2:$D$3142,"&lt;&gt;")&gt;0,"NÃO CLASSIFICADO","RATEIO OK"))))</f>
        <v/>
      </c>
      <c r="R2961" s="49"/>
      <c r="S2961" s="14"/>
    </row>
    <row r="2962" spans="1:19" ht="30" customHeight="1" x14ac:dyDescent="0.25">
      <c r="A2962" s="49" t="str">
        <f>IF(C2962="","","BAN-02961")</f>
        <v/>
      </c>
      <c r="B2962" s="98" t="str">
        <f>IF(C2962="","",2961)</f>
        <v/>
      </c>
      <c r="C2962" s="50"/>
      <c r="D2962" s="49" t="str">
        <f t="shared" si="93"/>
        <v/>
      </c>
      <c r="E2962" s="92"/>
      <c r="F2962" s="49"/>
      <c r="G2962" s="14"/>
      <c r="H2962" s="14"/>
      <c r="I2962" s="76"/>
      <c r="J2962" s="73"/>
      <c r="K2962" s="74"/>
      <c r="L2962" s="72"/>
      <c r="M2962" s="72"/>
      <c r="N2962" s="72" t="str">
        <f>IF(AND(C2962="",J2962=0,K2962=0,L2962=0,M2962=0),"",CADASTROS!$B$4+SUM($J$2:J2962)+SUM($M$2:M2962)-SUM($K$2:K2962)-SUM($L$2:L2962))</f>
        <v/>
      </c>
      <c r="O2962" s="72" t="str">
        <f>IF(A2962="","",SUMIF(RATEIOS!$A$2:$A$3142,$A2962,RATEIOS!$F$2:$F$3142))</f>
        <v/>
      </c>
      <c r="P2962" s="15" t="str">
        <f t="shared" si="94"/>
        <v/>
      </c>
      <c r="Q2962" s="49" t="str">
        <f>IF(AND(J2962=0,K2962=0,L2962=0,M2962=0),"",IF(O2962=0,"PENDENTE DE RATEIO",IF(ABS(P2962)&gt;0.005,"DIVERGÊNCIA",IF(COUNTIF(RATEIOS!$A$2:$A$3142,$A2962)-COUNTIFS(RATEIOS!$A$2:$A$3142,$A2962,RATEIOS!$D$2:$D$3142,"&lt;&gt;")&gt;0,"NÃO CLASSIFICADO","RATEIO OK"))))</f>
        <v/>
      </c>
      <c r="R2962" s="49"/>
      <c r="S2962" s="14"/>
    </row>
    <row r="2963" spans="1:19" ht="30" customHeight="1" x14ac:dyDescent="0.25">
      <c r="A2963" s="49" t="str">
        <f>IF(C2963="","","BAN-02962")</f>
        <v/>
      </c>
      <c r="B2963" s="98" t="str">
        <f>IF(C2963="","",2962)</f>
        <v/>
      </c>
      <c r="C2963" s="50"/>
      <c r="D2963" s="49" t="str">
        <f t="shared" si="93"/>
        <v/>
      </c>
      <c r="E2963" s="92"/>
      <c r="F2963" s="49"/>
      <c r="G2963" s="14"/>
      <c r="H2963" s="14"/>
      <c r="I2963" s="76"/>
      <c r="J2963" s="73"/>
      <c r="K2963" s="74"/>
      <c r="L2963" s="72"/>
      <c r="M2963" s="72"/>
      <c r="N2963" s="72" t="str">
        <f>IF(AND(C2963="",J2963=0,K2963=0,L2963=0,M2963=0),"",CADASTROS!$B$4+SUM($J$2:J2963)+SUM($M$2:M2963)-SUM($K$2:K2963)-SUM($L$2:L2963))</f>
        <v/>
      </c>
      <c r="O2963" s="72" t="str">
        <f>IF(A2963="","",SUMIF(RATEIOS!$A$2:$A$3142,$A2963,RATEIOS!$F$2:$F$3142))</f>
        <v/>
      </c>
      <c r="P2963" s="15" t="str">
        <f t="shared" si="94"/>
        <v/>
      </c>
      <c r="Q2963" s="49" t="str">
        <f>IF(AND(J2963=0,K2963=0,L2963=0,M2963=0),"",IF(O2963=0,"PENDENTE DE RATEIO",IF(ABS(P2963)&gt;0.005,"DIVERGÊNCIA",IF(COUNTIF(RATEIOS!$A$2:$A$3142,$A2963)-COUNTIFS(RATEIOS!$A$2:$A$3142,$A2963,RATEIOS!$D$2:$D$3142,"&lt;&gt;")&gt;0,"NÃO CLASSIFICADO","RATEIO OK"))))</f>
        <v/>
      </c>
      <c r="R2963" s="49"/>
      <c r="S2963" s="14"/>
    </row>
    <row r="2964" spans="1:19" ht="30" customHeight="1" x14ac:dyDescent="0.25">
      <c r="A2964" s="49" t="str">
        <f>IF(C2964="","","BAN-02963")</f>
        <v/>
      </c>
      <c r="B2964" s="98" t="str">
        <f>IF(C2964="","",2963)</f>
        <v/>
      </c>
      <c r="C2964" s="50"/>
      <c r="D2964" s="49" t="str">
        <f t="shared" si="93"/>
        <v/>
      </c>
      <c r="E2964" s="92"/>
      <c r="F2964" s="49"/>
      <c r="G2964" s="14"/>
      <c r="H2964" s="14"/>
      <c r="I2964" s="76"/>
      <c r="J2964" s="73"/>
      <c r="K2964" s="74"/>
      <c r="L2964" s="72"/>
      <c r="M2964" s="72"/>
      <c r="N2964" s="72" t="str">
        <f>IF(AND(C2964="",J2964=0,K2964=0,L2964=0,M2964=0),"",CADASTROS!$B$4+SUM($J$2:J2964)+SUM($M$2:M2964)-SUM($K$2:K2964)-SUM($L$2:L2964))</f>
        <v/>
      </c>
      <c r="O2964" s="72" t="str">
        <f>IF(A2964="","",SUMIF(RATEIOS!$A$2:$A$3142,$A2964,RATEIOS!$F$2:$F$3142))</f>
        <v/>
      </c>
      <c r="P2964" s="15" t="str">
        <f t="shared" si="94"/>
        <v/>
      </c>
      <c r="Q2964" s="49" t="str">
        <f>IF(AND(J2964=0,K2964=0,L2964=0,M2964=0),"",IF(O2964=0,"PENDENTE DE RATEIO",IF(ABS(P2964)&gt;0.005,"DIVERGÊNCIA",IF(COUNTIF(RATEIOS!$A$2:$A$3142,$A2964)-COUNTIFS(RATEIOS!$A$2:$A$3142,$A2964,RATEIOS!$D$2:$D$3142,"&lt;&gt;")&gt;0,"NÃO CLASSIFICADO","RATEIO OK"))))</f>
        <v/>
      </c>
      <c r="R2964" s="49"/>
      <c r="S2964" s="14"/>
    </row>
    <row r="2965" spans="1:19" ht="30" customHeight="1" x14ac:dyDescent="0.25">
      <c r="A2965" s="49" t="str">
        <f>IF(C2965="","","BAN-02964")</f>
        <v/>
      </c>
      <c r="B2965" s="98" t="str">
        <f>IF(C2965="","",2964)</f>
        <v/>
      </c>
      <c r="C2965" s="50"/>
      <c r="D2965" s="49" t="str">
        <f t="shared" si="93"/>
        <v/>
      </c>
      <c r="E2965" s="92"/>
      <c r="F2965" s="49"/>
      <c r="G2965" s="14"/>
      <c r="H2965" s="14"/>
      <c r="I2965" s="76"/>
      <c r="J2965" s="73"/>
      <c r="K2965" s="74"/>
      <c r="L2965" s="72"/>
      <c r="M2965" s="72"/>
      <c r="N2965" s="72" t="str">
        <f>IF(AND(C2965="",J2965=0,K2965=0,L2965=0,M2965=0),"",CADASTROS!$B$4+SUM($J$2:J2965)+SUM($M$2:M2965)-SUM($K$2:K2965)-SUM($L$2:L2965))</f>
        <v/>
      </c>
      <c r="O2965" s="72" t="str">
        <f>IF(A2965="","",SUMIF(RATEIOS!$A$2:$A$3142,$A2965,RATEIOS!$F$2:$F$3142))</f>
        <v/>
      </c>
      <c r="P2965" s="15" t="str">
        <f t="shared" si="94"/>
        <v/>
      </c>
      <c r="Q2965" s="49" t="str">
        <f>IF(AND(J2965=0,K2965=0,L2965=0,M2965=0),"",IF(O2965=0,"PENDENTE DE RATEIO",IF(ABS(P2965)&gt;0.005,"DIVERGÊNCIA",IF(COUNTIF(RATEIOS!$A$2:$A$3142,$A2965)-COUNTIFS(RATEIOS!$A$2:$A$3142,$A2965,RATEIOS!$D$2:$D$3142,"&lt;&gt;")&gt;0,"NÃO CLASSIFICADO","RATEIO OK"))))</f>
        <v/>
      </c>
      <c r="R2965" s="49"/>
      <c r="S2965" s="14"/>
    </row>
    <row r="2966" spans="1:19" ht="30" customHeight="1" x14ac:dyDescent="0.25">
      <c r="A2966" s="49" t="str">
        <f>IF(C2966="","","BAN-02965")</f>
        <v/>
      </c>
      <c r="B2966" s="98" t="str">
        <f>IF(C2966="","",2965)</f>
        <v/>
      </c>
      <c r="C2966" s="50"/>
      <c r="D2966" s="49" t="str">
        <f t="shared" si="93"/>
        <v/>
      </c>
      <c r="E2966" s="92"/>
      <c r="F2966" s="49"/>
      <c r="G2966" s="14"/>
      <c r="H2966" s="14"/>
      <c r="I2966" s="76"/>
      <c r="J2966" s="73"/>
      <c r="K2966" s="74"/>
      <c r="L2966" s="72"/>
      <c r="M2966" s="72"/>
      <c r="N2966" s="72" t="str">
        <f>IF(AND(C2966="",J2966=0,K2966=0,L2966=0,M2966=0),"",CADASTROS!$B$4+SUM($J$2:J2966)+SUM($M$2:M2966)-SUM($K$2:K2966)-SUM($L$2:L2966))</f>
        <v/>
      </c>
      <c r="O2966" s="72" t="str">
        <f>IF(A2966="","",SUMIF(RATEIOS!$A$2:$A$3142,$A2966,RATEIOS!$F$2:$F$3142))</f>
        <v/>
      </c>
      <c r="P2966" s="15" t="str">
        <f t="shared" si="94"/>
        <v/>
      </c>
      <c r="Q2966" s="49" t="str">
        <f>IF(AND(J2966=0,K2966=0,L2966=0,M2966=0),"",IF(O2966=0,"PENDENTE DE RATEIO",IF(ABS(P2966)&gt;0.005,"DIVERGÊNCIA",IF(COUNTIF(RATEIOS!$A$2:$A$3142,$A2966)-COUNTIFS(RATEIOS!$A$2:$A$3142,$A2966,RATEIOS!$D$2:$D$3142,"&lt;&gt;")&gt;0,"NÃO CLASSIFICADO","RATEIO OK"))))</f>
        <v/>
      </c>
      <c r="R2966" s="49"/>
      <c r="S2966" s="14"/>
    </row>
    <row r="2967" spans="1:19" ht="30" customHeight="1" x14ac:dyDescent="0.25">
      <c r="A2967" s="49" t="str">
        <f>IF(C2967="","","BAN-02966")</f>
        <v/>
      </c>
      <c r="B2967" s="98" t="str">
        <f>IF(C2967="","",2966)</f>
        <v/>
      </c>
      <c r="C2967" s="50"/>
      <c r="D2967" s="49" t="str">
        <f t="shared" si="93"/>
        <v/>
      </c>
      <c r="E2967" s="92"/>
      <c r="F2967" s="49"/>
      <c r="G2967" s="14"/>
      <c r="H2967" s="14"/>
      <c r="I2967" s="76"/>
      <c r="J2967" s="73"/>
      <c r="K2967" s="74"/>
      <c r="L2967" s="72"/>
      <c r="M2967" s="72"/>
      <c r="N2967" s="72" t="str">
        <f>IF(AND(C2967="",J2967=0,K2967=0,L2967=0,M2967=0),"",CADASTROS!$B$4+SUM($J$2:J2967)+SUM($M$2:M2967)-SUM($K$2:K2967)-SUM($L$2:L2967))</f>
        <v/>
      </c>
      <c r="O2967" s="72" t="str">
        <f>IF(A2967="","",SUMIF(RATEIOS!$A$2:$A$3142,$A2967,RATEIOS!$F$2:$F$3142))</f>
        <v/>
      </c>
      <c r="P2967" s="15" t="str">
        <f t="shared" si="94"/>
        <v/>
      </c>
      <c r="Q2967" s="49" t="str">
        <f>IF(AND(J2967=0,K2967=0,L2967=0,M2967=0),"",IF(O2967=0,"PENDENTE DE RATEIO",IF(ABS(P2967)&gt;0.005,"DIVERGÊNCIA",IF(COUNTIF(RATEIOS!$A$2:$A$3142,$A2967)-COUNTIFS(RATEIOS!$A$2:$A$3142,$A2967,RATEIOS!$D$2:$D$3142,"&lt;&gt;")&gt;0,"NÃO CLASSIFICADO","RATEIO OK"))))</f>
        <v/>
      </c>
      <c r="R2967" s="49"/>
      <c r="S2967" s="14"/>
    </row>
    <row r="2968" spans="1:19" ht="30" customHeight="1" x14ac:dyDescent="0.25">
      <c r="A2968" s="49" t="str">
        <f>IF(C2968="","","BAN-02967")</f>
        <v/>
      </c>
      <c r="B2968" s="98" t="str">
        <f>IF(C2968="","",2967)</f>
        <v/>
      </c>
      <c r="C2968" s="50"/>
      <c r="D2968" s="49" t="str">
        <f t="shared" si="93"/>
        <v/>
      </c>
      <c r="E2968" s="92"/>
      <c r="F2968" s="49"/>
      <c r="G2968" s="14"/>
      <c r="H2968" s="14"/>
      <c r="I2968" s="76"/>
      <c r="J2968" s="73"/>
      <c r="K2968" s="74"/>
      <c r="L2968" s="72"/>
      <c r="M2968" s="72"/>
      <c r="N2968" s="72" t="str">
        <f>IF(AND(C2968="",J2968=0,K2968=0,L2968=0,M2968=0),"",CADASTROS!$B$4+SUM($J$2:J2968)+SUM($M$2:M2968)-SUM($K$2:K2968)-SUM($L$2:L2968))</f>
        <v/>
      </c>
      <c r="O2968" s="72" t="str">
        <f>IF(A2968="","",SUMIF(RATEIOS!$A$2:$A$3142,$A2968,RATEIOS!$F$2:$F$3142))</f>
        <v/>
      </c>
      <c r="P2968" s="15" t="str">
        <f t="shared" si="94"/>
        <v/>
      </c>
      <c r="Q2968" s="49" t="str">
        <f>IF(AND(J2968=0,K2968=0,L2968=0,M2968=0),"",IF(O2968=0,"PENDENTE DE RATEIO",IF(ABS(P2968)&gt;0.005,"DIVERGÊNCIA",IF(COUNTIF(RATEIOS!$A$2:$A$3142,$A2968)-COUNTIFS(RATEIOS!$A$2:$A$3142,$A2968,RATEIOS!$D$2:$D$3142,"&lt;&gt;")&gt;0,"NÃO CLASSIFICADO","RATEIO OK"))))</f>
        <v/>
      </c>
      <c r="R2968" s="49"/>
      <c r="S2968" s="14"/>
    </row>
    <row r="2969" spans="1:19" ht="30" customHeight="1" x14ac:dyDescent="0.25">
      <c r="A2969" s="49" t="str">
        <f>IF(C2969="","","BAN-02968")</f>
        <v/>
      </c>
      <c r="B2969" s="98" t="str">
        <f>IF(C2969="","",2968)</f>
        <v/>
      </c>
      <c r="C2969" s="50"/>
      <c r="D2969" s="49" t="str">
        <f t="shared" si="93"/>
        <v/>
      </c>
      <c r="E2969" s="92"/>
      <c r="F2969" s="49"/>
      <c r="G2969" s="14"/>
      <c r="H2969" s="14"/>
      <c r="I2969" s="76"/>
      <c r="J2969" s="73"/>
      <c r="K2969" s="74"/>
      <c r="L2969" s="72"/>
      <c r="M2969" s="72"/>
      <c r="N2969" s="72" t="str">
        <f>IF(AND(C2969="",J2969=0,K2969=0,L2969=0,M2969=0),"",CADASTROS!$B$4+SUM($J$2:J2969)+SUM($M$2:M2969)-SUM($K$2:K2969)-SUM($L$2:L2969))</f>
        <v/>
      </c>
      <c r="O2969" s="72" t="str">
        <f>IF(A2969="","",SUMIF(RATEIOS!$A$2:$A$3142,$A2969,RATEIOS!$F$2:$F$3142))</f>
        <v/>
      </c>
      <c r="P2969" s="15" t="str">
        <f t="shared" si="94"/>
        <v/>
      </c>
      <c r="Q2969" s="49" t="str">
        <f>IF(AND(J2969=0,K2969=0,L2969=0,M2969=0),"",IF(O2969=0,"PENDENTE DE RATEIO",IF(ABS(P2969)&gt;0.005,"DIVERGÊNCIA",IF(COUNTIF(RATEIOS!$A$2:$A$3142,$A2969)-COUNTIFS(RATEIOS!$A$2:$A$3142,$A2969,RATEIOS!$D$2:$D$3142,"&lt;&gt;")&gt;0,"NÃO CLASSIFICADO","RATEIO OK"))))</f>
        <v/>
      </c>
      <c r="R2969" s="49"/>
      <c r="S2969" s="14"/>
    </row>
    <row r="2970" spans="1:19" ht="30" customHeight="1" x14ac:dyDescent="0.25">
      <c r="A2970" s="49" t="str">
        <f>IF(C2970="","","BAN-02969")</f>
        <v/>
      </c>
      <c r="B2970" s="98" t="str">
        <f>IF(C2970="","",2969)</f>
        <v/>
      </c>
      <c r="C2970" s="50"/>
      <c r="D2970" s="49" t="str">
        <f t="shared" si="93"/>
        <v/>
      </c>
      <c r="E2970" s="92"/>
      <c r="F2970" s="49"/>
      <c r="G2970" s="14"/>
      <c r="H2970" s="14"/>
      <c r="I2970" s="76"/>
      <c r="J2970" s="73"/>
      <c r="K2970" s="74"/>
      <c r="L2970" s="72"/>
      <c r="M2970" s="72"/>
      <c r="N2970" s="72" t="str">
        <f>IF(AND(C2970="",J2970=0,K2970=0,L2970=0,M2970=0),"",CADASTROS!$B$4+SUM($J$2:J2970)+SUM($M$2:M2970)-SUM($K$2:K2970)-SUM($L$2:L2970))</f>
        <v/>
      </c>
      <c r="O2970" s="72" t="str">
        <f>IF(A2970="","",SUMIF(RATEIOS!$A$2:$A$3142,$A2970,RATEIOS!$F$2:$F$3142))</f>
        <v/>
      </c>
      <c r="P2970" s="15" t="str">
        <f t="shared" si="94"/>
        <v/>
      </c>
      <c r="Q2970" s="49" t="str">
        <f>IF(AND(J2970=0,K2970=0,L2970=0,M2970=0),"",IF(O2970=0,"PENDENTE DE RATEIO",IF(ABS(P2970)&gt;0.005,"DIVERGÊNCIA",IF(COUNTIF(RATEIOS!$A$2:$A$3142,$A2970)-COUNTIFS(RATEIOS!$A$2:$A$3142,$A2970,RATEIOS!$D$2:$D$3142,"&lt;&gt;")&gt;0,"NÃO CLASSIFICADO","RATEIO OK"))))</f>
        <v/>
      </c>
      <c r="R2970" s="49"/>
      <c r="S2970" s="14"/>
    </row>
    <row r="2971" spans="1:19" ht="30" customHeight="1" x14ac:dyDescent="0.25">
      <c r="A2971" s="49" t="str">
        <f>IF(C2971="","","BAN-02970")</f>
        <v/>
      </c>
      <c r="B2971" s="98" t="str">
        <f>IF(C2971="","",2970)</f>
        <v/>
      </c>
      <c r="C2971" s="50"/>
      <c r="D2971" s="49" t="str">
        <f t="shared" si="93"/>
        <v/>
      </c>
      <c r="E2971" s="92"/>
      <c r="F2971" s="49"/>
      <c r="G2971" s="14"/>
      <c r="H2971" s="14"/>
      <c r="I2971" s="76"/>
      <c r="J2971" s="73"/>
      <c r="K2971" s="74"/>
      <c r="L2971" s="72"/>
      <c r="M2971" s="72"/>
      <c r="N2971" s="72" t="str">
        <f>IF(AND(C2971="",J2971=0,K2971=0,L2971=0,M2971=0),"",CADASTROS!$B$4+SUM($J$2:J2971)+SUM($M$2:M2971)-SUM($K$2:K2971)-SUM($L$2:L2971))</f>
        <v/>
      </c>
      <c r="O2971" s="72" t="str">
        <f>IF(A2971="","",SUMIF(RATEIOS!$A$2:$A$3142,$A2971,RATEIOS!$F$2:$F$3142))</f>
        <v/>
      </c>
      <c r="P2971" s="15" t="str">
        <f t="shared" si="94"/>
        <v/>
      </c>
      <c r="Q2971" s="49" t="str">
        <f>IF(AND(J2971=0,K2971=0,L2971=0,M2971=0),"",IF(O2971=0,"PENDENTE DE RATEIO",IF(ABS(P2971)&gt;0.005,"DIVERGÊNCIA",IF(COUNTIF(RATEIOS!$A$2:$A$3142,$A2971)-COUNTIFS(RATEIOS!$A$2:$A$3142,$A2971,RATEIOS!$D$2:$D$3142,"&lt;&gt;")&gt;0,"NÃO CLASSIFICADO","RATEIO OK"))))</f>
        <v/>
      </c>
      <c r="R2971" s="49"/>
      <c r="S2971" s="14"/>
    </row>
    <row r="2972" spans="1:19" ht="30" customHeight="1" x14ac:dyDescent="0.25">
      <c r="A2972" s="49" t="str">
        <f>IF(C2972="","","BAN-02971")</f>
        <v/>
      </c>
      <c r="B2972" s="98" t="str">
        <f>IF(C2972="","",2971)</f>
        <v/>
      </c>
      <c r="C2972" s="50"/>
      <c r="D2972" s="49" t="str">
        <f t="shared" si="93"/>
        <v/>
      </c>
      <c r="E2972" s="92"/>
      <c r="F2972" s="49"/>
      <c r="G2972" s="14"/>
      <c r="H2972" s="14"/>
      <c r="I2972" s="76"/>
      <c r="J2972" s="73"/>
      <c r="K2972" s="74"/>
      <c r="L2972" s="72"/>
      <c r="M2972" s="72"/>
      <c r="N2972" s="72" t="str">
        <f>IF(AND(C2972="",J2972=0,K2972=0,L2972=0,M2972=0),"",CADASTROS!$B$4+SUM($J$2:J2972)+SUM($M$2:M2972)-SUM($K$2:K2972)-SUM($L$2:L2972))</f>
        <v/>
      </c>
      <c r="O2972" s="72" t="str">
        <f>IF(A2972="","",SUMIF(RATEIOS!$A$2:$A$3142,$A2972,RATEIOS!$F$2:$F$3142))</f>
        <v/>
      </c>
      <c r="P2972" s="15" t="str">
        <f t="shared" si="94"/>
        <v/>
      </c>
      <c r="Q2972" s="49" t="str">
        <f>IF(AND(J2972=0,K2972=0,L2972=0,M2972=0),"",IF(O2972=0,"PENDENTE DE RATEIO",IF(ABS(P2972)&gt;0.005,"DIVERGÊNCIA",IF(COUNTIF(RATEIOS!$A$2:$A$3142,$A2972)-COUNTIFS(RATEIOS!$A$2:$A$3142,$A2972,RATEIOS!$D$2:$D$3142,"&lt;&gt;")&gt;0,"NÃO CLASSIFICADO","RATEIO OK"))))</f>
        <v/>
      </c>
      <c r="R2972" s="49"/>
      <c r="S2972" s="14"/>
    </row>
    <row r="2973" spans="1:19" ht="30" customHeight="1" x14ac:dyDescent="0.25">
      <c r="A2973" s="49" t="str">
        <f>IF(C2973="","","BAN-02972")</f>
        <v/>
      </c>
      <c r="B2973" s="98" t="str">
        <f>IF(C2973="","",2972)</f>
        <v/>
      </c>
      <c r="C2973" s="50"/>
      <c r="D2973" s="49" t="str">
        <f t="shared" si="93"/>
        <v/>
      </c>
      <c r="E2973" s="92"/>
      <c r="F2973" s="49"/>
      <c r="G2973" s="14"/>
      <c r="H2973" s="14"/>
      <c r="I2973" s="76"/>
      <c r="J2973" s="73"/>
      <c r="K2973" s="74"/>
      <c r="L2973" s="72"/>
      <c r="M2973" s="72"/>
      <c r="N2973" s="72" t="str">
        <f>IF(AND(C2973="",J2973=0,K2973=0,L2973=0,M2973=0),"",CADASTROS!$B$4+SUM($J$2:J2973)+SUM($M$2:M2973)-SUM($K$2:K2973)-SUM($L$2:L2973))</f>
        <v/>
      </c>
      <c r="O2973" s="72" t="str">
        <f>IF(A2973="","",SUMIF(RATEIOS!$A$2:$A$3142,$A2973,RATEIOS!$F$2:$F$3142))</f>
        <v/>
      </c>
      <c r="P2973" s="15" t="str">
        <f t="shared" si="94"/>
        <v/>
      </c>
      <c r="Q2973" s="49" t="str">
        <f>IF(AND(J2973=0,K2973=0,L2973=0,M2973=0),"",IF(O2973=0,"PENDENTE DE RATEIO",IF(ABS(P2973)&gt;0.005,"DIVERGÊNCIA",IF(COUNTIF(RATEIOS!$A$2:$A$3142,$A2973)-COUNTIFS(RATEIOS!$A$2:$A$3142,$A2973,RATEIOS!$D$2:$D$3142,"&lt;&gt;")&gt;0,"NÃO CLASSIFICADO","RATEIO OK"))))</f>
        <v/>
      </c>
      <c r="R2973" s="49"/>
      <c r="S2973" s="14"/>
    </row>
    <row r="2974" spans="1:19" ht="30" customHeight="1" x14ac:dyDescent="0.25">
      <c r="A2974" s="49" t="str">
        <f>IF(C2974="","","BAN-02973")</f>
        <v/>
      </c>
      <c r="B2974" s="98" t="str">
        <f>IF(C2974="","",2973)</f>
        <v/>
      </c>
      <c r="C2974" s="50"/>
      <c r="D2974" s="49" t="str">
        <f t="shared" si="93"/>
        <v/>
      </c>
      <c r="E2974" s="92"/>
      <c r="F2974" s="49"/>
      <c r="G2974" s="14"/>
      <c r="H2974" s="14"/>
      <c r="I2974" s="76"/>
      <c r="J2974" s="73"/>
      <c r="K2974" s="74"/>
      <c r="L2974" s="72"/>
      <c r="M2974" s="72"/>
      <c r="N2974" s="72" t="str">
        <f>IF(AND(C2974="",J2974=0,K2974=0,L2974=0,M2974=0),"",CADASTROS!$B$4+SUM($J$2:J2974)+SUM($M$2:M2974)-SUM($K$2:K2974)-SUM($L$2:L2974))</f>
        <v/>
      </c>
      <c r="O2974" s="72" t="str">
        <f>IF(A2974="","",SUMIF(RATEIOS!$A$2:$A$3142,$A2974,RATEIOS!$F$2:$F$3142))</f>
        <v/>
      </c>
      <c r="P2974" s="15" t="str">
        <f t="shared" si="94"/>
        <v/>
      </c>
      <c r="Q2974" s="49" t="str">
        <f>IF(AND(J2974=0,K2974=0,L2974=0,M2974=0),"",IF(O2974=0,"PENDENTE DE RATEIO",IF(ABS(P2974)&gt;0.005,"DIVERGÊNCIA",IF(COUNTIF(RATEIOS!$A$2:$A$3142,$A2974)-COUNTIFS(RATEIOS!$A$2:$A$3142,$A2974,RATEIOS!$D$2:$D$3142,"&lt;&gt;")&gt;0,"NÃO CLASSIFICADO","RATEIO OK"))))</f>
        <v/>
      </c>
      <c r="R2974" s="49"/>
      <c r="S2974" s="14"/>
    </row>
    <row r="2975" spans="1:19" ht="30" customHeight="1" x14ac:dyDescent="0.25">
      <c r="A2975" s="49" t="str">
        <f>IF(C2975="","","BAN-02974")</f>
        <v/>
      </c>
      <c r="B2975" s="98" t="str">
        <f>IF(C2975="","",2974)</f>
        <v/>
      </c>
      <c r="C2975" s="50"/>
      <c r="D2975" s="49" t="str">
        <f t="shared" si="93"/>
        <v/>
      </c>
      <c r="E2975" s="92"/>
      <c r="F2975" s="49"/>
      <c r="G2975" s="14"/>
      <c r="H2975" s="14"/>
      <c r="I2975" s="76"/>
      <c r="J2975" s="73"/>
      <c r="K2975" s="74"/>
      <c r="L2975" s="72"/>
      <c r="M2975" s="72"/>
      <c r="N2975" s="72" t="str">
        <f>IF(AND(C2975="",J2975=0,K2975=0,L2975=0,M2975=0),"",CADASTROS!$B$4+SUM($J$2:J2975)+SUM($M$2:M2975)-SUM($K$2:K2975)-SUM($L$2:L2975))</f>
        <v/>
      </c>
      <c r="O2975" s="72" t="str">
        <f>IF(A2975="","",SUMIF(RATEIOS!$A$2:$A$3142,$A2975,RATEIOS!$F$2:$F$3142))</f>
        <v/>
      </c>
      <c r="P2975" s="15" t="str">
        <f t="shared" si="94"/>
        <v/>
      </c>
      <c r="Q2975" s="49" t="str">
        <f>IF(AND(J2975=0,K2975=0,L2975=0,M2975=0),"",IF(O2975=0,"PENDENTE DE RATEIO",IF(ABS(P2975)&gt;0.005,"DIVERGÊNCIA",IF(COUNTIF(RATEIOS!$A$2:$A$3142,$A2975)-COUNTIFS(RATEIOS!$A$2:$A$3142,$A2975,RATEIOS!$D$2:$D$3142,"&lt;&gt;")&gt;0,"NÃO CLASSIFICADO","RATEIO OK"))))</f>
        <v/>
      </c>
      <c r="R2975" s="49"/>
      <c r="S2975" s="14"/>
    </row>
    <row r="2976" spans="1:19" ht="30" customHeight="1" x14ac:dyDescent="0.25">
      <c r="A2976" s="49" t="str">
        <f>IF(C2976="","","BAN-02975")</f>
        <v/>
      </c>
      <c r="B2976" s="98" t="str">
        <f>IF(C2976="","",2975)</f>
        <v/>
      </c>
      <c r="C2976" s="50"/>
      <c r="D2976" s="49" t="str">
        <f t="shared" si="93"/>
        <v/>
      </c>
      <c r="E2976" s="92"/>
      <c r="F2976" s="49"/>
      <c r="G2976" s="14"/>
      <c r="H2976" s="14"/>
      <c r="I2976" s="76"/>
      <c r="J2976" s="73"/>
      <c r="K2976" s="74"/>
      <c r="L2976" s="72"/>
      <c r="M2976" s="72"/>
      <c r="N2976" s="72" t="str">
        <f>IF(AND(C2976="",J2976=0,K2976=0,L2976=0,M2976=0),"",CADASTROS!$B$4+SUM($J$2:J2976)+SUM($M$2:M2976)-SUM($K$2:K2976)-SUM($L$2:L2976))</f>
        <v/>
      </c>
      <c r="O2976" s="72" t="str">
        <f>IF(A2976="","",SUMIF(RATEIOS!$A$2:$A$3142,$A2976,RATEIOS!$F$2:$F$3142))</f>
        <v/>
      </c>
      <c r="P2976" s="15" t="str">
        <f t="shared" si="94"/>
        <v/>
      </c>
      <c r="Q2976" s="49" t="str">
        <f>IF(AND(J2976=0,K2976=0,L2976=0,M2976=0),"",IF(O2976=0,"PENDENTE DE RATEIO",IF(ABS(P2976)&gt;0.005,"DIVERGÊNCIA",IF(COUNTIF(RATEIOS!$A$2:$A$3142,$A2976)-COUNTIFS(RATEIOS!$A$2:$A$3142,$A2976,RATEIOS!$D$2:$D$3142,"&lt;&gt;")&gt;0,"NÃO CLASSIFICADO","RATEIO OK"))))</f>
        <v/>
      </c>
      <c r="R2976" s="49"/>
      <c r="S2976" s="14"/>
    </row>
    <row r="2977" spans="1:19" ht="30" customHeight="1" x14ac:dyDescent="0.25">
      <c r="A2977" s="49" t="str">
        <f>IF(C2977="","","BAN-02976")</f>
        <v/>
      </c>
      <c r="B2977" s="98" t="str">
        <f>IF(C2977="","",2976)</f>
        <v/>
      </c>
      <c r="C2977" s="50"/>
      <c r="D2977" s="49" t="str">
        <f t="shared" si="93"/>
        <v/>
      </c>
      <c r="E2977" s="92"/>
      <c r="F2977" s="49"/>
      <c r="G2977" s="14"/>
      <c r="H2977" s="14"/>
      <c r="I2977" s="76"/>
      <c r="J2977" s="73"/>
      <c r="K2977" s="74"/>
      <c r="L2977" s="72"/>
      <c r="M2977" s="72"/>
      <c r="N2977" s="72" t="str">
        <f>IF(AND(C2977="",J2977=0,K2977=0,L2977=0,M2977=0),"",CADASTROS!$B$4+SUM($J$2:J2977)+SUM($M$2:M2977)-SUM($K$2:K2977)-SUM($L$2:L2977))</f>
        <v/>
      </c>
      <c r="O2977" s="72" t="str">
        <f>IF(A2977="","",SUMIF(RATEIOS!$A$2:$A$3142,$A2977,RATEIOS!$F$2:$F$3142))</f>
        <v/>
      </c>
      <c r="P2977" s="15" t="str">
        <f t="shared" si="94"/>
        <v/>
      </c>
      <c r="Q2977" s="49" t="str">
        <f>IF(AND(J2977=0,K2977=0,L2977=0,M2977=0),"",IF(O2977=0,"PENDENTE DE RATEIO",IF(ABS(P2977)&gt;0.005,"DIVERGÊNCIA",IF(COUNTIF(RATEIOS!$A$2:$A$3142,$A2977)-COUNTIFS(RATEIOS!$A$2:$A$3142,$A2977,RATEIOS!$D$2:$D$3142,"&lt;&gt;")&gt;0,"NÃO CLASSIFICADO","RATEIO OK"))))</f>
        <v/>
      </c>
      <c r="R2977" s="49"/>
      <c r="S2977" s="14"/>
    </row>
    <row r="2978" spans="1:19" ht="30" customHeight="1" x14ac:dyDescent="0.25">
      <c r="A2978" s="49" t="str">
        <f>IF(C2978="","","BAN-02977")</f>
        <v/>
      </c>
      <c r="B2978" s="98" t="str">
        <f>IF(C2978="","",2977)</f>
        <v/>
      </c>
      <c r="C2978" s="50"/>
      <c r="D2978" s="49" t="str">
        <f t="shared" si="93"/>
        <v/>
      </c>
      <c r="E2978" s="92"/>
      <c r="F2978" s="49"/>
      <c r="G2978" s="14"/>
      <c r="H2978" s="14"/>
      <c r="I2978" s="76"/>
      <c r="J2978" s="73"/>
      <c r="K2978" s="74"/>
      <c r="L2978" s="72"/>
      <c r="M2978" s="72"/>
      <c r="N2978" s="72" t="str">
        <f>IF(AND(C2978="",J2978=0,K2978=0,L2978=0,M2978=0),"",CADASTROS!$B$4+SUM($J$2:J2978)+SUM($M$2:M2978)-SUM($K$2:K2978)-SUM($L$2:L2978))</f>
        <v/>
      </c>
      <c r="O2978" s="72" t="str">
        <f>IF(A2978="","",SUMIF(RATEIOS!$A$2:$A$3142,$A2978,RATEIOS!$F$2:$F$3142))</f>
        <v/>
      </c>
      <c r="P2978" s="15" t="str">
        <f t="shared" si="94"/>
        <v/>
      </c>
      <c r="Q2978" s="49" t="str">
        <f>IF(AND(J2978=0,K2978=0,L2978=0,M2978=0),"",IF(O2978=0,"PENDENTE DE RATEIO",IF(ABS(P2978)&gt;0.005,"DIVERGÊNCIA",IF(COUNTIF(RATEIOS!$A$2:$A$3142,$A2978)-COUNTIFS(RATEIOS!$A$2:$A$3142,$A2978,RATEIOS!$D$2:$D$3142,"&lt;&gt;")&gt;0,"NÃO CLASSIFICADO","RATEIO OK"))))</f>
        <v/>
      </c>
      <c r="R2978" s="49"/>
      <c r="S2978" s="14"/>
    </row>
    <row r="2979" spans="1:19" ht="30" customHeight="1" x14ac:dyDescent="0.25">
      <c r="A2979" s="49" t="str">
        <f>IF(C2979="","","BAN-02978")</f>
        <v/>
      </c>
      <c r="B2979" s="98" t="str">
        <f>IF(C2979="","",2978)</f>
        <v/>
      </c>
      <c r="C2979" s="50"/>
      <c r="D2979" s="49" t="str">
        <f t="shared" si="93"/>
        <v/>
      </c>
      <c r="E2979" s="92"/>
      <c r="F2979" s="49"/>
      <c r="G2979" s="14"/>
      <c r="H2979" s="14"/>
      <c r="I2979" s="76"/>
      <c r="J2979" s="73"/>
      <c r="K2979" s="74"/>
      <c r="L2979" s="72"/>
      <c r="M2979" s="72"/>
      <c r="N2979" s="72" t="str">
        <f>IF(AND(C2979="",J2979=0,K2979=0,L2979=0,M2979=0),"",CADASTROS!$B$4+SUM($J$2:J2979)+SUM($M$2:M2979)-SUM($K$2:K2979)-SUM($L$2:L2979))</f>
        <v/>
      </c>
      <c r="O2979" s="72" t="str">
        <f>IF(A2979="","",SUMIF(RATEIOS!$A$2:$A$3142,$A2979,RATEIOS!$F$2:$F$3142))</f>
        <v/>
      </c>
      <c r="P2979" s="15" t="str">
        <f t="shared" si="94"/>
        <v/>
      </c>
      <c r="Q2979" s="49" t="str">
        <f>IF(AND(J2979=0,K2979=0,L2979=0,M2979=0),"",IF(O2979=0,"PENDENTE DE RATEIO",IF(ABS(P2979)&gt;0.005,"DIVERGÊNCIA",IF(COUNTIF(RATEIOS!$A$2:$A$3142,$A2979)-COUNTIFS(RATEIOS!$A$2:$A$3142,$A2979,RATEIOS!$D$2:$D$3142,"&lt;&gt;")&gt;0,"NÃO CLASSIFICADO","RATEIO OK"))))</f>
        <v/>
      </c>
      <c r="R2979" s="49"/>
      <c r="S2979" s="14"/>
    </row>
    <row r="2980" spans="1:19" ht="30" customHeight="1" x14ac:dyDescent="0.25">
      <c r="A2980" s="49" t="str">
        <f>IF(C2980="","","BAN-02979")</f>
        <v/>
      </c>
      <c r="B2980" s="98" t="str">
        <f>IF(C2980="","",2979)</f>
        <v/>
      </c>
      <c r="C2980" s="50"/>
      <c r="D2980" s="49" t="str">
        <f t="shared" si="93"/>
        <v/>
      </c>
      <c r="E2980" s="92"/>
      <c r="F2980" s="49"/>
      <c r="G2980" s="14"/>
      <c r="H2980" s="14"/>
      <c r="I2980" s="76"/>
      <c r="J2980" s="73"/>
      <c r="K2980" s="74"/>
      <c r="L2980" s="72"/>
      <c r="M2980" s="72"/>
      <c r="N2980" s="72" t="str">
        <f>IF(AND(C2980="",J2980=0,K2980=0,L2980=0,M2980=0),"",CADASTROS!$B$4+SUM($J$2:J2980)+SUM($M$2:M2980)-SUM($K$2:K2980)-SUM($L$2:L2980))</f>
        <v/>
      </c>
      <c r="O2980" s="72" t="str">
        <f>IF(A2980="","",SUMIF(RATEIOS!$A$2:$A$3142,$A2980,RATEIOS!$F$2:$F$3142))</f>
        <v/>
      </c>
      <c r="P2980" s="15" t="str">
        <f t="shared" si="94"/>
        <v/>
      </c>
      <c r="Q2980" s="49" t="str">
        <f>IF(AND(J2980=0,K2980=0,L2980=0,M2980=0),"",IF(O2980=0,"PENDENTE DE RATEIO",IF(ABS(P2980)&gt;0.005,"DIVERGÊNCIA",IF(COUNTIF(RATEIOS!$A$2:$A$3142,$A2980)-COUNTIFS(RATEIOS!$A$2:$A$3142,$A2980,RATEIOS!$D$2:$D$3142,"&lt;&gt;")&gt;0,"NÃO CLASSIFICADO","RATEIO OK"))))</f>
        <v/>
      </c>
      <c r="R2980" s="49"/>
      <c r="S2980" s="14"/>
    </row>
    <row r="2981" spans="1:19" ht="30" customHeight="1" x14ac:dyDescent="0.25">
      <c r="A2981" s="49" t="str">
        <f>IF(C2981="","","BAN-02980")</f>
        <v/>
      </c>
      <c r="B2981" s="98" t="str">
        <f>IF(C2981="","",2980)</f>
        <v/>
      </c>
      <c r="C2981" s="50"/>
      <c r="D2981" s="49" t="str">
        <f t="shared" si="93"/>
        <v/>
      </c>
      <c r="E2981" s="92"/>
      <c r="F2981" s="49"/>
      <c r="G2981" s="14"/>
      <c r="H2981" s="14"/>
      <c r="I2981" s="76"/>
      <c r="J2981" s="73"/>
      <c r="K2981" s="74"/>
      <c r="L2981" s="72"/>
      <c r="M2981" s="72"/>
      <c r="N2981" s="72" t="str">
        <f>IF(AND(C2981="",J2981=0,K2981=0,L2981=0,M2981=0),"",CADASTROS!$B$4+SUM($J$2:J2981)+SUM($M$2:M2981)-SUM($K$2:K2981)-SUM($L$2:L2981))</f>
        <v/>
      </c>
      <c r="O2981" s="72" t="str">
        <f>IF(A2981="","",SUMIF(RATEIOS!$A$2:$A$3142,$A2981,RATEIOS!$F$2:$F$3142))</f>
        <v/>
      </c>
      <c r="P2981" s="15" t="str">
        <f t="shared" si="94"/>
        <v/>
      </c>
      <c r="Q2981" s="49" t="str">
        <f>IF(AND(J2981=0,K2981=0,L2981=0,M2981=0),"",IF(O2981=0,"PENDENTE DE RATEIO",IF(ABS(P2981)&gt;0.005,"DIVERGÊNCIA",IF(COUNTIF(RATEIOS!$A$2:$A$3142,$A2981)-COUNTIFS(RATEIOS!$A$2:$A$3142,$A2981,RATEIOS!$D$2:$D$3142,"&lt;&gt;")&gt;0,"NÃO CLASSIFICADO","RATEIO OK"))))</f>
        <v/>
      </c>
      <c r="R2981" s="49"/>
      <c r="S2981" s="14"/>
    </row>
    <row r="2982" spans="1:19" ht="30" customHeight="1" x14ac:dyDescent="0.25">
      <c r="A2982" s="49" t="str">
        <f>IF(C2982="","","BAN-02981")</f>
        <v/>
      </c>
      <c r="B2982" s="98" t="str">
        <f>IF(C2982="","",2981)</f>
        <v/>
      </c>
      <c r="C2982" s="50"/>
      <c r="D2982" s="49" t="str">
        <f t="shared" si="93"/>
        <v/>
      </c>
      <c r="E2982" s="92"/>
      <c r="F2982" s="49"/>
      <c r="G2982" s="14"/>
      <c r="H2982" s="14"/>
      <c r="I2982" s="76"/>
      <c r="J2982" s="73"/>
      <c r="K2982" s="74"/>
      <c r="L2982" s="72"/>
      <c r="M2982" s="72"/>
      <c r="N2982" s="72" t="str">
        <f>IF(AND(C2982="",J2982=0,K2982=0,L2982=0,M2982=0),"",CADASTROS!$B$4+SUM($J$2:J2982)+SUM($M$2:M2982)-SUM($K$2:K2982)-SUM($L$2:L2982))</f>
        <v/>
      </c>
      <c r="O2982" s="72" t="str">
        <f>IF(A2982="","",SUMIF(RATEIOS!$A$2:$A$3142,$A2982,RATEIOS!$F$2:$F$3142))</f>
        <v/>
      </c>
      <c r="P2982" s="15" t="str">
        <f t="shared" si="94"/>
        <v/>
      </c>
      <c r="Q2982" s="49" t="str">
        <f>IF(AND(J2982=0,K2982=0,L2982=0,M2982=0),"",IF(O2982=0,"PENDENTE DE RATEIO",IF(ABS(P2982)&gt;0.005,"DIVERGÊNCIA",IF(COUNTIF(RATEIOS!$A$2:$A$3142,$A2982)-COUNTIFS(RATEIOS!$A$2:$A$3142,$A2982,RATEIOS!$D$2:$D$3142,"&lt;&gt;")&gt;0,"NÃO CLASSIFICADO","RATEIO OK"))))</f>
        <v/>
      </c>
      <c r="R2982" s="49"/>
      <c r="S2982" s="14"/>
    </row>
    <row r="2983" spans="1:19" ht="30" customHeight="1" x14ac:dyDescent="0.25">
      <c r="A2983" s="49" t="str">
        <f>IF(C2983="","","BAN-02982")</f>
        <v/>
      </c>
      <c r="B2983" s="98" t="str">
        <f>IF(C2983="","",2982)</f>
        <v/>
      </c>
      <c r="C2983" s="50"/>
      <c r="D2983" s="49" t="str">
        <f t="shared" si="93"/>
        <v/>
      </c>
      <c r="E2983" s="92"/>
      <c r="F2983" s="49"/>
      <c r="G2983" s="14"/>
      <c r="H2983" s="14"/>
      <c r="I2983" s="76"/>
      <c r="J2983" s="73"/>
      <c r="K2983" s="74"/>
      <c r="L2983" s="72"/>
      <c r="M2983" s="72"/>
      <c r="N2983" s="72" t="str">
        <f>IF(AND(C2983="",J2983=0,K2983=0,L2983=0,M2983=0),"",CADASTROS!$B$4+SUM($J$2:J2983)+SUM($M$2:M2983)-SUM($K$2:K2983)-SUM($L$2:L2983))</f>
        <v/>
      </c>
      <c r="O2983" s="72" t="str">
        <f>IF(A2983="","",SUMIF(RATEIOS!$A$2:$A$3142,$A2983,RATEIOS!$F$2:$F$3142))</f>
        <v/>
      </c>
      <c r="P2983" s="15" t="str">
        <f t="shared" si="94"/>
        <v/>
      </c>
      <c r="Q2983" s="49" t="str">
        <f>IF(AND(J2983=0,K2983=0,L2983=0,M2983=0),"",IF(O2983=0,"PENDENTE DE RATEIO",IF(ABS(P2983)&gt;0.005,"DIVERGÊNCIA",IF(COUNTIF(RATEIOS!$A$2:$A$3142,$A2983)-COUNTIFS(RATEIOS!$A$2:$A$3142,$A2983,RATEIOS!$D$2:$D$3142,"&lt;&gt;")&gt;0,"NÃO CLASSIFICADO","RATEIO OK"))))</f>
        <v/>
      </c>
      <c r="R2983" s="49"/>
      <c r="S2983" s="14"/>
    </row>
    <row r="2984" spans="1:19" ht="30" customHeight="1" x14ac:dyDescent="0.25">
      <c r="A2984" s="49" t="str">
        <f>IF(C2984="","","BAN-02983")</f>
        <v/>
      </c>
      <c r="B2984" s="98" t="str">
        <f>IF(C2984="","",2983)</f>
        <v/>
      </c>
      <c r="C2984" s="50"/>
      <c r="D2984" s="49" t="str">
        <f t="shared" si="93"/>
        <v/>
      </c>
      <c r="E2984" s="92"/>
      <c r="F2984" s="49"/>
      <c r="G2984" s="14"/>
      <c r="H2984" s="14"/>
      <c r="I2984" s="76"/>
      <c r="J2984" s="73"/>
      <c r="K2984" s="74"/>
      <c r="L2984" s="72"/>
      <c r="M2984" s="72"/>
      <c r="N2984" s="72" t="str">
        <f>IF(AND(C2984="",J2984=0,K2984=0,L2984=0,M2984=0),"",CADASTROS!$B$4+SUM($J$2:J2984)+SUM($M$2:M2984)-SUM($K$2:K2984)-SUM($L$2:L2984))</f>
        <v/>
      </c>
      <c r="O2984" s="72" t="str">
        <f>IF(A2984="","",SUMIF(RATEIOS!$A$2:$A$3142,$A2984,RATEIOS!$F$2:$F$3142))</f>
        <v/>
      </c>
      <c r="P2984" s="15" t="str">
        <f t="shared" si="94"/>
        <v/>
      </c>
      <c r="Q2984" s="49" t="str">
        <f>IF(AND(J2984=0,K2984=0,L2984=0,M2984=0),"",IF(O2984=0,"PENDENTE DE RATEIO",IF(ABS(P2984)&gt;0.005,"DIVERGÊNCIA",IF(COUNTIF(RATEIOS!$A$2:$A$3142,$A2984)-COUNTIFS(RATEIOS!$A$2:$A$3142,$A2984,RATEIOS!$D$2:$D$3142,"&lt;&gt;")&gt;0,"NÃO CLASSIFICADO","RATEIO OK"))))</f>
        <v/>
      </c>
      <c r="R2984" s="49"/>
      <c r="S2984" s="14"/>
    </row>
    <row r="2985" spans="1:19" ht="30" customHeight="1" x14ac:dyDescent="0.25">
      <c r="A2985" s="49" t="str">
        <f>IF(C2985="","","BAN-02984")</f>
        <v/>
      </c>
      <c r="B2985" s="98" t="str">
        <f>IF(C2985="","",2984)</f>
        <v/>
      </c>
      <c r="C2985" s="50"/>
      <c r="D2985" s="49" t="str">
        <f t="shared" si="93"/>
        <v/>
      </c>
      <c r="E2985" s="92"/>
      <c r="F2985" s="49"/>
      <c r="G2985" s="14"/>
      <c r="H2985" s="14"/>
      <c r="I2985" s="76"/>
      <c r="J2985" s="73"/>
      <c r="K2985" s="74"/>
      <c r="L2985" s="72"/>
      <c r="M2985" s="72"/>
      <c r="N2985" s="72" t="str">
        <f>IF(AND(C2985="",J2985=0,K2985=0,L2985=0,M2985=0),"",CADASTROS!$B$4+SUM($J$2:J2985)+SUM($M$2:M2985)-SUM($K$2:K2985)-SUM($L$2:L2985))</f>
        <v/>
      </c>
      <c r="O2985" s="72" t="str">
        <f>IF(A2985="","",SUMIF(RATEIOS!$A$2:$A$3142,$A2985,RATEIOS!$F$2:$F$3142))</f>
        <v/>
      </c>
      <c r="P2985" s="15" t="str">
        <f t="shared" si="94"/>
        <v/>
      </c>
      <c r="Q2985" s="49" t="str">
        <f>IF(AND(J2985=0,K2985=0,L2985=0,M2985=0),"",IF(O2985=0,"PENDENTE DE RATEIO",IF(ABS(P2985)&gt;0.005,"DIVERGÊNCIA",IF(COUNTIF(RATEIOS!$A$2:$A$3142,$A2985)-COUNTIFS(RATEIOS!$A$2:$A$3142,$A2985,RATEIOS!$D$2:$D$3142,"&lt;&gt;")&gt;0,"NÃO CLASSIFICADO","RATEIO OK"))))</f>
        <v/>
      </c>
      <c r="R2985" s="49"/>
      <c r="S2985" s="14"/>
    </row>
    <row r="2986" spans="1:19" ht="30" customHeight="1" x14ac:dyDescent="0.25">
      <c r="A2986" s="49" t="str">
        <f>IF(C2986="","","BAN-02985")</f>
        <v/>
      </c>
      <c r="B2986" s="98" t="str">
        <f>IF(C2986="","",2985)</f>
        <v/>
      </c>
      <c r="C2986" s="50"/>
      <c r="D2986" s="49" t="str">
        <f t="shared" si="93"/>
        <v/>
      </c>
      <c r="E2986" s="92"/>
      <c r="F2986" s="49"/>
      <c r="G2986" s="14"/>
      <c r="H2986" s="14"/>
      <c r="I2986" s="76"/>
      <c r="J2986" s="73"/>
      <c r="K2986" s="74"/>
      <c r="L2986" s="72"/>
      <c r="M2986" s="72"/>
      <c r="N2986" s="72" t="str">
        <f>IF(AND(C2986="",J2986=0,K2986=0,L2986=0,M2986=0),"",CADASTROS!$B$4+SUM($J$2:J2986)+SUM($M$2:M2986)-SUM($K$2:K2986)-SUM($L$2:L2986))</f>
        <v/>
      </c>
      <c r="O2986" s="72" t="str">
        <f>IF(A2986="","",SUMIF(RATEIOS!$A$2:$A$3142,$A2986,RATEIOS!$F$2:$F$3142))</f>
        <v/>
      </c>
      <c r="P2986" s="15" t="str">
        <f t="shared" si="94"/>
        <v/>
      </c>
      <c r="Q2986" s="49" t="str">
        <f>IF(AND(J2986=0,K2986=0,L2986=0,M2986=0),"",IF(O2986=0,"PENDENTE DE RATEIO",IF(ABS(P2986)&gt;0.005,"DIVERGÊNCIA",IF(COUNTIF(RATEIOS!$A$2:$A$3142,$A2986)-COUNTIFS(RATEIOS!$A$2:$A$3142,$A2986,RATEIOS!$D$2:$D$3142,"&lt;&gt;")&gt;0,"NÃO CLASSIFICADO","RATEIO OK"))))</f>
        <v/>
      </c>
      <c r="R2986" s="49"/>
      <c r="S2986" s="14"/>
    </row>
    <row r="2987" spans="1:19" ht="30" customHeight="1" x14ac:dyDescent="0.25">
      <c r="A2987" s="49" t="str">
        <f>IF(C2987="","","BAN-02986")</f>
        <v/>
      </c>
      <c r="B2987" s="98" t="str">
        <f>IF(C2987="","",2986)</f>
        <v/>
      </c>
      <c r="C2987" s="50"/>
      <c r="D2987" s="49" t="str">
        <f t="shared" si="93"/>
        <v/>
      </c>
      <c r="E2987" s="92"/>
      <c r="F2987" s="49"/>
      <c r="G2987" s="14"/>
      <c r="H2987" s="14"/>
      <c r="I2987" s="76"/>
      <c r="J2987" s="73"/>
      <c r="K2987" s="74"/>
      <c r="L2987" s="72"/>
      <c r="M2987" s="72"/>
      <c r="N2987" s="72" t="str">
        <f>IF(AND(C2987="",J2987=0,K2987=0,L2987=0,M2987=0),"",CADASTROS!$B$4+SUM($J$2:J2987)+SUM($M$2:M2987)-SUM($K$2:K2987)-SUM($L$2:L2987))</f>
        <v/>
      </c>
      <c r="O2987" s="72" t="str">
        <f>IF(A2987="","",SUMIF(RATEIOS!$A$2:$A$3142,$A2987,RATEIOS!$F$2:$F$3142))</f>
        <v/>
      </c>
      <c r="P2987" s="15" t="str">
        <f t="shared" si="94"/>
        <v/>
      </c>
      <c r="Q2987" s="49" t="str">
        <f>IF(AND(J2987=0,K2987=0,L2987=0,M2987=0),"",IF(O2987=0,"PENDENTE DE RATEIO",IF(ABS(P2987)&gt;0.005,"DIVERGÊNCIA",IF(COUNTIF(RATEIOS!$A$2:$A$3142,$A2987)-COUNTIFS(RATEIOS!$A$2:$A$3142,$A2987,RATEIOS!$D$2:$D$3142,"&lt;&gt;")&gt;0,"NÃO CLASSIFICADO","RATEIO OK"))))</f>
        <v/>
      </c>
      <c r="R2987" s="49"/>
      <c r="S2987" s="14"/>
    </row>
    <row r="2988" spans="1:19" ht="30" customHeight="1" x14ac:dyDescent="0.25">
      <c r="A2988" s="49" t="str">
        <f>IF(C2988="","","BAN-02987")</f>
        <v/>
      </c>
      <c r="B2988" s="98" t="str">
        <f>IF(C2988="","",2987)</f>
        <v/>
      </c>
      <c r="C2988" s="50"/>
      <c r="D2988" s="49" t="str">
        <f t="shared" si="93"/>
        <v/>
      </c>
      <c r="E2988" s="92"/>
      <c r="F2988" s="49"/>
      <c r="G2988" s="14"/>
      <c r="H2988" s="14"/>
      <c r="I2988" s="76"/>
      <c r="J2988" s="73"/>
      <c r="K2988" s="74"/>
      <c r="L2988" s="72"/>
      <c r="M2988" s="72"/>
      <c r="N2988" s="72" t="str">
        <f>IF(AND(C2988="",J2988=0,K2988=0,L2988=0,M2988=0),"",CADASTROS!$B$4+SUM($J$2:J2988)+SUM($M$2:M2988)-SUM($K$2:K2988)-SUM($L$2:L2988))</f>
        <v/>
      </c>
      <c r="O2988" s="72" t="str">
        <f>IF(A2988="","",SUMIF(RATEIOS!$A$2:$A$3142,$A2988,RATEIOS!$F$2:$F$3142))</f>
        <v/>
      </c>
      <c r="P2988" s="15" t="str">
        <f t="shared" si="94"/>
        <v/>
      </c>
      <c r="Q2988" s="49" t="str">
        <f>IF(AND(J2988=0,K2988=0,L2988=0,M2988=0),"",IF(O2988=0,"PENDENTE DE RATEIO",IF(ABS(P2988)&gt;0.005,"DIVERGÊNCIA",IF(COUNTIF(RATEIOS!$A$2:$A$3142,$A2988)-COUNTIFS(RATEIOS!$A$2:$A$3142,$A2988,RATEIOS!$D$2:$D$3142,"&lt;&gt;")&gt;0,"NÃO CLASSIFICADO","RATEIO OK"))))</f>
        <v/>
      </c>
      <c r="R2988" s="49"/>
      <c r="S2988" s="14"/>
    </row>
    <row r="2989" spans="1:19" ht="30" customHeight="1" x14ac:dyDescent="0.25">
      <c r="A2989" s="49" t="str">
        <f>IF(C2989="","","BAN-02988")</f>
        <v/>
      </c>
      <c r="B2989" s="98" t="str">
        <f>IF(C2989="","",2988)</f>
        <v/>
      </c>
      <c r="C2989" s="50"/>
      <c r="D2989" s="49" t="str">
        <f t="shared" si="93"/>
        <v/>
      </c>
      <c r="E2989" s="92"/>
      <c r="F2989" s="49"/>
      <c r="G2989" s="14"/>
      <c r="H2989" s="14"/>
      <c r="I2989" s="76"/>
      <c r="J2989" s="73"/>
      <c r="K2989" s="74"/>
      <c r="L2989" s="72"/>
      <c r="M2989" s="72"/>
      <c r="N2989" s="72" t="str">
        <f>IF(AND(C2989="",J2989=0,K2989=0,L2989=0,M2989=0),"",CADASTROS!$B$4+SUM($J$2:J2989)+SUM($M$2:M2989)-SUM($K$2:K2989)-SUM($L$2:L2989))</f>
        <v/>
      </c>
      <c r="O2989" s="72" t="str">
        <f>IF(A2989="","",SUMIF(RATEIOS!$A$2:$A$3142,$A2989,RATEIOS!$F$2:$F$3142))</f>
        <v/>
      </c>
      <c r="P2989" s="15" t="str">
        <f t="shared" si="94"/>
        <v/>
      </c>
      <c r="Q2989" s="49" t="str">
        <f>IF(AND(J2989=0,K2989=0,L2989=0,M2989=0),"",IF(O2989=0,"PENDENTE DE RATEIO",IF(ABS(P2989)&gt;0.005,"DIVERGÊNCIA",IF(COUNTIF(RATEIOS!$A$2:$A$3142,$A2989)-COUNTIFS(RATEIOS!$A$2:$A$3142,$A2989,RATEIOS!$D$2:$D$3142,"&lt;&gt;")&gt;0,"NÃO CLASSIFICADO","RATEIO OK"))))</f>
        <v/>
      </c>
      <c r="R2989" s="49"/>
      <c r="S2989" s="14"/>
    </row>
    <row r="2990" spans="1:19" ht="30" customHeight="1" x14ac:dyDescent="0.25">
      <c r="A2990" s="49" t="str">
        <f>IF(C2990="","","BAN-02989")</f>
        <v/>
      </c>
      <c r="B2990" s="98" t="str">
        <f>IF(C2990="","",2989)</f>
        <v/>
      </c>
      <c r="C2990" s="50"/>
      <c r="D2990" s="49" t="str">
        <f t="shared" si="93"/>
        <v/>
      </c>
      <c r="E2990" s="92"/>
      <c r="F2990" s="49"/>
      <c r="G2990" s="14"/>
      <c r="H2990" s="14"/>
      <c r="I2990" s="76"/>
      <c r="J2990" s="73"/>
      <c r="K2990" s="74"/>
      <c r="L2990" s="72"/>
      <c r="M2990" s="72"/>
      <c r="N2990" s="72" t="str">
        <f>IF(AND(C2990="",J2990=0,K2990=0,L2990=0,M2990=0),"",CADASTROS!$B$4+SUM($J$2:J2990)+SUM($M$2:M2990)-SUM($K$2:K2990)-SUM($L$2:L2990))</f>
        <v/>
      </c>
      <c r="O2990" s="72" t="str">
        <f>IF(A2990="","",SUMIF(RATEIOS!$A$2:$A$3142,$A2990,RATEIOS!$F$2:$F$3142))</f>
        <v/>
      </c>
      <c r="P2990" s="15" t="str">
        <f t="shared" si="94"/>
        <v/>
      </c>
      <c r="Q2990" s="49" t="str">
        <f>IF(AND(J2990=0,K2990=0,L2990=0,M2990=0),"",IF(O2990=0,"PENDENTE DE RATEIO",IF(ABS(P2990)&gt;0.005,"DIVERGÊNCIA",IF(COUNTIF(RATEIOS!$A$2:$A$3142,$A2990)-COUNTIFS(RATEIOS!$A$2:$A$3142,$A2990,RATEIOS!$D$2:$D$3142,"&lt;&gt;")&gt;0,"NÃO CLASSIFICADO","RATEIO OK"))))</f>
        <v/>
      </c>
      <c r="R2990" s="49"/>
      <c r="S2990" s="14"/>
    </row>
    <row r="2991" spans="1:19" ht="30" customHeight="1" x14ac:dyDescent="0.25">
      <c r="A2991" s="49" t="str">
        <f>IF(C2991="","","BAN-02990")</f>
        <v/>
      </c>
      <c r="B2991" s="98" t="str">
        <f>IF(C2991="","",2990)</f>
        <v/>
      </c>
      <c r="C2991" s="50"/>
      <c r="D2991" s="49" t="str">
        <f t="shared" si="93"/>
        <v/>
      </c>
      <c r="E2991" s="92"/>
      <c r="F2991" s="49"/>
      <c r="G2991" s="14"/>
      <c r="H2991" s="14"/>
      <c r="I2991" s="76"/>
      <c r="J2991" s="73"/>
      <c r="K2991" s="74"/>
      <c r="L2991" s="72"/>
      <c r="M2991" s="72"/>
      <c r="N2991" s="72" t="str">
        <f>IF(AND(C2991="",J2991=0,K2991=0,L2991=0,M2991=0),"",CADASTROS!$B$4+SUM($J$2:J2991)+SUM($M$2:M2991)-SUM($K$2:K2991)-SUM($L$2:L2991))</f>
        <v/>
      </c>
      <c r="O2991" s="72" t="str">
        <f>IF(A2991="","",SUMIF(RATEIOS!$A$2:$A$3142,$A2991,RATEIOS!$F$2:$F$3142))</f>
        <v/>
      </c>
      <c r="P2991" s="15" t="str">
        <f t="shared" si="94"/>
        <v/>
      </c>
      <c r="Q2991" s="49" t="str">
        <f>IF(AND(J2991=0,K2991=0,L2991=0,M2991=0),"",IF(O2991=0,"PENDENTE DE RATEIO",IF(ABS(P2991)&gt;0.005,"DIVERGÊNCIA",IF(COUNTIF(RATEIOS!$A$2:$A$3142,$A2991)-COUNTIFS(RATEIOS!$A$2:$A$3142,$A2991,RATEIOS!$D$2:$D$3142,"&lt;&gt;")&gt;0,"NÃO CLASSIFICADO","RATEIO OK"))))</f>
        <v/>
      </c>
      <c r="R2991" s="49"/>
      <c r="S2991" s="14"/>
    </row>
    <row r="2992" spans="1:19" ht="30" customHeight="1" x14ac:dyDescent="0.25">
      <c r="A2992" s="49" t="str">
        <f>IF(C2992="","","BAN-02991")</f>
        <v/>
      </c>
      <c r="B2992" s="98" t="str">
        <f>IF(C2992="","",2991)</f>
        <v/>
      </c>
      <c r="C2992" s="50"/>
      <c r="D2992" s="49" t="str">
        <f t="shared" si="93"/>
        <v/>
      </c>
      <c r="E2992" s="92"/>
      <c r="F2992" s="49"/>
      <c r="G2992" s="14"/>
      <c r="H2992" s="14"/>
      <c r="I2992" s="76"/>
      <c r="J2992" s="73"/>
      <c r="K2992" s="74"/>
      <c r="L2992" s="72"/>
      <c r="M2992" s="72"/>
      <c r="N2992" s="72" t="str">
        <f>IF(AND(C2992="",J2992=0,K2992=0,L2992=0,M2992=0),"",CADASTROS!$B$4+SUM($J$2:J2992)+SUM($M$2:M2992)-SUM($K$2:K2992)-SUM($L$2:L2992))</f>
        <v/>
      </c>
      <c r="O2992" s="72" t="str">
        <f>IF(A2992="","",SUMIF(RATEIOS!$A$2:$A$3142,$A2992,RATEIOS!$F$2:$F$3142))</f>
        <v/>
      </c>
      <c r="P2992" s="15" t="str">
        <f t="shared" si="94"/>
        <v/>
      </c>
      <c r="Q2992" s="49" t="str">
        <f>IF(AND(J2992=0,K2992=0,L2992=0,M2992=0),"",IF(O2992=0,"PENDENTE DE RATEIO",IF(ABS(P2992)&gt;0.005,"DIVERGÊNCIA",IF(COUNTIF(RATEIOS!$A$2:$A$3142,$A2992)-COUNTIFS(RATEIOS!$A$2:$A$3142,$A2992,RATEIOS!$D$2:$D$3142,"&lt;&gt;")&gt;0,"NÃO CLASSIFICADO","RATEIO OK"))))</f>
        <v/>
      </c>
      <c r="R2992" s="49"/>
      <c r="S2992" s="14"/>
    </row>
    <row r="2993" spans="1:19" ht="30" customHeight="1" x14ac:dyDescent="0.25">
      <c r="A2993" s="49" t="str">
        <f>IF(C2993="","","BAN-02992")</f>
        <v/>
      </c>
      <c r="B2993" s="98" t="str">
        <f>IF(C2993="","",2992)</f>
        <v/>
      </c>
      <c r="C2993" s="50"/>
      <c r="D2993" s="49" t="str">
        <f t="shared" si="93"/>
        <v/>
      </c>
      <c r="E2993" s="92"/>
      <c r="F2993" s="49"/>
      <c r="G2993" s="14"/>
      <c r="H2993" s="14"/>
      <c r="I2993" s="76"/>
      <c r="J2993" s="73"/>
      <c r="K2993" s="74"/>
      <c r="L2993" s="72"/>
      <c r="M2993" s="72"/>
      <c r="N2993" s="72" t="str">
        <f>IF(AND(C2993="",J2993=0,K2993=0,L2993=0,M2993=0),"",CADASTROS!$B$4+SUM($J$2:J2993)+SUM($M$2:M2993)-SUM($K$2:K2993)-SUM($L$2:L2993))</f>
        <v/>
      </c>
      <c r="O2993" s="72" t="str">
        <f>IF(A2993="","",SUMIF(RATEIOS!$A$2:$A$3142,$A2993,RATEIOS!$F$2:$F$3142))</f>
        <v/>
      </c>
      <c r="P2993" s="15" t="str">
        <f t="shared" si="94"/>
        <v/>
      </c>
      <c r="Q2993" s="49" t="str">
        <f>IF(AND(J2993=0,K2993=0,L2993=0,M2993=0),"",IF(O2993=0,"PENDENTE DE RATEIO",IF(ABS(P2993)&gt;0.005,"DIVERGÊNCIA",IF(COUNTIF(RATEIOS!$A$2:$A$3142,$A2993)-COUNTIFS(RATEIOS!$A$2:$A$3142,$A2993,RATEIOS!$D$2:$D$3142,"&lt;&gt;")&gt;0,"NÃO CLASSIFICADO","RATEIO OK"))))</f>
        <v/>
      </c>
      <c r="R2993" s="49"/>
      <c r="S2993" s="14"/>
    </row>
    <row r="2994" spans="1:19" ht="30" customHeight="1" x14ac:dyDescent="0.25">
      <c r="A2994" s="49" t="str">
        <f>IF(C2994="","","BAN-02993")</f>
        <v/>
      </c>
      <c r="B2994" s="98" t="str">
        <f>IF(C2994="","",2993)</f>
        <v/>
      </c>
      <c r="C2994" s="50"/>
      <c r="D2994" s="49" t="str">
        <f t="shared" si="93"/>
        <v/>
      </c>
      <c r="E2994" s="92"/>
      <c r="F2994" s="49"/>
      <c r="G2994" s="14"/>
      <c r="H2994" s="14"/>
      <c r="I2994" s="76"/>
      <c r="J2994" s="73"/>
      <c r="K2994" s="74"/>
      <c r="L2994" s="72"/>
      <c r="M2994" s="72"/>
      <c r="N2994" s="72" t="str">
        <f>IF(AND(C2994="",J2994=0,K2994=0,L2994=0,M2994=0),"",CADASTROS!$B$4+SUM($J$2:J2994)+SUM($M$2:M2994)-SUM($K$2:K2994)-SUM($L$2:L2994))</f>
        <v/>
      </c>
      <c r="O2994" s="72" t="str">
        <f>IF(A2994="","",SUMIF(RATEIOS!$A$2:$A$3142,$A2994,RATEIOS!$F$2:$F$3142))</f>
        <v/>
      </c>
      <c r="P2994" s="15" t="str">
        <f t="shared" si="94"/>
        <v/>
      </c>
      <c r="Q2994" s="49" t="str">
        <f>IF(AND(J2994=0,K2994=0,L2994=0,M2994=0),"",IF(O2994=0,"PENDENTE DE RATEIO",IF(ABS(P2994)&gt;0.005,"DIVERGÊNCIA",IF(COUNTIF(RATEIOS!$A$2:$A$3142,$A2994)-COUNTIFS(RATEIOS!$A$2:$A$3142,$A2994,RATEIOS!$D$2:$D$3142,"&lt;&gt;")&gt;0,"NÃO CLASSIFICADO","RATEIO OK"))))</f>
        <v/>
      </c>
      <c r="R2994" s="49"/>
      <c r="S2994" s="14"/>
    </row>
    <row r="2995" spans="1:19" ht="30" customHeight="1" x14ac:dyDescent="0.25">
      <c r="A2995" s="49" t="str">
        <f>IF(C2995="","","BAN-02994")</f>
        <v/>
      </c>
      <c r="B2995" s="98" t="str">
        <f>IF(C2995="","",2994)</f>
        <v/>
      </c>
      <c r="C2995" s="50"/>
      <c r="D2995" s="49" t="str">
        <f t="shared" si="93"/>
        <v/>
      </c>
      <c r="E2995" s="92"/>
      <c r="F2995" s="49"/>
      <c r="G2995" s="14"/>
      <c r="H2995" s="14"/>
      <c r="I2995" s="76"/>
      <c r="J2995" s="73"/>
      <c r="K2995" s="74"/>
      <c r="L2995" s="72"/>
      <c r="M2995" s="72"/>
      <c r="N2995" s="72" t="str">
        <f>IF(AND(C2995="",J2995=0,K2995=0,L2995=0,M2995=0),"",CADASTROS!$B$4+SUM($J$2:J2995)+SUM($M$2:M2995)-SUM($K$2:K2995)-SUM($L$2:L2995))</f>
        <v/>
      </c>
      <c r="O2995" s="72" t="str">
        <f>IF(A2995="","",SUMIF(RATEIOS!$A$2:$A$3142,$A2995,RATEIOS!$F$2:$F$3142))</f>
        <v/>
      </c>
      <c r="P2995" s="15" t="str">
        <f t="shared" si="94"/>
        <v/>
      </c>
      <c r="Q2995" s="49" t="str">
        <f>IF(AND(J2995=0,K2995=0,L2995=0,M2995=0),"",IF(O2995=0,"PENDENTE DE RATEIO",IF(ABS(P2995)&gt;0.005,"DIVERGÊNCIA",IF(COUNTIF(RATEIOS!$A$2:$A$3142,$A2995)-COUNTIFS(RATEIOS!$A$2:$A$3142,$A2995,RATEIOS!$D$2:$D$3142,"&lt;&gt;")&gt;0,"NÃO CLASSIFICADO","RATEIO OK"))))</f>
        <v/>
      </c>
      <c r="R2995" s="49"/>
      <c r="S2995" s="14"/>
    </row>
    <row r="2996" spans="1:19" ht="30" customHeight="1" x14ac:dyDescent="0.25">
      <c r="A2996" s="49" t="str">
        <f>IF(C2996="","","BAN-02995")</f>
        <v/>
      </c>
      <c r="B2996" s="98" t="str">
        <f>IF(C2996="","",2995)</f>
        <v/>
      </c>
      <c r="C2996" s="50"/>
      <c r="D2996" s="49" t="str">
        <f t="shared" si="93"/>
        <v/>
      </c>
      <c r="E2996" s="92"/>
      <c r="F2996" s="49"/>
      <c r="G2996" s="14"/>
      <c r="H2996" s="14"/>
      <c r="I2996" s="76"/>
      <c r="J2996" s="73"/>
      <c r="K2996" s="74"/>
      <c r="L2996" s="72"/>
      <c r="M2996" s="72"/>
      <c r="N2996" s="72" t="str">
        <f>IF(AND(C2996="",J2996=0,K2996=0,L2996=0,M2996=0),"",CADASTROS!$B$4+SUM($J$2:J2996)+SUM($M$2:M2996)-SUM($K$2:K2996)-SUM($L$2:L2996))</f>
        <v/>
      </c>
      <c r="O2996" s="72" t="str">
        <f>IF(A2996="","",SUMIF(RATEIOS!$A$2:$A$3142,$A2996,RATEIOS!$F$2:$F$3142))</f>
        <v/>
      </c>
      <c r="P2996" s="15" t="str">
        <f t="shared" si="94"/>
        <v/>
      </c>
      <c r="Q2996" s="49" t="str">
        <f>IF(AND(J2996=0,K2996=0,L2996=0,M2996=0),"",IF(O2996=0,"PENDENTE DE RATEIO",IF(ABS(P2996)&gt;0.005,"DIVERGÊNCIA",IF(COUNTIF(RATEIOS!$A$2:$A$3142,$A2996)-COUNTIFS(RATEIOS!$A$2:$A$3142,$A2996,RATEIOS!$D$2:$D$3142,"&lt;&gt;")&gt;0,"NÃO CLASSIFICADO","RATEIO OK"))))</f>
        <v/>
      </c>
      <c r="R2996" s="49"/>
      <c r="S2996" s="14"/>
    </row>
    <row r="2997" spans="1:19" ht="30" customHeight="1" x14ac:dyDescent="0.25">
      <c r="A2997" s="49" t="str">
        <f>IF(C2997="","","BAN-02996")</f>
        <v/>
      </c>
      <c r="B2997" s="98" t="str">
        <f>IF(C2997="","",2996)</f>
        <v/>
      </c>
      <c r="C2997" s="50"/>
      <c r="D2997" s="49" t="str">
        <f t="shared" si="93"/>
        <v/>
      </c>
      <c r="E2997" s="92"/>
      <c r="F2997" s="49"/>
      <c r="G2997" s="14"/>
      <c r="H2997" s="14"/>
      <c r="I2997" s="76"/>
      <c r="J2997" s="73"/>
      <c r="K2997" s="74"/>
      <c r="L2997" s="72"/>
      <c r="M2997" s="72"/>
      <c r="N2997" s="72" t="str">
        <f>IF(AND(C2997="",J2997=0,K2997=0,L2997=0,M2997=0),"",CADASTROS!$B$4+SUM($J$2:J2997)+SUM($M$2:M2997)-SUM($K$2:K2997)-SUM($L$2:L2997))</f>
        <v/>
      </c>
      <c r="O2997" s="72" t="str">
        <f>IF(A2997="","",SUMIF(RATEIOS!$A$2:$A$3142,$A2997,RATEIOS!$F$2:$F$3142))</f>
        <v/>
      </c>
      <c r="P2997" s="15" t="str">
        <f t="shared" si="94"/>
        <v/>
      </c>
      <c r="Q2997" s="49" t="str">
        <f>IF(AND(J2997=0,K2997=0,L2997=0,M2997=0),"",IF(O2997=0,"PENDENTE DE RATEIO",IF(ABS(P2997)&gt;0.005,"DIVERGÊNCIA",IF(COUNTIF(RATEIOS!$A$2:$A$3142,$A2997)-COUNTIFS(RATEIOS!$A$2:$A$3142,$A2997,RATEIOS!$D$2:$D$3142,"&lt;&gt;")&gt;0,"NÃO CLASSIFICADO","RATEIO OK"))))</f>
        <v/>
      </c>
      <c r="R2997" s="49"/>
      <c r="S2997" s="14"/>
    </row>
    <row r="2998" spans="1:19" ht="30" customHeight="1" x14ac:dyDescent="0.25">
      <c r="A2998" s="49" t="str">
        <f>IF(C2998="","","BAN-02997")</f>
        <v/>
      </c>
      <c r="B2998" s="98" t="str">
        <f>IF(C2998="","",2997)</f>
        <v/>
      </c>
      <c r="C2998" s="50"/>
      <c r="D2998" s="49" t="str">
        <f t="shared" si="93"/>
        <v/>
      </c>
      <c r="E2998" s="92"/>
      <c r="F2998" s="49"/>
      <c r="G2998" s="14"/>
      <c r="H2998" s="14"/>
      <c r="I2998" s="76"/>
      <c r="J2998" s="73"/>
      <c r="K2998" s="74"/>
      <c r="L2998" s="72"/>
      <c r="M2998" s="72"/>
      <c r="N2998" s="72" t="str">
        <f>IF(AND(C2998="",J2998=0,K2998=0,L2998=0,M2998=0),"",CADASTROS!$B$4+SUM($J$2:J2998)+SUM($M$2:M2998)-SUM($K$2:K2998)-SUM($L$2:L2998))</f>
        <v/>
      </c>
      <c r="O2998" s="72" t="str">
        <f>IF(A2998="","",SUMIF(RATEIOS!$A$2:$A$3142,$A2998,RATEIOS!$F$2:$F$3142))</f>
        <v/>
      </c>
      <c r="P2998" s="15" t="str">
        <f t="shared" si="94"/>
        <v/>
      </c>
      <c r="Q2998" s="49" t="str">
        <f>IF(AND(J2998=0,K2998=0,L2998=0,M2998=0),"",IF(O2998=0,"PENDENTE DE RATEIO",IF(ABS(P2998)&gt;0.005,"DIVERGÊNCIA",IF(COUNTIF(RATEIOS!$A$2:$A$3142,$A2998)-COUNTIFS(RATEIOS!$A$2:$A$3142,$A2998,RATEIOS!$D$2:$D$3142,"&lt;&gt;")&gt;0,"NÃO CLASSIFICADO","RATEIO OK"))))</f>
        <v/>
      </c>
      <c r="R2998" s="49"/>
      <c r="S2998" s="14"/>
    </row>
    <row r="2999" spans="1:19" ht="30" customHeight="1" x14ac:dyDescent="0.25">
      <c r="A2999" s="49" t="str">
        <f>IF(C2999="","","BAN-02998")</f>
        <v/>
      </c>
      <c r="B2999" s="98" t="str">
        <f>IF(C2999="","",2998)</f>
        <v/>
      </c>
      <c r="C2999" s="50"/>
      <c r="D2999" s="49" t="str">
        <f t="shared" si="93"/>
        <v/>
      </c>
      <c r="E2999" s="92"/>
      <c r="F2999" s="49"/>
      <c r="G2999" s="14"/>
      <c r="H2999" s="14"/>
      <c r="I2999" s="76"/>
      <c r="J2999" s="73"/>
      <c r="K2999" s="74"/>
      <c r="L2999" s="72"/>
      <c r="M2999" s="72"/>
      <c r="N2999" s="72" t="str">
        <f>IF(AND(C2999="",J2999=0,K2999=0,L2999=0,M2999=0),"",CADASTROS!$B$4+SUM($J$2:J2999)+SUM($M$2:M2999)-SUM($K$2:K2999)-SUM($L$2:L2999))</f>
        <v/>
      </c>
      <c r="O2999" s="72" t="str">
        <f>IF(A2999="","",SUMIF(RATEIOS!$A$2:$A$3142,$A2999,RATEIOS!$F$2:$F$3142))</f>
        <v/>
      </c>
      <c r="P2999" s="15" t="str">
        <f t="shared" si="94"/>
        <v/>
      </c>
      <c r="Q2999" s="49" t="str">
        <f>IF(AND(J2999=0,K2999=0,L2999=0,M2999=0),"",IF(O2999=0,"PENDENTE DE RATEIO",IF(ABS(P2999)&gt;0.005,"DIVERGÊNCIA",IF(COUNTIF(RATEIOS!$A$2:$A$3142,$A2999)-COUNTIFS(RATEIOS!$A$2:$A$3142,$A2999,RATEIOS!$D$2:$D$3142,"&lt;&gt;")&gt;0,"NÃO CLASSIFICADO","RATEIO OK"))))</f>
        <v/>
      </c>
      <c r="R2999" s="49"/>
      <c r="S2999" s="14"/>
    </row>
    <row r="3000" spans="1:19" ht="30" customHeight="1" x14ac:dyDescent="0.25">
      <c r="A3000" s="49" t="str">
        <f>IF(C3000="","","BAN-02999")</f>
        <v/>
      </c>
      <c r="B3000" s="98" t="str">
        <f>IF(C3000="","",2999)</f>
        <v/>
      </c>
      <c r="C3000" s="50"/>
      <c r="D3000" s="49" t="str">
        <f t="shared" si="93"/>
        <v/>
      </c>
      <c r="E3000" s="92"/>
      <c r="F3000" s="49"/>
      <c r="G3000" s="14"/>
      <c r="H3000" s="14"/>
      <c r="I3000" s="76"/>
      <c r="J3000" s="73"/>
      <c r="K3000" s="74"/>
      <c r="L3000" s="72"/>
      <c r="M3000" s="72"/>
      <c r="N3000" s="72" t="str">
        <f>IF(AND(C3000="",J3000=0,K3000=0,L3000=0,M3000=0),"",CADASTROS!$B$4+SUM($J$2:J3000)+SUM($M$2:M3000)-SUM($K$2:K3000)-SUM($L$2:L3000))</f>
        <v/>
      </c>
      <c r="O3000" s="72" t="str">
        <f>IF(A3000="","",SUMIF(RATEIOS!$A$2:$A$3142,$A3000,RATEIOS!$F$2:$F$3142))</f>
        <v/>
      </c>
      <c r="P3000" s="15" t="str">
        <f t="shared" si="94"/>
        <v/>
      </c>
      <c r="Q3000" s="49" t="str">
        <f>IF(AND(J3000=0,K3000=0,L3000=0,M3000=0),"",IF(O3000=0,"PENDENTE DE RATEIO",IF(ABS(P3000)&gt;0.005,"DIVERGÊNCIA",IF(COUNTIF(RATEIOS!$A$2:$A$3142,$A3000)-COUNTIFS(RATEIOS!$A$2:$A$3142,$A3000,RATEIOS!$D$2:$D$3142,"&lt;&gt;")&gt;0,"NÃO CLASSIFICADO","RATEIO OK"))))</f>
        <v/>
      </c>
      <c r="R3000" s="49"/>
      <c r="S3000" s="14"/>
    </row>
    <row r="3005" spans="1:19" x14ac:dyDescent="0.25">
      <c r="G3005" s="97"/>
    </row>
  </sheetData>
  <phoneticPr fontId="38" type="noConversion"/>
  <conditionalFormatting sqref="F2:F3000">
    <cfRule type="cellIs" dxfId="25" priority="1" operator="equal">
      <formula>"ENTRADA"</formula>
    </cfRule>
    <cfRule type="cellIs" dxfId="24" priority="2" operator="equal">
      <formula>"SAÍDA"</formula>
    </cfRule>
  </conditionalFormatting>
  <conditionalFormatting sqref="Q2:Q3000">
    <cfRule type="cellIs" dxfId="23" priority="4" operator="equal">
      <formula>"RATEIO OK"</formula>
    </cfRule>
    <cfRule type="cellIs" dxfId="22" priority="5" operator="equal">
      <formula>"NÃO CLASSIFICADO"</formula>
    </cfRule>
    <cfRule type="cellIs" dxfId="21" priority="6" operator="equal">
      <formula>"PENDENTE DE RATEIO"</formula>
    </cfRule>
    <cfRule type="cellIs" dxfId="20" priority="7" operator="equal">
      <formula>"DIVERGÊNCIA"</formula>
    </cfRule>
  </conditionalFormatting>
  <conditionalFormatting sqref="R2:R3000">
    <cfRule type="cellIs" dxfId="19" priority="8" operator="equal">
      <formula>"Conciliado"</formula>
    </cfRule>
    <cfRule type="cellIs" dxfId="18" priority="9" operator="equal">
      <formula>"Pendente"</formula>
    </cfRule>
    <cfRule type="cellIs" dxfId="17" priority="10" operator="equal">
      <formula>"Divergência"</formula>
    </cfRule>
  </conditionalFormatting>
  <dataValidations count="2">
    <dataValidation type="list" allowBlank="1" sqref="R2:R3000" xr:uid="{00000000-0002-0000-0100-000002000000}">
      <formula1>"Conciliado,Pendente,Divergência"</formula1>
      <formula2>0</formula2>
    </dataValidation>
    <dataValidation type="list" allowBlank="1" sqref="F2:F929 F931:F3000" xr:uid="{00000000-0002-0000-0100-000001000000}">
      <formula1>"ENTRADA,SAÍDA,APLICAÇÃO,RESGATE"</formula1>
      <formula2>0</formula2>
    </dataValidation>
  </dataValidations>
  <hyperlinks>
    <hyperlink ref="G930" r:id="rId1" xr:uid="{DD7C7271-FBC9-4C7F-976E-81F00EC16997}"/>
    <hyperlink ref="G931" r:id="rId2" xr:uid="{3BC1F26A-261C-40A8-BD28-781B564ACC1D}"/>
    <hyperlink ref="G932" r:id="rId3" xr:uid="{CA0F73B7-1E50-4C6A-AE66-12E16A9D3025}"/>
    <hyperlink ref="G933" r:id="rId4" xr:uid="{FBB84102-4F48-40C1-83E7-2CFC3544B4DA}"/>
    <hyperlink ref="G946" r:id="rId5" display="PIS" xr:uid="{F48FF368-7F80-41EB-8A2A-4C9A39F380A9}"/>
    <hyperlink ref="G947" r:id="rId6" display="COFINS" xr:uid="{BAD2E081-5112-4BA9-BB96-F7EEAAE0C365}"/>
    <hyperlink ref="G948" r:id="rId7" xr:uid="{38579590-1FCF-4628-BDCB-C5061176D52C}"/>
    <hyperlink ref="G974" r:id="rId8" xr:uid="{A9657A1A-0396-4BF7-9461-27CE32B3217D}"/>
    <hyperlink ref="G1018" r:id="rId9" xr:uid="{44D82032-E9C2-4EDB-AF30-46713EFE14DC}"/>
    <hyperlink ref="G1027" r:id="rId10" xr:uid="{6FF75C86-905E-4802-BD01-AB502C663B51}"/>
    <hyperlink ref="G1058" r:id="rId11" xr:uid="{4AE5A1F4-745A-4ED4-90B7-55F81037571F}"/>
    <hyperlink ref="G1057" r:id="rId12" xr:uid="{CBA94038-97F5-4D3A-B85D-DD649FA638AD}"/>
    <hyperlink ref="G1059" r:id="rId13" xr:uid="{16C4CD36-819D-4B3B-803A-E3E4CA415F91}"/>
    <hyperlink ref="G1060" r:id="rId14" xr:uid="{B722EB52-C1CE-45A6-BEAB-284D0FD803FE}"/>
  </hyperlinks>
  <pageMargins left="0.75" right="0.75" top="1" bottom="1" header="0.511811023622047" footer="0.511811023622047"/>
  <pageSetup paperSize="9" orientation="portrait" horizontalDpi="300" verticalDpi="300"/>
  <tableParts count="1">
    <tablePart r:id="rId1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5BDFF053-60B0-4675-A563-1ED6B83AB5D7}">
          <x14:formula1>
            <xm:f>CADASTROS!$E$7:$E$18</xm:f>
          </x14:formula1>
          <xm:sqref>E2:E3000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K3142"/>
  <sheetViews>
    <sheetView zoomScale="90" zoomScaleNormal="90" workbookViewId="0">
      <pane xSplit="1" ySplit="1" topLeftCell="B1020" activePane="bottomRight" state="frozen"/>
      <selection pane="topRight" activeCell="B1" sqref="B1"/>
      <selection pane="bottomLeft" activeCell="A2" sqref="A2"/>
      <selection pane="bottomRight" activeCell="G1022" sqref="G1022"/>
    </sheetView>
  </sheetViews>
  <sheetFormatPr defaultColWidth="8.7109375" defaultRowHeight="15" x14ac:dyDescent="0.25"/>
  <cols>
    <col min="1" max="1" width="12" customWidth="1"/>
    <col min="2" max="2" width="11" customWidth="1"/>
    <col min="3" max="3" width="7" customWidth="1"/>
    <col min="4" max="4" width="46" customWidth="1"/>
    <col min="5" max="5" width="50" customWidth="1"/>
    <col min="6" max="6" width="15" customWidth="1"/>
    <col min="7" max="7" width="82.5703125" customWidth="1"/>
    <col min="8" max="8" width="15" customWidth="1"/>
    <col min="9" max="9" width="34" customWidth="1"/>
    <col min="10" max="10" width="21" bestFit="1" customWidth="1"/>
    <col min="11" max="11" width="18.85546875" bestFit="1" customWidth="1"/>
  </cols>
  <sheetData>
    <row r="1" spans="1:11" ht="30" customHeight="1" x14ac:dyDescent="0.25">
      <c r="A1" s="78" t="s">
        <v>27</v>
      </c>
      <c r="B1" s="78" t="s">
        <v>28</v>
      </c>
      <c r="C1" s="78" t="s">
        <v>29</v>
      </c>
      <c r="D1" s="78" t="s">
        <v>1297</v>
      </c>
      <c r="E1" s="78" t="s">
        <v>1298</v>
      </c>
      <c r="F1" s="78" t="s">
        <v>1299</v>
      </c>
      <c r="G1" s="78" t="s">
        <v>1300</v>
      </c>
      <c r="H1" s="78" t="s">
        <v>1301</v>
      </c>
      <c r="I1" s="78" t="s">
        <v>1302</v>
      </c>
      <c r="J1" s="78" t="s">
        <v>1303</v>
      </c>
      <c r="K1" s="78" t="s">
        <v>2731</v>
      </c>
    </row>
    <row r="2" spans="1:11" ht="30" hidden="1" customHeight="1" x14ac:dyDescent="0.25">
      <c r="A2" s="86" t="s">
        <v>1304</v>
      </c>
      <c r="B2" s="85">
        <f>IF(A2="","",IF(INDEX(EXTRATO!$C$2:$C$3000,MATCH($A2,EXTRATO!$A$2:$A$3000,0))="","",INDEX(EXTRATO!$C$2:$C$3000,MATCH($A2,EXTRATO!$A$2:$A$3000,0))))</f>
        <v>46024</v>
      </c>
      <c r="C2" s="86">
        <f t="shared" ref="C2:C65" si="0">IF(B2="","",MONTH(B2))</f>
        <v>1</v>
      </c>
      <c r="D2" s="81" t="s">
        <v>1305</v>
      </c>
      <c r="E2" s="79" t="s">
        <v>1306</v>
      </c>
      <c r="F2" s="80">
        <v>8500</v>
      </c>
      <c r="G2" s="81" t="s">
        <v>45</v>
      </c>
      <c r="H2" s="86" t="str">
        <f>IF(A2="","",IF(INDEX(EXTRATO!$F$2:$F$3000,MATCH($A2,EXTRATO!$A$2:$A$3000,0))="","",INDEX(EXTRATO!$F$2:$F$3000,MATCH($A2,EXTRATO!$A$2:$A$3000,0))))</f>
        <v>RESGATE</v>
      </c>
      <c r="I2" s="88" t="str">
        <f>IF(A2="","",IF(INDEX(EXTRATO!$H$2:$H$3000,MATCH($A2,EXTRATO!$A$2:$A$3000,0))="","",INDEX(EXTRATO!$H$2:$H$3000,MATCH($A2,EXTRATO!$A$2:$A$3000,0))))</f>
        <v>BANCO DO BRASIL - CDB DI</v>
      </c>
      <c r="J2" s="86" t="s">
        <v>1307</v>
      </c>
      <c r="K2" s="86" t="str">
        <f>IF(AND(A2="",D2="",E2="",F2=""),"",IF(D2="","SEM CATEGORIA",IF(E2="","SEM SUBCATEGORIA",IF(COUNTIFS(CADASTROS!$L$7:$L$93,D2,CADASTROS!$D$7:$D$93,E2)=0,"INCOMPATÍVEL","OK"))))</f>
        <v>OK</v>
      </c>
    </row>
    <row r="3" spans="1:11" ht="30" hidden="1" customHeight="1" x14ac:dyDescent="0.25">
      <c r="A3" s="86" t="s">
        <v>1308</v>
      </c>
      <c r="B3" s="85">
        <f>IF(A3="","",IF(INDEX(EXTRATO!$C$2:$C$3000,MATCH($A3,EXTRATO!$A$2:$A$3000,0))="","",INDEX(EXTRATO!$C$2:$C$3000,MATCH($A3,EXTRATO!$A$2:$A$3000,0))))</f>
        <v>46024</v>
      </c>
      <c r="C3" s="86">
        <f t="shared" si="0"/>
        <v>1</v>
      </c>
      <c r="D3" s="81" t="s">
        <v>1305</v>
      </c>
      <c r="E3" s="79" t="s">
        <v>1306</v>
      </c>
      <c r="F3" s="80">
        <v>5.27</v>
      </c>
      <c r="G3" s="81" t="s">
        <v>45</v>
      </c>
      <c r="H3" s="86" t="str">
        <f>IF(A3="","",IF(INDEX(EXTRATO!$F$2:$F$3000,MATCH($A3,EXTRATO!$A$2:$A$3000,0))="","",INDEX(EXTRATO!$F$2:$F$3000,MATCH($A3,EXTRATO!$A$2:$A$3000,0))))</f>
        <v>RESGATE</v>
      </c>
      <c r="I3" s="88" t="str">
        <f>IF(A3="","",IF(INDEX(EXTRATO!$H$2:$H$3000,MATCH($A3,EXTRATO!$A$2:$A$3000,0))="","",INDEX(EXTRATO!$H$2:$H$3000,MATCH($A3,EXTRATO!$A$2:$A$3000,0))))</f>
        <v>BANCO DO BRASIL - CDB DI</v>
      </c>
      <c r="J3" s="86" t="s">
        <v>1307</v>
      </c>
      <c r="K3" s="86" t="str">
        <f>IF(AND(A3="",D3="",E3="",F3=""),"",IF(D3="","SEM CATEGORIA",IF(E3="","SEM SUBCATEGORIA",IF(COUNTIFS(CADASTROS!$L$7:$L$93,D3,CADASTROS!$D$7:$D$93,E3)=0,"INCOMPATÍVEL","OK"))))</f>
        <v>OK</v>
      </c>
    </row>
    <row r="4" spans="1:11" ht="30" hidden="1" customHeight="1" x14ac:dyDescent="0.25">
      <c r="A4" s="86" t="s">
        <v>1309</v>
      </c>
      <c r="B4" s="85">
        <f>IF(A4="","",IF(INDEX(EXTRATO!$C$2:$C$3000,MATCH($A4,EXTRATO!$A$2:$A$3000,0))="","",INDEX(EXTRATO!$C$2:$C$3000,MATCH($A4,EXTRATO!$A$2:$A$3000,0))))</f>
        <v>46024</v>
      </c>
      <c r="C4" s="86">
        <f t="shared" si="0"/>
        <v>1</v>
      </c>
      <c r="D4" s="81" t="s">
        <v>1311</v>
      </c>
      <c r="E4" s="79" t="s">
        <v>1312</v>
      </c>
      <c r="F4" s="80">
        <v>270</v>
      </c>
      <c r="G4" s="81" t="s">
        <v>47</v>
      </c>
      <c r="H4" s="86" t="str">
        <f>IF(A4="","",IF(INDEX(EXTRATO!$F$2:$F$3000,MATCH($A4,EXTRATO!$A$2:$A$3000,0))="","",INDEX(EXTRATO!$F$2:$F$3000,MATCH($A4,EXTRATO!$A$2:$A$3000,0))))</f>
        <v>SAÍDA</v>
      </c>
      <c r="I4" s="88" t="str">
        <f>IF(A4="","",IF(INDEX(EXTRATO!$H$2:$H$3000,MATCH($A4,EXTRATO!$A$2:$A$3000,0))="","",INDEX(EXTRATO!$H$2:$H$3000,MATCH($A4,EXTRATO!$A$2:$A$3000,0))))</f>
        <v>ANA CLAUDIA A. VARÃO</v>
      </c>
      <c r="J4" s="86" t="s">
        <v>1313</v>
      </c>
      <c r="K4" s="86" t="str">
        <f>IF(AND(A4="",D4="",E4="",F4=""),"",IF(D4="","SEM CATEGORIA",IF(E4="","SEM SUBCATEGORIA",IF(COUNTIFS(CADASTROS!$L$7:$L$93,D4,CADASTROS!$D$7:$D$93,E4)=0,"INCOMPATÍVEL","OK"))))</f>
        <v>OK</v>
      </c>
    </row>
    <row r="5" spans="1:11" ht="30" hidden="1" customHeight="1" x14ac:dyDescent="0.25">
      <c r="A5" s="86" t="s">
        <v>1310</v>
      </c>
      <c r="B5" s="85">
        <f>IF(A5="","",IF(INDEX(EXTRATO!$C$2:$C$3000,MATCH($A5,EXTRATO!$A$2:$A$3000,0))="","",INDEX(EXTRATO!$C$2:$C$3000,MATCH($A5,EXTRATO!$A$2:$A$3000,0))))</f>
        <v>46024</v>
      </c>
      <c r="C5" s="86">
        <f t="shared" si="0"/>
        <v>1</v>
      </c>
      <c r="D5" s="81" t="s">
        <v>1311</v>
      </c>
      <c r="E5" s="79" t="s">
        <v>1315</v>
      </c>
      <c r="F5" s="80">
        <v>1300.83</v>
      </c>
      <c r="G5" s="81" t="s">
        <v>50</v>
      </c>
      <c r="H5" s="86" t="str">
        <f>IF(A5="","",IF(INDEX(EXTRATO!$F$2:$F$3000,MATCH($A5,EXTRATO!$A$2:$A$3000,0))="","",INDEX(EXTRATO!$F$2:$F$3000,MATCH($A5,EXTRATO!$A$2:$A$3000,0))))</f>
        <v>SAÍDA</v>
      </c>
      <c r="I5" s="88" t="str">
        <f>IF(A5="","",IF(INDEX(EXTRATO!$H$2:$H$3000,MATCH($A5,EXTRATO!$A$2:$A$3000,0))="","",INDEX(EXTRATO!$H$2:$H$3000,MATCH($A5,EXTRATO!$A$2:$A$3000,0))))</f>
        <v>ALLMED PRONEFRO</v>
      </c>
      <c r="J5" s="86" t="s">
        <v>1313</v>
      </c>
      <c r="K5" s="86" t="str">
        <f>IF(AND(A5="",D5="",E5="",F5=""),"",IF(D5="","SEM CATEGORIA",IF(E5="","SEM SUBCATEGORIA",IF(COUNTIFS(CADASTROS!$L$7:$L$93,D5,CADASTROS!$D$7:$D$93,E5)=0,"INCOMPATÍVEL","OK"))))</f>
        <v>OK</v>
      </c>
    </row>
    <row r="6" spans="1:11" ht="30" hidden="1" customHeight="1" x14ac:dyDescent="0.25">
      <c r="A6" s="86" t="s">
        <v>1314</v>
      </c>
      <c r="B6" s="85">
        <f>IF(A6="","",IF(INDEX(EXTRATO!$C$2:$C$3000,MATCH($A6,EXTRATO!$A$2:$A$3000,0))="","",INDEX(EXTRATO!$C$2:$C$3000,MATCH($A6,EXTRATO!$A$2:$A$3000,0))))</f>
        <v>46024</v>
      </c>
      <c r="C6" s="86">
        <f t="shared" si="0"/>
        <v>1</v>
      </c>
      <c r="D6" s="81" t="s">
        <v>1311</v>
      </c>
      <c r="E6" s="79" t="s">
        <v>1315</v>
      </c>
      <c r="F6" s="80">
        <v>1952.72</v>
      </c>
      <c r="G6" s="81" t="s">
        <v>53</v>
      </c>
      <c r="H6" s="86" t="str">
        <f>IF(A6="","",IF(INDEX(EXTRATO!$F$2:$F$3000,MATCH($A6,EXTRATO!$A$2:$A$3000,0))="","",INDEX(EXTRATO!$F$2:$F$3000,MATCH($A6,EXTRATO!$A$2:$A$3000,0))))</f>
        <v>SAÍDA</v>
      </c>
      <c r="I6" s="88" t="str">
        <f>IF(A6="","",IF(INDEX(EXTRATO!$H$2:$H$3000,MATCH($A6,EXTRATO!$A$2:$A$3000,0))="","",INDEX(EXTRATO!$H$2:$H$3000,MATCH($A6,EXTRATO!$A$2:$A$3000,0))))</f>
        <v>ALLMED PRONEFRO</v>
      </c>
      <c r="J6" s="86" t="s">
        <v>1313</v>
      </c>
      <c r="K6" s="86" t="str">
        <f>IF(AND(A6="",D6="",E6="",F6=""),"",IF(D6="","SEM CATEGORIA",IF(E6="","SEM SUBCATEGORIA",IF(COUNTIFS(CADASTROS!$L$7:$L$93,D6,CADASTROS!$D$7:$D$93,E6)=0,"INCOMPATÍVEL","OK"))))</f>
        <v>OK</v>
      </c>
    </row>
    <row r="7" spans="1:11" ht="30" hidden="1" customHeight="1" x14ac:dyDescent="0.25">
      <c r="A7" s="86" t="s">
        <v>1316</v>
      </c>
      <c r="B7" s="85">
        <f>IF(A7="","",IF(INDEX(EXTRATO!$C$2:$C$3000,MATCH($A7,EXTRATO!$A$2:$A$3000,0))="","",INDEX(EXTRATO!$C$2:$C$3000,MATCH($A7,EXTRATO!$A$2:$A$3000,0))))</f>
        <v>46024</v>
      </c>
      <c r="C7" s="86">
        <f t="shared" si="0"/>
        <v>1</v>
      </c>
      <c r="D7" s="81" t="s">
        <v>1311</v>
      </c>
      <c r="E7" s="79" t="s">
        <v>1318</v>
      </c>
      <c r="F7" s="80">
        <v>720</v>
      </c>
      <c r="G7" s="81" t="s">
        <v>55</v>
      </c>
      <c r="H7" s="86" t="str">
        <f>IF(A7="","",IF(INDEX(EXTRATO!$F$2:$F$3000,MATCH($A7,EXTRATO!$A$2:$A$3000,0))="","",INDEX(EXTRATO!$F$2:$F$3000,MATCH($A7,EXTRATO!$A$2:$A$3000,0))))</f>
        <v>SAÍDA</v>
      </c>
      <c r="I7" s="88" t="str">
        <f>IF(A7="","",IF(INDEX(EXTRATO!$H$2:$H$3000,MATCH($A7,EXTRATO!$A$2:$A$3000,0))="","",INDEX(EXTRATO!$H$2:$H$3000,MATCH($A7,EXTRATO!$A$2:$A$3000,0))))</f>
        <v>OMNIELMASTER HEMOMED</v>
      </c>
      <c r="J7" s="86" t="s">
        <v>1313</v>
      </c>
      <c r="K7" s="86" t="str">
        <f>IF(AND(A7="",D7="",E7="",F7=""),"",IF(D7="","SEM CATEGORIA",IF(E7="","SEM SUBCATEGORIA",IF(COUNTIFS(CADASTROS!$L$7:$L$93,D7,CADASTROS!$D$7:$D$93,E7)=0,"INCOMPATÍVEL","OK"))))</f>
        <v>OK</v>
      </c>
    </row>
    <row r="8" spans="1:11" ht="30" hidden="1" customHeight="1" x14ac:dyDescent="0.25">
      <c r="A8" s="86" t="s">
        <v>1317</v>
      </c>
      <c r="B8" s="85">
        <f>IF(A8="","",IF(INDEX(EXTRATO!$C$2:$C$3000,MATCH($A8,EXTRATO!$A$2:$A$3000,0))="","",INDEX(EXTRATO!$C$2:$C$3000,MATCH($A8,EXTRATO!$A$2:$A$3000,0))))</f>
        <v>46024</v>
      </c>
      <c r="C8" s="86">
        <f t="shared" si="0"/>
        <v>1</v>
      </c>
      <c r="D8" s="81" t="s">
        <v>1311</v>
      </c>
      <c r="E8" s="79" t="s">
        <v>1320</v>
      </c>
      <c r="F8" s="80">
        <v>1350</v>
      </c>
      <c r="G8" s="81" t="s">
        <v>1321</v>
      </c>
      <c r="H8" s="86" t="str">
        <f>IF(A8="","",IF(INDEX(EXTRATO!$F$2:$F$3000,MATCH($A8,EXTRATO!$A$2:$A$3000,0))="","",INDEX(EXTRATO!$F$2:$F$3000,MATCH($A8,EXTRATO!$A$2:$A$3000,0))))</f>
        <v>SAÍDA</v>
      </c>
      <c r="I8" s="88" t="str">
        <f>IF(A8="","",IF(INDEX(EXTRATO!$H$2:$H$3000,MATCH($A8,EXTRATO!$A$2:$A$3000,0))="","",INDEX(EXTRATO!$H$2:$H$3000,MATCH($A8,EXTRATO!$A$2:$A$3000,0))))</f>
        <v>DIALISE COMERCIO</v>
      </c>
      <c r="J8" s="86" t="s">
        <v>1313</v>
      </c>
      <c r="K8" s="86" t="str">
        <f>IF(AND(A8="",D8="",E8="",F8=""),"",IF(D8="","SEM CATEGORIA",IF(E8="","SEM SUBCATEGORIA",IF(COUNTIFS(CADASTROS!$L$7:$L$93,D8,CADASTROS!$D$7:$D$93,E8)=0,"INCOMPATÍVEL","OK"))))</f>
        <v>OK</v>
      </c>
    </row>
    <row r="9" spans="1:11" ht="30" hidden="1" customHeight="1" x14ac:dyDescent="0.25">
      <c r="A9" s="86" t="s">
        <v>1317</v>
      </c>
      <c r="B9" s="85">
        <f>IF(A9="","",IF(INDEX(EXTRATO!$C$2:$C$3000,MATCH($A9,EXTRATO!$A$2:$A$3000,0))="","",INDEX(EXTRATO!$C$2:$C$3000,MATCH($A9,EXTRATO!$A$2:$A$3000,0))))</f>
        <v>46024</v>
      </c>
      <c r="C9" s="86">
        <f t="shared" si="0"/>
        <v>1</v>
      </c>
      <c r="D9" s="81" t="s">
        <v>1311</v>
      </c>
      <c r="E9" s="79" t="s">
        <v>1312</v>
      </c>
      <c r="F9" s="80">
        <v>490</v>
      </c>
      <c r="G9" s="81" t="s">
        <v>1322</v>
      </c>
      <c r="H9" s="86" t="str">
        <f>IF(A9="","",IF(INDEX(EXTRATO!$F$2:$F$3000,MATCH($A9,EXTRATO!$A$2:$A$3000,0))="","",INDEX(EXTRATO!$F$2:$F$3000,MATCH($A9,EXTRATO!$A$2:$A$3000,0))))</f>
        <v>SAÍDA</v>
      </c>
      <c r="I9" s="88" t="str">
        <f>IF(A9="","",IF(INDEX(EXTRATO!$H$2:$H$3000,MATCH($A9,EXTRATO!$A$2:$A$3000,0))="","",INDEX(EXTRATO!$H$2:$H$3000,MATCH($A9,EXTRATO!$A$2:$A$3000,0))))</f>
        <v>DIALISE COMERCIO</v>
      </c>
      <c r="J9" s="86" t="s">
        <v>1313</v>
      </c>
      <c r="K9" s="86" t="str">
        <f>IF(AND(A9="",D9="",E9="",F9=""),"",IF(D9="","SEM CATEGORIA",IF(E9="","SEM SUBCATEGORIA",IF(COUNTIFS(CADASTROS!$L$7:$L$93,D9,CADASTROS!$D$7:$D$93,E9)=0,"INCOMPATÍVEL","OK"))))</f>
        <v>OK</v>
      </c>
    </row>
    <row r="10" spans="1:11" ht="30" hidden="1" customHeight="1" x14ac:dyDescent="0.25">
      <c r="A10" s="86" t="s">
        <v>1319</v>
      </c>
      <c r="B10" s="85">
        <f>IF(A10="","",IF(INDEX(EXTRATO!$C$2:$C$3000,MATCH($A10,EXTRATO!$A$2:$A$3000,0))="","",INDEX(EXTRATO!$C$2:$C$3000,MATCH($A10,EXTRATO!$A$2:$A$3000,0))))</f>
        <v>46024</v>
      </c>
      <c r="C10" s="86">
        <f t="shared" si="0"/>
        <v>1</v>
      </c>
      <c r="D10" s="81" t="s">
        <v>1311</v>
      </c>
      <c r="E10" s="79" t="s">
        <v>1320</v>
      </c>
      <c r="F10" s="80">
        <v>1800</v>
      </c>
      <c r="G10" s="81" t="s">
        <v>1324</v>
      </c>
      <c r="H10" s="86" t="str">
        <f>IF(A10="","",IF(INDEX(EXTRATO!$F$2:$F$3000,MATCH($A10,EXTRATO!$A$2:$A$3000,0))="","",INDEX(EXTRATO!$F$2:$F$3000,MATCH($A10,EXTRATO!$A$2:$A$3000,0))))</f>
        <v>SAÍDA</v>
      </c>
      <c r="I10" s="88" t="str">
        <f>IF(A10="","",IF(INDEX(EXTRATO!$H$2:$H$3000,MATCH($A10,EXTRATO!$A$2:$A$3000,0))="","",INDEX(EXTRATO!$H$2:$H$3000,MATCH($A10,EXTRATO!$A$2:$A$3000,0))))</f>
        <v>DIALISE COMERCIO</v>
      </c>
      <c r="J10" s="86" t="s">
        <v>1313</v>
      </c>
      <c r="K10" s="86" t="str">
        <f>IF(AND(A10="",D10="",E10="",F10=""),"",IF(D10="","SEM CATEGORIA",IF(E10="","SEM SUBCATEGORIA",IF(COUNTIFS(CADASTROS!$L$7:$L$93,D10,CADASTROS!$D$7:$D$93,E10)=0,"INCOMPATÍVEL","OK"))))</f>
        <v>OK</v>
      </c>
    </row>
    <row r="11" spans="1:11" ht="30" hidden="1" customHeight="1" x14ac:dyDescent="0.25">
      <c r="A11" s="86" t="s">
        <v>1319</v>
      </c>
      <c r="B11" s="85">
        <f>IF(A11="","",IF(INDEX(EXTRATO!$C$2:$C$3000,MATCH($A11,EXTRATO!$A$2:$A$3000,0))="","",INDEX(EXTRATO!$C$2:$C$3000,MATCH($A11,EXTRATO!$A$2:$A$3000,0))))</f>
        <v>46024</v>
      </c>
      <c r="C11" s="86">
        <f t="shared" si="0"/>
        <v>1</v>
      </c>
      <c r="D11" s="81" t="s">
        <v>1311</v>
      </c>
      <c r="E11" s="79" t="s">
        <v>1312</v>
      </c>
      <c r="F11" s="80">
        <v>735</v>
      </c>
      <c r="G11" s="81" t="s">
        <v>1325</v>
      </c>
      <c r="H11" s="86" t="str">
        <f>IF(A11="","",IF(INDEX(EXTRATO!$F$2:$F$3000,MATCH($A11,EXTRATO!$A$2:$A$3000,0))="","",INDEX(EXTRATO!$F$2:$F$3000,MATCH($A11,EXTRATO!$A$2:$A$3000,0))))</f>
        <v>SAÍDA</v>
      </c>
      <c r="I11" s="88" t="str">
        <f>IF(A11="","",IF(INDEX(EXTRATO!$H$2:$H$3000,MATCH($A11,EXTRATO!$A$2:$A$3000,0))="","",INDEX(EXTRATO!$H$2:$H$3000,MATCH($A11,EXTRATO!$A$2:$A$3000,0))))</f>
        <v>DIALISE COMERCIO</v>
      </c>
      <c r="J11" s="86" t="s">
        <v>1313</v>
      </c>
      <c r="K11" s="86" t="str">
        <f>IF(AND(A11="",D11="",E11="",F11=""),"",IF(D11="","SEM CATEGORIA",IF(E11="","SEM SUBCATEGORIA",IF(COUNTIFS(CADASTROS!$L$7:$L$93,D11,CADASTROS!$D$7:$D$93,E11)=0,"INCOMPATÍVEL","OK"))))</f>
        <v>OK</v>
      </c>
    </row>
    <row r="12" spans="1:11" ht="30" hidden="1" customHeight="1" x14ac:dyDescent="0.25">
      <c r="A12" s="86" t="s">
        <v>1323</v>
      </c>
      <c r="B12" s="85">
        <f>IF(A12="","",IF(INDEX(EXTRATO!$C$2:$C$3000,MATCH($A12,EXTRATO!$A$2:$A$3000,0))="","",INDEX(EXTRATO!$C$2:$C$3000,MATCH($A12,EXTRATO!$A$2:$A$3000,0))))</f>
        <v>46024</v>
      </c>
      <c r="C12" s="86">
        <f t="shared" si="0"/>
        <v>1</v>
      </c>
      <c r="D12" s="81" t="s">
        <v>1305</v>
      </c>
      <c r="E12" s="79" t="s">
        <v>1306</v>
      </c>
      <c r="F12" s="80">
        <v>113.28</v>
      </c>
      <c r="G12" s="81" t="s">
        <v>63</v>
      </c>
      <c r="H12" s="86" t="str">
        <f>IF(A12="","",IF(INDEX(EXTRATO!$F$2:$F$3000,MATCH($A12,EXTRATO!$A$2:$A$3000,0))="","",INDEX(EXTRATO!$F$2:$F$3000,MATCH($A12,EXTRATO!$A$2:$A$3000,0))))</f>
        <v>RESGATE</v>
      </c>
      <c r="I12" s="88" t="str">
        <f>IF(A12="","",IF(INDEX(EXTRATO!$H$2:$H$3000,MATCH($A12,EXTRATO!$A$2:$A$3000,0))="","",INDEX(EXTRATO!$H$2:$H$3000,MATCH($A12,EXTRATO!$A$2:$A$3000,0))))</f>
        <v>BANCO DO BRASIL - CDB DI</v>
      </c>
      <c r="J12" s="86" t="s">
        <v>1307</v>
      </c>
      <c r="K12" s="86" t="str">
        <f>IF(AND(A12="",D12="",E12="",F12=""),"",IF(D12="","SEM CATEGORIA",IF(E12="","SEM SUBCATEGORIA",IF(COUNTIFS(CADASTROS!$L$7:$L$93,D12,CADASTROS!$D$7:$D$93,E12)=0,"INCOMPATÍVEL","OK"))))</f>
        <v>OK</v>
      </c>
    </row>
    <row r="13" spans="1:11" ht="30" hidden="1" customHeight="1" x14ac:dyDescent="0.25">
      <c r="A13" s="86" t="s">
        <v>1326</v>
      </c>
      <c r="B13" s="85">
        <f>IF(A13="","",IF(INDEX(EXTRATO!$C$2:$C$3000,MATCH($A13,EXTRATO!$A$2:$A$3000,0))="","",INDEX(EXTRATO!$C$2:$C$3000,MATCH($A13,EXTRATO!$A$2:$A$3000,0))))</f>
        <v>46027</v>
      </c>
      <c r="C13" s="86">
        <f t="shared" si="0"/>
        <v>1</v>
      </c>
      <c r="D13" s="81" t="s">
        <v>1305</v>
      </c>
      <c r="E13" s="79" t="s">
        <v>1306</v>
      </c>
      <c r="F13" s="80">
        <v>2500</v>
      </c>
      <c r="G13" s="81" t="s">
        <v>45</v>
      </c>
      <c r="H13" s="86" t="str">
        <f>IF(A13="","",IF(INDEX(EXTRATO!$F$2:$F$3000,MATCH($A13,EXTRATO!$A$2:$A$3000,0))="","",INDEX(EXTRATO!$F$2:$F$3000,MATCH($A13,EXTRATO!$A$2:$A$3000,0))))</f>
        <v>RESGATE</v>
      </c>
      <c r="I13" s="88" t="str">
        <f>IF(A13="","",IF(INDEX(EXTRATO!$H$2:$H$3000,MATCH($A13,EXTRATO!$A$2:$A$3000,0))="","",INDEX(EXTRATO!$H$2:$H$3000,MATCH($A13,EXTRATO!$A$2:$A$3000,0))))</f>
        <v>BANCO DO BRASIL - CDB DI</v>
      </c>
      <c r="J13" s="86" t="s">
        <v>1307</v>
      </c>
      <c r="K13" s="86" t="str">
        <f>IF(AND(A13="",D13="",E13="",F13=""),"",IF(D13="","SEM CATEGORIA",IF(E13="","SEM SUBCATEGORIA",IF(COUNTIFS(CADASTROS!$L$7:$L$93,D13,CADASTROS!$D$7:$D$93,E13)=0,"INCOMPATÍVEL","OK"))))</f>
        <v>OK</v>
      </c>
    </row>
    <row r="14" spans="1:11" ht="30" hidden="1" customHeight="1" x14ac:dyDescent="0.25">
      <c r="A14" s="86" t="s">
        <v>1327</v>
      </c>
      <c r="B14" s="85">
        <f>IF(A14="","",IF(INDEX(EXTRATO!$C$2:$C$3000,MATCH($A14,EXTRATO!$A$2:$A$3000,0))="","",INDEX(EXTRATO!$C$2:$C$3000,MATCH($A14,EXTRATO!$A$2:$A$3000,0))))</f>
        <v>46027</v>
      </c>
      <c r="C14" s="86">
        <f t="shared" si="0"/>
        <v>1</v>
      </c>
      <c r="D14" s="81" t="s">
        <v>1305</v>
      </c>
      <c r="E14" s="79" t="s">
        <v>1306</v>
      </c>
      <c r="F14" s="80">
        <v>2.4500000000000002</v>
      </c>
      <c r="G14" s="81" t="s">
        <v>45</v>
      </c>
      <c r="H14" s="86" t="str">
        <f>IF(A14="","",IF(INDEX(EXTRATO!$F$2:$F$3000,MATCH($A14,EXTRATO!$A$2:$A$3000,0))="","",INDEX(EXTRATO!$F$2:$F$3000,MATCH($A14,EXTRATO!$A$2:$A$3000,0))))</f>
        <v>RESGATE</v>
      </c>
      <c r="I14" s="88" t="str">
        <f>IF(A14="","",IF(INDEX(EXTRATO!$H$2:$H$3000,MATCH($A14,EXTRATO!$A$2:$A$3000,0))="","",INDEX(EXTRATO!$H$2:$H$3000,MATCH($A14,EXTRATO!$A$2:$A$3000,0))))</f>
        <v>BANCO DO BRASIL - CDB DI</v>
      </c>
      <c r="J14" s="86" t="s">
        <v>1307</v>
      </c>
      <c r="K14" s="86" t="str">
        <f>IF(AND(A14="",D14="",E14="",F14=""),"",IF(D14="","SEM CATEGORIA",IF(E14="","SEM SUBCATEGORIA",IF(COUNTIFS(CADASTROS!$L$7:$L$93,D14,CADASTROS!$D$7:$D$93,E14)=0,"INCOMPATÍVEL","OK"))))</f>
        <v>OK</v>
      </c>
    </row>
    <row r="15" spans="1:11" ht="30" hidden="1" customHeight="1" x14ac:dyDescent="0.25">
      <c r="A15" s="86" t="s">
        <v>1328</v>
      </c>
      <c r="B15" s="85">
        <f>IF(A15="","",IF(INDEX(EXTRATO!$C$2:$C$3000,MATCH($A15,EXTRATO!$A$2:$A$3000,0))="","",INDEX(EXTRATO!$C$2:$C$3000,MATCH($A15,EXTRATO!$A$2:$A$3000,0))))</f>
        <v>46027</v>
      </c>
      <c r="C15" s="86">
        <f t="shared" si="0"/>
        <v>1</v>
      </c>
      <c r="D15" s="81" t="s">
        <v>1330</v>
      </c>
      <c r="E15" s="79" t="s">
        <v>1331</v>
      </c>
      <c r="F15" s="80">
        <v>727</v>
      </c>
      <c r="G15" s="81" t="s">
        <v>64</v>
      </c>
      <c r="H15" s="86" t="str">
        <f>IF(A15="","",IF(INDEX(EXTRATO!$F$2:$F$3000,MATCH($A15,EXTRATO!$A$2:$A$3000,0))="","",INDEX(EXTRATO!$F$2:$F$3000,MATCH($A15,EXTRATO!$A$2:$A$3000,0))))</f>
        <v>SAÍDA</v>
      </c>
      <c r="I15" s="88" t="str">
        <f>IF(A15="","",IF(INDEX(EXTRATO!$H$2:$H$3000,MATCH($A15,EXTRATO!$A$2:$A$3000,0))="","",INDEX(EXTRATO!$H$2:$H$3000,MATCH($A15,EXTRATO!$A$2:$A$3000,0))))</f>
        <v>BRANDÃO &amp; BRANDÃO</v>
      </c>
      <c r="J15" s="86" t="s">
        <v>1313</v>
      </c>
      <c r="K15" s="86" t="str">
        <f>IF(AND(A15="",D15="",E15="",F15=""),"",IF(D15="","SEM CATEGORIA",IF(E15="","SEM SUBCATEGORIA",IF(COUNTIFS(CADASTROS!$L$7:$L$93,D15,CADASTROS!$D$7:$D$93,E15)=0,"INCOMPATÍVEL","OK"))))</f>
        <v>OK</v>
      </c>
    </row>
    <row r="16" spans="1:11" ht="30" hidden="1" customHeight="1" x14ac:dyDescent="0.25">
      <c r="A16" s="86" t="s">
        <v>1329</v>
      </c>
      <c r="B16" s="85">
        <f>IF(A16="","",IF(INDEX(EXTRATO!$C$2:$C$3000,MATCH($A16,EXTRATO!$A$2:$A$3000,0))="","",INDEX(EXTRATO!$C$2:$C$3000,MATCH($A16,EXTRATO!$A$2:$A$3000,0))))</f>
        <v>46027</v>
      </c>
      <c r="C16" s="86">
        <f t="shared" si="0"/>
        <v>1</v>
      </c>
      <c r="D16" s="81" t="s">
        <v>1330</v>
      </c>
      <c r="E16" s="79" t="s">
        <v>1333</v>
      </c>
      <c r="F16" s="80">
        <v>1518</v>
      </c>
      <c r="G16" s="81" t="s">
        <v>67</v>
      </c>
      <c r="H16" s="86" t="str">
        <f>IF(A16="","",IF(INDEX(EXTRATO!$F$2:$F$3000,MATCH($A16,EXTRATO!$A$2:$A$3000,0))="","",INDEX(EXTRATO!$F$2:$F$3000,MATCH($A16,EXTRATO!$A$2:$A$3000,0))))</f>
        <v>SAÍDA</v>
      </c>
      <c r="I16" s="88" t="str">
        <f>IF(A16="","",IF(INDEX(EXTRATO!$H$2:$H$3000,MATCH($A16,EXTRATO!$A$2:$A$3000,0))="","",INDEX(EXTRATO!$H$2:$H$3000,MATCH($A16,EXTRATO!$A$2:$A$3000,0))))</f>
        <v>CASSIANO &amp; CASSINOS CONTABILIDADE</v>
      </c>
      <c r="J16" s="86" t="s">
        <v>1313</v>
      </c>
      <c r="K16" s="86" t="str">
        <f>IF(AND(A16="",D16="",E16="",F16=""),"",IF(D16="","SEM CATEGORIA",IF(E16="","SEM SUBCATEGORIA",IF(COUNTIFS(CADASTROS!$L$7:$L$93,D16,CADASTROS!$D$7:$D$93,E16)=0,"INCOMPATÍVEL","OK"))))</f>
        <v>OK</v>
      </c>
    </row>
    <row r="17" spans="1:11" ht="30" hidden="1" customHeight="1" x14ac:dyDescent="0.25">
      <c r="A17" s="86" t="s">
        <v>1332</v>
      </c>
      <c r="B17" s="85">
        <f>IF(A17="","",IF(INDEX(EXTRATO!$C$2:$C$3000,MATCH($A17,EXTRATO!$A$2:$A$3000,0))="","",INDEX(EXTRATO!$C$2:$C$3000,MATCH($A17,EXTRATO!$A$2:$A$3000,0))))</f>
        <v>46028</v>
      </c>
      <c r="C17" s="86">
        <f t="shared" si="0"/>
        <v>1</v>
      </c>
      <c r="D17" s="81" t="s">
        <v>1330</v>
      </c>
      <c r="E17" s="79" t="s">
        <v>1335</v>
      </c>
      <c r="F17" s="80">
        <v>115</v>
      </c>
      <c r="G17" s="81" t="s">
        <v>69</v>
      </c>
      <c r="H17" s="86" t="str">
        <f>IF(A17="","",IF(INDEX(EXTRATO!$F$2:$F$3000,MATCH($A17,EXTRATO!$A$2:$A$3000,0))="","",INDEX(EXTRATO!$F$2:$F$3000,MATCH($A17,EXTRATO!$A$2:$A$3000,0))))</f>
        <v>SAÍDA</v>
      </c>
      <c r="I17" s="88" t="str">
        <f>IF(A17="","",IF(INDEX(EXTRATO!$H$2:$H$3000,MATCH($A17,EXTRATO!$A$2:$A$3000,0))="","",INDEX(EXTRATO!$H$2:$H$3000,MATCH($A17,EXTRATO!$A$2:$A$3000,0))))</f>
        <v>GAS SÃO JOSE</v>
      </c>
      <c r="J17" s="86" t="s">
        <v>1313</v>
      </c>
      <c r="K17" s="86" t="str">
        <f>IF(AND(A17="",D17="",E17="",F17=""),"",IF(D17="","SEM CATEGORIA",IF(E17="","SEM SUBCATEGORIA",IF(COUNTIFS(CADASTROS!$L$7:$L$93,D17,CADASTROS!$D$7:$D$93,E17)=0,"INCOMPATÍVEL","OK"))))</f>
        <v>OK</v>
      </c>
    </row>
    <row r="18" spans="1:11" ht="30" hidden="1" customHeight="1" x14ac:dyDescent="0.25">
      <c r="A18" s="86" t="s">
        <v>1334</v>
      </c>
      <c r="B18" s="85">
        <f>IF(A18="","",IF(INDEX(EXTRATO!$C$2:$C$3000,MATCH($A18,EXTRATO!$A$2:$A$3000,0))="","",INDEX(EXTRATO!$C$2:$C$3000,MATCH($A18,EXTRATO!$A$2:$A$3000,0))))</f>
        <v>46028</v>
      </c>
      <c r="C18" s="86">
        <f t="shared" si="0"/>
        <v>1</v>
      </c>
      <c r="D18" s="81" t="s">
        <v>1330</v>
      </c>
      <c r="E18" s="79" t="s">
        <v>1337</v>
      </c>
      <c r="F18" s="80">
        <v>120.24</v>
      </c>
      <c r="G18" s="81" t="s">
        <v>73</v>
      </c>
      <c r="H18" s="86" t="str">
        <f>IF(A18="","",IF(INDEX(EXTRATO!$F$2:$F$3000,MATCH($A18,EXTRATO!$A$2:$A$3000,0))="","",INDEX(EXTRATO!$F$2:$F$3000,MATCH($A18,EXTRATO!$A$2:$A$3000,0))))</f>
        <v>SAÍDA</v>
      </c>
      <c r="I18" s="88" t="str">
        <f>IF(A18="","",IF(INDEX(EXTRATO!$H$2:$H$3000,MATCH($A18,EXTRATO!$A$2:$A$3000,0))="","",INDEX(EXTRATO!$H$2:$H$3000,MATCH($A18,EXTRATO!$A$2:$A$3000,0))))</f>
        <v>MARKETPLACE MERCADO LIVRE</v>
      </c>
      <c r="J18" s="86" t="s">
        <v>1313</v>
      </c>
      <c r="K18" s="86" t="str">
        <f>IF(AND(A18="",D18="",E18="",F18=""),"",IF(D18="","SEM CATEGORIA",IF(E18="","SEM SUBCATEGORIA",IF(COUNTIFS(CADASTROS!$L$7:$L$93,D18,CADASTROS!$D$7:$D$93,E18)=0,"INCOMPATÍVEL","OK"))))</f>
        <v>OK</v>
      </c>
    </row>
    <row r="19" spans="1:11" ht="30" hidden="1" customHeight="1" x14ac:dyDescent="0.25">
      <c r="A19" s="86" t="s">
        <v>1336</v>
      </c>
      <c r="B19" s="85">
        <f>IF(A19="","",IF(INDEX(EXTRATO!$C$2:$C$3000,MATCH($A19,EXTRATO!$A$2:$A$3000,0))="","",INDEX(EXTRATO!$C$2:$C$3000,MATCH($A19,EXTRATO!$A$2:$A$3000,0))))</f>
        <v>46029</v>
      </c>
      <c r="C19" s="86">
        <f t="shared" si="0"/>
        <v>1</v>
      </c>
      <c r="D19" s="81" t="s">
        <v>1305</v>
      </c>
      <c r="E19" s="79" t="s">
        <v>1339</v>
      </c>
      <c r="F19" s="80">
        <v>30897.61</v>
      </c>
      <c r="G19" s="81" t="s">
        <v>76</v>
      </c>
      <c r="H19" s="86" t="str">
        <f>IF(A19="","",IF(INDEX(EXTRATO!$F$2:$F$3000,MATCH($A19,EXTRATO!$A$2:$A$3000,0))="","",INDEX(EXTRATO!$F$2:$F$3000,MATCH($A19,EXTRATO!$A$2:$A$3000,0))))</f>
        <v>ENTRADA</v>
      </c>
      <c r="I19" s="88" t="str">
        <f>IF(A19="","",IF(INDEX(EXTRATO!$H$2:$H$3000,MATCH($A19,EXTRATO!$A$2:$A$3000,0))="","",INDEX(EXTRATO!$H$2:$H$3000,MATCH($A19,EXTRATO!$A$2:$A$3000,0))))</f>
        <v>MA FES ENFERMAGEM</v>
      </c>
      <c r="J19" s="86" t="s">
        <v>1307</v>
      </c>
      <c r="K19" s="86" t="str">
        <f>IF(AND(A19="",D19="",E19="",F19=""),"",IF(D19="","SEM CATEGORIA",IF(E19="","SEM SUBCATEGORIA",IF(COUNTIFS(CADASTROS!$L$7:$L$93,D19,CADASTROS!$D$7:$D$93,E19)=0,"INCOMPATÍVEL","OK"))))</f>
        <v>OK</v>
      </c>
    </row>
    <row r="20" spans="1:11" ht="30" hidden="1" customHeight="1" x14ac:dyDescent="0.25">
      <c r="A20" s="86" t="s">
        <v>1338</v>
      </c>
      <c r="B20" s="85">
        <f>IF(A20="","",IF(INDEX(EXTRATO!$C$2:$C$3000,MATCH($A20,EXTRATO!$A$2:$A$3000,0))="","",INDEX(EXTRATO!$C$2:$C$3000,MATCH($A20,EXTRATO!$A$2:$A$3000,0))))</f>
        <v>46029</v>
      </c>
      <c r="C20" s="86">
        <f t="shared" si="0"/>
        <v>1</v>
      </c>
      <c r="D20" s="81" t="s">
        <v>1330</v>
      </c>
      <c r="E20" s="79" t="s">
        <v>1333</v>
      </c>
      <c r="F20" s="80">
        <v>220</v>
      </c>
      <c r="G20" s="81" t="s">
        <v>78</v>
      </c>
      <c r="H20" s="86" t="str">
        <f>IF(A20="","",IF(INDEX(EXTRATO!$F$2:$F$3000,MATCH($A20,EXTRATO!$A$2:$A$3000,0))="","",INDEX(EXTRATO!$F$2:$F$3000,MATCH($A20,EXTRATO!$A$2:$A$3000,0))))</f>
        <v>SAÍDA</v>
      </c>
      <c r="I20" s="88" t="str">
        <f>IF(A20="","",IF(INDEX(EXTRATO!$H$2:$H$3000,MATCH($A20,EXTRATO!$A$2:$A$3000,0))="","",INDEX(EXTRATO!$H$2:$H$3000,MATCH($A20,EXTRATO!$A$2:$A$3000,0))))</f>
        <v>CASSIANO &amp; CASSINOS CONTABILIDADE</v>
      </c>
      <c r="J20" s="86" t="s">
        <v>1313</v>
      </c>
      <c r="K20" s="86" t="str">
        <f>IF(AND(A20="",D20="",E20="",F20=""),"",IF(D20="","SEM CATEGORIA",IF(E20="","SEM SUBCATEGORIA",IF(COUNTIFS(CADASTROS!$L$7:$L$93,D20,CADASTROS!$D$7:$D$93,E20)=0,"INCOMPATÍVEL","OK"))))</f>
        <v>OK</v>
      </c>
    </row>
    <row r="21" spans="1:11" ht="30" hidden="1" customHeight="1" x14ac:dyDescent="0.25">
      <c r="A21" s="86" t="s">
        <v>1340</v>
      </c>
      <c r="B21" s="85">
        <f>IF(A21="","",IF(INDEX(EXTRATO!$C$2:$C$3000,MATCH($A21,EXTRATO!$A$2:$A$3000,0))="","",INDEX(EXTRATO!$C$2:$C$3000,MATCH($A21,EXTRATO!$A$2:$A$3000,0))))</f>
        <v>46029</v>
      </c>
      <c r="C21" s="86">
        <f t="shared" si="0"/>
        <v>1</v>
      </c>
      <c r="D21" s="81" t="s">
        <v>1311</v>
      </c>
      <c r="E21" s="79" t="s">
        <v>1342</v>
      </c>
      <c r="F21" s="80">
        <v>10335.4</v>
      </c>
      <c r="G21" s="81" t="s">
        <v>80</v>
      </c>
      <c r="H21" s="86" t="str">
        <f>IF(A21="","",IF(INDEX(EXTRATO!$F$2:$F$3000,MATCH($A21,EXTRATO!$A$2:$A$3000,0))="","",INDEX(EXTRATO!$F$2:$F$3000,MATCH($A21,EXTRATO!$A$2:$A$3000,0))))</f>
        <v>SAÍDA</v>
      </c>
      <c r="I21" s="88" t="str">
        <f>IF(A21="","",IF(INDEX(EXTRATO!$H$2:$H$3000,MATCH($A21,EXTRATO!$A$2:$A$3000,0))="","",INDEX(EXTRATO!$H$2:$H$3000,MATCH($A21,EXTRATO!$A$2:$A$3000,0))))</f>
        <v>CRISTALIA PRODUTOS</v>
      </c>
      <c r="J21" s="86" t="s">
        <v>1313</v>
      </c>
      <c r="K21" s="86" t="str">
        <f>IF(AND(A21="",D21="",E21="",F21=""),"",IF(D21="","SEM CATEGORIA",IF(E21="","SEM SUBCATEGORIA",IF(COUNTIFS(CADASTROS!$L$7:$L$93,D21,CADASTROS!$D$7:$D$93,E21)=0,"INCOMPATÍVEL","OK"))))</f>
        <v>OK</v>
      </c>
    </row>
    <row r="22" spans="1:11" ht="30" hidden="1" customHeight="1" x14ac:dyDescent="0.25">
      <c r="A22" s="86" t="s">
        <v>1341</v>
      </c>
      <c r="B22" s="85">
        <f>IF(A22="","",IF(INDEX(EXTRATO!$C$2:$C$3000,MATCH($A22,EXTRATO!$A$2:$A$3000,0))="","",INDEX(EXTRATO!$C$2:$C$3000,MATCH($A22,EXTRATO!$A$2:$A$3000,0))))</f>
        <v>46029</v>
      </c>
      <c r="C22" s="86">
        <f t="shared" si="0"/>
        <v>1</v>
      </c>
      <c r="D22" s="81" t="s">
        <v>1330</v>
      </c>
      <c r="E22" s="79" t="s">
        <v>1344</v>
      </c>
      <c r="F22" s="80">
        <v>27.78</v>
      </c>
      <c r="G22" s="81" t="s">
        <v>83</v>
      </c>
      <c r="H22" s="86" t="str">
        <f>IF(A22="","",IF(INDEX(EXTRATO!$F$2:$F$3000,MATCH($A22,EXTRATO!$A$2:$A$3000,0))="","",INDEX(EXTRATO!$F$2:$F$3000,MATCH($A22,EXTRATO!$A$2:$A$3000,0))))</f>
        <v>SAÍDA</v>
      </c>
      <c r="I22" s="88" t="str">
        <f>IF(A22="","",IF(INDEX(EXTRATO!$H$2:$H$3000,MATCH($A22,EXTRATO!$A$2:$A$3000,0))="","",INDEX(EXTRATO!$H$2:$H$3000,MATCH($A22,EXTRATO!$A$2:$A$3000,0))))</f>
        <v>EQUATORIAL MARANHÃO</v>
      </c>
      <c r="J22" s="86" t="s">
        <v>1313</v>
      </c>
      <c r="K22" s="86" t="str">
        <f>IF(AND(A22="",D22="",E22="",F22=""),"",IF(D22="","SEM CATEGORIA",IF(E22="","SEM SUBCATEGORIA",IF(COUNTIFS(CADASTROS!$L$7:$L$93,D22,CADASTROS!$D$7:$D$93,E22)=0,"INCOMPATÍVEL","OK"))))</f>
        <v>OK</v>
      </c>
    </row>
    <row r="23" spans="1:11" ht="30" hidden="1" customHeight="1" x14ac:dyDescent="0.25">
      <c r="A23" s="86" t="s">
        <v>1343</v>
      </c>
      <c r="B23" s="85">
        <f>IF(A23="","",IF(INDEX(EXTRATO!$C$2:$C$3000,MATCH($A23,EXTRATO!$A$2:$A$3000,0))="","",INDEX(EXTRATO!$C$2:$C$3000,MATCH($A23,EXTRATO!$A$2:$A$3000,0))))</f>
        <v>46029</v>
      </c>
      <c r="C23" s="86">
        <f t="shared" si="0"/>
        <v>1</v>
      </c>
      <c r="D23" s="81" t="s">
        <v>1330</v>
      </c>
      <c r="E23" s="79" t="s">
        <v>1346</v>
      </c>
      <c r="F23" s="80">
        <v>400</v>
      </c>
      <c r="G23" s="81" t="s">
        <v>85</v>
      </c>
      <c r="H23" s="86" t="str">
        <f>IF(A23="","",IF(INDEX(EXTRATO!$F$2:$F$3000,MATCH($A23,EXTRATO!$A$2:$A$3000,0))="","",INDEX(EXTRATO!$F$2:$F$3000,MATCH($A23,EXTRATO!$A$2:$A$3000,0))))</f>
        <v>SAÍDA</v>
      </c>
      <c r="I23" s="88" t="str">
        <f>IF(A23="","",IF(INDEX(EXTRATO!$H$2:$H$3000,MATCH($A23,EXTRATO!$A$2:$A$3000,0))="","",INDEX(EXTRATO!$H$2:$H$3000,MATCH($A23,EXTRATO!$A$2:$A$3000,0))))</f>
        <v>ANTONIO SANTOS L. FILHO</v>
      </c>
      <c r="J23" s="86" t="s">
        <v>1313</v>
      </c>
      <c r="K23" s="86" t="str">
        <f>IF(AND(A23="",D23="",E23="",F23=""),"",IF(D23="","SEM CATEGORIA",IF(E23="","SEM SUBCATEGORIA",IF(COUNTIFS(CADASTROS!$L$7:$L$93,D23,CADASTROS!$D$7:$D$93,E23)=0,"INCOMPATÍVEL","OK"))))</f>
        <v>OK</v>
      </c>
    </row>
    <row r="24" spans="1:11" ht="30" hidden="1" customHeight="1" x14ac:dyDescent="0.25">
      <c r="A24" s="86" t="s">
        <v>1345</v>
      </c>
      <c r="B24" s="85">
        <f>IF(A24="","",IF(INDEX(EXTRATO!$C$2:$C$3000,MATCH($A24,EXTRATO!$A$2:$A$3000,0))="","",INDEX(EXTRATO!$C$2:$C$3000,MATCH($A24,EXTRATO!$A$2:$A$3000,0))))</f>
        <v>46030</v>
      </c>
      <c r="C24" s="86">
        <f t="shared" si="0"/>
        <v>1</v>
      </c>
      <c r="D24" s="81" t="s">
        <v>1330</v>
      </c>
      <c r="E24" s="79" t="s">
        <v>1331</v>
      </c>
      <c r="F24" s="80">
        <v>561.20000000000005</v>
      </c>
      <c r="G24" s="81" t="s">
        <v>88</v>
      </c>
      <c r="H24" s="86" t="str">
        <f>IF(A24="","",IF(INDEX(EXTRATO!$F$2:$F$3000,MATCH($A24,EXTRATO!$A$2:$A$3000,0))="","",INDEX(EXTRATO!$F$2:$F$3000,MATCH($A24,EXTRATO!$A$2:$A$3000,0))))</f>
        <v>SAÍDA</v>
      </c>
      <c r="I24" s="88" t="str">
        <f>IF(A24="","",IF(INDEX(EXTRATO!$H$2:$H$3000,MATCH($A24,EXTRATO!$A$2:$A$3000,0))="","",INDEX(EXTRATO!$H$2:$H$3000,MATCH($A24,EXTRATO!$A$2:$A$3000,0))))</f>
        <v>ALECRIM INDUSTRIA E COMÉRCIO</v>
      </c>
      <c r="J24" s="86" t="s">
        <v>1313</v>
      </c>
      <c r="K24" s="86" t="str">
        <f>IF(AND(A24="",D24="",E24="",F24=""),"",IF(D24="","SEM CATEGORIA",IF(E24="","SEM SUBCATEGORIA",IF(COUNTIFS(CADASTROS!$L$7:$L$93,D24,CADASTROS!$D$7:$D$93,E24)=0,"INCOMPATÍVEL","OK"))))</f>
        <v>OK</v>
      </c>
    </row>
    <row r="25" spans="1:11" ht="30" hidden="1" customHeight="1" x14ac:dyDescent="0.25">
      <c r="A25" s="86" t="s">
        <v>1347</v>
      </c>
      <c r="B25" s="85">
        <f>IF(A25="","",IF(INDEX(EXTRATO!$C$2:$C$3000,MATCH($A25,EXTRATO!$A$2:$A$3000,0))="","",INDEX(EXTRATO!$C$2:$C$3000,MATCH($A25,EXTRATO!$A$2:$A$3000,0))))</f>
        <v>46030</v>
      </c>
      <c r="C25" s="86">
        <f t="shared" si="0"/>
        <v>1</v>
      </c>
      <c r="D25" s="81" t="s">
        <v>1349</v>
      </c>
      <c r="E25" s="79" t="s">
        <v>1350</v>
      </c>
      <c r="F25" s="80">
        <v>1935.4</v>
      </c>
      <c r="G25" s="81" t="s">
        <v>91</v>
      </c>
      <c r="H25" s="86" t="str">
        <f>IF(A25="","",IF(INDEX(EXTRATO!$F$2:$F$3000,MATCH($A25,EXTRATO!$A$2:$A$3000,0))="","",INDEX(EXTRATO!$F$2:$F$3000,MATCH($A25,EXTRATO!$A$2:$A$3000,0))))</f>
        <v>SAÍDA</v>
      </c>
      <c r="I25" s="88" t="str">
        <f>IF(A25="","",IF(INDEX(EXTRATO!$H$2:$H$3000,MATCH($A25,EXTRATO!$A$2:$A$3000,0))="","",INDEX(EXTRATO!$H$2:$H$3000,MATCH($A25,EXTRATO!$A$2:$A$3000,0))))</f>
        <v>BANCO VOLKSWAGEN</v>
      </c>
      <c r="J25" s="86" t="s">
        <v>1313</v>
      </c>
      <c r="K25" s="86" t="str">
        <f>IF(AND(A25="",D25="",E25="",F25=""),"",IF(D25="","SEM CATEGORIA",IF(E25="","SEM SUBCATEGORIA",IF(COUNTIFS(CADASTROS!$L$7:$L$93,D25,CADASTROS!$D$7:$D$93,E25)=0,"INCOMPATÍVEL","OK"))))</f>
        <v>OK</v>
      </c>
    </row>
    <row r="26" spans="1:11" ht="30" hidden="1" customHeight="1" x14ac:dyDescent="0.25">
      <c r="A26" s="86" t="s">
        <v>1348</v>
      </c>
      <c r="B26" s="85">
        <f>IF(A26="","",IF(INDEX(EXTRATO!$C$2:$C$3000,MATCH($A26,EXTRATO!$A$2:$A$3000,0))="","",INDEX(EXTRATO!$C$2:$C$3000,MATCH($A26,EXTRATO!$A$2:$A$3000,0))))</f>
        <v>46030</v>
      </c>
      <c r="C26" s="86">
        <f t="shared" si="0"/>
        <v>1</v>
      </c>
      <c r="D26" s="81" t="s">
        <v>1330</v>
      </c>
      <c r="E26" s="79" t="s">
        <v>1352</v>
      </c>
      <c r="F26" s="80">
        <v>26.25</v>
      </c>
      <c r="G26" s="81" t="s">
        <v>94</v>
      </c>
      <c r="H26" s="86" t="str">
        <f>IF(A26="","",IF(INDEX(EXTRATO!$F$2:$F$3000,MATCH($A26,EXTRATO!$A$2:$A$3000,0))="","",INDEX(EXTRATO!$F$2:$F$3000,MATCH($A26,EXTRATO!$A$2:$A$3000,0))))</f>
        <v>SAÍDA</v>
      </c>
      <c r="I26" s="88" t="str">
        <f>IF(A26="","",IF(INDEX(EXTRATO!$H$2:$H$3000,MATCH($A26,EXTRATO!$A$2:$A$3000,0))="","",INDEX(EXTRATO!$H$2:$H$3000,MATCH($A26,EXTRATO!$A$2:$A$3000,0))))</f>
        <v>TARIFA BANCÁRIA</v>
      </c>
      <c r="J26" s="86" t="s">
        <v>1313</v>
      </c>
      <c r="K26" s="86" t="str">
        <f>IF(AND(A26="",D26="",E26="",F26=""),"",IF(D26="","SEM CATEGORIA",IF(E26="","SEM SUBCATEGORIA",IF(COUNTIFS(CADASTROS!$L$7:$L$93,D26,CADASTROS!$D$7:$D$93,E26)=0,"INCOMPATÍVEL","OK"))))</f>
        <v>OK</v>
      </c>
    </row>
    <row r="27" spans="1:11" ht="30" hidden="1" customHeight="1" x14ac:dyDescent="0.25">
      <c r="A27" s="86" t="s">
        <v>1351</v>
      </c>
      <c r="B27" s="85">
        <f>IF(A27="","",IF(INDEX(EXTRATO!$C$2:$C$3000,MATCH($A27,EXTRATO!$A$2:$A$3000,0))="","",INDEX(EXTRATO!$C$2:$C$3000,MATCH($A27,EXTRATO!$A$2:$A$3000,0))))</f>
        <v>46030</v>
      </c>
      <c r="C27" s="86">
        <f t="shared" si="0"/>
        <v>1</v>
      </c>
      <c r="D27" s="81" t="s">
        <v>1305</v>
      </c>
      <c r="E27" s="79" t="s">
        <v>1306</v>
      </c>
      <c r="F27" s="80">
        <v>241.68</v>
      </c>
      <c r="G27" s="81" t="s">
        <v>63</v>
      </c>
      <c r="H27" s="86" t="str">
        <f>IF(A27="","",IF(INDEX(EXTRATO!$F$2:$F$3000,MATCH($A27,EXTRATO!$A$2:$A$3000,0))="","",INDEX(EXTRATO!$F$2:$F$3000,MATCH($A27,EXTRATO!$A$2:$A$3000,0))))</f>
        <v>RESGATE</v>
      </c>
      <c r="I27" s="88" t="str">
        <f>IF(A27="","",IF(INDEX(EXTRATO!$H$2:$H$3000,MATCH($A27,EXTRATO!$A$2:$A$3000,0))="","",INDEX(EXTRATO!$H$2:$H$3000,MATCH($A27,EXTRATO!$A$2:$A$3000,0))))</f>
        <v>BANCO DO BRASIL - CDB DI</v>
      </c>
      <c r="J27" s="86" t="s">
        <v>1307</v>
      </c>
      <c r="K27" s="86" t="str">
        <f>IF(AND(A27="",D27="",E27="",F27=""),"",IF(D27="","SEM CATEGORIA",IF(E27="","SEM SUBCATEGORIA",IF(COUNTIFS(CADASTROS!$L$7:$L$93,D27,CADASTROS!$D$7:$D$93,E27)=0,"INCOMPATÍVEL","OK"))))</f>
        <v>OK</v>
      </c>
    </row>
    <row r="28" spans="1:11" ht="30" hidden="1" customHeight="1" x14ac:dyDescent="0.25">
      <c r="A28" s="86" t="s">
        <v>1353</v>
      </c>
      <c r="B28" s="85">
        <f>IF(A28="","",IF(INDEX(EXTRATO!$C$2:$C$3000,MATCH($A28,EXTRATO!$A$2:$A$3000,0))="","",INDEX(EXTRATO!$C$2:$C$3000,MATCH($A28,EXTRATO!$A$2:$A$3000,0))))</f>
        <v>46030</v>
      </c>
      <c r="C28" s="86">
        <f t="shared" si="0"/>
        <v>1</v>
      </c>
      <c r="D28" s="81" t="s">
        <v>1305</v>
      </c>
      <c r="E28" s="79" t="s">
        <v>1306</v>
      </c>
      <c r="F28" s="80">
        <v>37500</v>
      </c>
      <c r="G28" s="81" t="s">
        <v>45</v>
      </c>
      <c r="H28" s="86" t="str">
        <f>IF(A28="","",IF(INDEX(EXTRATO!$F$2:$F$3000,MATCH($A28,EXTRATO!$A$2:$A$3000,0))="","",INDEX(EXTRATO!$F$2:$F$3000,MATCH($A28,EXTRATO!$A$2:$A$3000,0))))</f>
        <v>RESGATE</v>
      </c>
      <c r="I28" s="88" t="str">
        <f>IF(A28="","",IF(INDEX(EXTRATO!$H$2:$H$3000,MATCH($A28,EXTRATO!$A$2:$A$3000,0))="","",INDEX(EXTRATO!$H$2:$H$3000,MATCH($A28,EXTRATO!$A$2:$A$3000,0))))</f>
        <v>BANCO DO BRASIL - CDB DI</v>
      </c>
      <c r="J28" s="86" t="s">
        <v>1307</v>
      </c>
      <c r="K28" s="86" t="str">
        <f>IF(AND(A28="",D28="",E28="",F28=""),"",IF(D28="","SEM CATEGORIA",IF(E28="","SEM SUBCATEGORIA",IF(COUNTIFS(CADASTROS!$L$7:$L$93,D28,CADASTROS!$D$7:$D$93,E28)=0,"INCOMPATÍVEL","OK"))))</f>
        <v>OK</v>
      </c>
    </row>
    <row r="29" spans="1:11" ht="30" hidden="1" customHeight="1" x14ac:dyDescent="0.25">
      <c r="A29" s="86" t="s">
        <v>1354</v>
      </c>
      <c r="B29" s="85">
        <f>IF(A29="","",IF(INDEX(EXTRATO!$C$2:$C$3000,MATCH($A29,EXTRATO!$A$2:$A$3000,0))="","",INDEX(EXTRATO!$C$2:$C$3000,MATCH($A29,EXTRATO!$A$2:$A$3000,0))))</f>
        <v>46030</v>
      </c>
      <c r="C29" s="86">
        <f t="shared" si="0"/>
        <v>1</v>
      </c>
      <c r="D29" s="81" t="s">
        <v>1367</v>
      </c>
      <c r="E29" s="79" t="s">
        <v>1479</v>
      </c>
      <c r="F29" s="80">
        <v>55071.75</v>
      </c>
      <c r="G29" s="81" t="s">
        <v>229</v>
      </c>
      <c r="H29" s="86" t="str">
        <f>IF(A29="","",IF(INDEX(EXTRATO!$F$2:$F$3000,MATCH($A29,EXTRATO!$A$2:$A$3000,0))="","",INDEX(EXTRATO!$F$2:$F$3000,MATCH($A29,EXTRATO!$A$2:$A$3000,0))))</f>
        <v>SAÍDA</v>
      </c>
      <c r="I29" s="88" t="str">
        <f>IF(A29="","",IF(INDEX(EXTRATO!$H$2:$H$3000,MATCH($A29,EXTRATO!$A$2:$A$3000,0))="","",INDEX(EXTRATO!$H$2:$H$3000,MATCH($A29,EXTRATO!$A$2:$A$3000,0))))</f>
        <v>FOLHA DE PAGAMENTO</v>
      </c>
      <c r="J29" s="86" t="s">
        <v>1313</v>
      </c>
      <c r="K29" s="86" t="str">
        <f>IF(AND(A29="",D29="",E29="",F29=""),"",IF(D29="","SEM CATEGORIA",IF(E29="","SEM SUBCATEGORIA",IF(COUNTIFS(CADASTROS!$L$7:$L$93,D29,CADASTROS!$D$7:$D$93,E29)=0,"INCOMPATÍVEL","OK"))))</f>
        <v>OK</v>
      </c>
    </row>
    <row r="30" spans="1:11" ht="30" hidden="1" customHeight="1" x14ac:dyDescent="0.25">
      <c r="A30" s="86" t="s">
        <v>1355</v>
      </c>
      <c r="B30" s="85">
        <f>IF(A30="","",IF(INDEX(EXTRATO!$C$2:$C$3000,MATCH($A30,EXTRATO!$A$2:$A$3000,0))="","",INDEX(EXTRATO!$C$2:$C$3000,MATCH($A30,EXTRATO!$A$2:$A$3000,0))))</f>
        <v>46031</v>
      </c>
      <c r="C30" s="86">
        <f t="shared" si="0"/>
        <v>1</v>
      </c>
      <c r="D30" s="81" t="s">
        <v>1305</v>
      </c>
      <c r="E30" s="79" t="s">
        <v>1306</v>
      </c>
      <c r="F30" s="80">
        <v>69</v>
      </c>
      <c r="G30" s="81" t="s">
        <v>45</v>
      </c>
      <c r="H30" s="86" t="str">
        <f>IF(A30="","",IF(INDEX(EXTRATO!$F$2:$F$3000,MATCH($A30,EXTRATO!$A$2:$A$3000,0))="","",INDEX(EXTRATO!$F$2:$F$3000,MATCH($A30,EXTRATO!$A$2:$A$3000,0))))</f>
        <v>RESGATE</v>
      </c>
      <c r="I30" s="88" t="str">
        <f>IF(A30="","",IF(INDEX(EXTRATO!$H$2:$H$3000,MATCH($A30,EXTRATO!$A$2:$A$3000,0))="","",INDEX(EXTRATO!$H$2:$H$3000,MATCH($A30,EXTRATO!$A$2:$A$3000,0))))</f>
        <v>BANCO DO BRASIL - CDB DI</v>
      </c>
      <c r="J30" s="86" t="s">
        <v>1307</v>
      </c>
      <c r="K30" s="86" t="str">
        <f>IF(AND(A30="",D30="",E30="",F30=""),"",IF(D30="","SEM CATEGORIA",IF(E30="","SEM SUBCATEGORIA",IF(COUNTIFS(CADASTROS!$L$7:$L$93,D30,CADASTROS!$D$7:$D$93,E30)=0,"INCOMPATÍVEL","OK"))))</f>
        <v>OK</v>
      </c>
    </row>
    <row r="31" spans="1:11" ht="30" hidden="1" customHeight="1" x14ac:dyDescent="0.25">
      <c r="A31" s="86" t="s">
        <v>1356</v>
      </c>
      <c r="B31" s="85">
        <f>IF(A31="","",IF(INDEX(EXTRATO!$C$2:$C$3000,MATCH($A31,EXTRATO!$A$2:$A$3000,0))="","",INDEX(EXTRATO!$C$2:$C$3000,MATCH($A31,EXTRATO!$A$2:$A$3000,0))))</f>
        <v>46031</v>
      </c>
      <c r="C31" s="86">
        <f t="shared" si="0"/>
        <v>1</v>
      </c>
      <c r="D31" s="81" t="s">
        <v>1330</v>
      </c>
      <c r="E31" s="79" t="s">
        <v>1344</v>
      </c>
      <c r="F31" s="80">
        <v>21581.32</v>
      </c>
      <c r="G31" s="81" t="s">
        <v>95</v>
      </c>
      <c r="H31" s="86" t="str">
        <f>IF(A31="","",IF(INDEX(EXTRATO!$F$2:$F$3000,MATCH($A31,EXTRATO!$A$2:$A$3000,0))="","",INDEX(EXTRATO!$F$2:$F$3000,MATCH($A31,EXTRATO!$A$2:$A$3000,0))))</f>
        <v>SAÍDA</v>
      </c>
      <c r="I31" s="88" t="str">
        <f>IF(A31="","",IF(INDEX(EXTRATO!$H$2:$H$3000,MATCH($A31,EXTRATO!$A$2:$A$3000,0))="","",INDEX(EXTRATO!$H$2:$H$3000,MATCH($A31,EXTRATO!$A$2:$A$3000,0))))</f>
        <v>EQUATORIAL MARANHÃO</v>
      </c>
      <c r="J31" s="86" t="s">
        <v>1313</v>
      </c>
      <c r="K31" s="86" t="str">
        <f>IF(AND(A31="",D31="",E31="",F31=""),"",IF(D31="","SEM CATEGORIA",IF(E31="","SEM SUBCATEGORIA",IF(COUNTIFS(CADASTROS!$L$7:$L$93,D31,CADASTROS!$D$7:$D$93,E31)=0,"INCOMPATÍVEL","OK"))))</f>
        <v>OK</v>
      </c>
    </row>
    <row r="32" spans="1:11" ht="30" hidden="1" customHeight="1" x14ac:dyDescent="0.25">
      <c r="A32" s="86" t="s">
        <v>1357</v>
      </c>
      <c r="B32" s="85">
        <f>IF(A32="","",IF(INDEX(EXTRATO!$C$2:$C$3000,MATCH($A32,EXTRATO!$A$2:$A$3000,0))="","",INDEX(EXTRATO!$C$2:$C$3000,MATCH($A32,EXTRATO!$A$2:$A$3000,0))))</f>
        <v>46031</v>
      </c>
      <c r="C32" s="86">
        <f t="shared" si="0"/>
        <v>1</v>
      </c>
      <c r="D32" s="81" t="s">
        <v>1330</v>
      </c>
      <c r="E32" s="79" t="s">
        <v>1358</v>
      </c>
      <c r="F32" s="80">
        <v>4031.09</v>
      </c>
      <c r="G32" s="81" t="s">
        <v>96</v>
      </c>
      <c r="H32" s="86" t="str">
        <f>IF(A32="","",IF(INDEX(EXTRATO!$F$2:$F$3000,MATCH($A32,EXTRATO!$A$2:$A$3000,0))="","",INDEX(EXTRATO!$F$2:$F$3000,MATCH($A32,EXTRATO!$A$2:$A$3000,0))))</f>
        <v>SAÍDA</v>
      </c>
      <c r="I32" s="88" t="str">
        <f>IF(A32="","",IF(INDEX(EXTRATO!$H$2:$H$3000,MATCH($A32,EXTRATO!$A$2:$A$3000,0))="","",INDEX(EXTRATO!$H$2:$H$3000,MATCH($A32,EXTRATO!$A$2:$A$3000,0))))</f>
        <v>CAMINO</v>
      </c>
      <c r="J32" s="86" t="s">
        <v>1313</v>
      </c>
      <c r="K32" s="86" t="str">
        <f>IF(AND(A32="",D32="",E32="",F32=""),"",IF(D32="","SEM CATEGORIA",IF(E32="","SEM SUBCATEGORIA",IF(COUNTIFS(CADASTROS!$L$7:$L$93,D32,CADASTROS!$D$7:$D$93,E32)=0,"INCOMPATÍVEL","OK"))))</f>
        <v>OK</v>
      </c>
    </row>
    <row r="33" spans="1:11" ht="30" hidden="1" customHeight="1" x14ac:dyDescent="0.25">
      <c r="A33" s="86" t="s">
        <v>1359</v>
      </c>
      <c r="B33" s="85">
        <f>IF(A33="","",IF(INDEX(EXTRATO!$C$2:$C$3000,MATCH($A33,EXTRATO!$A$2:$A$3000,0))="","",INDEX(EXTRATO!$C$2:$C$3000,MATCH($A33,EXTRATO!$A$2:$A$3000,0))))</f>
        <v>46031</v>
      </c>
      <c r="C33" s="86">
        <f t="shared" si="0"/>
        <v>1</v>
      </c>
      <c r="D33" s="81" t="s">
        <v>1330</v>
      </c>
      <c r="E33" s="79" t="s">
        <v>2526</v>
      </c>
      <c r="F33" s="80">
        <v>94.6</v>
      </c>
      <c r="G33" s="81" t="s">
        <v>99</v>
      </c>
      <c r="H33" s="86" t="str">
        <f>IF(A33="","",IF(INDEX(EXTRATO!$F$2:$F$3000,MATCH($A33,EXTRATO!$A$2:$A$3000,0))="","",INDEX(EXTRATO!$F$2:$F$3000,MATCH($A33,EXTRATO!$A$2:$A$3000,0))))</f>
        <v>SAÍDA</v>
      </c>
      <c r="I33" s="88" t="str">
        <f>IF(A33="","",IF(INDEX(EXTRATO!$H$2:$H$3000,MATCH($A33,EXTRATO!$A$2:$A$3000,0))="","",INDEX(EXTRATO!$H$2:$H$3000,MATCH($A33,EXTRATO!$A$2:$A$3000,0))))</f>
        <v>J G MARQUES CONVENIENCIA</v>
      </c>
      <c r="J33" s="87" t="s">
        <v>1313</v>
      </c>
      <c r="K33" s="87" t="str">
        <f>IF(AND(A33="",D33="",E33="",F33=""),"",IF(D33="","SEM CATEGORIA",IF(E33="","SEM SUBCATEGORIA",IF(COUNTIFS(CADASTROS!$L$7:$L$93,D33,CADASTROS!$D$7:$D$93,E33)=0,"INCOMPATÍVEL","OK"))))</f>
        <v>OK</v>
      </c>
    </row>
    <row r="34" spans="1:11" ht="30" hidden="1" customHeight="1" x14ac:dyDescent="0.25">
      <c r="A34" s="86" t="s">
        <v>1361</v>
      </c>
      <c r="B34" s="85">
        <f>IF(A34="","",IF(INDEX(EXTRATO!$C$2:$C$3000,MATCH($A34,EXTRATO!$A$2:$A$3000,0))="","",INDEX(EXTRATO!$C$2:$C$3000,MATCH($A34,EXTRATO!$A$2:$A$3000,0))))</f>
        <v>46031</v>
      </c>
      <c r="C34" s="86">
        <f t="shared" si="0"/>
        <v>1</v>
      </c>
      <c r="D34" s="81" t="s">
        <v>1330</v>
      </c>
      <c r="E34" s="79" t="s">
        <v>1337</v>
      </c>
      <c r="F34" s="80">
        <v>387.03</v>
      </c>
      <c r="G34" s="81" t="s">
        <v>102</v>
      </c>
      <c r="H34" s="86" t="str">
        <f>IF(A34="","",IF(INDEX(EXTRATO!$F$2:$F$3000,MATCH($A34,EXTRATO!$A$2:$A$3000,0))="","",INDEX(EXTRATO!$F$2:$F$3000,MATCH($A34,EXTRATO!$A$2:$A$3000,0))))</f>
        <v>SAÍDA</v>
      </c>
      <c r="I34" s="88" t="str">
        <f>IF(A34="","",IF(INDEX(EXTRATO!$H$2:$H$3000,MATCH($A34,EXTRATO!$A$2:$A$3000,0))="","",INDEX(EXTRATO!$H$2:$H$3000,MATCH($A34,EXTRATO!$A$2:$A$3000,0))))</f>
        <v>MARKETPLACE MERCADO LIVRE</v>
      </c>
      <c r="J34" s="86" t="s">
        <v>1313</v>
      </c>
      <c r="K34" s="86" t="str">
        <f>IF(AND(A34="",D34="",E34="",F34=""),"",IF(D34="","SEM CATEGORIA",IF(E34="","SEM SUBCATEGORIA",IF(COUNTIFS(CADASTROS!$L$7:$L$93,D34,CADASTROS!$D$7:$D$93,E34)=0,"INCOMPATÍVEL","OK"))))</f>
        <v>OK</v>
      </c>
    </row>
    <row r="35" spans="1:11" ht="30" hidden="1" customHeight="1" x14ac:dyDescent="0.25">
      <c r="A35" s="86" t="s">
        <v>1362</v>
      </c>
      <c r="B35" s="85">
        <f>IF(A35="","",IF(INDEX(EXTRATO!$C$2:$C$3000,MATCH($A35,EXTRATO!$A$2:$A$3000,0))="","",INDEX(EXTRATO!$C$2:$C$3000,MATCH($A35,EXTRATO!$A$2:$A$3000,0))))</f>
        <v>46031</v>
      </c>
      <c r="C35" s="86">
        <f t="shared" si="0"/>
        <v>1</v>
      </c>
      <c r="D35" s="81" t="s">
        <v>1305</v>
      </c>
      <c r="E35" s="79" t="s">
        <v>1306</v>
      </c>
      <c r="F35" s="80">
        <v>26000</v>
      </c>
      <c r="G35" s="81" t="s">
        <v>45</v>
      </c>
      <c r="H35" s="86" t="str">
        <f>IF(A35="","",IF(INDEX(EXTRATO!$F$2:$F$3000,MATCH($A35,EXTRATO!$A$2:$A$3000,0))="","",INDEX(EXTRATO!$F$2:$F$3000,MATCH($A35,EXTRATO!$A$2:$A$3000,0))))</f>
        <v>RESGATE</v>
      </c>
      <c r="I35" s="88" t="str">
        <f>IF(A35="","",IF(INDEX(EXTRATO!$H$2:$H$3000,MATCH($A35,EXTRATO!$A$2:$A$3000,0))="","",INDEX(EXTRATO!$H$2:$H$3000,MATCH($A35,EXTRATO!$A$2:$A$3000,0))))</f>
        <v>BANCO DO BRASIL - CDB DI</v>
      </c>
      <c r="J35" s="86" t="s">
        <v>1307</v>
      </c>
      <c r="K35" s="86" t="str">
        <f>IF(AND(A35="",D35="",E35="",F35=""),"",IF(D35="","SEM CATEGORIA",IF(E35="","SEM SUBCATEGORIA",IF(COUNTIFS(CADASTROS!$L$7:$L$93,D35,CADASTROS!$D$7:$D$93,E35)=0,"INCOMPATÍVEL","OK"))))</f>
        <v>OK</v>
      </c>
    </row>
    <row r="36" spans="1:11" ht="30" hidden="1" customHeight="1" x14ac:dyDescent="0.25">
      <c r="A36" s="86" t="s">
        <v>1363</v>
      </c>
      <c r="B36" s="85">
        <f>IF(A36="","",IF(INDEX(EXTRATO!$C$2:$C$3000,MATCH($A36,EXTRATO!$A$2:$A$3000,0))="","",INDEX(EXTRATO!$C$2:$C$3000,MATCH($A36,EXTRATO!$A$2:$A$3000,0))))</f>
        <v>46034</v>
      </c>
      <c r="C36" s="86">
        <f t="shared" si="0"/>
        <v>1</v>
      </c>
      <c r="D36" s="81" t="s">
        <v>1305</v>
      </c>
      <c r="E36" s="79" t="s">
        <v>1306</v>
      </c>
      <c r="F36" s="80">
        <v>57.72</v>
      </c>
      <c r="G36" s="81" t="s">
        <v>104</v>
      </c>
      <c r="H36" s="86" t="str">
        <f>IF(A36="","",IF(INDEX(EXTRATO!$F$2:$F$3000,MATCH($A36,EXTRATO!$A$2:$A$3000,0))="","",INDEX(EXTRATO!$F$2:$F$3000,MATCH($A36,EXTRATO!$A$2:$A$3000,0))))</f>
        <v>RESGATE</v>
      </c>
      <c r="I36" s="88" t="str">
        <f>IF(A36="","",IF(INDEX(EXTRATO!$H$2:$H$3000,MATCH($A36,EXTRATO!$A$2:$A$3000,0))="","",INDEX(EXTRATO!$H$2:$H$3000,MATCH($A36,EXTRATO!$A$2:$A$3000,0))))</f>
        <v>BANCO DO BRASIL - CDB DI</v>
      </c>
      <c r="J36" s="86" t="s">
        <v>1307</v>
      </c>
      <c r="K36" s="86" t="str">
        <f>IF(AND(A36="",D36="",E36="",F36=""),"",IF(D36="","SEM CATEGORIA",IF(E36="","SEM SUBCATEGORIA",IF(COUNTIFS(CADASTROS!$L$7:$L$93,D36,CADASTROS!$D$7:$D$93,E36)=0,"INCOMPATÍVEL","OK"))))</f>
        <v>OK</v>
      </c>
    </row>
    <row r="37" spans="1:11" ht="30" hidden="1" customHeight="1" x14ac:dyDescent="0.25">
      <c r="A37" s="86" t="s">
        <v>1364</v>
      </c>
      <c r="B37" s="85">
        <f>IF(A37="","",IF(INDEX(EXTRATO!$C$2:$C$3000,MATCH($A37,EXTRATO!$A$2:$A$3000,0))="","",INDEX(EXTRATO!$C$2:$C$3000,MATCH($A37,EXTRATO!$A$2:$A$3000,0))))</f>
        <v>46034</v>
      </c>
      <c r="C37" s="86">
        <f t="shared" si="0"/>
        <v>1</v>
      </c>
      <c r="D37" s="81"/>
      <c r="E37" s="79"/>
      <c r="F37" s="80">
        <v>290.10000000000002</v>
      </c>
      <c r="G37" s="81" t="s">
        <v>105</v>
      </c>
      <c r="H37" s="86" t="str">
        <f>IF(A37="","",IF(INDEX(EXTRATO!$F$2:$F$3000,MATCH($A37,EXTRATO!$A$2:$A$3000,0))="","",INDEX(EXTRATO!$F$2:$F$3000,MATCH($A37,EXTRATO!$A$2:$A$3000,0))))</f>
        <v>SAÍDA</v>
      </c>
      <c r="I37" s="88" t="str">
        <f>IF(A37="","",IF(INDEX(EXTRATO!$H$2:$H$3000,MATCH($A37,EXTRATO!$A$2:$A$3000,0))="","",INDEX(EXTRATO!$H$2:$H$3000,MATCH($A37,EXTRATO!$A$2:$A$3000,0))))</f>
        <v>TIM S/A</v>
      </c>
      <c r="J37" s="86" t="s">
        <v>1360</v>
      </c>
      <c r="K37" s="86" t="str">
        <f>IF(AND(A37="",D37="",E37="",F37=""),"",IF(D37="","SEM CATEGORIA",IF(E37="","SEM SUBCATEGORIA",IF(COUNTIFS(CADASTROS!$L$7:$L$93,D37,CADASTROS!$D$7:$D$93,E37)=0,"INCOMPATÍVEL","OK"))))</f>
        <v>SEM CATEGORIA</v>
      </c>
    </row>
    <row r="38" spans="1:11" ht="30" hidden="1" customHeight="1" x14ac:dyDescent="0.25">
      <c r="A38" s="86" t="s">
        <v>1365</v>
      </c>
      <c r="B38" s="85">
        <f>IF(A38="","",IF(INDEX(EXTRATO!$C$2:$C$3000,MATCH($A38,EXTRATO!$A$2:$A$3000,0))="","",INDEX(EXTRATO!$C$2:$C$3000,MATCH($A38,EXTRATO!$A$2:$A$3000,0))))</f>
        <v>46034</v>
      </c>
      <c r="C38" s="86">
        <f t="shared" si="0"/>
        <v>1</v>
      </c>
      <c r="D38" s="81"/>
      <c r="E38" s="79"/>
      <c r="F38" s="80">
        <v>290.10000000000002</v>
      </c>
      <c r="G38" s="81" t="s">
        <v>106</v>
      </c>
      <c r="H38" s="86" t="str">
        <f>IF(A38="","",IF(INDEX(EXTRATO!$F$2:$F$3000,MATCH($A38,EXTRATO!$A$2:$A$3000,0))="","",INDEX(EXTRATO!$F$2:$F$3000,MATCH($A38,EXTRATO!$A$2:$A$3000,0))))</f>
        <v>ENTRADA</v>
      </c>
      <c r="I38" s="88" t="str">
        <f>IF(A38="","",IF(INDEX(EXTRATO!$H$2:$H$3000,MATCH($A38,EXTRATO!$A$2:$A$3000,0))="","",INDEX(EXTRATO!$H$2:$H$3000,MATCH($A38,EXTRATO!$A$2:$A$3000,0))))</f>
        <v>BRITO, TORRES &amp; LOBO</v>
      </c>
      <c r="J38" s="86" t="s">
        <v>1360</v>
      </c>
      <c r="K38" s="86" t="str">
        <f>IF(AND(A38="",D38="",E38="",F38=""),"",IF(D38="","SEM CATEGORIA",IF(E38="","SEM SUBCATEGORIA",IF(COUNTIFS(CADASTROS!$L$7:$L$93,D38,CADASTROS!$D$7:$D$93,E38)=0,"INCOMPATÍVEL","OK"))))</f>
        <v>SEM CATEGORIA</v>
      </c>
    </row>
    <row r="39" spans="1:11" ht="30" hidden="1" customHeight="1" x14ac:dyDescent="0.25">
      <c r="A39" s="86" t="s">
        <v>1366</v>
      </c>
      <c r="B39" s="85">
        <f>IF(A39="","",IF(INDEX(EXTRATO!$C$2:$C$3000,MATCH($A39,EXTRATO!$A$2:$A$3000,0))="","",INDEX(EXTRATO!$C$2:$C$3000,MATCH($A39,EXTRATO!$A$2:$A$3000,0))))</f>
        <v>46034</v>
      </c>
      <c r="C39" s="86">
        <f t="shared" si="0"/>
        <v>1</v>
      </c>
      <c r="D39" s="81" t="s">
        <v>1367</v>
      </c>
      <c r="E39" s="79" t="s">
        <v>1368</v>
      </c>
      <c r="F39" s="80">
        <v>169.77</v>
      </c>
      <c r="G39" s="81" t="s">
        <v>1369</v>
      </c>
      <c r="H39" s="86" t="str">
        <f>IF(A39="","",IF(INDEX(EXTRATO!$F$2:$F$3000,MATCH($A39,EXTRATO!$A$2:$A$3000,0))="","",INDEX(EXTRATO!$F$2:$F$3000,MATCH($A39,EXTRATO!$A$2:$A$3000,0))))</f>
        <v>SAÍDA</v>
      </c>
      <c r="I39" s="88" t="str">
        <f>IF(A39="","",IF(INDEX(EXTRATO!$H$2:$H$3000,MATCH($A39,EXTRATO!$A$2:$A$3000,0))="","",INDEX(EXTRATO!$H$2:$H$3000,MATCH($A39,EXTRATO!$A$2:$A$3000,0))))</f>
        <v>FERCASTRO</v>
      </c>
      <c r="J39" s="86" t="s">
        <v>1313</v>
      </c>
      <c r="K39" s="86" t="str">
        <f>IF(AND(A39="",D39="",E39="",F39=""),"",IF(D39="","SEM CATEGORIA",IF(E39="","SEM SUBCATEGORIA",IF(COUNTIFS(CADASTROS!$L$7:$L$93,D39,CADASTROS!$D$7:$D$93,E39)=0,"INCOMPATÍVEL","OK"))))</f>
        <v>OK</v>
      </c>
    </row>
    <row r="40" spans="1:11" ht="30" hidden="1" customHeight="1" x14ac:dyDescent="0.25">
      <c r="A40" s="86" t="s">
        <v>1366</v>
      </c>
      <c r="B40" s="85">
        <f>IF(A40="","",IF(INDEX(EXTRATO!$C$2:$C$3000,MATCH($A40,EXTRATO!$A$2:$A$3000,0))="","",INDEX(EXTRATO!$C$2:$C$3000,MATCH($A40,EXTRATO!$A$2:$A$3000,0))))</f>
        <v>46034</v>
      </c>
      <c r="C40" s="86">
        <f t="shared" si="0"/>
        <v>1</v>
      </c>
      <c r="D40" s="81" t="s">
        <v>1370</v>
      </c>
      <c r="E40" s="79" t="s">
        <v>1371</v>
      </c>
      <c r="F40" s="80">
        <v>18.23</v>
      </c>
      <c r="G40" s="81" t="s">
        <v>1372</v>
      </c>
      <c r="H40" s="86" t="str">
        <f>IF(A40="","",IF(INDEX(EXTRATO!$F$2:$F$3000,MATCH($A40,EXTRATO!$A$2:$A$3000,0))="","",INDEX(EXTRATO!$F$2:$F$3000,MATCH($A40,EXTRATO!$A$2:$A$3000,0))))</f>
        <v>SAÍDA</v>
      </c>
      <c r="I40" s="88" t="str">
        <f>IF(A40="","",IF(INDEX(EXTRATO!$H$2:$H$3000,MATCH($A40,EXTRATO!$A$2:$A$3000,0))="","",INDEX(EXTRATO!$H$2:$H$3000,MATCH($A40,EXTRATO!$A$2:$A$3000,0))))</f>
        <v>FERCASTRO</v>
      </c>
      <c r="J40" s="86" t="s">
        <v>1313</v>
      </c>
      <c r="K40" s="86" t="str">
        <f>IF(AND(A40="",D40="",E40="",F40=""),"",IF(D40="","SEM CATEGORIA",IF(E40="","SEM SUBCATEGORIA",IF(COUNTIFS(CADASTROS!$L$7:$L$93,D40,CADASTROS!$D$7:$D$93,E40)=0,"INCOMPATÍVEL","OK"))))</f>
        <v>OK</v>
      </c>
    </row>
    <row r="41" spans="1:11" ht="30" hidden="1" customHeight="1" x14ac:dyDescent="0.25">
      <c r="A41" s="86" t="s">
        <v>1373</v>
      </c>
      <c r="B41" s="85">
        <f>IF(A41="","",IF(INDEX(EXTRATO!$C$2:$C$3000,MATCH($A41,EXTRATO!$A$2:$A$3000,0))="","",INDEX(EXTRATO!$C$2:$C$3000,MATCH($A41,EXTRATO!$A$2:$A$3000,0))))</f>
        <v>46034</v>
      </c>
      <c r="C41" s="86">
        <f t="shared" si="0"/>
        <v>1</v>
      </c>
      <c r="D41" s="81" t="s">
        <v>1311</v>
      </c>
      <c r="E41" s="79" t="s">
        <v>1374</v>
      </c>
      <c r="F41" s="80">
        <v>360</v>
      </c>
      <c r="G41" s="81" t="s">
        <v>111</v>
      </c>
      <c r="H41" s="86" t="str">
        <f>IF(A41="","",IF(INDEX(EXTRATO!$F$2:$F$3000,MATCH($A41,EXTRATO!$A$2:$A$3000,0))="","",INDEX(EXTRATO!$F$2:$F$3000,MATCH($A41,EXTRATO!$A$2:$A$3000,0))))</f>
        <v>SAÍDA</v>
      </c>
      <c r="I41" s="88" t="str">
        <f>IF(A41="","",IF(INDEX(EXTRATO!$H$2:$H$3000,MATCH($A41,EXTRATO!$A$2:$A$3000,0))="","",INDEX(EXTRATO!$H$2:$H$3000,MATCH($A41,EXTRATO!$A$2:$A$3000,0))))</f>
        <v>M E S XAVIER</v>
      </c>
      <c r="J41" s="86" t="s">
        <v>1313</v>
      </c>
      <c r="K41" s="86" t="str">
        <f>IF(AND(A41="",D41="",E41="",F41=""),"",IF(D41="","SEM CATEGORIA",IF(E41="","SEM SUBCATEGORIA",IF(COUNTIFS(CADASTROS!$L$7:$L$93,D41,CADASTROS!$D$7:$D$93,E41)=0,"INCOMPATÍVEL","OK"))))</f>
        <v>OK</v>
      </c>
    </row>
    <row r="42" spans="1:11" ht="30" hidden="1" customHeight="1" x14ac:dyDescent="0.25">
      <c r="A42" s="86" t="s">
        <v>1375</v>
      </c>
      <c r="B42" s="85">
        <f>IF(A42="","",IF(INDEX(EXTRATO!$C$2:$C$3000,MATCH($A42,EXTRATO!$A$2:$A$3000,0))="","",INDEX(EXTRATO!$C$2:$C$3000,MATCH($A42,EXTRATO!$A$2:$A$3000,0))))</f>
        <v>46034</v>
      </c>
      <c r="C42" s="86">
        <f t="shared" si="0"/>
        <v>1</v>
      </c>
      <c r="D42" s="81" t="s">
        <v>1311</v>
      </c>
      <c r="E42" s="79" t="s">
        <v>1376</v>
      </c>
      <c r="F42" s="80">
        <v>1428.14</v>
      </c>
      <c r="G42" s="81" t="s">
        <v>114</v>
      </c>
      <c r="H42" s="86" t="str">
        <f>IF(A42="","",IF(INDEX(EXTRATO!$F$2:$F$3000,MATCH($A42,EXTRATO!$A$2:$A$3000,0))="","",INDEX(EXTRATO!$F$2:$F$3000,MATCH($A42,EXTRATO!$A$2:$A$3000,0))))</f>
        <v>SAÍDA</v>
      </c>
      <c r="I42" s="88" t="str">
        <f>IF(A42="","",IF(INDEX(EXTRATO!$H$2:$H$3000,MATCH($A42,EXTRATO!$A$2:$A$3000,0))="","",INDEX(EXTRATO!$H$2:$H$3000,MATCH($A42,EXTRATO!$A$2:$A$3000,0))))</f>
        <v>INDIFILTROS FILTROS</v>
      </c>
      <c r="J42" s="86" t="s">
        <v>1313</v>
      </c>
      <c r="K42" s="86" t="str">
        <f>IF(AND(A42="",D42="",E42="",F42=""),"",IF(D42="","SEM CATEGORIA",IF(E42="","SEM SUBCATEGORIA",IF(COUNTIFS(CADASTROS!$L$7:$L$93,D42,CADASTROS!$D$7:$D$93,E42)=0,"INCOMPATÍVEL","OK"))))</f>
        <v>OK</v>
      </c>
    </row>
    <row r="43" spans="1:11" ht="30" hidden="1" customHeight="1" x14ac:dyDescent="0.25">
      <c r="A43" s="86" t="s">
        <v>1377</v>
      </c>
      <c r="B43" s="85">
        <f>IF(A43="","",IF(INDEX(EXTRATO!$C$2:$C$3000,MATCH($A43,EXTRATO!$A$2:$A$3000,0))="","",INDEX(EXTRATO!$C$2:$C$3000,MATCH($A43,EXTRATO!$A$2:$A$3000,0))))</f>
        <v>46034</v>
      </c>
      <c r="C43" s="86">
        <f t="shared" si="0"/>
        <v>1</v>
      </c>
      <c r="D43" s="81" t="s">
        <v>1330</v>
      </c>
      <c r="E43" s="79" t="s">
        <v>1352</v>
      </c>
      <c r="F43" s="80">
        <v>263</v>
      </c>
      <c r="G43" s="81" t="s">
        <v>117</v>
      </c>
      <c r="H43" s="86" t="str">
        <f>IF(A43="","",IF(INDEX(EXTRATO!$F$2:$F$3000,MATCH($A43,EXTRATO!$A$2:$A$3000,0))="","",INDEX(EXTRATO!$F$2:$F$3000,MATCH($A43,EXTRATO!$A$2:$A$3000,0))))</f>
        <v>SAÍDA</v>
      </c>
      <c r="I43" s="88" t="str">
        <f>IF(A43="","",IF(INDEX(EXTRATO!$H$2:$H$3000,MATCH($A43,EXTRATO!$A$2:$A$3000,0))="","",INDEX(EXTRATO!$H$2:$H$3000,MATCH($A43,EXTRATO!$A$2:$A$3000,0))))</f>
        <v>TARIFA PACOTE DE SERVIÇOS</v>
      </c>
      <c r="J43" s="86" t="s">
        <v>1313</v>
      </c>
      <c r="K43" s="86" t="str">
        <f>IF(AND(A43="",D43="",E43="",F43=""),"",IF(D43="","SEM CATEGORIA",IF(E43="","SEM SUBCATEGORIA",IF(COUNTIFS(CADASTROS!$L$7:$L$93,D43,CADASTROS!$D$7:$D$93,E43)=0,"INCOMPATÍVEL","OK"))))</f>
        <v>OK</v>
      </c>
    </row>
    <row r="44" spans="1:11" ht="30" hidden="1" customHeight="1" x14ac:dyDescent="0.25">
      <c r="A44" s="86" t="s">
        <v>1378</v>
      </c>
      <c r="B44" s="85">
        <f>IF(A44="","",IF(INDEX(EXTRATO!$C$2:$C$3000,MATCH($A44,EXTRATO!$A$2:$A$3000,0))="","",INDEX(EXTRATO!$C$2:$C$3000,MATCH($A44,EXTRATO!$A$2:$A$3000,0))))</f>
        <v>46034</v>
      </c>
      <c r="C44" s="86">
        <f t="shared" si="0"/>
        <v>1</v>
      </c>
      <c r="D44" s="81" t="s">
        <v>1330</v>
      </c>
      <c r="E44" s="79" t="s">
        <v>1379</v>
      </c>
      <c r="F44" s="80">
        <v>149.9</v>
      </c>
      <c r="G44" s="81" t="s">
        <v>119</v>
      </c>
      <c r="H44" s="86" t="str">
        <f>IF(A44="","",IF(INDEX(EXTRATO!$F$2:$F$3000,MATCH($A44,EXTRATO!$A$2:$A$3000,0))="","",INDEX(EXTRATO!$F$2:$F$3000,MATCH($A44,EXTRATO!$A$2:$A$3000,0))))</f>
        <v>SAÍDA</v>
      </c>
      <c r="I44" s="88" t="str">
        <f>IF(A44="","",IF(INDEX(EXTRATO!$H$2:$H$3000,MATCH($A44,EXTRATO!$A$2:$A$3000,0))="","",INDEX(EXTRATO!$H$2:$H$3000,MATCH($A44,EXTRATO!$A$2:$A$3000,0))))</f>
        <v>MARANET TELECOM</v>
      </c>
      <c r="J44" s="86" t="s">
        <v>1313</v>
      </c>
      <c r="K44" s="86" t="str">
        <f>IF(AND(A44="",D44="",E44="",F44=""),"",IF(D44="","SEM CATEGORIA",IF(E44="","SEM SUBCATEGORIA",IF(COUNTIFS(CADASTROS!$L$7:$L$93,D44,CADASTROS!$D$7:$D$93,E44)=0,"INCOMPATÍVEL","OK"))))</f>
        <v>OK</v>
      </c>
    </row>
    <row r="45" spans="1:11" ht="30" hidden="1" customHeight="1" x14ac:dyDescent="0.25">
      <c r="A45" s="86" t="s">
        <v>1380</v>
      </c>
      <c r="B45" s="85">
        <f>IF(A45="","",IF(INDEX(EXTRATO!$C$2:$C$3000,MATCH($A45,EXTRATO!$A$2:$A$3000,0))="","",INDEX(EXTRATO!$C$2:$C$3000,MATCH($A45,EXTRATO!$A$2:$A$3000,0))))</f>
        <v>46034</v>
      </c>
      <c r="C45" s="86">
        <f t="shared" si="0"/>
        <v>1</v>
      </c>
      <c r="D45" s="81" t="s">
        <v>1305</v>
      </c>
      <c r="E45" s="79" t="s">
        <v>1306</v>
      </c>
      <c r="F45" s="80">
        <v>2500</v>
      </c>
      <c r="G45" s="81" t="s">
        <v>45</v>
      </c>
      <c r="H45" s="86" t="str">
        <f>IF(A45="","",IF(INDEX(EXTRATO!$F$2:$F$3000,MATCH($A45,EXTRATO!$A$2:$A$3000,0))="","",INDEX(EXTRATO!$F$2:$F$3000,MATCH($A45,EXTRATO!$A$2:$A$3000,0))))</f>
        <v>RESGATE</v>
      </c>
      <c r="I45" s="88" t="str">
        <f>IF(A45="","",IF(INDEX(EXTRATO!$H$2:$H$3000,MATCH($A45,EXTRATO!$A$2:$A$3000,0))="","",INDEX(EXTRATO!$H$2:$H$3000,MATCH($A45,EXTRATO!$A$2:$A$3000,0))))</f>
        <v>BANCO DO BRASIL - CDB DI</v>
      </c>
      <c r="J45" s="86" t="s">
        <v>1307</v>
      </c>
      <c r="K45" s="86" t="str">
        <f>IF(AND(A45="",D45="",E45="",F45=""),"",IF(D45="","SEM CATEGORIA",IF(E45="","SEM SUBCATEGORIA",IF(COUNTIFS(CADASTROS!$L$7:$L$93,D45,CADASTROS!$D$7:$D$93,E45)=0,"INCOMPATÍVEL","OK"))))</f>
        <v>OK</v>
      </c>
    </row>
    <row r="46" spans="1:11" ht="30" hidden="1" customHeight="1" x14ac:dyDescent="0.25">
      <c r="A46" s="86" t="s">
        <v>1381</v>
      </c>
      <c r="B46" s="85">
        <f>IF(A46="","",IF(INDEX(EXTRATO!$C$2:$C$3000,MATCH($A46,EXTRATO!$A$2:$A$3000,0))="","",INDEX(EXTRATO!$C$2:$C$3000,MATCH($A46,EXTRATO!$A$2:$A$3000,0))))</f>
        <v>46035</v>
      </c>
      <c r="C46" s="86">
        <f t="shared" si="0"/>
        <v>1</v>
      </c>
      <c r="D46" s="81" t="s">
        <v>1305</v>
      </c>
      <c r="E46" s="79" t="s">
        <v>1306</v>
      </c>
      <c r="F46" s="80">
        <v>7.2</v>
      </c>
      <c r="G46" s="81" t="s">
        <v>45</v>
      </c>
      <c r="H46" s="86" t="str">
        <f>IF(A46="","",IF(INDEX(EXTRATO!$F$2:$F$3000,MATCH($A46,EXTRATO!$A$2:$A$3000,0))="","",INDEX(EXTRATO!$F$2:$F$3000,MATCH($A46,EXTRATO!$A$2:$A$3000,0))))</f>
        <v>RESGATE</v>
      </c>
      <c r="I46" s="88" t="str">
        <f>IF(A46="","",IF(INDEX(EXTRATO!$H$2:$H$3000,MATCH($A46,EXTRATO!$A$2:$A$3000,0))="","",INDEX(EXTRATO!$H$2:$H$3000,MATCH($A46,EXTRATO!$A$2:$A$3000,0))))</f>
        <v>BANCO DO BRASIL - CDB DI</v>
      </c>
      <c r="J46" s="86" t="s">
        <v>1307</v>
      </c>
      <c r="K46" s="86" t="str">
        <f>IF(AND(A46="",D46="",E46="",F46=""),"",IF(D46="","SEM CATEGORIA",IF(E46="","SEM SUBCATEGORIA",IF(COUNTIFS(CADASTROS!$L$7:$L$93,D46,CADASTROS!$D$7:$D$93,E46)=0,"INCOMPATÍVEL","OK"))))</f>
        <v>OK</v>
      </c>
    </row>
    <row r="47" spans="1:11" ht="30" hidden="1" customHeight="1" x14ac:dyDescent="0.25">
      <c r="A47" s="86" t="s">
        <v>1382</v>
      </c>
      <c r="B47" s="85">
        <f>IF(A47="","",IF(INDEX(EXTRATO!$C$2:$C$3000,MATCH($A47,EXTRATO!$A$2:$A$3000,0))="","",INDEX(EXTRATO!$C$2:$C$3000,MATCH($A47,EXTRATO!$A$2:$A$3000,0))))</f>
        <v>46035</v>
      </c>
      <c r="C47" s="86">
        <f t="shared" si="0"/>
        <v>1</v>
      </c>
      <c r="D47" s="81" t="s">
        <v>1367</v>
      </c>
      <c r="E47" s="79" t="s">
        <v>1383</v>
      </c>
      <c r="F47" s="80">
        <v>30897.61</v>
      </c>
      <c r="G47" s="81" t="s">
        <v>122</v>
      </c>
      <c r="H47" s="86" t="str">
        <f>IF(A47="","",IF(INDEX(EXTRATO!$F$2:$F$3000,MATCH($A47,EXTRATO!$A$2:$A$3000,0))="","",INDEX(EXTRATO!$F$2:$F$3000,MATCH($A47,EXTRATO!$A$2:$A$3000,0))))</f>
        <v>SAÍDA</v>
      </c>
      <c r="I47" s="88" t="str">
        <f>IF(A47="","",IF(INDEX(EXTRATO!$H$2:$H$3000,MATCH($A47,EXTRATO!$A$2:$A$3000,0))="","",INDEX(EXTRATO!$H$2:$H$3000,MATCH($A47,EXTRATO!$A$2:$A$3000,0))))</f>
        <v>FOLHA DE PAGAMENTO - PISO</v>
      </c>
      <c r="J47" s="86" t="s">
        <v>1313</v>
      </c>
      <c r="K47" s="86" t="str">
        <f>IF(AND(A47="",D47="",E47="",F47=""),"",IF(D47="","SEM CATEGORIA",IF(E47="","SEM SUBCATEGORIA",IF(COUNTIFS(CADASTROS!$L$7:$L$93,D47,CADASTROS!$D$7:$D$93,E47)=0,"INCOMPATÍVEL","OK"))))</f>
        <v>OK</v>
      </c>
    </row>
    <row r="48" spans="1:11" ht="30" hidden="1" customHeight="1" x14ac:dyDescent="0.25">
      <c r="A48" s="86" t="s">
        <v>1384</v>
      </c>
      <c r="B48" s="85">
        <f>IF(A48="","",IF(INDEX(EXTRATO!$C$2:$C$3000,MATCH($A48,EXTRATO!$A$2:$A$3000,0))="","",INDEX(EXTRATO!$C$2:$C$3000,MATCH($A48,EXTRATO!$A$2:$A$3000,0))))</f>
        <v>46035</v>
      </c>
      <c r="C48" s="86">
        <f t="shared" si="0"/>
        <v>1</v>
      </c>
      <c r="D48" s="81" t="s">
        <v>1330</v>
      </c>
      <c r="E48" s="79" t="s">
        <v>1352</v>
      </c>
      <c r="F48" s="80">
        <v>31.5</v>
      </c>
      <c r="G48" s="81" t="s">
        <v>94</v>
      </c>
      <c r="H48" s="86" t="str">
        <f>IF(A48="","",IF(INDEX(EXTRATO!$F$2:$F$3000,MATCH($A48,EXTRATO!$A$2:$A$3000,0))="","",INDEX(EXTRATO!$F$2:$F$3000,MATCH($A48,EXTRATO!$A$2:$A$3000,0))))</f>
        <v>SAÍDA</v>
      </c>
      <c r="I48" s="88" t="str">
        <f>IF(A48="","",IF(INDEX(EXTRATO!$H$2:$H$3000,MATCH($A48,EXTRATO!$A$2:$A$3000,0))="","",INDEX(EXTRATO!$H$2:$H$3000,MATCH($A48,EXTRATO!$A$2:$A$3000,0))))</f>
        <v>TARIFA BANCÁRIA</v>
      </c>
      <c r="J48" s="86" t="s">
        <v>1313</v>
      </c>
      <c r="K48" s="86" t="str">
        <f>IF(AND(A48="",D48="",E48="",F48=""),"",IF(D48="","SEM CATEGORIA",IF(E48="","SEM SUBCATEGORIA",IF(COUNTIFS(CADASTROS!$L$7:$L$93,D48,CADASTROS!$D$7:$D$93,E48)=0,"INCOMPATÍVEL","OK"))))</f>
        <v>OK</v>
      </c>
    </row>
    <row r="49" spans="1:11" ht="30" hidden="1" customHeight="1" x14ac:dyDescent="0.25">
      <c r="A49" s="86" t="s">
        <v>1385</v>
      </c>
      <c r="B49" s="85">
        <f>IF(A49="","",IF(INDEX(EXTRATO!$C$2:$C$3000,MATCH($A49,EXTRATO!$A$2:$A$3000,0))="","",INDEX(EXTRATO!$C$2:$C$3000,MATCH($A49,EXTRATO!$A$2:$A$3000,0))))</f>
        <v>46035</v>
      </c>
      <c r="C49" s="86">
        <f t="shared" si="0"/>
        <v>1</v>
      </c>
      <c r="D49" s="81" t="s">
        <v>1305</v>
      </c>
      <c r="E49" s="79" t="s">
        <v>1306</v>
      </c>
      <c r="F49" s="80">
        <v>31000</v>
      </c>
      <c r="G49" s="81" t="s">
        <v>45</v>
      </c>
      <c r="H49" s="86" t="str">
        <f>IF(A49="","",IF(INDEX(EXTRATO!$F$2:$F$3000,MATCH($A49,EXTRATO!$A$2:$A$3000,0))="","",INDEX(EXTRATO!$F$2:$F$3000,MATCH($A49,EXTRATO!$A$2:$A$3000,0))))</f>
        <v>RESGATE</v>
      </c>
      <c r="I49" s="88" t="str">
        <f>IF(A49="","",IF(INDEX(EXTRATO!$H$2:$H$3000,MATCH($A49,EXTRATO!$A$2:$A$3000,0))="","",INDEX(EXTRATO!$H$2:$H$3000,MATCH($A49,EXTRATO!$A$2:$A$3000,0))))</f>
        <v>BANCO DO BRASIL - CDB DI</v>
      </c>
      <c r="J49" s="86" t="s">
        <v>1307</v>
      </c>
      <c r="K49" s="86" t="str">
        <f>IF(AND(A49="",D49="",E49="",F49=""),"",IF(D49="","SEM CATEGORIA",IF(E49="","SEM SUBCATEGORIA",IF(COUNTIFS(CADASTROS!$L$7:$L$93,D49,CADASTROS!$D$7:$D$93,E49)=0,"INCOMPATÍVEL","OK"))))</f>
        <v>OK</v>
      </c>
    </row>
    <row r="50" spans="1:11" ht="30" hidden="1" customHeight="1" x14ac:dyDescent="0.25">
      <c r="A50" s="86" t="s">
        <v>1386</v>
      </c>
      <c r="B50" s="85">
        <f>IF(A50="","",IF(INDEX(EXTRATO!$C$2:$C$3000,MATCH($A50,EXTRATO!$A$2:$A$3000,0))="","",INDEX(EXTRATO!$C$2:$C$3000,MATCH($A50,EXTRATO!$A$2:$A$3000,0))))</f>
        <v>46036</v>
      </c>
      <c r="C50" s="86">
        <f t="shared" si="0"/>
        <v>1</v>
      </c>
      <c r="D50" s="81" t="s">
        <v>1305</v>
      </c>
      <c r="E50" s="79" t="s">
        <v>1306</v>
      </c>
      <c r="F50" s="80">
        <v>102.3</v>
      </c>
      <c r="G50" s="81" t="s">
        <v>45</v>
      </c>
      <c r="H50" s="86" t="str">
        <f>IF(A50="","",IF(INDEX(EXTRATO!$F$2:$F$3000,MATCH($A50,EXTRATO!$A$2:$A$3000,0))="","",INDEX(EXTRATO!$F$2:$F$3000,MATCH($A50,EXTRATO!$A$2:$A$3000,0))))</f>
        <v>RESGATE</v>
      </c>
      <c r="I50" s="88" t="str">
        <f>IF(A50="","",IF(INDEX(EXTRATO!$H$2:$H$3000,MATCH($A50,EXTRATO!$A$2:$A$3000,0))="","",INDEX(EXTRATO!$H$2:$H$3000,MATCH($A50,EXTRATO!$A$2:$A$3000,0))))</f>
        <v>BANCO DO BRASIL - CDB DI</v>
      </c>
      <c r="J50" s="86" t="s">
        <v>1307</v>
      </c>
      <c r="K50" s="86" t="str">
        <f>IF(AND(A50="",D50="",E50="",F50=""),"",IF(D50="","SEM CATEGORIA",IF(E50="","SEM SUBCATEGORIA",IF(COUNTIFS(CADASTROS!$L$7:$L$93,D50,CADASTROS!$D$7:$D$93,E50)=0,"INCOMPATÍVEL","OK"))))</f>
        <v>OK</v>
      </c>
    </row>
    <row r="51" spans="1:11" ht="30" hidden="1" customHeight="1" x14ac:dyDescent="0.25">
      <c r="A51" s="86" t="s">
        <v>1387</v>
      </c>
      <c r="B51" s="85">
        <f>IF(A51="","",IF(INDEX(EXTRATO!$C$2:$C$3000,MATCH($A51,EXTRATO!$A$2:$A$3000,0))="","",INDEX(EXTRATO!$C$2:$C$3000,MATCH($A51,EXTRATO!$A$2:$A$3000,0))))</f>
        <v>46036</v>
      </c>
      <c r="C51" s="86">
        <f t="shared" si="0"/>
        <v>1</v>
      </c>
      <c r="D51" s="81" t="s">
        <v>1388</v>
      </c>
      <c r="E51" s="79" t="s">
        <v>125</v>
      </c>
      <c r="F51" s="80">
        <v>25067.52</v>
      </c>
      <c r="G51" s="81" t="s">
        <v>1389</v>
      </c>
      <c r="H51" s="86" t="str">
        <f>IF(A51="","",IF(INDEX(EXTRATO!$F$2:$F$3000,MATCH($A51,EXTRATO!$A$2:$A$3000,0))="","",INDEX(EXTRATO!$F$2:$F$3000,MATCH($A51,EXTRATO!$A$2:$A$3000,0))))</f>
        <v>SAÍDA</v>
      </c>
      <c r="I51" s="88" t="str">
        <f>IF(A51="","",IF(INDEX(EXTRATO!$H$2:$H$3000,MATCH($A51,EXTRATO!$A$2:$A$3000,0))="","",INDEX(EXTRATO!$H$2:$H$3000,MATCH($A51,EXTRATO!$A$2:$A$3000,0))))</f>
        <v>ISS</v>
      </c>
      <c r="J51" s="86" t="s">
        <v>1313</v>
      </c>
      <c r="K51" s="86" t="str">
        <f>IF(AND(A51="",D51="",E51="",F51=""),"",IF(D51="","SEM CATEGORIA",IF(E51="","SEM SUBCATEGORIA",IF(COUNTIFS(CADASTROS!$L$7:$L$93,D51,CADASTROS!$D$7:$D$93,E51)=0,"INCOMPATÍVEL","OK"))))</f>
        <v>OK</v>
      </c>
    </row>
    <row r="52" spans="1:11" ht="30" hidden="1" customHeight="1" x14ac:dyDescent="0.25">
      <c r="A52" s="86" t="s">
        <v>1390</v>
      </c>
      <c r="B52" s="85">
        <f>IF(A52="","",IF(INDEX(EXTRATO!$C$2:$C$3000,MATCH($A52,EXTRATO!$A$2:$A$3000,0))="","",INDEX(EXTRATO!$C$2:$C$3000,MATCH($A52,EXTRATO!$A$2:$A$3000,0))))</f>
        <v>46036</v>
      </c>
      <c r="C52" s="86">
        <f t="shared" si="0"/>
        <v>1</v>
      </c>
      <c r="D52" s="81" t="s">
        <v>1330</v>
      </c>
      <c r="E52" s="79" t="s">
        <v>1352</v>
      </c>
      <c r="F52" s="80">
        <v>852.23</v>
      </c>
      <c r="G52" s="81" t="s">
        <v>126</v>
      </c>
      <c r="H52" s="86" t="str">
        <f>IF(A52="","",IF(INDEX(EXTRATO!$F$2:$F$3000,MATCH($A52,EXTRATO!$A$2:$A$3000,0))="","",INDEX(EXTRATO!$F$2:$F$3000,MATCH($A52,EXTRATO!$A$2:$A$3000,0))))</f>
        <v>SAÍDA</v>
      </c>
      <c r="I52" s="88" t="str">
        <f>IF(A52="","",IF(INDEX(EXTRATO!$H$2:$H$3000,MATCH($A52,EXTRATO!$A$2:$A$3000,0))="","",INDEX(EXTRATO!$H$2:$H$3000,MATCH($A52,EXTRATO!$A$2:$A$3000,0))))</f>
        <v>PAGAMENTO DE IPTU</v>
      </c>
      <c r="J52" s="86" t="s">
        <v>1313</v>
      </c>
      <c r="K52" s="86" t="str">
        <f>IF(AND(A52="",D52="",E52="",F52=""),"",IF(D52="","SEM CATEGORIA",IF(E52="","SEM SUBCATEGORIA",IF(COUNTIFS(CADASTROS!$L$7:$L$93,D52,CADASTROS!$D$7:$D$93,E52)=0,"INCOMPATÍVEL","OK"))))</f>
        <v>OK</v>
      </c>
    </row>
    <row r="53" spans="1:11" ht="30" hidden="1" customHeight="1" x14ac:dyDescent="0.25">
      <c r="A53" s="86" t="s">
        <v>1391</v>
      </c>
      <c r="B53" s="85">
        <f>IF(A53="","",IF(INDEX(EXTRATO!$C$2:$C$3000,MATCH($A53,EXTRATO!$A$2:$A$3000,0))="","",INDEX(EXTRATO!$C$2:$C$3000,MATCH($A53,EXTRATO!$A$2:$A$3000,0))))</f>
        <v>46036</v>
      </c>
      <c r="C53" s="86">
        <f t="shared" si="0"/>
        <v>1</v>
      </c>
      <c r="D53" s="81" t="s">
        <v>1305</v>
      </c>
      <c r="E53" s="79" t="s">
        <v>1306</v>
      </c>
      <c r="F53" s="80">
        <v>26000</v>
      </c>
      <c r="G53" s="81" t="s">
        <v>45</v>
      </c>
      <c r="H53" s="86" t="str">
        <f>IF(A53="","",IF(INDEX(EXTRATO!$F$2:$F$3000,MATCH($A53,EXTRATO!$A$2:$A$3000,0))="","",INDEX(EXTRATO!$F$2:$F$3000,MATCH($A53,EXTRATO!$A$2:$A$3000,0))))</f>
        <v>RESGATE</v>
      </c>
      <c r="I53" s="88" t="str">
        <f>IF(A53="","",IF(INDEX(EXTRATO!$H$2:$H$3000,MATCH($A53,EXTRATO!$A$2:$A$3000,0))="","",INDEX(EXTRATO!$H$2:$H$3000,MATCH($A53,EXTRATO!$A$2:$A$3000,0))))</f>
        <v>BANCO DO BRASIL - CDB DI</v>
      </c>
      <c r="J53" s="86" t="s">
        <v>1307</v>
      </c>
      <c r="K53" s="86" t="str">
        <f>IF(AND(A53="",D53="",E53="",F53=""),"",IF(D53="","SEM CATEGORIA",IF(E53="","SEM SUBCATEGORIA",IF(COUNTIFS(CADASTROS!$L$7:$L$93,D53,CADASTROS!$D$7:$D$93,E53)=0,"INCOMPATÍVEL","OK"))))</f>
        <v>OK</v>
      </c>
    </row>
    <row r="54" spans="1:11" ht="30" hidden="1" customHeight="1" x14ac:dyDescent="0.25">
      <c r="A54" s="86" t="s">
        <v>1392</v>
      </c>
      <c r="B54" s="85">
        <f>IF(A54="","",IF(INDEX(EXTRATO!$C$2:$C$3000,MATCH($A54,EXTRATO!$A$2:$A$3000,0))="","",INDEX(EXTRATO!$C$2:$C$3000,MATCH($A54,EXTRATO!$A$2:$A$3000,0))))</f>
        <v>46037</v>
      </c>
      <c r="C54" s="86">
        <f t="shared" si="0"/>
        <v>1</v>
      </c>
      <c r="D54" s="81" t="s">
        <v>1305</v>
      </c>
      <c r="E54" s="79" t="s">
        <v>1306</v>
      </c>
      <c r="F54" s="80">
        <v>96.72</v>
      </c>
      <c r="G54" s="81" t="s">
        <v>45</v>
      </c>
      <c r="H54" s="86" t="str">
        <f>IF(A54="","",IF(INDEX(EXTRATO!$F$2:$F$3000,MATCH($A54,EXTRATO!$A$2:$A$3000,0))="","",INDEX(EXTRATO!$F$2:$F$3000,MATCH($A54,EXTRATO!$A$2:$A$3000,0))))</f>
        <v>RESGATE</v>
      </c>
      <c r="I54" s="88" t="str">
        <f>IF(A54="","",IF(INDEX(EXTRATO!$H$2:$H$3000,MATCH($A54,EXTRATO!$A$2:$A$3000,0))="","",INDEX(EXTRATO!$H$2:$H$3000,MATCH($A54,EXTRATO!$A$2:$A$3000,0))))</f>
        <v>BANCO DO BRASIL - CDB DI</v>
      </c>
      <c r="J54" s="86" t="s">
        <v>1307</v>
      </c>
      <c r="K54" s="86" t="str">
        <f>IF(AND(A54="",D54="",E54="",F54=""),"",IF(D54="","SEM CATEGORIA",IF(E54="","SEM SUBCATEGORIA",IF(COUNTIFS(CADASTROS!$L$7:$L$93,D54,CADASTROS!$D$7:$D$93,E54)=0,"INCOMPATÍVEL","OK"))))</f>
        <v>OK</v>
      </c>
    </row>
    <row r="55" spans="1:11" ht="30" hidden="1" customHeight="1" x14ac:dyDescent="0.25">
      <c r="A55" s="86" t="s">
        <v>1393</v>
      </c>
      <c r="B55" s="85">
        <f>IF(A55="","",IF(INDEX(EXTRATO!$C$2:$C$3000,MATCH($A55,EXTRATO!$A$2:$A$3000,0))="","",INDEX(EXTRATO!$C$2:$C$3000,MATCH($A55,EXTRATO!$A$2:$A$3000,0))))</f>
        <v>46037</v>
      </c>
      <c r="C55" s="86">
        <f t="shared" si="0"/>
        <v>1</v>
      </c>
      <c r="D55" s="81" t="s">
        <v>1388</v>
      </c>
      <c r="E55" s="79" t="s">
        <v>125</v>
      </c>
      <c r="F55" s="80">
        <v>23758.98</v>
      </c>
      <c r="G55" s="81" t="s">
        <v>1394</v>
      </c>
      <c r="H55" s="86" t="str">
        <f>IF(A55="","",IF(INDEX(EXTRATO!$F$2:$F$3000,MATCH($A55,EXTRATO!$A$2:$A$3000,0))="","",INDEX(EXTRATO!$F$2:$F$3000,MATCH($A55,EXTRATO!$A$2:$A$3000,0))))</f>
        <v>SAÍDA</v>
      </c>
      <c r="I55" s="88" t="str">
        <f>IF(A55="","",IF(INDEX(EXTRATO!$H$2:$H$3000,MATCH($A55,EXTRATO!$A$2:$A$3000,0))="","",INDEX(EXTRATO!$H$2:$H$3000,MATCH($A55,EXTRATO!$A$2:$A$3000,0))))</f>
        <v>ISS</v>
      </c>
      <c r="J55" s="86" t="s">
        <v>1313</v>
      </c>
      <c r="K55" s="86" t="str">
        <f>IF(AND(A55="",D55="",E55="",F55=""),"",IF(D55="","SEM CATEGORIA",IF(E55="","SEM SUBCATEGORIA",IF(COUNTIFS(CADASTROS!$L$7:$L$93,D55,CADASTROS!$D$7:$D$93,E55)=0,"INCOMPATÍVEL","OK"))))</f>
        <v>OK</v>
      </c>
    </row>
    <row r="56" spans="1:11" ht="30" hidden="1" customHeight="1" x14ac:dyDescent="0.25">
      <c r="A56" s="86" t="s">
        <v>1395</v>
      </c>
      <c r="B56" s="85">
        <f>IF(A56="","",IF(INDEX(EXTRATO!$C$2:$C$3000,MATCH($A56,EXTRATO!$A$2:$A$3000,0))="","",INDEX(EXTRATO!$C$2:$C$3000,MATCH($A56,EXTRATO!$A$2:$A$3000,0))))</f>
        <v>46037</v>
      </c>
      <c r="C56" s="86">
        <f t="shared" si="0"/>
        <v>1</v>
      </c>
      <c r="D56" s="81" t="s">
        <v>1305</v>
      </c>
      <c r="E56" s="79" t="s">
        <v>1306</v>
      </c>
      <c r="F56" s="80">
        <v>23500</v>
      </c>
      <c r="G56" s="81" t="s">
        <v>45</v>
      </c>
      <c r="H56" s="86" t="str">
        <f>IF(A56="","",IF(INDEX(EXTRATO!$F$2:$F$3000,MATCH($A56,EXTRATO!$A$2:$A$3000,0))="","",INDEX(EXTRATO!$F$2:$F$3000,MATCH($A56,EXTRATO!$A$2:$A$3000,0))))</f>
        <v>RESGATE</v>
      </c>
      <c r="I56" s="88" t="str">
        <f>IF(A56="","",IF(INDEX(EXTRATO!$H$2:$H$3000,MATCH($A56,EXTRATO!$A$2:$A$3000,0))="","",INDEX(EXTRATO!$H$2:$H$3000,MATCH($A56,EXTRATO!$A$2:$A$3000,0))))</f>
        <v>BANCO DO BRASIL - CDB DI</v>
      </c>
      <c r="J56" s="86" t="s">
        <v>1307</v>
      </c>
      <c r="K56" s="86" t="str">
        <f>IF(AND(A56="",D56="",E56="",F56=""),"",IF(D56="","SEM CATEGORIA",IF(E56="","SEM SUBCATEGORIA",IF(COUNTIFS(CADASTROS!$L$7:$L$93,D56,CADASTROS!$D$7:$D$93,E56)=0,"INCOMPATÍVEL","OK"))))</f>
        <v>OK</v>
      </c>
    </row>
    <row r="57" spans="1:11" ht="30" hidden="1" customHeight="1" x14ac:dyDescent="0.25">
      <c r="A57" s="86" t="s">
        <v>1396</v>
      </c>
      <c r="B57" s="85">
        <f>IF(A57="","",IF(INDEX(EXTRATO!$C$2:$C$3000,MATCH($A57,EXTRATO!$A$2:$A$3000,0))="","",INDEX(EXTRATO!$C$2:$C$3000,MATCH($A57,EXTRATO!$A$2:$A$3000,0))))</f>
        <v>46038</v>
      </c>
      <c r="C57" s="86">
        <f t="shared" si="0"/>
        <v>1</v>
      </c>
      <c r="D57" s="81" t="s">
        <v>1305</v>
      </c>
      <c r="E57" s="79" t="s">
        <v>1306</v>
      </c>
      <c r="F57" s="80">
        <v>99.17</v>
      </c>
      <c r="G57" s="81" t="s">
        <v>104</v>
      </c>
      <c r="H57" s="86" t="str">
        <f>IF(A57="","",IF(INDEX(EXTRATO!$F$2:$F$3000,MATCH($A57,EXTRATO!$A$2:$A$3000,0))="","",INDEX(EXTRATO!$F$2:$F$3000,MATCH($A57,EXTRATO!$A$2:$A$3000,0))))</f>
        <v>RESGATE</v>
      </c>
      <c r="I57" s="88" t="str">
        <f>IF(A57="","",IF(INDEX(EXTRATO!$H$2:$H$3000,MATCH($A57,EXTRATO!$A$2:$A$3000,0))="","",INDEX(EXTRATO!$H$2:$H$3000,MATCH($A57,EXTRATO!$A$2:$A$3000,0))))</f>
        <v>BANCO DO BRASIL - CDB DI</v>
      </c>
      <c r="J57" s="86" t="s">
        <v>1307</v>
      </c>
      <c r="K57" s="86" t="str">
        <f>IF(AND(A57="",D57="",E57="",F57=""),"",IF(D57="","SEM CATEGORIA",IF(E57="","SEM SUBCATEGORIA",IF(COUNTIFS(CADASTROS!$L$7:$L$93,D57,CADASTROS!$D$7:$D$93,E57)=0,"INCOMPATÍVEL","OK"))))</f>
        <v>OK</v>
      </c>
    </row>
    <row r="58" spans="1:11" ht="30" hidden="1" customHeight="1" x14ac:dyDescent="0.25">
      <c r="A58" s="86" t="s">
        <v>1397</v>
      </c>
      <c r="B58" s="85">
        <f>IF(A58="","",IF(INDEX(EXTRATO!$C$2:$C$3000,MATCH($A58,EXTRATO!$A$2:$A$3000,0))="","",INDEX(EXTRATO!$C$2:$C$3000,MATCH($A58,EXTRATO!$A$2:$A$3000,0))))</f>
        <v>46038</v>
      </c>
      <c r="C58" s="86">
        <f t="shared" si="0"/>
        <v>1</v>
      </c>
      <c r="D58" s="81" t="s">
        <v>1330</v>
      </c>
      <c r="E58" s="79" t="s">
        <v>1379</v>
      </c>
      <c r="F58" s="80">
        <v>97.02</v>
      </c>
      <c r="G58" s="81" t="s">
        <v>129</v>
      </c>
      <c r="H58" s="86" t="str">
        <f>IF(A58="","",IF(INDEX(EXTRATO!$F$2:$F$3000,MATCH($A58,EXTRATO!$A$2:$A$3000,0))="","",INDEX(EXTRATO!$F$2:$F$3000,MATCH($A58,EXTRATO!$A$2:$A$3000,0))))</f>
        <v>SAÍDA</v>
      </c>
      <c r="I58" s="88" t="str">
        <f>IF(A58="","",IF(INDEX(EXTRATO!$H$2:$H$3000,MATCH($A58,EXTRATO!$A$2:$A$3000,0))="","",INDEX(EXTRATO!$H$2:$H$3000,MATCH($A58,EXTRATO!$A$2:$A$3000,0))))</f>
        <v>FORTES CONECTA - RELÓGIO DE PONTO</v>
      </c>
      <c r="J58" s="86" t="s">
        <v>1313</v>
      </c>
      <c r="K58" s="86" t="str">
        <f>IF(AND(A58="",D58="",E58="",F58=""),"",IF(D58="","SEM CATEGORIA",IF(E58="","SEM SUBCATEGORIA",IF(COUNTIFS(CADASTROS!$L$7:$L$93,D58,CADASTROS!$D$7:$D$93,E58)=0,"INCOMPATÍVEL","OK"))))</f>
        <v>OK</v>
      </c>
    </row>
    <row r="59" spans="1:11" ht="30" hidden="1" customHeight="1" x14ac:dyDescent="0.25">
      <c r="A59" s="86" t="s">
        <v>1398</v>
      </c>
      <c r="B59" s="85">
        <f>IF(A59="","",IF(INDEX(EXTRATO!$C$2:$C$3000,MATCH($A59,EXTRATO!$A$2:$A$3000,0))="","",INDEX(EXTRATO!$C$2:$C$3000,MATCH($A59,EXTRATO!$A$2:$A$3000,0))))</f>
        <v>46038</v>
      </c>
      <c r="C59" s="86">
        <f t="shared" si="0"/>
        <v>1</v>
      </c>
      <c r="D59" s="81" t="s">
        <v>1330</v>
      </c>
      <c r="E59" s="79" t="s">
        <v>1379</v>
      </c>
      <c r="F59" s="80">
        <v>211.41</v>
      </c>
      <c r="G59" s="81" t="s">
        <v>129</v>
      </c>
      <c r="H59" s="86" t="str">
        <f>IF(A59="","",IF(INDEX(EXTRATO!$F$2:$F$3000,MATCH($A59,EXTRATO!$A$2:$A$3000,0))="","",INDEX(EXTRATO!$F$2:$F$3000,MATCH($A59,EXTRATO!$A$2:$A$3000,0))))</f>
        <v>SAÍDA</v>
      </c>
      <c r="I59" s="88" t="str">
        <f>IF(A59="","",IF(INDEX(EXTRATO!$H$2:$H$3000,MATCH($A59,EXTRATO!$A$2:$A$3000,0))="","",INDEX(EXTRATO!$H$2:$H$3000,MATCH($A59,EXTRATO!$A$2:$A$3000,0))))</f>
        <v>FORTES CONECTA - RELÓGIO DE PONTO</v>
      </c>
      <c r="J59" s="86" t="s">
        <v>1313</v>
      </c>
      <c r="K59" s="86" t="str">
        <f>IF(AND(A59="",D59="",E59="",F59=""),"",IF(D59="","SEM CATEGORIA",IF(E59="","SEM SUBCATEGORIA",IF(COUNTIFS(CADASTROS!$L$7:$L$93,D59,CADASTROS!$D$7:$D$93,E59)=0,"INCOMPATÍVEL","OK"))))</f>
        <v>OK</v>
      </c>
    </row>
    <row r="60" spans="1:11" ht="30" hidden="1" customHeight="1" x14ac:dyDescent="0.25">
      <c r="A60" s="86" t="s">
        <v>1399</v>
      </c>
      <c r="B60" s="85">
        <f>IF(A60="","",IF(INDEX(EXTRATO!$C$2:$C$3000,MATCH($A60,EXTRATO!$A$2:$A$3000,0))="","",INDEX(EXTRATO!$C$2:$C$3000,MATCH($A60,EXTRATO!$A$2:$A$3000,0))))</f>
        <v>46038</v>
      </c>
      <c r="C60" s="86">
        <f t="shared" si="0"/>
        <v>1</v>
      </c>
      <c r="D60" s="81" t="s">
        <v>1330</v>
      </c>
      <c r="E60" s="79" t="s">
        <v>1400</v>
      </c>
      <c r="F60" s="80">
        <v>1632.53</v>
      </c>
      <c r="G60" s="81" t="s">
        <v>133</v>
      </c>
      <c r="H60" s="86" t="str">
        <f>IF(A60="","",IF(INDEX(EXTRATO!$F$2:$F$3000,MATCH($A60,EXTRATO!$A$2:$A$3000,0))="","",INDEX(EXTRATO!$F$2:$F$3000,MATCH($A60,EXTRATO!$A$2:$A$3000,0))))</f>
        <v>SAÍDA</v>
      </c>
      <c r="I60" s="88" t="str">
        <f>IF(A60="","",IF(INDEX(EXTRATO!$H$2:$H$3000,MATCH($A60,EXTRATO!$A$2:$A$3000,0))="","",INDEX(EXTRATO!$H$2:$H$3000,MATCH($A60,EXTRATO!$A$2:$A$3000,0))))</f>
        <v>BIOGREEN</v>
      </c>
      <c r="J60" s="86" t="s">
        <v>1313</v>
      </c>
      <c r="K60" s="86" t="str">
        <f>IF(AND(A60="",D60="",E60="",F60=""),"",IF(D60="","SEM CATEGORIA",IF(E60="","SEM SUBCATEGORIA",IF(COUNTIFS(CADASTROS!$L$7:$L$93,D60,CADASTROS!$D$7:$D$93,E60)=0,"INCOMPATÍVEL","OK"))))</f>
        <v>OK</v>
      </c>
    </row>
    <row r="61" spans="1:11" ht="30" hidden="1" customHeight="1" x14ac:dyDescent="0.25">
      <c r="A61" s="86" t="s">
        <v>1401</v>
      </c>
      <c r="B61" s="85">
        <f>IF(A61="","",IF(INDEX(EXTRATO!$C$2:$C$3000,MATCH($A61,EXTRATO!$A$2:$A$3000,0))="","",INDEX(EXTRATO!$C$2:$C$3000,MATCH($A61,EXTRATO!$A$2:$A$3000,0))))</f>
        <v>46038</v>
      </c>
      <c r="C61" s="86">
        <f t="shared" si="0"/>
        <v>1</v>
      </c>
      <c r="D61" s="81" t="s">
        <v>1349</v>
      </c>
      <c r="E61" s="79" t="s">
        <v>1402</v>
      </c>
      <c r="F61" s="80">
        <v>791.15</v>
      </c>
      <c r="G61" s="81" t="s">
        <v>136</v>
      </c>
      <c r="H61" s="86" t="str">
        <f>IF(A61="","",IF(INDEX(EXTRATO!$F$2:$F$3000,MATCH($A61,EXTRATO!$A$2:$A$3000,0))="","",INDEX(EXTRATO!$F$2:$F$3000,MATCH($A61,EXTRATO!$A$2:$A$3000,0))))</f>
        <v>SAÍDA</v>
      </c>
      <c r="I61" s="88" t="str">
        <f>IF(A61="","",IF(INDEX(EXTRATO!$H$2:$H$3000,MATCH($A61,EXTRATO!$A$2:$A$3000,0))="","",INDEX(EXTRATO!$H$2:$H$3000,MATCH($A61,EXTRATO!$A$2:$A$3000,0))))</f>
        <v>LEMOS BRANCO &amp; CIA</v>
      </c>
      <c r="J61" s="86" t="s">
        <v>1313</v>
      </c>
      <c r="K61" s="86" t="str">
        <f>IF(AND(A61="",D61="",E61="",F61=""),"",IF(D61="","SEM CATEGORIA",IF(E61="","SEM SUBCATEGORIA",IF(COUNTIFS(CADASTROS!$L$7:$L$93,D61,CADASTROS!$D$7:$D$93,E61)=0,"INCOMPATÍVEL","OK"))))</f>
        <v>OK</v>
      </c>
    </row>
    <row r="62" spans="1:11" ht="30" hidden="1" customHeight="1" x14ac:dyDescent="0.25">
      <c r="A62" s="86" t="s">
        <v>1403</v>
      </c>
      <c r="B62" s="85">
        <f>IF(A62="","",IF(INDEX(EXTRATO!$C$2:$C$3000,MATCH($A62,EXTRATO!$A$2:$A$3000,0))="","",INDEX(EXTRATO!$C$2:$C$3000,MATCH($A62,EXTRATO!$A$2:$A$3000,0))))</f>
        <v>46038</v>
      </c>
      <c r="C62" s="86">
        <f t="shared" si="0"/>
        <v>1</v>
      </c>
      <c r="D62" s="81" t="s">
        <v>1311</v>
      </c>
      <c r="E62" s="79" t="s">
        <v>1404</v>
      </c>
      <c r="F62" s="80">
        <v>6578.4</v>
      </c>
      <c r="G62" s="81" t="s">
        <v>139</v>
      </c>
      <c r="H62" s="86" t="str">
        <f>IF(A62="","",IF(INDEX(EXTRATO!$F$2:$F$3000,MATCH($A62,EXTRATO!$A$2:$A$3000,0))="","",INDEX(EXTRATO!$F$2:$F$3000,MATCH($A62,EXTRATO!$A$2:$A$3000,0))))</f>
        <v>SAÍDA</v>
      </c>
      <c r="I62" s="88" t="str">
        <f>IF(A62="","",IF(INDEX(EXTRATO!$H$2:$H$3000,MATCH($A62,EXTRATO!$A$2:$A$3000,0))="","",INDEX(EXTRATO!$H$2:$H$3000,MATCH($A62,EXTRATO!$A$2:$A$3000,0))))</f>
        <v>FARMARIN INDUST</v>
      </c>
      <c r="J62" s="86" t="s">
        <v>1313</v>
      </c>
      <c r="K62" s="86" t="str">
        <f>IF(AND(A62="",D62="",E62="",F62=""),"",IF(D62="","SEM CATEGORIA",IF(E62="","SEM SUBCATEGORIA",IF(COUNTIFS(CADASTROS!$L$7:$L$93,D62,CADASTROS!$D$7:$D$93,E62)=0,"INCOMPATÍVEL","OK"))))</f>
        <v>OK</v>
      </c>
    </row>
    <row r="63" spans="1:11" ht="30" hidden="1" customHeight="1" x14ac:dyDescent="0.25">
      <c r="A63" s="86" t="s">
        <v>1405</v>
      </c>
      <c r="B63" s="85">
        <f>IF(A63="","",IF(INDEX(EXTRATO!$C$2:$C$3000,MATCH($A63,EXTRATO!$A$2:$A$3000,0))="","",INDEX(EXTRATO!$C$2:$C$3000,MATCH($A63,EXTRATO!$A$2:$A$3000,0))))</f>
        <v>46038</v>
      </c>
      <c r="C63" s="86">
        <f t="shared" si="0"/>
        <v>1</v>
      </c>
      <c r="D63" s="81" t="s">
        <v>1305</v>
      </c>
      <c r="E63" s="79" t="s">
        <v>1306</v>
      </c>
      <c r="F63" s="80">
        <v>9000</v>
      </c>
      <c r="G63" s="81" t="s">
        <v>45</v>
      </c>
      <c r="H63" s="86" t="str">
        <f>IF(A63="","",IF(INDEX(EXTRATO!$F$2:$F$3000,MATCH($A63,EXTRATO!$A$2:$A$3000,0))="","",INDEX(EXTRATO!$F$2:$F$3000,MATCH($A63,EXTRATO!$A$2:$A$3000,0))))</f>
        <v>RESGATE</v>
      </c>
      <c r="I63" s="88" t="str">
        <f>IF(A63="","",IF(INDEX(EXTRATO!$H$2:$H$3000,MATCH($A63,EXTRATO!$A$2:$A$3000,0))="","",INDEX(EXTRATO!$H$2:$H$3000,MATCH($A63,EXTRATO!$A$2:$A$3000,0))))</f>
        <v>BANCO DO BRASIL - CDB DI</v>
      </c>
      <c r="J63" s="86" t="s">
        <v>1307</v>
      </c>
      <c r="K63" s="86" t="str">
        <f>IF(AND(A63="",D63="",E63="",F63=""),"",IF(D63="","SEM CATEGORIA",IF(E63="","SEM SUBCATEGORIA",IF(COUNTIFS(CADASTROS!$L$7:$L$93,D63,CADASTROS!$D$7:$D$93,E63)=0,"INCOMPATÍVEL","OK"))))</f>
        <v>OK</v>
      </c>
    </row>
    <row r="64" spans="1:11" ht="30" hidden="1" customHeight="1" x14ac:dyDescent="0.25">
      <c r="A64" s="86" t="s">
        <v>1406</v>
      </c>
      <c r="B64" s="85">
        <f>IF(A64="","",IF(INDEX(EXTRATO!$C$2:$C$3000,MATCH($A64,EXTRATO!$A$2:$A$3000,0))="","",INDEX(EXTRATO!$C$2:$C$3000,MATCH($A64,EXTRATO!$A$2:$A$3000,0))))</f>
        <v>46041</v>
      </c>
      <c r="C64" s="86">
        <f t="shared" si="0"/>
        <v>1</v>
      </c>
      <c r="D64" s="81" t="s">
        <v>1305</v>
      </c>
      <c r="E64" s="79" t="s">
        <v>1306</v>
      </c>
      <c r="F64" s="80">
        <v>42.48</v>
      </c>
      <c r="G64" s="81" t="s">
        <v>45</v>
      </c>
      <c r="H64" s="86" t="str">
        <f>IF(A64="","",IF(INDEX(EXTRATO!$F$2:$F$3000,MATCH($A64,EXTRATO!$A$2:$A$3000,0))="","",INDEX(EXTRATO!$F$2:$F$3000,MATCH($A64,EXTRATO!$A$2:$A$3000,0))))</f>
        <v>RESGATE</v>
      </c>
      <c r="I64" s="88" t="str">
        <f>IF(A64="","",IF(INDEX(EXTRATO!$H$2:$H$3000,MATCH($A64,EXTRATO!$A$2:$A$3000,0))="","",INDEX(EXTRATO!$H$2:$H$3000,MATCH($A64,EXTRATO!$A$2:$A$3000,0))))</f>
        <v>BANCO DO BRASIL - CDB DI</v>
      </c>
      <c r="J64" s="86" t="s">
        <v>1307</v>
      </c>
      <c r="K64" s="86" t="str">
        <f>IF(AND(A64="",D64="",E64="",F64=""),"",IF(D64="","SEM CATEGORIA",IF(E64="","SEM SUBCATEGORIA",IF(COUNTIFS(CADASTROS!$L$7:$L$93,D64,CADASTROS!$D$7:$D$93,E64)=0,"INCOMPATÍVEL","OK"))))</f>
        <v>OK</v>
      </c>
    </row>
    <row r="65" spans="1:11" ht="30" hidden="1" customHeight="1" x14ac:dyDescent="0.25">
      <c r="A65" s="86" t="s">
        <v>1407</v>
      </c>
      <c r="B65" s="85">
        <f>IF(A65="","",IF(INDEX(EXTRATO!$C$2:$C$3000,MATCH($A65,EXTRATO!$A$2:$A$3000,0))="","",INDEX(EXTRATO!$C$2:$C$3000,MATCH($A65,EXTRATO!$A$2:$A$3000,0))))</f>
        <v>46041</v>
      </c>
      <c r="C65" s="86">
        <f t="shared" si="0"/>
        <v>1</v>
      </c>
      <c r="D65" s="81" t="s">
        <v>1311</v>
      </c>
      <c r="E65" s="79" t="s">
        <v>1376</v>
      </c>
      <c r="F65" s="80">
        <v>6437.5</v>
      </c>
      <c r="G65" s="81" t="s">
        <v>142</v>
      </c>
      <c r="H65" s="86" t="str">
        <f>IF(A65="","",IF(INDEX(EXTRATO!$F$2:$F$3000,MATCH($A65,EXTRATO!$A$2:$A$3000,0))="","",INDEX(EXTRATO!$F$2:$F$3000,MATCH($A65,EXTRATO!$A$2:$A$3000,0))))</f>
        <v>SAÍDA</v>
      </c>
      <c r="I65" s="88" t="str">
        <f>IF(A65="","",IF(INDEX(EXTRATO!$H$2:$H$3000,MATCH($A65,EXTRATO!$A$2:$A$3000,0))="","",INDEX(EXTRATO!$H$2:$H$3000,MATCH($A65,EXTRATO!$A$2:$A$3000,0))))</f>
        <v>NIPRO</v>
      </c>
      <c r="J65" s="86" t="s">
        <v>1313</v>
      </c>
      <c r="K65" s="86" t="str">
        <f>IF(AND(A65="",D65="",E65="",F65=""),"",IF(D65="","SEM CATEGORIA",IF(E65="","SEM SUBCATEGORIA",IF(COUNTIFS(CADASTROS!$L$7:$L$93,D65,CADASTROS!$D$7:$D$93,E65)=0,"INCOMPATÍVEL","OK"))))</f>
        <v>OK</v>
      </c>
    </row>
    <row r="66" spans="1:11" ht="30" hidden="1" customHeight="1" x14ac:dyDescent="0.25">
      <c r="A66" s="86" t="s">
        <v>1408</v>
      </c>
      <c r="B66" s="85">
        <f>IF(A66="","",IF(INDEX(EXTRATO!$C$2:$C$3000,MATCH($A66,EXTRATO!$A$2:$A$3000,0))="","",INDEX(EXTRATO!$C$2:$C$3000,MATCH($A66,EXTRATO!$A$2:$A$3000,0))))</f>
        <v>46041</v>
      </c>
      <c r="C66" s="86">
        <f t="shared" ref="C66:C129" si="1">IF(B66="","",MONTH(B66))</f>
        <v>1</v>
      </c>
      <c r="D66" s="81" t="s">
        <v>1311</v>
      </c>
      <c r="E66" s="79" t="s">
        <v>1404</v>
      </c>
      <c r="F66" s="80">
        <v>1965.6</v>
      </c>
      <c r="G66" s="81" t="s">
        <v>145</v>
      </c>
      <c r="H66" s="86" t="str">
        <f>IF(A66="","",IF(INDEX(EXTRATO!$F$2:$F$3000,MATCH($A66,EXTRATO!$A$2:$A$3000,0))="","",INDEX(EXTRATO!$F$2:$F$3000,MATCH($A66,EXTRATO!$A$2:$A$3000,0))))</f>
        <v>SAÍDA</v>
      </c>
      <c r="I66" s="88" t="str">
        <f>IF(A66="","",IF(INDEX(EXTRATO!$H$2:$H$3000,MATCH($A66,EXTRATO!$A$2:$A$3000,0))="","",INDEX(EXTRATO!$H$2:$H$3000,MATCH($A66,EXTRATO!$A$2:$A$3000,0))))</f>
        <v>FARMARIN INDUST</v>
      </c>
      <c r="J66" s="86" t="s">
        <v>1313</v>
      </c>
      <c r="K66" s="86" t="str">
        <f>IF(AND(A66="",D66="",E66="",F66=""),"",IF(D66="","SEM CATEGORIA",IF(E66="","SEM SUBCATEGORIA",IF(COUNTIFS(CADASTROS!$L$7:$L$93,D66,CADASTROS!$D$7:$D$93,E66)=0,"INCOMPATÍVEL","OK"))))</f>
        <v>OK</v>
      </c>
    </row>
    <row r="67" spans="1:11" ht="30" hidden="1" customHeight="1" x14ac:dyDescent="0.25">
      <c r="A67" s="86" t="s">
        <v>1409</v>
      </c>
      <c r="B67" s="85">
        <f>IF(A67="","",IF(INDEX(EXTRATO!$C$2:$C$3000,MATCH($A67,EXTRATO!$A$2:$A$3000,0))="","",INDEX(EXTRATO!$C$2:$C$3000,MATCH($A67,EXTRATO!$A$2:$A$3000,0))))</f>
        <v>46041</v>
      </c>
      <c r="C67" s="86">
        <f t="shared" si="1"/>
        <v>1</v>
      </c>
      <c r="D67" s="81" t="s">
        <v>1311</v>
      </c>
      <c r="E67" s="79" t="s">
        <v>1404</v>
      </c>
      <c r="F67" s="80">
        <v>17567</v>
      </c>
      <c r="G67" s="81" t="s">
        <v>147</v>
      </c>
      <c r="H67" s="86" t="str">
        <f>IF(A67="","",IF(INDEX(EXTRATO!$F$2:$F$3000,MATCH($A67,EXTRATO!$A$2:$A$3000,0))="","",INDEX(EXTRATO!$F$2:$F$3000,MATCH($A67,EXTRATO!$A$2:$A$3000,0))))</f>
        <v>SAÍDA</v>
      </c>
      <c r="I67" s="88" t="str">
        <f>IF(A67="","",IF(INDEX(EXTRATO!$H$2:$H$3000,MATCH($A67,EXTRATO!$A$2:$A$3000,0))="","",INDEX(EXTRATO!$H$2:$H$3000,MATCH($A67,EXTRATO!$A$2:$A$3000,0))))</f>
        <v>FARMARIN INDUST</v>
      </c>
      <c r="J67" s="86" t="s">
        <v>1313</v>
      </c>
      <c r="K67" s="86" t="str">
        <f>IF(AND(A67="",D67="",E67="",F67=""),"",IF(D67="","SEM CATEGORIA",IF(E67="","SEM SUBCATEGORIA",IF(COUNTIFS(CADASTROS!$L$7:$L$93,D67,CADASTROS!$D$7:$D$93,E67)=0,"INCOMPATÍVEL","OK"))))</f>
        <v>OK</v>
      </c>
    </row>
    <row r="68" spans="1:11" ht="30" hidden="1" customHeight="1" x14ac:dyDescent="0.25">
      <c r="A68" s="86" t="s">
        <v>1410</v>
      </c>
      <c r="B68" s="85">
        <f>IF(A68="","",IF(INDEX(EXTRATO!$C$2:$C$3000,MATCH($A68,EXTRATO!$A$2:$A$3000,0))="","",INDEX(EXTRATO!$C$2:$C$3000,MATCH($A68,EXTRATO!$A$2:$A$3000,0))))</f>
        <v>46041</v>
      </c>
      <c r="C68" s="86">
        <f t="shared" si="1"/>
        <v>1</v>
      </c>
      <c r="D68" s="81" t="s">
        <v>1349</v>
      </c>
      <c r="E68" s="79" t="s">
        <v>1411</v>
      </c>
      <c r="F68" s="80">
        <v>200</v>
      </c>
      <c r="G68" s="81" t="s">
        <v>149</v>
      </c>
      <c r="H68" s="86" t="str">
        <f>IF(A68="","",IF(INDEX(EXTRATO!$F$2:$F$3000,MATCH($A68,EXTRATO!$A$2:$A$3000,0))="","",INDEX(EXTRATO!$F$2:$F$3000,MATCH($A68,EXTRATO!$A$2:$A$3000,0))))</f>
        <v>SAÍDA</v>
      </c>
      <c r="I68" s="88" t="str">
        <f>IF(A68="","",IF(INDEX(EXTRATO!$H$2:$H$3000,MATCH($A68,EXTRATO!$A$2:$A$3000,0))="","",INDEX(EXTRATO!$H$2:$H$3000,MATCH($A68,EXTRATO!$A$2:$A$3000,0))))</f>
        <v>E G BISPO TRANSPORTES</v>
      </c>
      <c r="J68" s="86" t="s">
        <v>1313</v>
      </c>
      <c r="K68" s="86" t="str">
        <f>IF(AND(A68="",D68="",E68="",F68=""),"",IF(D68="","SEM CATEGORIA",IF(E68="","SEM SUBCATEGORIA",IF(COUNTIFS(CADASTROS!$L$7:$L$93,D68,CADASTROS!$D$7:$D$93,E68)=0,"INCOMPATÍVEL","OK"))))</f>
        <v>OK</v>
      </c>
    </row>
    <row r="69" spans="1:11" ht="30" hidden="1" customHeight="1" x14ac:dyDescent="0.25">
      <c r="A69" s="86" t="s">
        <v>1412</v>
      </c>
      <c r="B69" s="85">
        <f>IF(A69="","",IF(INDEX(EXTRATO!$C$2:$C$3000,MATCH($A69,EXTRATO!$A$2:$A$3000,0))="","",INDEX(EXTRATO!$C$2:$C$3000,MATCH($A69,EXTRATO!$A$2:$A$3000,0))))</f>
        <v>46041</v>
      </c>
      <c r="C69" s="86">
        <f t="shared" si="1"/>
        <v>1</v>
      </c>
      <c r="D69" s="81" t="s">
        <v>1330</v>
      </c>
      <c r="E69" s="79" t="s">
        <v>1413</v>
      </c>
      <c r="F69" s="80">
        <v>1554</v>
      </c>
      <c r="G69" s="81" t="s">
        <v>152</v>
      </c>
      <c r="H69" s="86" t="str">
        <f>IF(A69="","",IF(INDEX(EXTRATO!$F$2:$F$3000,MATCH($A69,EXTRATO!$A$2:$A$3000,0))="","",INDEX(EXTRATO!$F$2:$F$3000,MATCH($A69,EXTRATO!$A$2:$A$3000,0))))</f>
        <v>SAÍDA</v>
      </c>
      <c r="I69" s="88" t="str">
        <f>IF(A69="","",IF(INDEX(EXTRATO!$H$2:$H$3000,MATCH($A69,EXTRATO!$A$2:$A$3000,0))="","",INDEX(EXTRATO!$H$2:$H$3000,MATCH($A69,EXTRATO!$A$2:$A$3000,0))))</f>
        <v>E M GONÇALVES PADARIA</v>
      </c>
      <c r="J69" s="86" t="s">
        <v>1313</v>
      </c>
      <c r="K69" s="86" t="str">
        <f>IF(AND(A69="",D69="",E69="",F69=""),"",IF(D69="","SEM CATEGORIA",IF(E69="","SEM SUBCATEGORIA",IF(COUNTIFS(CADASTROS!$L$7:$L$93,D69,CADASTROS!$D$7:$D$93,E69)=0,"INCOMPATÍVEL","OK"))))</f>
        <v>OK</v>
      </c>
    </row>
    <row r="70" spans="1:11" ht="30" hidden="1" customHeight="1" x14ac:dyDescent="0.25">
      <c r="A70" s="86" t="s">
        <v>1414</v>
      </c>
      <c r="B70" s="85">
        <f>IF(A70="","",IF(INDEX(EXTRATO!$C$2:$C$3000,MATCH($A70,EXTRATO!$A$2:$A$3000,0))="","",INDEX(EXTRATO!$C$2:$C$3000,MATCH($A70,EXTRATO!$A$2:$A$3000,0))))</f>
        <v>46041</v>
      </c>
      <c r="C70" s="86">
        <f t="shared" si="1"/>
        <v>1</v>
      </c>
      <c r="D70" s="81" t="s">
        <v>1415</v>
      </c>
      <c r="E70" s="79" t="s">
        <v>1416</v>
      </c>
      <c r="F70" s="80">
        <v>700</v>
      </c>
      <c r="G70" s="81" t="s">
        <v>1417</v>
      </c>
      <c r="H70" s="86" t="str">
        <f>IF(A70="","",IF(INDEX(EXTRATO!$F$2:$F$3000,MATCH($A70,EXTRATO!$A$2:$A$3000,0))="","",INDEX(EXTRATO!$F$2:$F$3000,MATCH($A70,EXTRATO!$A$2:$A$3000,0))))</f>
        <v>SAÍDA</v>
      </c>
      <c r="I70" s="88" t="str">
        <f>IF(A70="","",IF(INDEX(EXTRATO!$H$2:$H$3000,MATCH($A70,EXTRATO!$A$2:$A$3000,0))="","",INDEX(EXTRATO!$H$2:$H$3000,MATCH($A70,EXTRATO!$A$2:$A$3000,0))))</f>
        <v>I F DA SILVA &amp; CIA LTDA</v>
      </c>
      <c r="J70" s="86" t="s">
        <v>1313</v>
      </c>
      <c r="K70" s="86" t="str">
        <f>IF(AND(A70="",D70="",E70="",F70=""),"",IF(D70="","SEM CATEGORIA",IF(E70="","SEM SUBCATEGORIA",IF(COUNTIFS(CADASTROS!$L$7:$L$93,D70,CADASTROS!$D$7:$D$93,E70)=0,"INCOMPATÍVEL","OK"))))</f>
        <v>OK</v>
      </c>
    </row>
    <row r="71" spans="1:11" ht="30" hidden="1" customHeight="1" x14ac:dyDescent="0.25">
      <c r="A71" s="86" t="s">
        <v>1414</v>
      </c>
      <c r="B71" s="85">
        <f>IF(A71="","",IF(INDEX(EXTRATO!$C$2:$C$3000,MATCH($A71,EXTRATO!$A$2:$A$3000,0))="","",INDEX(EXTRATO!$C$2:$C$3000,MATCH($A71,EXTRATO!$A$2:$A$3000,0))))</f>
        <v>46041</v>
      </c>
      <c r="C71" s="86">
        <f t="shared" si="1"/>
        <v>1</v>
      </c>
      <c r="D71" s="81" t="s">
        <v>1415</v>
      </c>
      <c r="E71" s="79" t="s">
        <v>1418</v>
      </c>
      <c r="F71" s="80">
        <v>300</v>
      </c>
      <c r="G71" s="81" t="s">
        <v>1419</v>
      </c>
      <c r="H71" s="86" t="str">
        <f>IF(A71="","",IF(INDEX(EXTRATO!$F$2:$F$3000,MATCH($A71,EXTRATO!$A$2:$A$3000,0))="","",INDEX(EXTRATO!$F$2:$F$3000,MATCH($A71,EXTRATO!$A$2:$A$3000,0))))</f>
        <v>SAÍDA</v>
      </c>
      <c r="I71" s="88" t="str">
        <f>IF(A71="","",IF(INDEX(EXTRATO!$H$2:$H$3000,MATCH($A71,EXTRATO!$A$2:$A$3000,0))="","",INDEX(EXTRATO!$H$2:$H$3000,MATCH($A71,EXTRATO!$A$2:$A$3000,0))))</f>
        <v>I F DA SILVA &amp; CIA LTDA</v>
      </c>
      <c r="J71" s="86" t="s">
        <v>1313</v>
      </c>
      <c r="K71" s="86" t="str">
        <f>IF(AND(A71="",D71="",E71="",F71=""),"",IF(D71="","SEM CATEGORIA",IF(E71="","SEM SUBCATEGORIA",IF(COUNTIFS(CADASTROS!$L$7:$L$93,D71,CADASTROS!$D$7:$D$93,E71)=0,"INCOMPATÍVEL","OK"))))</f>
        <v>OK</v>
      </c>
    </row>
    <row r="72" spans="1:11" ht="30" hidden="1" customHeight="1" x14ac:dyDescent="0.25">
      <c r="A72" s="86" t="s">
        <v>1414</v>
      </c>
      <c r="B72" s="85">
        <f>IF(A72="","",IF(INDEX(EXTRATO!$C$2:$C$3000,MATCH($A72,EXTRATO!$A$2:$A$3000,0))="","",INDEX(EXTRATO!$C$2:$C$3000,MATCH($A72,EXTRATO!$A$2:$A$3000,0))))</f>
        <v>46041</v>
      </c>
      <c r="C72" s="86">
        <f t="shared" si="1"/>
        <v>1</v>
      </c>
      <c r="D72" s="81" t="s">
        <v>1415</v>
      </c>
      <c r="E72" s="79" t="s">
        <v>1420</v>
      </c>
      <c r="F72" s="80">
        <v>3886.36</v>
      </c>
      <c r="G72" s="81" t="s">
        <v>1421</v>
      </c>
      <c r="H72" s="86" t="str">
        <f>IF(A72="","",IF(INDEX(EXTRATO!$F$2:$F$3000,MATCH($A72,EXTRATO!$A$2:$A$3000,0))="","",INDEX(EXTRATO!$F$2:$F$3000,MATCH($A72,EXTRATO!$A$2:$A$3000,0))))</f>
        <v>SAÍDA</v>
      </c>
      <c r="I72" s="88" t="str">
        <f>IF(A72="","",IF(INDEX(EXTRATO!$H$2:$H$3000,MATCH($A72,EXTRATO!$A$2:$A$3000,0))="","",INDEX(EXTRATO!$H$2:$H$3000,MATCH($A72,EXTRATO!$A$2:$A$3000,0))))</f>
        <v>I F DA SILVA &amp; CIA LTDA</v>
      </c>
      <c r="J72" s="86" t="s">
        <v>1313</v>
      </c>
      <c r="K72" s="86" t="str">
        <f>IF(AND(A72="",D72="",E72="",F72=""),"",IF(D72="","SEM CATEGORIA",IF(E72="","SEM SUBCATEGORIA",IF(COUNTIFS(CADASTROS!$L$7:$L$93,D72,CADASTROS!$D$7:$D$93,E72)=0,"INCOMPATÍVEL","OK"))))</f>
        <v>OK</v>
      </c>
    </row>
    <row r="73" spans="1:11" ht="30" hidden="1" customHeight="1" x14ac:dyDescent="0.25">
      <c r="A73" s="86" t="s">
        <v>1414</v>
      </c>
      <c r="B73" s="85">
        <f>IF(A73="","",IF(INDEX(EXTRATO!$C$2:$C$3000,MATCH($A73,EXTRATO!$A$2:$A$3000,0))="","",INDEX(EXTRATO!$C$2:$C$3000,MATCH($A73,EXTRATO!$A$2:$A$3000,0))))</f>
        <v>46041</v>
      </c>
      <c r="C73" s="86">
        <f t="shared" si="1"/>
        <v>1</v>
      </c>
      <c r="D73" s="81" t="s">
        <v>1415</v>
      </c>
      <c r="E73" s="79" t="s">
        <v>1422</v>
      </c>
      <c r="F73" s="80">
        <v>3419.97</v>
      </c>
      <c r="G73" s="81" t="s">
        <v>1423</v>
      </c>
      <c r="H73" s="86" t="str">
        <f>IF(A73="","",IF(INDEX(EXTRATO!$F$2:$F$3000,MATCH($A73,EXTRATO!$A$2:$A$3000,0))="","",INDEX(EXTRATO!$F$2:$F$3000,MATCH($A73,EXTRATO!$A$2:$A$3000,0))))</f>
        <v>SAÍDA</v>
      </c>
      <c r="I73" s="88" t="str">
        <f>IF(A73="","",IF(INDEX(EXTRATO!$H$2:$H$3000,MATCH($A73,EXTRATO!$A$2:$A$3000,0))="","",INDEX(EXTRATO!$H$2:$H$3000,MATCH($A73,EXTRATO!$A$2:$A$3000,0))))</f>
        <v>I F DA SILVA &amp; CIA LTDA</v>
      </c>
      <c r="J73" s="86" t="s">
        <v>1313</v>
      </c>
      <c r="K73" s="86" t="str">
        <f>IF(AND(A73="",D73="",E73="",F73=""),"",IF(D73="","SEM CATEGORIA",IF(E73="","SEM SUBCATEGORIA",IF(COUNTIFS(CADASTROS!$L$7:$L$93,D73,CADASTROS!$D$7:$D$93,E73)=0,"INCOMPATÍVEL","OK"))))</f>
        <v>OK</v>
      </c>
    </row>
    <row r="74" spans="1:11" ht="30" hidden="1" customHeight="1" x14ac:dyDescent="0.25">
      <c r="A74" s="86" t="s">
        <v>1424</v>
      </c>
      <c r="B74" s="85">
        <f>IF(A74="","",IF(INDEX(EXTRATO!$C$2:$C$3000,MATCH($A74,EXTRATO!$A$2:$A$3000,0))="","",INDEX(EXTRATO!$C$2:$C$3000,MATCH($A74,EXTRATO!$A$2:$A$3000,0))))</f>
        <v>46041</v>
      </c>
      <c r="C74" s="86">
        <f t="shared" si="1"/>
        <v>1</v>
      </c>
      <c r="D74" s="81" t="s">
        <v>1415</v>
      </c>
      <c r="E74" s="79" t="s">
        <v>1425</v>
      </c>
      <c r="F74" s="80">
        <v>4600</v>
      </c>
      <c r="G74" s="81" t="s">
        <v>158</v>
      </c>
      <c r="H74" s="86" t="str">
        <f>IF(A74="","",IF(INDEX(EXTRATO!$F$2:$F$3000,MATCH($A74,EXTRATO!$A$2:$A$3000,0))="","",INDEX(EXTRATO!$F$2:$F$3000,MATCH($A74,EXTRATO!$A$2:$A$3000,0))))</f>
        <v>SAÍDA</v>
      </c>
      <c r="I74" s="88" t="str">
        <f>IF(A74="","",IF(INDEX(EXTRATO!$H$2:$H$3000,MATCH($A74,EXTRATO!$A$2:$A$3000,0))="","",INDEX(EXTRATO!$H$2:$H$3000,MATCH($A74,EXTRATO!$A$2:$A$3000,0))))</f>
        <v>CASAMATER</v>
      </c>
      <c r="J74" s="86" t="s">
        <v>1313</v>
      </c>
      <c r="K74" s="86" t="str">
        <f>IF(AND(A74="",D74="",E74="",F74=""),"",IF(D74="","SEM CATEGORIA",IF(E74="","SEM SUBCATEGORIA",IF(COUNTIFS(CADASTROS!$L$7:$L$93,D74,CADASTROS!$D$7:$D$93,E74)=0,"INCOMPATÍVEL","OK"))))</f>
        <v>OK</v>
      </c>
    </row>
    <row r="75" spans="1:11" ht="30" hidden="1" customHeight="1" x14ac:dyDescent="0.25">
      <c r="A75" s="86" t="s">
        <v>1426</v>
      </c>
      <c r="B75" s="85">
        <f>IF(A75="","",IF(INDEX(EXTRATO!$C$2:$C$3000,MATCH($A75,EXTRATO!$A$2:$A$3000,0))="","",INDEX(EXTRATO!$C$2:$C$3000,MATCH($A75,EXTRATO!$A$2:$A$3000,0))))</f>
        <v>46041</v>
      </c>
      <c r="C75" s="86">
        <f t="shared" si="1"/>
        <v>1</v>
      </c>
      <c r="D75" s="81" t="s">
        <v>1305</v>
      </c>
      <c r="E75" s="79" t="s">
        <v>1306</v>
      </c>
      <c r="F75" s="80">
        <v>40500</v>
      </c>
      <c r="G75" s="81" t="s">
        <v>45</v>
      </c>
      <c r="H75" s="86" t="str">
        <f>IF(A75="","",IF(INDEX(EXTRATO!$F$2:$F$3000,MATCH($A75,EXTRATO!$A$2:$A$3000,0))="","",INDEX(EXTRATO!$F$2:$F$3000,MATCH($A75,EXTRATO!$A$2:$A$3000,0))))</f>
        <v>RESGATE</v>
      </c>
      <c r="I75" s="88" t="str">
        <f>IF(A75="","",IF(INDEX(EXTRATO!$H$2:$H$3000,MATCH($A75,EXTRATO!$A$2:$A$3000,0))="","",INDEX(EXTRATO!$H$2:$H$3000,MATCH($A75,EXTRATO!$A$2:$A$3000,0))))</f>
        <v>BANCO DO BRASIL - CDB DI</v>
      </c>
      <c r="J75" s="86" t="s">
        <v>1307</v>
      </c>
      <c r="K75" s="86" t="str">
        <f>IF(AND(A75="",D75="",E75="",F75=""),"",IF(D75="","SEM CATEGORIA",IF(E75="","SEM SUBCATEGORIA",IF(COUNTIFS(CADASTROS!$L$7:$L$93,D75,CADASTROS!$D$7:$D$93,E75)=0,"INCOMPATÍVEL","OK"))))</f>
        <v>OK</v>
      </c>
    </row>
    <row r="76" spans="1:11" ht="30" hidden="1" customHeight="1" x14ac:dyDescent="0.25">
      <c r="A76" s="86" t="s">
        <v>1427</v>
      </c>
      <c r="B76" s="85">
        <f>IF(A76="","",IF(INDEX(EXTRATO!$C$2:$C$3000,MATCH($A76,EXTRATO!$A$2:$A$3000,0))="","",INDEX(EXTRATO!$C$2:$C$3000,MATCH($A76,EXTRATO!$A$2:$A$3000,0))))</f>
        <v>46042</v>
      </c>
      <c r="C76" s="86">
        <f t="shared" si="1"/>
        <v>1</v>
      </c>
      <c r="D76" s="81" t="s">
        <v>1305</v>
      </c>
      <c r="E76" s="79" t="s">
        <v>1306</v>
      </c>
      <c r="F76" s="80">
        <v>230.04</v>
      </c>
      <c r="G76" s="81" t="s">
        <v>45</v>
      </c>
      <c r="H76" s="86" t="str">
        <f>IF(A76="","",IF(INDEX(EXTRATO!$F$2:$F$3000,MATCH($A76,EXTRATO!$A$2:$A$3000,0))="","",INDEX(EXTRATO!$F$2:$F$3000,MATCH($A76,EXTRATO!$A$2:$A$3000,0))))</f>
        <v>RESGATE</v>
      </c>
      <c r="I76" s="88" t="str">
        <f>IF(A76="","",IF(INDEX(EXTRATO!$H$2:$H$3000,MATCH($A76,EXTRATO!$A$2:$A$3000,0))="","",INDEX(EXTRATO!$H$2:$H$3000,MATCH($A76,EXTRATO!$A$2:$A$3000,0))))</f>
        <v>BANCO DO BRASIL - CDB DI</v>
      </c>
      <c r="J76" s="86" t="s">
        <v>1307</v>
      </c>
      <c r="K76" s="86" t="str">
        <f>IF(AND(A76="",D76="",E76="",F76=""),"",IF(D76="","SEM CATEGORIA",IF(E76="","SEM SUBCATEGORIA",IF(COUNTIFS(CADASTROS!$L$7:$L$93,D76,CADASTROS!$D$7:$D$93,E76)=0,"INCOMPATÍVEL","OK"))))</f>
        <v>OK</v>
      </c>
    </row>
    <row r="77" spans="1:11" ht="30" hidden="1" customHeight="1" x14ac:dyDescent="0.25">
      <c r="A77" s="86" t="s">
        <v>1428</v>
      </c>
      <c r="B77" s="85">
        <f>IF(A77="","",IF(INDEX(EXTRATO!$C$2:$C$3000,MATCH($A77,EXTRATO!$A$2:$A$3000,0))="","",INDEX(EXTRATO!$C$2:$C$3000,MATCH($A77,EXTRATO!$A$2:$A$3000,0))))</f>
        <v>46042</v>
      </c>
      <c r="C77" s="86">
        <f t="shared" si="1"/>
        <v>1</v>
      </c>
      <c r="D77" s="81" t="s">
        <v>1311</v>
      </c>
      <c r="E77" s="79" t="s">
        <v>1342</v>
      </c>
      <c r="F77" s="80">
        <v>10332.299999999999</v>
      </c>
      <c r="G77" s="81" t="s">
        <v>161</v>
      </c>
      <c r="H77" s="86" t="str">
        <f>IF(A77="","",IF(INDEX(EXTRATO!$F$2:$F$3000,MATCH($A77,EXTRATO!$A$2:$A$3000,0))="","",INDEX(EXTRATO!$F$2:$F$3000,MATCH($A77,EXTRATO!$A$2:$A$3000,0))))</f>
        <v>SAÍDA</v>
      </c>
      <c r="I77" s="88" t="str">
        <f>IF(A77="","",IF(INDEX(EXTRATO!$H$2:$H$3000,MATCH($A77,EXTRATO!$A$2:$A$3000,0))="","",INDEX(EXTRATO!$H$2:$H$3000,MATCH($A77,EXTRATO!$A$2:$A$3000,0))))</f>
        <v>CRISTALIA PRODUTOS</v>
      </c>
      <c r="J77" s="86" t="s">
        <v>1313</v>
      </c>
      <c r="K77" s="86" t="str">
        <f>IF(AND(A77="",D77="",E77="",F77=""),"",IF(D77="","SEM CATEGORIA",IF(E77="","SEM SUBCATEGORIA",IF(COUNTIFS(CADASTROS!$L$7:$L$93,D77,CADASTROS!$D$7:$D$93,E77)=0,"INCOMPATÍVEL","OK"))))</f>
        <v>OK</v>
      </c>
    </row>
    <row r="78" spans="1:11" ht="30" hidden="1" customHeight="1" x14ac:dyDescent="0.25">
      <c r="A78" s="86" t="s">
        <v>1429</v>
      </c>
      <c r="B78" s="85">
        <f>IF(A78="","",IF(INDEX(EXTRATO!$C$2:$C$3000,MATCH($A78,EXTRATO!$A$2:$A$3000,0))="","",INDEX(EXTRATO!$C$2:$C$3000,MATCH($A78,EXTRATO!$A$2:$A$3000,0))))</f>
        <v>46042</v>
      </c>
      <c r="C78" s="86">
        <f t="shared" si="1"/>
        <v>1</v>
      </c>
      <c r="D78" s="81" t="s">
        <v>1367</v>
      </c>
      <c r="E78" s="79" t="s">
        <v>164</v>
      </c>
      <c r="F78" s="80">
        <v>984.93</v>
      </c>
      <c r="G78" s="81" t="s">
        <v>163</v>
      </c>
      <c r="H78" s="86" t="str">
        <f>IF(A78="","",IF(INDEX(EXTRATO!$F$2:$F$3000,MATCH($A78,EXTRATO!$A$2:$A$3000,0))="","",INDEX(EXTRATO!$F$2:$F$3000,MATCH($A78,EXTRATO!$A$2:$A$3000,0))))</f>
        <v>SAÍDA</v>
      </c>
      <c r="I78" s="88" t="str">
        <f>IF(A78="","",IF(INDEX(EXTRATO!$H$2:$H$3000,MATCH($A78,EXTRATO!$A$2:$A$3000,0))="","",INDEX(EXTRATO!$H$2:$H$3000,MATCH($A78,EXTRATO!$A$2:$A$3000,0))))</f>
        <v>FGTS</v>
      </c>
      <c r="J78" s="86" t="s">
        <v>1313</v>
      </c>
      <c r="K78" s="86" t="str">
        <f>IF(AND(A78="",D78="",E78="",F78=""),"",IF(D78="","SEM CATEGORIA",IF(E78="","SEM SUBCATEGORIA",IF(COUNTIFS(CADASTROS!$L$7:$L$93,D78,CADASTROS!$D$7:$D$93,E78)=0,"INCOMPATÍVEL","OK"))))</f>
        <v>OK</v>
      </c>
    </row>
    <row r="79" spans="1:11" ht="30" hidden="1" customHeight="1" x14ac:dyDescent="0.25">
      <c r="A79" s="86" t="s">
        <v>1430</v>
      </c>
      <c r="B79" s="85">
        <f>IF(A79="","",IF(INDEX(EXTRATO!$C$2:$C$3000,MATCH($A79,EXTRATO!$A$2:$A$3000,0))="","",INDEX(EXTRATO!$C$2:$C$3000,MATCH($A79,EXTRATO!$A$2:$A$3000,0))))</f>
        <v>46042</v>
      </c>
      <c r="C79" s="86">
        <f t="shared" si="1"/>
        <v>1</v>
      </c>
      <c r="D79" s="81" t="s">
        <v>1367</v>
      </c>
      <c r="E79" s="79" t="s">
        <v>164</v>
      </c>
      <c r="F79" s="80">
        <v>5097.67</v>
      </c>
      <c r="G79" s="81" t="s">
        <v>165</v>
      </c>
      <c r="H79" s="86" t="str">
        <f>IF(A79="","",IF(INDEX(EXTRATO!$F$2:$F$3000,MATCH($A79,EXTRATO!$A$2:$A$3000,0))="","",INDEX(EXTRATO!$F$2:$F$3000,MATCH($A79,EXTRATO!$A$2:$A$3000,0))))</f>
        <v>SAÍDA</v>
      </c>
      <c r="I79" s="88" t="str">
        <f>IF(A79="","",IF(INDEX(EXTRATO!$H$2:$H$3000,MATCH($A79,EXTRATO!$A$2:$A$3000,0))="","",INDEX(EXTRATO!$H$2:$H$3000,MATCH($A79,EXTRATO!$A$2:$A$3000,0))))</f>
        <v>FGTS</v>
      </c>
      <c r="J79" s="86" t="s">
        <v>1313</v>
      </c>
      <c r="K79" s="86" t="str">
        <f>IF(AND(A79="",D79="",E79="",F79=""),"",IF(D79="","SEM CATEGORIA",IF(E79="","SEM SUBCATEGORIA",IF(COUNTIFS(CADASTROS!$L$7:$L$93,D79,CADASTROS!$D$7:$D$93,E79)=0,"INCOMPATÍVEL","OK"))))</f>
        <v>OK</v>
      </c>
    </row>
    <row r="80" spans="1:11" ht="30" hidden="1" customHeight="1" x14ac:dyDescent="0.25">
      <c r="A80" s="86" t="s">
        <v>1431</v>
      </c>
      <c r="B80" s="85">
        <f>IF(A80="","",IF(INDEX(EXTRATO!$C$2:$C$3000,MATCH($A80,EXTRATO!$A$2:$A$3000,0))="","",INDEX(EXTRATO!$C$2:$C$3000,MATCH($A80,EXTRATO!$A$2:$A$3000,0))))</f>
        <v>46042</v>
      </c>
      <c r="C80" s="86">
        <f t="shared" si="1"/>
        <v>1</v>
      </c>
      <c r="D80" s="81" t="s">
        <v>1367</v>
      </c>
      <c r="E80" s="79" t="s">
        <v>167</v>
      </c>
      <c r="F80" s="80">
        <v>20075.849999999999</v>
      </c>
      <c r="G80" s="81" t="s">
        <v>166</v>
      </c>
      <c r="H80" s="86" t="str">
        <f>IF(A80="","",IF(INDEX(EXTRATO!$F$2:$F$3000,MATCH($A80,EXTRATO!$A$2:$A$3000,0))="","",INDEX(EXTRATO!$F$2:$F$3000,MATCH($A80,EXTRATO!$A$2:$A$3000,0))))</f>
        <v>SAÍDA</v>
      </c>
      <c r="I80" s="88" t="str">
        <f>IF(A80="","",IF(INDEX(EXTRATO!$H$2:$H$3000,MATCH($A80,EXTRATO!$A$2:$A$3000,0))="","",INDEX(EXTRATO!$H$2:$H$3000,MATCH($A80,EXTRATO!$A$2:$A$3000,0))))</f>
        <v>INSS</v>
      </c>
      <c r="J80" s="86" t="s">
        <v>1313</v>
      </c>
      <c r="K80" s="86" t="str">
        <f>IF(AND(A80="",D80="",E80="",F80=""),"",IF(D80="","SEM CATEGORIA",IF(E80="","SEM SUBCATEGORIA",IF(COUNTIFS(CADASTROS!$L$7:$L$93,D80,CADASTROS!$D$7:$D$93,E80)=0,"INCOMPATÍVEL","OK"))))</f>
        <v>OK</v>
      </c>
    </row>
    <row r="81" spans="1:11" ht="30" hidden="1" customHeight="1" x14ac:dyDescent="0.25">
      <c r="A81" s="86" t="s">
        <v>1432</v>
      </c>
      <c r="B81" s="85">
        <f>IF(A81="","",IF(INDEX(EXTRATO!$C$2:$C$3000,MATCH($A81,EXTRATO!$A$2:$A$3000,0))="","",INDEX(EXTRATO!$C$2:$C$3000,MATCH($A81,EXTRATO!$A$2:$A$3000,0))))</f>
        <v>46042</v>
      </c>
      <c r="C81" s="86">
        <f t="shared" si="1"/>
        <v>1</v>
      </c>
      <c r="D81" s="81" t="s">
        <v>1388</v>
      </c>
      <c r="E81" s="79" t="s">
        <v>168</v>
      </c>
      <c r="F81" s="80">
        <v>57.77</v>
      </c>
      <c r="G81" s="81" t="s">
        <v>168</v>
      </c>
      <c r="H81" s="86" t="str">
        <f>IF(A81="","",IF(INDEX(EXTRATO!$F$2:$F$3000,MATCH($A81,EXTRATO!$A$2:$A$3000,0))="","",INDEX(EXTRATO!$F$2:$F$3000,MATCH($A81,EXTRATO!$A$2:$A$3000,0))))</f>
        <v>SAÍDA</v>
      </c>
      <c r="I81" s="88" t="str">
        <f>IF(A81="","",IF(INDEX(EXTRATO!$H$2:$H$3000,MATCH($A81,EXTRATO!$A$2:$A$3000,0))="","",INDEX(EXTRATO!$H$2:$H$3000,MATCH($A81,EXTRATO!$A$2:$A$3000,0))))</f>
        <v>TRIBUTOS FEDEREIAS MENSAIS</v>
      </c>
      <c r="J81" s="86" t="s">
        <v>1313</v>
      </c>
      <c r="K81" s="86" t="str">
        <f>IF(AND(A81="",D81="",E81="",F81=""),"",IF(D81="","SEM CATEGORIA",IF(E81="","SEM SUBCATEGORIA",IF(COUNTIFS(CADASTROS!$L$7:$L$93,D81,CADASTROS!$D$7:$D$93,E81)=0,"INCOMPATÍVEL","OK"))))</f>
        <v>OK</v>
      </c>
    </row>
    <row r="82" spans="1:11" ht="30" hidden="1" customHeight="1" x14ac:dyDescent="0.25">
      <c r="A82" s="86" t="s">
        <v>1433</v>
      </c>
      <c r="B82" s="85">
        <f>IF(A82="","",IF(INDEX(EXTRATO!$C$2:$C$3000,MATCH($A82,EXTRATO!$A$2:$A$3000,0))="","",INDEX(EXTRATO!$C$2:$C$3000,MATCH($A82,EXTRATO!$A$2:$A$3000,0))))</f>
        <v>46042</v>
      </c>
      <c r="C82" s="86">
        <f t="shared" si="1"/>
        <v>1</v>
      </c>
      <c r="D82" s="81" t="s">
        <v>1388</v>
      </c>
      <c r="E82" s="79" t="s">
        <v>170</v>
      </c>
      <c r="F82" s="80">
        <v>18.64</v>
      </c>
      <c r="G82" s="81" t="s">
        <v>170</v>
      </c>
      <c r="H82" s="86" t="str">
        <f>IF(A82="","",IF(INDEX(EXTRATO!$F$2:$F$3000,MATCH($A82,EXTRATO!$A$2:$A$3000,0))="","",INDEX(EXTRATO!$F$2:$F$3000,MATCH($A82,EXTRATO!$A$2:$A$3000,0))))</f>
        <v>SAÍDA</v>
      </c>
      <c r="I82" s="88" t="str">
        <f>IF(A82="","",IF(INDEX(EXTRATO!$H$2:$H$3000,MATCH($A82,EXTRATO!$A$2:$A$3000,0))="","",INDEX(EXTRATO!$H$2:$H$3000,MATCH($A82,EXTRATO!$A$2:$A$3000,0))))</f>
        <v>TRIBUTOS FEDEREIAS MENSAIS</v>
      </c>
      <c r="J82" s="86" t="s">
        <v>1313</v>
      </c>
      <c r="K82" s="86" t="str">
        <f>IF(AND(A82="",D82="",E82="",F82=""),"",IF(D82="","SEM CATEGORIA",IF(E82="","SEM SUBCATEGORIA",IF(COUNTIFS(CADASTROS!$L$7:$L$93,D82,CADASTROS!$D$7:$D$93,E82)=0,"INCOMPATÍVEL","OK"))))</f>
        <v>OK</v>
      </c>
    </row>
    <row r="83" spans="1:11" ht="30" hidden="1" customHeight="1" x14ac:dyDescent="0.25">
      <c r="A83" s="86" t="s">
        <v>1434</v>
      </c>
      <c r="B83" s="85">
        <f>IF(A83="","",IF(INDEX(EXTRATO!$C$2:$C$3000,MATCH($A83,EXTRATO!$A$2:$A$3000,0))="","",INDEX(EXTRATO!$C$2:$C$3000,MATCH($A83,EXTRATO!$A$2:$A$3000,0))))</f>
        <v>46042</v>
      </c>
      <c r="C83" s="86">
        <f t="shared" si="1"/>
        <v>1</v>
      </c>
      <c r="D83" s="81" t="s">
        <v>1305</v>
      </c>
      <c r="E83" s="79" t="s">
        <v>1306</v>
      </c>
      <c r="F83" s="80">
        <v>36500</v>
      </c>
      <c r="G83" s="81" t="s">
        <v>45</v>
      </c>
      <c r="H83" s="86" t="str">
        <f>IF(A83="","",IF(INDEX(EXTRATO!$F$2:$F$3000,MATCH($A83,EXTRATO!$A$2:$A$3000,0))="","",INDEX(EXTRATO!$F$2:$F$3000,MATCH($A83,EXTRATO!$A$2:$A$3000,0))))</f>
        <v>RESGATE</v>
      </c>
      <c r="I83" s="88" t="str">
        <f>IF(A83="","",IF(INDEX(EXTRATO!$H$2:$H$3000,MATCH($A83,EXTRATO!$A$2:$A$3000,0))="","",INDEX(EXTRATO!$H$2:$H$3000,MATCH($A83,EXTRATO!$A$2:$A$3000,0))))</f>
        <v>BANCO DO BRASIL - CDB DI</v>
      </c>
      <c r="J83" s="86" t="s">
        <v>1307</v>
      </c>
      <c r="K83" s="86" t="str">
        <f>IF(AND(A83="",D83="",E83="",F83=""),"",IF(D83="","SEM CATEGORIA",IF(E83="","SEM SUBCATEGORIA",IF(COUNTIFS(CADASTROS!$L$7:$L$93,D83,CADASTROS!$D$7:$D$93,E83)=0,"INCOMPATÍVEL","OK"))))</f>
        <v>OK</v>
      </c>
    </row>
    <row r="84" spans="1:11" ht="30" hidden="1" customHeight="1" x14ac:dyDescent="0.25">
      <c r="A84" s="86" t="s">
        <v>1435</v>
      </c>
      <c r="B84" s="85">
        <f>IF(A84="","",IF(INDEX(EXTRATO!$C$2:$C$3000,MATCH($A84,EXTRATO!$A$2:$A$3000,0))="","",INDEX(EXTRATO!$C$2:$C$3000,MATCH($A84,EXTRATO!$A$2:$A$3000,0))))</f>
        <v>46043</v>
      </c>
      <c r="C84" s="86">
        <f t="shared" si="1"/>
        <v>1</v>
      </c>
      <c r="D84" s="81" t="s">
        <v>1305</v>
      </c>
      <c r="E84" s="79" t="s">
        <v>1306</v>
      </c>
      <c r="F84" s="80">
        <v>228.49</v>
      </c>
      <c r="G84" s="81" t="s">
        <v>45</v>
      </c>
      <c r="H84" s="86" t="str">
        <f>IF(A84="","",IF(INDEX(EXTRATO!$F$2:$F$3000,MATCH($A84,EXTRATO!$A$2:$A$3000,0))="","",INDEX(EXTRATO!$F$2:$F$3000,MATCH($A84,EXTRATO!$A$2:$A$3000,0))))</f>
        <v>RESGATE</v>
      </c>
      <c r="I84" s="88" t="str">
        <f>IF(A84="","",IF(INDEX(EXTRATO!$H$2:$H$3000,MATCH($A84,EXTRATO!$A$2:$A$3000,0))="","",INDEX(EXTRATO!$H$2:$H$3000,MATCH($A84,EXTRATO!$A$2:$A$3000,0))))</f>
        <v>BANCO DO BRASIL - CDB DI</v>
      </c>
      <c r="J84" s="86" t="s">
        <v>1307</v>
      </c>
      <c r="K84" s="86" t="str">
        <f>IF(AND(A84="",D84="",E84="",F84=""),"",IF(D84="","SEM CATEGORIA",IF(E84="","SEM SUBCATEGORIA",IF(COUNTIFS(CADASTROS!$L$7:$L$93,D84,CADASTROS!$D$7:$D$93,E84)=0,"INCOMPATÍVEL","OK"))))</f>
        <v>OK</v>
      </c>
    </row>
    <row r="85" spans="1:11" ht="30" hidden="1" customHeight="1" x14ac:dyDescent="0.25">
      <c r="A85" s="86" t="s">
        <v>1436</v>
      </c>
      <c r="B85" s="85">
        <f>IF(A85="","",IF(INDEX(EXTRATO!$C$2:$C$3000,MATCH($A85,EXTRATO!$A$2:$A$3000,0))="","",INDEX(EXTRATO!$C$2:$C$3000,MATCH($A85,EXTRATO!$A$2:$A$3000,0))))</f>
        <v>46043</v>
      </c>
      <c r="C85" s="86">
        <f t="shared" si="1"/>
        <v>1</v>
      </c>
      <c r="D85" s="81" t="s">
        <v>1311</v>
      </c>
      <c r="E85" s="79" t="s">
        <v>1312</v>
      </c>
      <c r="F85" s="80">
        <v>640.65</v>
      </c>
      <c r="G85" s="81" t="s">
        <v>171</v>
      </c>
      <c r="H85" s="86" t="str">
        <f>IF(A85="","",IF(INDEX(EXTRATO!$F$2:$F$3000,MATCH($A85,EXTRATO!$A$2:$A$3000,0))="","",INDEX(EXTRATO!$F$2:$F$3000,MATCH($A85,EXTRATO!$A$2:$A$3000,0))))</f>
        <v>SAÍDA</v>
      </c>
      <c r="I85" s="88" t="str">
        <f>IF(A85="","",IF(INDEX(EXTRATO!$H$2:$H$3000,MATCH($A85,EXTRATO!$A$2:$A$3000,0))="","",INDEX(EXTRATO!$H$2:$H$3000,MATCH($A85,EXTRATO!$A$2:$A$3000,0))))</f>
        <v>J SUL DISTRIBUIDORA</v>
      </c>
      <c r="J85" s="86" t="s">
        <v>1313</v>
      </c>
      <c r="K85" s="86" t="str">
        <f>IF(AND(A85="",D85="",E85="",F85=""),"",IF(D85="","SEM CATEGORIA",IF(E85="","SEM SUBCATEGORIA",IF(COUNTIFS(CADASTROS!$L$7:$L$93,D85,CADASTROS!$D$7:$D$93,E85)=0,"INCOMPATÍVEL","OK"))))</f>
        <v>OK</v>
      </c>
    </row>
    <row r="86" spans="1:11" ht="30" hidden="1" customHeight="1" x14ac:dyDescent="0.25">
      <c r="A86" s="86" t="s">
        <v>1437</v>
      </c>
      <c r="B86" s="85">
        <f>IF(A86="","",IF(INDEX(EXTRATO!$C$2:$C$3000,MATCH($A86,EXTRATO!$A$2:$A$3000,0))="","",INDEX(EXTRATO!$C$2:$C$3000,MATCH($A86,EXTRATO!$A$2:$A$3000,0))))</f>
        <v>46043</v>
      </c>
      <c r="C86" s="86">
        <f t="shared" si="1"/>
        <v>1</v>
      </c>
      <c r="D86" s="81" t="s">
        <v>1311</v>
      </c>
      <c r="E86" s="79" t="s">
        <v>1376</v>
      </c>
      <c r="F86" s="80">
        <v>2904</v>
      </c>
      <c r="G86" s="81" t="s">
        <v>174</v>
      </c>
      <c r="H86" s="86" t="str">
        <f>IF(A86="","",IF(INDEX(EXTRATO!$F$2:$F$3000,MATCH($A86,EXTRATO!$A$2:$A$3000,0))="","",INDEX(EXTRATO!$F$2:$F$3000,MATCH($A86,EXTRATO!$A$2:$A$3000,0))))</f>
        <v>SAÍDA</v>
      </c>
      <c r="I86" s="88" t="str">
        <f>IF(A86="","",IF(INDEX(EXTRATO!$H$2:$H$3000,MATCH($A86,EXTRATO!$A$2:$A$3000,0))="","",INDEX(EXTRATO!$H$2:$H$3000,MATCH($A86,EXTRATO!$A$2:$A$3000,0))))</f>
        <v>NIPRO</v>
      </c>
      <c r="J86" s="86" t="s">
        <v>1313</v>
      </c>
      <c r="K86" s="86" t="str">
        <f>IF(AND(A86="",D86="",E86="",F86=""),"",IF(D86="","SEM CATEGORIA",IF(E86="","SEM SUBCATEGORIA",IF(COUNTIFS(CADASTROS!$L$7:$L$93,D86,CADASTROS!$D$7:$D$93,E86)=0,"INCOMPATÍVEL","OK"))))</f>
        <v>OK</v>
      </c>
    </row>
    <row r="87" spans="1:11" ht="30" hidden="1" customHeight="1" x14ac:dyDescent="0.25">
      <c r="A87" s="86" t="s">
        <v>1438</v>
      </c>
      <c r="B87" s="85">
        <f>IF(A87="","",IF(INDEX(EXTRATO!$C$2:$C$3000,MATCH($A87,EXTRATO!$A$2:$A$3000,0))="","",INDEX(EXTRATO!$C$2:$C$3000,MATCH($A87,EXTRATO!$A$2:$A$3000,0))))</f>
        <v>46043</v>
      </c>
      <c r="C87" s="86">
        <f t="shared" si="1"/>
        <v>1</v>
      </c>
      <c r="D87" s="81" t="s">
        <v>1305</v>
      </c>
      <c r="E87" s="79" t="s">
        <v>1306</v>
      </c>
      <c r="F87" s="80">
        <v>3500</v>
      </c>
      <c r="G87" s="81" t="s">
        <v>45</v>
      </c>
      <c r="H87" s="86" t="str">
        <f>IF(A87="","",IF(INDEX(EXTRATO!$F$2:$F$3000,MATCH($A87,EXTRATO!$A$2:$A$3000,0))="","",INDEX(EXTRATO!$F$2:$F$3000,MATCH($A87,EXTRATO!$A$2:$A$3000,0))))</f>
        <v>RESGATE</v>
      </c>
      <c r="I87" s="88" t="str">
        <f>IF(A87="","",IF(INDEX(EXTRATO!$H$2:$H$3000,MATCH($A87,EXTRATO!$A$2:$A$3000,0))="","",INDEX(EXTRATO!$H$2:$H$3000,MATCH($A87,EXTRATO!$A$2:$A$3000,0))))</f>
        <v>BANCO DO BRASIL - CDB DI</v>
      </c>
      <c r="J87" s="86" t="s">
        <v>1307</v>
      </c>
      <c r="K87" s="86" t="str">
        <f>IF(AND(A87="",D87="",E87="",F87=""),"",IF(D87="","SEM CATEGORIA",IF(E87="","SEM SUBCATEGORIA",IF(COUNTIFS(CADASTROS!$L$7:$L$93,D87,CADASTROS!$D$7:$D$93,E87)=0,"INCOMPATÍVEL","OK"))))</f>
        <v>OK</v>
      </c>
    </row>
    <row r="88" spans="1:11" ht="30" hidden="1" customHeight="1" x14ac:dyDescent="0.25">
      <c r="A88" s="86" t="s">
        <v>1439</v>
      </c>
      <c r="B88" s="85">
        <f>IF(A88="","",IF(INDEX(EXTRATO!$C$2:$C$3000,MATCH($A88,EXTRATO!$A$2:$A$3000,0))="","",INDEX(EXTRATO!$C$2:$C$3000,MATCH($A88,EXTRATO!$A$2:$A$3000,0))))</f>
        <v>46044</v>
      </c>
      <c r="C88" s="86">
        <f t="shared" si="1"/>
        <v>1</v>
      </c>
      <c r="D88" s="81" t="s">
        <v>1305</v>
      </c>
      <c r="E88" s="79" t="s">
        <v>1306</v>
      </c>
      <c r="F88" s="80">
        <v>24.15</v>
      </c>
      <c r="G88" s="81" t="s">
        <v>45</v>
      </c>
      <c r="H88" s="86" t="str">
        <f>IF(A88="","",IF(INDEX(EXTRATO!$F$2:$F$3000,MATCH($A88,EXTRATO!$A$2:$A$3000,0))="","",INDEX(EXTRATO!$F$2:$F$3000,MATCH($A88,EXTRATO!$A$2:$A$3000,0))))</f>
        <v>RESGATE</v>
      </c>
      <c r="I88" s="88" t="str">
        <f>IF(A88="","",IF(INDEX(EXTRATO!$H$2:$H$3000,MATCH($A88,EXTRATO!$A$2:$A$3000,0))="","",INDEX(EXTRATO!$H$2:$H$3000,MATCH($A88,EXTRATO!$A$2:$A$3000,0))))</f>
        <v>BANCO DO BRASIL - CDB DI</v>
      </c>
      <c r="J88" s="86" t="s">
        <v>1307</v>
      </c>
      <c r="K88" s="86" t="str">
        <f>IF(AND(A88="",D88="",E88="",F88=""),"",IF(D88="","SEM CATEGORIA",IF(E88="","SEM SUBCATEGORIA",IF(COUNTIFS(CADASTROS!$L$7:$L$93,D88,CADASTROS!$D$7:$D$93,E88)=0,"INCOMPATÍVEL","OK"))))</f>
        <v>OK</v>
      </c>
    </row>
    <row r="89" spans="1:11" ht="30" hidden="1" customHeight="1" x14ac:dyDescent="0.25">
      <c r="A89" s="86" t="s">
        <v>1440</v>
      </c>
      <c r="B89" s="85">
        <f>IF(A89="","",IF(INDEX(EXTRATO!$C$2:$C$3000,MATCH($A89,EXTRATO!$A$2:$A$3000,0))="","",INDEX(EXTRATO!$C$2:$C$3000,MATCH($A89,EXTRATO!$A$2:$A$3000,0))))</f>
        <v>46045</v>
      </c>
      <c r="C89" s="86">
        <f t="shared" si="1"/>
        <v>1</v>
      </c>
      <c r="D89" s="81" t="s">
        <v>1349</v>
      </c>
      <c r="E89" s="79" t="s">
        <v>1441</v>
      </c>
      <c r="F89" s="80">
        <v>700</v>
      </c>
      <c r="G89" s="81" t="s">
        <v>176</v>
      </c>
      <c r="H89" s="86" t="str">
        <f>IF(A89="","",IF(INDEX(EXTRATO!$F$2:$F$3000,MATCH($A89,EXTRATO!$A$2:$A$3000,0))="","",INDEX(EXTRATO!$F$2:$F$3000,MATCH($A89,EXTRATO!$A$2:$A$3000,0))))</f>
        <v>SAÍDA</v>
      </c>
      <c r="I89" s="88" t="str">
        <f>IF(A89="","",IF(INDEX(EXTRATO!$H$2:$H$3000,MATCH($A89,EXTRATO!$A$2:$A$3000,0))="","",INDEX(EXTRATO!$H$2:$H$3000,MATCH($A89,EXTRATO!$A$2:$A$3000,0))))</f>
        <v>CLAUDIANE CARDOSO DA SILVA (CARRO HTI)</v>
      </c>
      <c r="J89" s="86" t="s">
        <v>1313</v>
      </c>
      <c r="K89" s="86" t="str">
        <f>IF(AND(A89="",D89="",E89="",F89=""),"",IF(D89="","SEM CATEGORIA",IF(E89="","SEM SUBCATEGORIA",IF(COUNTIFS(CADASTROS!$L$7:$L$93,D89,CADASTROS!$D$7:$D$93,E89)=0,"INCOMPATÍVEL","OK"))))</f>
        <v>OK</v>
      </c>
    </row>
    <row r="90" spans="1:11" ht="30" hidden="1" customHeight="1" x14ac:dyDescent="0.25">
      <c r="A90" s="86" t="s">
        <v>1442</v>
      </c>
      <c r="B90" s="85">
        <f>IF(A90="","",IF(INDEX(EXTRATO!$C$2:$C$3000,MATCH($A90,EXTRATO!$A$2:$A$3000,0))="","",INDEX(EXTRATO!$C$2:$C$3000,MATCH($A90,EXTRATO!$A$2:$A$3000,0))))</f>
        <v>46045</v>
      </c>
      <c r="C90" s="86">
        <f t="shared" si="1"/>
        <v>1</v>
      </c>
      <c r="D90" s="81" t="s">
        <v>1388</v>
      </c>
      <c r="E90" s="79" t="s">
        <v>179</v>
      </c>
      <c r="F90" s="80">
        <v>6347.44</v>
      </c>
      <c r="G90" s="81" t="s">
        <v>179</v>
      </c>
      <c r="H90" s="86" t="str">
        <f>IF(A90="","",IF(INDEX(EXTRATO!$F$2:$F$3000,MATCH($A90,EXTRATO!$A$2:$A$3000,0))="","",INDEX(EXTRATO!$F$2:$F$3000,MATCH($A90,EXTRATO!$A$2:$A$3000,0))))</f>
        <v>SAÍDA</v>
      </c>
      <c r="I90" s="88" t="str">
        <f>IF(A90="","",IF(INDEX(EXTRATO!$H$2:$H$3000,MATCH($A90,EXTRATO!$A$2:$A$3000,0))="","",INDEX(EXTRATO!$H$2:$H$3000,MATCH($A90,EXTRATO!$A$2:$A$3000,0))))</f>
        <v>PIS</v>
      </c>
      <c r="J90" s="86" t="s">
        <v>1313</v>
      </c>
      <c r="K90" s="86" t="str">
        <f>IF(AND(A90="",D90="",E90="",F90=""),"",IF(D90="","SEM CATEGORIA",IF(E90="","SEM SUBCATEGORIA",IF(COUNTIFS(CADASTROS!$L$7:$L$93,D90,CADASTROS!$D$7:$D$93,E90)=0,"INCOMPATÍVEL","OK"))))</f>
        <v>OK</v>
      </c>
    </row>
    <row r="91" spans="1:11" ht="30" hidden="1" customHeight="1" x14ac:dyDescent="0.25">
      <c r="A91" s="86" t="s">
        <v>1443</v>
      </c>
      <c r="B91" s="85">
        <f>IF(A91="","",IF(INDEX(EXTRATO!$C$2:$C$3000,MATCH($A91,EXTRATO!$A$2:$A$3000,0))="","",INDEX(EXTRATO!$C$2:$C$3000,MATCH($A91,EXTRATO!$A$2:$A$3000,0))))</f>
        <v>46045</v>
      </c>
      <c r="C91" s="86">
        <f t="shared" si="1"/>
        <v>1</v>
      </c>
      <c r="D91" s="81" t="s">
        <v>1388</v>
      </c>
      <c r="E91" s="79" t="s">
        <v>180</v>
      </c>
      <c r="F91" s="80">
        <v>29295.9</v>
      </c>
      <c r="G91" s="81" t="s">
        <v>180</v>
      </c>
      <c r="H91" s="86" t="str">
        <f>IF(A91="","",IF(INDEX(EXTRATO!$F$2:$F$3000,MATCH($A91,EXTRATO!$A$2:$A$3000,0))="","",INDEX(EXTRATO!$F$2:$F$3000,MATCH($A91,EXTRATO!$A$2:$A$3000,0))))</f>
        <v>SAÍDA</v>
      </c>
      <c r="I91" s="88" t="str">
        <f>IF(A91="","",IF(INDEX(EXTRATO!$H$2:$H$3000,MATCH($A91,EXTRATO!$A$2:$A$3000,0))="","",INDEX(EXTRATO!$H$2:$H$3000,MATCH($A91,EXTRATO!$A$2:$A$3000,0))))</f>
        <v>COFINS</v>
      </c>
      <c r="J91" s="86" t="s">
        <v>1313</v>
      </c>
      <c r="K91" s="86" t="str">
        <f>IF(AND(A91="",D91="",E91="",F91=""),"",IF(D91="","SEM CATEGORIA",IF(E91="","SEM SUBCATEGORIA",IF(COUNTIFS(CADASTROS!$L$7:$L$93,D91,CADASTROS!$D$7:$D$93,E91)=0,"INCOMPATÍVEL","OK"))))</f>
        <v>OK</v>
      </c>
    </row>
    <row r="92" spans="1:11" ht="30" hidden="1" customHeight="1" x14ac:dyDescent="0.25">
      <c r="A92" s="86" t="s">
        <v>1444</v>
      </c>
      <c r="B92" s="85">
        <f>IF(A92="","",IF(INDEX(EXTRATO!$C$2:$C$3000,MATCH($A92,EXTRATO!$A$2:$A$3000,0))="","",INDEX(EXTRATO!$C$2:$C$3000,MATCH($A92,EXTRATO!$A$2:$A$3000,0))))</f>
        <v>46045</v>
      </c>
      <c r="C92" s="86">
        <f t="shared" si="1"/>
        <v>1</v>
      </c>
      <c r="D92" s="81" t="s">
        <v>1305</v>
      </c>
      <c r="E92" s="79" t="s">
        <v>1306</v>
      </c>
      <c r="F92" s="80">
        <v>36000</v>
      </c>
      <c r="G92" s="81" t="s">
        <v>45</v>
      </c>
      <c r="H92" s="86" t="str">
        <f>IF(A92="","",IF(INDEX(EXTRATO!$F$2:$F$3000,MATCH($A92,EXTRATO!$A$2:$A$3000,0))="","",INDEX(EXTRATO!$F$2:$F$3000,MATCH($A92,EXTRATO!$A$2:$A$3000,0))))</f>
        <v>RESGATE</v>
      </c>
      <c r="I92" s="88" t="str">
        <f>IF(A92="","",IF(INDEX(EXTRATO!$H$2:$H$3000,MATCH($A92,EXTRATO!$A$2:$A$3000,0))="","",INDEX(EXTRATO!$H$2:$H$3000,MATCH($A92,EXTRATO!$A$2:$A$3000,0))))</f>
        <v>BANCO DO BRASIL - CDB DI</v>
      </c>
      <c r="J92" s="86" t="s">
        <v>1307</v>
      </c>
      <c r="K92" s="86" t="str">
        <f>IF(AND(A92="",D92="",E92="",F92=""),"",IF(D92="","SEM CATEGORIA",IF(E92="","SEM SUBCATEGORIA",IF(COUNTIFS(CADASTROS!$L$7:$L$93,D92,CADASTROS!$D$7:$D$93,E92)=0,"INCOMPATÍVEL","OK"))))</f>
        <v>OK</v>
      </c>
    </row>
    <row r="93" spans="1:11" ht="30" hidden="1" customHeight="1" x14ac:dyDescent="0.25">
      <c r="A93" s="86" t="s">
        <v>1445</v>
      </c>
      <c r="B93" s="85">
        <f>IF(A93="","",IF(INDEX(EXTRATO!$C$2:$C$3000,MATCH($A93,EXTRATO!$A$2:$A$3000,0))="","",INDEX(EXTRATO!$C$2:$C$3000,MATCH($A93,EXTRATO!$A$2:$A$3000,0))))</f>
        <v>46048</v>
      </c>
      <c r="C93" s="86">
        <f t="shared" si="1"/>
        <v>1</v>
      </c>
      <c r="D93" s="81" t="s">
        <v>1305</v>
      </c>
      <c r="E93" s="79" t="s">
        <v>1306</v>
      </c>
      <c r="F93" s="80">
        <v>293.76</v>
      </c>
      <c r="G93" s="81" t="s">
        <v>104</v>
      </c>
      <c r="H93" s="86" t="str">
        <f>IF(A93="","",IF(INDEX(EXTRATO!$F$2:$F$3000,MATCH($A93,EXTRATO!$A$2:$A$3000,0))="","",INDEX(EXTRATO!$F$2:$F$3000,MATCH($A93,EXTRATO!$A$2:$A$3000,0))))</f>
        <v>RESGATE</v>
      </c>
      <c r="I93" s="88" t="str">
        <f>IF(A93="","",IF(INDEX(EXTRATO!$H$2:$H$3000,MATCH($A93,EXTRATO!$A$2:$A$3000,0))="","",INDEX(EXTRATO!$H$2:$H$3000,MATCH($A93,EXTRATO!$A$2:$A$3000,0))))</f>
        <v>BANCO DO BRASIL - CDB DI</v>
      </c>
      <c r="J93" s="86" t="s">
        <v>1307</v>
      </c>
      <c r="K93" s="86" t="str">
        <f>IF(AND(A93="",D93="",E93="",F93=""),"",IF(D93="","SEM CATEGORIA",IF(E93="","SEM SUBCATEGORIA",IF(COUNTIFS(CADASTROS!$L$7:$L$93,D93,CADASTROS!$D$7:$D$93,E93)=0,"INCOMPATÍVEL","OK"))))</f>
        <v>OK</v>
      </c>
    </row>
    <row r="94" spans="1:11" ht="30" hidden="1" customHeight="1" x14ac:dyDescent="0.25">
      <c r="A94" s="86" t="s">
        <v>1446</v>
      </c>
      <c r="B94" s="85">
        <f>IF(A94="","",IF(INDEX(EXTRATO!$C$2:$C$3000,MATCH($A94,EXTRATO!$A$2:$A$3000,0))="","",INDEX(EXTRATO!$C$2:$C$3000,MATCH($A94,EXTRATO!$A$2:$A$3000,0))))</f>
        <v>46048</v>
      </c>
      <c r="C94" s="86">
        <f t="shared" si="1"/>
        <v>1</v>
      </c>
      <c r="D94" s="81" t="s">
        <v>1367</v>
      </c>
      <c r="E94" s="79" t="s">
        <v>1368</v>
      </c>
      <c r="F94" s="80">
        <v>455</v>
      </c>
      <c r="G94" s="81" t="s">
        <v>181</v>
      </c>
      <c r="H94" s="86" t="str">
        <f>IF(A94="","",IF(INDEX(EXTRATO!$F$2:$F$3000,MATCH($A94,EXTRATO!$A$2:$A$3000,0))="","",INDEX(EXTRATO!$F$2:$F$3000,MATCH($A94,EXTRATO!$A$2:$A$3000,0))))</f>
        <v>SAÍDA</v>
      </c>
      <c r="I94" s="88" t="str">
        <f>IF(A94="","",IF(INDEX(EXTRATO!$H$2:$H$3000,MATCH($A94,EXTRATO!$A$2:$A$3000,0))="","",INDEX(EXTRATO!$H$2:$H$3000,MATCH($A94,EXTRATO!$A$2:$A$3000,0))))</f>
        <v>A A DA SILVA LTDA</v>
      </c>
      <c r="J94" s="86" t="s">
        <v>1313</v>
      </c>
      <c r="K94" s="86" t="str">
        <f>IF(AND(A94="",D94="",E94="",F94=""),"",IF(D94="","SEM CATEGORIA",IF(E94="","SEM SUBCATEGORIA",IF(COUNTIFS(CADASTROS!$L$7:$L$93,D94,CADASTROS!$D$7:$D$93,E94)=0,"INCOMPATÍVEL","OK"))))</f>
        <v>OK</v>
      </c>
    </row>
    <row r="95" spans="1:11" ht="30" hidden="1" customHeight="1" x14ac:dyDescent="0.25">
      <c r="A95" s="86" t="s">
        <v>1447</v>
      </c>
      <c r="B95" s="85">
        <f>IF(A95="","",IF(INDEX(EXTRATO!$C$2:$C$3000,MATCH($A95,EXTRATO!$A$2:$A$3000,0))="","",INDEX(EXTRATO!$C$2:$C$3000,MATCH($A95,EXTRATO!$A$2:$A$3000,0))))</f>
        <v>46048</v>
      </c>
      <c r="C95" s="86">
        <f t="shared" si="1"/>
        <v>1</v>
      </c>
      <c r="D95" s="81" t="s">
        <v>1311</v>
      </c>
      <c r="E95" s="79" t="s">
        <v>1312</v>
      </c>
      <c r="F95" s="80">
        <v>1042.92</v>
      </c>
      <c r="G95" s="81" t="s">
        <v>184</v>
      </c>
      <c r="H95" s="86" t="str">
        <f>IF(A95="","",IF(INDEX(EXTRATO!$F$2:$F$3000,MATCH($A95,EXTRATO!$A$2:$A$3000,0))="","",INDEX(EXTRATO!$F$2:$F$3000,MATCH($A95,EXTRATO!$A$2:$A$3000,0))))</f>
        <v>SAÍDA</v>
      </c>
      <c r="I95" s="88" t="str">
        <f>IF(A95="","",IF(INDEX(EXTRATO!$H$2:$H$3000,MATCH($A95,EXTRATO!$A$2:$A$3000,0))="","",INDEX(EXTRATO!$H$2:$H$3000,MATCH($A95,EXTRATO!$A$2:$A$3000,0))))</f>
        <v>COOP. UNIMED</v>
      </c>
      <c r="J95" s="86" t="s">
        <v>1313</v>
      </c>
      <c r="K95" s="86" t="str">
        <f>IF(AND(A95="",D95="",E95="",F95=""),"",IF(D95="","SEM CATEGORIA",IF(E95="","SEM SUBCATEGORIA",IF(COUNTIFS(CADASTROS!$L$7:$L$93,D95,CADASTROS!$D$7:$D$93,E95)=0,"INCOMPATÍVEL","OK"))))</f>
        <v>OK</v>
      </c>
    </row>
    <row r="96" spans="1:11" ht="30" hidden="1" customHeight="1" x14ac:dyDescent="0.25">
      <c r="A96" s="86" t="s">
        <v>1448</v>
      </c>
      <c r="B96" s="85">
        <f>IF(A96="","",IF(INDEX(EXTRATO!$C$2:$C$3000,MATCH($A96,EXTRATO!$A$2:$A$3000,0))="","",INDEX(EXTRATO!$C$2:$C$3000,MATCH($A96,EXTRATO!$A$2:$A$3000,0))))</f>
        <v>46048</v>
      </c>
      <c r="C96" s="86">
        <f t="shared" si="1"/>
        <v>1</v>
      </c>
      <c r="D96" s="81" t="s">
        <v>1311</v>
      </c>
      <c r="E96" s="79" t="s">
        <v>1318</v>
      </c>
      <c r="F96" s="80">
        <v>1530</v>
      </c>
      <c r="G96" s="82" t="s">
        <v>2729</v>
      </c>
      <c r="H96" s="86" t="str">
        <f>IF(A96="","",IF(INDEX(EXTRATO!$F$2:$F$3000,MATCH($A96,EXTRATO!$A$2:$A$3000,0))="","",INDEX(EXTRATO!$F$2:$F$3000,MATCH($A96,EXTRATO!$A$2:$A$3000,0))))</f>
        <v>SAÍDA</v>
      </c>
      <c r="I96" s="88" t="str">
        <f>IF(A96="","",IF(INDEX(EXTRATO!$H$2:$H$3000,MATCH($A96,EXTRATO!$A$2:$A$3000,0))="","",INDEX(EXTRATO!$H$2:$H$3000,MATCH($A96,EXTRATO!$A$2:$A$3000,0))))</f>
        <v>BIOCOMPANY</v>
      </c>
      <c r="J96" s="87" t="s">
        <v>1313</v>
      </c>
      <c r="K96" s="87" t="str">
        <f>IF(AND(A96="",D96="",E96="",F96=""),"",IF(D96="","SEM CATEGORIA",IF(E96="","SEM SUBCATEGORIA",IF(COUNTIFS(CADASTROS!$L$7:$L$93,D96,CADASTROS!$D$7:$D$93,E96)=0,"INCOMPATÍVEL","OK"))))</f>
        <v>OK</v>
      </c>
    </row>
    <row r="97" spans="1:11" ht="30" hidden="1" customHeight="1" x14ac:dyDescent="0.25">
      <c r="A97" s="86" t="s">
        <v>1448</v>
      </c>
      <c r="B97" s="85">
        <f>IF(A97="","",IF(INDEX(EXTRATO!$C$2:$C$3000,MATCH($A97,EXTRATO!$A$2:$A$3000,0))="","",INDEX(EXTRATO!$C$2:$C$3000,MATCH($A97,EXTRATO!$A$2:$A$3000,0))))</f>
        <v>46048</v>
      </c>
      <c r="C97" s="86">
        <f t="shared" si="1"/>
        <v>1</v>
      </c>
      <c r="D97" s="81" t="s">
        <v>1311</v>
      </c>
      <c r="E97" s="79" t="s">
        <v>1312</v>
      </c>
      <c r="F97" s="80">
        <v>337.5</v>
      </c>
      <c r="G97" s="82" t="s">
        <v>2730</v>
      </c>
      <c r="H97" s="86" t="str">
        <f>IF(A97="","",IF(INDEX(EXTRATO!$F$2:$F$3000,MATCH($A97,EXTRATO!$A$2:$A$3000,0))="","",INDEX(EXTRATO!$F$2:$F$3000,MATCH($A97,EXTRATO!$A$2:$A$3000,0))))</f>
        <v>SAÍDA</v>
      </c>
      <c r="I97" s="88" t="str">
        <f>IF(A97="","",IF(INDEX(EXTRATO!$H$2:$H$3000,MATCH($A97,EXTRATO!$A$2:$A$3000,0))="","",INDEX(EXTRATO!$H$2:$H$3000,MATCH($A97,EXTRATO!$A$2:$A$3000,0))))</f>
        <v>BIOCOMPANY</v>
      </c>
      <c r="J97" s="87" t="s">
        <v>1313</v>
      </c>
      <c r="K97" s="87" t="str">
        <f>IF(AND(A97="",D97="",E97="",F97=""),"",IF(D97="","SEM CATEGORIA",IF(E97="","SEM SUBCATEGORIA",IF(COUNTIFS(CADASTROS!$L$7:$L$93,D97,CADASTROS!$D$7:$D$93,E97)=0,"INCOMPATÍVEL","OK"))))</f>
        <v>OK</v>
      </c>
    </row>
    <row r="98" spans="1:11" ht="30" hidden="1" customHeight="1" x14ac:dyDescent="0.25">
      <c r="A98" s="86" t="s">
        <v>1449</v>
      </c>
      <c r="B98" s="85">
        <f>IF(A98="","",IF(INDEX(EXTRATO!$C$2:$C$3000,MATCH($A98,EXTRATO!$A$2:$A$3000,0))="","",INDEX(EXTRATO!$C$2:$C$3000,MATCH($A98,EXTRATO!$A$2:$A$3000,0))))</f>
        <v>46048</v>
      </c>
      <c r="C98" s="86">
        <f t="shared" si="1"/>
        <v>1</v>
      </c>
      <c r="D98" s="81" t="s">
        <v>1311</v>
      </c>
      <c r="E98" s="79" t="s">
        <v>1312</v>
      </c>
      <c r="F98" s="80">
        <v>1242.43</v>
      </c>
      <c r="G98" s="81" t="s">
        <v>190</v>
      </c>
      <c r="H98" s="86" t="str">
        <f>IF(A98="","",IF(INDEX(EXTRATO!$F$2:$F$3000,MATCH($A98,EXTRATO!$A$2:$A$3000,0))="","",INDEX(EXTRATO!$F$2:$F$3000,MATCH($A98,EXTRATO!$A$2:$A$3000,0))))</f>
        <v>SAÍDA</v>
      </c>
      <c r="I98" s="88" t="str">
        <f>IF(A98="","",IF(INDEX(EXTRATO!$H$2:$H$3000,MATCH($A98,EXTRATO!$A$2:$A$3000,0))="","",INDEX(EXTRATO!$H$2:$H$3000,MATCH($A98,EXTRATO!$A$2:$A$3000,0))))</f>
        <v>ULTRAMEGA DISTRIBUIDORA</v>
      </c>
      <c r="J98" s="86" t="s">
        <v>1313</v>
      </c>
      <c r="K98" s="86" t="str">
        <f>IF(AND(A98="",D98="",E98="",F98=""),"",IF(D98="","SEM CATEGORIA",IF(E98="","SEM SUBCATEGORIA",IF(COUNTIFS(CADASTROS!$L$7:$L$93,D98,CADASTROS!$D$7:$D$93,E98)=0,"INCOMPATÍVEL","OK"))))</f>
        <v>OK</v>
      </c>
    </row>
    <row r="99" spans="1:11" ht="30" hidden="1" customHeight="1" x14ac:dyDescent="0.25">
      <c r="A99" s="86" t="s">
        <v>1450</v>
      </c>
      <c r="B99" s="85">
        <f>IF(A99="","",IF(INDEX(EXTRATO!$C$2:$C$3000,MATCH($A99,EXTRATO!$A$2:$A$3000,0))="","",INDEX(EXTRATO!$C$2:$C$3000,MATCH($A99,EXTRATO!$A$2:$A$3000,0))))</f>
        <v>46048</v>
      </c>
      <c r="C99" s="86">
        <f t="shared" si="1"/>
        <v>1</v>
      </c>
      <c r="D99" s="81" t="s">
        <v>1311</v>
      </c>
      <c r="E99" s="79" t="s">
        <v>1404</v>
      </c>
      <c r="F99" s="80">
        <v>35134</v>
      </c>
      <c r="G99" s="83" t="s">
        <v>193</v>
      </c>
      <c r="H99" s="86" t="str">
        <f>IF(A99="","",IF(INDEX(EXTRATO!$F$2:$F$3000,MATCH($A99,EXTRATO!$A$2:$A$3000,0))="","",INDEX(EXTRATO!$F$2:$F$3000,MATCH($A99,EXTRATO!$A$2:$A$3000,0))))</f>
        <v>SAÍDA</v>
      </c>
      <c r="I99" s="88" t="str">
        <f>IF(A99="","",IF(INDEX(EXTRATO!$H$2:$H$3000,MATCH($A99,EXTRATO!$A$2:$A$3000,0))="","",INDEX(EXTRATO!$H$2:$H$3000,MATCH($A99,EXTRATO!$A$2:$A$3000,0))))</f>
        <v>FARMARIN INDUSTRIA</v>
      </c>
      <c r="J99" s="86" t="s">
        <v>1313</v>
      </c>
      <c r="K99" s="86" t="str">
        <f>IF(AND(A99="",D99="",E99="",F99=""),"",IF(D99="","SEM CATEGORIA",IF(E99="","SEM SUBCATEGORIA",IF(COUNTIFS(CADASTROS!$L$7:$L$93,D99,CADASTROS!$D$7:$D$93,E99)=0,"INCOMPATÍVEL","OK"))))</f>
        <v>OK</v>
      </c>
    </row>
    <row r="100" spans="1:11" ht="30" hidden="1" customHeight="1" x14ac:dyDescent="0.25">
      <c r="A100" s="86" t="s">
        <v>1451</v>
      </c>
      <c r="B100" s="85">
        <f>IF(A100="","",IF(INDEX(EXTRATO!$C$2:$C$3000,MATCH($A100,EXTRATO!$A$2:$A$3000,0))="","",INDEX(EXTRATO!$C$2:$C$3000,MATCH($A100,EXTRATO!$A$2:$A$3000,0))))</f>
        <v>46048</v>
      </c>
      <c r="C100" s="86">
        <f t="shared" si="1"/>
        <v>1</v>
      </c>
      <c r="D100" s="81" t="s">
        <v>1311</v>
      </c>
      <c r="E100" s="79" t="s">
        <v>1312</v>
      </c>
      <c r="F100" s="80">
        <v>1116.33</v>
      </c>
      <c r="G100" s="81" t="s">
        <v>196</v>
      </c>
      <c r="H100" s="86" t="str">
        <f>IF(A100="","",IF(INDEX(EXTRATO!$F$2:$F$3000,MATCH($A100,EXTRATO!$A$2:$A$3000,0))="","",INDEX(EXTRATO!$F$2:$F$3000,MATCH($A100,EXTRATO!$A$2:$A$3000,0))))</f>
        <v>SAÍDA</v>
      </c>
      <c r="I100" s="88" t="str">
        <f>IF(A100="","",IF(INDEX(EXTRATO!$H$2:$H$3000,MATCH($A100,EXTRATO!$A$2:$A$3000,0))="","",INDEX(EXTRATO!$H$2:$H$3000,MATCH($A100,EXTRATO!$A$2:$A$3000,0))))</f>
        <v>MED VITTA</v>
      </c>
      <c r="J100" s="86" t="s">
        <v>1313</v>
      </c>
      <c r="K100" s="86" t="str">
        <f>IF(AND(A100="",D100="",E100="",F100=""),"",IF(D100="","SEM CATEGORIA",IF(E100="","SEM SUBCATEGORIA",IF(COUNTIFS(CADASTROS!$L$7:$L$93,D100,CADASTROS!$D$7:$D$93,E100)=0,"INCOMPATÍVEL","OK"))))</f>
        <v>OK</v>
      </c>
    </row>
    <row r="101" spans="1:11" ht="30" hidden="1" customHeight="1" x14ac:dyDescent="0.25">
      <c r="A101" s="86" t="s">
        <v>1452</v>
      </c>
      <c r="B101" s="85">
        <f>IF(A101="","",IF(INDEX(EXTRATO!$C$2:$C$3000,MATCH($A101,EXTRATO!$A$2:$A$3000,0))="","",INDEX(EXTRATO!$C$2:$C$3000,MATCH($A101,EXTRATO!$A$2:$A$3000,0))))</f>
        <v>46048</v>
      </c>
      <c r="C101" s="86">
        <f t="shared" si="1"/>
        <v>1</v>
      </c>
      <c r="D101" s="81" t="s">
        <v>1311</v>
      </c>
      <c r="E101" s="79" t="s">
        <v>1312</v>
      </c>
      <c r="F101" s="80">
        <v>590.54999999999995</v>
      </c>
      <c r="G101" s="81" t="s">
        <v>199</v>
      </c>
      <c r="H101" s="86" t="str">
        <f>IF(A101="","",IF(INDEX(EXTRATO!$F$2:$F$3000,MATCH($A101,EXTRATO!$A$2:$A$3000,0))="","",INDEX(EXTRATO!$F$2:$F$3000,MATCH($A101,EXTRATO!$A$2:$A$3000,0))))</f>
        <v>SAÍDA</v>
      </c>
      <c r="I101" s="88" t="str">
        <f>IF(A101="","",IF(INDEX(EXTRATO!$H$2:$H$3000,MATCH($A101,EXTRATO!$A$2:$A$3000,0))="","",INDEX(EXTRATO!$H$2:$H$3000,MATCH($A101,EXTRATO!$A$2:$A$3000,0))))</f>
        <v>J SUL DISTRIBUIDORA</v>
      </c>
      <c r="J101" s="86" t="s">
        <v>1313</v>
      </c>
      <c r="K101" s="86" t="str">
        <f>IF(AND(A101="",D101="",E101="",F101=""),"",IF(D101="","SEM CATEGORIA",IF(E101="","SEM SUBCATEGORIA",IF(COUNTIFS(CADASTROS!$L$7:$L$93,D101,CADASTROS!$D$7:$D$93,E101)=0,"INCOMPATÍVEL","OK"))))</f>
        <v>OK</v>
      </c>
    </row>
    <row r="102" spans="1:11" ht="30" hidden="1" customHeight="1" x14ac:dyDescent="0.25">
      <c r="A102" s="86" t="s">
        <v>1453</v>
      </c>
      <c r="B102" s="85">
        <f>IF(A102="","",IF(INDEX(EXTRATO!$C$2:$C$3000,MATCH($A102,EXTRATO!$A$2:$A$3000,0))="","",INDEX(EXTRATO!$C$2:$C$3000,MATCH($A102,EXTRATO!$A$2:$A$3000,0))))</f>
        <v>46048</v>
      </c>
      <c r="C102" s="86">
        <f t="shared" si="1"/>
        <v>1</v>
      </c>
      <c r="D102" s="81" t="s">
        <v>1370</v>
      </c>
      <c r="E102" s="79" t="s">
        <v>1494</v>
      </c>
      <c r="F102" s="80">
        <v>299</v>
      </c>
      <c r="G102" s="81" t="s">
        <v>201</v>
      </c>
      <c r="H102" s="86" t="str">
        <f>IF(A102="","",IF(INDEX(EXTRATO!$F$2:$F$3000,MATCH($A102,EXTRATO!$A$2:$A$3000,0))="","",INDEX(EXTRATO!$F$2:$F$3000,MATCH($A102,EXTRATO!$A$2:$A$3000,0))))</f>
        <v>SAÍDA</v>
      </c>
      <c r="I102" s="88" t="str">
        <f>IF(A102="","",IF(INDEX(EXTRATO!$H$2:$H$3000,MATCH($A102,EXTRATO!$A$2:$A$3000,0))="","",INDEX(EXTRATO!$H$2:$H$3000,MATCH($A102,EXTRATO!$A$2:$A$3000,0))))</f>
        <v>MARKETPLACE MERCADO LIVRE</v>
      </c>
      <c r="J102" s="86" t="s">
        <v>1455</v>
      </c>
      <c r="K102" s="86" t="str">
        <f>IF(AND(A102="",D102="",E102="",F102=""),"",IF(D102="","SEM CATEGORIA",IF(E102="","SEM SUBCATEGORIA",IF(COUNTIFS(CADASTROS!$L$7:$L$93,D102,CADASTROS!$D$7:$D$93,E102)=0,"INCOMPATÍVEL","OK"))))</f>
        <v>OK</v>
      </c>
    </row>
    <row r="103" spans="1:11" ht="30" hidden="1" customHeight="1" x14ac:dyDescent="0.25">
      <c r="A103" s="86" t="s">
        <v>1456</v>
      </c>
      <c r="B103" s="85">
        <f>IF(A103="","",IF(INDEX(EXTRATO!$C$2:$C$3000,MATCH($A103,EXTRATO!$A$2:$A$3000,0))="","",INDEX(EXTRATO!$C$2:$C$3000,MATCH($A103,EXTRATO!$A$2:$A$3000,0))))</f>
        <v>46048</v>
      </c>
      <c r="C103" s="86">
        <f t="shared" si="1"/>
        <v>1</v>
      </c>
      <c r="D103" s="81" t="s">
        <v>1305</v>
      </c>
      <c r="E103" s="79" t="s">
        <v>1306</v>
      </c>
      <c r="F103" s="80">
        <v>41500</v>
      </c>
      <c r="G103" s="81" t="s">
        <v>45</v>
      </c>
      <c r="H103" s="86" t="str">
        <f>IF(A103="","",IF(INDEX(EXTRATO!$F$2:$F$3000,MATCH($A103,EXTRATO!$A$2:$A$3000,0))="","",INDEX(EXTRATO!$F$2:$F$3000,MATCH($A103,EXTRATO!$A$2:$A$3000,0))))</f>
        <v>RESGATE</v>
      </c>
      <c r="I103" s="88" t="str">
        <f>IF(A103="","",IF(INDEX(EXTRATO!$H$2:$H$3000,MATCH($A103,EXTRATO!$A$2:$A$3000,0))="","",INDEX(EXTRATO!$H$2:$H$3000,MATCH($A103,EXTRATO!$A$2:$A$3000,0))))</f>
        <v>BANCO DO BRASIL - CDB DI</v>
      </c>
      <c r="J103" s="86" t="s">
        <v>1307</v>
      </c>
      <c r="K103" s="86" t="str">
        <f>IF(AND(A103="",D103="",E103="",F103=""),"",IF(D103="","SEM CATEGORIA",IF(E103="","SEM SUBCATEGORIA",IF(COUNTIFS(CADASTROS!$L$7:$L$93,D103,CADASTROS!$D$7:$D$93,E103)=0,"INCOMPATÍVEL","OK"))))</f>
        <v>OK</v>
      </c>
    </row>
    <row r="104" spans="1:11" ht="30" hidden="1" customHeight="1" x14ac:dyDescent="0.25">
      <c r="A104" s="86" t="s">
        <v>1457</v>
      </c>
      <c r="B104" s="85">
        <f>IF(A104="","",IF(INDEX(EXTRATO!$C$2:$C$3000,MATCH($A104,EXTRATO!$A$2:$A$3000,0))="","",INDEX(EXTRATO!$C$2:$C$3000,MATCH($A104,EXTRATO!$A$2:$A$3000,0))))</f>
        <v>46049</v>
      </c>
      <c r="C104" s="86">
        <f t="shared" si="1"/>
        <v>1</v>
      </c>
      <c r="D104" s="81" t="s">
        <v>1305</v>
      </c>
      <c r="E104" s="79" t="s">
        <v>1306</v>
      </c>
      <c r="F104" s="80">
        <v>2000</v>
      </c>
      <c r="G104" s="81" t="s">
        <v>45</v>
      </c>
      <c r="H104" s="86" t="str">
        <f>IF(A104="","",IF(INDEX(EXTRATO!$F$2:$F$3000,MATCH($A104,EXTRATO!$A$2:$A$3000,0))="","",INDEX(EXTRATO!$F$2:$F$3000,MATCH($A104,EXTRATO!$A$2:$A$3000,0))))</f>
        <v>RESGATE</v>
      </c>
      <c r="I104" s="88" t="str">
        <f>IF(A104="","",IF(INDEX(EXTRATO!$H$2:$H$3000,MATCH($A104,EXTRATO!$A$2:$A$3000,0))="","",INDEX(EXTRATO!$H$2:$H$3000,MATCH($A104,EXTRATO!$A$2:$A$3000,0))))</f>
        <v>BANCO DO BRASIL - CDB DI</v>
      </c>
      <c r="J104" s="86" t="s">
        <v>1307</v>
      </c>
      <c r="K104" s="86" t="str">
        <f>IF(AND(A104="",D104="",E104="",F104=""),"",IF(D104="","SEM CATEGORIA",IF(E104="","SEM SUBCATEGORIA",IF(COUNTIFS(CADASTROS!$L$7:$L$93,D104,CADASTROS!$D$7:$D$93,E104)=0,"INCOMPATÍVEL","OK"))))</f>
        <v>OK</v>
      </c>
    </row>
    <row r="105" spans="1:11" ht="30" hidden="1" customHeight="1" x14ac:dyDescent="0.25">
      <c r="A105" s="86" t="s">
        <v>1458</v>
      </c>
      <c r="B105" s="85">
        <f>IF(A105="","",IF(INDEX(EXTRATO!$C$2:$C$3000,MATCH($A105,EXTRATO!$A$2:$A$3000,0))="","",INDEX(EXTRATO!$C$2:$C$3000,MATCH($A105,EXTRATO!$A$2:$A$3000,0))))</f>
        <v>46049</v>
      </c>
      <c r="C105" s="86">
        <f t="shared" si="1"/>
        <v>1</v>
      </c>
      <c r="D105" s="81" t="s">
        <v>1305</v>
      </c>
      <c r="E105" s="79" t="s">
        <v>1306</v>
      </c>
      <c r="F105" s="80">
        <v>355.24</v>
      </c>
      <c r="G105" s="81" t="s">
        <v>45</v>
      </c>
      <c r="H105" s="86" t="str">
        <f>IF(A105="","",IF(INDEX(EXTRATO!$F$2:$F$3000,MATCH($A105,EXTRATO!$A$2:$A$3000,0))="","",INDEX(EXTRATO!$F$2:$F$3000,MATCH($A105,EXTRATO!$A$2:$A$3000,0))))</f>
        <v>RESGATE</v>
      </c>
      <c r="I105" s="88" t="str">
        <f>IF(A105="","",IF(INDEX(EXTRATO!$H$2:$H$3000,MATCH($A105,EXTRATO!$A$2:$A$3000,0))="","",INDEX(EXTRATO!$H$2:$H$3000,MATCH($A105,EXTRATO!$A$2:$A$3000,0))))</f>
        <v>BANCO DO BRASIL - CDB DI</v>
      </c>
      <c r="J105" s="86" t="s">
        <v>1307</v>
      </c>
      <c r="K105" s="86" t="str">
        <f>IF(AND(A105="",D105="",E105="",F105=""),"",IF(D105="","SEM CATEGORIA",IF(E105="","SEM SUBCATEGORIA",IF(COUNTIFS(CADASTROS!$L$7:$L$93,D105,CADASTROS!$D$7:$D$93,E105)=0,"INCOMPATÍVEL","OK"))))</f>
        <v>OK</v>
      </c>
    </row>
    <row r="106" spans="1:11" ht="30" hidden="1" customHeight="1" x14ac:dyDescent="0.25">
      <c r="A106" s="86" t="s">
        <v>1459</v>
      </c>
      <c r="B106" s="85">
        <f>IF(A106="","",IF(INDEX(EXTRATO!$C$2:$C$3000,MATCH($A106,EXTRATO!$A$2:$A$3000,0))="","",INDEX(EXTRATO!$C$2:$C$3000,MATCH($A106,EXTRATO!$A$2:$A$3000,0))))</f>
        <v>46049</v>
      </c>
      <c r="C106" s="86">
        <f t="shared" si="1"/>
        <v>1</v>
      </c>
      <c r="D106" s="81" t="s">
        <v>1311</v>
      </c>
      <c r="E106" s="79" t="s">
        <v>1312</v>
      </c>
      <c r="F106" s="80">
        <v>2450.9699999999998</v>
      </c>
      <c r="G106" s="81" t="s">
        <v>203</v>
      </c>
      <c r="H106" s="86" t="str">
        <f>IF(A106="","",IF(INDEX(EXTRATO!$F$2:$F$3000,MATCH($A106,EXTRATO!$A$2:$A$3000,0))="","",INDEX(EXTRATO!$F$2:$F$3000,MATCH($A106,EXTRATO!$A$2:$A$3000,0))))</f>
        <v>SAÍDA</v>
      </c>
      <c r="I106" s="88" t="str">
        <f>IF(A106="","",IF(INDEX(EXTRATO!$H$2:$H$3000,MATCH($A106,EXTRATO!$A$2:$A$3000,0))="","",INDEX(EXTRATO!$H$2:$H$3000,MATCH($A106,EXTRATO!$A$2:$A$3000,0))))</f>
        <v>SUPERMÉDICA</v>
      </c>
      <c r="J106" s="86" t="s">
        <v>1313</v>
      </c>
      <c r="K106" s="86" t="str">
        <f>IF(AND(A106="",D106="",E106="",F106=""),"",IF(D106="","SEM CATEGORIA",IF(E106="","SEM SUBCATEGORIA",IF(COUNTIFS(CADASTROS!$L$7:$L$93,D106,CADASTROS!$D$7:$D$93,E106)=0,"INCOMPATÍVEL","OK"))))</f>
        <v>OK</v>
      </c>
    </row>
    <row r="107" spans="1:11" ht="30" hidden="1" customHeight="1" x14ac:dyDescent="0.25">
      <c r="A107" s="86" t="s">
        <v>1460</v>
      </c>
      <c r="B107" s="85">
        <f>IF(A107="","",IF(INDEX(EXTRATO!$C$2:$C$3000,MATCH($A107,EXTRATO!$A$2:$A$3000,0))="","",INDEX(EXTRATO!$C$2:$C$3000,MATCH($A107,EXTRATO!$A$2:$A$3000,0))))</f>
        <v>46050</v>
      </c>
      <c r="C107" s="86">
        <f t="shared" si="1"/>
        <v>1</v>
      </c>
      <c r="D107" s="81" t="s">
        <v>1305</v>
      </c>
      <c r="E107" s="79" t="s">
        <v>1306</v>
      </c>
      <c r="F107" s="80">
        <v>17.96</v>
      </c>
      <c r="G107" s="81" t="s">
        <v>104</v>
      </c>
      <c r="H107" s="86" t="str">
        <f>IF(A107="","",IF(INDEX(EXTRATO!$F$2:$F$3000,MATCH($A107,EXTRATO!$A$2:$A$3000,0))="","",INDEX(EXTRATO!$F$2:$F$3000,MATCH($A107,EXTRATO!$A$2:$A$3000,0))))</f>
        <v>RESGATE</v>
      </c>
      <c r="I107" s="88" t="str">
        <f>IF(A107="","",IF(INDEX(EXTRATO!$H$2:$H$3000,MATCH($A107,EXTRATO!$A$2:$A$3000,0))="","",INDEX(EXTRATO!$H$2:$H$3000,MATCH($A107,EXTRATO!$A$2:$A$3000,0))))</f>
        <v>BANCO DO BRASIL - CDB DI</v>
      </c>
      <c r="J107" s="86" t="s">
        <v>1307</v>
      </c>
      <c r="K107" s="86" t="str">
        <f>IF(AND(A107="",D107="",E107="",F107=""),"",IF(D107="","SEM CATEGORIA",IF(E107="","SEM SUBCATEGORIA",IF(COUNTIFS(CADASTROS!$L$7:$L$93,D107,CADASTROS!$D$7:$D$93,E107)=0,"INCOMPATÍVEL","OK"))))</f>
        <v>OK</v>
      </c>
    </row>
    <row r="108" spans="1:11" ht="30" hidden="1" customHeight="1" x14ac:dyDescent="0.25">
      <c r="A108" s="86" t="s">
        <v>1461</v>
      </c>
      <c r="B108" s="85">
        <f>IF(A108="","",IF(INDEX(EXTRATO!$C$2:$C$3000,MATCH($A108,EXTRATO!$A$2:$A$3000,0))="","",INDEX(EXTRATO!$C$2:$C$3000,MATCH($A108,EXTRATO!$A$2:$A$3000,0))))</f>
        <v>46051</v>
      </c>
      <c r="C108" s="86">
        <f t="shared" si="1"/>
        <v>1</v>
      </c>
      <c r="D108" s="81" t="s">
        <v>1311</v>
      </c>
      <c r="E108" s="79" t="s">
        <v>1312</v>
      </c>
      <c r="F108" s="80">
        <v>1416</v>
      </c>
      <c r="G108" s="81" t="s">
        <v>206</v>
      </c>
      <c r="H108" s="86" t="str">
        <f>IF(A108="","",IF(INDEX(EXTRATO!$F$2:$F$3000,MATCH($A108,EXTRATO!$A$2:$A$3000,0))="","",INDEX(EXTRATO!$F$2:$F$3000,MATCH($A108,EXTRATO!$A$2:$A$3000,0))))</f>
        <v>SAÍDA</v>
      </c>
      <c r="I108" s="88" t="str">
        <f>IF(A108="","",IF(INDEX(EXTRATO!$H$2:$H$3000,MATCH($A108,EXTRATO!$A$2:$A$3000,0))="","",INDEX(EXTRATO!$H$2:$H$3000,MATCH($A108,EXTRATO!$A$2:$A$3000,0))))</f>
        <v>BIOPAR</v>
      </c>
      <c r="J108" s="86" t="s">
        <v>1313</v>
      </c>
      <c r="K108" s="86" t="str">
        <f>IF(AND(A108="",D108="",E108="",F108=""),"",IF(D108="","SEM CATEGORIA",IF(E108="","SEM SUBCATEGORIA",IF(COUNTIFS(CADASTROS!$L$7:$L$93,D108,CADASTROS!$D$7:$D$93,E108)=0,"INCOMPATÍVEL","OK"))))</f>
        <v>OK</v>
      </c>
    </row>
    <row r="109" spans="1:11" ht="30" hidden="1" customHeight="1" x14ac:dyDescent="0.25">
      <c r="A109" s="86" t="s">
        <v>1462</v>
      </c>
      <c r="B109" s="85">
        <f>IF(A109="","",IF(INDEX(EXTRATO!$C$2:$C$3000,MATCH($A109,EXTRATO!$A$2:$A$3000,0))="","",INDEX(EXTRATO!$C$2:$C$3000,MATCH($A109,EXTRATO!$A$2:$A$3000,0))))</f>
        <v>46051</v>
      </c>
      <c r="C109" s="86">
        <f t="shared" si="1"/>
        <v>1</v>
      </c>
      <c r="D109" s="81" t="s">
        <v>1311</v>
      </c>
      <c r="E109" s="79" t="s">
        <v>1376</v>
      </c>
      <c r="F109" s="80">
        <v>6642.25</v>
      </c>
      <c r="G109" s="81" t="s">
        <v>209</v>
      </c>
      <c r="H109" s="86" t="str">
        <f>IF(A109="","",IF(INDEX(EXTRATO!$F$2:$F$3000,MATCH($A109,EXTRATO!$A$2:$A$3000,0))="","",INDEX(EXTRATO!$F$2:$F$3000,MATCH($A109,EXTRATO!$A$2:$A$3000,0))))</f>
        <v>SAÍDA</v>
      </c>
      <c r="I109" s="88" t="str">
        <f>IF(A109="","",IF(INDEX(EXTRATO!$H$2:$H$3000,MATCH($A109,EXTRATO!$A$2:$A$3000,0))="","",INDEX(EXTRATO!$H$2:$H$3000,MATCH($A109,EXTRATO!$A$2:$A$3000,0))))</f>
        <v>NIPRO</v>
      </c>
      <c r="J109" s="86" t="s">
        <v>1313</v>
      </c>
      <c r="K109" s="86" t="str">
        <f>IF(AND(A109="",D109="",E109="",F109=""),"",IF(D109="","SEM CATEGORIA",IF(E109="","SEM SUBCATEGORIA",IF(COUNTIFS(CADASTROS!$L$7:$L$93,D109,CADASTROS!$D$7:$D$93,E109)=0,"INCOMPATÍVEL","OK"))))</f>
        <v>OK</v>
      </c>
    </row>
    <row r="110" spans="1:11" ht="30" hidden="1" customHeight="1" x14ac:dyDescent="0.25">
      <c r="A110" s="86" t="s">
        <v>1463</v>
      </c>
      <c r="B110" s="85">
        <f>IF(A110="","",IF(INDEX(EXTRATO!$C$2:$C$3000,MATCH($A110,EXTRATO!$A$2:$A$3000,0))="","",INDEX(EXTRATO!$C$2:$C$3000,MATCH($A110,EXTRATO!$A$2:$A$3000,0))))</f>
        <v>46051</v>
      </c>
      <c r="C110" s="86">
        <f t="shared" si="1"/>
        <v>1</v>
      </c>
      <c r="D110" s="81" t="s">
        <v>1370</v>
      </c>
      <c r="E110" s="79" t="s">
        <v>1371</v>
      </c>
      <c r="F110" s="80">
        <v>270</v>
      </c>
      <c r="G110" s="81" t="s">
        <v>211</v>
      </c>
      <c r="H110" s="86" t="str">
        <f>IF(A110="","",IF(INDEX(EXTRATO!$F$2:$F$3000,MATCH($A110,EXTRATO!$A$2:$A$3000,0))="","",INDEX(EXTRATO!$F$2:$F$3000,MATCH($A110,EXTRATO!$A$2:$A$3000,0))))</f>
        <v>SAÍDA</v>
      </c>
      <c r="I110" s="88" t="str">
        <f>IF(A110="","",IF(INDEX(EXTRATO!$H$2:$H$3000,MATCH($A110,EXTRATO!$A$2:$A$3000,0))="","",INDEX(EXTRATO!$H$2:$H$3000,MATCH($A110,EXTRATO!$A$2:$A$3000,0))))</f>
        <v>G OLIVEIRA ARAUJO</v>
      </c>
      <c r="J110" s="86" t="s">
        <v>1313</v>
      </c>
      <c r="K110" s="86" t="str">
        <f>IF(AND(A110="",D110="",E110="",F110=""),"",IF(D110="","SEM CATEGORIA",IF(E110="","SEM SUBCATEGORIA",IF(COUNTIFS(CADASTROS!$L$7:$L$93,D110,CADASTROS!$D$7:$D$93,E110)=0,"INCOMPATÍVEL","OK"))))</f>
        <v>OK</v>
      </c>
    </row>
    <row r="111" spans="1:11" ht="30" hidden="1" customHeight="1" x14ac:dyDescent="0.25">
      <c r="A111" s="86" t="s">
        <v>1464</v>
      </c>
      <c r="B111" s="85">
        <f>IF(A111="","",IF(INDEX(EXTRATO!$C$2:$C$3000,MATCH($A111,EXTRATO!$A$2:$A$3000,0))="","",INDEX(EXTRATO!$C$2:$C$3000,MATCH($A111,EXTRATO!$A$2:$A$3000,0))))</f>
        <v>46051</v>
      </c>
      <c r="C111" s="86">
        <f t="shared" si="1"/>
        <v>1</v>
      </c>
      <c r="D111" s="81" t="s">
        <v>1305</v>
      </c>
      <c r="E111" s="79" t="s">
        <v>1306</v>
      </c>
      <c r="F111" s="80">
        <v>8500</v>
      </c>
      <c r="G111" s="81" t="s">
        <v>45</v>
      </c>
      <c r="H111" s="86" t="str">
        <f>IF(A111="","",IF(INDEX(EXTRATO!$F$2:$F$3000,MATCH($A111,EXTRATO!$A$2:$A$3000,0))="","",INDEX(EXTRATO!$F$2:$F$3000,MATCH($A111,EXTRATO!$A$2:$A$3000,0))))</f>
        <v>RESGATE</v>
      </c>
      <c r="I111" s="88" t="str">
        <f>IF(A111="","",IF(INDEX(EXTRATO!$H$2:$H$3000,MATCH($A111,EXTRATO!$A$2:$A$3000,0))="","",INDEX(EXTRATO!$H$2:$H$3000,MATCH($A111,EXTRATO!$A$2:$A$3000,0))))</f>
        <v>BANCO DO BRASIL - CDB DI</v>
      </c>
      <c r="J111" s="86" t="s">
        <v>1307</v>
      </c>
      <c r="K111" s="86" t="str">
        <f>IF(AND(A111="",D111="",E111="",F111=""),"",IF(D111="","SEM CATEGORIA",IF(E111="","SEM SUBCATEGORIA",IF(COUNTIFS(CADASTROS!$L$7:$L$93,D111,CADASTROS!$D$7:$D$93,E111)=0,"INCOMPATÍVEL","OK"))))</f>
        <v>OK</v>
      </c>
    </row>
    <row r="112" spans="1:11" ht="30" hidden="1" customHeight="1" x14ac:dyDescent="0.25">
      <c r="A112" s="86" t="s">
        <v>1465</v>
      </c>
      <c r="B112" s="85">
        <f>IF(A112="","",IF(INDEX(EXTRATO!$C$2:$C$3000,MATCH($A112,EXTRATO!$A$2:$A$3000,0))="","",INDEX(EXTRATO!$C$2:$C$3000,MATCH($A112,EXTRATO!$A$2:$A$3000,0))))</f>
        <v>46052</v>
      </c>
      <c r="C112" s="86">
        <f t="shared" si="1"/>
        <v>1</v>
      </c>
      <c r="D112" s="81" t="s">
        <v>1305</v>
      </c>
      <c r="E112" s="79" t="s">
        <v>1306</v>
      </c>
      <c r="F112" s="80">
        <v>83.3</v>
      </c>
      <c r="G112" s="81" t="s">
        <v>104</v>
      </c>
      <c r="H112" s="86" t="str">
        <f>IF(A112="","",IF(INDEX(EXTRATO!$F$2:$F$3000,MATCH($A112,EXTRATO!$A$2:$A$3000,0))="","",INDEX(EXTRATO!$F$2:$F$3000,MATCH($A112,EXTRATO!$A$2:$A$3000,0))))</f>
        <v>RESGATE</v>
      </c>
      <c r="I112" s="88" t="str">
        <f>IF(A112="","",IF(INDEX(EXTRATO!$H$2:$H$3000,MATCH($A112,EXTRATO!$A$2:$A$3000,0))="","",INDEX(EXTRATO!$H$2:$H$3000,MATCH($A112,EXTRATO!$A$2:$A$3000,0))))</f>
        <v>BANCO DO BRASIL - CDB DI</v>
      </c>
      <c r="J112" s="86" t="s">
        <v>1307</v>
      </c>
      <c r="K112" s="86" t="str">
        <f>IF(AND(A112="",D112="",E112="",F112=""),"",IF(D112="","SEM CATEGORIA",IF(E112="","SEM SUBCATEGORIA",IF(COUNTIFS(CADASTROS!$L$7:$L$93,D112,CADASTROS!$D$7:$D$93,E112)=0,"INCOMPATÍVEL","OK"))))</f>
        <v>OK</v>
      </c>
    </row>
    <row r="113" spans="1:11" ht="30" hidden="1" customHeight="1" x14ac:dyDescent="0.25">
      <c r="A113" s="86" t="s">
        <v>1467</v>
      </c>
      <c r="B113" s="85">
        <f>IF(A113="","",IF(INDEX(EXTRATO!$C$2:$C$3000,MATCH($A113,EXTRATO!$A$2:$A$3000,0))="","",INDEX(EXTRATO!$C$2:$C$3000,MATCH($A113,EXTRATO!$A$2:$A$3000,0))))</f>
        <v>46052</v>
      </c>
      <c r="C113" s="86">
        <f t="shared" si="1"/>
        <v>1</v>
      </c>
      <c r="D113" s="81" t="s">
        <v>1388</v>
      </c>
      <c r="E113" s="79" t="s">
        <v>1466</v>
      </c>
      <c r="F113" s="80">
        <v>8442.58</v>
      </c>
      <c r="G113" s="81" t="s">
        <v>214</v>
      </c>
      <c r="H113" s="86" t="str">
        <f>IF(A113="","",IF(INDEX(EXTRATO!$F$2:$F$3000,MATCH($A113,EXTRATO!$A$2:$A$3000,0))="","",INDEX(EXTRATO!$F$2:$F$3000,MATCH($A113,EXTRATO!$A$2:$A$3000,0))))</f>
        <v>SAÍDA</v>
      </c>
      <c r="I113" s="88" t="str">
        <f>IF(A113="","",IF(INDEX(EXTRATO!$H$2:$H$3000,MATCH($A113,EXTRATO!$A$2:$A$3000,0))="","",INDEX(EXTRATO!$H$2:$H$3000,MATCH($A113,EXTRATO!$A$2:$A$3000,0))))</f>
        <v>IRPJ</v>
      </c>
      <c r="J113" s="86" t="s">
        <v>1313</v>
      </c>
      <c r="K113" s="86" t="str">
        <f>IF(AND(A113="",D113="",E113="",F113=""),"",IF(D113="","SEM CATEGORIA",IF(E113="","SEM SUBCATEGORIA",IF(COUNTIFS(CADASTROS!$L$7:$L$93,D113,CADASTROS!$D$7:$D$93,E113)=0,"INCOMPATÍVEL","OK"))))</f>
        <v>OK</v>
      </c>
    </row>
    <row r="114" spans="1:11" ht="30" hidden="1" customHeight="1" x14ac:dyDescent="0.25">
      <c r="A114" s="86" t="s">
        <v>1469</v>
      </c>
      <c r="B114" s="85">
        <f>IF(A114="","",IF(INDEX(EXTRATO!$C$2:$C$3000,MATCH($A114,EXTRATO!$A$2:$A$3000,0))="","",INDEX(EXTRATO!$C$2:$C$3000,MATCH($A114,EXTRATO!$A$2:$A$3000,0))))</f>
        <v>46052</v>
      </c>
      <c r="C114" s="86">
        <f t="shared" si="1"/>
        <v>1</v>
      </c>
      <c r="D114" s="81" t="s">
        <v>1388</v>
      </c>
      <c r="E114" s="79" t="s">
        <v>1468</v>
      </c>
      <c r="F114" s="80">
        <v>19516.599999999999</v>
      </c>
      <c r="G114" s="81" t="s">
        <v>216</v>
      </c>
      <c r="H114" s="86" t="str">
        <f>IF(A114="","",IF(INDEX(EXTRATO!$F$2:$F$3000,MATCH($A114,EXTRATO!$A$2:$A$3000,0))="","",INDEX(EXTRATO!$F$2:$F$3000,MATCH($A114,EXTRATO!$A$2:$A$3000,0))))</f>
        <v>SAÍDA</v>
      </c>
      <c r="I114" s="88" t="str">
        <f>IF(A114="","",IF(INDEX(EXTRATO!$H$2:$H$3000,MATCH($A114,EXTRATO!$A$2:$A$3000,0))="","",INDEX(EXTRATO!$H$2:$H$3000,MATCH($A114,EXTRATO!$A$2:$A$3000,0))))</f>
        <v>CSLL</v>
      </c>
      <c r="J114" s="86" t="s">
        <v>1313</v>
      </c>
      <c r="K114" s="86" t="str">
        <f>IF(AND(A114="",D114="",E114="",F114=""),"",IF(D114="","SEM CATEGORIA",IF(E114="","SEM SUBCATEGORIA",IF(COUNTIFS(CADASTROS!$L$7:$L$93,D114,CADASTROS!$D$7:$D$93,E114)=0,"INCOMPATÍVEL","OK"))))</f>
        <v>OK</v>
      </c>
    </row>
    <row r="115" spans="1:11" ht="30" hidden="1" customHeight="1" x14ac:dyDescent="0.25">
      <c r="A115" s="86" t="s">
        <v>1471</v>
      </c>
      <c r="B115" s="85">
        <f>IF(A115="","",IF(INDEX(EXTRATO!$C$2:$C$3000,MATCH($A115,EXTRATO!$A$2:$A$3000,0))="","",INDEX(EXTRATO!$C$2:$C$3000,MATCH($A115,EXTRATO!$A$2:$A$3000,0))))</f>
        <v>46052</v>
      </c>
      <c r="C115" s="86">
        <f t="shared" si="1"/>
        <v>1</v>
      </c>
      <c r="D115" s="81" t="s">
        <v>1311</v>
      </c>
      <c r="E115" s="79" t="s">
        <v>1470</v>
      </c>
      <c r="F115" s="80">
        <v>1299.04</v>
      </c>
      <c r="G115" s="81" t="s">
        <v>218</v>
      </c>
      <c r="H115" s="86" t="str">
        <f>IF(A115="","",IF(INDEX(EXTRATO!$F$2:$F$3000,MATCH($A115,EXTRATO!$A$2:$A$3000,0))="","",INDEX(EXTRATO!$F$2:$F$3000,MATCH($A115,EXTRATO!$A$2:$A$3000,0))))</f>
        <v>SAÍDA</v>
      </c>
      <c r="I115" s="88" t="str">
        <f>IF(A115="","",IF(INDEX(EXTRATO!$H$2:$H$3000,MATCH($A115,EXTRATO!$A$2:$A$3000,0))="","",INDEX(EXTRATO!$H$2:$H$3000,MATCH($A115,EXTRATO!$A$2:$A$3000,0))))</f>
        <v>QUALIÁGUA</v>
      </c>
      <c r="J115" s="86" t="s">
        <v>1313</v>
      </c>
      <c r="K115" s="86" t="str">
        <f>IF(AND(A115="",D115="",E115="",F115=""),"",IF(D115="","SEM CATEGORIA",IF(E115="","SEM SUBCATEGORIA",IF(COUNTIFS(CADASTROS!$L$7:$L$93,D115,CADASTROS!$D$7:$D$93,E115)=0,"INCOMPATÍVEL","OK"))))</f>
        <v>OK</v>
      </c>
    </row>
    <row r="116" spans="1:11" ht="30" hidden="1" customHeight="1" x14ac:dyDescent="0.25">
      <c r="A116" s="86" t="s">
        <v>1472</v>
      </c>
      <c r="B116" s="85">
        <f>IF(A116="","",IF(INDEX(EXTRATO!$C$2:$C$3000,MATCH($A116,EXTRATO!$A$2:$A$3000,0))="","",INDEX(EXTRATO!$C$2:$C$3000,MATCH($A116,EXTRATO!$A$2:$A$3000,0))))</f>
        <v>46052</v>
      </c>
      <c r="C116" s="86">
        <f t="shared" si="1"/>
        <v>1</v>
      </c>
      <c r="D116" s="81" t="s">
        <v>1311</v>
      </c>
      <c r="E116" s="79" t="s">
        <v>1470</v>
      </c>
      <c r="F116" s="80">
        <v>1257.5899999999999</v>
      </c>
      <c r="G116" s="81" t="s">
        <v>221</v>
      </c>
      <c r="H116" s="86" t="str">
        <f>IF(A116="","",IF(INDEX(EXTRATO!$F$2:$F$3000,MATCH($A116,EXTRATO!$A$2:$A$3000,0))="","",INDEX(EXTRATO!$F$2:$F$3000,MATCH($A116,EXTRATO!$A$2:$A$3000,0))))</f>
        <v>SAÍDA</v>
      </c>
      <c r="I116" s="88" t="str">
        <f>IF(A116="","",IF(INDEX(EXTRATO!$H$2:$H$3000,MATCH($A116,EXTRATO!$A$2:$A$3000,0))="","",INDEX(EXTRATO!$H$2:$H$3000,MATCH($A116,EXTRATO!$A$2:$A$3000,0))))</f>
        <v>QUALIÁGUA</v>
      </c>
      <c r="J116" s="86" t="s">
        <v>1313</v>
      </c>
      <c r="K116" s="86" t="str">
        <f>IF(AND(A116="",D116="",E116="",F116=""),"",IF(D116="","SEM CATEGORIA",IF(E116="","SEM SUBCATEGORIA",IF(COUNTIFS(CADASTROS!$L$7:$L$93,D116,CADASTROS!$D$7:$D$93,E116)=0,"INCOMPATÍVEL","OK"))))</f>
        <v>OK</v>
      </c>
    </row>
    <row r="117" spans="1:11" ht="30" hidden="1" customHeight="1" x14ac:dyDescent="0.25">
      <c r="A117" s="86" t="s">
        <v>1474</v>
      </c>
      <c r="B117" s="85">
        <f>IF(A117="","",IF(INDEX(EXTRATO!$C$2:$C$3000,MATCH($A117,EXTRATO!$A$2:$A$3000,0))="","",INDEX(EXTRATO!$C$2:$C$3000,MATCH($A117,EXTRATO!$A$2:$A$3000,0))))</f>
        <v>46052</v>
      </c>
      <c r="C117" s="86">
        <f t="shared" si="1"/>
        <v>1</v>
      </c>
      <c r="D117" s="81" t="s">
        <v>1454</v>
      </c>
      <c r="E117" s="79" t="s">
        <v>1473</v>
      </c>
      <c r="F117" s="80">
        <v>48992.160000000003</v>
      </c>
      <c r="G117" s="81" t="s">
        <v>223</v>
      </c>
      <c r="H117" s="86" t="str">
        <f>IF(A117="","",IF(INDEX(EXTRATO!$F$2:$F$3000,MATCH($A117,EXTRATO!$A$2:$A$3000,0))="","",INDEX(EXTRATO!$F$2:$F$3000,MATCH($A117,EXTRATO!$A$2:$A$3000,0))))</f>
        <v>SAÍDA</v>
      </c>
      <c r="I117" s="88" t="str">
        <f>IF(A117="","",IF(INDEX(EXTRATO!$H$2:$H$3000,MATCH($A117,EXTRATO!$A$2:$A$3000,0))="","",INDEX(EXTRATO!$H$2:$H$3000,MATCH($A117,EXTRATO!$A$2:$A$3000,0))))</f>
        <v>NIPRO</v>
      </c>
      <c r="J117" s="86" t="s">
        <v>1313</v>
      </c>
      <c r="K117" s="86" t="str">
        <f>IF(AND(A117="",D117="",E117="",F117=""),"",IF(D117="","SEM CATEGORIA",IF(E117="","SEM SUBCATEGORIA",IF(COUNTIFS(CADASTROS!$L$7:$L$93,D117,CADASTROS!$D$7:$D$93,E117)=0,"INCOMPATÍVEL","OK"))))</f>
        <v>OK</v>
      </c>
    </row>
    <row r="118" spans="1:11" ht="30" hidden="1" customHeight="1" x14ac:dyDescent="0.25">
      <c r="A118" s="86" t="s">
        <v>1475</v>
      </c>
      <c r="B118" s="85">
        <f>IF(A118="","",IF(INDEX(EXTRATO!$C$2:$C$3000,MATCH($A118,EXTRATO!$A$2:$A$3000,0))="","",INDEX(EXTRATO!$C$2:$C$3000,MATCH($A118,EXTRATO!$A$2:$A$3000,0))))</f>
        <v>46052</v>
      </c>
      <c r="C118" s="86">
        <f t="shared" si="1"/>
        <v>1</v>
      </c>
      <c r="D118" s="81" t="s">
        <v>1454</v>
      </c>
      <c r="E118" s="79" t="s">
        <v>1473</v>
      </c>
      <c r="F118" s="80">
        <v>9331.84</v>
      </c>
      <c r="G118" s="81" t="s">
        <v>225</v>
      </c>
      <c r="H118" s="86" t="str">
        <f>IF(A118="","",IF(INDEX(EXTRATO!$F$2:$F$3000,MATCH($A118,EXTRATO!$A$2:$A$3000,0))="","",INDEX(EXTRATO!$F$2:$F$3000,MATCH($A118,EXTRATO!$A$2:$A$3000,0))))</f>
        <v>SAÍDA</v>
      </c>
      <c r="I118" s="88" t="str">
        <f>IF(A118="","",IF(INDEX(EXTRATO!$H$2:$H$3000,MATCH($A118,EXTRATO!$A$2:$A$3000,0))="","",INDEX(EXTRATO!$H$2:$H$3000,MATCH($A118,EXTRATO!$A$2:$A$3000,0))))</f>
        <v>NIPRO</v>
      </c>
      <c r="J118" s="86" t="s">
        <v>1313</v>
      </c>
      <c r="K118" s="86" t="str">
        <f>IF(AND(A118="",D118="",E118="",F118=""),"",IF(D118="","SEM CATEGORIA",IF(E118="","SEM SUBCATEGORIA",IF(COUNTIFS(CADASTROS!$L$7:$L$93,D118,CADASTROS!$D$7:$D$93,E118)=0,"INCOMPATÍVEL","OK"))))</f>
        <v>OK</v>
      </c>
    </row>
    <row r="119" spans="1:11" ht="30" hidden="1" customHeight="1" x14ac:dyDescent="0.25">
      <c r="A119" s="86" t="s">
        <v>1476</v>
      </c>
      <c r="B119" s="85">
        <f>IF(A119="","",IF(INDEX(EXTRATO!$C$2:$C$3000,MATCH($A119,EXTRATO!$A$2:$A$3000,0))="","",INDEX(EXTRATO!$C$2:$C$3000,MATCH($A119,EXTRATO!$A$2:$A$3000,0))))</f>
        <v>46052</v>
      </c>
      <c r="C119" s="86">
        <f t="shared" si="1"/>
        <v>1</v>
      </c>
      <c r="D119" s="81" t="s">
        <v>1330</v>
      </c>
      <c r="E119" s="79" t="s">
        <v>1352</v>
      </c>
      <c r="F119" s="80">
        <v>2067</v>
      </c>
      <c r="G119" s="81" t="s">
        <v>227</v>
      </c>
      <c r="H119" s="86" t="str">
        <f>IF(A119="","",IF(INDEX(EXTRATO!$F$2:$F$3000,MATCH($A119,EXTRATO!$A$2:$A$3000,0))="","",INDEX(EXTRATO!$F$2:$F$3000,MATCH($A119,EXTRATO!$A$2:$A$3000,0))))</f>
        <v>SAÍDA</v>
      </c>
      <c r="I119" s="88" t="str">
        <f>IF(A119="","",IF(INDEX(EXTRATO!$H$2:$H$3000,MATCH($A119,EXTRATO!$A$2:$A$3000,0))="","",INDEX(EXTRATO!$H$2:$H$3000,MATCH($A119,EXTRATO!$A$2:$A$3000,0))))</f>
        <v>CRM</v>
      </c>
      <c r="J119" s="86" t="s">
        <v>1313</v>
      </c>
      <c r="K119" s="86" t="str">
        <f>IF(AND(A119="",D119="",E119="",F119=""),"",IF(D119="","SEM CATEGORIA",IF(E119="","SEM SUBCATEGORIA",IF(COUNTIFS(CADASTROS!$L$7:$L$93,D119,CADASTROS!$D$7:$D$93,E119)=0,"INCOMPATÍVEL","OK"))))</f>
        <v>OK</v>
      </c>
    </row>
    <row r="120" spans="1:11" ht="30" hidden="1" customHeight="1" x14ac:dyDescent="0.25">
      <c r="A120" s="86" t="s">
        <v>1477</v>
      </c>
      <c r="B120" s="85">
        <f>IF(A120="","",IF(INDEX(EXTRATO!$C$2:$C$3000,MATCH($A120,EXTRATO!$A$2:$A$3000,0))="","",INDEX(EXTRATO!$C$2:$C$3000,MATCH($A120,EXTRATO!$A$2:$A$3000,0))))</f>
        <v>46052</v>
      </c>
      <c r="C120" s="86">
        <f t="shared" si="1"/>
        <v>1</v>
      </c>
      <c r="D120" s="81" t="s">
        <v>1305</v>
      </c>
      <c r="E120" s="79" t="s">
        <v>1306</v>
      </c>
      <c r="F120" s="80">
        <v>91000</v>
      </c>
      <c r="G120" s="81" t="s">
        <v>45</v>
      </c>
      <c r="H120" s="86" t="str">
        <f>IF(A120="","",IF(INDEX(EXTRATO!$F$2:$F$3000,MATCH($A120,EXTRATO!$A$2:$A$3000,0))="","",INDEX(EXTRATO!$F$2:$F$3000,MATCH($A120,EXTRATO!$A$2:$A$3000,0))))</f>
        <v>RESGATE</v>
      </c>
      <c r="I120" s="88" t="str">
        <f>IF(A120="","",IF(INDEX(EXTRATO!$H$2:$H$3000,MATCH($A120,EXTRATO!$A$2:$A$3000,0))="","",INDEX(EXTRATO!$H$2:$H$3000,MATCH($A120,EXTRATO!$A$2:$A$3000,0))))</f>
        <v>BANCO DO BRASIL - CDB DI</v>
      </c>
      <c r="J120" s="86" t="s">
        <v>1307</v>
      </c>
      <c r="K120" s="86" t="str">
        <f>IF(AND(A120="",D120="",E120="",F120=""),"",IF(D120="","SEM CATEGORIA",IF(E120="","SEM SUBCATEGORIA",IF(COUNTIFS(CADASTROS!$L$7:$L$93,D120,CADASTROS!$D$7:$D$93,E120)=0,"INCOMPATÍVEL","OK"))))</f>
        <v>OK</v>
      </c>
    </row>
    <row r="121" spans="1:11" ht="30" hidden="1" customHeight="1" x14ac:dyDescent="0.25">
      <c r="A121" s="86" t="s">
        <v>1478</v>
      </c>
      <c r="B121" s="85">
        <f>IF(A121="","",IF(INDEX(EXTRATO!$C$2:$C$3000,MATCH($A121,EXTRATO!$A$2:$A$3000,0))="","",INDEX(EXTRATO!$C$2:$C$3000,MATCH($A121,EXTRATO!$A$2:$A$3000,0))))</f>
        <v>46055</v>
      </c>
      <c r="C121" s="86">
        <f t="shared" si="1"/>
        <v>2</v>
      </c>
      <c r="D121" s="81" t="s">
        <v>1311</v>
      </c>
      <c r="E121" s="79" t="s">
        <v>1320</v>
      </c>
      <c r="F121" s="80">
        <v>1800</v>
      </c>
      <c r="G121" s="81" t="s">
        <v>1324</v>
      </c>
      <c r="H121" s="86" t="str">
        <f>IF(A121="","",IF(INDEX(EXTRATO!$F$2:$F$3000,MATCH($A121,EXTRATO!$A$2:$A$3000,0))="","",INDEX(EXTRATO!$F$2:$F$3000,MATCH($A121,EXTRATO!$A$2:$A$3000,0))))</f>
        <v>SAÍDA</v>
      </c>
      <c r="I121" s="88" t="str">
        <f>IF(A121="","",IF(INDEX(EXTRATO!$H$2:$H$3000,MATCH($A121,EXTRATO!$A$2:$A$3000,0))="","",INDEX(EXTRATO!$H$2:$H$3000,MATCH($A121,EXTRATO!$A$2:$A$3000,0))))</f>
        <v>DIALISE COMERCIO</v>
      </c>
      <c r="J121" s="86" t="s">
        <v>1313</v>
      </c>
      <c r="K121" s="86" t="str">
        <f>IF(AND(A121="",D121="",E121="",F121=""),"",IF(D121="","SEM CATEGORIA",IF(E121="","SEM SUBCATEGORIA",IF(COUNTIFS(CADASTROS!$L$7:$L$93,D121,CADASTROS!$D$7:$D$93,E121)=0,"INCOMPATÍVEL","OK"))))</f>
        <v>OK</v>
      </c>
    </row>
    <row r="122" spans="1:11" ht="30" hidden="1" customHeight="1" x14ac:dyDescent="0.25">
      <c r="A122" s="86" t="s">
        <v>1478</v>
      </c>
      <c r="B122" s="85">
        <f>IF(A122="","",IF(INDEX(EXTRATO!$C$2:$C$3000,MATCH($A122,EXTRATO!$A$2:$A$3000,0))="","",INDEX(EXTRATO!$C$2:$C$3000,MATCH($A122,EXTRATO!$A$2:$A$3000,0))))</f>
        <v>46055</v>
      </c>
      <c r="C122" s="86">
        <f t="shared" si="1"/>
        <v>2</v>
      </c>
      <c r="D122" s="81" t="s">
        <v>1311</v>
      </c>
      <c r="E122" s="79" t="s">
        <v>1312</v>
      </c>
      <c r="F122" s="80">
        <v>735</v>
      </c>
      <c r="G122" s="81" t="s">
        <v>1325</v>
      </c>
      <c r="H122" s="86" t="str">
        <f>IF(A122="","",IF(INDEX(EXTRATO!$F$2:$F$3000,MATCH($A122,EXTRATO!$A$2:$A$3000,0))="","",INDEX(EXTRATO!$F$2:$F$3000,MATCH($A122,EXTRATO!$A$2:$A$3000,0))))</f>
        <v>SAÍDA</v>
      </c>
      <c r="I122" s="88" t="str">
        <f>IF(A122="","",IF(INDEX(EXTRATO!$H$2:$H$3000,MATCH($A122,EXTRATO!$A$2:$A$3000,0))="","",INDEX(EXTRATO!$H$2:$H$3000,MATCH($A122,EXTRATO!$A$2:$A$3000,0))))</f>
        <v>DIALISE COMERCIO</v>
      </c>
      <c r="J122" s="86" t="s">
        <v>1313</v>
      </c>
      <c r="K122" s="86" t="str">
        <f>IF(AND(A122="",D122="",E122="",F122=""),"",IF(D122="","SEM CATEGORIA",IF(E122="","SEM SUBCATEGORIA",IF(COUNTIFS(CADASTROS!$L$7:$L$93,D122,CADASTROS!$D$7:$D$93,E122)=0,"INCOMPATÍVEL","OK"))))</f>
        <v>OK</v>
      </c>
    </row>
    <row r="123" spans="1:11" ht="30" hidden="1" customHeight="1" x14ac:dyDescent="0.25">
      <c r="A123" s="86" t="s">
        <v>1480</v>
      </c>
      <c r="B123" s="85">
        <f>IF(A123="","",IF(INDEX(EXTRATO!$C$2:$C$3000,MATCH($A123,EXTRATO!$A$2:$A$3000,0))="","",INDEX(EXTRATO!$C$2:$C$3000,MATCH($A123,EXTRATO!$A$2:$A$3000,0))))</f>
        <v>46055</v>
      </c>
      <c r="C123" s="86">
        <f t="shared" si="1"/>
        <v>2</v>
      </c>
      <c r="D123" s="81" t="s">
        <v>1311</v>
      </c>
      <c r="E123" s="79" t="s">
        <v>1318</v>
      </c>
      <c r="F123" s="80">
        <v>1020</v>
      </c>
      <c r="G123" s="81" t="s">
        <v>2755</v>
      </c>
      <c r="H123" s="86" t="str">
        <f>IF(A123="","",IF(INDEX(EXTRATO!$F$2:$F$3000,MATCH($A123,EXTRATO!$A$2:$A$3000,0))="","",INDEX(EXTRATO!$F$2:$F$3000,MATCH($A123,EXTRATO!$A$2:$A$3000,0))))</f>
        <v>SAÍDA</v>
      </c>
      <c r="I123" s="88" t="str">
        <f>IF(A123="","",IF(INDEX(EXTRATO!$H$2:$H$3000,MATCH($A123,EXTRATO!$A$2:$A$3000,0))="","",INDEX(EXTRATO!$H$2:$H$3000,MATCH($A123,EXTRATO!$A$2:$A$3000,0))))</f>
        <v>BIOCOMPANY</v>
      </c>
      <c r="J123" s="86" t="s">
        <v>1313</v>
      </c>
      <c r="K123" s="86" t="str">
        <f>IF(AND(A123="",D123="",E123="",F123=""),"",IF(D123="","SEM CATEGORIA",IF(E123="","SEM SUBCATEGORIA",IF(COUNTIFS(CADASTROS!$L$7:$L$93,D123,CADASTROS!$D$7:$D$93,E123)=0,"INCOMPATÍVEL","OK"))))</f>
        <v>OK</v>
      </c>
    </row>
    <row r="124" spans="1:11" ht="30" hidden="1" customHeight="1" x14ac:dyDescent="0.25">
      <c r="A124" s="86" t="s">
        <v>1480</v>
      </c>
      <c r="B124" s="85">
        <f>IF(A124="","",IF(INDEX(EXTRATO!$C$2:$C$3000,MATCH($A124,EXTRATO!$A$2:$A$3000,0))="","",INDEX(EXTRATO!$C$2:$C$3000,MATCH($A124,EXTRATO!$A$2:$A$3000,0))))</f>
        <v>46055</v>
      </c>
      <c r="C124" s="86">
        <f t="shared" si="1"/>
        <v>2</v>
      </c>
      <c r="D124" s="81" t="s">
        <v>1311</v>
      </c>
      <c r="E124" s="79" t="s">
        <v>1312</v>
      </c>
      <c r="F124" s="80">
        <v>550</v>
      </c>
      <c r="G124" s="81" t="s">
        <v>2756</v>
      </c>
      <c r="H124" s="86" t="str">
        <f>IF(A124="","",IF(INDEX(EXTRATO!$F$2:$F$3000,MATCH($A124,EXTRATO!$A$2:$A$3000,0))="","",INDEX(EXTRATO!$F$2:$F$3000,MATCH($A124,EXTRATO!$A$2:$A$3000,0))))</f>
        <v>SAÍDA</v>
      </c>
      <c r="I124" s="88" t="str">
        <f>IF(A124="","",IF(INDEX(EXTRATO!$H$2:$H$3000,MATCH($A124,EXTRATO!$A$2:$A$3000,0))="","",INDEX(EXTRATO!$H$2:$H$3000,MATCH($A124,EXTRATO!$A$2:$A$3000,0))))</f>
        <v>BIOCOMPANY</v>
      </c>
      <c r="J124" s="86" t="s">
        <v>1313</v>
      </c>
      <c r="K124" s="86" t="str">
        <f>IF(AND(A124="",D124="",E124="",F124=""),"",IF(D124="","SEM CATEGORIA",IF(E124="","SEM SUBCATEGORIA",IF(COUNTIFS(CADASTROS!$L$7:$L$93,D124,CADASTROS!$D$7:$D$93,E124)=0,"INCOMPATÍVEL","OK"))))</f>
        <v>OK</v>
      </c>
    </row>
    <row r="125" spans="1:11" ht="30" hidden="1" customHeight="1" x14ac:dyDescent="0.25">
      <c r="A125" s="86" t="s">
        <v>1482</v>
      </c>
      <c r="B125" s="85">
        <f>IF(A125="","",IF(INDEX(EXTRATO!$C$2:$C$3000,MATCH($A125,EXTRATO!$A$2:$A$3000,0))="","",INDEX(EXTRATO!$C$2:$C$3000,MATCH($A125,EXTRATO!$A$2:$A$3000,0))))</f>
        <v>46055</v>
      </c>
      <c r="C125" s="86">
        <f t="shared" si="1"/>
        <v>2</v>
      </c>
      <c r="D125" s="81" t="s">
        <v>1454</v>
      </c>
      <c r="E125" s="79" t="s">
        <v>1485</v>
      </c>
      <c r="F125" s="80">
        <v>1495.45</v>
      </c>
      <c r="G125" s="81" t="s">
        <v>234</v>
      </c>
      <c r="H125" s="86" t="str">
        <f>IF(A125="","",IF(INDEX(EXTRATO!$F$2:$F$3000,MATCH($A125,EXTRATO!$A$2:$A$3000,0))="","",INDEX(EXTRATO!$F$2:$F$3000,MATCH($A125,EXTRATO!$A$2:$A$3000,0))))</f>
        <v>SAÍDA</v>
      </c>
      <c r="I125" s="88" t="str">
        <f>IF(A125="","",IF(INDEX(EXTRATO!$H$2:$H$3000,MATCH($A125,EXTRATO!$A$2:$A$3000,0))="","",INDEX(EXTRATO!$H$2:$H$3000,MATCH($A125,EXTRATO!$A$2:$A$3000,0))))</f>
        <v>MARKETPLACE MERCADO LIVRE</v>
      </c>
      <c r="J125" s="86" t="s">
        <v>1313</v>
      </c>
      <c r="K125" s="86" t="str">
        <f>IF(AND(A125="",D125="",E125="",F125=""),"",IF(D125="","SEM CATEGORIA",IF(E125="","SEM SUBCATEGORIA",IF(COUNTIFS(CADASTROS!$L$7:$L$93,D125,CADASTROS!$D$7:$D$93,E125)=0,"INCOMPATÍVEL","OK"))))</f>
        <v>OK</v>
      </c>
    </row>
    <row r="126" spans="1:11" ht="30" hidden="1" customHeight="1" x14ac:dyDescent="0.25">
      <c r="A126" s="86" t="s">
        <v>1483</v>
      </c>
      <c r="B126" s="85">
        <f>IF(A126="","",IF(INDEX(EXTRATO!$C$2:$C$3000,MATCH($A126,EXTRATO!$A$2:$A$3000,0))="","",INDEX(EXTRATO!$C$2:$C$3000,MATCH($A126,EXTRATO!$A$2:$A$3000,0))))</f>
        <v>46055</v>
      </c>
      <c r="C126" s="86">
        <f t="shared" si="1"/>
        <v>2</v>
      </c>
      <c r="D126" s="81" t="s">
        <v>1311</v>
      </c>
      <c r="E126" s="79" t="s">
        <v>1315</v>
      </c>
      <c r="F126" s="80">
        <v>1300.83</v>
      </c>
      <c r="G126" s="81" t="s">
        <v>236</v>
      </c>
      <c r="H126" s="86" t="str">
        <f>IF(A126="","",IF(INDEX(EXTRATO!$F$2:$F$3000,MATCH($A126,EXTRATO!$A$2:$A$3000,0))="","",INDEX(EXTRATO!$F$2:$F$3000,MATCH($A126,EXTRATO!$A$2:$A$3000,0))))</f>
        <v>SAÍDA</v>
      </c>
      <c r="I126" s="88" t="str">
        <f>IF(A126="","",IF(INDEX(EXTRATO!$H$2:$H$3000,MATCH($A126,EXTRATO!$A$2:$A$3000,0))="","",INDEX(EXTRATO!$H$2:$H$3000,MATCH($A126,EXTRATO!$A$2:$A$3000,0))))</f>
        <v>ALLMED PRONEFRO</v>
      </c>
      <c r="J126" s="86" t="s">
        <v>1313</v>
      </c>
      <c r="K126" s="86" t="str">
        <f>IF(AND(A126="",D126="",E126="",F126=""),"",IF(D126="","SEM CATEGORIA",IF(E126="","SEM SUBCATEGORIA",IF(COUNTIFS(CADASTROS!$L$7:$L$93,D126,CADASTROS!$D$7:$D$93,E126)=0,"INCOMPATÍVEL","OK"))))</f>
        <v>OK</v>
      </c>
    </row>
    <row r="127" spans="1:11" ht="30" hidden="1" customHeight="1" x14ac:dyDescent="0.25">
      <c r="A127" s="86" t="s">
        <v>1484</v>
      </c>
      <c r="B127" s="85">
        <f>IF(A127="","",IF(INDEX(EXTRATO!$C$2:$C$3000,MATCH($A127,EXTRATO!$A$2:$A$3000,0))="","",INDEX(EXTRATO!$C$2:$C$3000,MATCH($A127,EXTRATO!$A$2:$A$3000,0))))</f>
        <v>46055</v>
      </c>
      <c r="C127" s="86">
        <f t="shared" si="1"/>
        <v>2</v>
      </c>
      <c r="D127" s="81" t="s">
        <v>1311</v>
      </c>
      <c r="E127" s="79" t="s">
        <v>1515</v>
      </c>
      <c r="F127" s="80">
        <v>210</v>
      </c>
      <c r="G127" s="84" t="s">
        <v>274</v>
      </c>
      <c r="H127" s="86" t="str">
        <f>IF(A127="","",IF(INDEX(EXTRATO!$F$2:$F$3000,MATCH($A127,EXTRATO!$A$2:$A$3000,0))="","",INDEX(EXTRATO!$F$2:$F$3000,MATCH($A127,EXTRATO!$A$2:$A$3000,0))))</f>
        <v>SAÍDA</v>
      </c>
      <c r="I127" s="88" t="str">
        <f>IF(A127="","",IF(INDEX(EXTRATO!$H$2:$H$3000,MATCH($A127,EXTRATO!$A$2:$A$3000,0))="","",INDEX(EXTRATO!$H$2:$H$3000,MATCH($A127,EXTRATO!$A$2:$A$3000,0))))</f>
        <v>DIALISE COMERCIO</v>
      </c>
      <c r="J127" s="86" t="s">
        <v>1313</v>
      </c>
      <c r="K127" s="86" t="str">
        <f>IF(AND(A127="",D127="",E127="",F127=""),"",IF(D127="","SEM CATEGORIA",IF(E127="","SEM SUBCATEGORIA",IF(COUNTIFS(CADASTROS!$L$7:$L$93,D127,CADASTROS!$D$7:$D$93,E127)=0,"INCOMPATÍVEL","OK"))))</f>
        <v>OK</v>
      </c>
    </row>
    <row r="128" spans="1:11" ht="30" hidden="1" customHeight="1" x14ac:dyDescent="0.25">
      <c r="A128" s="86" t="s">
        <v>1484</v>
      </c>
      <c r="B128" s="85">
        <f>IF(A128="","",IF(INDEX(EXTRATO!$C$2:$C$3000,MATCH($A128,EXTRATO!$A$2:$A$3000,0))="","",INDEX(EXTRATO!$C$2:$C$3000,MATCH($A128,EXTRATO!$A$2:$A$3000,0))))</f>
        <v>46055</v>
      </c>
      <c r="C128" s="86">
        <f t="shared" si="1"/>
        <v>2</v>
      </c>
      <c r="D128" s="81" t="s">
        <v>1311</v>
      </c>
      <c r="E128" s="79" t="s">
        <v>1376</v>
      </c>
      <c r="F128" s="80">
        <v>396</v>
      </c>
      <c r="G128" s="84" t="s">
        <v>1587</v>
      </c>
      <c r="H128" s="86" t="str">
        <f>IF(A128="","",IF(INDEX(EXTRATO!$F$2:$F$3000,MATCH($A128,EXTRATO!$A$2:$A$3000,0))="","",INDEX(EXTRATO!$F$2:$F$3000,MATCH($A128,EXTRATO!$A$2:$A$3000,0))))</f>
        <v>SAÍDA</v>
      </c>
      <c r="I128" s="88" t="str">
        <f>IF(A128="","",IF(INDEX(EXTRATO!$H$2:$H$3000,MATCH($A128,EXTRATO!$A$2:$A$3000,0))="","",INDEX(EXTRATO!$H$2:$H$3000,MATCH($A128,EXTRATO!$A$2:$A$3000,0))))</f>
        <v>DIALISE COMERCIO</v>
      </c>
      <c r="J128" s="86" t="s">
        <v>1313</v>
      </c>
      <c r="K128" s="86" t="str">
        <f>IF(AND(A128="",D128="",E128="",F128=""),"",IF(D128="","SEM CATEGORIA",IF(E128="","SEM SUBCATEGORIA",IF(COUNTIFS(CADASTROS!$L$7:$L$93,D128,CADASTROS!$D$7:$D$93,E128)=0,"INCOMPATÍVEL","OK"))))</f>
        <v>OK</v>
      </c>
    </row>
    <row r="129" spans="1:11" ht="30" hidden="1" customHeight="1" x14ac:dyDescent="0.25">
      <c r="A129" s="86" t="s">
        <v>1484</v>
      </c>
      <c r="B129" s="85">
        <f>IF(A129="","",IF(INDEX(EXTRATO!$C$2:$C$3000,MATCH($A129,EXTRATO!$A$2:$A$3000,0))="","",INDEX(EXTRATO!$C$2:$C$3000,MATCH($A129,EXTRATO!$A$2:$A$3000,0))))</f>
        <v>46055</v>
      </c>
      <c r="C129" s="86">
        <f t="shared" si="1"/>
        <v>2</v>
      </c>
      <c r="D129" s="81" t="s">
        <v>1311</v>
      </c>
      <c r="E129" s="79" t="s">
        <v>1312</v>
      </c>
      <c r="F129" s="80">
        <v>245</v>
      </c>
      <c r="G129" s="84" t="s">
        <v>1588</v>
      </c>
      <c r="H129" s="86" t="str">
        <f>IF(A129="","",IF(INDEX(EXTRATO!$F$2:$F$3000,MATCH($A129,EXTRATO!$A$2:$A$3000,0))="","",INDEX(EXTRATO!$F$2:$F$3000,MATCH($A129,EXTRATO!$A$2:$A$3000,0))))</f>
        <v>SAÍDA</v>
      </c>
      <c r="I129" s="88" t="str">
        <f>IF(A129="","",IF(INDEX(EXTRATO!$H$2:$H$3000,MATCH($A129,EXTRATO!$A$2:$A$3000,0))="","",INDEX(EXTRATO!$H$2:$H$3000,MATCH($A129,EXTRATO!$A$2:$A$3000,0))))</f>
        <v>DIALISE COMERCIO</v>
      </c>
      <c r="J129" s="86" t="s">
        <v>1313</v>
      </c>
      <c r="K129" s="86" t="str">
        <f>IF(AND(A129="",D129="",E129="",F129=""),"",IF(D129="","SEM CATEGORIA",IF(E129="","SEM SUBCATEGORIA",IF(COUNTIFS(CADASTROS!$L$7:$L$93,D129,CADASTROS!$D$7:$D$93,E129)=0,"INCOMPATÍVEL","OK"))))</f>
        <v>OK</v>
      </c>
    </row>
    <row r="130" spans="1:11" ht="30" hidden="1" customHeight="1" x14ac:dyDescent="0.25">
      <c r="A130" s="86" t="s">
        <v>1486</v>
      </c>
      <c r="B130" s="85">
        <f>IF(A130="","",IF(INDEX(EXTRATO!$C$2:$C$3000,MATCH($A130,EXTRATO!$A$2:$A$3000,0))="","",INDEX(EXTRATO!$C$2:$C$3000,MATCH($A130,EXTRATO!$A$2:$A$3000,0))))</f>
        <v>46055</v>
      </c>
      <c r="C130" s="86">
        <f t="shared" ref="C130:C193" si="2">IF(B130="","",MONTH(B130))</f>
        <v>2</v>
      </c>
      <c r="D130" s="81" t="s">
        <v>1330</v>
      </c>
      <c r="E130" s="79" t="s">
        <v>1331</v>
      </c>
      <c r="F130" s="80">
        <v>789.5</v>
      </c>
      <c r="G130" s="81" t="s">
        <v>239</v>
      </c>
      <c r="H130" s="86" t="str">
        <f>IF(A130="","",IF(INDEX(EXTRATO!$F$2:$F$3000,MATCH($A130,EXTRATO!$A$2:$A$3000,0))="","",INDEX(EXTRATO!$F$2:$F$3000,MATCH($A130,EXTRATO!$A$2:$A$3000,0))))</f>
        <v>SAÍDA</v>
      </c>
      <c r="I130" s="88" t="str">
        <f>IF(A130="","",IF(INDEX(EXTRATO!$H$2:$H$3000,MATCH($A130,EXTRATO!$A$2:$A$3000,0))="","",INDEX(EXTRATO!$H$2:$H$3000,MATCH($A130,EXTRATO!$A$2:$A$3000,0))))</f>
        <v>BRANDÃO &amp; BRANDÃO</v>
      </c>
      <c r="J130" s="86" t="s">
        <v>1313</v>
      </c>
      <c r="K130" s="86" t="str">
        <f>IF(AND(A130="",D130="",E130="",F130=""),"",IF(D130="","SEM CATEGORIA",IF(E130="","SEM SUBCATEGORIA",IF(COUNTIFS(CADASTROS!$L$7:$L$93,D130,CADASTROS!$D$7:$D$93,E130)=0,"INCOMPATÍVEL","OK"))))</f>
        <v>OK</v>
      </c>
    </row>
    <row r="131" spans="1:11" ht="30" hidden="1" customHeight="1" x14ac:dyDescent="0.25">
      <c r="A131" s="86" t="s">
        <v>1487</v>
      </c>
      <c r="B131" s="85">
        <f>IF(A131="","",IF(INDEX(EXTRATO!$C$2:$C$3000,MATCH($A131,EXTRATO!$A$2:$A$3000,0))="","",INDEX(EXTRATO!$C$2:$C$3000,MATCH($A131,EXTRATO!$A$2:$A$3000,0))))</f>
        <v>46055</v>
      </c>
      <c r="C131" s="86">
        <f t="shared" si="2"/>
        <v>2</v>
      </c>
      <c r="D131" s="81" t="s">
        <v>1305</v>
      </c>
      <c r="E131" s="79" t="s">
        <v>1306</v>
      </c>
      <c r="F131" s="80">
        <v>928.2</v>
      </c>
      <c r="G131" s="81" t="s">
        <v>45</v>
      </c>
      <c r="H131" s="86" t="str">
        <f>IF(A131="","",IF(INDEX(EXTRATO!$F$2:$F$3000,MATCH($A131,EXTRATO!$A$2:$A$3000,0))="","",INDEX(EXTRATO!$F$2:$F$3000,MATCH($A131,EXTRATO!$A$2:$A$3000,0))))</f>
        <v>RESGATE</v>
      </c>
      <c r="I131" s="88" t="str">
        <f>IF(A131="","",IF(INDEX(EXTRATO!$H$2:$H$3000,MATCH($A131,EXTRATO!$A$2:$A$3000,0))="","",INDEX(EXTRATO!$H$2:$H$3000,MATCH($A131,EXTRATO!$A$2:$A$3000,0))))</f>
        <v>BANCO DO BRASIL - CDB DI</v>
      </c>
      <c r="J131" s="86" t="s">
        <v>1307</v>
      </c>
      <c r="K131" s="86" t="str">
        <f>IF(AND(A131="",D131="",E131="",F131=""),"",IF(D131="","SEM CATEGORIA",IF(E131="","SEM SUBCATEGORIA",IF(COUNTIFS(CADASTROS!$L$7:$L$93,D131,CADASTROS!$D$7:$D$93,E131)=0,"INCOMPATÍVEL","OK"))))</f>
        <v>OK</v>
      </c>
    </row>
    <row r="132" spans="1:11" ht="30" hidden="1" customHeight="1" x14ac:dyDescent="0.25">
      <c r="A132" s="86" t="s">
        <v>1488</v>
      </c>
      <c r="B132" s="85">
        <f>IF(A132="","",IF(INDEX(EXTRATO!$C$2:$C$3000,MATCH($A132,EXTRATO!$A$2:$A$3000,0))="","",INDEX(EXTRATO!$C$2:$C$3000,MATCH($A132,EXTRATO!$A$2:$A$3000,0))))</f>
        <v>46055</v>
      </c>
      <c r="C132" s="86">
        <f t="shared" si="2"/>
        <v>2</v>
      </c>
      <c r="D132" s="81" t="s">
        <v>1305</v>
      </c>
      <c r="E132" s="79" t="s">
        <v>1306</v>
      </c>
      <c r="F132" s="80">
        <v>7500</v>
      </c>
      <c r="G132" s="81" t="s">
        <v>45</v>
      </c>
      <c r="H132" s="86" t="str">
        <f>IF(A132="","",IF(INDEX(EXTRATO!$F$2:$F$3000,MATCH($A132,EXTRATO!$A$2:$A$3000,0))="","",INDEX(EXTRATO!$F$2:$F$3000,MATCH($A132,EXTRATO!$A$2:$A$3000,0))))</f>
        <v>RESGATE</v>
      </c>
      <c r="I132" s="88" t="str">
        <f>IF(A132="","",IF(INDEX(EXTRATO!$H$2:$H$3000,MATCH($A132,EXTRATO!$A$2:$A$3000,0))="","",INDEX(EXTRATO!$H$2:$H$3000,MATCH($A132,EXTRATO!$A$2:$A$3000,0))))</f>
        <v>BANCO DO BRASIL - CDB DI</v>
      </c>
      <c r="J132" s="86" t="s">
        <v>1307</v>
      </c>
      <c r="K132" s="86" t="str">
        <f>IF(AND(A132="",D132="",E132="",F132=""),"",IF(D132="","SEM CATEGORIA",IF(E132="","SEM SUBCATEGORIA",IF(COUNTIFS(CADASTROS!$L$7:$L$93,D132,CADASTROS!$D$7:$D$93,E132)=0,"INCOMPATÍVEL","OK"))))</f>
        <v>OK</v>
      </c>
    </row>
    <row r="133" spans="1:11" ht="30" hidden="1" customHeight="1" x14ac:dyDescent="0.25">
      <c r="A133" s="86" t="s">
        <v>1489</v>
      </c>
      <c r="B133" s="85">
        <f>IF(A133="","",IF(INDEX(EXTRATO!$C$2:$C$3000,MATCH($A133,EXTRATO!$A$2:$A$3000,0))="","",INDEX(EXTRATO!$C$2:$C$3000,MATCH($A133,EXTRATO!$A$2:$A$3000,0))))</f>
        <v>46056</v>
      </c>
      <c r="C133" s="86">
        <f t="shared" si="2"/>
        <v>2</v>
      </c>
      <c r="D133" s="81" t="s">
        <v>1311</v>
      </c>
      <c r="E133" s="79" t="s">
        <v>1677</v>
      </c>
      <c r="F133" s="80">
        <v>1950</v>
      </c>
      <c r="G133" s="84" t="s">
        <v>1678</v>
      </c>
      <c r="H133" s="86" t="str">
        <f>IF(A133="","",IF(INDEX(EXTRATO!$F$2:$F$3000,MATCH($A133,EXTRATO!$A$2:$A$3000,0))="","",INDEX(EXTRATO!$F$2:$F$3000,MATCH($A133,EXTRATO!$A$2:$A$3000,0))))</f>
        <v>SAÍDA</v>
      </c>
      <c r="I133" s="88" t="str">
        <f>IF(A133="","",IF(INDEX(EXTRATO!$H$2:$H$3000,MATCH($A133,EXTRATO!$A$2:$A$3000,0))="","",INDEX(EXTRATO!$H$2:$H$3000,MATCH($A133,EXTRATO!$A$2:$A$3000,0))))</f>
        <v>DIALISE COMERCIO</v>
      </c>
      <c r="J133" s="86" t="s">
        <v>1313</v>
      </c>
      <c r="K133" s="86" t="str">
        <f>IF(AND(A133="",D133="",E133="",F133=""),"",IF(D133="","SEM CATEGORIA",IF(E133="","SEM SUBCATEGORIA",IF(COUNTIFS(CADASTROS!$L$7:$L$93,D133,CADASTROS!$D$7:$D$93,E133)=0,"INCOMPATÍVEL","OK"))))</f>
        <v>OK</v>
      </c>
    </row>
    <row r="134" spans="1:11" ht="30" hidden="1" customHeight="1" x14ac:dyDescent="0.25">
      <c r="A134" s="86" t="s">
        <v>1489</v>
      </c>
      <c r="B134" s="85">
        <f>IF(A134="","",IF(INDEX(EXTRATO!$C$2:$C$3000,MATCH($A134,EXTRATO!$A$2:$A$3000,0))="","",INDEX(EXTRATO!$C$2:$C$3000,MATCH($A134,EXTRATO!$A$2:$A$3000,0))))</f>
        <v>46056</v>
      </c>
      <c r="C134" s="86">
        <f t="shared" si="2"/>
        <v>2</v>
      </c>
      <c r="D134" s="81" t="s">
        <v>1311</v>
      </c>
      <c r="E134" s="79" t="s">
        <v>1320</v>
      </c>
      <c r="F134" s="80">
        <v>450</v>
      </c>
      <c r="G134" s="84" t="s">
        <v>2757</v>
      </c>
      <c r="H134" s="86" t="str">
        <f>IF(A134="","",IF(INDEX(EXTRATO!$F$2:$F$3000,MATCH($A134,EXTRATO!$A$2:$A$3000,0))="","",INDEX(EXTRATO!$F$2:$F$3000,MATCH($A134,EXTRATO!$A$2:$A$3000,0))))</f>
        <v>SAÍDA</v>
      </c>
      <c r="I134" s="88" t="str">
        <f>IF(A134="","",IF(INDEX(EXTRATO!$H$2:$H$3000,MATCH($A134,EXTRATO!$A$2:$A$3000,0))="","",INDEX(EXTRATO!$H$2:$H$3000,MATCH($A134,EXTRATO!$A$2:$A$3000,0))))</f>
        <v>DIALISE COMERCIO</v>
      </c>
      <c r="J134" s="86" t="s">
        <v>1313</v>
      </c>
      <c r="K134" s="86" t="str">
        <f>IF(AND(A134="",D134="",E134="",F134=""),"",IF(D134="","SEM CATEGORIA",IF(E134="","SEM SUBCATEGORIA",IF(COUNTIFS(CADASTROS!$L$7:$L$93,D134,CADASTROS!$D$7:$D$93,E134)=0,"INCOMPATÍVEL","OK"))))</f>
        <v>OK</v>
      </c>
    </row>
    <row r="135" spans="1:11" ht="30" hidden="1" customHeight="1" x14ac:dyDescent="0.25">
      <c r="A135" s="86" t="s">
        <v>1489</v>
      </c>
      <c r="B135" s="85">
        <f>IF(A135="","",IF(INDEX(EXTRATO!$C$2:$C$3000,MATCH($A135,EXTRATO!$A$2:$A$3000,0))="","",INDEX(EXTRATO!$C$2:$C$3000,MATCH($A135,EXTRATO!$A$2:$A$3000,0))))</f>
        <v>46056</v>
      </c>
      <c r="C135" s="86">
        <f t="shared" si="2"/>
        <v>2</v>
      </c>
      <c r="D135" s="81" t="s">
        <v>1311</v>
      </c>
      <c r="E135" s="79" t="s">
        <v>1312</v>
      </c>
      <c r="F135" s="80">
        <v>490</v>
      </c>
      <c r="G135" s="84" t="s">
        <v>1325</v>
      </c>
      <c r="H135" s="86" t="str">
        <f>IF(A135="","",IF(INDEX(EXTRATO!$F$2:$F$3000,MATCH($A135,EXTRATO!$A$2:$A$3000,0))="","",INDEX(EXTRATO!$F$2:$F$3000,MATCH($A135,EXTRATO!$A$2:$A$3000,0))))</f>
        <v>SAÍDA</v>
      </c>
      <c r="I135" s="88" t="str">
        <f>IF(A135="","",IF(INDEX(EXTRATO!$H$2:$H$3000,MATCH($A135,EXTRATO!$A$2:$A$3000,0))="","",INDEX(EXTRATO!$H$2:$H$3000,MATCH($A135,EXTRATO!$A$2:$A$3000,0))))</f>
        <v>DIALISE COMERCIO</v>
      </c>
      <c r="J135" s="86" t="s">
        <v>1313</v>
      </c>
      <c r="K135" s="86" t="str">
        <f>IF(AND(A135="",D135="",E135="",F135=""),"",IF(D135="","SEM CATEGORIA",IF(E135="","SEM SUBCATEGORIA",IF(COUNTIFS(CADASTROS!$L$7:$L$93,D135,CADASTROS!$D$7:$D$93,E135)=0,"INCOMPATÍVEL","OK"))))</f>
        <v>OK</v>
      </c>
    </row>
    <row r="136" spans="1:11" ht="30" hidden="1" customHeight="1" x14ac:dyDescent="0.25">
      <c r="A136" s="86" t="s">
        <v>1490</v>
      </c>
      <c r="B136" s="85">
        <f>IF(A136="","",IF(INDEX(EXTRATO!$C$2:$C$3000,MATCH($A136,EXTRATO!$A$2:$A$3000,0))="","",INDEX(EXTRATO!$C$2:$C$3000,MATCH($A136,EXTRATO!$A$2:$A$3000,0))))</f>
        <v>46056</v>
      </c>
      <c r="C136" s="86">
        <f t="shared" si="2"/>
        <v>2</v>
      </c>
      <c r="D136" s="81" t="s">
        <v>1370</v>
      </c>
      <c r="E136" s="79" t="s">
        <v>1371</v>
      </c>
      <c r="F136" s="80">
        <v>500</v>
      </c>
      <c r="G136" s="81" t="s">
        <v>244</v>
      </c>
      <c r="H136" s="86" t="str">
        <f>IF(A136="","",IF(INDEX(EXTRATO!$F$2:$F$3000,MATCH($A136,EXTRATO!$A$2:$A$3000,0))="","",INDEX(EXTRATO!$F$2:$F$3000,MATCH($A136,EXTRATO!$A$2:$A$3000,0))))</f>
        <v>SAÍDA</v>
      </c>
      <c r="I136" s="88" t="str">
        <f>IF(A136="","",IF(INDEX(EXTRATO!$H$2:$H$3000,MATCH($A136,EXTRATO!$A$2:$A$3000,0))="","",INDEX(EXTRATO!$H$2:$H$3000,MATCH($A136,EXTRATO!$A$2:$A$3000,0))))</f>
        <v>MANOEL FAGNER DA CONCEIÇÃO</v>
      </c>
      <c r="J136" s="86" t="s">
        <v>1313</v>
      </c>
      <c r="K136" s="86" t="str">
        <f>IF(AND(A136="",D136="",E136="",F136=""),"",IF(D136="","SEM CATEGORIA",IF(E136="","SEM SUBCATEGORIA",IF(COUNTIFS(CADASTROS!$L$7:$L$93,D136,CADASTROS!$D$7:$D$93,E136)=0,"INCOMPATÍVEL","OK"))))</f>
        <v>OK</v>
      </c>
    </row>
    <row r="137" spans="1:11" ht="30" hidden="1" customHeight="1" x14ac:dyDescent="0.25">
      <c r="A137" s="86" t="s">
        <v>1491</v>
      </c>
      <c r="B137" s="85">
        <f>IF(A137="","",IF(INDEX(EXTRATO!$C$2:$C$3000,MATCH($A137,EXTRATO!$A$2:$A$3000,0))="","",INDEX(EXTRATO!$C$2:$C$3000,MATCH($A137,EXTRATO!$A$2:$A$3000,0))))</f>
        <v>46056</v>
      </c>
      <c r="C137" s="86">
        <f t="shared" si="2"/>
        <v>2</v>
      </c>
      <c r="D137" s="81" t="s">
        <v>1370</v>
      </c>
      <c r="E137" s="79" t="s">
        <v>1494</v>
      </c>
      <c r="F137" s="80">
        <v>500</v>
      </c>
      <c r="G137" s="81" t="s">
        <v>247</v>
      </c>
      <c r="H137" s="86" t="str">
        <f>IF(A137="","",IF(INDEX(EXTRATO!$F$2:$F$3000,MATCH($A137,EXTRATO!$A$2:$A$3000,0))="","",INDEX(EXTRATO!$F$2:$F$3000,MATCH($A137,EXTRATO!$A$2:$A$3000,0))))</f>
        <v>SAÍDA</v>
      </c>
      <c r="I137" s="88" t="str">
        <f>IF(A137="","",IF(INDEX(EXTRATO!$H$2:$H$3000,MATCH($A137,EXTRATO!$A$2:$A$3000,0))="","",INDEX(EXTRATO!$H$2:$H$3000,MATCH($A137,EXTRATO!$A$2:$A$3000,0))))</f>
        <v>DELBRANDO DA S. AMORIM</v>
      </c>
      <c r="J137" s="86" t="s">
        <v>1313</v>
      </c>
      <c r="K137" s="86" t="str">
        <f>IF(AND(A137="",D137="",E137="",F137=""),"",IF(D137="","SEM CATEGORIA",IF(E137="","SEM SUBCATEGORIA",IF(COUNTIFS(CADASTROS!$L$7:$L$93,D137,CADASTROS!$D$7:$D$93,E137)=0,"INCOMPATÍVEL","OK"))))</f>
        <v>OK</v>
      </c>
    </row>
    <row r="138" spans="1:11" ht="30" hidden="1" customHeight="1" x14ac:dyDescent="0.25">
      <c r="A138" s="86" t="s">
        <v>1492</v>
      </c>
      <c r="B138" s="85">
        <f>IF(A138="","",IF(INDEX(EXTRATO!$C$2:$C$3000,MATCH($A138,EXTRATO!$A$2:$A$3000,0))="","",INDEX(EXTRATO!$C$2:$C$3000,MATCH($A138,EXTRATO!$A$2:$A$3000,0))))</f>
        <v>46056</v>
      </c>
      <c r="C138" s="86">
        <f t="shared" si="2"/>
        <v>2</v>
      </c>
      <c r="D138" s="81" t="s">
        <v>1311</v>
      </c>
      <c r="E138" s="79" t="s">
        <v>1312</v>
      </c>
      <c r="F138" s="80">
        <v>270</v>
      </c>
      <c r="G138" s="81" t="s">
        <v>47</v>
      </c>
      <c r="H138" s="86" t="str">
        <f>IF(A138="","",IF(INDEX(EXTRATO!$F$2:$F$3000,MATCH($A138,EXTRATO!$A$2:$A$3000,0))="","",INDEX(EXTRATO!$F$2:$F$3000,MATCH($A138,EXTRATO!$A$2:$A$3000,0))))</f>
        <v>SAÍDA</v>
      </c>
      <c r="I138" s="88" t="str">
        <f>IF(A138="","",IF(INDEX(EXTRATO!$H$2:$H$3000,MATCH($A138,EXTRATO!$A$2:$A$3000,0))="","",INDEX(EXTRATO!$H$2:$H$3000,MATCH($A138,EXTRATO!$A$2:$A$3000,0))))</f>
        <v>ANA CLAUDIA A. VARÃO</v>
      </c>
      <c r="J138" s="86" t="s">
        <v>1313</v>
      </c>
      <c r="K138" s="86" t="str">
        <f>IF(AND(A138="",D138="",E138="",F138=""),"",IF(D138="","SEM CATEGORIA",IF(E138="","SEM SUBCATEGORIA",IF(COUNTIFS(CADASTROS!$L$7:$L$93,D138,CADASTROS!$D$7:$D$93,E138)=0,"INCOMPATÍVEL","OK"))))</f>
        <v>OK</v>
      </c>
    </row>
    <row r="139" spans="1:11" ht="30" hidden="1" customHeight="1" x14ac:dyDescent="0.25">
      <c r="A139" s="86" t="s">
        <v>1493</v>
      </c>
      <c r="B139" s="85">
        <f>IF(A139="","",IF(INDEX(EXTRATO!$C$2:$C$3000,MATCH($A139,EXTRATO!$A$2:$A$3000,0))="","",INDEX(EXTRATO!$C$2:$C$3000,MATCH($A139,EXTRATO!$A$2:$A$3000,0))))</f>
        <v>46056</v>
      </c>
      <c r="C139" s="86">
        <f t="shared" si="2"/>
        <v>2</v>
      </c>
      <c r="D139" s="81" t="s">
        <v>1305</v>
      </c>
      <c r="E139" s="79" t="s">
        <v>1306</v>
      </c>
      <c r="F139" s="80">
        <v>79.650000000000006</v>
      </c>
      <c r="G139" s="81" t="s">
        <v>45</v>
      </c>
      <c r="H139" s="86" t="str">
        <f>IF(A139="","",IF(INDEX(EXTRATO!$F$2:$F$3000,MATCH($A139,EXTRATO!$A$2:$A$3000,0))="","",INDEX(EXTRATO!$F$2:$F$3000,MATCH($A139,EXTRATO!$A$2:$A$3000,0))))</f>
        <v>RESGATE</v>
      </c>
      <c r="I139" s="88" t="str">
        <f>IF(A139="","",IF(INDEX(EXTRATO!$H$2:$H$3000,MATCH($A139,EXTRATO!$A$2:$A$3000,0))="","",INDEX(EXTRATO!$H$2:$H$3000,MATCH($A139,EXTRATO!$A$2:$A$3000,0))))</f>
        <v>BANCO DO BRASIL - CDB DI</v>
      </c>
      <c r="J139" s="86" t="s">
        <v>1307</v>
      </c>
      <c r="K139" s="86" t="str">
        <f>IF(AND(A139="",D139="",E139="",F139=""),"",IF(D139="","SEM CATEGORIA",IF(E139="","SEM SUBCATEGORIA",IF(COUNTIFS(CADASTROS!$L$7:$L$93,D139,CADASTROS!$D$7:$D$93,E139)=0,"INCOMPATÍVEL","OK"))))</f>
        <v>OK</v>
      </c>
    </row>
    <row r="140" spans="1:11" ht="30" hidden="1" customHeight="1" x14ac:dyDescent="0.25">
      <c r="A140" s="86" t="s">
        <v>1495</v>
      </c>
      <c r="B140" s="85">
        <f>IF(A140="","",IF(INDEX(EXTRATO!$C$2:$C$3000,MATCH($A140,EXTRATO!$A$2:$A$3000,0))="","",INDEX(EXTRATO!$C$2:$C$3000,MATCH($A140,EXTRATO!$A$2:$A$3000,0))))</f>
        <v>46056</v>
      </c>
      <c r="C140" s="86">
        <f t="shared" si="2"/>
        <v>2</v>
      </c>
      <c r="D140" s="81" t="s">
        <v>1305</v>
      </c>
      <c r="E140" s="79" t="s">
        <v>1306</v>
      </c>
      <c r="F140" s="80">
        <v>4000</v>
      </c>
      <c r="G140" s="81" t="s">
        <v>45</v>
      </c>
      <c r="H140" s="86" t="str">
        <f>IF(A140="","",IF(INDEX(EXTRATO!$F$2:$F$3000,MATCH($A140,EXTRATO!$A$2:$A$3000,0))="","",INDEX(EXTRATO!$F$2:$F$3000,MATCH($A140,EXTRATO!$A$2:$A$3000,0))))</f>
        <v>RESGATE</v>
      </c>
      <c r="I140" s="88" t="str">
        <f>IF(A140="","",IF(INDEX(EXTRATO!$H$2:$H$3000,MATCH($A140,EXTRATO!$A$2:$A$3000,0))="","",INDEX(EXTRATO!$H$2:$H$3000,MATCH($A140,EXTRATO!$A$2:$A$3000,0))))</f>
        <v>BANCO DO BRASIL - CDB DI</v>
      </c>
      <c r="J140" s="86" t="s">
        <v>1307</v>
      </c>
      <c r="K140" s="86" t="str">
        <f>IF(AND(A140="",D140="",E140="",F140=""),"",IF(D140="","SEM CATEGORIA",IF(E140="","SEM SUBCATEGORIA",IF(COUNTIFS(CADASTROS!$L$7:$L$93,D140,CADASTROS!$D$7:$D$93,E140)=0,"INCOMPATÍVEL","OK"))))</f>
        <v>OK</v>
      </c>
    </row>
    <row r="141" spans="1:11" ht="30" hidden="1" customHeight="1" x14ac:dyDescent="0.25">
      <c r="A141" s="86" t="s">
        <v>1496</v>
      </c>
      <c r="B141" s="85">
        <f>IF(A141="","",IF(INDEX(EXTRATO!$C$2:$C$3000,MATCH($A141,EXTRATO!$A$2:$A$3000,0))="","",INDEX(EXTRATO!$C$2:$C$3000,MATCH($A141,EXTRATO!$A$2:$A$3000,0))))</f>
        <v>46057</v>
      </c>
      <c r="C141" s="86">
        <f t="shared" si="2"/>
        <v>2</v>
      </c>
      <c r="D141" s="81" t="s">
        <v>1311</v>
      </c>
      <c r="E141" s="79" t="s">
        <v>1404</v>
      </c>
      <c r="F141" s="80">
        <v>16277.5</v>
      </c>
      <c r="G141" s="81" t="s">
        <v>251</v>
      </c>
      <c r="H141" s="86" t="str">
        <f>IF(A141="","",IF(INDEX(EXTRATO!$F$2:$F$3000,MATCH($A141,EXTRATO!$A$2:$A$3000,0))="","",INDEX(EXTRATO!$F$2:$F$3000,MATCH($A141,EXTRATO!$A$2:$A$3000,0))))</f>
        <v>SAÍDA</v>
      </c>
      <c r="I141" s="88" t="str">
        <f>IF(A141="","",IF(INDEX(EXTRATO!$H$2:$H$3000,MATCH($A141,EXTRATO!$A$2:$A$3000,0))="","",INDEX(EXTRATO!$H$2:$H$3000,MATCH($A141,EXTRATO!$A$2:$A$3000,0))))</f>
        <v>FARMACE</v>
      </c>
      <c r="J141" s="86" t="s">
        <v>1313</v>
      </c>
      <c r="K141" s="86" t="str">
        <f>IF(AND(A141="",D141="",E141="",F141=""),"",IF(D141="","SEM CATEGORIA",IF(E141="","SEM SUBCATEGORIA",IF(COUNTIFS(CADASTROS!$L$7:$L$93,D141,CADASTROS!$D$7:$D$93,E141)=0,"INCOMPATÍVEL","OK"))))</f>
        <v>OK</v>
      </c>
    </row>
    <row r="142" spans="1:11" ht="30" hidden="1" customHeight="1" x14ac:dyDescent="0.25">
      <c r="A142" s="86" t="s">
        <v>1497</v>
      </c>
      <c r="B142" s="85">
        <f>IF(A142="","",IF(INDEX(EXTRATO!$C$2:$C$3000,MATCH($A142,EXTRATO!$A$2:$A$3000,0))="","",INDEX(EXTRATO!$C$2:$C$3000,MATCH($A142,EXTRATO!$A$2:$A$3000,0))))</f>
        <v>46057</v>
      </c>
      <c r="C142" s="86">
        <f t="shared" si="2"/>
        <v>2</v>
      </c>
      <c r="D142" s="81" t="s">
        <v>1330</v>
      </c>
      <c r="E142" s="79" t="s">
        <v>1379</v>
      </c>
      <c r="F142" s="80">
        <v>2938.4</v>
      </c>
      <c r="G142" s="81" t="s">
        <v>254</v>
      </c>
      <c r="H142" s="86" t="str">
        <f>IF(A142="","",IF(INDEX(EXTRATO!$F$2:$F$3000,MATCH($A142,EXTRATO!$A$2:$A$3000,0))="","",INDEX(EXTRATO!$F$2:$F$3000,MATCH($A142,EXTRATO!$A$2:$A$3000,0))))</f>
        <v>SAÍDA</v>
      </c>
      <c r="I142" s="88" t="str">
        <f>IF(A142="","",IF(INDEX(EXTRATO!$H$2:$H$3000,MATCH($A142,EXTRATO!$A$2:$A$3000,0))="","",INDEX(EXTRATO!$H$2:$H$3000,MATCH($A142,EXTRATO!$A$2:$A$3000,0))))</f>
        <v>NEPHROSYS SUPORTE E MANUTENÇÃO</v>
      </c>
      <c r="J142" s="86" t="s">
        <v>1313</v>
      </c>
      <c r="K142" s="86" t="str">
        <f>IF(AND(A142="",D142="",E142="",F142=""),"",IF(D142="","SEM CATEGORIA",IF(E142="","SEM SUBCATEGORIA",IF(COUNTIFS(CADASTROS!$L$7:$L$93,D142,CADASTROS!$D$7:$D$93,E142)=0,"INCOMPATÍVEL","OK"))))</f>
        <v>OK</v>
      </c>
    </row>
    <row r="143" spans="1:11" ht="30" hidden="1" customHeight="1" x14ac:dyDescent="0.25">
      <c r="A143" s="86" t="s">
        <v>1498</v>
      </c>
      <c r="B143" s="85">
        <f>IF(A143="","",IF(INDEX(EXTRATO!$C$2:$C$3000,MATCH($A143,EXTRATO!$A$2:$A$3000,0))="","",INDEX(EXTRATO!$C$2:$C$3000,MATCH($A143,EXTRATO!$A$2:$A$3000,0))))</f>
        <v>46057</v>
      </c>
      <c r="C143" s="86">
        <f t="shared" si="2"/>
        <v>2</v>
      </c>
      <c r="D143" s="81" t="s">
        <v>1311</v>
      </c>
      <c r="E143" s="79" t="s">
        <v>1312</v>
      </c>
      <c r="F143" s="80">
        <v>2452.38</v>
      </c>
      <c r="G143" s="81" t="s">
        <v>257</v>
      </c>
      <c r="H143" s="86" t="str">
        <f>IF(A143="","",IF(INDEX(EXTRATO!$F$2:$F$3000,MATCH($A143,EXTRATO!$A$2:$A$3000,0))="","",INDEX(EXTRATO!$F$2:$F$3000,MATCH($A143,EXTRATO!$A$2:$A$3000,0))))</f>
        <v>SAÍDA</v>
      </c>
      <c r="I143" s="88" t="str">
        <f>IF(A143="","",IF(INDEX(EXTRATO!$H$2:$H$3000,MATCH($A143,EXTRATO!$A$2:$A$3000,0))="","",INDEX(EXTRATO!$H$2:$H$3000,MATCH($A143,EXTRATO!$A$2:$A$3000,0))))</f>
        <v>ULTRAMEGA DISTRIBUIDORA</v>
      </c>
      <c r="J143" s="86" t="s">
        <v>1313</v>
      </c>
      <c r="K143" s="86" t="str">
        <f>IF(AND(A143="",D143="",E143="",F143=""),"",IF(D143="","SEM CATEGORIA",IF(E143="","SEM SUBCATEGORIA",IF(COUNTIFS(CADASTROS!$L$7:$L$93,D143,CADASTROS!$D$7:$D$93,E143)=0,"INCOMPATÍVEL","OK"))))</f>
        <v>OK</v>
      </c>
    </row>
    <row r="144" spans="1:11" ht="30" hidden="1" customHeight="1" x14ac:dyDescent="0.25">
      <c r="A144" s="86" t="s">
        <v>1499</v>
      </c>
      <c r="B144" s="85">
        <f>IF(A144="","",IF(INDEX(EXTRATO!$C$2:$C$3000,MATCH($A144,EXTRATO!$A$2:$A$3000,0))="","",INDEX(EXTRATO!$C$2:$C$3000,MATCH($A144,EXTRATO!$A$2:$A$3000,0))))</f>
        <v>46057</v>
      </c>
      <c r="C144" s="86">
        <f t="shared" si="2"/>
        <v>2</v>
      </c>
      <c r="D144" s="81" t="s">
        <v>1311</v>
      </c>
      <c r="E144" s="79" t="s">
        <v>1502</v>
      </c>
      <c r="F144" s="80">
        <v>726.66</v>
      </c>
      <c r="G144" s="81" t="s">
        <v>259</v>
      </c>
      <c r="H144" s="86" t="str">
        <f>IF(A144="","",IF(INDEX(EXTRATO!$F$2:$F$3000,MATCH($A144,EXTRATO!$A$2:$A$3000,0))="","",INDEX(EXTRATO!$F$2:$F$3000,MATCH($A144,EXTRATO!$A$2:$A$3000,0))))</f>
        <v>SAÍDA</v>
      </c>
      <c r="I144" s="88" t="str">
        <f>IF(A144="","",IF(INDEX(EXTRATO!$H$2:$H$3000,MATCH($A144,EXTRATO!$A$2:$A$3000,0))="","",INDEX(EXTRATO!$H$2:$H$3000,MATCH($A144,EXTRATO!$A$2:$A$3000,0))))</f>
        <v>RICEK INDUSTRIA E COMÉRCIO</v>
      </c>
      <c r="J144" s="86" t="s">
        <v>1313</v>
      </c>
      <c r="K144" s="86" t="str">
        <f>IF(AND(A144="",D144="",E144="",F144=""),"",IF(D144="","SEM CATEGORIA",IF(E144="","SEM SUBCATEGORIA",IF(COUNTIFS(CADASTROS!$L$7:$L$93,D144,CADASTROS!$D$7:$D$93,E144)=0,"INCOMPATÍVEL","OK"))))</f>
        <v>OK</v>
      </c>
    </row>
    <row r="145" spans="1:11" ht="30" hidden="1" customHeight="1" x14ac:dyDescent="0.25">
      <c r="A145" s="86" t="s">
        <v>1500</v>
      </c>
      <c r="B145" s="85">
        <f>IF(A145="","",IF(INDEX(EXTRATO!$C$2:$C$3000,MATCH($A145,EXTRATO!$A$2:$A$3000,0))="","",INDEX(EXTRATO!$C$2:$C$3000,MATCH($A145,EXTRATO!$A$2:$A$3000,0))))</f>
        <v>46057</v>
      </c>
      <c r="C145" s="86">
        <f t="shared" si="2"/>
        <v>2</v>
      </c>
      <c r="D145" s="81" t="s">
        <v>1305</v>
      </c>
      <c r="E145" s="79" t="s">
        <v>1306</v>
      </c>
      <c r="F145" s="80">
        <v>44.16</v>
      </c>
      <c r="G145" s="81" t="s">
        <v>45</v>
      </c>
      <c r="H145" s="86" t="str">
        <f>IF(A145="","",IF(INDEX(EXTRATO!$F$2:$F$3000,MATCH($A145,EXTRATO!$A$2:$A$3000,0))="","",INDEX(EXTRATO!$F$2:$F$3000,MATCH($A145,EXTRATO!$A$2:$A$3000,0))))</f>
        <v>RESGATE</v>
      </c>
      <c r="I145" s="88" t="str">
        <f>IF(A145="","",IF(INDEX(EXTRATO!$H$2:$H$3000,MATCH($A145,EXTRATO!$A$2:$A$3000,0))="","",INDEX(EXTRATO!$H$2:$H$3000,MATCH($A145,EXTRATO!$A$2:$A$3000,0))))</f>
        <v>BANCO DO BRASIL - CDB DI</v>
      </c>
      <c r="J145" s="86" t="s">
        <v>1307</v>
      </c>
      <c r="K145" s="86" t="str">
        <f>IF(AND(A145="",D145="",E145="",F145=""),"",IF(D145="","SEM CATEGORIA",IF(E145="","SEM SUBCATEGORIA",IF(COUNTIFS(CADASTROS!$L$7:$L$93,D145,CADASTROS!$D$7:$D$93,E145)=0,"INCOMPATÍVEL","OK"))))</f>
        <v>OK</v>
      </c>
    </row>
    <row r="146" spans="1:11" ht="30" hidden="1" customHeight="1" x14ac:dyDescent="0.25">
      <c r="A146" s="86" t="s">
        <v>1501</v>
      </c>
      <c r="B146" s="85">
        <f>IF(A146="","",IF(INDEX(EXTRATO!$C$2:$C$3000,MATCH($A146,EXTRATO!$A$2:$A$3000,0))="","",INDEX(EXTRATO!$C$2:$C$3000,MATCH($A146,EXTRATO!$A$2:$A$3000,0))))</f>
        <v>46057</v>
      </c>
      <c r="C146" s="86">
        <f t="shared" si="2"/>
        <v>2</v>
      </c>
      <c r="D146" s="81" t="s">
        <v>1305</v>
      </c>
      <c r="E146" s="79" t="s">
        <v>1306</v>
      </c>
      <c r="F146" s="80">
        <v>22500</v>
      </c>
      <c r="G146" s="81" t="s">
        <v>45</v>
      </c>
      <c r="H146" s="86" t="str">
        <f>IF(A146="","",IF(INDEX(EXTRATO!$F$2:$F$3000,MATCH($A146,EXTRATO!$A$2:$A$3000,0))="","",INDEX(EXTRATO!$F$2:$F$3000,MATCH($A146,EXTRATO!$A$2:$A$3000,0))))</f>
        <v>RESGATE</v>
      </c>
      <c r="I146" s="88" t="str">
        <f>IF(A146="","",IF(INDEX(EXTRATO!$H$2:$H$3000,MATCH($A146,EXTRATO!$A$2:$A$3000,0))="","",INDEX(EXTRATO!$H$2:$H$3000,MATCH($A146,EXTRATO!$A$2:$A$3000,0))))</f>
        <v>BANCO DO BRASIL - CDB DI</v>
      </c>
      <c r="J146" s="86" t="s">
        <v>1307</v>
      </c>
      <c r="K146" s="86" t="str">
        <f>IF(AND(A146="",D146="",E146="",F146=""),"",IF(D146="","SEM CATEGORIA",IF(E146="","SEM SUBCATEGORIA",IF(COUNTIFS(CADASTROS!$L$7:$L$93,D146,CADASTROS!$D$7:$D$93,E146)=0,"INCOMPATÍVEL","OK"))))</f>
        <v>OK</v>
      </c>
    </row>
    <row r="147" spans="1:11" ht="30" hidden="1" customHeight="1" x14ac:dyDescent="0.25">
      <c r="A147" s="86" t="s">
        <v>1503</v>
      </c>
      <c r="B147" s="85">
        <f>IF(A147="","",IF(INDEX(EXTRATO!$C$2:$C$3000,MATCH($A147,EXTRATO!$A$2:$A$3000,0))="","",INDEX(EXTRATO!$C$2:$C$3000,MATCH($A147,EXTRATO!$A$2:$A$3000,0))))</f>
        <v>46058</v>
      </c>
      <c r="C147" s="86">
        <f t="shared" si="2"/>
        <v>2</v>
      </c>
      <c r="D147" s="81" t="s">
        <v>1311</v>
      </c>
      <c r="E147" s="79" t="s">
        <v>1312</v>
      </c>
      <c r="F147" s="80">
        <v>3147.45</v>
      </c>
      <c r="G147" s="81" t="s">
        <v>262</v>
      </c>
      <c r="H147" s="86" t="str">
        <f>IF(A147="","",IF(INDEX(EXTRATO!$F$2:$F$3000,MATCH($A147,EXTRATO!$A$2:$A$3000,0))="","",INDEX(EXTRATO!$F$2:$F$3000,MATCH($A147,EXTRATO!$A$2:$A$3000,0))))</f>
        <v>SAÍDA</v>
      </c>
      <c r="I147" s="88" t="str">
        <f>IF(A147="","",IF(INDEX(EXTRATO!$H$2:$H$3000,MATCH($A147,EXTRATO!$A$2:$A$3000,0))="","",INDEX(EXTRATO!$H$2:$H$3000,MATCH($A147,EXTRATO!$A$2:$A$3000,0))))</f>
        <v>SUPERMÉDICA</v>
      </c>
      <c r="J147" s="86" t="s">
        <v>1313</v>
      </c>
      <c r="K147" s="86" t="str">
        <f>IF(AND(A147="",D147="",E147="",F147=""),"",IF(D147="","SEM CATEGORIA",IF(E147="","SEM SUBCATEGORIA",IF(COUNTIFS(CADASTROS!$L$7:$L$93,D147,CADASTROS!$D$7:$D$93,E147)=0,"INCOMPATÍVEL","OK"))))</f>
        <v>OK</v>
      </c>
    </row>
    <row r="148" spans="1:11" ht="30" hidden="1" customHeight="1" x14ac:dyDescent="0.25">
      <c r="A148" s="86" t="s">
        <v>1504</v>
      </c>
      <c r="B148" s="85">
        <f>IF(A148="","",IF(INDEX(EXTRATO!$C$2:$C$3000,MATCH($A148,EXTRATO!$A$2:$A$3000,0))="","",INDEX(EXTRATO!$C$2:$C$3000,MATCH($A148,EXTRATO!$A$2:$A$3000,0))))</f>
        <v>46058</v>
      </c>
      <c r="C148" s="86">
        <f t="shared" si="2"/>
        <v>2</v>
      </c>
      <c r="D148" s="81" t="s">
        <v>1311</v>
      </c>
      <c r="E148" s="79" t="s">
        <v>1312</v>
      </c>
      <c r="F148" s="80">
        <v>2747.54</v>
      </c>
      <c r="G148" s="81" t="s">
        <v>264</v>
      </c>
      <c r="H148" s="86" t="str">
        <f>IF(A148="","",IF(INDEX(EXTRATO!$F$2:$F$3000,MATCH($A148,EXTRATO!$A$2:$A$3000,0))="","",INDEX(EXTRATO!$F$2:$F$3000,MATCH($A148,EXTRATO!$A$2:$A$3000,0))))</f>
        <v>SAÍDA</v>
      </c>
      <c r="I148" s="88" t="str">
        <f>IF(A148="","",IF(INDEX(EXTRATO!$H$2:$H$3000,MATCH($A148,EXTRATO!$A$2:$A$3000,0))="","",INDEX(EXTRATO!$H$2:$H$3000,MATCH($A148,EXTRATO!$A$2:$A$3000,0))))</f>
        <v>REMORA HOSPITALAR</v>
      </c>
      <c r="J148" s="86" t="s">
        <v>1313</v>
      </c>
      <c r="K148" s="86" t="str">
        <f>IF(AND(A148="",D148="",E148="",F148=""),"",IF(D148="","SEM CATEGORIA",IF(E148="","SEM SUBCATEGORIA",IF(COUNTIFS(CADASTROS!$L$7:$L$93,D148,CADASTROS!$D$7:$D$93,E148)=0,"INCOMPATÍVEL","OK"))))</f>
        <v>OK</v>
      </c>
    </row>
    <row r="149" spans="1:11" ht="30" hidden="1" customHeight="1" x14ac:dyDescent="0.25">
      <c r="A149" s="86" t="s">
        <v>1505</v>
      </c>
      <c r="B149" s="85">
        <f>IF(A149="","",IF(INDEX(EXTRATO!$C$2:$C$3000,MATCH($A149,EXTRATO!$A$2:$A$3000,0))="","",INDEX(EXTRATO!$C$2:$C$3000,MATCH($A149,EXTRATO!$A$2:$A$3000,0))))</f>
        <v>46058</v>
      </c>
      <c r="C149" s="86">
        <f t="shared" si="2"/>
        <v>2</v>
      </c>
      <c r="D149" s="81" t="s">
        <v>1330</v>
      </c>
      <c r="E149" s="79" t="s">
        <v>1333</v>
      </c>
      <c r="F149" s="80">
        <v>2593</v>
      </c>
      <c r="G149" s="81" t="s">
        <v>67</v>
      </c>
      <c r="H149" s="86" t="str">
        <f>IF(A149="","",IF(INDEX(EXTRATO!$F$2:$F$3000,MATCH($A149,EXTRATO!$A$2:$A$3000,0))="","",INDEX(EXTRATO!$F$2:$F$3000,MATCH($A149,EXTRATO!$A$2:$A$3000,0))))</f>
        <v>SAÍDA</v>
      </c>
      <c r="I149" s="88" t="str">
        <f>IF(A149="","",IF(INDEX(EXTRATO!$H$2:$H$3000,MATCH($A149,EXTRATO!$A$2:$A$3000,0))="","",INDEX(EXTRATO!$H$2:$H$3000,MATCH($A149,EXTRATO!$A$2:$A$3000,0))))</f>
        <v>CASSIANO &amp; CASSINOS CONTABILIDADE</v>
      </c>
      <c r="J149" s="86" t="s">
        <v>1313</v>
      </c>
      <c r="K149" s="86" t="str">
        <f>IF(AND(A149="",D149="",E149="",F149=""),"",IF(D149="","SEM CATEGORIA",IF(E149="","SEM SUBCATEGORIA",IF(COUNTIFS(CADASTROS!$L$7:$L$93,D149,CADASTROS!$D$7:$D$93,E149)=0,"INCOMPATÍVEL","OK"))))</f>
        <v>OK</v>
      </c>
    </row>
    <row r="150" spans="1:11" ht="30" hidden="1" customHeight="1" x14ac:dyDescent="0.25">
      <c r="A150" s="86" t="s">
        <v>1506</v>
      </c>
      <c r="B150" s="85">
        <f>IF(A150="","",IF(INDEX(EXTRATO!$C$2:$C$3000,MATCH($A150,EXTRATO!$A$2:$A$3000,0))="","",INDEX(EXTRATO!$C$2:$C$3000,MATCH($A150,EXTRATO!$A$2:$A$3000,0))))</f>
        <v>46058</v>
      </c>
      <c r="C150" s="86">
        <f t="shared" si="2"/>
        <v>2</v>
      </c>
      <c r="D150" s="81" t="s">
        <v>1330</v>
      </c>
      <c r="E150" s="79" t="s">
        <v>1400</v>
      </c>
      <c r="F150" s="80">
        <v>1600</v>
      </c>
      <c r="G150" s="81" t="s">
        <v>268</v>
      </c>
      <c r="H150" s="86" t="str">
        <f>IF(A150="","",IF(INDEX(EXTRATO!$F$2:$F$3000,MATCH($A150,EXTRATO!$A$2:$A$3000,0))="","",INDEX(EXTRATO!$F$2:$F$3000,MATCH($A150,EXTRATO!$A$2:$A$3000,0))))</f>
        <v>SAÍDA</v>
      </c>
      <c r="I150" s="88" t="str">
        <f>IF(A150="","",IF(INDEX(EXTRATO!$H$2:$H$3000,MATCH($A150,EXTRATO!$A$2:$A$3000,0))="","",INDEX(EXTRATO!$H$2:$H$3000,MATCH($A150,EXTRATO!$A$2:$A$3000,0))))</f>
        <v>BIOGREEN</v>
      </c>
      <c r="J150" s="86" t="s">
        <v>1313</v>
      </c>
      <c r="K150" s="86" t="str">
        <f>IF(AND(A150="",D150="",E150="",F150=""),"",IF(D150="","SEM CATEGORIA",IF(E150="","SEM SUBCATEGORIA",IF(COUNTIFS(CADASTROS!$L$7:$L$93,D150,CADASTROS!$D$7:$D$93,E150)=0,"INCOMPATÍVEL","OK"))))</f>
        <v>OK</v>
      </c>
    </row>
    <row r="151" spans="1:11" ht="30" hidden="1" customHeight="1" x14ac:dyDescent="0.25">
      <c r="A151" s="86" t="s">
        <v>1507</v>
      </c>
      <c r="B151" s="85">
        <f>IF(A151="","",IF(INDEX(EXTRATO!$C$2:$C$3000,MATCH($A151,EXTRATO!$A$2:$A$3000,0))="","",INDEX(EXTRATO!$C$2:$C$3000,MATCH($A151,EXTRATO!$A$2:$A$3000,0))))</f>
        <v>46058</v>
      </c>
      <c r="C151" s="86">
        <f t="shared" si="2"/>
        <v>2</v>
      </c>
      <c r="D151" s="81" t="s">
        <v>1305</v>
      </c>
      <c r="E151" s="79" t="s">
        <v>1306</v>
      </c>
      <c r="F151" s="80">
        <v>257.39999999999998</v>
      </c>
      <c r="G151" s="81" t="s">
        <v>104</v>
      </c>
      <c r="H151" s="86" t="str">
        <f>IF(A151="","",IF(INDEX(EXTRATO!$F$2:$F$3000,MATCH($A151,EXTRATO!$A$2:$A$3000,0))="","",INDEX(EXTRATO!$F$2:$F$3000,MATCH($A151,EXTRATO!$A$2:$A$3000,0))))</f>
        <v>RESGATE</v>
      </c>
      <c r="I151" s="88" t="str">
        <f>IF(A151="","",IF(INDEX(EXTRATO!$H$2:$H$3000,MATCH($A151,EXTRATO!$A$2:$A$3000,0))="","",INDEX(EXTRATO!$H$2:$H$3000,MATCH($A151,EXTRATO!$A$2:$A$3000,0))))</f>
        <v>BANCO DO BRASIL - CDB DI</v>
      </c>
      <c r="J151" s="86" t="s">
        <v>1307</v>
      </c>
      <c r="K151" s="86" t="str">
        <f>IF(AND(A151="",D151="",E151="",F151=""),"",IF(D151="","SEM CATEGORIA",IF(E151="","SEM SUBCATEGORIA",IF(COUNTIFS(CADASTROS!$L$7:$L$93,D151,CADASTROS!$D$7:$D$93,E151)=0,"INCOMPATÍVEL","OK"))))</f>
        <v>OK</v>
      </c>
    </row>
    <row r="152" spans="1:11" ht="30" hidden="1" customHeight="1" x14ac:dyDescent="0.25">
      <c r="A152" s="86" t="s">
        <v>1508</v>
      </c>
      <c r="B152" s="85">
        <f>IF(A152="","",IF(INDEX(EXTRATO!$C$2:$C$3000,MATCH($A152,EXTRATO!$A$2:$A$3000,0))="","",INDEX(EXTRATO!$C$2:$C$3000,MATCH($A152,EXTRATO!$A$2:$A$3000,0))))</f>
        <v>46058</v>
      </c>
      <c r="C152" s="86">
        <f t="shared" si="2"/>
        <v>2</v>
      </c>
      <c r="D152" s="81" t="s">
        <v>1305</v>
      </c>
      <c r="E152" s="79" t="s">
        <v>1306</v>
      </c>
      <c r="F152" s="80">
        <v>10000</v>
      </c>
      <c r="G152" s="81" t="s">
        <v>45</v>
      </c>
      <c r="H152" s="86" t="str">
        <f>IF(A152="","",IF(INDEX(EXTRATO!$F$2:$F$3000,MATCH($A152,EXTRATO!$A$2:$A$3000,0))="","",INDEX(EXTRATO!$F$2:$F$3000,MATCH($A152,EXTRATO!$A$2:$A$3000,0))))</f>
        <v>RESGATE</v>
      </c>
      <c r="I152" s="88" t="str">
        <f>IF(A152="","",IF(INDEX(EXTRATO!$H$2:$H$3000,MATCH($A152,EXTRATO!$A$2:$A$3000,0))="","",INDEX(EXTRATO!$H$2:$H$3000,MATCH($A152,EXTRATO!$A$2:$A$3000,0))))</f>
        <v>BANCO DO BRASIL - CDB DI</v>
      </c>
      <c r="J152" s="86" t="s">
        <v>1307</v>
      </c>
      <c r="K152" s="86" t="str">
        <f>IF(AND(A152="",D152="",E152="",F152=""),"",IF(D152="","SEM CATEGORIA",IF(E152="","SEM SUBCATEGORIA",IF(COUNTIFS(CADASTROS!$L$7:$L$93,D152,CADASTROS!$D$7:$D$93,E152)=0,"INCOMPATÍVEL","OK"))))</f>
        <v>OK</v>
      </c>
    </row>
    <row r="153" spans="1:11" ht="30" hidden="1" customHeight="1" x14ac:dyDescent="0.25">
      <c r="A153" s="86" t="s">
        <v>1509</v>
      </c>
      <c r="B153" s="85">
        <f>IF(A153="","",IF(INDEX(EXTRATO!$C$2:$C$3000,MATCH($A153,EXTRATO!$A$2:$A$3000,0))="","",INDEX(EXTRATO!$C$2:$C$3000,MATCH($A153,EXTRATO!$A$2:$A$3000,0))))</f>
        <v>46059</v>
      </c>
      <c r="C153" s="86">
        <f t="shared" si="2"/>
        <v>2</v>
      </c>
      <c r="D153" s="81" t="s">
        <v>1367</v>
      </c>
      <c r="E153" s="79" t="s">
        <v>1479</v>
      </c>
      <c r="F153" s="80">
        <v>69365.45</v>
      </c>
      <c r="G153" s="81" t="s">
        <v>270</v>
      </c>
      <c r="H153" s="86" t="str">
        <f>IF(A153="","",IF(INDEX(EXTRATO!$F$2:$F$3000,MATCH($A153,EXTRATO!$A$2:$A$3000,0))="","",INDEX(EXTRATO!$F$2:$F$3000,MATCH($A153,EXTRATO!$A$2:$A$3000,0))))</f>
        <v>SAÍDA</v>
      </c>
      <c r="I153" s="88" t="str">
        <f>IF(A153="","",IF(INDEX(EXTRATO!$H$2:$H$3000,MATCH($A153,EXTRATO!$A$2:$A$3000,0))="","",INDEX(EXTRATO!$H$2:$H$3000,MATCH($A153,EXTRATO!$A$2:$A$3000,0))))</f>
        <v>FOLHA DE PAGAMENTO</v>
      </c>
      <c r="J153" s="86" t="s">
        <v>1313</v>
      </c>
      <c r="K153" s="86" t="str">
        <f>IF(AND(A153="",D153="",E153="",F153=""),"",IF(D153="","SEM CATEGORIA",IF(E153="","SEM SUBCATEGORIA",IF(COUNTIFS(CADASTROS!$L$7:$L$93,D153,CADASTROS!$D$7:$D$93,E153)=0,"INCOMPATÍVEL","OK"))))</f>
        <v>OK</v>
      </c>
    </row>
    <row r="154" spans="1:11" ht="30" hidden="1" customHeight="1" x14ac:dyDescent="0.25">
      <c r="A154" s="86" t="s">
        <v>1510</v>
      </c>
      <c r="B154" s="85">
        <f>IF(A154="","",IF(INDEX(EXTRATO!$C$2:$C$3000,MATCH($A154,EXTRATO!$A$2:$A$3000,0))="","",INDEX(EXTRATO!$C$2:$C$3000,MATCH($A154,EXTRATO!$A$2:$A$3000,0))))</f>
        <v>46059</v>
      </c>
      <c r="C154" s="86">
        <f t="shared" si="2"/>
        <v>2</v>
      </c>
      <c r="D154" s="81" t="s">
        <v>1311</v>
      </c>
      <c r="E154" s="79" t="s">
        <v>1404</v>
      </c>
      <c r="F154" s="80">
        <v>19901.2</v>
      </c>
      <c r="G154" s="81" t="s">
        <v>271</v>
      </c>
      <c r="H154" s="86" t="str">
        <f>IF(A154="","",IF(INDEX(EXTRATO!$F$2:$F$3000,MATCH($A154,EXTRATO!$A$2:$A$3000,0))="","",INDEX(EXTRATO!$F$2:$F$3000,MATCH($A154,EXTRATO!$A$2:$A$3000,0))))</f>
        <v>SAÍDA</v>
      </c>
      <c r="I154" s="88" t="str">
        <f>IF(A154="","",IF(INDEX(EXTRATO!$H$2:$H$3000,MATCH($A154,EXTRATO!$A$2:$A$3000,0))="","",INDEX(EXTRATO!$H$2:$H$3000,MATCH($A154,EXTRATO!$A$2:$A$3000,0))))</f>
        <v>FARMACE</v>
      </c>
      <c r="J154" s="86" t="s">
        <v>1313</v>
      </c>
      <c r="K154" s="86" t="str">
        <f>IF(AND(A154="",D154="",E154="",F154=""),"",IF(D154="","SEM CATEGORIA",IF(E154="","SEM SUBCATEGORIA",IF(COUNTIFS(CADASTROS!$L$7:$L$93,D154,CADASTROS!$D$7:$D$93,E154)=0,"INCOMPATÍVEL","OK"))))</f>
        <v>OK</v>
      </c>
    </row>
    <row r="155" spans="1:11" ht="30" hidden="1" customHeight="1" x14ac:dyDescent="0.25">
      <c r="A155" s="86" t="s">
        <v>1511</v>
      </c>
      <c r="B155" s="85">
        <f>IF(A155="","",IF(INDEX(EXTRATO!$C$2:$C$3000,MATCH($A155,EXTRATO!$A$2:$A$3000,0))="","",INDEX(EXTRATO!$C$2:$C$3000,MATCH($A155,EXTRATO!$A$2:$A$3000,0))))</f>
        <v>46059</v>
      </c>
      <c r="C155" s="86">
        <f t="shared" si="2"/>
        <v>2</v>
      </c>
      <c r="D155" s="81" t="s">
        <v>1311</v>
      </c>
      <c r="E155" s="79" t="s">
        <v>1342</v>
      </c>
      <c r="F155" s="80">
        <v>10332.299999999999</v>
      </c>
      <c r="G155" s="81" t="s">
        <v>273</v>
      </c>
      <c r="H155" s="86" t="str">
        <f>IF(A155="","",IF(INDEX(EXTRATO!$F$2:$F$3000,MATCH($A155,EXTRATO!$A$2:$A$3000,0))="","",INDEX(EXTRATO!$F$2:$F$3000,MATCH($A155,EXTRATO!$A$2:$A$3000,0))))</f>
        <v>SAÍDA</v>
      </c>
      <c r="I155" s="88" t="str">
        <f>IF(A155="","",IF(INDEX(EXTRATO!$H$2:$H$3000,MATCH($A155,EXTRATO!$A$2:$A$3000,0))="","",INDEX(EXTRATO!$H$2:$H$3000,MATCH($A155,EXTRATO!$A$2:$A$3000,0))))</f>
        <v>CRISTALIA PRODUTOS</v>
      </c>
      <c r="J155" s="86" t="s">
        <v>1313</v>
      </c>
      <c r="K155" s="86" t="str">
        <f>IF(AND(A155="",D155="",E155="",F155=""),"",IF(D155="","SEM CATEGORIA",IF(E155="","SEM SUBCATEGORIA",IF(COUNTIFS(CADASTROS!$L$7:$L$93,D155,CADASTROS!$D$7:$D$93,E155)=0,"INCOMPATÍVEL","OK"))))</f>
        <v>OK</v>
      </c>
    </row>
    <row r="156" spans="1:11" ht="30" hidden="1" customHeight="1" x14ac:dyDescent="0.25">
      <c r="A156" s="86" t="s">
        <v>1512</v>
      </c>
      <c r="B156" s="85">
        <f>IF(A156="","",IF(INDEX(EXTRATO!$C$2:$C$3000,MATCH($A156,EXTRATO!$A$2:$A$3000,0))="","",INDEX(EXTRATO!$C$2:$C$3000,MATCH($A156,EXTRATO!$A$2:$A$3000,0))))</f>
        <v>46059</v>
      </c>
      <c r="C156" s="86">
        <f t="shared" si="2"/>
        <v>2</v>
      </c>
      <c r="D156" s="81" t="s">
        <v>1311</v>
      </c>
      <c r="E156" s="79" t="s">
        <v>1515</v>
      </c>
      <c r="F156" s="80">
        <v>630</v>
      </c>
      <c r="G156" s="81" t="s">
        <v>274</v>
      </c>
      <c r="H156" s="86" t="str">
        <f>IF(A156="","",IF(INDEX(EXTRATO!$F$2:$F$3000,MATCH($A156,EXTRATO!$A$2:$A$3000,0))="","",INDEX(EXTRATO!$F$2:$F$3000,MATCH($A156,EXTRATO!$A$2:$A$3000,0))))</f>
        <v>SAÍDA</v>
      </c>
      <c r="I156" s="88" t="str">
        <f>IF(A156="","",IF(INDEX(EXTRATO!$H$2:$H$3000,MATCH($A156,EXTRATO!$A$2:$A$3000,0))="","",INDEX(EXTRATO!$H$2:$H$3000,MATCH($A156,EXTRATO!$A$2:$A$3000,0))))</f>
        <v>DIALISE COMERCIO</v>
      </c>
      <c r="J156" s="86" t="s">
        <v>1313</v>
      </c>
      <c r="K156" s="86" t="str">
        <f>IF(AND(A156="",D156="",E156="",F156=""),"",IF(D156="","SEM CATEGORIA",IF(E156="","SEM SUBCATEGORIA",IF(COUNTIFS(CADASTROS!$L$7:$L$93,D156,CADASTROS!$D$7:$D$93,E156)=0,"INCOMPATÍVEL","OK"))))</f>
        <v>OK</v>
      </c>
    </row>
    <row r="157" spans="1:11" ht="30" hidden="1" customHeight="1" x14ac:dyDescent="0.25">
      <c r="A157" s="86" t="s">
        <v>1513</v>
      </c>
      <c r="B157" s="85">
        <f>IF(A157="","",IF(INDEX(EXTRATO!$C$2:$C$3000,MATCH($A157,EXTRATO!$A$2:$A$3000,0))="","",INDEX(EXTRATO!$C$2:$C$3000,MATCH($A157,EXTRATO!$A$2:$A$3000,0))))</f>
        <v>46059</v>
      </c>
      <c r="C157" s="86">
        <f t="shared" si="2"/>
        <v>2</v>
      </c>
      <c r="D157" s="81" t="s">
        <v>1330</v>
      </c>
      <c r="E157" s="79" t="s">
        <v>1352</v>
      </c>
      <c r="F157" s="80">
        <v>35</v>
      </c>
      <c r="G157" s="81" t="s">
        <v>276</v>
      </c>
      <c r="H157" s="86" t="str">
        <f>IF(A157="","",IF(INDEX(EXTRATO!$F$2:$F$3000,MATCH($A157,EXTRATO!$A$2:$A$3000,0))="","",INDEX(EXTRATO!$F$2:$F$3000,MATCH($A157,EXTRATO!$A$2:$A$3000,0))))</f>
        <v>SAÍDA</v>
      </c>
      <c r="I157" s="88" t="str">
        <f>IF(A157="","",IF(INDEX(EXTRATO!$H$2:$H$3000,MATCH($A157,EXTRATO!$A$2:$A$3000,0))="","",INDEX(EXTRATO!$H$2:$H$3000,MATCH($A157,EXTRATO!$A$2:$A$3000,0))))</f>
        <v>TARIFA BANCÁRIA</v>
      </c>
      <c r="J157" s="86" t="s">
        <v>1313</v>
      </c>
      <c r="K157" s="86" t="str">
        <f>IF(AND(A157="",D157="",E157="",F157=""),"",IF(D157="","SEM CATEGORIA",IF(E157="","SEM SUBCATEGORIA",IF(COUNTIFS(CADASTROS!$L$7:$L$93,D157,CADASTROS!$D$7:$D$93,E157)=0,"INCOMPATÍVEL","OK"))))</f>
        <v>OK</v>
      </c>
    </row>
    <row r="158" spans="1:11" ht="30" hidden="1" customHeight="1" x14ac:dyDescent="0.25">
      <c r="A158" s="86" t="s">
        <v>1514</v>
      </c>
      <c r="B158" s="85">
        <f>IF(A158="","",IF(INDEX(EXTRATO!$C$2:$C$3000,MATCH($A158,EXTRATO!$A$2:$A$3000,0))="","",INDEX(EXTRATO!$C$2:$C$3000,MATCH($A158,EXTRATO!$A$2:$A$3000,0))))</f>
        <v>46059</v>
      </c>
      <c r="C158" s="86">
        <f t="shared" si="2"/>
        <v>2</v>
      </c>
      <c r="D158" s="81" t="s">
        <v>1305</v>
      </c>
      <c r="E158" s="79" t="s">
        <v>1306</v>
      </c>
      <c r="F158" s="80">
        <v>118.6</v>
      </c>
      <c r="G158" s="81" t="s">
        <v>45</v>
      </c>
      <c r="H158" s="86" t="str">
        <f>IF(A158="","",IF(INDEX(EXTRATO!$F$2:$F$3000,MATCH($A158,EXTRATO!$A$2:$A$3000,0))="","",INDEX(EXTRATO!$F$2:$F$3000,MATCH($A158,EXTRATO!$A$2:$A$3000,0))))</f>
        <v>RESGATE</v>
      </c>
      <c r="I158" s="88" t="str">
        <f>IF(A158="","",IF(INDEX(EXTRATO!$H$2:$H$3000,MATCH($A158,EXTRATO!$A$2:$A$3000,0))="","",INDEX(EXTRATO!$H$2:$H$3000,MATCH($A158,EXTRATO!$A$2:$A$3000,0))))</f>
        <v>BANCO DO BRASIL - CDB DI</v>
      </c>
      <c r="J158" s="86" t="s">
        <v>1307</v>
      </c>
      <c r="K158" s="86" t="str">
        <f>IF(AND(A158="",D158="",E158="",F158=""),"",IF(D158="","SEM CATEGORIA",IF(E158="","SEM SUBCATEGORIA",IF(COUNTIFS(CADASTROS!$L$7:$L$93,D158,CADASTROS!$D$7:$D$93,E158)=0,"INCOMPATÍVEL","OK"))))</f>
        <v>OK</v>
      </c>
    </row>
    <row r="159" spans="1:11" ht="30" hidden="1" customHeight="1" x14ac:dyDescent="0.25">
      <c r="A159" s="86" t="s">
        <v>1516</v>
      </c>
      <c r="B159" s="85">
        <f>IF(A159="","",IF(INDEX(EXTRATO!$C$2:$C$3000,MATCH($A159,EXTRATO!$A$2:$A$3000,0))="","",INDEX(EXTRATO!$C$2:$C$3000,MATCH($A159,EXTRATO!$A$2:$A$3000,0))))</f>
        <v>46059</v>
      </c>
      <c r="C159" s="86">
        <f t="shared" si="2"/>
        <v>2</v>
      </c>
      <c r="D159" s="81" t="s">
        <v>1305</v>
      </c>
      <c r="E159" s="79" t="s">
        <v>1306</v>
      </c>
      <c r="F159" s="80">
        <v>100000</v>
      </c>
      <c r="G159" s="81" t="s">
        <v>45</v>
      </c>
      <c r="H159" s="86" t="str">
        <f>IF(A159="","",IF(INDEX(EXTRATO!$F$2:$F$3000,MATCH($A159,EXTRATO!$A$2:$A$3000,0))="","",INDEX(EXTRATO!$F$2:$F$3000,MATCH($A159,EXTRATO!$A$2:$A$3000,0))))</f>
        <v>RESGATE</v>
      </c>
      <c r="I159" s="88" t="str">
        <f>IF(A159="","",IF(INDEX(EXTRATO!$H$2:$H$3000,MATCH($A159,EXTRATO!$A$2:$A$3000,0))="","",INDEX(EXTRATO!$H$2:$H$3000,MATCH($A159,EXTRATO!$A$2:$A$3000,0))))</f>
        <v>BANCO DO BRASIL - CDB DI</v>
      </c>
      <c r="J159" s="86" t="s">
        <v>1307</v>
      </c>
      <c r="K159" s="86" t="str">
        <f>IF(AND(A159="",D159="",E159="",F159=""),"",IF(D159="","SEM CATEGORIA",IF(E159="","SEM SUBCATEGORIA",IF(COUNTIFS(CADASTROS!$L$7:$L$93,D159,CADASTROS!$D$7:$D$93,E159)=0,"INCOMPATÍVEL","OK"))))</f>
        <v>OK</v>
      </c>
    </row>
    <row r="160" spans="1:11" ht="30" hidden="1" customHeight="1" x14ac:dyDescent="0.25">
      <c r="A160" s="86" t="s">
        <v>1517</v>
      </c>
      <c r="B160" s="85">
        <f>IF(A160="","",IF(INDEX(EXTRATO!$C$2:$C$3000,MATCH($A160,EXTRATO!$A$2:$A$3000,0))="","",INDEX(EXTRATO!$C$2:$C$3000,MATCH($A160,EXTRATO!$A$2:$A$3000,0))))</f>
        <v>46062</v>
      </c>
      <c r="C160" s="86">
        <f t="shared" si="2"/>
        <v>2</v>
      </c>
      <c r="D160" s="81" t="s">
        <v>1330</v>
      </c>
      <c r="E160" s="79" t="s">
        <v>1344</v>
      </c>
      <c r="F160" s="80">
        <v>18292.740000000002</v>
      </c>
      <c r="G160" s="81" t="s">
        <v>278</v>
      </c>
      <c r="H160" s="86" t="str">
        <f>IF(A160="","",IF(INDEX(EXTRATO!$F$2:$F$3000,MATCH($A160,EXTRATO!$A$2:$A$3000,0))="","",INDEX(EXTRATO!$F$2:$F$3000,MATCH($A160,EXTRATO!$A$2:$A$3000,0))))</f>
        <v>SAÍDA</v>
      </c>
      <c r="I160" s="88" t="str">
        <f>IF(A160="","",IF(INDEX(EXTRATO!$H$2:$H$3000,MATCH($A160,EXTRATO!$A$2:$A$3000,0))="","",INDEX(EXTRATO!$H$2:$H$3000,MATCH($A160,EXTRATO!$A$2:$A$3000,0))))</f>
        <v>EQUATORIAL MARANHÃO</v>
      </c>
      <c r="J160" s="86" t="s">
        <v>1313</v>
      </c>
      <c r="K160" s="86" t="str">
        <f>IF(AND(A160="",D160="",E160="",F160=""),"",IF(D160="","SEM CATEGORIA",IF(E160="","SEM SUBCATEGORIA",IF(COUNTIFS(CADASTROS!$L$7:$L$93,D160,CADASTROS!$D$7:$D$93,E160)=0,"INCOMPATÍVEL","OK"))))</f>
        <v>OK</v>
      </c>
    </row>
    <row r="161" spans="1:11" ht="30" hidden="1" customHeight="1" x14ac:dyDescent="0.25">
      <c r="A161" s="86" t="s">
        <v>1518</v>
      </c>
      <c r="B161" s="85">
        <f>IF(A161="","",IF(INDEX(EXTRATO!$C$2:$C$3000,MATCH($A161,EXTRATO!$A$2:$A$3000,0))="","",INDEX(EXTRATO!$C$2:$C$3000,MATCH($A161,EXTRATO!$A$2:$A$3000,0))))</f>
        <v>46062</v>
      </c>
      <c r="C161" s="86">
        <f t="shared" si="2"/>
        <v>2</v>
      </c>
      <c r="D161" s="81" t="s">
        <v>1454</v>
      </c>
      <c r="E161" s="79" t="s">
        <v>1521</v>
      </c>
      <c r="F161" s="80">
        <v>1935.4</v>
      </c>
      <c r="G161" s="81" t="s">
        <v>279</v>
      </c>
      <c r="H161" s="86" t="str">
        <f>IF(A161="","",IF(INDEX(EXTRATO!$F$2:$F$3000,MATCH($A161,EXTRATO!$A$2:$A$3000,0))="","",INDEX(EXTRATO!$F$2:$F$3000,MATCH($A161,EXTRATO!$A$2:$A$3000,0))))</f>
        <v>SAÍDA</v>
      </c>
      <c r="I161" s="88" t="str">
        <f>IF(A161="","",IF(INDEX(EXTRATO!$H$2:$H$3000,MATCH($A161,EXTRATO!$A$2:$A$3000,0))="","",INDEX(EXTRATO!$H$2:$H$3000,MATCH($A161,EXTRATO!$A$2:$A$3000,0))))</f>
        <v>BANCO VOLKSWAGEN</v>
      </c>
      <c r="J161" s="86" t="s">
        <v>1313</v>
      </c>
      <c r="K161" s="86" t="str">
        <f>IF(AND(A161="",D161="",E161="",F161=""),"",IF(D161="","SEM CATEGORIA",IF(E161="","SEM SUBCATEGORIA",IF(COUNTIFS(CADASTROS!$L$7:$L$93,D161,CADASTROS!$D$7:$D$93,E161)=0,"INCOMPATÍVEL","OK"))))</f>
        <v>OK</v>
      </c>
    </row>
    <row r="162" spans="1:11" ht="30" hidden="1" customHeight="1" x14ac:dyDescent="0.25">
      <c r="A162" s="86" t="s">
        <v>1519</v>
      </c>
      <c r="B162" s="85">
        <f>IF(A162="","",IF(INDEX(EXTRATO!$C$2:$C$3000,MATCH($A162,EXTRATO!$A$2:$A$3000,0))="","",INDEX(EXTRATO!$C$2:$C$3000,MATCH($A162,EXTRATO!$A$2:$A$3000,0))))</f>
        <v>46062</v>
      </c>
      <c r="C162" s="86">
        <f t="shared" si="2"/>
        <v>2</v>
      </c>
      <c r="D162" s="81" t="s">
        <v>1311</v>
      </c>
      <c r="E162" s="79" t="s">
        <v>1312</v>
      </c>
      <c r="F162" s="80">
        <v>1416</v>
      </c>
      <c r="G162" s="81" t="s">
        <v>280</v>
      </c>
      <c r="H162" s="86" t="str">
        <f>IF(A162="","",IF(INDEX(EXTRATO!$F$2:$F$3000,MATCH($A162,EXTRATO!$A$2:$A$3000,0))="","",INDEX(EXTRATO!$F$2:$F$3000,MATCH($A162,EXTRATO!$A$2:$A$3000,0))))</f>
        <v>SAÍDA</v>
      </c>
      <c r="I162" s="88" t="str">
        <f>IF(A162="","",IF(INDEX(EXTRATO!$H$2:$H$3000,MATCH($A162,EXTRATO!$A$2:$A$3000,0))="","",INDEX(EXTRATO!$H$2:$H$3000,MATCH($A162,EXTRATO!$A$2:$A$3000,0))))</f>
        <v>BIOPAR</v>
      </c>
      <c r="J162" s="86" t="s">
        <v>1313</v>
      </c>
      <c r="K162" s="86" t="str">
        <f>IF(AND(A162="",D162="",E162="",F162=""),"",IF(D162="","SEM CATEGORIA",IF(E162="","SEM SUBCATEGORIA",IF(COUNTIFS(CADASTROS!$L$7:$L$93,D162,CADASTROS!$D$7:$D$93,E162)=0,"INCOMPATÍVEL","OK"))))</f>
        <v>OK</v>
      </c>
    </row>
    <row r="163" spans="1:11" ht="30" hidden="1" customHeight="1" x14ac:dyDescent="0.25">
      <c r="A163" s="86" t="s">
        <v>1520</v>
      </c>
      <c r="B163" s="85">
        <f>IF(A163="","",IF(INDEX(EXTRATO!$C$2:$C$3000,MATCH($A163,EXTRATO!$A$2:$A$3000,0))="","",INDEX(EXTRATO!$C$2:$C$3000,MATCH($A163,EXTRATO!$A$2:$A$3000,0))))</f>
        <v>46062</v>
      </c>
      <c r="C163" s="86">
        <f t="shared" si="2"/>
        <v>2</v>
      </c>
      <c r="D163" s="81" t="s">
        <v>1330</v>
      </c>
      <c r="E163" s="79" t="s">
        <v>1331</v>
      </c>
      <c r="F163" s="80">
        <v>561.20000000000005</v>
      </c>
      <c r="G163" s="81" t="s">
        <v>282</v>
      </c>
      <c r="H163" s="86" t="str">
        <f>IF(A163="","",IF(INDEX(EXTRATO!$F$2:$F$3000,MATCH($A163,EXTRATO!$A$2:$A$3000,0))="","",INDEX(EXTRATO!$F$2:$F$3000,MATCH($A163,EXTRATO!$A$2:$A$3000,0))))</f>
        <v>SAÍDA</v>
      </c>
      <c r="I163" s="88" t="str">
        <f>IF(A163="","",IF(INDEX(EXTRATO!$H$2:$H$3000,MATCH($A163,EXTRATO!$A$2:$A$3000,0))="","",INDEX(EXTRATO!$H$2:$H$3000,MATCH($A163,EXTRATO!$A$2:$A$3000,0))))</f>
        <v>ALECRIM INDUSTRIA E COMÉRCIO</v>
      </c>
      <c r="J163" s="86" t="s">
        <v>1313</v>
      </c>
      <c r="K163" s="86" t="str">
        <f>IF(AND(A163="",D163="",E163="",F163=""),"",IF(D163="","SEM CATEGORIA",IF(E163="","SEM SUBCATEGORIA",IF(COUNTIFS(CADASTROS!$L$7:$L$93,D163,CADASTROS!$D$7:$D$93,E163)=0,"INCOMPATÍVEL","OK"))))</f>
        <v>OK</v>
      </c>
    </row>
    <row r="164" spans="1:11" ht="30" hidden="1" customHeight="1" x14ac:dyDescent="0.25">
      <c r="A164" s="86" t="s">
        <v>1522</v>
      </c>
      <c r="B164" s="85">
        <f>IF(A164="","",IF(INDEX(EXTRATO!$C$2:$C$3000,MATCH($A164,EXTRATO!$A$2:$A$3000,0))="","",INDEX(EXTRATO!$C$2:$C$3000,MATCH($A164,EXTRATO!$A$2:$A$3000,0))))</f>
        <v>46062</v>
      </c>
      <c r="C164" s="86">
        <f t="shared" si="2"/>
        <v>2</v>
      </c>
      <c r="D164" s="81" t="s">
        <v>1305</v>
      </c>
      <c r="E164" s="79" t="s">
        <v>1306</v>
      </c>
      <c r="F164" s="80">
        <v>1228</v>
      </c>
      <c r="G164" s="81" t="s">
        <v>104</v>
      </c>
      <c r="H164" s="86" t="str">
        <f>IF(A164="","",IF(INDEX(EXTRATO!$F$2:$F$3000,MATCH($A164,EXTRATO!$A$2:$A$3000,0))="","",INDEX(EXTRATO!$F$2:$F$3000,MATCH($A164,EXTRATO!$A$2:$A$3000,0))))</f>
        <v>RESGATE</v>
      </c>
      <c r="I164" s="88" t="str">
        <f>IF(A164="","",IF(INDEX(EXTRATO!$H$2:$H$3000,MATCH($A164,EXTRATO!$A$2:$A$3000,0))="","",INDEX(EXTRATO!$H$2:$H$3000,MATCH($A164,EXTRATO!$A$2:$A$3000,0))))</f>
        <v>BANCO DO BRASIL - CDB DI</v>
      </c>
      <c r="J164" s="86" t="s">
        <v>1307</v>
      </c>
      <c r="K164" s="86" t="str">
        <f>IF(AND(A164="",D164="",E164="",F164=""),"",IF(D164="","SEM CATEGORIA",IF(E164="","SEM SUBCATEGORIA",IF(COUNTIFS(CADASTROS!$L$7:$L$93,D164,CADASTROS!$D$7:$D$93,E164)=0,"INCOMPATÍVEL","OK"))))</f>
        <v>OK</v>
      </c>
    </row>
    <row r="165" spans="1:11" ht="30" hidden="1" customHeight="1" x14ac:dyDescent="0.25">
      <c r="A165" s="86" t="s">
        <v>1523</v>
      </c>
      <c r="B165" s="85">
        <f>IF(A165="","",IF(INDEX(EXTRATO!$C$2:$C$3000,MATCH($A165,EXTRATO!$A$2:$A$3000,0))="","",INDEX(EXTRATO!$C$2:$C$3000,MATCH($A165,EXTRATO!$A$2:$A$3000,0))))</f>
        <v>46062</v>
      </c>
      <c r="C165" s="86">
        <f t="shared" si="2"/>
        <v>2</v>
      </c>
      <c r="D165" s="81" t="s">
        <v>1305</v>
      </c>
      <c r="E165" s="79" t="s">
        <v>1306</v>
      </c>
      <c r="F165" s="80">
        <v>21000</v>
      </c>
      <c r="G165" s="81" t="s">
        <v>45</v>
      </c>
      <c r="H165" s="86" t="str">
        <f>IF(A165="","",IF(INDEX(EXTRATO!$F$2:$F$3000,MATCH($A165,EXTRATO!$A$2:$A$3000,0))="","",INDEX(EXTRATO!$F$2:$F$3000,MATCH($A165,EXTRATO!$A$2:$A$3000,0))))</f>
        <v>RESGATE</v>
      </c>
      <c r="I165" s="88" t="str">
        <f>IF(A165="","",IF(INDEX(EXTRATO!$H$2:$H$3000,MATCH($A165,EXTRATO!$A$2:$A$3000,0))="","",INDEX(EXTRATO!$H$2:$H$3000,MATCH($A165,EXTRATO!$A$2:$A$3000,0))))</f>
        <v>BANCO DO BRASIL - CDB DI</v>
      </c>
      <c r="J165" s="86" t="s">
        <v>1307</v>
      </c>
      <c r="K165" s="86" t="str">
        <f>IF(AND(A165="",D165="",E165="",F165=""),"",IF(D165="","SEM CATEGORIA",IF(E165="","SEM SUBCATEGORIA",IF(COUNTIFS(CADASTROS!$L$7:$L$93,D165,CADASTROS!$D$7:$D$93,E165)=0,"INCOMPATÍVEL","OK"))))</f>
        <v>OK</v>
      </c>
    </row>
    <row r="166" spans="1:11" ht="30" hidden="1" customHeight="1" x14ac:dyDescent="0.25">
      <c r="A166" s="86" t="s">
        <v>1524</v>
      </c>
      <c r="B166" s="85">
        <f>IF(A166="","",IF(INDEX(EXTRATO!$C$2:$C$3000,MATCH($A166,EXTRATO!$A$2:$A$3000,0))="","",INDEX(EXTRATO!$C$2:$C$3000,MATCH($A166,EXTRATO!$A$2:$A$3000,0))))</f>
        <v>46063</v>
      </c>
      <c r="C166" s="86">
        <f t="shared" si="2"/>
        <v>2</v>
      </c>
      <c r="D166" s="81" t="s">
        <v>1311</v>
      </c>
      <c r="E166" s="79" t="s">
        <v>1376</v>
      </c>
      <c r="F166" s="80">
        <v>4892.5</v>
      </c>
      <c r="G166" s="81" t="s">
        <v>1527</v>
      </c>
      <c r="H166" s="86" t="str">
        <f>IF(A166="","",IF(INDEX(EXTRATO!$F$2:$F$3000,MATCH($A166,EXTRATO!$A$2:$A$3000,0))="","",INDEX(EXTRATO!$F$2:$F$3000,MATCH($A166,EXTRATO!$A$2:$A$3000,0))))</f>
        <v>SAÍDA</v>
      </c>
      <c r="I166" s="88" t="str">
        <f>IF(A166="","",IF(INDEX(EXTRATO!$H$2:$H$3000,MATCH($A166,EXTRATO!$A$2:$A$3000,0))="","",INDEX(EXTRATO!$H$2:$H$3000,MATCH($A166,EXTRATO!$A$2:$A$3000,0))))</f>
        <v>NIPRO</v>
      </c>
      <c r="J166" s="86" t="s">
        <v>1313</v>
      </c>
      <c r="K166" s="86" t="str">
        <f>IF(AND(A166="",D166="",E166="",F166=""),"",IF(D166="","SEM CATEGORIA",IF(E166="","SEM SUBCATEGORIA",IF(COUNTIFS(CADASTROS!$L$7:$L$93,D166,CADASTROS!$D$7:$D$93,E166)=0,"INCOMPATÍVEL","OK"))))</f>
        <v>OK</v>
      </c>
    </row>
    <row r="167" spans="1:11" ht="30" hidden="1" customHeight="1" x14ac:dyDescent="0.25">
      <c r="A167" s="86" t="s">
        <v>1525</v>
      </c>
      <c r="B167" s="85">
        <f>IF(A167="","",IF(INDEX(EXTRATO!$C$2:$C$3000,MATCH($A167,EXTRATO!$A$2:$A$3000,0))="","",INDEX(EXTRATO!$C$2:$C$3000,MATCH($A167,EXTRATO!$A$2:$A$3000,0))))</f>
        <v>46063</v>
      </c>
      <c r="C167" s="86">
        <f t="shared" si="2"/>
        <v>2</v>
      </c>
      <c r="D167" s="81" t="s">
        <v>1330</v>
      </c>
      <c r="E167" s="79" t="s">
        <v>1358</v>
      </c>
      <c r="F167" s="80">
        <v>3414.13</v>
      </c>
      <c r="G167" s="81" t="s">
        <v>288</v>
      </c>
      <c r="H167" s="86" t="str">
        <f>IF(A167="","",IF(INDEX(EXTRATO!$F$2:$F$3000,MATCH($A167,EXTRATO!$A$2:$A$3000,0))="","",INDEX(EXTRATO!$F$2:$F$3000,MATCH($A167,EXTRATO!$A$2:$A$3000,0))))</f>
        <v>SAÍDA</v>
      </c>
      <c r="I167" s="88" t="str">
        <f>IF(A167="","",IF(INDEX(EXTRATO!$H$2:$H$3000,MATCH($A167,EXTRATO!$A$2:$A$3000,0))="","",INDEX(EXTRATO!$H$2:$H$3000,MATCH($A167,EXTRATO!$A$2:$A$3000,0))))</f>
        <v>CAMINO</v>
      </c>
      <c r="J167" s="86" t="s">
        <v>1313</v>
      </c>
      <c r="K167" s="86" t="str">
        <f>IF(AND(A167="",D167="",E167="",F167=""),"",IF(D167="","SEM CATEGORIA",IF(E167="","SEM SUBCATEGORIA",IF(COUNTIFS(CADASTROS!$L$7:$L$93,D167,CADASTROS!$D$7:$D$93,E167)=0,"INCOMPATÍVEL","OK"))))</f>
        <v>OK</v>
      </c>
    </row>
    <row r="168" spans="1:11" ht="30" hidden="1" customHeight="1" x14ac:dyDescent="0.25">
      <c r="A168" s="86" t="s">
        <v>1526</v>
      </c>
      <c r="B168" s="85">
        <f>IF(A168="","",IF(INDEX(EXTRATO!$C$2:$C$3000,MATCH($A168,EXTRATO!$A$2:$A$3000,0))="","",INDEX(EXTRATO!$C$2:$C$3000,MATCH($A168,EXTRATO!$A$2:$A$3000,0))))</f>
        <v>46063</v>
      </c>
      <c r="C168" s="86">
        <f t="shared" si="2"/>
        <v>2</v>
      </c>
      <c r="D168" s="81" t="s">
        <v>1311</v>
      </c>
      <c r="E168" s="79" t="s">
        <v>1315</v>
      </c>
      <c r="F168" s="80">
        <v>1765</v>
      </c>
      <c r="G168" s="81" t="s">
        <v>291</v>
      </c>
      <c r="H168" s="86" t="str">
        <f>IF(A168="","",IF(INDEX(EXTRATO!$F$2:$F$3000,MATCH($A168,EXTRATO!$A$2:$A$3000,0))="","",INDEX(EXTRATO!$F$2:$F$3000,MATCH($A168,EXTRATO!$A$2:$A$3000,0))))</f>
        <v>SAÍDA</v>
      </c>
      <c r="I168" s="88" t="str">
        <f>IF(A168="","",IF(INDEX(EXTRATO!$H$2:$H$3000,MATCH($A168,EXTRATO!$A$2:$A$3000,0))="","",INDEX(EXTRATO!$H$2:$H$3000,MATCH($A168,EXTRATO!$A$2:$A$3000,0))))</f>
        <v>ALLMED PRONEFRO</v>
      </c>
      <c r="J168" s="86" t="s">
        <v>1313</v>
      </c>
      <c r="K168" s="86" t="str">
        <f>IF(AND(A168="",D168="",E168="",F168=""),"",IF(D168="","SEM CATEGORIA",IF(E168="","SEM SUBCATEGORIA",IF(COUNTIFS(CADASTROS!$L$7:$L$93,D168,CADASTROS!$D$7:$D$93,E168)=0,"INCOMPATÍVEL","OK"))))</f>
        <v>OK</v>
      </c>
    </row>
    <row r="169" spans="1:11" ht="30" hidden="1" customHeight="1" x14ac:dyDescent="0.25">
      <c r="A169" s="86" t="s">
        <v>1528</v>
      </c>
      <c r="B169" s="85">
        <f>IF(A169="","",IF(INDEX(EXTRATO!$C$2:$C$3000,MATCH($A169,EXTRATO!$A$2:$A$3000,0))="","",INDEX(EXTRATO!$C$2:$C$3000,MATCH($A169,EXTRATO!$A$2:$A$3000,0))))</f>
        <v>46063</v>
      </c>
      <c r="C169" s="86">
        <f t="shared" si="2"/>
        <v>2</v>
      </c>
      <c r="D169" s="81" t="s">
        <v>1349</v>
      </c>
      <c r="E169" s="79" t="s">
        <v>1441</v>
      </c>
      <c r="F169" s="80">
        <v>476</v>
      </c>
      <c r="G169" s="81" t="s">
        <v>293</v>
      </c>
      <c r="H169" s="86" t="str">
        <f>IF(A169="","",IF(INDEX(EXTRATO!$F$2:$F$3000,MATCH($A169,EXTRATO!$A$2:$A$3000,0))="","",INDEX(EXTRATO!$F$2:$F$3000,MATCH($A169,EXTRATO!$A$2:$A$3000,0))))</f>
        <v>SAÍDA</v>
      </c>
      <c r="I169" s="88" t="str">
        <f>IF(A169="","",IF(INDEX(EXTRATO!$H$2:$H$3000,MATCH($A169,EXTRATO!$A$2:$A$3000,0))="","",INDEX(EXTRATO!$H$2:$H$3000,MATCH($A169,EXTRATO!$A$2:$A$3000,0))))</f>
        <v>CLAUDIANE CARDOSO DA SILVA (CARRO HTI)</v>
      </c>
      <c r="J169" s="86" t="s">
        <v>1313</v>
      </c>
      <c r="K169" s="86" t="str">
        <f>IF(AND(A169="",D169="",E169="",F169=""),"",IF(D169="","SEM CATEGORIA",IF(E169="","SEM SUBCATEGORIA",IF(COUNTIFS(CADASTROS!$L$7:$L$93,D169,CADASTROS!$D$7:$D$93,E169)=0,"INCOMPATÍVEL","OK"))))</f>
        <v>OK</v>
      </c>
    </row>
    <row r="170" spans="1:11" ht="30" hidden="1" customHeight="1" x14ac:dyDescent="0.25">
      <c r="A170" s="86" t="s">
        <v>1529</v>
      </c>
      <c r="B170" s="85">
        <f>IF(A170="","",IF(INDEX(EXTRATO!$C$2:$C$3000,MATCH($A170,EXTRATO!$A$2:$A$3000,0))="","",INDEX(EXTRATO!$C$2:$C$3000,MATCH($A170,EXTRATO!$A$2:$A$3000,0))))</f>
        <v>46063</v>
      </c>
      <c r="C170" s="86">
        <f t="shared" si="2"/>
        <v>2</v>
      </c>
      <c r="D170" s="81" t="s">
        <v>1370</v>
      </c>
      <c r="E170" s="79" t="s">
        <v>1494</v>
      </c>
      <c r="F170" s="80">
        <v>450</v>
      </c>
      <c r="G170" s="81" t="s">
        <v>295</v>
      </c>
      <c r="H170" s="86" t="str">
        <f>IF(A170="","",IF(INDEX(EXTRATO!$F$2:$F$3000,MATCH($A170,EXTRATO!$A$2:$A$3000,0))="","",INDEX(EXTRATO!$F$2:$F$3000,MATCH($A170,EXTRATO!$A$2:$A$3000,0))))</f>
        <v>SAÍDA</v>
      </c>
      <c r="I170" s="88" t="str">
        <f>IF(A170="","",IF(INDEX(EXTRATO!$H$2:$H$3000,MATCH($A170,EXTRATO!$A$2:$A$3000,0))="","",INDEX(EXTRATO!$H$2:$H$3000,MATCH($A170,EXTRATO!$A$2:$A$3000,0))))</f>
        <v>MANOEL FAGNER DA CONCEIÇÃO</v>
      </c>
      <c r="J170" s="86" t="s">
        <v>1313</v>
      </c>
      <c r="K170" s="86" t="str">
        <f>IF(AND(A170="",D170="",E170="",F170=""),"",IF(D170="","SEM CATEGORIA",IF(E170="","SEM SUBCATEGORIA",IF(COUNTIFS(CADASTROS!$L$7:$L$93,D170,CADASTROS!$D$7:$D$93,E170)=0,"INCOMPATÍVEL","OK"))))</f>
        <v>OK</v>
      </c>
    </row>
    <row r="171" spans="1:11" ht="30" hidden="1" customHeight="1" x14ac:dyDescent="0.25">
      <c r="A171" s="86" t="s">
        <v>1530</v>
      </c>
      <c r="B171" s="85">
        <f>IF(A171="","",IF(INDEX(EXTRATO!$C$2:$C$3000,MATCH($A171,EXTRATO!$A$2:$A$3000,0))="","",INDEX(EXTRATO!$C$2:$C$3000,MATCH($A171,EXTRATO!$A$2:$A$3000,0))))</f>
        <v>46063</v>
      </c>
      <c r="C171" s="86">
        <f t="shared" si="2"/>
        <v>2</v>
      </c>
      <c r="D171" s="81" t="s">
        <v>1330</v>
      </c>
      <c r="E171" s="79" t="s">
        <v>1379</v>
      </c>
      <c r="F171" s="80">
        <v>149.9</v>
      </c>
      <c r="G171" s="81" t="s">
        <v>119</v>
      </c>
      <c r="H171" s="86" t="str">
        <f>IF(A171="","",IF(INDEX(EXTRATO!$F$2:$F$3000,MATCH($A171,EXTRATO!$A$2:$A$3000,0))="","",INDEX(EXTRATO!$F$2:$F$3000,MATCH($A171,EXTRATO!$A$2:$A$3000,0))))</f>
        <v>SAÍDA</v>
      </c>
      <c r="I171" s="88" t="str">
        <f>IF(A171="","",IF(INDEX(EXTRATO!$H$2:$H$3000,MATCH($A171,EXTRATO!$A$2:$A$3000,0))="","",INDEX(EXTRATO!$H$2:$H$3000,MATCH($A171,EXTRATO!$A$2:$A$3000,0))))</f>
        <v>MARANET TELECOM</v>
      </c>
      <c r="J171" s="86" t="s">
        <v>1313</v>
      </c>
      <c r="K171" s="86" t="str">
        <f>IF(AND(A171="",D171="",E171="",F171=""),"",IF(D171="","SEM CATEGORIA",IF(E171="","SEM SUBCATEGORIA",IF(COUNTIFS(CADASTROS!$L$7:$L$93,D171,CADASTROS!$D$7:$D$93,E171)=0,"INCOMPATÍVEL","OK"))))</f>
        <v>OK</v>
      </c>
    </row>
    <row r="172" spans="1:11" ht="30" hidden="1" customHeight="1" x14ac:dyDescent="0.25">
      <c r="A172" s="86" t="s">
        <v>1531</v>
      </c>
      <c r="B172" s="85">
        <f>IF(A172="","",IF(INDEX(EXTRATO!$C$2:$C$3000,MATCH($A172,EXTRATO!$A$2:$A$3000,0))="","",INDEX(EXTRATO!$C$2:$C$3000,MATCH($A172,EXTRATO!$A$2:$A$3000,0))))</f>
        <v>46063</v>
      </c>
      <c r="C172" s="86">
        <f t="shared" si="2"/>
        <v>2</v>
      </c>
      <c r="D172" s="81" t="s">
        <v>1330</v>
      </c>
      <c r="E172" s="79" t="s">
        <v>1352</v>
      </c>
      <c r="F172" s="80">
        <v>131.5</v>
      </c>
      <c r="G172" s="81" t="s">
        <v>297</v>
      </c>
      <c r="H172" s="86" t="str">
        <f>IF(A172="","",IF(INDEX(EXTRATO!$F$2:$F$3000,MATCH($A172,EXTRATO!$A$2:$A$3000,0))="","",INDEX(EXTRATO!$F$2:$F$3000,MATCH($A172,EXTRATO!$A$2:$A$3000,0))))</f>
        <v>SAÍDA</v>
      </c>
      <c r="I172" s="88" t="str">
        <f>IF(A172="","",IF(INDEX(EXTRATO!$H$2:$H$3000,MATCH($A172,EXTRATO!$A$2:$A$3000,0))="","",INDEX(EXTRATO!$H$2:$H$3000,MATCH($A172,EXTRATO!$A$2:$A$3000,0))))</f>
        <v>TARIFA PACOTE DE SERVIÇOS</v>
      </c>
      <c r="J172" s="86" t="s">
        <v>1313</v>
      </c>
      <c r="K172" s="86" t="str">
        <f>IF(AND(A172="",D172="",E172="",F172=""),"",IF(D172="","SEM CATEGORIA",IF(E172="","SEM SUBCATEGORIA",IF(COUNTIFS(CADASTROS!$L$7:$L$93,D172,CADASTROS!$D$7:$D$93,E172)=0,"INCOMPATÍVEL","OK"))))</f>
        <v>OK</v>
      </c>
    </row>
    <row r="173" spans="1:11" ht="30" hidden="1" customHeight="1" x14ac:dyDescent="0.25">
      <c r="A173" s="86" t="s">
        <v>1532</v>
      </c>
      <c r="B173" s="85">
        <f>IF(A173="","",IF(INDEX(EXTRATO!$C$2:$C$3000,MATCH($A173,EXTRATO!$A$2:$A$3000,0))="","",INDEX(EXTRATO!$C$2:$C$3000,MATCH($A173,EXTRATO!$A$2:$A$3000,0))))</f>
        <v>46063</v>
      </c>
      <c r="C173" s="86">
        <f t="shared" si="2"/>
        <v>2</v>
      </c>
      <c r="D173" s="81" t="s">
        <v>1305</v>
      </c>
      <c r="E173" s="79" t="s">
        <v>1306</v>
      </c>
      <c r="F173" s="80">
        <v>266.27999999999997</v>
      </c>
      <c r="G173" s="81" t="s">
        <v>45</v>
      </c>
      <c r="H173" s="86" t="str">
        <f>IF(A173="","",IF(INDEX(EXTRATO!$F$2:$F$3000,MATCH($A173,EXTRATO!$A$2:$A$3000,0))="","",INDEX(EXTRATO!$F$2:$F$3000,MATCH($A173,EXTRATO!$A$2:$A$3000,0))))</f>
        <v>RESGATE</v>
      </c>
      <c r="I173" s="88" t="str">
        <f>IF(A173="","",IF(INDEX(EXTRATO!$H$2:$H$3000,MATCH($A173,EXTRATO!$A$2:$A$3000,0))="","",INDEX(EXTRATO!$H$2:$H$3000,MATCH($A173,EXTRATO!$A$2:$A$3000,0))))</f>
        <v>BANCO DO BRASIL - CDB DI</v>
      </c>
      <c r="J173" s="86" t="s">
        <v>1307</v>
      </c>
      <c r="K173" s="86" t="str">
        <f>IF(AND(A173="",D173="",E173="",F173=""),"",IF(D173="","SEM CATEGORIA",IF(E173="","SEM SUBCATEGORIA",IF(COUNTIFS(CADASTROS!$L$7:$L$93,D173,CADASTROS!$D$7:$D$93,E173)=0,"INCOMPATÍVEL","OK"))))</f>
        <v>OK</v>
      </c>
    </row>
    <row r="174" spans="1:11" ht="30" hidden="1" customHeight="1" x14ac:dyDescent="0.25">
      <c r="A174" s="86" t="s">
        <v>1533</v>
      </c>
      <c r="B174" s="85">
        <f>IF(A174="","",IF(INDEX(EXTRATO!$C$2:$C$3000,MATCH($A174,EXTRATO!$A$2:$A$3000,0))="","",INDEX(EXTRATO!$C$2:$C$3000,MATCH($A174,EXTRATO!$A$2:$A$3000,0))))</f>
        <v>46063</v>
      </c>
      <c r="C174" s="86">
        <f t="shared" si="2"/>
        <v>2</v>
      </c>
      <c r="D174" s="81" t="s">
        <v>1305</v>
      </c>
      <c r="E174" s="79" t="s">
        <v>1306</v>
      </c>
      <c r="F174" s="80">
        <v>11000</v>
      </c>
      <c r="G174" s="81" t="s">
        <v>45</v>
      </c>
      <c r="H174" s="86" t="str">
        <f>IF(A174="","",IF(INDEX(EXTRATO!$F$2:$F$3000,MATCH($A174,EXTRATO!$A$2:$A$3000,0))="","",INDEX(EXTRATO!$F$2:$F$3000,MATCH($A174,EXTRATO!$A$2:$A$3000,0))))</f>
        <v>RESGATE</v>
      </c>
      <c r="I174" s="88" t="str">
        <f>IF(A174="","",IF(INDEX(EXTRATO!$H$2:$H$3000,MATCH($A174,EXTRATO!$A$2:$A$3000,0))="","",INDEX(EXTRATO!$H$2:$H$3000,MATCH($A174,EXTRATO!$A$2:$A$3000,0))))</f>
        <v>BANCO DO BRASIL - CDB DI</v>
      </c>
      <c r="J174" s="86" t="s">
        <v>1307</v>
      </c>
      <c r="K174" s="86" t="str">
        <f>IF(AND(A174="",D174="",E174="",F174=""),"",IF(D174="","SEM CATEGORIA",IF(E174="","SEM SUBCATEGORIA",IF(COUNTIFS(CADASTROS!$L$7:$L$93,D174,CADASTROS!$D$7:$D$93,E174)=0,"INCOMPATÍVEL","OK"))))</f>
        <v>OK</v>
      </c>
    </row>
    <row r="175" spans="1:11" ht="30" hidden="1" customHeight="1" x14ac:dyDescent="0.25">
      <c r="A175" s="86" t="s">
        <v>1534</v>
      </c>
      <c r="B175" s="85">
        <f>IF(A175="","",IF(INDEX(EXTRATO!$C$2:$C$3000,MATCH($A175,EXTRATO!$A$2:$A$3000,0))="","",INDEX(EXTRATO!$C$2:$C$3000,MATCH($A175,EXTRATO!$A$2:$A$3000,0))))</f>
        <v>46064</v>
      </c>
      <c r="C175" s="86">
        <f t="shared" si="2"/>
        <v>2</v>
      </c>
      <c r="D175" s="81" t="s">
        <v>1305</v>
      </c>
      <c r="E175" s="79" t="s">
        <v>1306</v>
      </c>
      <c r="F175" s="80">
        <v>144.1</v>
      </c>
      <c r="G175" s="81" t="s">
        <v>104</v>
      </c>
      <c r="H175" s="86" t="str">
        <f>IF(A175="","",IF(INDEX(EXTRATO!$F$2:$F$3000,MATCH($A175,EXTRATO!$A$2:$A$3000,0))="","",INDEX(EXTRATO!$F$2:$F$3000,MATCH($A175,EXTRATO!$A$2:$A$3000,0))))</f>
        <v>RESGATE</v>
      </c>
      <c r="I175" s="88" t="str">
        <f>IF(A175="","",IF(INDEX(EXTRATO!$H$2:$H$3000,MATCH($A175,EXTRATO!$A$2:$A$3000,0))="","",INDEX(EXTRATO!$H$2:$H$3000,MATCH($A175,EXTRATO!$A$2:$A$3000,0))))</f>
        <v>BANCO DO BRASIL - CDB DI</v>
      </c>
      <c r="J175" s="86" t="s">
        <v>1307</v>
      </c>
      <c r="K175" s="86" t="str">
        <f>IF(AND(A175="",D175="",E175="",F175=""),"",IF(D175="","SEM CATEGORIA",IF(E175="","SEM SUBCATEGORIA",IF(COUNTIFS(CADASTROS!$L$7:$L$93,D175,CADASTROS!$D$7:$D$93,E175)=0,"INCOMPATÍVEL","OK"))))</f>
        <v>OK</v>
      </c>
    </row>
    <row r="176" spans="1:11" ht="30" hidden="1" customHeight="1" x14ac:dyDescent="0.25">
      <c r="A176" s="86" t="s">
        <v>1535</v>
      </c>
      <c r="B176" s="85">
        <f>IF(A176="","",IF(INDEX(EXTRATO!$C$2:$C$3000,MATCH($A176,EXTRATO!$A$2:$A$3000,0))="","",INDEX(EXTRATO!$C$2:$C$3000,MATCH($A176,EXTRATO!$A$2:$A$3000,0))))</f>
        <v>46065</v>
      </c>
      <c r="C176" s="86">
        <f t="shared" si="2"/>
        <v>2</v>
      </c>
      <c r="D176" s="81" t="s">
        <v>1305</v>
      </c>
      <c r="E176" s="79" t="s">
        <v>1339</v>
      </c>
      <c r="F176" s="80">
        <v>32760.61</v>
      </c>
      <c r="G176" s="81" t="s">
        <v>298</v>
      </c>
      <c r="H176" s="86" t="str">
        <f>IF(A176="","",IF(INDEX(EXTRATO!$F$2:$F$3000,MATCH($A176,EXTRATO!$A$2:$A$3000,0))="","",INDEX(EXTRATO!$F$2:$F$3000,MATCH($A176,EXTRATO!$A$2:$A$3000,0))))</f>
        <v>ENTRADA</v>
      </c>
      <c r="I176" s="88" t="str">
        <f>IF(A176="","",IF(INDEX(EXTRATO!$H$2:$H$3000,MATCH($A176,EXTRATO!$A$2:$A$3000,0))="","",INDEX(EXTRATO!$H$2:$H$3000,MATCH($A176,EXTRATO!$A$2:$A$3000,0))))</f>
        <v>PISO DE ENFERMAGEM</v>
      </c>
      <c r="J176" s="86" t="s">
        <v>1313</v>
      </c>
      <c r="K176" s="86" t="str">
        <f>IF(AND(A176="",D176="",E176="",F176=""),"",IF(D176="","SEM CATEGORIA",IF(E176="","SEM SUBCATEGORIA",IF(COUNTIFS(CADASTROS!$L$7:$L$93,D176,CADASTROS!$D$7:$D$93,E176)=0,"INCOMPATÍVEL","OK"))))</f>
        <v>OK</v>
      </c>
    </row>
    <row r="177" spans="1:11" ht="30" hidden="1" customHeight="1" x14ac:dyDescent="0.25">
      <c r="A177" s="86" t="s">
        <v>1536</v>
      </c>
      <c r="B177" s="85">
        <f>IF(A177="","",IF(INDEX(EXTRATO!$C$2:$C$3000,MATCH($A177,EXTRATO!$A$2:$A$3000,0))="","",INDEX(EXTRATO!$C$2:$C$3000,MATCH($A177,EXTRATO!$A$2:$A$3000,0))))</f>
        <v>46066</v>
      </c>
      <c r="C177" s="86">
        <f t="shared" si="2"/>
        <v>2</v>
      </c>
      <c r="D177" s="81" t="s">
        <v>1367</v>
      </c>
      <c r="E177" s="79" t="s">
        <v>1383</v>
      </c>
      <c r="F177" s="80">
        <v>32760.61</v>
      </c>
      <c r="G177" s="81" t="s">
        <v>300</v>
      </c>
      <c r="H177" s="86" t="str">
        <f>IF(A177="","",IF(INDEX(EXTRATO!$F$2:$F$3000,MATCH($A177,EXTRATO!$A$2:$A$3000,0))="","",INDEX(EXTRATO!$F$2:$F$3000,MATCH($A177,EXTRATO!$A$2:$A$3000,0))))</f>
        <v>SAÍDA</v>
      </c>
      <c r="I177" s="88" t="str">
        <f>IF(A177="","",IF(INDEX(EXTRATO!$H$2:$H$3000,MATCH($A177,EXTRATO!$A$2:$A$3000,0))="","",INDEX(EXTRATO!$H$2:$H$3000,MATCH($A177,EXTRATO!$A$2:$A$3000,0))))</f>
        <v>FOLHA DE PAGAMENTO - PISO</v>
      </c>
      <c r="J177" s="86" t="s">
        <v>1313</v>
      </c>
      <c r="K177" s="86" t="str">
        <f>IF(AND(A177="",D177="",E177="",F177=""),"",IF(D177="","SEM CATEGORIA",IF(E177="","SEM SUBCATEGORIA",IF(COUNTIFS(CADASTROS!$L$7:$L$93,D177,CADASTROS!$D$7:$D$93,E177)=0,"INCOMPATÍVEL","OK"))))</f>
        <v>OK</v>
      </c>
    </row>
    <row r="178" spans="1:11" ht="30" hidden="1" customHeight="1" x14ac:dyDescent="0.25">
      <c r="A178" s="86" t="s">
        <v>1537</v>
      </c>
      <c r="B178" s="85">
        <f>IF(A178="","",IF(INDEX(EXTRATO!$C$2:$C$3000,MATCH($A178,EXTRATO!$A$2:$A$3000,0))="","",INDEX(EXTRATO!$C$2:$C$3000,MATCH($A178,EXTRATO!$A$2:$A$3000,0))))</f>
        <v>46066</v>
      </c>
      <c r="C178" s="86">
        <f t="shared" si="2"/>
        <v>2</v>
      </c>
      <c r="D178" s="81" t="s">
        <v>1349</v>
      </c>
      <c r="E178" s="79" t="s">
        <v>1402</v>
      </c>
      <c r="F178" s="80">
        <v>1282.94</v>
      </c>
      <c r="G178" s="81" t="s">
        <v>136</v>
      </c>
      <c r="H178" s="86" t="str">
        <f>IF(A178="","",IF(INDEX(EXTRATO!$F$2:$F$3000,MATCH($A178,EXTRATO!$A$2:$A$3000,0))="","",INDEX(EXTRATO!$F$2:$F$3000,MATCH($A178,EXTRATO!$A$2:$A$3000,0))))</f>
        <v>SAÍDA</v>
      </c>
      <c r="I178" s="88" t="str">
        <f>IF(A178="","",IF(INDEX(EXTRATO!$H$2:$H$3000,MATCH($A178,EXTRATO!$A$2:$A$3000,0))="","",INDEX(EXTRATO!$H$2:$H$3000,MATCH($A178,EXTRATO!$A$2:$A$3000,0))))</f>
        <v>LEMOS BRANCO &amp; CIA</v>
      </c>
      <c r="J178" s="86" t="s">
        <v>1313</v>
      </c>
      <c r="K178" s="86" t="str">
        <f>IF(AND(A178="",D178="",E178="",F178=""),"",IF(D178="","SEM CATEGORIA",IF(E178="","SEM SUBCATEGORIA",IF(COUNTIFS(CADASTROS!$L$7:$L$93,D178,CADASTROS!$D$7:$D$93,E178)=0,"INCOMPATÍVEL","OK"))))</f>
        <v>OK</v>
      </c>
    </row>
    <row r="179" spans="1:11" ht="30" hidden="1" customHeight="1" x14ac:dyDescent="0.25">
      <c r="A179" s="86" t="s">
        <v>1538</v>
      </c>
      <c r="B179" s="85">
        <f>IF(A179="","",IF(INDEX(EXTRATO!$C$2:$C$3000,MATCH($A179,EXTRATO!$A$2:$A$3000,0))="","",INDEX(EXTRATO!$C$2:$C$3000,MATCH($A179,EXTRATO!$A$2:$A$3000,0))))</f>
        <v>46066</v>
      </c>
      <c r="C179" s="86">
        <f t="shared" si="2"/>
        <v>2</v>
      </c>
      <c r="D179" s="81" t="s">
        <v>1330</v>
      </c>
      <c r="E179" s="79" t="s">
        <v>1352</v>
      </c>
      <c r="F179" s="80">
        <v>35</v>
      </c>
      <c r="G179" s="81" t="s">
        <v>302</v>
      </c>
      <c r="H179" s="86" t="str">
        <f>IF(A179="","",IF(INDEX(EXTRATO!$F$2:$F$3000,MATCH($A179,EXTRATO!$A$2:$A$3000,0))="","",INDEX(EXTRATO!$F$2:$F$3000,MATCH($A179,EXTRATO!$A$2:$A$3000,0))))</f>
        <v>SAÍDA</v>
      </c>
      <c r="I179" s="88" t="str">
        <f>IF(A179="","",IF(INDEX(EXTRATO!$H$2:$H$3000,MATCH($A179,EXTRATO!$A$2:$A$3000,0))="","",INDEX(EXTRATO!$H$2:$H$3000,MATCH($A179,EXTRATO!$A$2:$A$3000,0))))</f>
        <v>TARIFA BANCÁRIA</v>
      </c>
      <c r="J179" s="86" t="s">
        <v>1313</v>
      </c>
      <c r="K179" s="86" t="str">
        <f>IF(AND(A179="",D179="",E179="",F179=""),"",IF(D179="","SEM CATEGORIA",IF(E179="","SEM SUBCATEGORIA",IF(COUNTIFS(CADASTROS!$L$7:$L$93,D179,CADASTROS!$D$7:$D$93,E179)=0,"INCOMPATÍVEL","OK"))))</f>
        <v>OK</v>
      </c>
    </row>
    <row r="180" spans="1:11" ht="30" hidden="1" customHeight="1" x14ac:dyDescent="0.25">
      <c r="A180" s="86" t="s">
        <v>1539</v>
      </c>
      <c r="B180" s="85">
        <f>IF(A180="","",IF(INDEX(EXTRATO!$C$2:$C$3000,MATCH($A180,EXTRATO!$A$2:$A$3000,0))="","",INDEX(EXTRATO!$C$2:$C$3000,MATCH($A180,EXTRATO!$A$2:$A$3000,0))))</f>
        <v>46066</v>
      </c>
      <c r="C180" s="86">
        <f t="shared" si="2"/>
        <v>2</v>
      </c>
      <c r="D180" s="81" t="s">
        <v>1305</v>
      </c>
      <c r="E180" s="79" t="s">
        <v>1306</v>
      </c>
      <c r="F180" s="80">
        <v>1000</v>
      </c>
      <c r="G180" s="81" t="s">
        <v>45</v>
      </c>
      <c r="H180" s="86" t="str">
        <f>IF(A180="","",IF(INDEX(EXTRATO!$F$2:$F$3000,MATCH($A180,EXTRATO!$A$2:$A$3000,0))="","",INDEX(EXTRATO!$F$2:$F$3000,MATCH($A180,EXTRATO!$A$2:$A$3000,0))))</f>
        <v>RESGATE</v>
      </c>
      <c r="I180" s="88" t="str">
        <f>IF(A180="","",IF(INDEX(EXTRATO!$H$2:$H$3000,MATCH($A180,EXTRATO!$A$2:$A$3000,0))="","",INDEX(EXTRATO!$H$2:$H$3000,MATCH($A180,EXTRATO!$A$2:$A$3000,0))))</f>
        <v>BANCO DO BRASIL - CDB DI</v>
      </c>
      <c r="J180" s="86" t="s">
        <v>1307</v>
      </c>
      <c r="K180" s="86" t="str">
        <f>IF(AND(A180="",D180="",E180="",F180=""),"",IF(D180="","SEM CATEGORIA",IF(E180="","SEM SUBCATEGORIA",IF(COUNTIFS(CADASTROS!$L$7:$L$93,D180,CADASTROS!$D$7:$D$93,E180)=0,"INCOMPATÍVEL","OK"))))</f>
        <v>OK</v>
      </c>
    </row>
    <row r="181" spans="1:11" ht="30" hidden="1" customHeight="1" x14ac:dyDescent="0.25">
      <c r="A181" s="86" t="s">
        <v>1540</v>
      </c>
      <c r="B181" s="85">
        <f>IF(A181="","",IF(INDEX(EXTRATO!$C$2:$C$3000,MATCH($A181,EXTRATO!$A$2:$A$3000,0))="","",INDEX(EXTRATO!$C$2:$C$3000,MATCH($A181,EXTRATO!$A$2:$A$3000,0))))</f>
        <v>46071</v>
      </c>
      <c r="C181" s="86">
        <f t="shared" si="2"/>
        <v>2</v>
      </c>
      <c r="D181" s="81" t="s">
        <v>1311</v>
      </c>
      <c r="E181" s="79" t="s">
        <v>1404</v>
      </c>
      <c r="F181" s="80">
        <v>17567</v>
      </c>
      <c r="G181" s="81" t="s">
        <v>303</v>
      </c>
      <c r="H181" s="86" t="str">
        <f>IF(A181="","",IF(INDEX(EXTRATO!$F$2:$F$3000,MATCH($A181,EXTRATO!$A$2:$A$3000,0))="","",INDEX(EXTRATO!$F$2:$F$3000,MATCH($A181,EXTRATO!$A$2:$A$3000,0))))</f>
        <v>SAÍDA</v>
      </c>
      <c r="I181" s="88" t="str">
        <f>IF(A181="","",IF(INDEX(EXTRATO!$H$2:$H$3000,MATCH($A181,EXTRATO!$A$2:$A$3000,0))="","",INDEX(EXTRATO!$H$2:$H$3000,MATCH($A181,EXTRATO!$A$2:$A$3000,0))))</f>
        <v>FARMARIN INDUST</v>
      </c>
      <c r="J181" s="86" t="s">
        <v>1313</v>
      </c>
      <c r="K181" s="86" t="str">
        <f>IF(AND(A181="",D181="",E181="",F181=""),"",IF(D181="","SEM CATEGORIA",IF(E181="","SEM SUBCATEGORIA",IF(COUNTIFS(CADASTROS!$L$7:$L$93,D181,CADASTROS!$D$7:$D$93,E181)=0,"INCOMPATÍVEL","OK"))))</f>
        <v>OK</v>
      </c>
    </row>
    <row r="182" spans="1:11" ht="30" hidden="1" customHeight="1" x14ac:dyDescent="0.25">
      <c r="A182" s="86" t="s">
        <v>1541</v>
      </c>
      <c r="B182" s="85">
        <f>IF(A182="","",IF(INDEX(EXTRATO!$C$2:$C$3000,MATCH($A182,EXTRATO!$A$2:$A$3000,0))="","",INDEX(EXTRATO!$C$2:$C$3000,MATCH($A182,EXTRATO!$A$2:$A$3000,0))))</f>
        <v>46071</v>
      </c>
      <c r="C182" s="86">
        <f t="shared" si="2"/>
        <v>2</v>
      </c>
      <c r="D182" s="81" t="s">
        <v>1311</v>
      </c>
      <c r="E182" s="79" t="s">
        <v>1404</v>
      </c>
      <c r="F182" s="80">
        <v>1965.6</v>
      </c>
      <c r="G182" s="81" t="s">
        <v>304</v>
      </c>
      <c r="H182" s="86" t="str">
        <f>IF(A182="","",IF(INDEX(EXTRATO!$F$2:$F$3000,MATCH($A182,EXTRATO!$A$2:$A$3000,0))="","",INDEX(EXTRATO!$F$2:$F$3000,MATCH($A182,EXTRATO!$A$2:$A$3000,0))))</f>
        <v>SAÍDA</v>
      </c>
      <c r="I182" s="88" t="str">
        <f>IF(A182="","",IF(INDEX(EXTRATO!$H$2:$H$3000,MATCH($A182,EXTRATO!$A$2:$A$3000,0))="","",INDEX(EXTRATO!$H$2:$H$3000,MATCH($A182,EXTRATO!$A$2:$A$3000,0))))</f>
        <v>FARMARIN INDUST</v>
      </c>
      <c r="J182" s="86" t="s">
        <v>1313</v>
      </c>
      <c r="K182" s="86" t="str">
        <f>IF(AND(A182="",D182="",E182="",F182=""),"",IF(D182="","SEM CATEGORIA",IF(E182="","SEM SUBCATEGORIA",IF(COUNTIFS(CADASTROS!$L$7:$L$93,D182,CADASTROS!$D$7:$D$93,E182)=0,"INCOMPATÍVEL","OK"))))</f>
        <v>OK</v>
      </c>
    </row>
    <row r="183" spans="1:11" ht="30" hidden="1" customHeight="1" x14ac:dyDescent="0.25">
      <c r="A183" s="86" t="s">
        <v>1542</v>
      </c>
      <c r="B183" s="85">
        <f>IF(A183="","",IF(INDEX(EXTRATO!$C$2:$C$3000,MATCH($A183,EXTRATO!$A$2:$A$3000,0))="","",INDEX(EXTRATO!$C$2:$C$3000,MATCH($A183,EXTRATO!$A$2:$A$3000,0))))</f>
        <v>46071</v>
      </c>
      <c r="C183" s="86">
        <f t="shared" si="2"/>
        <v>2</v>
      </c>
      <c r="D183" s="81" t="s">
        <v>1330</v>
      </c>
      <c r="E183" s="79" t="s">
        <v>1379</v>
      </c>
      <c r="F183" s="80">
        <v>207</v>
      </c>
      <c r="G183" s="81" t="s">
        <v>305</v>
      </c>
      <c r="H183" s="86" t="str">
        <f>IF(A183="","",IF(INDEX(EXTRATO!$F$2:$F$3000,MATCH($A183,EXTRATO!$A$2:$A$3000,0))="","",INDEX(EXTRATO!$F$2:$F$3000,MATCH($A183,EXTRATO!$A$2:$A$3000,0))))</f>
        <v>SAÍDA</v>
      </c>
      <c r="I183" s="88" t="str">
        <f>IF(A183="","",IF(INDEX(EXTRATO!$H$2:$H$3000,MATCH($A183,EXTRATO!$A$2:$A$3000,0))="","",INDEX(EXTRATO!$H$2:$H$3000,MATCH($A183,EXTRATO!$A$2:$A$3000,0))))</f>
        <v>FORTES CONECTA - RELÓGIO DE PONTO</v>
      </c>
      <c r="J183" s="86" t="s">
        <v>1313</v>
      </c>
      <c r="K183" s="86" t="str">
        <f>IF(AND(A183="",D183="",E183="",F183=""),"",IF(D183="","SEM CATEGORIA",IF(E183="","SEM SUBCATEGORIA",IF(COUNTIFS(CADASTROS!$L$7:$L$93,D183,CADASTROS!$D$7:$D$93,E183)=0,"INCOMPATÍVEL","OK"))))</f>
        <v>OK</v>
      </c>
    </row>
    <row r="184" spans="1:11" ht="30" hidden="1" customHeight="1" x14ac:dyDescent="0.25">
      <c r="A184" s="86" t="s">
        <v>1543</v>
      </c>
      <c r="B184" s="85">
        <f>IF(A184="","",IF(INDEX(EXTRATO!$C$2:$C$3000,MATCH($A184,EXTRATO!$A$2:$A$3000,0))="","",INDEX(EXTRATO!$C$2:$C$3000,MATCH($A184,EXTRATO!$A$2:$A$3000,0))))</f>
        <v>46071</v>
      </c>
      <c r="C184" s="86">
        <f t="shared" si="2"/>
        <v>2</v>
      </c>
      <c r="D184" s="81" t="s">
        <v>1330</v>
      </c>
      <c r="E184" s="79" t="s">
        <v>1379</v>
      </c>
      <c r="F184" s="80">
        <v>95</v>
      </c>
      <c r="G184" s="81" t="s">
        <v>305</v>
      </c>
      <c r="H184" s="86" t="str">
        <f>IF(A184="","",IF(INDEX(EXTRATO!$F$2:$F$3000,MATCH($A184,EXTRATO!$A$2:$A$3000,0))="","",INDEX(EXTRATO!$F$2:$F$3000,MATCH($A184,EXTRATO!$A$2:$A$3000,0))))</f>
        <v>SAÍDA</v>
      </c>
      <c r="I184" s="88" t="str">
        <f>IF(A184="","",IF(INDEX(EXTRATO!$H$2:$H$3000,MATCH($A184,EXTRATO!$A$2:$A$3000,0))="","",INDEX(EXTRATO!$H$2:$H$3000,MATCH($A184,EXTRATO!$A$2:$A$3000,0))))</f>
        <v>FORTES CONECTA - RELÓGIO DE PONTO</v>
      </c>
      <c r="J184" s="86" t="s">
        <v>1313</v>
      </c>
      <c r="K184" s="86" t="str">
        <f>IF(AND(A184="",D184="",E184="",F184=""),"",IF(D184="","SEM CATEGORIA",IF(E184="","SEM SUBCATEGORIA",IF(COUNTIFS(CADASTROS!$L$7:$L$93,D184,CADASTROS!$D$7:$D$93,E184)=0,"INCOMPATÍVEL","OK"))))</f>
        <v>OK</v>
      </c>
    </row>
    <row r="185" spans="1:11" ht="30" hidden="1" customHeight="1" x14ac:dyDescent="0.25">
      <c r="A185" s="86" t="s">
        <v>1544</v>
      </c>
      <c r="B185" s="85">
        <f>IF(A185="","",IF(INDEX(EXTRATO!$C$2:$C$3000,MATCH($A185,EXTRATO!$A$2:$A$3000,0))="","",INDEX(EXTRATO!$C$2:$C$3000,MATCH($A185,EXTRATO!$A$2:$A$3000,0))))</f>
        <v>46071</v>
      </c>
      <c r="C185" s="86">
        <f t="shared" si="2"/>
        <v>2</v>
      </c>
      <c r="D185" s="81" t="s">
        <v>1305</v>
      </c>
      <c r="E185" s="79" t="s">
        <v>1306</v>
      </c>
      <c r="F185" s="80">
        <v>14.34</v>
      </c>
      <c r="G185" s="81" t="s">
        <v>45</v>
      </c>
      <c r="H185" s="86" t="str">
        <f>IF(A185="","",IF(INDEX(EXTRATO!$F$2:$F$3000,MATCH($A185,EXTRATO!$A$2:$A$3000,0))="","",INDEX(EXTRATO!$F$2:$F$3000,MATCH($A185,EXTRATO!$A$2:$A$3000,0))))</f>
        <v>RESGATE</v>
      </c>
      <c r="I185" s="88" t="str">
        <f>IF(A185="","",IF(INDEX(EXTRATO!$H$2:$H$3000,MATCH($A185,EXTRATO!$A$2:$A$3000,0))="","",INDEX(EXTRATO!$H$2:$H$3000,MATCH($A185,EXTRATO!$A$2:$A$3000,0))))</f>
        <v>BANCO DO BRASIL - CDB DI</v>
      </c>
      <c r="J185" s="86" t="s">
        <v>1307</v>
      </c>
      <c r="K185" s="86" t="str">
        <f>IF(AND(A185="",D185="",E185="",F185=""),"",IF(D185="","SEM CATEGORIA",IF(E185="","SEM SUBCATEGORIA",IF(COUNTIFS(CADASTROS!$L$7:$L$93,D185,CADASTROS!$D$7:$D$93,E185)=0,"INCOMPATÍVEL","OK"))))</f>
        <v>OK</v>
      </c>
    </row>
    <row r="186" spans="1:11" ht="30" hidden="1" customHeight="1" x14ac:dyDescent="0.25">
      <c r="A186" s="86" t="s">
        <v>1545</v>
      </c>
      <c r="B186" s="85">
        <f>IF(A186="","",IF(INDEX(EXTRATO!$C$2:$C$3000,MATCH($A186,EXTRATO!$A$2:$A$3000,0))="","",INDEX(EXTRATO!$C$2:$C$3000,MATCH($A186,EXTRATO!$A$2:$A$3000,0))))</f>
        <v>46071</v>
      </c>
      <c r="C186" s="86">
        <f t="shared" si="2"/>
        <v>2</v>
      </c>
      <c r="D186" s="81" t="s">
        <v>1305</v>
      </c>
      <c r="E186" s="79" t="s">
        <v>1306</v>
      </c>
      <c r="F186" s="80">
        <v>20000</v>
      </c>
      <c r="G186" s="81" t="s">
        <v>45</v>
      </c>
      <c r="H186" s="86" t="str">
        <f>IF(A186="","",IF(INDEX(EXTRATO!$F$2:$F$3000,MATCH($A186,EXTRATO!$A$2:$A$3000,0))="","",INDEX(EXTRATO!$F$2:$F$3000,MATCH($A186,EXTRATO!$A$2:$A$3000,0))))</f>
        <v>RESGATE</v>
      </c>
      <c r="I186" s="88" t="str">
        <f>IF(A186="","",IF(INDEX(EXTRATO!$H$2:$H$3000,MATCH($A186,EXTRATO!$A$2:$A$3000,0))="","",INDEX(EXTRATO!$H$2:$H$3000,MATCH($A186,EXTRATO!$A$2:$A$3000,0))))</f>
        <v>BANCO DO BRASIL - CDB DI</v>
      </c>
      <c r="J186" s="86" t="s">
        <v>1307</v>
      </c>
      <c r="K186" s="86" t="str">
        <f>IF(AND(A186="",D186="",E186="",F186=""),"",IF(D186="","SEM CATEGORIA",IF(E186="","SEM SUBCATEGORIA",IF(COUNTIFS(CADASTROS!$L$7:$L$93,D186,CADASTROS!$D$7:$D$93,E186)=0,"INCOMPATÍVEL","OK"))))</f>
        <v>OK</v>
      </c>
    </row>
    <row r="187" spans="1:11" ht="30" hidden="1" customHeight="1" x14ac:dyDescent="0.25">
      <c r="A187" s="86" t="s">
        <v>1546</v>
      </c>
      <c r="B187" s="85">
        <f>IF(A187="","",IF(INDEX(EXTRATO!$C$2:$C$3000,MATCH($A187,EXTRATO!$A$2:$A$3000,0))="","",INDEX(EXTRATO!$C$2:$C$3000,MATCH($A187,EXTRATO!$A$2:$A$3000,0))))</f>
        <v>46072</v>
      </c>
      <c r="C187" s="86">
        <f t="shared" si="2"/>
        <v>2</v>
      </c>
      <c r="D187" s="81" t="s">
        <v>1305</v>
      </c>
      <c r="E187" s="79" t="s">
        <v>1306</v>
      </c>
      <c r="F187" s="80">
        <v>295.2</v>
      </c>
      <c r="G187" s="81" t="s">
        <v>45</v>
      </c>
      <c r="H187" s="86" t="str">
        <f>IF(A187="","",IF(INDEX(EXTRATO!$F$2:$F$3000,MATCH($A187,EXTRATO!$A$2:$A$3000,0))="","",INDEX(EXTRATO!$F$2:$F$3000,MATCH($A187,EXTRATO!$A$2:$A$3000,0))))</f>
        <v>RESGATE</v>
      </c>
      <c r="I187" s="88" t="str">
        <f>IF(A187="","",IF(INDEX(EXTRATO!$H$2:$H$3000,MATCH($A187,EXTRATO!$A$2:$A$3000,0))="","",INDEX(EXTRATO!$H$2:$H$3000,MATCH($A187,EXTRATO!$A$2:$A$3000,0))))</f>
        <v>BANCO DO BRASIL - CDB DI</v>
      </c>
      <c r="J187" s="86" t="s">
        <v>1307</v>
      </c>
      <c r="K187" s="86" t="str">
        <f>IF(AND(A187="",D187="",E187="",F187=""),"",IF(D187="","SEM CATEGORIA",IF(E187="","SEM SUBCATEGORIA",IF(COUNTIFS(CADASTROS!$L$7:$L$93,D187,CADASTROS!$D$7:$D$93,E187)=0,"INCOMPATÍVEL","OK"))))</f>
        <v>OK</v>
      </c>
    </row>
    <row r="188" spans="1:11" ht="30" hidden="1" customHeight="1" x14ac:dyDescent="0.25">
      <c r="A188" s="86" t="s">
        <v>1547</v>
      </c>
      <c r="B188" s="85">
        <f>IF(A188="","",IF(INDEX(EXTRATO!$C$2:$C$3000,MATCH($A188,EXTRATO!$A$2:$A$3000,0))="","",INDEX(EXTRATO!$C$2:$C$3000,MATCH($A188,EXTRATO!$A$2:$A$3000,0))))</f>
        <v>46073</v>
      </c>
      <c r="C188" s="86">
        <f t="shared" si="2"/>
        <v>2</v>
      </c>
      <c r="D188" s="81" t="s">
        <v>1367</v>
      </c>
      <c r="E188" s="79" t="s">
        <v>167</v>
      </c>
      <c r="F188" s="80">
        <v>26068.82</v>
      </c>
      <c r="G188" s="81" t="s">
        <v>308</v>
      </c>
      <c r="H188" s="86" t="str">
        <f>IF(A188="","",IF(INDEX(EXTRATO!$F$2:$F$3000,MATCH($A188,EXTRATO!$A$2:$A$3000,0))="","",INDEX(EXTRATO!$F$2:$F$3000,MATCH($A188,EXTRATO!$A$2:$A$3000,0))))</f>
        <v>SAÍDA</v>
      </c>
      <c r="I188" s="88" t="str">
        <f>IF(A188="","",IF(INDEX(EXTRATO!$H$2:$H$3000,MATCH($A188,EXTRATO!$A$2:$A$3000,0))="","",INDEX(EXTRATO!$H$2:$H$3000,MATCH($A188,EXTRATO!$A$2:$A$3000,0))))</f>
        <v>INSS</v>
      </c>
      <c r="J188" s="86" t="s">
        <v>1313</v>
      </c>
      <c r="K188" s="86" t="str">
        <f>IF(AND(A188="",D188="",E188="",F188=""),"",IF(D188="","SEM CATEGORIA",IF(E188="","SEM SUBCATEGORIA",IF(COUNTIFS(CADASTROS!$L$7:$L$93,D188,CADASTROS!$D$7:$D$93,E188)=0,"INCOMPATÍVEL","OK"))))</f>
        <v>OK</v>
      </c>
    </row>
    <row r="189" spans="1:11" ht="30" hidden="1" customHeight="1" x14ac:dyDescent="0.25">
      <c r="A189" s="86" t="s">
        <v>1548</v>
      </c>
      <c r="B189" s="85">
        <f>IF(A189="","",IF(INDEX(EXTRATO!$C$2:$C$3000,MATCH($A189,EXTRATO!$A$2:$A$3000,0))="","",INDEX(EXTRATO!$C$2:$C$3000,MATCH($A189,EXTRATO!$A$2:$A$3000,0))))</f>
        <v>46073</v>
      </c>
      <c r="C189" s="86">
        <f t="shared" si="2"/>
        <v>2</v>
      </c>
      <c r="D189" s="81" t="s">
        <v>1367</v>
      </c>
      <c r="E189" s="79" t="s">
        <v>164</v>
      </c>
      <c r="F189" s="80">
        <v>6155.17</v>
      </c>
      <c r="G189" s="81" t="s">
        <v>309</v>
      </c>
      <c r="H189" s="86" t="str">
        <f>IF(A189="","",IF(INDEX(EXTRATO!$F$2:$F$3000,MATCH($A189,EXTRATO!$A$2:$A$3000,0))="","",INDEX(EXTRATO!$F$2:$F$3000,MATCH($A189,EXTRATO!$A$2:$A$3000,0))))</f>
        <v>SAÍDA</v>
      </c>
      <c r="I189" s="88" t="str">
        <f>IF(A189="","",IF(INDEX(EXTRATO!$H$2:$H$3000,MATCH($A189,EXTRATO!$A$2:$A$3000,0))="","",INDEX(EXTRATO!$H$2:$H$3000,MATCH($A189,EXTRATO!$A$2:$A$3000,0))))</f>
        <v>FGTS</v>
      </c>
      <c r="J189" s="86" t="s">
        <v>1313</v>
      </c>
      <c r="K189" s="86" t="str">
        <f>IF(AND(A189="",D189="",E189="",F189=""),"",IF(D189="","SEM CATEGORIA",IF(E189="","SEM SUBCATEGORIA",IF(COUNTIFS(CADASTROS!$L$7:$L$93,D189,CADASTROS!$D$7:$D$93,E189)=0,"INCOMPATÍVEL","OK"))))</f>
        <v>OK</v>
      </c>
    </row>
    <row r="190" spans="1:11" ht="30" hidden="1" customHeight="1" x14ac:dyDescent="0.25">
      <c r="A190" s="86" t="s">
        <v>1549</v>
      </c>
      <c r="B190" s="85">
        <f>IF(A190="","",IF(INDEX(EXTRATO!$C$2:$C$3000,MATCH($A190,EXTRATO!$A$2:$A$3000,0))="","",INDEX(EXTRATO!$C$2:$C$3000,MATCH($A190,EXTRATO!$A$2:$A$3000,0))))</f>
        <v>46073</v>
      </c>
      <c r="C190" s="86">
        <f t="shared" si="2"/>
        <v>2</v>
      </c>
      <c r="D190" s="81" t="s">
        <v>1311</v>
      </c>
      <c r="E190" s="79" t="s">
        <v>1376</v>
      </c>
      <c r="F190" s="80">
        <v>2750</v>
      </c>
      <c r="G190" s="81" t="s">
        <v>310</v>
      </c>
      <c r="H190" s="86" t="str">
        <f>IF(A190="","",IF(INDEX(EXTRATO!$F$2:$F$3000,MATCH($A190,EXTRATO!$A$2:$A$3000,0))="","",INDEX(EXTRATO!$F$2:$F$3000,MATCH($A190,EXTRATO!$A$2:$A$3000,0))))</f>
        <v>SAÍDA</v>
      </c>
      <c r="I190" s="88" t="str">
        <f>IF(A190="","",IF(INDEX(EXTRATO!$H$2:$H$3000,MATCH($A190,EXTRATO!$A$2:$A$3000,0))="","",INDEX(EXTRATO!$H$2:$H$3000,MATCH($A190,EXTRATO!$A$2:$A$3000,0))))</f>
        <v>NIPRO</v>
      </c>
      <c r="J190" s="86" t="s">
        <v>1313</v>
      </c>
      <c r="K190" s="86" t="str">
        <f>IF(AND(A190="",D190="",E190="",F190=""),"",IF(D190="","SEM CATEGORIA",IF(E190="","SEM SUBCATEGORIA",IF(COUNTIFS(CADASTROS!$L$7:$L$93,D190,CADASTROS!$D$7:$D$93,E190)=0,"INCOMPATÍVEL","OK"))))</f>
        <v>OK</v>
      </c>
    </row>
    <row r="191" spans="1:11" ht="30" hidden="1" customHeight="1" x14ac:dyDescent="0.25">
      <c r="A191" s="86" t="s">
        <v>1550</v>
      </c>
      <c r="B191" s="85">
        <f>IF(A191="","",IF(INDEX(EXTRATO!$C$2:$C$3000,MATCH($A191,EXTRATO!$A$2:$A$3000,0))="","",INDEX(EXTRATO!$C$2:$C$3000,MATCH($A191,EXTRATO!$A$2:$A$3000,0))))</f>
        <v>46073</v>
      </c>
      <c r="C191" s="86">
        <f t="shared" si="2"/>
        <v>2</v>
      </c>
      <c r="D191" s="81" t="s">
        <v>1311</v>
      </c>
      <c r="E191" s="79" t="s">
        <v>1376</v>
      </c>
      <c r="F191" s="80">
        <v>2520</v>
      </c>
      <c r="G191" s="81" t="s">
        <v>312</v>
      </c>
      <c r="H191" s="86" t="str">
        <f>IF(A191="","",IF(INDEX(EXTRATO!$F$2:$F$3000,MATCH($A191,EXTRATO!$A$2:$A$3000,0))="","",INDEX(EXTRATO!$F$2:$F$3000,MATCH($A191,EXTRATO!$A$2:$A$3000,0))))</f>
        <v>SAÍDA</v>
      </c>
      <c r="I191" s="88" t="str">
        <f>IF(A191="","",IF(INDEX(EXTRATO!$H$2:$H$3000,MATCH($A191,EXTRATO!$A$2:$A$3000,0))="","",INDEX(EXTRATO!$H$2:$H$3000,MATCH($A191,EXTRATO!$A$2:$A$3000,0))))</f>
        <v>DIALISE COMERCIO</v>
      </c>
      <c r="J191" s="86" t="s">
        <v>1313</v>
      </c>
      <c r="K191" s="86" t="str">
        <f>IF(AND(A191="",D191="",E191="",F191=""),"",IF(D191="","SEM CATEGORIA",IF(E191="","SEM SUBCATEGORIA",IF(COUNTIFS(CADASTROS!$L$7:$L$93,D191,CADASTROS!$D$7:$D$93,E191)=0,"INCOMPATÍVEL","OK"))))</f>
        <v>OK</v>
      </c>
    </row>
    <row r="192" spans="1:11" ht="30" hidden="1" customHeight="1" x14ac:dyDescent="0.25">
      <c r="A192" s="86" t="s">
        <v>1551</v>
      </c>
      <c r="B192" s="85">
        <f>IF(A192="","",IF(INDEX(EXTRATO!$C$2:$C$3000,MATCH($A192,EXTRATO!$A$2:$A$3000,0))="","",INDEX(EXTRATO!$C$2:$C$3000,MATCH($A192,EXTRATO!$A$2:$A$3000,0))))</f>
        <v>46073</v>
      </c>
      <c r="C192" s="86">
        <f t="shared" si="2"/>
        <v>2</v>
      </c>
      <c r="D192" s="81" t="s">
        <v>1311</v>
      </c>
      <c r="E192" s="79" t="s">
        <v>1312</v>
      </c>
      <c r="F192" s="80">
        <v>640.65</v>
      </c>
      <c r="G192" s="81" t="s">
        <v>314</v>
      </c>
      <c r="H192" s="86" t="str">
        <f>IF(A192="","",IF(INDEX(EXTRATO!$F$2:$F$3000,MATCH($A192,EXTRATO!$A$2:$A$3000,0))="","",INDEX(EXTRATO!$F$2:$F$3000,MATCH($A192,EXTRATO!$A$2:$A$3000,0))))</f>
        <v>SAÍDA</v>
      </c>
      <c r="I192" s="88" t="str">
        <f>IF(A192="","",IF(INDEX(EXTRATO!$H$2:$H$3000,MATCH($A192,EXTRATO!$A$2:$A$3000,0))="","",INDEX(EXTRATO!$H$2:$H$3000,MATCH($A192,EXTRATO!$A$2:$A$3000,0))))</f>
        <v>J SUL DISTRIBUIDORA</v>
      </c>
      <c r="J192" s="86" t="s">
        <v>1313</v>
      </c>
      <c r="K192" s="86" t="str">
        <f>IF(AND(A192="",D192="",E192="",F192=""),"",IF(D192="","SEM CATEGORIA",IF(E192="","SEM SUBCATEGORIA",IF(COUNTIFS(CADASTROS!$L$7:$L$93,D192,CADASTROS!$D$7:$D$93,E192)=0,"INCOMPATÍVEL","OK"))))</f>
        <v>OK</v>
      </c>
    </row>
    <row r="193" spans="1:11" ht="30" hidden="1" customHeight="1" x14ac:dyDescent="0.25">
      <c r="A193" s="86" t="s">
        <v>1552</v>
      </c>
      <c r="B193" s="85">
        <f>IF(A193="","",IF(INDEX(EXTRATO!$C$2:$C$3000,MATCH($A193,EXTRATO!$A$2:$A$3000,0))="","",INDEX(EXTRATO!$C$2:$C$3000,MATCH($A193,EXTRATO!$A$2:$A$3000,0))))</f>
        <v>46073</v>
      </c>
      <c r="C193" s="86">
        <f t="shared" si="2"/>
        <v>2</v>
      </c>
      <c r="D193" s="81" t="s">
        <v>1330</v>
      </c>
      <c r="E193" s="79" t="s">
        <v>2526</v>
      </c>
      <c r="F193" s="80">
        <v>127.76</v>
      </c>
      <c r="G193" s="81" t="s">
        <v>315</v>
      </c>
      <c r="H193" s="86" t="str">
        <f>IF(A193="","",IF(INDEX(EXTRATO!$F$2:$F$3000,MATCH($A193,EXTRATO!$A$2:$A$3000,0))="","",INDEX(EXTRATO!$F$2:$F$3000,MATCH($A193,EXTRATO!$A$2:$A$3000,0))))</f>
        <v>SAÍDA</v>
      </c>
      <c r="I193" s="88" t="str">
        <f>IF(A193="","",IF(INDEX(EXTRATO!$H$2:$H$3000,MATCH($A193,EXTRATO!$A$2:$A$3000,0))="","",INDEX(EXTRATO!$H$2:$H$3000,MATCH($A193,EXTRATO!$A$2:$A$3000,0))))</f>
        <v>HELENA BISTRO</v>
      </c>
      <c r="J193" s="86" t="s">
        <v>1313</v>
      </c>
      <c r="K193" s="86" t="str">
        <f>IF(AND(A193="",D193="",E193="",F193=""),"",IF(D193="","SEM CATEGORIA",IF(E193="","SEM SUBCATEGORIA",IF(COUNTIFS(CADASTROS!$L$7:$L$93,D193,CADASTROS!$D$7:$D$93,E193)=0,"INCOMPATÍVEL","OK"))))</f>
        <v>OK</v>
      </c>
    </row>
    <row r="194" spans="1:11" ht="30" hidden="1" customHeight="1" x14ac:dyDescent="0.25">
      <c r="A194" s="86" t="s">
        <v>1553</v>
      </c>
      <c r="B194" s="85">
        <f>IF(A194="","",IF(INDEX(EXTRATO!$C$2:$C$3000,MATCH($A194,EXTRATO!$A$2:$A$3000,0))="","",INDEX(EXTRATO!$C$2:$C$3000,MATCH($A194,EXTRATO!$A$2:$A$3000,0))))</f>
        <v>46073</v>
      </c>
      <c r="C194" s="86">
        <f t="shared" ref="C194:C257" si="3">IF(B194="","",MONTH(B194))</f>
        <v>2</v>
      </c>
      <c r="D194" s="81" t="s">
        <v>1388</v>
      </c>
      <c r="E194" s="79" t="s">
        <v>168</v>
      </c>
      <c r="F194" s="80">
        <v>126.67</v>
      </c>
      <c r="G194" s="81" t="s">
        <v>168</v>
      </c>
      <c r="H194" s="86" t="str">
        <f>IF(A194="","",IF(INDEX(EXTRATO!$F$2:$F$3000,MATCH($A194,EXTRATO!$A$2:$A$3000,0))="","",INDEX(EXTRATO!$F$2:$F$3000,MATCH($A194,EXTRATO!$A$2:$A$3000,0))))</f>
        <v>SAÍDA</v>
      </c>
      <c r="I194" s="88" t="str">
        <f>IF(A194="","",IF(INDEX(EXTRATO!$H$2:$H$3000,MATCH($A194,EXTRATO!$A$2:$A$3000,0))="","",INDEX(EXTRATO!$H$2:$H$3000,MATCH($A194,EXTRATO!$A$2:$A$3000,0))))</f>
        <v>TRIBUTOS FEDEREIAS MENSAIS</v>
      </c>
      <c r="J194" s="86" t="s">
        <v>1313</v>
      </c>
      <c r="K194" s="86" t="str">
        <f>IF(AND(A194="",D194="",E194="",F194=""),"",IF(D194="","SEM CATEGORIA",IF(E194="","SEM SUBCATEGORIA",IF(COUNTIFS(CADASTROS!$L$7:$L$93,D194,CADASTROS!$D$7:$D$93,E194)=0,"INCOMPATÍVEL","OK"))))</f>
        <v>OK</v>
      </c>
    </row>
    <row r="195" spans="1:11" ht="30" hidden="1" customHeight="1" x14ac:dyDescent="0.25">
      <c r="A195" s="86" t="s">
        <v>1554</v>
      </c>
      <c r="B195" s="85">
        <f>IF(A195="","",IF(INDEX(EXTRATO!$C$2:$C$3000,MATCH($A195,EXTRATO!$A$2:$A$3000,0))="","",INDEX(EXTRATO!$C$2:$C$3000,MATCH($A195,EXTRATO!$A$2:$A$3000,0))))</f>
        <v>46073</v>
      </c>
      <c r="C195" s="86">
        <f t="shared" si="3"/>
        <v>2</v>
      </c>
      <c r="D195" s="81" t="s">
        <v>1388</v>
      </c>
      <c r="E195" s="79" t="s">
        <v>170</v>
      </c>
      <c r="F195" s="80">
        <v>40.86</v>
      </c>
      <c r="G195" s="81" t="s">
        <v>170</v>
      </c>
      <c r="H195" s="86" t="str">
        <f>IF(A195="","",IF(INDEX(EXTRATO!$F$2:$F$3000,MATCH($A195,EXTRATO!$A$2:$A$3000,0))="","",INDEX(EXTRATO!$F$2:$F$3000,MATCH($A195,EXTRATO!$A$2:$A$3000,0))))</f>
        <v>SAÍDA</v>
      </c>
      <c r="I195" s="88" t="str">
        <f>IF(A195="","",IF(INDEX(EXTRATO!$H$2:$H$3000,MATCH($A195,EXTRATO!$A$2:$A$3000,0))="","",INDEX(EXTRATO!$H$2:$H$3000,MATCH($A195,EXTRATO!$A$2:$A$3000,0))))</f>
        <v>TRIBUTOS FEDEREIAS MENSAIS</v>
      </c>
      <c r="J195" s="86" t="s">
        <v>1313</v>
      </c>
      <c r="K195" s="86" t="str">
        <f>IF(AND(A195="",D195="",E195="",F195=""),"",IF(D195="","SEM CATEGORIA",IF(E195="","SEM SUBCATEGORIA",IF(COUNTIFS(CADASTROS!$L$7:$L$93,D195,CADASTROS!$D$7:$D$93,E195)=0,"INCOMPATÍVEL","OK"))))</f>
        <v>OK</v>
      </c>
    </row>
    <row r="196" spans="1:11" ht="30" hidden="1" customHeight="1" x14ac:dyDescent="0.25">
      <c r="A196" s="86" t="s">
        <v>1555</v>
      </c>
      <c r="B196" s="85">
        <f>IF(A196="","",IF(INDEX(EXTRATO!$C$2:$C$3000,MATCH($A196,EXTRATO!$A$2:$A$3000,0))="","",INDEX(EXTRATO!$C$2:$C$3000,MATCH($A196,EXTRATO!$A$2:$A$3000,0))))</f>
        <v>46073</v>
      </c>
      <c r="C196" s="86">
        <f t="shared" si="3"/>
        <v>2</v>
      </c>
      <c r="D196" s="81" t="s">
        <v>1330</v>
      </c>
      <c r="E196" s="79" t="s">
        <v>1344</v>
      </c>
      <c r="F196" s="80">
        <v>26.83</v>
      </c>
      <c r="G196" s="81" t="s">
        <v>317</v>
      </c>
      <c r="H196" s="86" t="str">
        <f>IF(A196="","",IF(INDEX(EXTRATO!$F$2:$F$3000,MATCH($A196,EXTRATO!$A$2:$A$3000,0))="","",INDEX(EXTRATO!$F$2:$F$3000,MATCH($A196,EXTRATO!$A$2:$A$3000,0))))</f>
        <v>SAÍDA</v>
      </c>
      <c r="I196" s="88" t="str">
        <f>IF(A196="","",IF(INDEX(EXTRATO!$H$2:$H$3000,MATCH($A196,EXTRATO!$A$2:$A$3000,0))="","",INDEX(EXTRATO!$H$2:$H$3000,MATCH($A196,EXTRATO!$A$2:$A$3000,0))))</f>
        <v>EQUATORIAL MARANHÃO</v>
      </c>
      <c r="J196" s="86" t="s">
        <v>1313</v>
      </c>
      <c r="K196" s="86" t="str">
        <f>IF(AND(A196="",D196="",E196="",F196=""),"",IF(D196="","SEM CATEGORIA",IF(E196="","SEM SUBCATEGORIA",IF(COUNTIFS(CADASTROS!$L$7:$L$93,D196,CADASTROS!$D$7:$D$93,E196)=0,"INCOMPATÍVEL","OK"))))</f>
        <v>OK</v>
      </c>
    </row>
    <row r="197" spans="1:11" ht="30" hidden="1" customHeight="1" x14ac:dyDescent="0.25">
      <c r="A197" s="86" t="s">
        <v>1556</v>
      </c>
      <c r="B197" s="85">
        <f>IF(A197="","",IF(INDEX(EXTRATO!$C$2:$C$3000,MATCH($A197,EXTRATO!$A$2:$A$3000,0))="","",INDEX(EXTRATO!$C$2:$C$3000,MATCH($A197,EXTRATO!$A$2:$A$3000,0))))</f>
        <v>46073</v>
      </c>
      <c r="C197" s="86">
        <f t="shared" si="3"/>
        <v>2</v>
      </c>
      <c r="D197" s="81" t="s">
        <v>1305</v>
      </c>
      <c r="E197" s="79" t="s">
        <v>1306</v>
      </c>
      <c r="F197" s="80">
        <v>38000</v>
      </c>
      <c r="G197" s="81" t="s">
        <v>45</v>
      </c>
      <c r="H197" s="86" t="str">
        <f>IF(A197="","",IF(INDEX(EXTRATO!$F$2:$F$3000,MATCH($A197,EXTRATO!$A$2:$A$3000,0))="","",INDEX(EXTRATO!$F$2:$F$3000,MATCH($A197,EXTRATO!$A$2:$A$3000,0))))</f>
        <v>RESGATE</v>
      </c>
      <c r="I197" s="88" t="str">
        <f>IF(A197="","",IF(INDEX(EXTRATO!$H$2:$H$3000,MATCH($A197,EXTRATO!$A$2:$A$3000,0))="","",INDEX(EXTRATO!$H$2:$H$3000,MATCH($A197,EXTRATO!$A$2:$A$3000,0))))</f>
        <v>BANCO DO BRASIL - CDB DI</v>
      </c>
      <c r="J197" s="86" t="s">
        <v>1307</v>
      </c>
      <c r="K197" s="86" t="str">
        <f>IF(AND(A197="",D197="",E197="",F197=""),"",IF(D197="","SEM CATEGORIA",IF(E197="","SEM SUBCATEGORIA",IF(COUNTIFS(CADASTROS!$L$7:$L$93,D197,CADASTROS!$D$7:$D$93,E197)=0,"INCOMPATÍVEL","OK"))))</f>
        <v>OK</v>
      </c>
    </row>
    <row r="198" spans="1:11" ht="30" hidden="1" customHeight="1" x14ac:dyDescent="0.25">
      <c r="A198" s="86" t="s">
        <v>1557</v>
      </c>
      <c r="B198" s="85">
        <f>IF(A198="","",IF(INDEX(EXTRATO!$C$2:$C$3000,MATCH($A198,EXTRATO!$A$2:$A$3000,0))="","",INDEX(EXTRATO!$C$2:$C$3000,MATCH($A198,EXTRATO!$A$2:$A$3000,0))))</f>
        <v>46076</v>
      </c>
      <c r="C198" s="86">
        <f t="shared" si="3"/>
        <v>2</v>
      </c>
      <c r="D198" s="81" t="s">
        <v>1367</v>
      </c>
      <c r="E198" s="79" t="s">
        <v>1560</v>
      </c>
      <c r="F198" s="80">
        <v>2584</v>
      </c>
      <c r="G198" s="81" t="s">
        <v>318</v>
      </c>
      <c r="H198" s="86" t="str">
        <f>IF(A198="","",IF(INDEX(EXTRATO!$F$2:$F$3000,MATCH($A198,EXTRATO!$A$2:$A$3000,0))="","",INDEX(EXTRATO!$F$2:$F$3000,MATCH($A198,EXTRATO!$A$2:$A$3000,0))))</f>
        <v>SAÍDA</v>
      </c>
      <c r="I198" s="88" t="str">
        <f>IF(A198="","",IF(INDEX(EXTRATO!$H$2:$H$3000,MATCH($A198,EXTRATO!$A$2:$A$3000,0))="","",INDEX(EXTRATO!$H$2:$H$3000,MATCH($A198,EXTRATO!$A$2:$A$3000,0))))</f>
        <v>K S S DE S NERES</v>
      </c>
      <c r="J198" s="86" t="s">
        <v>1313</v>
      </c>
      <c r="K198" s="86" t="str">
        <f>IF(AND(A198="",D198="",E198="",F198=""),"",IF(D198="","SEM CATEGORIA",IF(E198="","SEM SUBCATEGORIA",IF(COUNTIFS(CADASTROS!$L$7:$L$93,D198,CADASTROS!$D$7:$D$93,E198)=0,"INCOMPATÍVEL","OK"))))</f>
        <v>OK</v>
      </c>
    </row>
    <row r="199" spans="1:11" ht="30" hidden="1" customHeight="1" x14ac:dyDescent="0.25">
      <c r="A199" s="86" t="s">
        <v>1558</v>
      </c>
      <c r="B199" s="85">
        <f>IF(A199="","",IF(INDEX(EXTRATO!$C$2:$C$3000,MATCH($A199,EXTRATO!$A$2:$A$3000,0))="","",INDEX(EXTRATO!$C$2:$C$3000,MATCH($A199,EXTRATO!$A$2:$A$3000,0))))</f>
        <v>46076</v>
      </c>
      <c r="C199" s="86">
        <f t="shared" si="3"/>
        <v>2</v>
      </c>
      <c r="D199" s="81" t="s">
        <v>1330</v>
      </c>
      <c r="E199" s="79" t="s">
        <v>1413</v>
      </c>
      <c r="F199" s="80">
        <v>1171</v>
      </c>
      <c r="G199" s="81" t="s">
        <v>321</v>
      </c>
      <c r="H199" s="86" t="str">
        <f>IF(A199="","",IF(INDEX(EXTRATO!$F$2:$F$3000,MATCH($A199,EXTRATO!$A$2:$A$3000,0))="","",INDEX(EXTRATO!$F$2:$F$3000,MATCH($A199,EXTRATO!$A$2:$A$3000,0))))</f>
        <v>SAÍDA</v>
      </c>
      <c r="I199" s="88" t="str">
        <f>IF(A199="","",IF(INDEX(EXTRATO!$H$2:$H$3000,MATCH($A199,EXTRATO!$A$2:$A$3000,0))="","",INDEX(EXTRATO!$H$2:$H$3000,MATCH($A199,EXTRATO!$A$2:$A$3000,0))))</f>
        <v>E M GONÇALVES PADARIA</v>
      </c>
      <c r="J199" s="86" t="s">
        <v>1313</v>
      </c>
      <c r="K199" s="86" t="str">
        <f>IF(AND(A199="",D199="",E199="",F199=""),"",IF(D199="","SEM CATEGORIA",IF(E199="","SEM SUBCATEGORIA",IF(COUNTIFS(CADASTROS!$L$7:$L$93,D199,CADASTROS!$D$7:$D$93,E199)=0,"INCOMPATÍVEL","OK"))))</f>
        <v>OK</v>
      </c>
    </row>
    <row r="200" spans="1:11" ht="30" hidden="1" customHeight="1" x14ac:dyDescent="0.25">
      <c r="A200" s="86" t="s">
        <v>1559</v>
      </c>
      <c r="B200" s="85">
        <f>IF(A200="","",IF(INDEX(EXTRATO!$C$2:$C$3000,MATCH($A200,EXTRATO!$A$2:$A$3000,0))="","",INDEX(EXTRATO!$C$2:$C$3000,MATCH($A200,EXTRATO!$A$2:$A$3000,0))))</f>
        <v>46076</v>
      </c>
      <c r="C200" s="86">
        <f t="shared" si="3"/>
        <v>2</v>
      </c>
      <c r="D200" s="81" t="s">
        <v>1311</v>
      </c>
      <c r="E200" s="79" t="s">
        <v>1312</v>
      </c>
      <c r="F200" s="80">
        <v>1036</v>
      </c>
      <c r="G200" s="81" t="s">
        <v>323</v>
      </c>
      <c r="H200" s="86" t="str">
        <f>IF(A200="","",IF(INDEX(EXTRATO!$F$2:$F$3000,MATCH($A200,EXTRATO!$A$2:$A$3000,0))="","",INDEX(EXTRATO!$F$2:$F$3000,MATCH($A200,EXTRATO!$A$2:$A$3000,0))))</f>
        <v>SAÍDA</v>
      </c>
      <c r="I200" s="88" t="str">
        <f>IF(A200="","",IF(INDEX(EXTRATO!$H$2:$H$3000,MATCH($A200,EXTRATO!$A$2:$A$3000,0))="","",INDEX(EXTRATO!$H$2:$H$3000,MATCH($A200,EXTRATO!$A$2:$A$3000,0))))</f>
        <v>COOP. UNIMED</v>
      </c>
      <c r="J200" s="86" t="s">
        <v>1313</v>
      </c>
      <c r="K200" s="86" t="str">
        <f>IF(AND(A200="",D200="",E200="",F200=""),"",IF(D200="","SEM CATEGORIA",IF(E200="","SEM SUBCATEGORIA",IF(COUNTIFS(CADASTROS!$L$7:$L$93,D200,CADASTROS!$D$7:$D$93,E200)=0,"INCOMPATÍVEL","OK"))))</f>
        <v>OK</v>
      </c>
    </row>
    <row r="201" spans="1:11" ht="30" hidden="1" customHeight="1" x14ac:dyDescent="0.25">
      <c r="A201" s="86" t="s">
        <v>1561</v>
      </c>
      <c r="B201" s="85">
        <f>IF(A201="","",IF(INDEX(EXTRATO!$C$2:$C$3000,MATCH($A201,EXTRATO!$A$2:$A$3000,0))="","",INDEX(EXTRATO!$C$2:$C$3000,MATCH($A201,EXTRATO!$A$2:$A$3000,0))))</f>
        <v>46076</v>
      </c>
      <c r="C201" s="86">
        <f t="shared" si="3"/>
        <v>2</v>
      </c>
      <c r="D201" s="81" t="s">
        <v>1311</v>
      </c>
      <c r="E201" s="79" t="s">
        <v>1502</v>
      </c>
      <c r="F201" s="80">
        <v>807.4</v>
      </c>
      <c r="G201" s="81" t="s">
        <v>259</v>
      </c>
      <c r="H201" s="86" t="str">
        <f>IF(A201="","",IF(INDEX(EXTRATO!$F$2:$F$3000,MATCH($A201,EXTRATO!$A$2:$A$3000,0))="","",INDEX(EXTRATO!$F$2:$F$3000,MATCH($A201,EXTRATO!$A$2:$A$3000,0))))</f>
        <v>SAÍDA</v>
      </c>
      <c r="I201" s="88" t="str">
        <f>IF(A201="","",IF(INDEX(EXTRATO!$H$2:$H$3000,MATCH($A201,EXTRATO!$A$2:$A$3000,0))="","",INDEX(EXTRATO!$H$2:$H$3000,MATCH($A201,EXTRATO!$A$2:$A$3000,0))))</f>
        <v>RICEK INDUSTRIA E COMÉRCIO</v>
      </c>
      <c r="J201" s="86" t="s">
        <v>1313</v>
      </c>
      <c r="K201" s="86" t="str">
        <f>IF(AND(A201="",D201="",E201="",F201=""),"",IF(D201="","SEM CATEGORIA",IF(E201="","SEM SUBCATEGORIA",IF(COUNTIFS(CADASTROS!$L$7:$L$93,D201,CADASTROS!$D$7:$D$93,E201)=0,"INCOMPATÍVEL","OK"))))</f>
        <v>OK</v>
      </c>
    </row>
    <row r="202" spans="1:11" ht="30" hidden="1" customHeight="1" x14ac:dyDescent="0.25">
      <c r="A202" s="86" t="s">
        <v>1562</v>
      </c>
      <c r="B202" s="85">
        <f>IF(A202="","",IF(INDEX(EXTRATO!$C$2:$C$3000,MATCH($A202,EXTRATO!$A$2:$A$3000,0))="","",INDEX(EXTRATO!$C$2:$C$3000,MATCH($A202,EXTRATO!$A$2:$A$3000,0))))</f>
        <v>46076</v>
      </c>
      <c r="C202" s="86">
        <f t="shared" si="3"/>
        <v>2</v>
      </c>
      <c r="D202" s="81" t="s">
        <v>1370</v>
      </c>
      <c r="E202" s="79" t="s">
        <v>1371</v>
      </c>
      <c r="F202" s="80">
        <v>767.31</v>
      </c>
      <c r="G202" s="81" t="s">
        <v>325</v>
      </c>
      <c r="H202" s="86" t="str">
        <f>IF(A202="","",IF(INDEX(EXTRATO!$F$2:$F$3000,MATCH($A202,EXTRATO!$A$2:$A$3000,0))="","",INDEX(EXTRATO!$F$2:$F$3000,MATCH($A202,EXTRATO!$A$2:$A$3000,0))))</f>
        <v>SAÍDA</v>
      </c>
      <c r="I202" s="88" t="str">
        <f>IF(A202="","",IF(INDEX(EXTRATO!$H$2:$H$3000,MATCH($A202,EXTRATO!$A$2:$A$3000,0))="","",INDEX(EXTRATO!$H$2:$H$3000,MATCH($A202,EXTRATO!$A$2:$A$3000,0))))</f>
        <v>NORTE FLOW</v>
      </c>
      <c r="J202" s="86" t="s">
        <v>1313</v>
      </c>
      <c r="K202" s="86" t="str">
        <f>IF(AND(A202="",D202="",E202="",F202=""),"",IF(D202="","SEM CATEGORIA",IF(E202="","SEM SUBCATEGORIA",IF(COUNTIFS(CADASTROS!$L$7:$L$93,D202,CADASTROS!$D$7:$D$93,E202)=0,"INCOMPATÍVEL","OK"))))</f>
        <v>OK</v>
      </c>
    </row>
    <row r="203" spans="1:11" ht="30" hidden="1" customHeight="1" x14ac:dyDescent="0.25">
      <c r="A203" s="86" t="s">
        <v>1563</v>
      </c>
      <c r="B203" s="85">
        <f>IF(A203="","",IF(INDEX(EXTRATO!$C$2:$C$3000,MATCH($A203,EXTRATO!$A$2:$A$3000,0))="","",INDEX(EXTRATO!$C$2:$C$3000,MATCH($A203,EXTRATO!$A$2:$A$3000,0))))</f>
        <v>46076</v>
      </c>
      <c r="C203" s="86">
        <f t="shared" si="3"/>
        <v>2</v>
      </c>
      <c r="D203" s="81" t="s">
        <v>1305</v>
      </c>
      <c r="E203" s="79" t="s">
        <v>1306</v>
      </c>
      <c r="F203" s="80">
        <v>592.04</v>
      </c>
      <c r="G203" s="81" t="s">
        <v>45</v>
      </c>
      <c r="H203" s="86" t="str">
        <f>IF(A203="","",IF(INDEX(EXTRATO!$F$2:$F$3000,MATCH($A203,EXTRATO!$A$2:$A$3000,0))="","",INDEX(EXTRATO!$F$2:$F$3000,MATCH($A203,EXTRATO!$A$2:$A$3000,0))))</f>
        <v>RESGATE</v>
      </c>
      <c r="I203" s="88" t="str">
        <f>IF(A203="","",IF(INDEX(EXTRATO!$H$2:$H$3000,MATCH($A203,EXTRATO!$A$2:$A$3000,0))="","",INDEX(EXTRATO!$H$2:$H$3000,MATCH($A203,EXTRATO!$A$2:$A$3000,0))))</f>
        <v>BANCO DO BRASIL - CDB DI</v>
      </c>
      <c r="J203" s="86" t="s">
        <v>1307</v>
      </c>
      <c r="K203" s="86" t="str">
        <f>IF(AND(A203="",D203="",E203="",F203=""),"",IF(D203="","SEM CATEGORIA",IF(E203="","SEM SUBCATEGORIA",IF(COUNTIFS(CADASTROS!$L$7:$L$93,D203,CADASTROS!$D$7:$D$93,E203)=0,"INCOMPATÍVEL","OK"))))</f>
        <v>OK</v>
      </c>
    </row>
    <row r="204" spans="1:11" ht="30" hidden="1" customHeight="1" x14ac:dyDescent="0.25">
      <c r="A204" s="86" t="s">
        <v>1564</v>
      </c>
      <c r="B204" s="85">
        <f>IF(A204="","",IF(INDEX(EXTRATO!$C$2:$C$3000,MATCH($A204,EXTRATO!$A$2:$A$3000,0))="","",INDEX(EXTRATO!$C$2:$C$3000,MATCH($A204,EXTRATO!$A$2:$A$3000,0))))</f>
        <v>46076</v>
      </c>
      <c r="C204" s="86">
        <f t="shared" si="3"/>
        <v>2</v>
      </c>
      <c r="D204" s="81" t="s">
        <v>1305</v>
      </c>
      <c r="E204" s="79" t="s">
        <v>1306</v>
      </c>
      <c r="F204" s="80">
        <v>6000</v>
      </c>
      <c r="G204" s="81" t="s">
        <v>45</v>
      </c>
      <c r="H204" s="86" t="str">
        <f>IF(A204="","",IF(INDEX(EXTRATO!$F$2:$F$3000,MATCH($A204,EXTRATO!$A$2:$A$3000,0))="","",INDEX(EXTRATO!$F$2:$F$3000,MATCH($A204,EXTRATO!$A$2:$A$3000,0))))</f>
        <v>RESGATE</v>
      </c>
      <c r="I204" s="88" t="str">
        <f>IF(A204="","",IF(INDEX(EXTRATO!$H$2:$H$3000,MATCH($A204,EXTRATO!$A$2:$A$3000,0))="","",INDEX(EXTRATO!$H$2:$H$3000,MATCH($A204,EXTRATO!$A$2:$A$3000,0))))</f>
        <v>BANCO DO BRASIL - CDB DI</v>
      </c>
      <c r="J204" s="86" t="s">
        <v>1307</v>
      </c>
      <c r="K204" s="86" t="str">
        <f>IF(AND(A204="",D204="",E204="",F204=""),"",IF(D204="","SEM CATEGORIA",IF(E204="","SEM SUBCATEGORIA",IF(COUNTIFS(CADASTROS!$L$7:$L$93,D204,CADASTROS!$D$7:$D$93,E204)=0,"INCOMPATÍVEL","OK"))))</f>
        <v>OK</v>
      </c>
    </row>
    <row r="205" spans="1:11" ht="30" hidden="1" customHeight="1" x14ac:dyDescent="0.25">
      <c r="A205" s="86" t="s">
        <v>1566</v>
      </c>
      <c r="B205" s="85">
        <f>IF(A205="","",IF(INDEX(EXTRATO!$C$2:$C$3000,MATCH($A205,EXTRATO!$A$2:$A$3000,0))="","",INDEX(EXTRATO!$C$2:$C$3000,MATCH($A205,EXTRATO!$A$2:$A$3000,0))))</f>
        <v>46077</v>
      </c>
      <c r="C205" s="86">
        <f t="shared" si="3"/>
        <v>2</v>
      </c>
      <c r="D205" s="81" t="s">
        <v>1305</v>
      </c>
      <c r="E205" s="79" t="s">
        <v>1306</v>
      </c>
      <c r="F205" s="80">
        <v>96</v>
      </c>
      <c r="G205" s="81" t="s">
        <v>45</v>
      </c>
      <c r="H205" s="86" t="str">
        <f>IF(A205="","",IF(INDEX(EXTRATO!$F$2:$F$3000,MATCH($A205,EXTRATO!$A$2:$A$3000,0))="","",INDEX(EXTRATO!$F$2:$F$3000,MATCH($A205,EXTRATO!$A$2:$A$3000,0))))</f>
        <v>RESGATE</v>
      </c>
      <c r="I205" s="88" t="str">
        <f>IF(A205="","",IF(INDEX(EXTRATO!$H$2:$H$3000,MATCH($A205,EXTRATO!$A$2:$A$3000,0))="","",INDEX(EXTRATO!$H$2:$H$3000,MATCH($A205,EXTRATO!$A$2:$A$3000,0))))</f>
        <v>BANCO DO BRASIL - CDB DI</v>
      </c>
      <c r="J205" s="86" t="s">
        <v>1307</v>
      </c>
      <c r="K205" s="86" t="str">
        <f>IF(AND(A205="",D205="",E205="",F205=""),"",IF(D205="","SEM CATEGORIA",IF(E205="","SEM SUBCATEGORIA",IF(COUNTIFS(CADASTROS!$L$7:$L$93,D205,CADASTROS!$D$7:$D$93,E205)=0,"INCOMPATÍVEL","OK"))))</f>
        <v>OK</v>
      </c>
    </row>
    <row r="206" spans="1:11" ht="30" hidden="1" customHeight="1" x14ac:dyDescent="0.25">
      <c r="A206" s="86" t="s">
        <v>1567</v>
      </c>
      <c r="B206" s="85">
        <f>IF(A206="","",IF(INDEX(EXTRATO!$C$2:$C$3000,MATCH($A206,EXTRATO!$A$2:$A$3000,0))="","",INDEX(EXTRATO!$C$2:$C$3000,MATCH($A206,EXTRATO!$A$2:$A$3000,0))))</f>
        <v>46078</v>
      </c>
      <c r="C206" s="86">
        <f t="shared" si="3"/>
        <v>2</v>
      </c>
      <c r="D206" s="81" t="s">
        <v>1311</v>
      </c>
      <c r="E206" s="79" t="s">
        <v>1312</v>
      </c>
      <c r="F206" s="80">
        <v>590.54</v>
      </c>
      <c r="G206" s="81" t="s">
        <v>328</v>
      </c>
      <c r="H206" s="86" t="str">
        <f>IF(A206="","",IF(INDEX(EXTRATO!$F$2:$F$3000,MATCH($A206,EXTRATO!$A$2:$A$3000,0))="","",INDEX(EXTRATO!$F$2:$F$3000,MATCH($A206,EXTRATO!$A$2:$A$3000,0))))</f>
        <v>SAÍDA</v>
      </c>
      <c r="I206" s="88" t="str">
        <f>IF(A206="","",IF(INDEX(EXTRATO!$H$2:$H$3000,MATCH($A206,EXTRATO!$A$2:$A$3000,0))="","",INDEX(EXTRATO!$H$2:$H$3000,MATCH($A206,EXTRATO!$A$2:$A$3000,0))))</f>
        <v>J SUL DISTRIBUIDORA</v>
      </c>
      <c r="J206" s="86" t="s">
        <v>1313</v>
      </c>
      <c r="K206" s="86" t="str">
        <f>IF(AND(A206="",D206="",E206="",F206=""),"",IF(D206="","SEM CATEGORIA",IF(E206="","SEM SUBCATEGORIA",IF(COUNTIFS(CADASTROS!$L$7:$L$93,D206,CADASTROS!$D$7:$D$93,E206)=0,"INCOMPATÍVEL","OK"))))</f>
        <v>OK</v>
      </c>
    </row>
    <row r="207" spans="1:11" ht="30" hidden="1" customHeight="1" x14ac:dyDescent="0.25">
      <c r="A207" s="86" t="s">
        <v>1568</v>
      </c>
      <c r="B207" s="85">
        <f>IF(A207="","",IF(INDEX(EXTRATO!$C$2:$C$3000,MATCH($A207,EXTRATO!$A$2:$A$3000,0))="","",INDEX(EXTRATO!$C$2:$C$3000,MATCH($A207,EXTRATO!$A$2:$A$3000,0))))</f>
        <v>46078</v>
      </c>
      <c r="C207" s="86">
        <f t="shared" si="3"/>
        <v>2</v>
      </c>
      <c r="D207" s="81" t="s">
        <v>1305</v>
      </c>
      <c r="E207" s="79" t="s">
        <v>1306</v>
      </c>
      <c r="F207" s="80">
        <v>500</v>
      </c>
      <c r="G207" s="81" t="s">
        <v>45</v>
      </c>
      <c r="H207" s="86" t="str">
        <f>IF(A207="","",IF(INDEX(EXTRATO!$F$2:$F$3000,MATCH($A207,EXTRATO!$A$2:$A$3000,0))="","",INDEX(EXTRATO!$F$2:$F$3000,MATCH($A207,EXTRATO!$A$2:$A$3000,0))))</f>
        <v>RESGATE</v>
      </c>
      <c r="I207" s="88" t="str">
        <f>IF(A207="","",IF(INDEX(EXTRATO!$H$2:$H$3000,MATCH($A207,EXTRATO!$A$2:$A$3000,0))="","",INDEX(EXTRATO!$H$2:$H$3000,MATCH($A207,EXTRATO!$A$2:$A$3000,0))))</f>
        <v>BANCO DO BRASIL - CDB DI</v>
      </c>
      <c r="J207" s="86" t="s">
        <v>1307</v>
      </c>
      <c r="K207" s="86" t="str">
        <f>IF(AND(A207="",D207="",E207="",F207=""),"",IF(D207="","SEM CATEGORIA",IF(E207="","SEM SUBCATEGORIA",IF(COUNTIFS(CADASTROS!$L$7:$L$93,D207,CADASTROS!$D$7:$D$93,E207)=0,"INCOMPATÍVEL","OK"))))</f>
        <v>OK</v>
      </c>
    </row>
    <row r="208" spans="1:11" ht="30" hidden="1" customHeight="1" x14ac:dyDescent="0.25">
      <c r="A208" s="86" t="s">
        <v>1569</v>
      </c>
      <c r="B208" s="85">
        <f>IF(A208="","",IF(INDEX(EXTRATO!$C$2:$C$3000,MATCH($A208,EXTRATO!$A$2:$A$3000,0))="","",INDEX(EXTRATO!$C$2:$C$3000,MATCH($A208,EXTRATO!$A$2:$A$3000,0))))</f>
        <v>46079</v>
      </c>
      <c r="C208" s="86">
        <f t="shared" si="3"/>
        <v>2</v>
      </c>
      <c r="D208" s="81" t="s">
        <v>1305</v>
      </c>
      <c r="E208" s="79" t="s">
        <v>1306</v>
      </c>
      <c r="F208" s="80">
        <v>8.41</v>
      </c>
      <c r="G208" s="81" t="s">
        <v>45</v>
      </c>
      <c r="H208" s="86" t="str">
        <f>IF(A208="","",IF(INDEX(EXTRATO!$F$2:$F$3000,MATCH($A208,EXTRATO!$A$2:$A$3000,0))="","",INDEX(EXTRATO!$F$2:$F$3000,MATCH($A208,EXTRATO!$A$2:$A$3000,0))))</f>
        <v>RESGATE</v>
      </c>
      <c r="I208" s="88" t="str">
        <f>IF(A208="","",IF(INDEX(EXTRATO!$H$2:$H$3000,MATCH($A208,EXTRATO!$A$2:$A$3000,0))="","",INDEX(EXTRATO!$H$2:$H$3000,MATCH($A208,EXTRATO!$A$2:$A$3000,0))))</f>
        <v>BANCO DO BRASIL - CDB DI</v>
      </c>
      <c r="J208" s="86" t="s">
        <v>1307</v>
      </c>
      <c r="K208" s="86" t="str">
        <f>IF(AND(A208="",D208="",E208="",F208=""),"",IF(D208="","SEM CATEGORIA",IF(E208="","SEM SUBCATEGORIA",IF(COUNTIFS(CADASTROS!$L$7:$L$93,D208,CADASTROS!$D$7:$D$93,E208)=0,"INCOMPATÍVEL","OK"))))</f>
        <v>OK</v>
      </c>
    </row>
    <row r="209" spans="1:11" ht="30" hidden="1" customHeight="1" x14ac:dyDescent="0.25">
      <c r="A209" s="86" t="s">
        <v>1570</v>
      </c>
      <c r="B209" s="85">
        <f>IF(A209="","",IF(INDEX(EXTRATO!$C$2:$C$3000,MATCH($A209,EXTRATO!$A$2:$A$3000,0))="","",INDEX(EXTRATO!$C$2:$C$3000,MATCH($A209,EXTRATO!$A$2:$A$3000,0))))</f>
        <v>46080</v>
      </c>
      <c r="C209" s="86">
        <f t="shared" si="3"/>
        <v>2</v>
      </c>
      <c r="D209" s="81" t="s">
        <v>1349</v>
      </c>
      <c r="E209" s="79" t="s">
        <v>1350</v>
      </c>
      <c r="F209" s="80">
        <v>1754.53</v>
      </c>
      <c r="G209" s="81" t="s">
        <v>329</v>
      </c>
      <c r="H209" s="86" t="str">
        <f>IF(A209="","",IF(INDEX(EXTRATO!$F$2:$F$3000,MATCH($A209,EXTRATO!$A$2:$A$3000,0))="","",INDEX(EXTRATO!$F$2:$F$3000,MATCH($A209,EXTRATO!$A$2:$A$3000,0))))</f>
        <v>SAÍDA</v>
      </c>
      <c r="I209" s="88" t="str">
        <f>IF(A209="","",IF(INDEX(EXTRATO!$H$2:$H$3000,MATCH($A209,EXTRATO!$A$2:$A$3000,0))="","",INDEX(EXTRATO!$H$2:$H$3000,MATCH($A209,EXTRATO!$A$2:$A$3000,0))))</f>
        <v>IPVA 2026</v>
      </c>
      <c r="J209" s="86" t="s">
        <v>1313</v>
      </c>
      <c r="K209" s="86" t="str">
        <f>IF(AND(A209="",D209="",E209="",F209=""),"",IF(D209="","SEM CATEGORIA",IF(E209="","SEM SUBCATEGORIA",IF(COUNTIFS(CADASTROS!$L$7:$L$93,D209,CADASTROS!$D$7:$D$93,E209)=0,"INCOMPATÍVEL","OK"))))</f>
        <v>OK</v>
      </c>
    </row>
    <row r="210" spans="1:11" ht="30" hidden="1" customHeight="1" x14ac:dyDescent="0.25">
      <c r="A210" s="86" t="s">
        <v>1571</v>
      </c>
      <c r="B210" s="85">
        <f>IF(A210="","",IF(INDEX(EXTRATO!$C$2:$C$3000,MATCH($A210,EXTRATO!$A$2:$A$3000,0))="","",INDEX(EXTRATO!$C$2:$C$3000,MATCH($A210,EXTRATO!$A$2:$A$3000,0))))</f>
        <v>46080</v>
      </c>
      <c r="C210" s="86">
        <f t="shared" si="3"/>
        <v>2</v>
      </c>
      <c r="D210" s="81" t="s">
        <v>1305</v>
      </c>
      <c r="E210" s="79" t="s">
        <v>1306</v>
      </c>
      <c r="F210" s="80">
        <v>1500</v>
      </c>
      <c r="G210" s="81" t="s">
        <v>45</v>
      </c>
      <c r="H210" s="86" t="str">
        <f>IF(A210="","",IF(INDEX(EXTRATO!$F$2:$F$3000,MATCH($A210,EXTRATO!$A$2:$A$3000,0))="","",INDEX(EXTRATO!$F$2:$F$3000,MATCH($A210,EXTRATO!$A$2:$A$3000,0))))</f>
        <v>RESGATE</v>
      </c>
      <c r="I210" s="88" t="str">
        <f>IF(A210="","",IF(INDEX(EXTRATO!$H$2:$H$3000,MATCH($A210,EXTRATO!$A$2:$A$3000,0))="","",INDEX(EXTRATO!$H$2:$H$3000,MATCH($A210,EXTRATO!$A$2:$A$3000,0))))</f>
        <v>BANCO DO BRASIL - CDB DI</v>
      </c>
      <c r="J210" s="86" t="s">
        <v>1307</v>
      </c>
      <c r="K210" s="86" t="str">
        <f>IF(AND(A210="",D210="",E210="",F210=""),"",IF(D210="","SEM CATEGORIA",IF(E210="","SEM SUBCATEGORIA",IF(COUNTIFS(CADASTROS!$L$7:$L$93,D210,CADASTROS!$D$7:$D$93,E210)=0,"INCOMPATÍVEL","OK"))))</f>
        <v>OK</v>
      </c>
    </row>
    <row r="211" spans="1:11" ht="30" hidden="1" customHeight="1" x14ac:dyDescent="0.25">
      <c r="A211" s="86" t="s">
        <v>1572</v>
      </c>
      <c r="B211" s="85">
        <f>IF(A211="","",IF(INDEX(EXTRATO!$C$2:$C$3000,MATCH($A211,EXTRATO!$A$2:$A$3000,0))="","",INDEX(EXTRATO!$C$2:$C$3000,MATCH($A211,EXTRATO!$A$2:$A$3000,0))))</f>
        <v>46083</v>
      </c>
      <c r="C211" s="86">
        <f t="shared" si="3"/>
        <v>3</v>
      </c>
      <c r="D211" s="81" t="s">
        <v>1330</v>
      </c>
      <c r="E211" s="79" t="s">
        <v>1344</v>
      </c>
      <c r="F211" s="80">
        <v>26.05</v>
      </c>
      <c r="G211" s="81" t="s">
        <v>331</v>
      </c>
      <c r="H211" s="86" t="str">
        <f>IF(A211="","",IF(INDEX(EXTRATO!$F$2:$F$3000,MATCH($A211,EXTRATO!$A$2:$A$3000,0))="","",INDEX(EXTRATO!$F$2:$F$3000,MATCH($A211,EXTRATO!$A$2:$A$3000,0))))</f>
        <v>SAÍDA</v>
      </c>
      <c r="I211" s="88" t="str">
        <f>IF(A211="","",IF(INDEX(EXTRATO!$H$2:$H$3000,MATCH($A211,EXTRATO!$A$2:$A$3000,0))="","",INDEX(EXTRATO!$H$2:$H$3000,MATCH($A211,EXTRATO!$A$2:$A$3000,0))))</f>
        <v>EQUATORIAL MARANHÃO</v>
      </c>
      <c r="J211" s="86" t="s">
        <v>1313</v>
      </c>
      <c r="K211" s="86" t="str">
        <f>IF(AND(A211="",D211="",E211="",F211=""),"",IF(D211="","SEM CATEGORIA",IF(E211="","SEM SUBCATEGORIA",IF(COUNTIFS(CADASTROS!$L$7:$L$93,D211,CADASTROS!$D$7:$D$93,E211)=0,"INCOMPATÍVEL","OK"))))</f>
        <v>OK</v>
      </c>
    </row>
    <row r="212" spans="1:11" ht="30" hidden="1" customHeight="1" x14ac:dyDescent="0.25">
      <c r="A212" s="86" t="s">
        <v>1573</v>
      </c>
      <c r="B212" s="85">
        <f>IF(A212="","",IF(INDEX(EXTRATO!$C$2:$C$3000,MATCH($A212,EXTRATO!$A$2:$A$3000,0))="","",INDEX(EXTRATO!$C$2:$C$3000,MATCH($A212,EXTRATO!$A$2:$A$3000,0))))</f>
        <v>46083</v>
      </c>
      <c r="C212" s="86">
        <f t="shared" si="3"/>
        <v>3</v>
      </c>
      <c r="D212" s="81" t="s">
        <v>1305</v>
      </c>
      <c r="E212" s="79" t="s">
        <v>1306</v>
      </c>
      <c r="F212" s="80">
        <v>26.46</v>
      </c>
      <c r="G212" s="81" t="s">
        <v>104</v>
      </c>
      <c r="H212" s="86" t="str">
        <f>IF(A212="","",IF(INDEX(EXTRATO!$F$2:$F$3000,MATCH($A212,EXTRATO!$A$2:$A$3000,0))="","",INDEX(EXTRATO!$F$2:$F$3000,MATCH($A212,EXTRATO!$A$2:$A$3000,0))))</f>
        <v>RESGATE</v>
      </c>
      <c r="I212" s="88" t="str">
        <f>IF(A212="","",IF(INDEX(EXTRATO!$H$2:$H$3000,MATCH($A212,EXTRATO!$A$2:$A$3000,0))="","",INDEX(EXTRATO!$H$2:$H$3000,MATCH($A212,EXTRATO!$A$2:$A$3000,0))))</f>
        <v>BANCO DO BRASIL - CDB DI</v>
      </c>
      <c r="J212" s="86" t="s">
        <v>1307</v>
      </c>
      <c r="K212" s="86" t="str">
        <f>IF(AND(A212="",D212="",E212="",F212=""),"",IF(D212="","SEM CATEGORIA",IF(E212="","SEM SUBCATEGORIA",IF(COUNTIFS(CADASTROS!$L$7:$L$93,D212,CADASTROS!$D$7:$D$93,E212)=0,"INCOMPATÍVEL","OK"))))</f>
        <v>OK</v>
      </c>
    </row>
    <row r="213" spans="1:11" ht="30" hidden="1" customHeight="1" x14ac:dyDescent="0.25">
      <c r="A213" s="86" t="s">
        <v>1574</v>
      </c>
      <c r="B213" s="85">
        <f>IF(A213="","",IF(INDEX(EXTRATO!$C$2:$C$3000,MATCH($A213,EXTRATO!$A$2:$A$3000,0))="","",INDEX(EXTRATO!$C$2:$C$3000,MATCH($A213,EXTRATO!$A$2:$A$3000,0))))</f>
        <v>46084</v>
      </c>
      <c r="C213" s="86">
        <f t="shared" si="3"/>
        <v>3</v>
      </c>
      <c r="D213" s="81" t="s">
        <v>1305</v>
      </c>
      <c r="E213" s="79" t="s">
        <v>1578</v>
      </c>
      <c r="F213" s="80">
        <v>16000</v>
      </c>
      <c r="G213" s="81" t="s">
        <v>332</v>
      </c>
      <c r="H213" s="86" t="str">
        <f>IF(A213="","",IF(INDEX(EXTRATO!$F$2:$F$3000,MATCH($A213,EXTRATO!$A$2:$A$3000,0))="","",INDEX(EXTRATO!$F$2:$F$3000,MATCH($A213,EXTRATO!$A$2:$A$3000,0))))</f>
        <v>ENTRADA</v>
      </c>
      <c r="I213" s="88" t="str">
        <f>IF(A213="","",IF(INDEX(EXTRATO!$H$2:$H$3000,MATCH($A213,EXTRATO!$A$2:$A$3000,0))="","",INDEX(EXTRATO!$H$2:$H$3000,MATCH($A213,EXTRATO!$A$2:$A$3000,0))))</f>
        <v>MARCELO DA COSTA MIGON</v>
      </c>
      <c r="J213" s="86" t="s">
        <v>1307</v>
      </c>
      <c r="K213" s="86" t="str">
        <f>IF(AND(A213="",D213="",E213="",F213=""),"",IF(D213="","SEM CATEGORIA",IF(E213="","SEM SUBCATEGORIA",IF(COUNTIFS(CADASTROS!$L$7:$L$93,D213,CADASTROS!$D$7:$D$93,E213)=0,"INCOMPATÍVEL","OK"))))</f>
        <v>OK</v>
      </c>
    </row>
    <row r="214" spans="1:11" ht="30" hidden="1" customHeight="1" x14ac:dyDescent="0.25">
      <c r="A214" s="86" t="s">
        <v>1575</v>
      </c>
      <c r="B214" s="85">
        <f>IF(A214="","",IF(INDEX(EXTRATO!$C$2:$C$3000,MATCH($A214,EXTRATO!$A$2:$A$3000,0))="","",INDEX(EXTRATO!$C$2:$C$3000,MATCH($A214,EXTRATO!$A$2:$A$3000,0))))</f>
        <v>46084</v>
      </c>
      <c r="C214" s="86">
        <f t="shared" si="3"/>
        <v>3</v>
      </c>
      <c r="D214" s="81" t="s">
        <v>1305</v>
      </c>
      <c r="E214" s="79" t="s">
        <v>1578</v>
      </c>
      <c r="F214" s="80">
        <v>8000</v>
      </c>
      <c r="G214" s="81" t="s">
        <v>334</v>
      </c>
      <c r="H214" s="86" t="str">
        <f>IF(A214="","",IF(INDEX(EXTRATO!$F$2:$F$3000,MATCH($A214,EXTRATO!$A$2:$A$3000,0))="","",INDEX(EXTRATO!$F$2:$F$3000,MATCH($A214,EXTRATO!$A$2:$A$3000,0))))</f>
        <v>ENTRADA</v>
      </c>
      <c r="I214" s="88" t="str">
        <f>IF(A214="","",IF(INDEX(EXTRATO!$H$2:$H$3000,MATCH($A214,EXTRATO!$A$2:$A$3000,0))="","",INDEX(EXTRATO!$H$2:$H$3000,MATCH($A214,EXTRATO!$A$2:$A$3000,0))))</f>
        <v>ADELIA DALVA DA SILVA</v>
      </c>
      <c r="J214" s="86" t="s">
        <v>1307</v>
      </c>
      <c r="K214" s="86" t="str">
        <f>IF(AND(A214="",D214="",E214="",F214=""),"",IF(D214="","SEM CATEGORIA",IF(E214="","SEM SUBCATEGORIA",IF(COUNTIFS(CADASTROS!$L$7:$L$93,D214,CADASTROS!$D$7:$D$93,E214)=0,"INCOMPATÍVEL","OK"))))</f>
        <v>OK</v>
      </c>
    </row>
    <row r="215" spans="1:11" ht="30" hidden="1" customHeight="1" x14ac:dyDescent="0.25">
      <c r="A215" s="86" t="s">
        <v>1576</v>
      </c>
      <c r="B215" s="85">
        <f>IF(A215="","",IF(INDEX(EXTRATO!$C$2:$C$3000,MATCH($A215,EXTRATO!$A$2:$A$3000,0))="","",INDEX(EXTRATO!$C$2:$C$3000,MATCH($A215,EXTRATO!$A$2:$A$3000,0))))</f>
        <v>46084</v>
      </c>
      <c r="C215" s="86">
        <f t="shared" si="3"/>
        <v>3</v>
      </c>
      <c r="D215" s="81" t="s">
        <v>1305</v>
      </c>
      <c r="E215" s="79" t="s">
        <v>1578</v>
      </c>
      <c r="F215" s="80">
        <v>8000</v>
      </c>
      <c r="G215" s="81" t="s">
        <v>336</v>
      </c>
      <c r="H215" s="86" t="str">
        <f>IF(A215="","",IF(INDEX(EXTRATO!$F$2:$F$3000,MATCH($A215,EXTRATO!$A$2:$A$3000,0))="","",INDEX(EXTRATO!$F$2:$F$3000,MATCH($A215,EXTRATO!$A$2:$A$3000,0))))</f>
        <v>ENTRADA</v>
      </c>
      <c r="I215" s="88" t="str">
        <f>IF(A215="","",IF(INDEX(EXTRATO!$H$2:$H$3000,MATCH($A215,EXTRATO!$A$2:$A$3000,0))="","",INDEX(EXTRATO!$H$2:$H$3000,MATCH($A215,EXTRATO!$A$2:$A$3000,0))))</f>
        <v>GLADSTONE SANTOS SILVA</v>
      </c>
      <c r="J215" s="86" t="s">
        <v>1307</v>
      </c>
      <c r="K215" s="86" t="str">
        <f>IF(AND(A215="",D215="",E215="",F215=""),"",IF(D215="","SEM CATEGORIA",IF(E215="","SEM SUBCATEGORIA",IF(COUNTIFS(CADASTROS!$L$7:$L$93,D215,CADASTROS!$D$7:$D$93,E215)=0,"INCOMPATÍVEL","OK"))))</f>
        <v>OK</v>
      </c>
    </row>
    <row r="216" spans="1:11" ht="30" hidden="1" customHeight="1" x14ac:dyDescent="0.25">
      <c r="A216" s="86" t="s">
        <v>1577</v>
      </c>
      <c r="B216" s="85">
        <f>IF(A216="","",IF(INDEX(EXTRATO!$C$2:$C$3000,MATCH($A216,EXTRATO!$A$2:$A$3000,0))="","",INDEX(EXTRATO!$C$2:$C$3000,MATCH($A216,EXTRATO!$A$2:$A$3000,0))))</f>
        <v>46084</v>
      </c>
      <c r="C216" s="86">
        <f t="shared" si="3"/>
        <v>3</v>
      </c>
      <c r="D216" s="81" t="s">
        <v>1330</v>
      </c>
      <c r="E216" s="79" t="s">
        <v>1379</v>
      </c>
      <c r="F216" s="80">
        <v>2938.4</v>
      </c>
      <c r="G216" s="81" t="s">
        <v>254</v>
      </c>
      <c r="H216" s="86" t="str">
        <f>IF(A216="","",IF(INDEX(EXTRATO!$F$2:$F$3000,MATCH($A216,EXTRATO!$A$2:$A$3000,0))="","",INDEX(EXTRATO!$F$2:$F$3000,MATCH($A216,EXTRATO!$A$2:$A$3000,0))))</f>
        <v>SAÍDA</v>
      </c>
      <c r="I216" s="88" t="str">
        <f>IF(A216="","",IF(INDEX(EXTRATO!$H$2:$H$3000,MATCH($A216,EXTRATO!$A$2:$A$3000,0))="","",INDEX(EXTRATO!$H$2:$H$3000,MATCH($A216,EXTRATO!$A$2:$A$3000,0))))</f>
        <v>NEPHROSYS SUPORTE E MANUTENÇÃO</v>
      </c>
      <c r="J216" s="86" t="s">
        <v>1313</v>
      </c>
      <c r="K216" s="86" t="str">
        <f>IF(AND(A216="",D216="",E216="",F216=""),"",IF(D216="","SEM CATEGORIA",IF(E216="","SEM SUBCATEGORIA",IF(COUNTIFS(CADASTROS!$L$7:$L$93,D216,CADASTROS!$D$7:$D$93,E216)=0,"INCOMPATÍVEL","OK"))))</f>
        <v>OK</v>
      </c>
    </row>
    <row r="217" spans="1:11" ht="30" hidden="1" customHeight="1" x14ac:dyDescent="0.25">
      <c r="A217" s="86" t="s">
        <v>1579</v>
      </c>
      <c r="B217" s="85">
        <f>IF(A217="","",IF(INDEX(EXTRATO!$C$2:$C$3000,MATCH($A217,EXTRATO!$A$2:$A$3000,0))="","",INDEX(EXTRATO!$C$2:$C$3000,MATCH($A217,EXTRATO!$A$2:$A$3000,0))))</f>
        <v>46084</v>
      </c>
      <c r="C217" s="86">
        <f t="shared" si="3"/>
        <v>3</v>
      </c>
      <c r="D217" s="81" t="s">
        <v>1370</v>
      </c>
      <c r="E217" s="79" t="s">
        <v>1371</v>
      </c>
      <c r="F217" s="80">
        <v>1765</v>
      </c>
      <c r="G217" s="81" t="s">
        <v>339</v>
      </c>
      <c r="H217" s="86" t="str">
        <f>IF(A217="","",IF(INDEX(EXTRATO!$F$2:$F$3000,MATCH($A217,EXTRATO!$A$2:$A$3000,0))="","",INDEX(EXTRATO!$F$2:$F$3000,MATCH($A217,EXTRATO!$A$2:$A$3000,0))))</f>
        <v>SAÍDA</v>
      </c>
      <c r="I217" s="88" t="str">
        <f>IF(A217="","",IF(INDEX(EXTRATO!$H$2:$H$3000,MATCH($A217,EXTRATO!$A$2:$A$3000,0))="","",INDEX(EXTRATO!$H$2:$H$3000,MATCH($A217,EXTRATO!$A$2:$A$3000,0))))</f>
        <v>DMW ELETROMEDICINA LTDA</v>
      </c>
      <c r="J217" s="86" t="s">
        <v>1313</v>
      </c>
      <c r="K217" s="86" t="str">
        <f>IF(AND(A217="",D217="",E217="",F217=""),"",IF(D217="","SEM CATEGORIA",IF(E217="","SEM SUBCATEGORIA",IF(COUNTIFS(CADASTROS!$L$7:$L$93,D217,CADASTROS!$D$7:$D$93,E217)=0,"INCOMPATÍVEL","OK"))))</f>
        <v>OK</v>
      </c>
    </row>
    <row r="218" spans="1:11" ht="30" hidden="1" customHeight="1" x14ac:dyDescent="0.25">
      <c r="A218" s="86" t="s">
        <v>1580</v>
      </c>
      <c r="B218" s="85">
        <f>IF(A218="","",IF(INDEX(EXTRATO!$C$2:$C$3000,MATCH($A218,EXTRATO!$A$2:$A$3000,0))="","",INDEX(EXTRATO!$C$2:$C$3000,MATCH($A218,EXTRATO!$A$2:$A$3000,0))))</f>
        <v>46084</v>
      </c>
      <c r="C218" s="86">
        <f t="shared" si="3"/>
        <v>3</v>
      </c>
      <c r="D218" s="81" t="s">
        <v>1311</v>
      </c>
      <c r="E218" s="79" t="s">
        <v>1318</v>
      </c>
      <c r="F218" s="80">
        <v>1360</v>
      </c>
      <c r="G218" s="81" t="s">
        <v>1584</v>
      </c>
      <c r="H218" s="86" t="str">
        <f>IF(A218="","",IF(INDEX(EXTRATO!$F$2:$F$3000,MATCH($A218,EXTRATO!$A$2:$A$3000,0))="","",INDEX(EXTRATO!$F$2:$F$3000,MATCH($A218,EXTRATO!$A$2:$A$3000,0))))</f>
        <v>SAÍDA</v>
      </c>
      <c r="I218" s="88" t="str">
        <f>IF(A218="","",IF(INDEX(EXTRATO!$H$2:$H$3000,MATCH($A218,EXTRATO!$A$2:$A$3000,0))="","",INDEX(EXTRATO!$H$2:$H$3000,MATCH($A218,EXTRATO!$A$2:$A$3000,0))))</f>
        <v>BIOCOMPANY</v>
      </c>
      <c r="J218" s="86" t="s">
        <v>1313</v>
      </c>
      <c r="K218" s="86" t="str">
        <f>IF(AND(A218="",D218="",E218="",F218=""),"",IF(D218="","SEM CATEGORIA",IF(E218="","SEM SUBCATEGORIA",IF(COUNTIFS(CADASTROS!$L$7:$L$93,D218,CADASTROS!$D$7:$D$93,E218)=0,"INCOMPATÍVEL","OK"))))</f>
        <v>OK</v>
      </c>
    </row>
    <row r="219" spans="1:11" ht="30" hidden="1" customHeight="1" x14ac:dyDescent="0.25">
      <c r="A219" s="86" t="s">
        <v>1580</v>
      </c>
      <c r="B219" s="85">
        <f>IF(A219="","",IF(INDEX(EXTRATO!$C$2:$C$3000,MATCH($A219,EXTRATO!$A$2:$A$3000,0))="","",INDEX(EXTRATO!$C$2:$C$3000,MATCH($A219,EXTRATO!$A$2:$A$3000,0))))</f>
        <v>46084</v>
      </c>
      <c r="C219" s="86">
        <f t="shared" si="3"/>
        <v>3</v>
      </c>
      <c r="D219" s="81" t="s">
        <v>1311</v>
      </c>
      <c r="E219" s="79" t="s">
        <v>1312</v>
      </c>
      <c r="F219" s="80">
        <v>300</v>
      </c>
      <c r="G219" s="81" t="s">
        <v>1585</v>
      </c>
      <c r="H219" s="86" t="str">
        <f>IF(A219="","",IF(INDEX(EXTRATO!$F$2:$F$3000,MATCH($A219,EXTRATO!$A$2:$A$3000,0))="","",INDEX(EXTRATO!$F$2:$F$3000,MATCH($A219,EXTRATO!$A$2:$A$3000,0))))</f>
        <v>SAÍDA</v>
      </c>
      <c r="I219" s="88" t="str">
        <f>IF(A219="","",IF(INDEX(EXTRATO!$H$2:$H$3000,MATCH($A219,EXTRATO!$A$2:$A$3000,0))="","",INDEX(EXTRATO!$H$2:$H$3000,MATCH($A219,EXTRATO!$A$2:$A$3000,0))))</f>
        <v>BIOCOMPANY</v>
      </c>
      <c r="J219" s="86" t="s">
        <v>1313</v>
      </c>
      <c r="K219" s="86" t="str">
        <f>IF(AND(A219="",D219="",E219="",F219=""),"",IF(D219="","SEM CATEGORIA",IF(E219="","SEM SUBCATEGORIA",IF(COUNTIFS(CADASTROS!$L$7:$L$93,D219,CADASTROS!$D$7:$D$93,E219)=0,"INCOMPATÍVEL","OK"))))</f>
        <v>OK</v>
      </c>
    </row>
    <row r="220" spans="1:11" ht="30" hidden="1" customHeight="1" x14ac:dyDescent="0.25">
      <c r="A220" s="86" t="s">
        <v>1581</v>
      </c>
      <c r="B220" s="85">
        <f>IF(A220="","",IF(INDEX(EXTRATO!$C$2:$C$3000,MATCH($A220,EXTRATO!$A$2:$A$3000,0))="","",INDEX(EXTRATO!$C$2:$C$3000,MATCH($A220,EXTRATO!$A$2:$A$3000,0))))</f>
        <v>46084</v>
      </c>
      <c r="C220" s="86">
        <f t="shared" si="3"/>
        <v>3</v>
      </c>
      <c r="D220" s="81" t="s">
        <v>1311</v>
      </c>
      <c r="E220" s="79" t="s">
        <v>1376</v>
      </c>
      <c r="F220" s="80">
        <v>396</v>
      </c>
      <c r="G220" s="81" t="s">
        <v>1587</v>
      </c>
      <c r="H220" s="86" t="str">
        <f>IF(A220="","",IF(INDEX(EXTRATO!$F$2:$F$3000,MATCH($A220,EXTRATO!$A$2:$A$3000,0))="","",INDEX(EXTRATO!$F$2:$F$3000,MATCH($A220,EXTRATO!$A$2:$A$3000,0))))</f>
        <v>SAÍDA</v>
      </c>
      <c r="I220" s="88" t="str">
        <f>IF(A220="","",IF(INDEX(EXTRATO!$H$2:$H$3000,MATCH($A220,EXTRATO!$A$2:$A$3000,0))="","",INDEX(EXTRATO!$H$2:$H$3000,MATCH($A220,EXTRATO!$A$2:$A$3000,0))))</f>
        <v>DIALISE COMERCIO</v>
      </c>
      <c r="J220" s="86" t="s">
        <v>1313</v>
      </c>
      <c r="K220" s="86" t="str">
        <f>IF(AND(A220="",D220="",E220="",F220=""),"",IF(D220="","SEM CATEGORIA",IF(E220="","SEM SUBCATEGORIA",IF(COUNTIFS(CADASTROS!$L$7:$L$93,D220,CADASTROS!$D$7:$D$93,E220)=0,"INCOMPATÍVEL","OK"))))</f>
        <v>OK</v>
      </c>
    </row>
    <row r="221" spans="1:11" ht="30" hidden="1" customHeight="1" x14ac:dyDescent="0.25">
      <c r="A221" s="86" t="s">
        <v>1581</v>
      </c>
      <c r="B221" s="85">
        <f>IF(A221="","",IF(INDEX(EXTRATO!$C$2:$C$3000,MATCH($A221,EXTRATO!$A$2:$A$3000,0))="","",INDEX(EXTRATO!$C$2:$C$3000,MATCH($A221,EXTRATO!$A$2:$A$3000,0))))</f>
        <v>46084</v>
      </c>
      <c r="C221" s="86">
        <f t="shared" si="3"/>
        <v>3</v>
      </c>
      <c r="D221" s="81" t="s">
        <v>1311</v>
      </c>
      <c r="E221" s="79" t="s">
        <v>1312</v>
      </c>
      <c r="F221" s="80">
        <v>245</v>
      </c>
      <c r="G221" s="81" t="s">
        <v>1588</v>
      </c>
      <c r="H221" s="86" t="str">
        <f>IF(A221="","",IF(INDEX(EXTRATO!$F$2:$F$3000,MATCH($A221,EXTRATO!$A$2:$A$3000,0))="","",INDEX(EXTRATO!$F$2:$F$3000,MATCH($A221,EXTRATO!$A$2:$A$3000,0))))</f>
        <v>SAÍDA</v>
      </c>
      <c r="I221" s="88" t="str">
        <f>IF(A221="","",IF(INDEX(EXTRATO!$H$2:$H$3000,MATCH($A221,EXTRATO!$A$2:$A$3000,0))="","",INDEX(EXTRATO!$H$2:$H$3000,MATCH($A221,EXTRATO!$A$2:$A$3000,0))))</f>
        <v>DIALISE COMERCIO</v>
      </c>
      <c r="J221" s="86" t="s">
        <v>1313</v>
      </c>
      <c r="K221" s="86" t="str">
        <f>IF(AND(A221="",D221="",E221="",F221=""),"",IF(D221="","SEM CATEGORIA",IF(E221="","SEM SUBCATEGORIA",IF(COUNTIFS(CADASTROS!$L$7:$L$93,D221,CADASTROS!$D$7:$D$93,E221)=0,"INCOMPATÍVEL","OK"))))</f>
        <v>OK</v>
      </c>
    </row>
    <row r="222" spans="1:11" ht="30" hidden="1" customHeight="1" x14ac:dyDescent="0.25">
      <c r="A222" s="86" t="s">
        <v>1581</v>
      </c>
      <c r="B222" s="85">
        <f>IF(A222="","",IF(INDEX(EXTRATO!$C$2:$C$3000,MATCH($A222,EXTRATO!$A$2:$A$3000,0))="","",INDEX(EXTRATO!$C$2:$C$3000,MATCH($A222,EXTRATO!$A$2:$A$3000,0))))</f>
        <v>46084</v>
      </c>
      <c r="C222" s="86">
        <f t="shared" si="3"/>
        <v>3</v>
      </c>
      <c r="D222" s="81" t="s">
        <v>1311</v>
      </c>
      <c r="E222" s="79" t="s">
        <v>1515</v>
      </c>
      <c r="F222" s="80">
        <v>210</v>
      </c>
      <c r="G222" s="81" t="s">
        <v>274</v>
      </c>
      <c r="H222" s="86" t="str">
        <f>IF(A222="","",IF(INDEX(EXTRATO!$F$2:$F$3000,MATCH($A222,EXTRATO!$A$2:$A$3000,0))="","",INDEX(EXTRATO!$F$2:$F$3000,MATCH($A222,EXTRATO!$A$2:$A$3000,0))))</f>
        <v>SAÍDA</v>
      </c>
      <c r="I222" s="88" t="str">
        <f>IF(A222="","",IF(INDEX(EXTRATO!$H$2:$H$3000,MATCH($A222,EXTRATO!$A$2:$A$3000,0))="","",INDEX(EXTRATO!$H$2:$H$3000,MATCH($A222,EXTRATO!$A$2:$A$3000,0))))</f>
        <v>DIALISE COMERCIO</v>
      </c>
      <c r="J222" s="86" t="s">
        <v>1313</v>
      </c>
      <c r="K222" s="86" t="str">
        <f>IF(AND(A222="",D222="",E222="",F222=""),"",IF(D222="","SEM CATEGORIA",IF(E222="","SEM SUBCATEGORIA",IF(COUNTIFS(CADASTROS!$L$7:$L$93,D222,CADASTROS!$D$7:$D$93,E222)=0,"INCOMPATÍVEL","OK"))))</f>
        <v>OK</v>
      </c>
    </row>
    <row r="223" spans="1:11" ht="30" hidden="1" customHeight="1" x14ac:dyDescent="0.25">
      <c r="A223" s="86" t="s">
        <v>1582</v>
      </c>
      <c r="B223" s="85">
        <f>IF(A223="","",IF(INDEX(EXTRATO!$C$2:$C$3000,MATCH($A223,EXTRATO!$A$2:$A$3000,0))="","",INDEX(EXTRATO!$C$2:$C$3000,MATCH($A223,EXTRATO!$A$2:$A$3000,0))))</f>
        <v>46085</v>
      </c>
      <c r="C223" s="86">
        <f t="shared" si="3"/>
        <v>3</v>
      </c>
      <c r="D223" s="81" t="s">
        <v>1305</v>
      </c>
      <c r="E223" s="79" t="s">
        <v>1578</v>
      </c>
      <c r="F223" s="80">
        <v>8000</v>
      </c>
      <c r="G223" s="81" t="s">
        <v>346</v>
      </c>
      <c r="H223" s="86" t="str">
        <f>IF(A223="","",IF(INDEX(EXTRATO!$F$2:$F$3000,MATCH($A223,EXTRATO!$A$2:$A$3000,0))="","",INDEX(EXTRATO!$F$2:$F$3000,MATCH($A223,EXTRATO!$A$2:$A$3000,0))))</f>
        <v>ENTRADA</v>
      </c>
      <c r="I223" s="88" t="str">
        <f>IF(A223="","",IF(INDEX(EXTRATO!$H$2:$H$3000,MATCH($A223,EXTRATO!$A$2:$A$3000,0))="","",INDEX(EXTRATO!$H$2:$H$3000,MATCH($A223,EXTRATO!$A$2:$A$3000,0))))</f>
        <v>MOISES DA S. OLIVEIRA</v>
      </c>
      <c r="J223" s="86" t="s">
        <v>1307</v>
      </c>
      <c r="K223" s="86" t="str">
        <f>IF(AND(A223="",D223="",E223="",F223=""),"",IF(D223="","SEM CATEGORIA",IF(E223="","SEM SUBCATEGORIA",IF(COUNTIFS(CADASTROS!$L$7:$L$93,D223,CADASTROS!$D$7:$D$93,E223)=0,"INCOMPATÍVEL","OK"))))</f>
        <v>OK</v>
      </c>
    </row>
    <row r="224" spans="1:11" ht="30" hidden="1" customHeight="1" x14ac:dyDescent="0.25">
      <c r="A224" s="86" t="s">
        <v>1583</v>
      </c>
      <c r="B224" s="85">
        <f>IF(A224="","",IF(INDEX(EXTRATO!$C$2:$C$3000,MATCH($A224,EXTRATO!$A$2:$A$3000,0))="","",INDEX(EXTRATO!$C$2:$C$3000,MATCH($A224,EXTRATO!$A$2:$A$3000,0))))</f>
        <v>46085</v>
      </c>
      <c r="C224" s="86">
        <f t="shared" si="3"/>
        <v>3</v>
      </c>
      <c r="D224" s="81" t="s">
        <v>1305</v>
      </c>
      <c r="E224" s="79" t="s">
        <v>1578</v>
      </c>
      <c r="F224" s="80">
        <v>16000</v>
      </c>
      <c r="G224" s="81" t="s">
        <v>348</v>
      </c>
      <c r="H224" s="86" t="str">
        <f>IF(A224="","",IF(INDEX(EXTRATO!$F$2:$F$3000,MATCH($A224,EXTRATO!$A$2:$A$3000,0))="","",INDEX(EXTRATO!$F$2:$F$3000,MATCH($A224,EXTRATO!$A$2:$A$3000,0))))</f>
        <v>ENTRADA</v>
      </c>
      <c r="I224" s="88" t="str">
        <f>IF(A224="","",IF(INDEX(EXTRATO!$H$2:$H$3000,MATCH($A224,EXTRATO!$A$2:$A$3000,0))="","",INDEX(EXTRATO!$H$2:$H$3000,MATCH($A224,EXTRATO!$A$2:$A$3000,0))))</f>
        <v>ANDERSON RAFAEL SALVIANO</v>
      </c>
      <c r="J224" s="86" t="s">
        <v>1307</v>
      </c>
      <c r="K224" s="86" t="str">
        <f>IF(AND(A224="",D224="",E224="",F224=""),"",IF(D224="","SEM CATEGORIA",IF(E224="","SEM SUBCATEGORIA",IF(COUNTIFS(CADASTROS!$L$7:$L$93,D224,CADASTROS!$D$7:$D$93,E224)=0,"INCOMPATÍVEL","OK"))))</f>
        <v>OK</v>
      </c>
    </row>
    <row r="225" spans="1:11" ht="30" hidden="1" customHeight="1" x14ac:dyDescent="0.25">
      <c r="A225" s="86" t="s">
        <v>1586</v>
      </c>
      <c r="B225" s="85">
        <f>IF(A225="","",IF(INDEX(EXTRATO!$C$2:$C$3000,MATCH($A225,EXTRATO!$A$2:$A$3000,0))="","",INDEX(EXTRATO!$C$2:$C$3000,MATCH($A225,EXTRATO!$A$2:$A$3000,0))))</f>
        <v>46085</v>
      </c>
      <c r="C225" s="86">
        <f t="shared" si="3"/>
        <v>3</v>
      </c>
      <c r="D225" s="81" t="s">
        <v>1305</v>
      </c>
      <c r="E225" s="79" t="s">
        <v>1578</v>
      </c>
      <c r="F225" s="80">
        <v>8000</v>
      </c>
      <c r="G225" s="81" t="s">
        <v>350</v>
      </c>
      <c r="H225" s="86" t="str">
        <f>IF(A225="","",IF(INDEX(EXTRATO!$F$2:$F$3000,MATCH($A225,EXTRATO!$A$2:$A$3000,0))="","",INDEX(EXTRATO!$F$2:$F$3000,MATCH($A225,EXTRATO!$A$2:$A$3000,0))))</f>
        <v>ENTRADA</v>
      </c>
      <c r="I225" s="88" t="str">
        <f>IF(A225="","",IF(INDEX(EXTRATO!$H$2:$H$3000,MATCH($A225,EXTRATO!$A$2:$A$3000,0))="","",INDEX(EXTRATO!$H$2:$H$3000,MATCH($A225,EXTRATO!$A$2:$A$3000,0))))</f>
        <v>FRANCISCO HAMILTON SOUSA</v>
      </c>
      <c r="J225" s="86" t="s">
        <v>1307</v>
      </c>
      <c r="K225" s="86" t="str">
        <f>IF(AND(A225="",D225="",E225="",F225=""),"",IF(D225="","SEM CATEGORIA",IF(E225="","SEM SUBCATEGORIA",IF(COUNTIFS(CADASTROS!$L$7:$L$93,D225,CADASTROS!$D$7:$D$93,E225)=0,"INCOMPATÍVEL","OK"))))</f>
        <v>OK</v>
      </c>
    </row>
    <row r="226" spans="1:11" ht="30" hidden="1" customHeight="1" x14ac:dyDescent="0.25">
      <c r="A226" s="86" t="s">
        <v>1589</v>
      </c>
      <c r="B226" s="85">
        <f>IF(A226="","",IF(INDEX(EXTRATO!$C$2:$C$3000,MATCH($A226,EXTRATO!$A$2:$A$3000,0))="","",INDEX(EXTRATO!$C$2:$C$3000,MATCH($A226,EXTRATO!$A$2:$A$3000,0))))</f>
        <v>46085</v>
      </c>
      <c r="C226" s="86">
        <f t="shared" si="3"/>
        <v>3</v>
      </c>
      <c r="D226" s="81" t="s">
        <v>1305</v>
      </c>
      <c r="E226" s="79" t="s">
        <v>1578</v>
      </c>
      <c r="F226" s="80">
        <v>4000</v>
      </c>
      <c r="G226" s="81" t="s">
        <v>352</v>
      </c>
      <c r="H226" s="86" t="str">
        <f>IF(A226="","",IF(INDEX(EXTRATO!$F$2:$F$3000,MATCH($A226,EXTRATO!$A$2:$A$3000,0))="","",INDEX(EXTRATO!$F$2:$F$3000,MATCH($A226,EXTRATO!$A$2:$A$3000,0))))</f>
        <v>ENTRADA</v>
      </c>
      <c r="I226" s="88" t="str">
        <f>IF(A226="","",IF(INDEX(EXTRATO!$H$2:$H$3000,MATCH($A226,EXTRATO!$A$2:$A$3000,0))="","",INDEX(EXTRATO!$H$2:$H$3000,MATCH($A226,EXTRATO!$A$2:$A$3000,0))))</f>
        <v>JOYCE KAROLINA</v>
      </c>
      <c r="J226" s="86" t="s">
        <v>1307</v>
      </c>
      <c r="K226" s="86" t="str">
        <f>IF(AND(A226="",D226="",E226="",F226=""),"",IF(D226="","SEM CATEGORIA",IF(E226="","SEM SUBCATEGORIA",IF(COUNTIFS(CADASTROS!$L$7:$L$93,D226,CADASTROS!$D$7:$D$93,E226)=0,"INCOMPATÍVEL","OK"))))</f>
        <v>OK</v>
      </c>
    </row>
    <row r="227" spans="1:11" ht="30" hidden="1" customHeight="1" x14ac:dyDescent="0.25">
      <c r="A227" s="86" t="s">
        <v>1590</v>
      </c>
      <c r="B227" s="85">
        <f>IF(A227="","",IF(INDEX(EXTRATO!$C$2:$C$3000,MATCH($A227,EXTRATO!$A$2:$A$3000,0))="","",INDEX(EXTRATO!$C$2:$C$3000,MATCH($A227,EXTRATO!$A$2:$A$3000,0))))</f>
        <v>46085</v>
      </c>
      <c r="C227" s="86">
        <f t="shared" si="3"/>
        <v>3</v>
      </c>
      <c r="D227" s="81" t="s">
        <v>1370</v>
      </c>
      <c r="E227" s="79" t="s">
        <v>1371</v>
      </c>
      <c r="F227" s="80">
        <v>962.62</v>
      </c>
      <c r="G227" s="81" t="s">
        <v>354</v>
      </c>
      <c r="H227" s="86" t="str">
        <f>IF(A227="","",IF(INDEX(EXTRATO!$F$2:$F$3000,MATCH($A227,EXTRATO!$A$2:$A$3000,0))="","",INDEX(EXTRATO!$F$2:$F$3000,MATCH($A227,EXTRATO!$A$2:$A$3000,0))))</f>
        <v>SAÍDA</v>
      </c>
      <c r="I227" s="88" t="str">
        <f>IF(A227="","",IF(INDEX(EXTRATO!$H$2:$H$3000,MATCH($A227,EXTRATO!$A$2:$A$3000,0))="","",INDEX(EXTRATO!$H$2:$H$3000,MATCH($A227,EXTRATO!$A$2:$A$3000,0))))</f>
        <v>MARTE CIENTÍFICA</v>
      </c>
      <c r="J227" s="86" t="s">
        <v>1313</v>
      </c>
      <c r="K227" s="86" t="str">
        <f>IF(AND(A227="",D227="",E227="",F227=""),"",IF(D227="","SEM CATEGORIA",IF(E227="","SEM SUBCATEGORIA",IF(COUNTIFS(CADASTROS!$L$7:$L$93,D227,CADASTROS!$D$7:$D$93,E227)=0,"INCOMPATÍVEL","OK"))))</f>
        <v>OK</v>
      </c>
    </row>
    <row r="228" spans="1:11" ht="30" hidden="1" customHeight="1" x14ac:dyDescent="0.25">
      <c r="A228" s="86" t="s">
        <v>1591</v>
      </c>
      <c r="B228" s="85">
        <f>IF(A228="","",IF(INDEX(EXTRATO!$C$2:$C$3000,MATCH($A228,EXTRATO!$A$2:$A$3000,0))="","",INDEX(EXTRATO!$C$2:$C$3000,MATCH($A228,EXTRATO!$A$2:$A$3000,0))))</f>
        <v>46085</v>
      </c>
      <c r="C228" s="86">
        <f t="shared" si="3"/>
        <v>3</v>
      </c>
      <c r="D228" s="81" t="s">
        <v>1367</v>
      </c>
      <c r="E228" s="79" t="s">
        <v>1368</v>
      </c>
      <c r="F228" s="80">
        <v>525</v>
      </c>
      <c r="G228" s="81" t="s">
        <v>181</v>
      </c>
      <c r="H228" s="86" t="str">
        <f>IF(A228="","",IF(INDEX(EXTRATO!$F$2:$F$3000,MATCH($A228,EXTRATO!$A$2:$A$3000,0))="","",INDEX(EXTRATO!$F$2:$F$3000,MATCH($A228,EXTRATO!$A$2:$A$3000,0))))</f>
        <v>SAÍDA</v>
      </c>
      <c r="I228" s="88" t="str">
        <f>IF(A228="","",IF(INDEX(EXTRATO!$H$2:$H$3000,MATCH($A228,EXTRATO!$A$2:$A$3000,0))="","",INDEX(EXTRATO!$H$2:$H$3000,MATCH($A228,EXTRATO!$A$2:$A$3000,0))))</f>
        <v>A A DA SILVA LTDA</v>
      </c>
      <c r="J228" s="86" t="s">
        <v>1313</v>
      </c>
      <c r="K228" s="86" t="str">
        <f>IF(AND(A228="",D228="",E228="",F228=""),"",IF(D228="","SEM CATEGORIA",IF(E228="","SEM SUBCATEGORIA",IF(COUNTIFS(CADASTROS!$L$7:$L$93,D228,CADASTROS!$D$7:$D$93,E228)=0,"INCOMPATÍVEL","OK"))))</f>
        <v>OK</v>
      </c>
    </row>
    <row r="229" spans="1:11" ht="30" hidden="1" customHeight="1" x14ac:dyDescent="0.25">
      <c r="A229" s="86" t="s">
        <v>1592</v>
      </c>
      <c r="B229" s="85">
        <f>IF(A229="","",IF(INDEX(EXTRATO!$C$2:$C$3000,MATCH($A229,EXTRATO!$A$2:$A$3000,0))="","",INDEX(EXTRATO!$C$2:$C$3000,MATCH($A229,EXTRATO!$A$2:$A$3000,0))))</f>
        <v>46085</v>
      </c>
      <c r="C229" s="86">
        <f t="shared" si="3"/>
        <v>3</v>
      </c>
      <c r="D229" s="81" t="s">
        <v>1370</v>
      </c>
      <c r="E229" s="79" t="s">
        <v>1371</v>
      </c>
      <c r="F229" s="80">
        <v>312.69</v>
      </c>
      <c r="G229" s="81" t="s">
        <v>359</v>
      </c>
      <c r="H229" s="86" t="str">
        <f>IF(A229="","",IF(INDEX(EXTRATO!$F$2:$F$3000,MATCH($A229,EXTRATO!$A$2:$A$3000,0))="","",INDEX(EXTRATO!$F$2:$F$3000,MATCH($A229,EXTRATO!$A$2:$A$3000,0))))</f>
        <v>SAÍDA</v>
      </c>
      <c r="I229" s="88" t="str">
        <f>IF(A229="","",IF(INDEX(EXTRATO!$H$2:$H$3000,MATCH($A229,EXTRATO!$A$2:$A$3000,0))="","",INDEX(EXTRATO!$H$2:$H$3000,MATCH($A229,EXTRATO!$A$2:$A$3000,0))))</f>
        <v>NORTE FLOW</v>
      </c>
      <c r="J229" s="86" t="s">
        <v>1313</v>
      </c>
      <c r="K229" s="86" t="str">
        <f>IF(AND(A229="",D229="",E229="",F229=""),"",IF(D229="","SEM CATEGORIA",IF(E229="","SEM SUBCATEGORIA",IF(COUNTIFS(CADASTROS!$L$7:$L$93,D229,CADASTROS!$D$7:$D$93,E229)=0,"INCOMPATÍVEL","OK"))))</f>
        <v>OK</v>
      </c>
    </row>
    <row r="230" spans="1:11" ht="30" hidden="1" customHeight="1" x14ac:dyDescent="0.25">
      <c r="A230" s="86" t="s">
        <v>1593</v>
      </c>
      <c r="B230" s="85">
        <f>IF(A230="","",IF(INDEX(EXTRATO!$C$2:$C$3000,MATCH($A230,EXTRATO!$A$2:$A$3000,0))="","",INDEX(EXTRATO!$C$2:$C$3000,MATCH($A230,EXTRATO!$A$2:$A$3000,0))))</f>
        <v>46086</v>
      </c>
      <c r="C230" s="86">
        <f t="shared" si="3"/>
        <v>3</v>
      </c>
      <c r="D230" s="81" t="s">
        <v>1305</v>
      </c>
      <c r="E230" s="79" t="s">
        <v>1578</v>
      </c>
      <c r="F230" s="80">
        <v>16000</v>
      </c>
      <c r="G230" s="81" t="s">
        <v>361</v>
      </c>
      <c r="H230" s="86" t="str">
        <f>IF(A230="","",IF(INDEX(EXTRATO!$F$2:$F$3000,MATCH($A230,EXTRATO!$A$2:$A$3000,0))="","",INDEX(EXTRATO!$F$2:$F$3000,MATCH($A230,EXTRATO!$A$2:$A$3000,0))))</f>
        <v>ENTRADA</v>
      </c>
      <c r="I230" s="88" t="str">
        <f>IF(A230="","",IF(INDEX(EXTRATO!$H$2:$H$3000,MATCH($A230,EXTRATO!$A$2:$A$3000,0))="","",INDEX(EXTRATO!$H$2:$H$3000,MATCH($A230,EXTRATO!$A$2:$A$3000,0))))</f>
        <v>CELINA T C B C DE MIRANDA</v>
      </c>
      <c r="J230" s="86" t="s">
        <v>1307</v>
      </c>
      <c r="K230" s="86" t="str">
        <f>IF(AND(A230="",D230="",E230="",F230=""),"",IF(D230="","SEM CATEGORIA",IF(E230="","SEM SUBCATEGORIA",IF(COUNTIFS(CADASTROS!$L$7:$L$93,D230,CADASTROS!$D$7:$D$93,E230)=0,"INCOMPATÍVEL","OK"))))</f>
        <v>OK</v>
      </c>
    </row>
    <row r="231" spans="1:11" ht="30" hidden="1" customHeight="1" x14ac:dyDescent="0.25">
      <c r="A231" s="86" t="s">
        <v>1594</v>
      </c>
      <c r="B231" s="85">
        <f>IF(A231="","",IF(INDEX(EXTRATO!$C$2:$C$3000,MATCH($A231,EXTRATO!$A$2:$A$3000,0))="","",INDEX(EXTRATO!$C$2:$C$3000,MATCH($A231,EXTRATO!$A$2:$A$3000,0))))</f>
        <v>46086</v>
      </c>
      <c r="C231" s="86">
        <f t="shared" si="3"/>
        <v>3</v>
      </c>
      <c r="D231" s="81" t="s">
        <v>1305</v>
      </c>
      <c r="E231" s="79" t="s">
        <v>1578</v>
      </c>
      <c r="F231" s="80">
        <v>16000</v>
      </c>
      <c r="G231" s="81" t="s">
        <v>363</v>
      </c>
      <c r="H231" s="86" t="str">
        <f>IF(A231="","",IF(INDEX(EXTRATO!$F$2:$F$3000,MATCH($A231,EXTRATO!$A$2:$A$3000,0))="","",INDEX(EXTRATO!$F$2:$F$3000,MATCH($A231,EXTRATO!$A$2:$A$3000,0))))</f>
        <v>ENTRADA</v>
      </c>
      <c r="I231" s="88" t="str">
        <f>IF(A231="","",IF(INDEX(EXTRATO!$H$2:$H$3000,MATCH($A231,EXTRATO!$A$2:$A$3000,0))="","",INDEX(EXTRATO!$H$2:$H$3000,MATCH($A231,EXTRATO!$A$2:$A$3000,0))))</f>
        <v>AFONSO PAULO C. FERRO</v>
      </c>
      <c r="J231" s="86" t="s">
        <v>1307</v>
      </c>
      <c r="K231" s="86" t="str">
        <f>IF(AND(A231="",D231="",E231="",F231=""),"",IF(D231="","SEM CATEGORIA",IF(E231="","SEM SUBCATEGORIA",IF(COUNTIFS(CADASTROS!$L$7:$L$93,D231,CADASTROS!$D$7:$D$93,E231)=0,"INCOMPATÍVEL","OK"))))</f>
        <v>OK</v>
      </c>
    </row>
    <row r="232" spans="1:11" ht="30" hidden="1" customHeight="1" x14ac:dyDescent="0.25">
      <c r="A232" s="86" t="s">
        <v>1595</v>
      </c>
      <c r="B232" s="85">
        <f>IF(A232="","",IF(INDEX(EXTRATO!$C$2:$C$3000,MATCH($A232,EXTRATO!$A$2:$A$3000,0))="","",INDEX(EXTRATO!$C$2:$C$3000,MATCH($A232,EXTRATO!$A$2:$A$3000,0))))</f>
        <v>46086</v>
      </c>
      <c r="C232" s="86">
        <f t="shared" si="3"/>
        <v>3</v>
      </c>
      <c r="D232" s="81" t="s">
        <v>1330</v>
      </c>
      <c r="E232" s="79" t="s">
        <v>1331</v>
      </c>
      <c r="F232" s="80">
        <v>808</v>
      </c>
      <c r="G232" s="81" t="s">
        <v>239</v>
      </c>
      <c r="H232" s="86" t="str">
        <f>IF(A232="","",IF(INDEX(EXTRATO!$F$2:$F$3000,MATCH($A232,EXTRATO!$A$2:$A$3000,0))="","",INDEX(EXTRATO!$F$2:$F$3000,MATCH($A232,EXTRATO!$A$2:$A$3000,0))))</f>
        <v>SAÍDA</v>
      </c>
      <c r="I232" s="88" t="str">
        <f>IF(A232="","",IF(INDEX(EXTRATO!$H$2:$H$3000,MATCH($A232,EXTRATO!$A$2:$A$3000,0))="","",INDEX(EXTRATO!$H$2:$H$3000,MATCH($A232,EXTRATO!$A$2:$A$3000,0))))</f>
        <v>BRANDÃO &amp; BRANDÃO</v>
      </c>
      <c r="J232" s="86" t="s">
        <v>1313</v>
      </c>
      <c r="K232" s="86" t="str">
        <f>IF(AND(A232="",D232="",E232="",F232=""),"",IF(D232="","SEM CATEGORIA",IF(E232="","SEM SUBCATEGORIA",IF(COUNTIFS(CADASTROS!$L$7:$L$93,D232,CADASTROS!$D$7:$D$93,E232)=0,"INCOMPATÍVEL","OK"))))</f>
        <v>OK</v>
      </c>
    </row>
    <row r="233" spans="1:11" ht="30" hidden="1" customHeight="1" x14ac:dyDescent="0.25">
      <c r="A233" s="86" t="s">
        <v>1596</v>
      </c>
      <c r="B233" s="85">
        <f>IF(A233="","",IF(INDEX(EXTRATO!$C$2:$C$3000,MATCH($A233,EXTRATO!$A$2:$A$3000,0))="","",INDEX(EXTRATO!$C$2:$C$3000,MATCH($A233,EXTRATO!$A$2:$A$3000,0))))</f>
        <v>46086</v>
      </c>
      <c r="C233" s="86">
        <f t="shared" si="3"/>
        <v>3</v>
      </c>
      <c r="D233" s="81" t="s">
        <v>1311</v>
      </c>
      <c r="E233" s="79" t="s">
        <v>1470</v>
      </c>
      <c r="F233" s="80">
        <v>647.55999999999995</v>
      </c>
      <c r="G233" s="81" t="s">
        <v>366</v>
      </c>
      <c r="H233" s="86" t="str">
        <f>IF(A233="","",IF(INDEX(EXTRATO!$F$2:$F$3000,MATCH($A233,EXTRATO!$A$2:$A$3000,0))="","",INDEX(EXTRATO!$F$2:$F$3000,MATCH($A233,EXTRATO!$A$2:$A$3000,0))))</f>
        <v>SAÍDA</v>
      </c>
      <c r="I233" s="88" t="str">
        <f>IF(A233="","",IF(INDEX(EXTRATO!$H$2:$H$3000,MATCH($A233,EXTRATO!$A$2:$A$3000,0))="","",INDEX(EXTRATO!$H$2:$H$3000,MATCH($A233,EXTRATO!$A$2:$A$3000,0))))</f>
        <v>QUALIÁGUA</v>
      </c>
      <c r="J233" s="86" t="s">
        <v>1313</v>
      </c>
      <c r="K233" s="86" t="str">
        <f>IF(AND(A233="",D233="",E233="",F233=""),"",IF(D233="","SEM CATEGORIA",IF(E233="","SEM SUBCATEGORIA",IF(COUNTIFS(CADASTROS!$L$7:$L$93,D233,CADASTROS!$D$7:$D$93,E233)=0,"INCOMPATÍVEL","OK"))))</f>
        <v>OK</v>
      </c>
    </row>
    <row r="234" spans="1:11" ht="30" hidden="1" customHeight="1" x14ac:dyDescent="0.25">
      <c r="A234" s="86" t="s">
        <v>1597</v>
      </c>
      <c r="B234" s="85">
        <f>IF(A234="","",IF(INDEX(EXTRATO!$C$2:$C$3000,MATCH($A234,EXTRATO!$A$2:$A$3000,0))="","",INDEX(EXTRATO!$C$2:$C$3000,MATCH($A234,EXTRATO!$A$2:$A$3000,0))))</f>
        <v>46087</v>
      </c>
      <c r="C234" s="86">
        <f t="shared" si="3"/>
        <v>3</v>
      </c>
      <c r="D234" s="81" t="s">
        <v>1367</v>
      </c>
      <c r="E234" s="79" t="s">
        <v>1479</v>
      </c>
      <c r="F234" s="80">
        <v>71392.149999999994</v>
      </c>
      <c r="G234" s="81" t="s">
        <v>369</v>
      </c>
      <c r="H234" s="86" t="str">
        <f>IF(A234="","",IF(INDEX(EXTRATO!$F$2:$F$3000,MATCH($A234,EXTRATO!$A$2:$A$3000,0))="","",INDEX(EXTRATO!$F$2:$F$3000,MATCH($A234,EXTRATO!$A$2:$A$3000,0))))</f>
        <v>SAÍDA</v>
      </c>
      <c r="I234" s="88" t="str">
        <f>IF(A234="","",IF(INDEX(EXTRATO!$H$2:$H$3000,MATCH($A234,EXTRATO!$A$2:$A$3000,0))="","",INDEX(EXTRATO!$H$2:$H$3000,MATCH($A234,EXTRATO!$A$2:$A$3000,0))))</f>
        <v>FOLHA DE PAGAMENTO</v>
      </c>
      <c r="J234" s="86" t="s">
        <v>1313</v>
      </c>
      <c r="K234" s="86" t="str">
        <f>IF(AND(A234="",D234="",E234="",F234=""),"",IF(D234="","SEM CATEGORIA",IF(E234="","SEM SUBCATEGORIA",IF(COUNTIFS(CADASTROS!$L$7:$L$93,D234,CADASTROS!$D$7:$D$93,E234)=0,"INCOMPATÍVEL","OK"))))</f>
        <v>OK</v>
      </c>
    </row>
    <row r="235" spans="1:11" ht="30" hidden="1" customHeight="1" x14ac:dyDescent="0.25">
      <c r="A235" s="86" t="s">
        <v>1598</v>
      </c>
      <c r="B235" s="85">
        <f>IF(A235="","",IF(INDEX(EXTRATO!$C$2:$C$3000,MATCH($A235,EXTRATO!$A$2:$A$3000,0))="","",INDEX(EXTRATO!$C$2:$C$3000,MATCH($A235,EXTRATO!$A$2:$A$3000,0))))</f>
        <v>46087</v>
      </c>
      <c r="C235" s="86">
        <f t="shared" si="3"/>
        <v>3</v>
      </c>
      <c r="D235" s="81" t="s">
        <v>1330</v>
      </c>
      <c r="E235" s="79" t="s">
        <v>1352</v>
      </c>
      <c r="F235" s="80">
        <v>36.75</v>
      </c>
      <c r="G235" s="81" t="s">
        <v>276</v>
      </c>
      <c r="H235" s="86" t="str">
        <f>IF(A235="","",IF(INDEX(EXTRATO!$F$2:$F$3000,MATCH($A235,EXTRATO!$A$2:$A$3000,0))="","",INDEX(EXTRATO!$F$2:$F$3000,MATCH($A235,EXTRATO!$A$2:$A$3000,0))))</f>
        <v>SAÍDA</v>
      </c>
      <c r="I235" s="88" t="str">
        <f>IF(A235="","",IF(INDEX(EXTRATO!$H$2:$H$3000,MATCH($A235,EXTRATO!$A$2:$A$3000,0))="","",INDEX(EXTRATO!$H$2:$H$3000,MATCH($A235,EXTRATO!$A$2:$A$3000,0))))</f>
        <v>TARIFA BANCÁRIA</v>
      </c>
      <c r="J235" s="86" t="s">
        <v>1313</v>
      </c>
      <c r="K235" s="86" t="str">
        <f>IF(AND(A235="",D235="",E235="",F235=""),"",IF(D235="","SEM CATEGORIA",IF(E235="","SEM SUBCATEGORIA",IF(COUNTIFS(CADASTROS!$L$7:$L$93,D235,CADASTROS!$D$7:$D$93,E235)=0,"INCOMPATÍVEL","OK"))))</f>
        <v>OK</v>
      </c>
    </row>
    <row r="236" spans="1:11" ht="30" hidden="1" customHeight="1" x14ac:dyDescent="0.25">
      <c r="A236" s="86" t="s">
        <v>1599</v>
      </c>
      <c r="B236" s="85">
        <f>IF(A236="","",IF(INDEX(EXTRATO!$C$2:$C$3000,MATCH($A236,EXTRATO!$A$2:$A$3000,0))="","",INDEX(EXTRATO!$C$2:$C$3000,MATCH($A236,EXTRATO!$A$2:$A$3000,0))))</f>
        <v>46090</v>
      </c>
      <c r="C236" s="86">
        <f t="shared" si="3"/>
        <v>3</v>
      </c>
      <c r="D236" s="81" t="s">
        <v>1330</v>
      </c>
      <c r="E236" s="79" t="s">
        <v>1352</v>
      </c>
      <c r="F236" s="80">
        <v>205.81</v>
      </c>
      <c r="G236" s="81" t="s">
        <v>370</v>
      </c>
      <c r="H236" s="86" t="str">
        <f>IF(A236="","",IF(INDEX(EXTRATO!$F$2:$F$3000,MATCH($A236,EXTRATO!$A$2:$A$3000,0))="","",INDEX(EXTRATO!$F$2:$F$3000,MATCH($A236,EXTRATO!$A$2:$A$3000,0))))</f>
        <v>SAÍDA</v>
      </c>
      <c r="I236" s="88" t="str">
        <f>IF(A236="","",IF(INDEX(EXTRATO!$H$2:$H$3000,MATCH($A236,EXTRATO!$A$2:$A$3000,0))="","",INDEX(EXTRATO!$H$2:$H$3000,MATCH($A236,EXTRATO!$A$2:$A$3000,0))))</f>
        <v>GUIA DE RECOLHIMENTO DE ALVARÁ AMBIENTAL</v>
      </c>
      <c r="J236" s="86" t="s">
        <v>1313</v>
      </c>
      <c r="K236" s="86" t="str">
        <f>IF(AND(A236="",D236="",E236="",F236=""),"",IF(D236="","SEM CATEGORIA",IF(E236="","SEM SUBCATEGORIA",IF(COUNTIFS(CADASTROS!$L$7:$L$93,D236,CADASTROS!$D$7:$D$93,E236)=0,"INCOMPATÍVEL","OK"))))</f>
        <v>OK</v>
      </c>
    </row>
    <row r="237" spans="1:11" ht="30" hidden="1" customHeight="1" x14ac:dyDescent="0.25">
      <c r="A237" s="86" t="s">
        <v>1600</v>
      </c>
      <c r="B237" s="85">
        <f>IF(A237="","",IF(INDEX(EXTRATO!$C$2:$C$3000,MATCH($A237,EXTRATO!$A$2:$A$3000,0))="","",INDEX(EXTRATO!$C$2:$C$3000,MATCH($A237,EXTRATO!$A$2:$A$3000,0))))</f>
        <v>46092</v>
      </c>
      <c r="C237" s="86">
        <f t="shared" si="3"/>
        <v>3</v>
      </c>
      <c r="D237" s="81" t="s">
        <v>1454</v>
      </c>
      <c r="E237" s="79" t="s">
        <v>1473</v>
      </c>
      <c r="F237" s="80">
        <v>48992.160000000003</v>
      </c>
      <c r="G237" s="81" t="s">
        <v>371</v>
      </c>
      <c r="H237" s="86" t="str">
        <f>IF(A237="","",IF(INDEX(EXTRATO!$F$2:$F$3000,MATCH($A237,EXTRATO!$A$2:$A$3000,0))="","",INDEX(EXTRATO!$F$2:$F$3000,MATCH($A237,EXTRATO!$A$2:$A$3000,0))))</f>
        <v>SAÍDA</v>
      </c>
      <c r="I237" s="88" t="str">
        <f>IF(A237="","",IF(INDEX(EXTRATO!$H$2:$H$3000,MATCH($A237,EXTRATO!$A$2:$A$3000,0))="","",INDEX(EXTRATO!$H$2:$H$3000,MATCH($A237,EXTRATO!$A$2:$A$3000,0))))</f>
        <v>NIPRO</v>
      </c>
      <c r="J237" s="86" t="s">
        <v>1313</v>
      </c>
      <c r="K237" s="86" t="str">
        <f>IF(AND(A237="",D237="",E237="",F237=""),"",IF(D237="","SEM CATEGORIA",IF(E237="","SEM SUBCATEGORIA",IF(COUNTIFS(CADASTROS!$L$7:$L$93,D237,CADASTROS!$D$7:$D$93,E237)=0,"INCOMPATÍVEL","OK"))))</f>
        <v>OK</v>
      </c>
    </row>
    <row r="238" spans="1:11" ht="30" hidden="1" customHeight="1" x14ac:dyDescent="0.25">
      <c r="A238" s="86" t="s">
        <v>1601</v>
      </c>
      <c r="B238" s="85">
        <f>IF(A238="","",IF(INDEX(EXTRATO!$C$2:$C$3000,MATCH($A238,EXTRATO!$A$2:$A$3000,0))="","",INDEX(EXTRATO!$C$2:$C$3000,MATCH($A238,EXTRATO!$A$2:$A$3000,0))))</f>
        <v>46091</v>
      </c>
      <c r="C238" s="86">
        <f t="shared" si="3"/>
        <v>3</v>
      </c>
      <c r="D238" s="81" t="s">
        <v>1388</v>
      </c>
      <c r="E238" s="79" t="s">
        <v>125</v>
      </c>
      <c r="F238" s="80">
        <v>26455.75</v>
      </c>
      <c r="G238" s="81" t="s">
        <v>1605</v>
      </c>
      <c r="H238" s="86" t="str">
        <f>IF(A238="","",IF(INDEX(EXTRATO!$F$2:$F$3000,MATCH($A238,EXTRATO!$A$2:$A$3000,0))="","",INDEX(EXTRATO!$F$2:$F$3000,MATCH($A238,EXTRATO!$A$2:$A$3000,0))))</f>
        <v>SAÍDA</v>
      </c>
      <c r="I238" s="88" t="str">
        <f>IF(A238="","",IF(INDEX(EXTRATO!$H$2:$H$3000,MATCH($A238,EXTRATO!$A$2:$A$3000,0))="","",INDEX(EXTRATO!$H$2:$H$3000,MATCH($A238,EXTRATO!$A$2:$A$3000,0))))</f>
        <v>ISS</v>
      </c>
      <c r="J238" s="86" t="s">
        <v>1313</v>
      </c>
      <c r="K238" s="86" t="str">
        <f>IF(AND(A238="",D238="",E238="",F238=""),"",IF(D238="","SEM CATEGORIA",IF(E238="","SEM SUBCATEGORIA",IF(COUNTIFS(CADASTROS!$L$7:$L$93,D238,CADASTROS!$D$7:$D$93,E238)=0,"INCOMPATÍVEL","OK"))))</f>
        <v>OK</v>
      </c>
    </row>
    <row r="239" spans="1:11" ht="30" hidden="1" customHeight="1" x14ac:dyDescent="0.25">
      <c r="A239" s="86" t="s">
        <v>1602</v>
      </c>
      <c r="B239" s="85">
        <f>IF(A239="","",IF(INDEX(EXTRATO!$C$2:$C$3000,MATCH($A239,EXTRATO!$A$2:$A$3000,0))="","",INDEX(EXTRATO!$C$2:$C$3000,MATCH($A239,EXTRATO!$A$2:$A$3000,0))))</f>
        <v>46091</v>
      </c>
      <c r="C239" s="86">
        <f t="shared" si="3"/>
        <v>3</v>
      </c>
      <c r="D239" s="81" t="s">
        <v>1311</v>
      </c>
      <c r="E239" s="79" t="s">
        <v>1404</v>
      </c>
      <c r="F239" s="80">
        <v>19933.689999999999</v>
      </c>
      <c r="G239" s="81" t="s">
        <v>373</v>
      </c>
      <c r="H239" s="86" t="str">
        <f>IF(A239="","",IF(INDEX(EXTRATO!$F$2:$F$3000,MATCH($A239,EXTRATO!$A$2:$A$3000,0))="","",INDEX(EXTRATO!$F$2:$F$3000,MATCH($A239,EXTRATO!$A$2:$A$3000,0))))</f>
        <v>SAÍDA</v>
      </c>
      <c r="I239" s="88" t="str">
        <f>IF(A239="","",IF(INDEX(EXTRATO!$H$2:$H$3000,MATCH($A239,EXTRATO!$A$2:$A$3000,0))="","",INDEX(EXTRATO!$H$2:$H$3000,MATCH($A239,EXTRATO!$A$2:$A$3000,0))))</f>
        <v>FARMACE</v>
      </c>
      <c r="J239" s="86" t="s">
        <v>1313</v>
      </c>
      <c r="K239" s="86" t="str">
        <f>IF(AND(A239="",D239="",E239="",F239=""),"",IF(D239="","SEM CATEGORIA",IF(E239="","SEM SUBCATEGORIA",IF(COUNTIFS(CADASTROS!$L$7:$L$93,D239,CADASTROS!$D$7:$D$93,E239)=0,"INCOMPATÍVEL","OK"))))</f>
        <v>OK</v>
      </c>
    </row>
    <row r="240" spans="1:11" ht="30" hidden="1" customHeight="1" x14ac:dyDescent="0.25">
      <c r="A240" s="86" t="s">
        <v>1603</v>
      </c>
      <c r="B240" s="85">
        <f>IF(A240="","",IF(INDEX(EXTRATO!$C$2:$C$3000,MATCH($A240,EXTRATO!$A$2:$A$3000,0))="","",INDEX(EXTRATO!$C$2:$C$3000,MATCH($A240,EXTRATO!$A$2:$A$3000,0))))</f>
        <v>46091</v>
      </c>
      <c r="C240" s="86">
        <f t="shared" si="3"/>
        <v>3</v>
      </c>
      <c r="D240" s="81" t="s">
        <v>1330</v>
      </c>
      <c r="E240" s="79" t="s">
        <v>1344</v>
      </c>
      <c r="F240" s="80">
        <v>18174.73</v>
      </c>
      <c r="G240" s="81" t="s">
        <v>374</v>
      </c>
      <c r="H240" s="86" t="str">
        <f>IF(A240="","",IF(INDEX(EXTRATO!$F$2:$F$3000,MATCH($A240,EXTRATO!$A$2:$A$3000,0))="","",INDEX(EXTRATO!$F$2:$F$3000,MATCH($A240,EXTRATO!$A$2:$A$3000,0))))</f>
        <v>SAÍDA</v>
      </c>
      <c r="I240" s="88" t="str">
        <f>IF(A240="","",IF(INDEX(EXTRATO!$H$2:$H$3000,MATCH($A240,EXTRATO!$A$2:$A$3000,0))="","",INDEX(EXTRATO!$H$2:$H$3000,MATCH($A240,EXTRATO!$A$2:$A$3000,0))))</f>
        <v>EQUATORIAL MARANHÃO</v>
      </c>
      <c r="J240" s="86" t="s">
        <v>1313</v>
      </c>
      <c r="K240" s="86" t="str">
        <f>IF(AND(A240="",D240="",E240="",F240=""),"",IF(D240="","SEM CATEGORIA",IF(E240="","SEM SUBCATEGORIA",IF(COUNTIFS(CADASTROS!$L$7:$L$93,D240,CADASTROS!$D$7:$D$93,E240)=0,"INCOMPATÍVEL","OK"))))</f>
        <v>OK</v>
      </c>
    </row>
    <row r="241" spans="1:11" ht="30" hidden="1" customHeight="1" x14ac:dyDescent="0.25">
      <c r="A241" s="86" t="s">
        <v>1604</v>
      </c>
      <c r="B241" s="85">
        <f>IF(A241="","",IF(INDEX(EXTRATO!$C$2:$C$3000,MATCH($A241,EXTRATO!$A$2:$A$3000,0))="","",INDEX(EXTRATO!$C$2:$C$3000,MATCH($A241,EXTRATO!$A$2:$A$3000,0))))</f>
        <v>46091</v>
      </c>
      <c r="C241" s="86">
        <f t="shared" si="3"/>
        <v>3</v>
      </c>
      <c r="D241" s="81" t="s">
        <v>1311</v>
      </c>
      <c r="E241" s="79" t="s">
        <v>1342</v>
      </c>
      <c r="F241" s="80">
        <v>10359.84</v>
      </c>
      <c r="G241" s="81" t="s">
        <v>161</v>
      </c>
      <c r="H241" s="86" t="str">
        <f>IF(A241="","",IF(INDEX(EXTRATO!$F$2:$F$3000,MATCH($A241,EXTRATO!$A$2:$A$3000,0))="","",INDEX(EXTRATO!$F$2:$F$3000,MATCH($A241,EXTRATO!$A$2:$A$3000,0))))</f>
        <v>SAÍDA</v>
      </c>
      <c r="I241" s="88" t="str">
        <f>IF(A241="","",IF(INDEX(EXTRATO!$H$2:$H$3000,MATCH($A241,EXTRATO!$A$2:$A$3000,0))="","",INDEX(EXTRATO!$H$2:$H$3000,MATCH($A241,EXTRATO!$A$2:$A$3000,0))))</f>
        <v>CRISTALIA PRODUTOS</v>
      </c>
      <c r="J241" s="86" t="s">
        <v>1313</v>
      </c>
      <c r="K241" s="86" t="str">
        <f>IF(AND(A241="",D241="",E241="",F241=""),"",IF(D241="","SEM CATEGORIA",IF(E241="","SEM SUBCATEGORIA",IF(COUNTIFS(CADASTROS!$L$7:$L$93,D241,CADASTROS!$D$7:$D$93,E241)=0,"INCOMPATÍVEL","OK"))))</f>
        <v>OK</v>
      </c>
    </row>
    <row r="242" spans="1:11" ht="30" hidden="1" customHeight="1" x14ac:dyDescent="0.25">
      <c r="A242" s="86" t="s">
        <v>1606</v>
      </c>
      <c r="B242" s="85">
        <f>IF(A242="","",IF(INDEX(EXTRATO!$C$2:$C$3000,MATCH($A242,EXTRATO!$A$2:$A$3000,0))="","",INDEX(EXTRATO!$C$2:$C$3000,MATCH($A242,EXTRATO!$A$2:$A$3000,0))))</f>
        <v>46092</v>
      </c>
      <c r="C242" s="86">
        <f t="shared" si="3"/>
        <v>3</v>
      </c>
      <c r="D242" s="81" t="s">
        <v>1454</v>
      </c>
      <c r="E242" s="79" t="s">
        <v>1473</v>
      </c>
      <c r="F242" s="80">
        <v>9331.84</v>
      </c>
      <c r="G242" s="81" t="s">
        <v>375</v>
      </c>
      <c r="H242" s="86" t="str">
        <f>IF(A242="","",IF(INDEX(EXTRATO!$F$2:$F$3000,MATCH($A242,EXTRATO!$A$2:$A$3000,0))="","",INDEX(EXTRATO!$F$2:$F$3000,MATCH($A242,EXTRATO!$A$2:$A$3000,0))))</f>
        <v>SAÍDA</v>
      </c>
      <c r="I242" s="88" t="str">
        <f>IF(A242="","",IF(INDEX(EXTRATO!$H$2:$H$3000,MATCH($A242,EXTRATO!$A$2:$A$3000,0))="","",INDEX(EXTRATO!$H$2:$H$3000,MATCH($A242,EXTRATO!$A$2:$A$3000,0))))</f>
        <v>NIPRO</v>
      </c>
      <c r="J242" s="86" t="s">
        <v>1313</v>
      </c>
      <c r="K242" s="86" t="str">
        <f>IF(AND(A242="",D242="",E242="",F242=""),"",IF(D242="","SEM CATEGORIA",IF(E242="","SEM SUBCATEGORIA",IF(COUNTIFS(CADASTROS!$L$7:$L$93,D242,CADASTROS!$D$7:$D$93,E242)=0,"INCOMPATÍVEL","OK"))))</f>
        <v>OK</v>
      </c>
    </row>
    <row r="243" spans="1:11" ht="30" hidden="1" customHeight="1" x14ac:dyDescent="0.25">
      <c r="A243" s="86" t="s">
        <v>1607</v>
      </c>
      <c r="B243" s="85">
        <f>IF(A243="","",IF(INDEX(EXTRATO!$C$2:$C$3000,MATCH($A243,EXTRATO!$A$2:$A$3000,0))="","",INDEX(EXTRATO!$C$2:$C$3000,MATCH($A243,EXTRATO!$A$2:$A$3000,0))))</f>
        <v>46091</v>
      </c>
      <c r="C243" s="86">
        <f t="shared" si="3"/>
        <v>3</v>
      </c>
      <c r="D243" s="81" t="s">
        <v>1415</v>
      </c>
      <c r="E243" s="79" t="s">
        <v>1420</v>
      </c>
      <c r="F243" s="80">
        <v>3886.36</v>
      </c>
      <c r="G243" s="81" t="s">
        <v>376</v>
      </c>
      <c r="H243" s="86" t="str">
        <f>IF(A243="","",IF(INDEX(EXTRATO!$F$2:$F$3000,MATCH($A243,EXTRATO!$A$2:$A$3000,0))="","",INDEX(EXTRATO!$F$2:$F$3000,MATCH($A243,EXTRATO!$A$2:$A$3000,0))))</f>
        <v>SAÍDA</v>
      </c>
      <c r="I243" s="88" t="str">
        <f>IF(A243="","",IF(INDEX(EXTRATO!$H$2:$H$3000,MATCH($A243,EXTRATO!$A$2:$A$3000,0))="","",INDEX(EXTRATO!$H$2:$H$3000,MATCH($A243,EXTRATO!$A$2:$A$3000,0))))</f>
        <v>I F DA SILVA &amp; CIA LTDA</v>
      </c>
      <c r="J243" s="86" t="s">
        <v>1313</v>
      </c>
      <c r="K243" s="86" t="str">
        <f>IF(AND(A243="",D243="",E243="",F243=""),"",IF(D243="","SEM CATEGORIA",IF(E243="","SEM SUBCATEGORIA",IF(COUNTIFS(CADASTROS!$L$7:$L$93,D243,CADASTROS!$D$7:$D$93,E243)=0,"INCOMPATÍVEL","OK"))))</f>
        <v>OK</v>
      </c>
    </row>
    <row r="244" spans="1:11" ht="30" hidden="1" customHeight="1" x14ac:dyDescent="0.25">
      <c r="A244" s="86" t="s">
        <v>1607</v>
      </c>
      <c r="B244" s="85">
        <f>IF(A244="","",IF(INDEX(EXTRATO!$C$2:$C$3000,MATCH($A244,EXTRATO!$A$2:$A$3000,0))="","",INDEX(EXTRATO!$C$2:$C$3000,MATCH($A244,EXTRATO!$A$2:$A$3000,0))))</f>
        <v>46091</v>
      </c>
      <c r="C244" s="86">
        <f t="shared" si="3"/>
        <v>3</v>
      </c>
      <c r="D244" s="81" t="s">
        <v>1415</v>
      </c>
      <c r="E244" s="79" t="s">
        <v>1422</v>
      </c>
      <c r="F244" s="80">
        <v>3419.97</v>
      </c>
      <c r="G244" s="81" t="s">
        <v>376</v>
      </c>
      <c r="H244" s="86" t="str">
        <f>IF(A244="","",IF(INDEX(EXTRATO!$F$2:$F$3000,MATCH($A244,EXTRATO!$A$2:$A$3000,0))="","",INDEX(EXTRATO!$F$2:$F$3000,MATCH($A244,EXTRATO!$A$2:$A$3000,0))))</f>
        <v>SAÍDA</v>
      </c>
      <c r="I244" s="88" t="str">
        <f>IF(A244="","",IF(INDEX(EXTRATO!$H$2:$H$3000,MATCH($A244,EXTRATO!$A$2:$A$3000,0))="","",INDEX(EXTRATO!$H$2:$H$3000,MATCH($A244,EXTRATO!$A$2:$A$3000,0))))</f>
        <v>I F DA SILVA &amp; CIA LTDA</v>
      </c>
      <c r="J244" s="86" t="s">
        <v>1313</v>
      </c>
      <c r="K244" s="86" t="str">
        <f>IF(AND(A244="",D244="",E244="",F244=""),"",IF(D244="","SEM CATEGORIA",IF(E244="","SEM SUBCATEGORIA",IF(COUNTIFS(CADASTROS!$L$7:$L$93,D244,CADASTROS!$D$7:$D$93,E244)=0,"INCOMPATÍVEL","OK"))))</f>
        <v>OK</v>
      </c>
    </row>
    <row r="245" spans="1:11" ht="30" hidden="1" customHeight="1" x14ac:dyDescent="0.25">
      <c r="A245" s="86" t="s">
        <v>1607</v>
      </c>
      <c r="B245" s="85">
        <f>IF(A245="","",IF(INDEX(EXTRATO!$C$2:$C$3000,MATCH($A245,EXTRATO!$A$2:$A$3000,0))="","",INDEX(EXTRATO!$C$2:$C$3000,MATCH($A245,EXTRATO!$A$2:$A$3000,0))))</f>
        <v>46091</v>
      </c>
      <c r="C245" s="86">
        <f t="shared" si="3"/>
        <v>3</v>
      </c>
      <c r="D245" s="81" t="s">
        <v>1415</v>
      </c>
      <c r="E245" s="79" t="s">
        <v>1416</v>
      </c>
      <c r="F245" s="80">
        <v>800</v>
      </c>
      <c r="G245" s="81" t="s">
        <v>376</v>
      </c>
      <c r="H245" s="86" t="str">
        <f>IF(A245="","",IF(INDEX(EXTRATO!$F$2:$F$3000,MATCH($A245,EXTRATO!$A$2:$A$3000,0))="","",INDEX(EXTRATO!$F$2:$F$3000,MATCH($A245,EXTRATO!$A$2:$A$3000,0))))</f>
        <v>SAÍDA</v>
      </c>
      <c r="I245" s="88" t="str">
        <f>IF(A245="","",IF(INDEX(EXTRATO!$H$2:$H$3000,MATCH($A245,EXTRATO!$A$2:$A$3000,0))="","",INDEX(EXTRATO!$H$2:$H$3000,MATCH($A245,EXTRATO!$A$2:$A$3000,0))))</f>
        <v>I F DA SILVA &amp; CIA LTDA</v>
      </c>
      <c r="J245" s="86" t="s">
        <v>1313</v>
      </c>
      <c r="K245" s="86" t="str">
        <f>IF(AND(A245="",D245="",E245="",F245=""),"",IF(D245="","SEM CATEGORIA",IF(E245="","SEM SUBCATEGORIA",IF(COUNTIFS(CADASTROS!$L$7:$L$93,D245,CADASTROS!$D$7:$D$93,E245)=0,"INCOMPATÍVEL","OK"))))</f>
        <v>OK</v>
      </c>
    </row>
    <row r="246" spans="1:11" ht="30" hidden="1" customHeight="1" x14ac:dyDescent="0.25">
      <c r="A246" s="86" t="s">
        <v>1607</v>
      </c>
      <c r="B246" s="85">
        <f>IF(A246="","",IF(INDEX(EXTRATO!$C$2:$C$3000,MATCH($A246,EXTRATO!$A$2:$A$3000,0))="","",INDEX(EXTRATO!$C$2:$C$3000,MATCH($A246,EXTRATO!$A$2:$A$3000,0))))</f>
        <v>46091</v>
      </c>
      <c r="C246" s="86">
        <f t="shared" si="3"/>
        <v>3</v>
      </c>
      <c r="D246" s="81" t="s">
        <v>1415</v>
      </c>
      <c r="E246" s="79" t="s">
        <v>1418</v>
      </c>
      <c r="F246" s="80">
        <v>300</v>
      </c>
      <c r="G246" s="81" t="s">
        <v>376</v>
      </c>
      <c r="H246" s="86" t="str">
        <f>IF(A246="","",IF(INDEX(EXTRATO!$F$2:$F$3000,MATCH($A246,EXTRATO!$A$2:$A$3000,0))="","",INDEX(EXTRATO!$F$2:$F$3000,MATCH($A246,EXTRATO!$A$2:$A$3000,0))))</f>
        <v>SAÍDA</v>
      </c>
      <c r="I246" s="88" t="str">
        <f>IF(A246="","",IF(INDEX(EXTRATO!$H$2:$H$3000,MATCH($A246,EXTRATO!$A$2:$A$3000,0))="","",INDEX(EXTRATO!$H$2:$H$3000,MATCH($A246,EXTRATO!$A$2:$A$3000,0))))</f>
        <v>I F DA SILVA &amp; CIA LTDA</v>
      </c>
      <c r="J246" s="86" t="s">
        <v>1313</v>
      </c>
      <c r="K246" s="86" t="str">
        <f>IF(AND(A246="",D246="",E246="",F246=""),"",IF(D246="","SEM CATEGORIA",IF(E246="","SEM SUBCATEGORIA",IF(COUNTIFS(CADASTROS!$L$7:$L$93,D246,CADASTROS!$D$7:$D$93,E246)=0,"INCOMPATÍVEL","OK"))))</f>
        <v>OK</v>
      </c>
    </row>
    <row r="247" spans="1:11" ht="30" hidden="1" customHeight="1" x14ac:dyDescent="0.25">
      <c r="A247" s="86" t="s">
        <v>1608</v>
      </c>
      <c r="B247" s="85">
        <f>IF(A247="","",IF(INDEX(EXTRATO!$C$2:$C$3000,MATCH($A247,EXTRATO!$A$2:$A$3000,0))="","",INDEX(EXTRATO!$C$2:$C$3000,MATCH($A247,EXTRATO!$A$2:$A$3000,0))))</f>
        <v>46092</v>
      </c>
      <c r="C247" s="86">
        <f t="shared" si="3"/>
        <v>3</v>
      </c>
      <c r="D247" s="81" t="s">
        <v>1311</v>
      </c>
      <c r="E247" s="79" t="s">
        <v>1376</v>
      </c>
      <c r="F247" s="80">
        <v>6642.25</v>
      </c>
      <c r="G247" s="81" t="s">
        <v>378</v>
      </c>
      <c r="H247" s="86" t="str">
        <f>IF(A247="","",IF(INDEX(EXTRATO!$F$2:$F$3000,MATCH($A247,EXTRATO!$A$2:$A$3000,0))="","",INDEX(EXTRATO!$F$2:$F$3000,MATCH($A247,EXTRATO!$A$2:$A$3000,0))))</f>
        <v>SAÍDA</v>
      </c>
      <c r="I247" s="88" t="str">
        <f>IF(A247="","",IF(INDEX(EXTRATO!$H$2:$H$3000,MATCH($A247,EXTRATO!$A$2:$A$3000,0))="","",INDEX(EXTRATO!$H$2:$H$3000,MATCH($A247,EXTRATO!$A$2:$A$3000,0))))</f>
        <v>NIPRO</v>
      </c>
      <c r="J247" s="86" t="s">
        <v>1313</v>
      </c>
      <c r="K247" s="86" t="str">
        <f>IF(AND(A247="",D247="",E247="",F247=""),"",IF(D247="","SEM CATEGORIA",IF(E247="","SEM SUBCATEGORIA",IF(COUNTIFS(CADASTROS!$L$7:$L$93,D247,CADASTROS!$D$7:$D$93,E247)=0,"INCOMPATÍVEL","OK"))))</f>
        <v>OK</v>
      </c>
    </row>
    <row r="248" spans="1:11" ht="30" hidden="1" customHeight="1" x14ac:dyDescent="0.25">
      <c r="A248" s="86" t="s">
        <v>1609</v>
      </c>
      <c r="B248" s="85">
        <f>IF(A248="","",IF(INDEX(EXTRATO!$C$2:$C$3000,MATCH($A248,EXTRATO!$A$2:$A$3000,0))="","",INDEX(EXTRATO!$C$2:$C$3000,MATCH($A248,EXTRATO!$A$2:$A$3000,0))))</f>
        <v>46092</v>
      </c>
      <c r="C248" s="86">
        <f t="shared" si="3"/>
        <v>3</v>
      </c>
      <c r="D248" s="81" t="s">
        <v>1311</v>
      </c>
      <c r="E248" s="79" t="s">
        <v>1376</v>
      </c>
      <c r="F248" s="80">
        <v>6523.2</v>
      </c>
      <c r="G248" s="81" t="s">
        <v>379</v>
      </c>
      <c r="H248" s="86" t="str">
        <f>IF(A248="","",IF(INDEX(EXTRATO!$F$2:$F$3000,MATCH($A248,EXTRATO!$A$2:$A$3000,0))="","",INDEX(EXTRATO!$F$2:$F$3000,MATCH($A248,EXTRATO!$A$2:$A$3000,0))))</f>
        <v>SAÍDA</v>
      </c>
      <c r="I248" s="88" t="str">
        <f>IF(A248="","",IF(INDEX(EXTRATO!$H$2:$H$3000,MATCH($A248,EXTRATO!$A$2:$A$3000,0))="","",INDEX(EXTRATO!$H$2:$H$3000,MATCH($A248,EXTRATO!$A$2:$A$3000,0))))</f>
        <v>NIPRO</v>
      </c>
      <c r="J248" s="86" t="s">
        <v>1313</v>
      </c>
      <c r="K248" s="86" t="str">
        <f>IF(AND(A248="",D248="",E248="",F248=""),"",IF(D248="","SEM CATEGORIA",IF(E248="","SEM SUBCATEGORIA",IF(COUNTIFS(CADASTROS!$L$7:$L$93,D248,CADASTROS!$D$7:$D$93,E248)=0,"INCOMPATÍVEL","OK"))))</f>
        <v>OK</v>
      </c>
    </row>
    <row r="249" spans="1:11" ht="30" hidden="1" customHeight="1" x14ac:dyDescent="0.25">
      <c r="A249" s="86" t="s">
        <v>1610</v>
      </c>
      <c r="B249" s="85">
        <f>IF(A249="","",IF(INDEX(EXTRATO!$C$2:$C$3000,MATCH($A249,EXTRATO!$A$2:$A$3000,0))="","",INDEX(EXTRATO!$C$2:$C$3000,MATCH($A249,EXTRATO!$A$2:$A$3000,0))))</f>
        <v>46091</v>
      </c>
      <c r="C249" s="86">
        <f t="shared" si="3"/>
        <v>3</v>
      </c>
      <c r="D249" s="81" t="s">
        <v>1311</v>
      </c>
      <c r="E249" s="79" t="s">
        <v>1376</v>
      </c>
      <c r="F249" s="80">
        <v>4892.5</v>
      </c>
      <c r="G249" s="81" t="s">
        <v>381</v>
      </c>
      <c r="H249" s="86" t="str">
        <f>IF(A249="","",IF(INDEX(EXTRATO!$F$2:$F$3000,MATCH($A249,EXTRATO!$A$2:$A$3000,0))="","",INDEX(EXTRATO!$F$2:$F$3000,MATCH($A249,EXTRATO!$A$2:$A$3000,0))))</f>
        <v>SAÍDA</v>
      </c>
      <c r="I249" s="88" t="str">
        <f>IF(A249="","",IF(INDEX(EXTRATO!$H$2:$H$3000,MATCH($A249,EXTRATO!$A$2:$A$3000,0))="","",INDEX(EXTRATO!$H$2:$H$3000,MATCH($A249,EXTRATO!$A$2:$A$3000,0))))</f>
        <v>NIPRO</v>
      </c>
      <c r="J249" s="86" t="s">
        <v>1313</v>
      </c>
      <c r="K249" s="86" t="str">
        <f>IF(AND(A249="",D249="",E249="",F249=""),"",IF(D249="","SEM CATEGORIA",IF(E249="","SEM SUBCATEGORIA",IF(COUNTIFS(CADASTROS!$L$7:$L$93,D249,CADASTROS!$D$7:$D$93,E249)=0,"INCOMPATÍVEL","OK"))))</f>
        <v>OK</v>
      </c>
    </row>
    <row r="250" spans="1:11" ht="30" hidden="1" customHeight="1" x14ac:dyDescent="0.25">
      <c r="A250" s="86" t="s">
        <v>1611</v>
      </c>
      <c r="B250" s="85">
        <f>IF(A250="","",IF(INDEX(EXTRATO!$C$2:$C$3000,MATCH($A250,EXTRATO!$A$2:$A$3000,0))="","",INDEX(EXTRATO!$C$2:$C$3000,MATCH($A250,EXTRATO!$A$2:$A$3000,0))))</f>
        <v>46091</v>
      </c>
      <c r="C250" s="86">
        <f t="shared" si="3"/>
        <v>3</v>
      </c>
      <c r="D250" s="81" t="s">
        <v>1305</v>
      </c>
      <c r="E250" s="79" t="s">
        <v>1615</v>
      </c>
      <c r="F250" s="80">
        <v>410926.41</v>
      </c>
      <c r="G250" s="81" t="s">
        <v>382</v>
      </c>
      <c r="H250" s="86" t="str">
        <f>IF(A250="","",IF(INDEX(EXTRATO!$F$2:$F$3000,MATCH($A250,EXTRATO!$A$2:$A$3000,0))="","",INDEX(EXTRATO!$F$2:$F$3000,MATCH($A250,EXTRATO!$A$2:$A$3000,0))))</f>
        <v>ENTRADA</v>
      </c>
      <c r="I250" s="88" t="str">
        <f>IF(A250="","",IF(INDEX(EXTRATO!$H$2:$H$3000,MATCH($A250,EXTRATO!$A$2:$A$3000,0))="","",INDEX(EXTRATO!$H$2:$H$3000,MATCH($A250,EXTRATO!$A$2:$A$3000,0))))</f>
        <v>PISO DE ENFERMAGEM</v>
      </c>
      <c r="J250" s="86" t="s">
        <v>1307</v>
      </c>
      <c r="K250" s="86" t="str">
        <f>IF(AND(A250="",D250="",E250="",F250=""),"",IF(D250="","SEM CATEGORIA",IF(E250="","SEM SUBCATEGORIA",IF(COUNTIFS(CADASTROS!$L$7:$L$93,D250,CADASTROS!$D$7:$D$93,E250)=0,"INCOMPATÍVEL","OK"))))</f>
        <v>OK</v>
      </c>
    </row>
    <row r="251" spans="1:11" ht="30" hidden="1" customHeight="1" x14ac:dyDescent="0.25">
      <c r="A251" s="86" t="s">
        <v>1612</v>
      </c>
      <c r="B251" s="85">
        <f>IF(A251="","",IF(INDEX(EXTRATO!$C$2:$C$3000,MATCH($A251,EXTRATO!$A$2:$A$3000,0))="","",INDEX(EXTRATO!$C$2:$C$3000,MATCH($A251,EXTRATO!$A$2:$A$3000,0))))</f>
        <v>46091</v>
      </c>
      <c r="C251" s="86">
        <f t="shared" si="3"/>
        <v>3</v>
      </c>
      <c r="D251" s="81" t="s">
        <v>1305</v>
      </c>
      <c r="E251" s="79" t="s">
        <v>1615</v>
      </c>
      <c r="F251" s="80">
        <v>97106.4</v>
      </c>
      <c r="G251" s="81" t="s">
        <v>382</v>
      </c>
      <c r="H251" s="86" t="str">
        <f>IF(A251="","",IF(INDEX(EXTRATO!$F$2:$F$3000,MATCH($A251,EXTRATO!$A$2:$A$3000,0))="","",INDEX(EXTRATO!$F$2:$F$3000,MATCH($A251,EXTRATO!$A$2:$A$3000,0))))</f>
        <v>ENTRADA</v>
      </c>
      <c r="I251" s="88" t="str">
        <f>IF(A251="","",IF(INDEX(EXTRATO!$H$2:$H$3000,MATCH($A251,EXTRATO!$A$2:$A$3000,0))="","",INDEX(EXTRATO!$H$2:$H$3000,MATCH($A251,EXTRATO!$A$2:$A$3000,0))))</f>
        <v>REPASSE DO CONTRATO</v>
      </c>
      <c r="J251" s="86" t="s">
        <v>1307</v>
      </c>
      <c r="K251" s="86" t="str">
        <f>IF(AND(A251="",D251="",E251="",F251=""),"",IF(D251="","SEM CATEGORIA",IF(E251="","SEM SUBCATEGORIA",IF(COUNTIFS(CADASTROS!$L$7:$L$93,D251,CADASTROS!$D$7:$D$93,E251)=0,"INCOMPATÍVEL","OK"))))</f>
        <v>OK</v>
      </c>
    </row>
    <row r="252" spans="1:11" ht="30" hidden="1" customHeight="1" x14ac:dyDescent="0.25">
      <c r="A252" s="86" t="s">
        <v>1613</v>
      </c>
      <c r="B252" s="85">
        <f>IF(A252="","",IF(INDEX(EXTRATO!$C$2:$C$3000,MATCH($A252,EXTRATO!$A$2:$A$3000,0))="","",INDEX(EXTRATO!$C$2:$C$3000,MATCH($A252,EXTRATO!$A$2:$A$3000,0))))</f>
        <v>46091</v>
      </c>
      <c r="C252" s="86">
        <f t="shared" si="3"/>
        <v>3</v>
      </c>
      <c r="D252" s="81" t="s">
        <v>1330</v>
      </c>
      <c r="E252" s="79" t="s">
        <v>1358</v>
      </c>
      <c r="F252" s="80">
        <v>3772.87</v>
      </c>
      <c r="G252" s="81" t="s">
        <v>384</v>
      </c>
      <c r="H252" s="86" t="str">
        <f>IF(A252="","",IF(INDEX(EXTRATO!$F$2:$F$3000,MATCH($A252,EXTRATO!$A$2:$A$3000,0))="","",INDEX(EXTRATO!$F$2:$F$3000,MATCH($A252,EXTRATO!$A$2:$A$3000,0))))</f>
        <v>SAÍDA</v>
      </c>
      <c r="I252" s="88" t="str">
        <f>IF(A252="","",IF(INDEX(EXTRATO!$H$2:$H$3000,MATCH($A252,EXTRATO!$A$2:$A$3000,0))="","",INDEX(EXTRATO!$H$2:$H$3000,MATCH($A252,EXTRATO!$A$2:$A$3000,0))))</f>
        <v>CAMINO</v>
      </c>
      <c r="J252" s="86" t="s">
        <v>1313</v>
      </c>
      <c r="K252" s="86" t="str">
        <f>IF(AND(A252="",D252="",E252="",F252=""),"",IF(D252="","SEM CATEGORIA",IF(E252="","SEM SUBCATEGORIA",IF(COUNTIFS(CADASTROS!$L$7:$L$93,D252,CADASTROS!$D$7:$D$93,E252)=0,"INCOMPATÍVEL","OK"))))</f>
        <v>OK</v>
      </c>
    </row>
    <row r="253" spans="1:11" ht="30" hidden="1" customHeight="1" x14ac:dyDescent="0.25">
      <c r="A253" s="86" t="s">
        <v>1614</v>
      </c>
      <c r="B253" s="85">
        <f>IF(A253="","",IF(INDEX(EXTRATO!$C$2:$C$3000,MATCH($A253,EXTRATO!$A$2:$A$3000,0))="","",INDEX(EXTRATO!$C$2:$C$3000,MATCH($A253,EXTRATO!$A$2:$A$3000,0))))</f>
        <v>46091</v>
      </c>
      <c r="C253" s="86">
        <f t="shared" si="3"/>
        <v>3</v>
      </c>
      <c r="D253" s="81" t="s">
        <v>1311</v>
      </c>
      <c r="E253" s="79" t="s">
        <v>1312</v>
      </c>
      <c r="F253" s="80">
        <v>3147.45</v>
      </c>
      <c r="G253" s="81" t="s">
        <v>386</v>
      </c>
      <c r="H253" s="86" t="str">
        <f>IF(A253="","",IF(INDEX(EXTRATO!$F$2:$F$3000,MATCH($A253,EXTRATO!$A$2:$A$3000,0))="","",INDEX(EXTRATO!$F$2:$F$3000,MATCH($A253,EXTRATO!$A$2:$A$3000,0))))</f>
        <v>SAÍDA</v>
      </c>
      <c r="I253" s="88" t="str">
        <f>IF(A253="","",IF(INDEX(EXTRATO!$H$2:$H$3000,MATCH($A253,EXTRATO!$A$2:$A$3000,0))="","",INDEX(EXTRATO!$H$2:$H$3000,MATCH($A253,EXTRATO!$A$2:$A$3000,0))))</f>
        <v>SUPERMÉDICA</v>
      </c>
      <c r="J253" s="86" t="s">
        <v>1313</v>
      </c>
      <c r="K253" s="86" t="str">
        <f>IF(AND(A253="",D253="",E253="",F253=""),"",IF(D253="","SEM CATEGORIA",IF(E253="","SEM SUBCATEGORIA",IF(COUNTIFS(CADASTROS!$L$7:$L$93,D253,CADASTROS!$D$7:$D$93,E253)=0,"INCOMPATÍVEL","OK"))))</f>
        <v>OK</v>
      </c>
    </row>
    <row r="254" spans="1:11" ht="30" hidden="1" customHeight="1" x14ac:dyDescent="0.25">
      <c r="A254" s="86" t="s">
        <v>1616</v>
      </c>
      <c r="B254" s="85">
        <f>IF(A254="","",IF(INDEX(EXTRATO!$C$2:$C$3000,MATCH($A254,EXTRATO!$A$2:$A$3000,0))="","",INDEX(EXTRATO!$C$2:$C$3000,MATCH($A254,EXTRATO!$A$2:$A$3000,0))))</f>
        <v>46091</v>
      </c>
      <c r="C254" s="86">
        <f t="shared" si="3"/>
        <v>3</v>
      </c>
      <c r="D254" s="81" t="s">
        <v>1311</v>
      </c>
      <c r="E254" s="79" t="s">
        <v>1312</v>
      </c>
      <c r="F254" s="80">
        <v>2818.99</v>
      </c>
      <c r="G254" s="81" t="s">
        <v>607</v>
      </c>
      <c r="H254" s="86" t="str">
        <f>IF(A254="","",IF(INDEX(EXTRATO!$F$2:$F$3000,MATCH($A254,EXTRATO!$A$2:$A$3000,0))="","",INDEX(EXTRATO!$F$2:$F$3000,MATCH($A254,EXTRATO!$A$2:$A$3000,0))))</f>
        <v>SAÍDA</v>
      </c>
      <c r="I254" s="88" t="str">
        <f>IF(A254="","",IF(INDEX(EXTRATO!$H$2:$H$3000,MATCH($A254,EXTRATO!$A$2:$A$3000,0))="","",INDEX(EXTRATO!$H$2:$H$3000,MATCH($A254,EXTRATO!$A$2:$A$3000,0))))</f>
        <v>REMORA HOSPITALAR</v>
      </c>
      <c r="J254" s="86" t="s">
        <v>1313</v>
      </c>
      <c r="K254" s="86" t="str">
        <f>IF(AND(A254="",D254="",E254="",F254=""),"",IF(D254="","SEM CATEGORIA",IF(E254="","SEM SUBCATEGORIA",IF(COUNTIFS(CADASTROS!$L$7:$L$93,D254,CADASTROS!$D$7:$D$93,E254)=0,"INCOMPATÍVEL","OK"))))</f>
        <v>OK</v>
      </c>
    </row>
    <row r="255" spans="1:11" ht="30" hidden="1" customHeight="1" x14ac:dyDescent="0.25">
      <c r="A255" s="86" t="s">
        <v>1617</v>
      </c>
      <c r="B255" s="85">
        <f>IF(A255="","",IF(INDEX(EXTRATO!$C$2:$C$3000,MATCH($A255,EXTRATO!$A$2:$A$3000,0))="","",INDEX(EXTRATO!$C$2:$C$3000,MATCH($A255,EXTRATO!$A$2:$A$3000,0))))</f>
        <v>46091</v>
      </c>
      <c r="C255" s="86">
        <f t="shared" si="3"/>
        <v>3</v>
      </c>
      <c r="D255" s="81" t="s">
        <v>1311</v>
      </c>
      <c r="E255" s="79" t="s">
        <v>1312</v>
      </c>
      <c r="F255" s="80">
        <v>2548.85</v>
      </c>
      <c r="G255" s="81" t="s">
        <v>257</v>
      </c>
      <c r="H255" s="86" t="str">
        <f>IF(A255="","",IF(INDEX(EXTRATO!$F$2:$F$3000,MATCH($A255,EXTRATO!$A$2:$A$3000,0))="","",INDEX(EXTRATO!$F$2:$F$3000,MATCH($A255,EXTRATO!$A$2:$A$3000,0))))</f>
        <v>SAÍDA</v>
      </c>
      <c r="I255" s="88" t="str">
        <f>IF(A255="","",IF(INDEX(EXTRATO!$H$2:$H$3000,MATCH($A255,EXTRATO!$A$2:$A$3000,0))="","",INDEX(EXTRATO!$H$2:$H$3000,MATCH($A255,EXTRATO!$A$2:$A$3000,0))))</f>
        <v>ULTRAMEGA DISTRIBUIDORA</v>
      </c>
      <c r="J255" s="86" t="s">
        <v>1313</v>
      </c>
      <c r="K255" s="86" t="str">
        <f>IF(AND(A255="",D255="",E255="",F255=""),"",IF(D255="","SEM CATEGORIA",IF(E255="","SEM SUBCATEGORIA",IF(COUNTIFS(CADASTROS!$L$7:$L$93,D255,CADASTROS!$D$7:$D$93,E255)=0,"INCOMPATÍVEL","OK"))))</f>
        <v>OK</v>
      </c>
    </row>
    <row r="256" spans="1:11" ht="30" hidden="1" customHeight="1" x14ac:dyDescent="0.25">
      <c r="A256" s="86" t="s">
        <v>1618</v>
      </c>
      <c r="B256" s="85">
        <f>IF(A256="","",IF(INDEX(EXTRATO!$C$2:$C$3000,MATCH($A256,EXTRATO!$A$2:$A$3000,0))="","",INDEX(EXTRATO!$C$2:$C$3000,MATCH($A256,EXTRATO!$A$2:$A$3000,0))))</f>
        <v>46091</v>
      </c>
      <c r="C256" s="86">
        <f t="shared" si="3"/>
        <v>3</v>
      </c>
      <c r="D256" s="81" t="s">
        <v>1311</v>
      </c>
      <c r="E256" s="79" t="s">
        <v>1312</v>
      </c>
      <c r="F256" s="80">
        <v>2452.37</v>
      </c>
      <c r="G256" s="81" t="s">
        <v>390</v>
      </c>
      <c r="H256" s="86" t="str">
        <f>IF(A256="","",IF(INDEX(EXTRATO!$F$2:$F$3000,MATCH($A256,EXTRATO!$A$2:$A$3000,0))="","",INDEX(EXTRATO!$F$2:$F$3000,MATCH($A256,EXTRATO!$A$2:$A$3000,0))))</f>
        <v>SAÍDA</v>
      </c>
      <c r="I256" s="88" t="str">
        <f>IF(A256="","",IF(INDEX(EXTRATO!$H$2:$H$3000,MATCH($A256,EXTRATO!$A$2:$A$3000,0))="","",INDEX(EXTRATO!$H$2:$H$3000,MATCH($A256,EXTRATO!$A$2:$A$3000,0))))</f>
        <v>ULTRAMEGA DISTRIBUIDORA</v>
      </c>
      <c r="J256" s="86" t="s">
        <v>1313</v>
      </c>
      <c r="K256" s="86" t="str">
        <f>IF(AND(A256="",D256="",E256="",F256=""),"",IF(D256="","SEM CATEGORIA",IF(E256="","SEM SUBCATEGORIA",IF(COUNTIFS(CADASTROS!$L$7:$L$93,D256,CADASTROS!$D$7:$D$93,E256)=0,"INCOMPATÍVEL","OK"))))</f>
        <v>OK</v>
      </c>
    </row>
    <row r="257" spans="1:11" ht="30" hidden="1" customHeight="1" x14ac:dyDescent="0.25">
      <c r="A257" s="86" t="s">
        <v>1619</v>
      </c>
      <c r="B257" s="85">
        <f>IF(A257="","",IF(INDEX(EXTRATO!$C$2:$C$3000,MATCH($A257,EXTRATO!$A$2:$A$3000,0))="","",INDEX(EXTRATO!$C$2:$C$3000,MATCH($A257,EXTRATO!$A$2:$A$3000,0))))</f>
        <v>46091</v>
      </c>
      <c r="C257" s="86">
        <f t="shared" si="3"/>
        <v>3</v>
      </c>
      <c r="D257" s="81" t="s">
        <v>1311</v>
      </c>
      <c r="E257" s="79" t="s">
        <v>1315</v>
      </c>
      <c r="F257" s="80">
        <v>2201.29</v>
      </c>
      <c r="G257" s="81" t="s">
        <v>392</v>
      </c>
      <c r="H257" s="86" t="str">
        <f>IF(A257="","",IF(INDEX(EXTRATO!$F$2:$F$3000,MATCH($A257,EXTRATO!$A$2:$A$3000,0))="","",INDEX(EXTRATO!$F$2:$F$3000,MATCH($A257,EXTRATO!$A$2:$A$3000,0))))</f>
        <v>SAÍDA</v>
      </c>
      <c r="I257" s="88" t="str">
        <f>IF(A257="","",IF(INDEX(EXTRATO!$H$2:$H$3000,MATCH($A257,EXTRATO!$A$2:$A$3000,0))="","",INDEX(EXTRATO!$H$2:$H$3000,MATCH($A257,EXTRATO!$A$2:$A$3000,0))))</f>
        <v>ALLMED PRONEFRO</v>
      </c>
      <c r="J257" s="86" t="s">
        <v>1313</v>
      </c>
      <c r="K257" s="86" t="str">
        <f>IF(AND(A257="",D257="",E257="",F257=""),"",IF(D257="","SEM CATEGORIA",IF(E257="","SEM SUBCATEGORIA",IF(COUNTIFS(CADASTROS!$L$7:$L$93,D257,CADASTROS!$D$7:$D$93,E257)=0,"INCOMPATÍVEL","OK"))))</f>
        <v>OK</v>
      </c>
    </row>
    <row r="258" spans="1:11" ht="30" hidden="1" customHeight="1" x14ac:dyDescent="0.25">
      <c r="A258" s="86" t="s">
        <v>1620</v>
      </c>
      <c r="B258" s="85">
        <f>IF(A258="","",IF(INDEX(EXTRATO!$C$2:$C$3000,MATCH($A258,EXTRATO!$A$2:$A$3000,0))="","",INDEX(EXTRATO!$C$2:$C$3000,MATCH($A258,EXTRATO!$A$2:$A$3000,0))))</f>
        <v>46091</v>
      </c>
      <c r="C258" s="86">
        <f t="shared" ref="C258:C321" si="4">IF(B258="","",MONTH(B258))</f>
        <v>3</v>
      </c>
      <c r="D258" s="81" t="s">
        <v>1311</v>
      </c>
      <c r="E258" s="79" t="s">
        <v>1312</v>
      </c>
      <c r="F258" s="80">
        <v>2157.96</v>
      </c>
      <c r="G258" s="81" t="s">
        <v>262</v>
      </c>
      <c r="H258" s="86" t="str">
        <f>IF(A258="","",IF(INDEX(EXTRATO!$F$2:$F$3000,MATCH($A258,EXTRATO!$A$2:$A$3000,0))="","",INDEX(EXTRATO!$F$2:$F$3000,MATCH($A258,EXTRATO!$A$2:$A$3000,0))))</f>
        <v>SAÍDA</v>
      </c>
      <c r="I258" s="88" t="str">
        <f>IF(A258="","",IF(INDEX(EXTRATO!$H$2:$H$3000,MATCH($A258,EXTRATO!$A$2:$A$3000,0))="","",INDEX(EXTRATO!$H$2:$H$3000,MATCH($A258,EXTRATO!$A$2:$A$3000,0))))</f>
        <v>SUPERMÉDICA</v>
      </c>
      <c r="J258" s="86" t="s">
        <v>1313</v>
      </c>
      <c r="K258" s="86" t="str">
        <f>IF(AND(A258="",D258="",E258="",F258=""),"",IF(D258="","SEM CATEGORIA",IF(E258="","SEM SUBCATEGORIA",IF(COUNTIFS(CADASTROS!$L$7:$L$93,D258,CADASTROS!$D$7:$D$93,E258)=0,"INCOMPATÍVEL","OK"))))</f>
        <v>OK</v>
      </c>
    </row>
    <row r="259" spans="1:11" ht="30" hidden="1" customHeight="1" x14ac:dyDescent="0.25">
      <c r="A259" s="86" t="s">
        <v>1621</v>
      </c>
      <c r="B259" s="85">
        <f>IF(A259="","",IF(INDEX(EXTRATO!$C$2:$C$3000,MATCH($A259,EXTRATO!$A$2:$A$3000,0))="","",INDEX(EXTRATO!$C$2:$C$3000,MATCH($A259,EXTRATO!$A$2:$A$3000,0))))</f>
        <v>46091</v>
      </c>
      <c r="C259" s="86">
        <f t="shared" si="4"/>
        <v>3</v>
      </c>
      <c r="D259" s="81" t="s">
        <v>1454</v>
      </c>
      <c r="E259" s="79" t="s">
        <v>1521</v>
      </c>
      <c r="F259" s="80">
        <v>1983.32</v>
      </c>
      <c r="G259" s="81" t="s">
        <v>395</v>
      </c>
      <c r="H259" s="86" t="str">
        <f>IF(A259="","",IF(INDEX(EXTRATO!$F$2:$F$3000,MATCH($A259,EXTRATO!$A$2:$A$3000,0))="","",INDEX(EXTRATO!$F$2:$F$3000,MATCH($A259,EXTRATO!$A$2:$A$3000,0))))</f>
        <v>SAÍDA</v>
      </c>
      <c r="I259" s="88" t="str">
        <f>IF(A259="","",IF(INDEX(EXTRATO!$H$2:$H$3000,MATCH($A259,EXTRATO!$A$2:$A$3000,0))="","",INDEX(EXTRATO!$H$2:$H$3000,MATCH($A259,EXTRATO!$A$2:$A$3000,0))))</f>
        <v>BANCO VOLKSWAGEN</v>
      </c>
      <c r="J259" s="86" t="s">
        <v>1313</v>
      </c>
      <c r="K259" s="86" t="str">
        <f>IF(AND(A259="",D259="",E259="",F259=""),"",IF(D259="","SEM CATEGORIA",IF(E259="","SEM SUBCATEGORIA",IF(COUNTIFS(CADASTROS!$L$7:$L$93,D259,CADASTROS!$D$7:$D$93,E259)=0,"INCOMPATÍVEL","OK"))))</f>
        <v>OK</v>
      </c>
    </row>
    <row r="260" spans="1:11" ht="30" hidden="1" customHeight="1" x14ac:dyDescent="0.25">
      <c r="A260" s="86" t="s">
        <v>1622</v>
      </c>
      <c r="B260" s="85">
        <f>IF(A260="","",IF(INDEX(EXTRATO!$C$2:$C$3000,MATCH($A260,EXTRATO!$A$2:$A$3000,0))="","",INDEX(EXTRATO!$C$2:$C$3000,MATCH($A260,EXTRATO!$A$2:$A$3000,0))))</f>
        <v>46091</v>
      </c>
      <c r="C260" s="86">
        <f t="shared" si="4"/>
        <v>3</v>
      </c>
      <c r="D260" s="81" t="s">
        <v>1311</v>
      </c>
      <c r="E260" s="79" t="s">
        <v>1315</v>
      </c>
      <c r="F260" s="80">
        <v>1809.74</v>
      </c>
      <c r="G260" s="81" t="s">
        <v>53</v>
      </c>
      <c r="H260" s="86" t="str">
        <f>IF(A260="","",IF(INDEX(EXTRATO!$F$2:$F$3000,MATCH($A260,EXTRATO!$A$2:$A$3000,0))="","",INDEX(EXTRATO!$F$2:$F$3000,MATCH($A260,EXTRATO!$A$2:$A$3000,0))))</f>
        <v>SAÍDA</v>
      </c>
      <c r="I260" s="88" t="str">
        <f>IF(A260="","",IF(INDEX(EXTRATO!$H$2:$H$3000,MATCH($A260,EXTRATO!$A$2:$A$3000,0))="","",INDEX(EXTRATO!$H$2:$H$3000,MATCH($A260,EXTRATO!$A$2:$A$3000,0))))</f>
        <v>ALLMED PRONEFRO</v>
      </c>
      <c r="J260" s="86" t="s">
        <v>1313</v>
      </c>
      <c r="K260" s="86" t="str">
        <f>IF(AND(A260="",D260="",E260="",F260=""),"",IF(D260="","SEM CATEGORIA",IF(E260="","SEM SUBCATEGORIA",IF(COUNTIFS(CADASTROS!$L$7:$L$93,D260,CADASTROS!$D$7:$D$93,E260)=0,"INCOMPATÍVEL","OK"))))</f>
        <v>OK</v>
      </c>
    </row>
    <row r="261" spans="1:11" ht="30" hidden="1" customHeight="1" x14ac:dyDescent="0.25">
      <c r="A261" s="86" t="s">
        <v>1623</v>
      </c>
      <c r="B261" s="85">
        <f>IF(A261="","",IF(INDEX(EXTRATO!$C$2:$C$3000,MATCH($A261,EXTRATO!$A$2:$A$3000,0))="","",INDEX(EXTRATO!$C$2:$C$3000,MATCH($A261,EXTRATO!$A$2:$A$3000,0))))</f>
        <v>46091</v>
      </c>
      <c r="C261" s="86">
        <f t="shared" si="4"/>
        <v>3</v>
      </c>
      <c r="D261" s="81" t="s">
        <v>1311</v>
      </c>
      <c r="E261" s="79" t="s">
        <v>1470</v>
      </c>
      <c r="F261" s="80">
        <v>1345.96</v>
      </c>
      <c r="G261" s="81" t="s">
        <v>218</v>
      </c>
      <c r="H261" s="86" t="str">
        <f>IF(A261="","",IF(INDEX(EXTRATO!$F$2:$F$3000,MATCH($A261,EXTRATO!$A$2:$A$3000,0))="","",INDEX(EXTRATO!$F$2:$F$3000,MATCH($A261,EXTRATO!$A$2:$A$3000,0))))</f>
        <v>SAÍDA</v>
      </c>
      <c r="I261" s="88" t="str">
        <f>IF(A261="","",IF(INDEX(EXTRATO!$H$2:$H$3000,MATCH($A261,EXTRATO!$A$2:$A$3000,0))="","",INDEX(EXTRATO!$H$2:$H$3000,MATCH($A261,EXTRATO!$A$2:$A$3000,0))))</f>
        <v>QUALIÁGUA</v>
      </c>
      <c r="J261" s="86" t="s">
        <v>1313</v>
      </c>
      <c r="K261" s="86" t="str">
        <f>IF(AND(A261="",D261="",E261="",F261=""),"",IF(D261="","SEM CATEGORIA",IF(E261="","SEM SUBCATEGORIA",IF(COUNTIFS(CADASTROS!$L$7:$L$93,D261,CADASTROS!$D$7:$D$93,E261)=0,"INCOMPATÍVEL","OK"))))</f>
        <v>OK</v>
      </c>
    </row>
    <row r="262" spans="1:11" ht="30" hidden="1" customHeight="1" x14ac:dyDescent="0.25">
      <c r="A262" s="86" t="s">
        <v>1624</v>
      </c>
      <c r="B262" s="85">
        <f>IF(A262="","",IF(INDEX(EXTRATO!$C$2:$C$3000,MATCH($A262,EXTRATO!$A$2:$A$3000,0))="","",INDEX(EXTRATO!$C$2:$C$3000,MATCH($A262,EXTRATO!$A$2:$A$3000,0))))</f>
        <v>46091</v>
      </c>
      <c r="C262" s="86">
        <f t="shared" si="4"/>
        <v>3</v>
      </c>
      <c r="D262" s="81" t="s">
        <v>1311</v>
      </c>
      <c r="E262" s="79" t="s">
        <v>1315</v>
      </c>
      <c r="F262" s="80">
        <v>1333.81</v>
      </c>
      <c r="G262" s="81" t="s">
        <v>397</v>
      </c>
      <c r="H262" s="86" t="str">
        <f>IF(A262="","",IF(INDEX(EXTRATO!$F$2:$F$3000,MATCH($A262,EXTRATO!$A$2:$A$3000,0))="","",INDEX(EXTRATO!$F$2:$F$3000,MATCH($A262,EXTRATO!$A$2:$A$3000,0))))</f>
        <v>SAÍDA</v>
      </c>
      <c r="I262" s="88" t="str">
        <f>IF(A262="","",IF(INDEX(EXTRATO!$H$2:$H$3000,MATCH($A262,EXTRATO!$A$2:$A$3000,0))="","",INDEX(EXTRATO!$H$2:$H$3000,MATCH($A262,EXTRATO!$A$2:$A$3000,0))))</f>
        <v>ALLMED PRONEFRO</v>
      </c>
      <c r="J262" s="86" t="s">
        <v>1313</v>
      </c>
      <c r="K262" s="86" t="str">
        <f>IF(AND(A262="",D262="",E262="",F262=""),"",IF(D262="","SEM CATEGORIA",IF(E262="","SEM SUBCATEGORIA",IF(COUNTIFS(CADASTROS!$L$7:$L$93,D262,CADASTROS!$D$7:$D$93,E262)=0,"INCOMPATÍVEL","OK"))))</f>
        <v>OK</v>
      </c>
    </row>
    <row r="263" spans="1:11" ht="30" hidden="1" customHeight="1" x14ac:dyDescent="0.25">
      <c r="A263" s="86" t="s">
        <v>1625</v>
      </c>
      <c r="B263" s="85">
        <f>IF(A263="","",IF(INDEX(EXTRATO!$C$2:$C$3000,MATCH($A263,EXTRATO!$A$2:$A$3000,0))="","",INDEX(EXTRATO!$C$2:$C$3000,MATCH($A263,EXTRATO!$A$2:$A$3000,0))))</f>
        <v>46091</v>
      </c>
      <c r="C263" s="86">
        <f t="shared" si="4"/>
        <v>3</v>
      </c>
      <c r="D263" s="81" t="s">
        <v>1311</v>
      </c>
      <c r="E263" s="79" t="s">
        <v>1312</v>
      </c>
      <c r="F263" s="80">
        <v>1267.94</v>
      </c>
      <c r="G263" s="81" t="s">
        <v>398</v>
      </c>
      <c r="H263" s="86" t="str">
        <f>IF(A263="","",IF(INDEX(EXTRATO!$F$2:$F$3000,MATCH($A263,EXTRATO!$A$2:$A$3000,0))="","",INDEX(EXTRATO!$F$2:$F$3000,MATCH($A263,EXTRATO!$A$2:$A$3000,0))))</f>
        <v>SAÍDA</v>
      </c>
      <c r="I263" s="88" t="str">
        <f>IF(A263="","",IF(INDEX(EXTRATO!$H$2:$H$3000,MATCH($A263,EXTRATO!$A$2:$A$3000,0))="","",INDEX(EXTRATO!$H$2:$H$3000,MATCH($A263,EXTRATO!$A$2:$A$3000,0))))</f>
        <v>REMORA HOSPITALAR</v>
      </c>
      <c r="J263" s="86" t="s">
        <v>1313</v>
      </c>
      <c r="K263" s="86" t="str">
        <f>IF(AND(A263="",D263="",E263="",F263=""),"",IF(D263="","SEM CATEGORIA",IF(E263="","SEM SUBCATEGORIA",IF(COUNTIFS(CADASTROS!$L$7:$L$93,D263,CADASTROS!$D$7:$D$93,E263)=0,"INCOMPATÍVEL","OK"))))</f>
        <v>OK</v>
      </c>
    </row>
    <row r="264" spans="1:11" ht="30" hidden="1" customHeight="1" x14ac:dyDescent="0.25">
      <c r="A264" s="86" t="s">
        <v>1626</v>
      </c>
      <c r="B264" s="85">
        <f>IF(A264="","",IF(INDEX(EXTRATO!$C$2:$C$3000,MATCH($A264,EXTRATO!$A$2:$A$3000,0))="","",INDEX(EXTRATO!$C$2:$C$3000,MATCH($A264,EXTRATO!$A$2:$A$3000,0))))</f>
        <v>46091</v>
      </c>
      <c r="C264" s="86">
        <f t="shared" si="4"/>
        <v>3</v>
      </c>
      <c r="D264" s="81" t="s">
        <v>1330</v>
      </c>
      <c r="E264" s="79" t="s">
        <v>1331</v>
      </c>
      <c r="F264" s="80">
        <v>795.5</v>
      </c>
      <c r="G264" s="81" t="s">
        <v>400</v>
      </c>
      <c r="H264" s="86" t="str">
        <f>IF(A264="","",IF(INDEX(EXTRATO!$F$2:$F$3000,MATCH($A264,EXTRATO!$A$2:$A$3000,0))="","",INDEX(EXTRATO!$F$2:$F$3000,MATCH($A264,EXTRATO!$A$2:$A$3000,0))))</f>
        <v>SAÍDA</v>
      </c>
      <c r="I264" s="88" t="str">
        <f>IF(A264="","",IF(INDEX(EXTRATO!$H$2:$H$3000,MATCH($A264,EXTRATO!$A$2:$A$3000,0))="","",INDEX(EXTRATO!$H$2:$H$3000,MATCH($A264,EXTRATO!$A$2:$A$3000,0))))</f>
        <v>BRANDÃO &amp; BRANDÃO</v>
      </c>
      <c r="J264" s="86" t="s">
        <v>1313</v>
      </c>
      <c r="K264" s="86" t="str">
        <f>IF(AND(A264="",D264="",E264="",F264=""),"",IF(D264="","SEM CATEGORIA",IF(E264="","SEM SUBCATEGORIA",IF(COUNTIFS(CADASTROS!$L$7:$L$93,D264,CADASTROS!$D$7:$D$93,E264)=0,"INCOMPATÍVEL","OK"))))</f>
        <v>OK</v>
      </c>
    </row>
    <row r="265" spans="1:11" ht="30" hidden="1" customHeight="1" x14ac:dyDescent="0.25">
      <c r="A265" s="86" t="s">
        <v>1627</v>
      </c>
      <c r="B265" s="85">
        <f>IF(A265="","",IF(INDEX(EXTRATO!$C$2:$C$3000,MATCH($A265,EXTRATO!$A$2:$A$3000,0))="","",INDEX(EXTRATO!$C$2:$C$3000,MATCH($A265,EXTRATO!$A$2:$A$3000,0))))</f>
        <v>46092</v>
      </c>
      <c r="C265" s="86">
        <f t="shared" si="4"/>
        <v>3</v>
      </c>
      <c r="D265" s="81" t="s">
        <v>1454</v>
      </c>
      <c r="E265" s="79" t="s">
        <v>2760</v>
      </c>
      <c r="F265" s="80">
        <v>784.99</v>
      </c>
      <c r="G265" s="81" t="s">
        <v>1631</v>
      </c>
      <c r="H265" s="86" t="str">
        <f>IF(A265="","",IF(INDEX(EXTRATO!$F$2:$F$3000,MATCH($A265,EXTRATO!$A$2:$A$3000,0))="","",INDEX(EXTRATO!$F$2:$F$3000,MATCH($A265,EXTRATO!$A$2:$A$3000,0))))</f>
        <v>SAÍDA</v>
      </c>
      <c r="I265" s="88" t="str">
        <f>IF(A265="","",IF(INDEX(EXTRATO!$H$2:$H$3000,MATCH($A265,EXTRATO!$A$2:$A$3000,0))="","",INDEX(EXTRATO!$H$2:$H$3000,MATCH($A265,EXTRATO!$A$2:$A$3000,0))))</f>
        <v>MARKETPLACE MERCADO LIVRE</v>
      </c>
      <c r="J265" s="86" t="s">
        <v>2761</v>
      </c>
      <c r="K265" s="86" t="str">
        <f>IF(AND(A265="",D265="",E265="",F265=""),"",IF(D265="","SEM CATEGORIA",IF(E265="","SEM SUBCATEGORIA",IF(COUNTIFS(CADASTROS!$L$7:$L$93,D265,CADASTROS!$D$7:$D$93,E265)=0,"INCOMPATÍVEL","OK"))))</f>
        <v>OK</v>
      </c>
    </row>
    <row r="266" spans="1:11" ht="30" hidden="1" customHeight="1" x14ac:dyDescent="0.25">
      <c r="A266" s="86" t="s">
        <v>1628</v>
      </c>
      <c r="B266" s="85">
        <f>IF(A266="","",IF(INDEX(EXTRATO!$C$2:$C$3000,MATCH($A266,EXTRATO!$A$2:$A$3000,0))="","",INDEX(EXTRATO!$C$2:$C$3000,MATCH($A266,EXTRATO!$A$2:$A$3000,0))))</f>
        <v>46091</v>
      </c>
      <c r="C266" s="86">
        <f t="shared" si="4"/>
        <v>3</v>
      </c>
      <c r="D266" s="81" t="s">
        <v>1330</v>
      </c>
      <c r="E266" s="79" t="s">
        <v>1337</v>
      </c>
      <c r="F266" s="80">
        <v>514.89</v>
      </c>
      <c r="G266" s="81" t="s">
        <v>403</v>
      </c>
      <c r="H266" s="86" t="str">
        <f>IF(A266="","",IF(INDEX(EXTRATO!$F$2:$F$3000,MATCH($A266,EXTRATO!$A$2:$A$3000,0))="","",INDEX(EXTRATO!$F$2:$F$3000,MATCH($A266,EXTRATO!$A$2:$A$3000,0))))</f>
        <v>SAÍDA</v>
      </c>
      <c r="I266" s="88" t="str">
        <f>IF(A266="","",IF(INDEX(EXTRATO!$H$2:$H$3000,MATCH($A266,EXTRATO!$A$2:$A$3000,0))="","",INDEX(EXTRATO!$H$2:$H$3000,MATCH($A266,EXTRATO!$A$2:$A$3000,0))))</f>
        <v>C C OLIVEIRA LEITE</v>
      </c>
      <c r="J266" s="86" t="s">
        <v>1313</v>
      </c>
      <c r="K266" s="86" t="str">
        <f>IF(AND(A266="",D266="",E266="",F266=""),"",IF(D266="","SEM CATEGORIA",IF(E266="","SEM SUBCATEGORIA",IF(COUNTIFS(CADASTROS!$L$7:$L$93,D266,CADASTROS!$D$7:$D$93,E266)=0,"INCOMPATÍVEL","OK"))))</f>
        <v>OK</v>
      </c>
    </row>
    <row r="267" spans="1:11" ht="30" hidden="1" customHeight="1" x14ac:dyDescent="0.25">
      <c r="A267" s="86" t="s">
        <v>1629</v>
      </c>
      <c r="B267" s="85">
        <f>IF(A267="","",IF(INDEX(EXTRATO!$C$2:$C$3000,MATCH($A267,EXTRATO!$A$2:$A$3000,0))="","",INDEX(EXTRATO!$C$2:$C$3000,MATCH($A267,EXTRATO!$A$2:$A$3000,0))))</f>
        <v>46091</v>
      </c>
      <c r="C267" s="86">
        <f t="shared" si="4"/>
        <v>3</v>
      </c>
      <c r="D267" s="81" t="s">
        <v>1370</v>
      </c>
      <c r="E267" s="79" t="s">
        <v>1371</v>
      </c>
      <c r="F267" s="80">
        <v>164.8</v>
      </c>
      <c r="G267" s="81" t="s">
        <v>406</v>
      </c>
      <c r="H267" s="86" t="str">
        <f>IF(A267="","",IF(INDEX(EXTRATO!$F$2:$F$3000,MATCH($A267,EXTRATO!$A$2:$A$3000,0))="","",INDEX(EXTRATO!$F$2:$F$3000,MATCH($A267,EXTRATO!$A$2:$A$3000,0))))</f>
        <v>SAÍDA</v>
      </c>
      <c r="I267" s="88" t="str">
        <f>IF(A267="","",IF(INDEX(EXTRATO!$H$2:$H$3000,MATCH($A267,EXTRATO!$A$2:$A$3000,0))="","",INDEX(EXTRATO!$H$2:$H$3000,MATCH($A267,EXTRATO!$A$2:$A$3000,0))))</f>
        <v>MARKETPLACE MERCADO LIVRE</v>
      </c>
      <c r="J267" s="86" t="s">
        <v>1313</v>
      </c>
      <c r="K267" s="86" t="str">
        <f>IF(AND(A267="",D267="",E267="",F267=""),"",IF(D267="","SEM CATEGORIA",IF(E267="","SEM SUBCATEGORIA",IF(COUNTIFS(CADASTROS!$L$7:$L$93,D267,CADASTROS!$D$7:$D$93,E267)=0,"INCOMPATÍVEL","OK"))))</f>
        <v>OK</v>
      </c>
    </row>
    <row r="268" spans="1:11" ht="30" hidden="1" customHeight="1" x14ac:dyDescent="0.25">
      <c r="A268" s="86" t="s">
        <v>1630</v>
      </c>
      <c r="B268" s="85">
        <f>IF(A268="","",IF(INDEX(EXTRATO!$C$2:$C$3000,MATCH($A268,EXTRATO!$A$2:$A$3000,0))="","",INDEX(EXTRATO!$C$2:$C$3000,MATCH($A268,EXTRATO!$A$2:$A$3000,0))))</f>
        <v>46091</v>
      </c>
      <c r="C268" s="86">
        <f t="shared" si="4"/>
        <v>3</v>
      </c>
      <c r="D268" s="81" t="s">
        <v>1330</v>
      </c>
      <c r="E268" s="79" t="s">
        <v>1379</v>
      </c>
      <c r="F268" s="80">
        <v>149.9</v>
      </c>
      <c r="G268" s="81" t="s">
        <v>119</v>
      </c>
      <c r="H268" s="86" t="str">
        <f>IF(A268="","",IF(INDEX(EXTRATO!$F$2:$F$3000,MATCH($A268,EXTRATO!$A$2:$A$3000,0))="","",INDEX(EXTRATO!$F$2:$F$3000,MATCH($A268,EXTRATO!$A$2:$A$3000,0))))</f>
        <v>SAÍDA</v>
      </c>
      <c r="I268" s="88" t="str">
        <f>IF(A268="","",IF(INDEX(EXTRATO!$H$2:$H$3000,MATCH($A268,EXTRATO!$A$2:$A$3000,0))="","",INDEX(EXTRATO!$H$2:$H$3000,MATCH($A268,EXTRATO!$A$2:$A$3000,0))))</f>
        <v>MARANET TELECOM</v>
      </c>
      <c r="J268" s="86" t="s">
        <v>1313</v>
      </c>
      <c r="K268" s="86" t="str">
        <f>IF(AND(A268="",D268="",E268="",F268=""),"",IF(D268="","SEM CATEGORIA",IF(E268="","SEM SUBCATEGORIA",IF(COUNTIFS(CADASTROS!$L$7:$L$93,D268,CADASTROS!$D$7:$D$93,E268)=0,"INCOMPATÍVEL","OK"))))</f>
        <v>OK</v>
      </c>
    </row>
    <row r="269" spans="1:11" ht="30" hidden="1" customHeight="1" x14ac:dyDescent="0.25">
      <c r="A269" s="86" t="s">
        <v>1632</v>
      </c>
      <c r="B269" s="85">
        <f>IF(A269="","",IF(INDEX(EXTRATO!$C$2:$C$3000,MATCH($A269,EXTRATO!$A$2:$A$3000,0))="","",INDEX(EXTRATO!$C$2:$C$3000,MATCH($A269,EXTRATO!$A$2:$A$3000,0))))</f>
        <v>46091</v>
      </c>
      <c r="C269" s="86">
        <f t="shared" si="4"/>
        <v>3</v>
      </c>
      <c r="D269" s="81" t="s">
        <v>1330</v>
      </c>
      <c r="E269" s="79" t="s">
        <v>1352</v>
      </c>
      <c r="F269" s="80">
        <v>131.5</v>
      </c>
      <c r="G269" s="81" t="s">
        <v>117</v>
      </c>
      <c r="H269" s="86" t="str">
        <f>IF(A269="","",IF(INDEX(EXTRATO!$F$2:$F$3000,MATCH($A269,EXTRATO!$A$2:$A$3000,0))="","",INDEX(EXTRATO!$F$2:$F$3000,MATCH($A269,EXTRATO!$A$2:$A$3000,0))))</f>
        <v>SAÍDA</v>
      </c>
      <c r="I269" s="88" t="str">
        <f>IF(A269="","",IF(INDEX(EXTRATO!$H$2:$H$3000,MATCH($A269,EXTRATO!$A$2:$A$3000,0))="","",INDEX(EXTRATO!$H$2:$H$3000,MATCH($A269,EXTRATO!$A$2:$A$3000,0))))</f>
        <v>TARIFA PACOTE DE SERVIÇOS</v>
      </c>
      <c r="J269" s="86" t="s">
        <v>1313</v>
      </c>
      <c r="K269" s="86" t="str">
        <f>IF(AND(A269="",D269="",E269="",F269=""),"",IF(D269="","SEM CATEGORIA",IF(E269="","SEM SUBCATEGORIA",IF(COUNTIFS(CADASTROS!$L$7:$L$93,D269,CADASTROS!$D$7:$D$93,E269)=0,"INCOMPATÍVEL","OK"))))</f>
        <v>OK</v>
      </c>
    </row>
    <row r="270" spans="1:11" ht="30" hidden="1" customHeight="1" x14ac:dyDescent="0.25">
      <c r="A270" s="86" t="s">
        <v>1633</v>
      </c>
      <c r="B270" s="85">
        <f>IF(A270="","",IF(INDEX(EXTRATO!$C$2:$C$3000,MATCH($A270,EXTRATO!$A$2:$A$3000,0))="","",INDEX(EXTRATO!$C$2:$C$3000,MATCH($A270,EXTRATO!$A$2:$A$3000,0))))</f>
        <v>46093</v>
      </c>
      <c r="C270" s="86">
        <f t="shared" si="4"/>
        <v>3</v>
      </c>
      <c r="D270" s="81" t="s">
        <v>1637</v>
      </c>
      <c r="E270" s="79" t="s">
        <v>1638</v>
      </c>
      <c r="F270" s="80">
        <v>15000</v>
      </c>
      <c r="G270" s="81" t="s">
        <v>410</v>
      </c>
      <c r="H270" s="86" t="str">
        <f>IF(A270="","",IF(INDEX(EXTRATO!$F$2:$F$3000,MATCH($A270,EXTRATO!$A$2:$A$3000,0))="","",INDEX(EXTRATO!$F$2:$F$3000,MATCH($A270,EXTRATO!$A$2:$A$3000,0))))</f>
        <v>SAÍDA</v>
      </c>
      <c r="I270" s="88" t="str">
        <f>IF(A270="","",IF(INDEX(EXTRATO!$H$2:$H$3000,MATCH($A270,EXTRATO!$A$2:$A$3000,0))="","",INDEX(EXTRATO!$H$2:$H$3000,MATCH($A270,EXTRATO!$A$2:$A$3000,0))))</f>
        <v>PATRICK DULFF</v>
      </c>
      <c r="J270" s="86" t="s">
        <v>1313</v>
      </c>
      <c r="K270" s="86" t="str">
        <f>IF(AND(A270="",D270="",E270="",F270=""),"",IF(D270="","SEM CATEGORIA",IF(E270="","SEM SUBCATEGORIA",IF(COUNTIFS(CADASTROS!$L$7:$L$93,D270,CADASTROS!$D$7:$D$93,E270)=0,"INCOMPATÍVEL","OK"))))</f>
        <v>OK</v>
      </c>
    </row>
    <row r="271" spans="1:11" ht="30" hidden="1" customHeight="1" x14ac:dyDescent="0.25">
      <c r="A271" s="86" t="s">
        <v>1634</v>
      </c>
      <c r="B271" s="85">
        <f>IF(A271="","",IF(INDEX(EXTRATO!$C$2:$C$3000,MATCH($A271,EXTRATO!$A$2:$A$3000,0))="","",INDEX(EXTRATO!$C$2:$C$3000,MATCH($A271,EXTRATO!$A$2:$A$3000,0))))</f>
        <v>46093</v>
      </c>
      <c r="C271" s="86">
        <f t="shared" si="4"/>
        <v>3</v>
      </c>
      <c r="D271" s="81" t="s">
        <v>1415</v>
      </c>
      <c r="E271" s="79" t="s">
        <v>1640</v>
      </c>
      <c r="F271" s="80">
        <v>11418.32</v>
      </c>
      <c r="G271" s="81" t="s">
        <v>413</v>
      </c>
      <c r="H271" s="86" t="str">
        <f>IF(A271="","",IF(INDEX(EXTRATO!$F$2:$F$3000,MATCH($A271,EXTRATO!$A$2:$A$3000,0))="","",INDEX(EXTRATO!$F$2:$F$3000,MATCH($A271,EXTRATO!$A$2:$A$3000,0))))</f>
        <v>SAÍDA</v>
      </c>
      <c r="I271" s="88" t="str">
        <f>IF(A271="","",IF(INDEX(EXTRATO!$H$2:$H$3000,MATCH($A271,EXTRATO!$A$2:$A$3000,0))="","",INDEX(EXTRATO!$H$2:$H$3000,MATCH($A271,EXTRATO!$A$2:$A$3000,0))))</f>
        <v>UNICLINICA</v>
      </c>
      <c r="J271" s="86" t="s">
        <v>1313</v>
      </c>
      <c r="K271" s="86" t="str">
        <f>IF(AND(A271="",D271="",E271="",F271=""),"",IF(D271="","SEM CATEGORIA",IF(E271="","SEM SUBCATEGORIA",IF(COUNTIFS(CADASTROS!$L$7:$L$93,D271,CADASTROS!$D$7:$D$93,E271)=0,"INCOMPATÍVEL","OK"))))</f>
        <v>OK</v>
      </c>
    </row>
    <row r="272" spans="1:11" ht="30" hidden="1" customHeight="1" x14ac:dyDescent="0.25">
      <c r="A272" s="86" t="s">
        <v>1635</v>
      </c>
      <c r="B272" s="85">
        <f>IF(A272="","",IF(INDEX(EXTRATO!$C$2:$C$3000,MATCH($A272,EXTRATO!$A$2:$A$3000,0))="","",INDEX(EXTRATO!$C$2:$C$3000,MATCH($A272,EXTRATO!$A$2:$A$3000,0))))</f>
        <v>46093</v>
      </c>
      <c r="C272" s="86">
        <f t="shared" si="4"/>
        <v>3</v>
      </c>
      <c r="D272" s="81" t="s">
        <v>1637</v>
      </c>
      <c r="E272" s="79" t="s">
        <v>1638</v>
      </c>
      <c r="F272" s="80">
        <v>10000</v>
      </c>
      <c r="G272" s="81" t="s">
        <v>416</v>
      </c>
      <c r="H272" s="86" t="str">
        <f>IF(A272="","",IF(INDEX(EXTRATO!$F$2:$F$3000,MATCH($A272,EXTRATO!$A$2:$A$3000,0))="","",INDEX(EXTRATO!$F$2:$F$3000,MATCH($A272,EXTRATO!$A$2:$A$3000,0))))</f>
        <v>SAÍDA</v>
      </c>
      <c r="I272" s="88" t="str">
        <f>IF(A272="","",IF(INDEX(EXTRATO!$H$2:$H$3000,MATCH($A272,EXTRATO!$A$2:$A$3000,0))="","",INDEX(EXTRATO!$H$2:$H$3000,MATCH($A272,EXTRATO!$A$2:$A$3000,0))))</f>
        <v>FABIANA CRISTINA</v>
      </c>
      <c r="J272" s="86" t="s">
        <v>1313</v>
      </c>
      <c r="K272" s="86" t="str">
        <f>IF(AND(A272="",D272="",E272="",F272=""),"",IF(D272="","SEM CATEGORIA",IF(E272="","SEM SUBCATEGORIA",IF(COUNTIFS(CADASTROS!$L$7:$L$93,D272,CADASTROS!$D$7:$D$93,E272)=0,"INCOMPATÍVEL","OK"))))</f>
        <v>OK</v>
      </c>
    </row>
    <row r="273" spans="1:11" ht="30" hidden="1" customHeight="1" x14ac:dyDescent="0.25">
      <c r="A273" s="86" t="s">
        <v>1636</v>
      </c>
      <c r="B273" s="85">
        <f>IF(A273="","",IF(INDEX(EXTRATO!$C$2:$C$3000,MATCH($A273,EXTRATO!$A$2:$A$3000,0))="","",INDEX(EXTRATO!$C$2:$C$3000,MATCH($A273,EXTRATO!$A$2:$A$3000,0))))</f>
        <v>46093</v>
      </c>
      <c r="C273" s="86">
        <f t="shared" si="4"/>
        <v>3</v>
      </c>
      <c r="D273" s="81" t="s">
        <v>1415</v>
      </c>
      <c r="E273" s="79" t="s">
        <v>1643</v>
      </c>
      <c r="F273" s="80">
        <v>10000</v>
      </c>
      <c r="G273" s="81" t="s">
        <v>418</v>
      </c>
      <c r="H273" s="86" t="str">
        <f>IF(A273="","",IF(INDEX(EXTRATO!$F$2:$F$3000,MATCH($A273,EXTRATO!$A$2:$A$3000,0))="","",INDEX(EXTRATO!$F$2:$F$3000,MATCH($A273,EXTRATO!$A$2:$A$3000,0))))</f>
        <v>SAÍDA</v>
      </c>
      <c r="I273" s="88" t="str">
        <f>IF(A273="","",IF(INDEX(EXTRATO!$H$2:$H$3000,MATCH($A273,EXTRATO!$A$2:$A$3000,0))="","",INDEX(EXTRATO!$H$2:$H$3000,MATCH($A273,EXTRATO!$A$2:$A$3000,0))))</f>
        <v>L F ALBUQUERQUE DA SILVA</v>
      </c>
      <c r="J273" s="86" t="s">
        <v>1313</v>
      </c>
      <c r="K273" s="86" t="str">
        <f>IF(AND(A273="",D273="",E273="",F273=""),"",IF(D273="","SEM CATEGORIA",IF(E273="","SEM SUBCATEGORIA",IF(COUNTIFS(CADASTROS!$L$7:$L$93,D273,CADASTROS!$D$7:$D$93,E273)=0,"INCOMPATÍVEL","OK"))))</f>
        <v>OK</v>
      </c>
    </row>
    <row r="274" spans="1:11" ht="30" hidden="1" customHeight="1" x14ac:dyDescent="0.25">
      <c r="A274" s="86" t="s">
        <v>1639</v>
      </c>
      <c r="B274" s="85">
        <f>IF(A274="","",IF(INDEX(EXTRATO!$C$2:$C$3000,MATCH($A274,EXTRATO!$A$2:$A$3000,0))="","",INDEX(EXTRATO!$C$2:$C$3000,MATCH($A274,EXTRATO!$A$2:$A$3000,0))))</f>
        <v>46093</v>
      </c>
      <c r="C274" s="86">
        <f t="shared" si="4"/>
        <v>3</v>
      </c>
      <c r="D274" s="81" t="s">
        <v>1637</v>
      </c>
      <c r="E274" s="79" t="s">
        <v>1638</v>
      </c>
      <c r="F274" s="80">
        <v>7500</v>
      </c>
      <c r="G274" s="81" t="s">
        <v>421</v>
      </c>
      <c r="H274" s="86" t="str">
        <f>IF(A274="","",IF(INDEX(EXTRATO!$F$2:$F$3000,MATCH($A274,EXTRATO!$A$2:$A$3000,0))="","",INDEX(EXTRATO!$F$2:$F$3000,MATCH($A274,EXTRATO!$A$2:$A$3000,0))))</f>
        <v>SAÍDA</v>
      </c>
      <c r="I274" s="88" t="str">
        <f>IF(A274="","",IF(INDEX(EXTRATO!$H$2:$H$3000,MATCH($A274,EXTRATO!$A$2:$A$3000,0))="","",INDEX(EXTRATO!$H$2:$H$3000,MATCH($A274,EXTRATO!$A$2:$A$3000,0))))</f>
        <v>MOISES DA S. OLIVEIRA</v>
      </c>
      <c r="J274" s="86" t="s">
        <v>1313</v>
      </c>
      <c r="K274" s="86" t="str">
        <f>IF(AND(A274="",D274="",E274="",F274=""),"",IF(D274="","SEM CATEGORIA",IF(E274="","SEM SUBCATEGORIA",IF(COUNTIFS(CADASTROS!$L$7:$L$93,D274,CADASTROS!$D$7:$D$93,E274)=0,"INCOMPATÍVEL","OK"))))</f>
        <v>OK</v>
      </c>
    </row>
    <row r="275" spans="1:11" ht="30" hidden="1" customHeight="1" x14ac:dyDescent="0.25">
      <c r="A275" s="86" t="s">
        <v>1641</v>
      </c>
      <c r="B275" s="85">
        <f>IF(A275="","",IF(INDEX(EXTRATO!$C$2:$C$3000,MATCH($A275,EXTRATO!$A$2:$A$3000,0))="","",INDEX(EXTRATO!$C$2:$C$3000,MATCH($A275,EXTRATO!$A$2:$A$3000,0))))</f>
        <v>46093</v>
      </c>
      <c r="C275" s="86">
        <f t="shared" si="4"/>
        <v>3</v>
      </c>
      <c r="D275" s="81" t="s">
        <v>1637</v>
      </c>
      <c r="E275" s="79" t="s">
        <v>1638</v>
      </c>
      <c r="F275" s="80">
        <v>7500</v>
      </c>
      <c r="G275" s="81" t="s">
        <v>422</v>
      </c>
      <c r="H275" s="86" t="str">
        <f>IF(A275="","",IF(INDEX(EXTRATO!$F$2:$F$3000,MATCH($A275,EXTRATO!$A$2:$A$3000,0))="","",INDEX(EXTRATO!$F$2:$F$3000,MATCH($A275,EXTRATO!$A$2:$A$3000,0))))</f>
        <v>SAÍDA</v>
      </c>
      <c r="I275" s="88" t="str">
        <f>IF(A275="","",IF(INDEX(EXTRATO!$H$2:$H$3000,MATCH($A275,EXTRATO!$A$2:$A$3000,0))="","",INDEX(EXTRATO!$H$2:$H$3000,MATCH($A275,EXTRATO!$A$2:$A$3000,0))))</f>
        <v>GLADSTONE SANTOS SILVA</v>
      </c>
      <c r="J275" s="86" t="s">
        <v>1313</v>
      </c>
      <c r="K275" s="86" t="str">
        <f>IF(AND(A275="",D275="",E275="",F275=""),"",IF(D275="","SEM CATEGORIA",IF(E275="","SEM SUBCATEGORIA",IF(COUNTIFS(CADASTROS!$L$7:$L$93,D275,CADASTROS!$D$7:$D$93,E275)=0,"INCOMPATÍVEL","OK"))))</f>
        <v>OK</v>
      </c>
    </row>
    <row r="276" spans="1:11" ht="30" hidden="1" customHeight="1" x14ac:dyDescent="0.25">
      <c r="A276" s="86" t="s">
        <v>1642</v>
      </c>
      <c r="B276" s="85">
        <f>IF(A276="","",IF(INDEX(EXTRATO!$C$2:$C$3000,MATCH($A276,EXTRATO!$A$2:$A$3000,0))="","",INDEX(EXTRATO!$C$2:$C$3000,MATCH($A276,EXTRATO!$A$2:$A$3000,0))))</f>
        <v>46093</v>
      </c>
      <c r="C276" s="86">
        <f t="shared" si="4"/>
        <v>3</v>
      </c>
      <c r="D276" s="81" t="s">
        <v>1637</v>
      </c>
      <c r="E276" s="79" t="s">
        <v>1638</v>
      </c>
      <c r="F276" s="80">
        <v>7500</v>
      </c>
      <c r="G276" s="81" t="s">
        <v>423</v>
      </c>
      <c r="H276" s="86" t="str">
        <f>IF(A276="","",IF(INDEX(EXTRATO!$F$2:$F$3000,MATCH($A276,EXTRATO!$A$2:$A$3000,0))="","",INDEX(EXTRATO!$F$2:$F$3000,MATCH($A276,EXTRATO!$A$2:$A$3000,0))))</f>
        <v>SAÍDA</v>
      </c>
      <c r="I276" s="88" t="str">
        <f>IF(A276="","",IF(INDEX(EXTRATO!$H$2:$H$3000,MATCH($A276,EXTRATO!$A$2:$A$3000,0))="","",INDEX(EXTRATO!$H$2:$H$3000,MATCH($A276,EXTRATO!$A$2:$A$3000,0))))</f>
        <v>ANDERSON RAFAEL SALVIANO</v>
      </c>
      <c r="J276" s="86" t="s">
        <v>1313</v>
      </c>
      <c r="K276" s="86" t="str">
        <f>IF(AND(A276="",D276="",E276="",F276=""),"",IF(D276="","SEM CATEGORIA",IF(E276="","SEM SUBCATEGORIA",IF(COUNTIFS(CADASTROS!$L$7:$L$93,D276,CADASTROS!$D$7:$D$93,E276)=0,"INCOMPATÍVEL","OK"))))</f>
        <v>OK</v>
      </c>
    </row>
    <row r="277" spans="1:11" ht="30" hidden="1" customHeight="1" x14ac:dyDescent="0.25">
      <c r="A277" s="86" t="s">
        <v>1644</v>
      </c>
      <c r="B277" s="85">
        <f>IF(A277="","",IF(INDEX(EXTRATO!$C$2:$C$3000,MATCH($A277,EXTRATO!$A$2:$A$3000,0))="","",INDEX(EXTRATO!$C$2:$C$3000,MATCH($A277,EXTRATO!$A$2:$A$3000,0))))</f>
        <v>46093</v>
      </c>
      <c r="C277" s="86">
        <f t="shared" si="4"/>
        <v>3</v>
      </c>
      <c r="D277" s="81" t="s">
        <v>1415</v>
      </c>
      <c r="E277" s="79" t="s">
        <v>1648</v>
      </c>
      <c r="F277" s="80">
        <v>6000</v>
      </c>
      <c r="G277" s="81" t="s">
        <v>424</v>
      </c>
      <c r="H277" s="86" t="str">
        <f>IF(A277="","",IF(INDEX(EXTRATO!$F$2:$F$3000,MATCH($A277,EXTRATO!$A$2:$A$3000,0))="","",INDEX(EXTRATO!$F$2:$F$3000,MATCH($A277,EXTRATO!$A$2:$A$3000,0))))</f>
        <v>SAÍDA</v>
      </c>
      <c r="I277" s="88" t="str">
        <f>IF(A277="","",IF(INDEX(EXTRATO!$H$2:$H$3000,MATCH($A277,EXTRATO!$A$2:$A$3000,0))="","",INDEX(EXTRATO!$H$2:$H$3000,MATCH($A277,EXTRATO!$A$2:$A$3000,0))))</f>
        <v>MARTINS MACHADO SAUDE E E</v>
      </c>
      <c r="J277" s="86" t="s">
        <v>1313</v>
      </c>
      <c r="K277" s="86" t="str">
        <f>IF(AND(A277="",D277="",E277="",F277=""),"",IF(D277="","SEM CATEGORIA",IF(E277="","SEM SUBCATEGORIA",IF(COUNTIFS(CADASTROS!$L$7:$L$93,D277,CADASTROS!$D$7:$D$93,E277)=0,"INCOMPATÍVEL","OK"))))</f>
        <v>OK</v>
      </c>
    </row>
    <row r="278" spans="1:11" ht="30" hidden="1" customHeight="1" x14ac:dyDescent="0.25">
      <c r="A278" s="86" t="s">
        <v>1645</v>
      </c>
      <c r="B278" s="85">
        <f>IF(A278="","",IF(INDEX(EXTRATO!$C$2:$C$3000,MATCH($A278,EXTRATO!$A$2:$A$3000,0))="","",INDEX(EXTRATO!$C$2:$C$3000,MATCH($A278,EXTRATO!$A$2:$A$3000,0))))</f>
        <v>46093</v>
      </c>
      <c r="C278" s="86">
        <f t="shared" si="4"/>
        <v>3</v>
      </c>
      <c r="D278" s="81" t="s">
        <v>1370</v>
      </c>
      <c r="E278" s="79" t="s">
        <v>1371</v>
      </c>
      <c r="F278" s="80">
        <v>4800</v>
      </c>
      <c r="G278" s="81" t="s">
        <v>427</v>
      </c>
      <c r="H278" s="86" t="str">
        <f>IF(A278="","",IF(INDEX(EXTRATO!$F$2:$F$3000,MATCH($A278,EXTRATO!$A$2:$A$3000,0))="","",INDEX(EXTRATO!$F$2:$F$3000,MATCH($A278,EXTRATO!$A$2:$A$3000,0))))</f>
        <v>SAÍDA</v>
      </c>
      <c r="I278" s="88" t="str">
        <f>IF(A278="","",IF(INDEX(EXTRATO!$H$2:$H$3000,MATCH($A278,EXTRATO!$A$2:$A$3000,0))="","",INDEX(EXTRATO!$H$2:$H$3000,MATCH($A278,EXTRATO!$A$2:$A$3000,0))))</f>
        <v>HR MANUTENÇÃO HOSPITALAR</v>
      </c>
      <c r="J278" s="86" t="s">
        <v>1313</v>
      </c>
      <c r="K278" s="86" t="str">
        <f>IF(AND(A278="",D278="",E278="",F278=""),"",IF(D278="","SEM CATEGORIA",IF(E278="","SEM SUBCATEGORIA",IF(COUNTIFS(CADASTROS!$L$7:$L$93,D278,CADASTROS!$D$7:$D$93,E278)=0,"INCOMPATÍVEL","OK"))))</f>
        <v>OK</v>
      </c>
    </row>
    <row r="279" spans="1:11" ht="30" hidden="1" customHeight="1" x14ac:dyDescent="0.25">
      <c r="A279" s="86" t="s">
        <v>1646</v>
      </c>
      <c r="B279" s="85">
        <f>IF(A279="","",IF(INDEX(EXTRATO!$C$2:$C$3000,MATCH($A279,EXTRATO!$A$2:$A$3000,0))="","",INDEX(EXTRATO!$C$2:$C$3000,MATCH($A279,EXTRATO!$A$2:$A$3000,0))))</f>
        <v>46093</v>
      </c>
      <c r="C279" s="86">
        <f t="shared" si="4"/>
        <v>3</v>
      </c>
      <c r="D279" s="81" t="s">
        <v>1311</v>
      </c>
      <c r="E279" s="79" t="s">
        <v>1376</v>
      </c>
      <c r="F279" s="80">
        <v>3600</v>
      </c>
      <c r="G279" s="81" t="s">
        <v>429</v>
      </c>
      <c r="H279" s="86" t="str">
        <f>IF(A279="","",IF(INDEX(EXTRATO!$F$2:$F$3000,MATCH($A279,EXTRATO!$A$2:$A$3000,0))="","",INDEX(EXTRATO!$F$2:$F$3000,MATCH($A279,EXTRATO!$A$2:$A$3000,0))))</f>
        <v>SAÍDA</v>
      </c>
      <c r="I279" s="88" t="str">
        <f>IF(A279="","",IF(INDEX(EXTRATO!$H$2:$H$3000,MATCH($A279,EXTRATO!$A$2:$A$3000,0))="","",INDEX(EXTRATO!$H$2:$H$3000,MATCH($A279,EXTRATO!$A$2:$A$3000,0))))</f>
        <v>NIPRO</v>
      </c>
      <c r="J279" s="86" t="s">
        <v>1313</v>
      </c>
      <c r="K279" s="86" t="str">
        <f>IF(AND(A279="",D279="",E279="",F279=""),"",IF(D279="","SEM CATEGORIA",IF(E279="","SEM SUBCATEGORIA",IF(COUNTIFS(CADASTROS!$L$7:$L$93,D279,CADASTROS!$D$7:$D$93,E279)=0,"INCOMPATÍVEL","OK"))))</f>
        <v>OK</v>
      </c>
    </row>
    <row r="280" spans="1:11" ht="30" hidden="1" customHeight="1" x14ac:dyDescent="0.25">
      <c r="A280" s="86" t="s">
        <v>1647</v>
      </c>
      <c r="B280" s="85">
        <f>IF(A280="","",IF(INDEX(EXTRATO!$C$2:$C$3000,MATCH($A280,EXTRATO!$A$2:$A$3000,0))="","",INDEX(EXTRATO!$C$2:$C$3000,MATCH($A280,EXTRATO!$A$2:$A$3000,0))))</f>
        <v>46093</v>
      </c>
      <c r="C280" s="86">
        <f t="shared" si="4"/>
        <v>3</v>
      </c>
      <c r="D280" s="81" t="s">
        <v>1311</v>
      </c>
      <c r="E280" s="79" t="s">
        <v>1376</v>
      </c>
      <c r="F280" s="80">
        <v>3232.5</v>
      </c>
      <c r="G280" s="81" t="s">
        <v>432</v>
      </c>
      <c r="H280" s="86" t="str">
        <f>IF(A280="","",IF(INDEX(EXTRATO!$F$2:$F$3000,MATCH($A280,EXTRATO!$A$2:$A$3000,0))="","",INDEX(EXTRATO!$F$2:$F$3000,MATCH($A280,EXTRATO!$A$2:$A$3000,0))))</f>
        <v>SAÍDA</v>
      </c>
      <c r="I280" s="88" t="str">
        <f>IF(A280="","",IF(INDEX(EXTRATO!$H$2:$H$3000,MATCH($A280,EXTRATO!$A$2:$A$3000,0))="","",INDEX(EXTRATO!$H$2:$H$3000,MATCH($A280,EXTRATO!$A$2:$A$3000,0))))</f>
        <v>NIPRO</v>
      </c>
      <c r="J280" s="86" t="s">
        <v>1313</v>
      </c>
      <c r="K280" s="86" t="str">
        <f>IF(AND(A280="",D280="",E280="",F280=""),"",IF(D280="","SEM CATEGORIA",IF(E280="","SEM SUBCATEGORIA",IF(COUNTIFS(CADASTROS!$L$7:$L$93,D280,CADASTROS!$D$7:$D$93,E280)=0,"INCOMPATÍVEL","OK"))))</f>
        <v>OK</v>
      </c>
    </row>
    <row r="281" spans="1:11" ht="30" hidden="1" customHeight="1" x14ac:dyDescent="0.25">
      <c r="A281" s="86" t="s">
        <v>1649</v>
      </c>
      <c r="B281" s="85">
        <f>IF(A281="","",IF(INDEX(EXTRATO!$C$2:$C$3000,MATCH($A281,EXTRATO!$A$2:$A$3000,0))="","",INDEX(EXTRATO!$C$2:$C$3000,MATCH($A281,EXTRATO!$A$2:$A$3000,0))))</f>
        <v>46093</v>
      </c>
      <c r="C281" s="86">
        <f t="shared" si="4"/>
        <v>3</v>
      </c>
      <c r="D281" s="81" t="s">
        <v>1330</v>
      </c>
      <c r="E281" s="79" t="s">
        <v>1333</v>
      </c>
      <c r="F281" s="80">
        <v>2593</v>
      </c>
      <c r="G281" s="81" t="s">
        <v>67</v>
      </c>
      <c r="H281" s="86" t="str">
        <f>IF(A281="","",IF(INDEX(EXTRATO!$F$2:$F$3000,MATCH($A281,EXTRATO!$A$2:$A$3000,0))="","",INDEX(EXTRATO!$F$2:$F$3000,MATCH($A281,EXTRATO!$A$2:$A$3000,0))))</f>
        <v>SAÍDA</v>
      </c>
      <c r="I281" s="88" t="str">
        <f>IF(A281="","",IF(INDEX(EXTRATO!$H$2:$H$3000,MATCH($A281,EXTRATO!$A$2:$A$3000,0))="","",INDEX(EXTRATO!$H$2:$H$3000,MATCH($A281,EXTRATO!$A$2:$A$3000,0))))</f>
        <v>CASSIANO &amp; CASSINOS CONTABILIDADE</v>
      </c>
      <c r="J281" s="86" t="s">
        <v>1313</v>
      </c>
      <c r="K281" s="86" t="str">
        <f>IF(AND(A281="",D281="",E281="",F281=""),"",IF(D281="","SEM CATEGORIA",IF(E281="","SEM SUBCATEGORIA",IF(COUNTIFS(CADASTROS!$L$7:$L$93,D281,CADASTROS!$D$7:$D$93,E281)=0,"INCOMPATÍVEL","OK"))))</f>
        <v>OK</v>
      </c>
    </row>
    <row r="282" spans="1:11" ht="30" hidden="1" customHeight="1" x14ac:dyDescent="0.25">
      <c r="A282" s="86" t="s">
        <v>1650</v>
      </c>
      <c r="B282" s="85">
        <f>IF(A282="","",IF(INDEX(EXTRATO!$C$2:$C$3000,MATCH($A282,EXTRATO!$A$2:$A$3000,0))="","",INDEX(EXTRATO!$C$2:$C$3000,MATCH($A282,EXTRATO!$A$2:$A$3000,0))))</f>
        <v>46093</v>
      </c>
      <c r="C282" s="86">
        <f t="shared" si="4"/>
        <v>3</v>
      </c>
      <c r="D282" s="81" t="s">
        <v>1311</v>
      </c>
      <c r="E282" s="79" t="s">
        <v>1312</v>
      </c>
      <c r="F282" s="80">
        <v>2100</v>
      </c>
      <c r="G282" s="81" t="s">
        <v>1654</v>
      </c>
      <c r="H282" s="86" t="str">
        <f>IF(A282="","",IF(INDEX(EXTRATO!$F$2:$F$3000,MATCH($A282,EXTRATO!$A$2:$A$3000,0))="","",INDEX(EXTRATO!$F$2:$F$3000,MATCH($A282,EXTRATO!$A$2:$A$3000,0))))</f>
        <v>SAÍDA</v>
      </c>
      <c r="I282" s="88" t="str">
        <f>IF(A282="","",IF(INDEX(EXTRATO!$H$2:$H$3000,MATCH($A282,EXTRATO!$A$2:$A$3000,0))="","",INDEX(EXTRATO!$H$2:$H$3000,MATCH($A282,EXTRATO!$A$2:$A$3000,0))))</f>
        <v>PROTMED</v>
      </c>
      <c r="J282" s="86" t="s">
        <v>1313</v>
      </c>
      <c r="K282" s="86" t="str">
        <f>IF(AND(A282="",D282="",E282="",F282=""),"",IF(D282="","SEM CATEGORIA",IF(E282="","SEM SUBCATEGORIA",IF(COUNTIFS(CADASTROS!$L$7:$L$93,D282,CADASTROS!$D$7:$D$93,E282)=0,"INCOMPATÍVEL","OK"))))</f>
        <v>OK</v>
      </c>
    </row>
    <row r="283" spans="1:11" ht="30" hidden="1" customHeight="1" x14ac:dyDescent="0.25">
      <c r="A283" s="86" t="s">
        <v>1650</v>
      </c>
      <c r="B283" s="85">
        <f>IF(A283="","",IF(INDEX(EXTRATO!$C$2:$C$3000,MATCH($A283,EXTRATO!$A$2:$A$3000,0))="","",INDEX(EXTRATO!$C$2:$C$3000,MATCH($A283,EXTRATO!$A$2:$A$3000,0))))</f>
        <v>46093</v>
      </c>
      <c r="C283" s="86">
        <f t="shared" si="4"/>
        <v>3</v>
      </c>
      <c r="D283" s="81" t="s">
        <v>1367</v>
      </c>
      <c r="E283" s="79" t="s">
        <v>1368</v>
      </c>
      <c r="F283" s="80">
        <v>413.64</v>
      </c>
      <c r="G283" s="81" t="s">
        <v>1655</v>
      </c>
      <c r="H283" s="86" t="str">
        <f>IF(A283="","",IF(INDEX(EXTRATO!$F$2:$F$3000,MATCH($A283,EXTRATO!$A$2:$A$3000,0))="","",INDEX(EXTRATO!$F$2:$F$3000,MATCH($A283,EXTRATO!$A$2:$A$3000,0))))</f>
        <v>SAÍDA</v>
      </c>
      <c r="I283" s="88" t="str">
        <f>IF(A283="","",IF(INDEX(EXTRATO!$H$2:$H$3000,MATCH($A283,EXTRATO!$A$2:$A$3000,0))="","",INDEX(EXTRATO!$H$2:$H$3000,MATCH($A283,EXTRATO!$A$2:$A$3000,0))))</f>
        <v>PROTMED</v>
      </c>
      <c r="J283" s="86" t="s">
        <v>1313</v>
      </c>
      <c r="K283" s="86" t="str">
        <f>IF(AND(A283="",D283="",E283="",F283=""),"",IF(D283="","SEM CATEGORIA",IF(E283="","SEM SUBCATEGORIA",IF(COUNTIFS(CADASTROS!$L$7:$L$93,D283,CADASTROS!$D$7:$D$93,E283)=0,"INCOMPATÍVEL","OK"))))</f>
        <v>OK</v>
      </c>
    </row>
    <row r="284" spans="1:11" ht="30" hidden="1" customHeight="1" x14ac:dyDescent="0.25">
      <c r="A284" s="86" t="s">
        <v>1651</v>
      </c>
      <c r="B284" s="85">
        <f>IF(A284="","",IF(INDEX(EXTRATO!$C$2:$C$3000,MATCH($A284,EXTRATO!$A$2:$A$3000,0))="","",INDEX(EXTRATO!$C$2:$C$3000,MATCH($A284,EXTRATO!$A$2:$A$3000,0))))</f>
        <v>46093</v>
      </c>
      <c r="C284" s="86">
        <f t="shared" si="4"/>
        <v>3</v>
      </c>
      <c r="D284" s="81" t="s">
        <v>1415</v>
      </c>
      <c r="E284" s="79" t="s">
        <v>1657</v>
      </c>
      <c r="F284" s="80">
        <v>1800</v>
      </c>
      <c r="G284" s="81" t="s">
        <v>439</v>
      </c>
      <c r="H284" s="86" t="str">
        <f>IF(A284="","",IF(INDEX(EXTRATO!$F$2:$F$3000,MATCH($A284,EXTRATO!$A$2:$A$3000,0))="","",INDEX(EXTRATO!$F$2:$F$3000,MATCH($A284,EXTRATO!$A$2:$A$3000,0))))</f>
        <v>SAÍDA</v>
      </c>
      <c r="I284" s="88" t="str">
        <f>IF(A284="","",IF(INDEX(EXTRATO!$H$2:$H$3000,MATCH($A284,EXTRATO!$A$2:$A$3000,0))="","",INDEX(EXTRATO!$H$2:$H$3000,MATCH($A284,EXTRATO!$A$2:$A$3000,0))))</f>
        <v>FARMACÊUTICA REBECA</v>
      </c>
      <c r="J284" s="86" t="s">
        <v>1313</v>
      </c>
      <c r="K284" s="86" t="str">
        <f>IF(AND(A284="",D284="",E284="",F284=""),"",IF(D284="","SEM CATEGORIA",IF(E284="","SEM SUBCATEGORIA",IF(COUNTIFS(CADASTROS!$L$7:$L$93,D284,CADASTROS!$D$7:$D$93,E284)=0,"INCOMPATÍVEL","OK"))))</f>
        <v>OK</v>
      </c>
    </row>
    <row r="285" spans="1:11" ht="30" hidden="1" customHeight="1" x14ac:dyDescent="0.25">
      <c r="A285" s="86" t="s">
        <v>1652</v>
      </c>
      <c r="B285" s="85">
        <f>IF(A285="","",IF(INDEX(EXTRATO!$C$2:$C$3000,MATCH($A285,EXTRATO!$A$2:$A$3000,0))="","",INDEX(EXTRATO!$C$2:$C$3000,MATCH($A285,EXTRATO!$A$2:$A$3000,0))))</f>
        <v>46093</v>
      </c>
      <c r="C285" s="86">
        <f t="shared" si="4"/>
        <v>3</v>
      </c>
      <c r="D285" s="81" t="s">
        <v>1305</v>
      </c>
      <c r="E285" s="79" t="s">
        <v>1339</v>
      </c>
      <c r="F285" s="80">
        <v>32760.61</v>
      </c>
      <c r="G285" s="81" t="s">
        <v>442</v>
      </c>
      <c r="H285" s="86" t="str">
        <f>IF(A285="","",IF(INDEX(EXTRATO!$F$2:$F$3000,MATCH($A285,EXTRATO!$A$2:$A$3000,0))="","",INDEX(EXTRATO!$F$2:$F$3000,MATCH($A285,EXTRATO!$A$2:$A$3000,0))))</f>
        <v>ENTRADA</v>
      </c>
      <c r="I285" s="88" t="str">
        <f>IF(A285="","",IF(INDEX(EXTRATO!$H$2:$H$3000,MATCH($A285,EXTRATO!$A$2:$A$3000,0))="","",INDEX(EXTRATO!$H$2:$H$3000,MATCH($A285,EXTRATO!$A$2:$A$3000,0))))</f>
        <v>PISO DE ENFERMAGEM</v>
      </c>
      <c r="J285" s="86" t="s">
        <v>1307</v>
      </c>
      <c r="K285" s="86" t="str">
        <f>IF(AND(A285="",D285="",E285="",F285=""),"",IF(D285="","SEM CATEGORIA",IF(E285="","SEM SUBCATEGORIA",IF(COUNTIFS(CADASTROS!$L$7:$L$93,D285,CADASTROS!$D$7:$D$93,E285)=0,"INCOMPATÍVEL","OK"))))</f>
        <v>OK</v>
      </c>
    </row>
    <row r="286" spans="1:11" ht="30" hidden="1" customHeight="1" x14ac:dyDescent="0.25">
      <c r="A286" s="86" t="s">
        <v>1653</v>
      </c>
      <c r="B286" s="85">
        <f>IF(A286="","",IF(INDEX(EXTRATO!$C$2:$C$3000,MATCH($A286,EXTRATO!$A$2:$A$3000,0))="","",INDEX(EXTRATO!$C$2:$C$3000,MATCH($A286,EXTRATO!$A$2:$A$3000,0))))</f>
        <v>46093</v>
      </c>
      <c r="C286" s="86">
        <f t="shared" si="4"/>
        <v>3</v>
      </c>
      <c r="D286" s="81" t="s">
        <v>1330</v>
      </c>
      <c r="E286" s="79" t="s">
        <v>1400</v>
      </c>
      <c r="F286" s="80">
        <v>1600</v>
      </c>
      <c r="G286" s="81" t="s">
        <v>443</v>
      </c>
      <c r="H286" s="86" t="str">
        <f>IF(A286="","",IF(INDEX(EXTRATO!$F$2:$F$3000,MATCH($A286,EXTRATO!$A$2:$A$3000,0))="","",INDEX(EXTRATO!$F$2:$F$3000,MATCH($A286,EXTRATO!$A$2:$A$3000,0))))</f>
        <v>SAÍDA</v>
      </c>
      <c r="I286" s="88" t="str">
        <f>IF(A286="","",IF(INDEX(EXTRATO!$H$2:$H$3000,MATCH($A286,EXTRATO!$A$2:$A$3000,0))="","",INDEX(EXTRATO!$H$2:$H$3000,MATCH($A286,EXTRATO!$A$2:$A$3000,0))))</f>
        <v>BIOGREEN</v>
      </c>
      <c r="J286" s="86" t="s">
        <v>1313</v>
      </c>
      <c r="K286" s="86" t="str">
        <f>IF(AND(A286="",D286="",E286="",F286=""),"",IF(D286="","SEM CATEGORIA",IF(E286="","SEM SUBCATEGORIA",IF(COUNTIFS(CADASTROS!$L$7:$L$93,D286,CADASTROS!$D$7:$D$93,E286)=0,"INCOMPATÍVEL","OK"))))</f>
        <v>OK</v>
      </c>
    </row>
    <row r="287" spans="1:11" ht="30" hidden="1" customHeight="1" x14ac:dyDescent="0.25">
      <c r="A287" s="86" t="s">
        <v>1656</v>
      </c>
      <c r="B287" s="85">
        <f>IF(A287="","",IF(INDEX(EXTRATO!$C$2:$C$3000,MATCH($A287,EXTRATO!$A$2:$A$3000,0))="","",INDEX(EXTRATO!$C$2:$C$3000,MATCH($A287,EXTRATO!$A$2:$A$3000,0))))</f>
        <v>46093</v>
      </c>
      <c r="C287" s="86">
        <f t="shared" si="4"/>
        <v>3</v>
      </c>
      <c r="D287" s="81" t="s">
        <v>1415</v>
      </c>
      <c r="E287" s="79" t="s">
        <v>1661</v>
      </c>
      <c r="F287" s="80">
        <v>1470</v>
      </c>
      <c r="G287" s="81" t="s">
        <v>445</v>
      </c>
      <c r="H287" s="86" t="str">
        <f>IF(A287="","",IF(INDEX(EXTRATO!$F$2:$F$3000,MATCH($A287,EXTRATO!$A$2:$A$3000,0))="","",INDEX(EXTRATO!$F$2:$F$3000,MATCH($A287,EXTRATO!$A$2:$A$3000,0))))</f>
        <v>SAÍDA</v>
      </c>
      <c r="I287" s="88" t="str">
        <f>IF(A287="","",IF(INDEX(EXTRATO!$H$2:$H$3000,MATCH($A287,EXTRATO!$A$2:$A$3000,0))="","",INDEX(EXTRATO!$H$2:$H$3000,MATCH($A287,EXTRATO!$A$2:$A$3000,0))))</f>
        <v>DR. RENATO</v>
      </c>
      <c r="J287" s="86" t="s">
        <v>1313</v>
      </c>
      <c r="K287" s="86" t="str">
        <f>IF(AND(A287="",D287="",E287="",F287=""),"",IF(D287="","SEM CATEGORIA",IF(E287="","SEM SUBCATEGORIA",IF(COUNTIFS(CADASTROS!$L$7:$L$93,D287,CADASTROS!$D$7:$D$93,E287)=0,"INCOMPATÍVEL","OK"))))</f>
        <v>OK</v>
      </c>
    </row>
    <row r="288" spans="1:11" ht="30" hidden="1" customHeight="1" x14ac:dyDescent="0.25">
      <c r="A288" s="86" t="s">
        <v>1658</v>
      </c>
      <c r="B288" s="85">
        <f>IF(A288="","",IF(INDEX(EXTRATO!$C$2:$C$3000,MATCH($A288,EXTRATO!$A$2:$A$3000,0))="","",INDEX(EXTRATO!$C$2:$C$3000,MATCH($A288,EXTRATO!$A$2:$A$3000,0))))</f>
        <v>46093</v>
      </c>
      <c r="C288" s="86">
        <f t="shared" si="4"/>
        <v>3</v>
      </c>
      <c r="D288" s="81" t="s">
        <v>1311</v>
      </c>
      <c r="E288" s="79" t="s">
        <v>1312</v>
      </c>
      <c r="F288" s="80">
        <v>1416</v>
      </c>
      <c r="G288" s="81" t="s">
        <v>448</v>
      </c>
      <c r="H288" s="86" t="str">
        <f>IF(A288="","",IF(INDEX(EXTRATO!$F$2:$F$3000,MATCH($A288,EXTRATO!$A$2:$A$3000,0))="","",INDEX(EXTRATO!$F$2:$F$3000,MATCH($A288,EXTRATO!$A$2:$A$3000,0))))</f>
        <v>SAÍDA</v>
      </c>
      <c r="I288" s="88" t="str">
        <f>IF(A288="","",IF(INDEX(EXTRATO!$H$2:$H$3000,MATCH($A288,EXTRATO!$A$2:$A$3000,0))="","",INDEX(EXTRATO!$H$2:$H$3000,MATCH($A288,EXTRATO!$A$2:$A$3000,0))))</f>
        <v>BIOPAR</v>
      </c>
      <c r="J288" s="86" t="s">
        <v>1313</v>
      </c>
      <c r="K288" s="86" t="str">
        <f>IF(AND(A288="",D288="",E288="",F288=""),"",IF(D288="","SEM CATEGORIA",IF(E288="","SEM SUBCATEGORIA",IF(COUNTIFS(CADASTROS!$L$7:$L$93,D288,CADASTROS!$D$7:$D$93,E288)=0,"INCOMPATÍVEL","OK"))))</f>
        <v>OK</v>
      </c>
    </row>
    <row r="289" spans="1:11" ht="30" hidden="1" customHeight="1" x14ac:dyDescent="0.25">
      <c r="A289" s="86" t="s">
        <v>1659</v>
      </c>
      <c r="B289" s="85">
        <f>IF(A289="","",IF(INDEX(EXTRATO!$C$2:$C$3000,MATCH($A289,EXTRATO!$A$2:$A$3000,0))="","",INDEX(EXTRATO!$C$2:$C$3000,MATCH($A289,EXTRATO!$A$2:$A$3000,0))))</f>
        <v>46093</v>
      </c>
      <c r="C289" s="86">
        <f t="shared" si="4"/>
        <v>3</v>
      </c>
      <c r="D289" s="81" t="s">
        <v>1415</v>
      </c>
      <c r="E289" s="79" t="s">
        <v>1664</v>
      </c>
      <c r="F289" s="80">
        <v>980</v>
      </c>
      <c r="G289" s="81" t="s">
        <v>450</v>
      </c>
      <c r="H289" s="86" t="str">
        <f>IF(A289="","",IF(INDEX(EXTRATO!$F$2:$F$3000,MATCH($A289,EXTRATO!$A$2:$A$3000,0))="","",INDEX(EXTRATO!$F$2:$F$3000,MATCH($A289,EXTRATO!$A$2:$A$3000,0))))</f>
        <v>SAÍDA</v>
      </c>
      <c r="I289" s="88" t="str">
        <f>IF(A289="","",IF(INDEX(EXTRATO!$H$2:$H$3000,MATCH($A289,EXTRATO!$A$2:$A$3000,0))="","",INDEX(EXTRATO!$H$2:$H$3000,MATCH($A289,EXTRATO!$A$2:$A$3000,0))))</f>
        <v>DR. WILSON</v>
      </c>
      <c r="J289" s="86" t="s">
        <v>1313</v>
      </c>
      <c r="K289" s="86" t="str">
        <f>IF(AND(A289="",D289="",E289="",F289=""),"",IF(D289="","SEM CATEGORIA",IF(E289="","SEM SUBCATEGORIA",IF(COUNTIFS(CADASTROS!$L$7:$L$93,D289,CADASTROS!$D$7:$D$93,E289)=0,"INCOMPATÍVEL","OK"))))</f>
        <v>OK</v>
      </c>
    </row>
    <row r="290" spans="1:11" ht="30" hidden="1" customHeight="1" x14ac:dyDescent="0.25">
      <c r="A290" s="86" t="s">
        <v>1660</v>
      </c>
      <c r="B290" s="85">
        <f>IF(A290="","",IF(INDEX(EXTRATO!$C$2:$C$3000,MATCH($A290,EXTRATO!$A$2:$A$3000,0))="","",INDEX(EXTRATO!$C$2:$C$3000,MATCH($A290,EXTRATO!$A$2:$A$3000,0))))</f>
        <v>46093</v>
      </c>
      <c r="C290" s="86">
        <f t="shared" si="4"/>
        <v>3</v>
      </c>
      <c r="D290" s="81" t="s">
        <v>1330</v>
      </c>
      <c r="E290" s="79" t="s">
        <v>1331</v>
      </c>
      <c r="F290" s="80">
        <v>897.92</v>
      </c>
      <c r="G290" s="81" t="s">
        <v>282</v>
      </c>
      <c r="H290" s="86" t="str">
        <f>IF(A290="","",IF(INDEX(EXTRATO!$F$2:$F$3000,MATCH($A290,EXTRATO!$A$2:$A$3000,0))="","",INDEX(EXTRATO!$F$2:$F$3000,MATCH($A290,EXTRATO!$A$2:$A$3000,0))))</f>
        <v>SAÍDA</v>
      </c>
      <c r="I290" s="88" t="str">
        <f>IF(A290="","",IF(INDEX(EXTRATO!$H$2:$H$3000,MATCH($A290,EXTRATO!$A$2:$A$3000,0))="","",INDEX(EXTRATO!$H$2:$H$3000,MATCH($A290,EXTRATO!$A$2:$A$3000,0))))</f>
        <v>ALECRIM INDUSTRIA E COMÉRCIO</v>
      </c>
      <c r="J290" s="86" t="s">
        <v>1313</v>
      </c>
      <c r="K290" s="86" t="str">
        <f>IF(AND(A290="",D290="",E290="",F290=""),"",IF(D290="","SEM CATEGORIA",IF(E290="","SEM SUBCATEGORIA",IF(COUNTIFS(CADASTROS!$L$7:$L$93,D290,CADASTROS!$D$7:$D$93,E290)=0,"INCOMPATÍVEL","OK"))))</f>
        <v>OK</v>
      </c>
    </row>
    <row r="291" spans="1:11" ht="30" hidden="1" customHeight="1" x14ac:dyDescent="0.25">
      <c r="A291" s="86" t="s">
        <v>1662</v>
      </c>
      <c r="B291" s="85">
        <f>IF(A291="","",IF(INDEX(EXTRATO!$C$2:$C$3000,MATCH($A291,EXTRATO!$A$2:$A$3000,0))="","",INDEX(EXTRATO!$C$2:$C$3000,MATCH($A291,EXTRATO!$A$2:$A$3000,0))))</f>
        <v>46093</v>
      </c>
      <c r="C291" s="86">
        <f t="shared" si="4"/>
        <v>3</v>
      </c>
      <c r="D291" s="81" t="s">
        <v>1370</v>
      </c>
      <c r="E291" s="79" t="s">
        <v>1494</v>
      </c>
      <c r="F291" s="80">
        <v>858.83</v>
      </c>
      <c r="G291" s="81" t="s">
        <v>454</v>
      </c>
      <c r="H291" s="86" t="str">
        <f>IF(A291="","",IF(INDEX(EXTRATO!$F$2:$F$3000,MATCH($A291,EXTRATO!$A$2:$A$3000,0))="","",INDEX(EXTRATO!$F$2:$F$3000,MATCH($A291,EXTRATO!$A$2:$A$3000,0))))</f>
        <v>SAÍDA</v>
      </c>
      <c r="I291" s="88" t="str">
        <f>IF(A291="","",IF(INDEX(EXTRATO!$H$2:$H$3000,MATCH($A291,EXTRATO!$A$2:$A$3000,0))="","",INDEX(EXTRATO!$H$2:$H$3000,MATCH($A291,EXTRATO!$A$2:$A$3000,0))))</f>
        <v>MOISES DA S. OLIVEIRA</v>
      </c>
      <c r="J291" s="86" t="s">
        <v>1455</v>
      </c>
      <c r="K291" s="86" t="str">
        <f>IF(AND(A291="",D291="",E291="",F291=""),"",IF(D291="","SEM CATEGORIA",IF(E291="","SEM SUBCATEGORIA",IF(COUNTIFS(CADASTROS!$L$7:$L$93,D291,CADASTROS!$D$7:$D$93,E291)=0,"INCOMPATÍVEL","OK"))))</f>
        <v>OK</v>
      </c>
    </row>
    <row r="292" spans="1:11" ht="30" hidden="1" customHeight="1" x14ac:dyDescent="0.25">
      <c r="A292" s="86" t="s">
        <v>1663</v>
      </c>
      <c r="B292" s="85">
        <f>IF(A292="","",IF(INDEX(EXTRATO!$C$2:$C$3000,MATCH($A292,EXTRATO!$A$2:$A$3000,0))="","",INDEX(EXTRATO!$C$2:$C$3000,MATCH($A292,EXTRATO!$A$2:$A$3000,0))))</f>
        <v>46093</v>
      </c>
      <c r="C292" s="86">
        <f t="shared" si="4"/>
        <v>3</v>
      </c>
      <c r="D292" s="81" t="s">
        <v>1330</v>
      </c>
      <c r="E292" s="79" t="s">
        <v>1413</v>
      </c>
      <c r="F292" s="80">
        <v>687</v>
      </c>
      <c r="G292" s="81" t="s">
        <v>456</v>
      </c>
      <c r="H292" s="86" t="str">
        <f>IF(A292="","",IF(INDEX(EXTRATO!$F$2:$F$3000,MATCH($A292,EXTRATO!$A$2:$A$3000,0))="","",INDEX(EXTRATO!$F$2:$F$3000,MATCH($A292,EXTRATO!$A$2:$A$3000,0))))</f>
        <v>SAÍDA</v>
      </c>
      <c r="I292" s="88" t="str">
        <f>IF(A292="","",IF(INDEX(EXTRATO!$H$2:$H$3000,MATCH($A292,EXTRATO!$A$2:$A$3000,0))="","",INDEX(EXTRATO!$H$2:$H$3000,MATCH($A292,EXTRATO!$A$2:$A$3000,0))))</f>
        <v>DONA MARINALVA</v>
      </c>
      <c r="J292" s="86" t="s">
        <v>1313</v>
      </c>
      <c r="K292" s="86" t="str">
        <f>IF(AND(A292="",D292="",E292="",F292=""),"",IF(D292="","SEM CATEGORIA",IF(E292="","SEM SUBCATEGORIA",IF(COUNTIFS(CADASTROS!$L$7:$L$93,D292,CADASTROS!$D$7:$D$93,E292)=0,"INCOMPATÍVEL","OK"))))</f>
        <v>OK</v>
      </c>
    </row>
    <row r="293" spans="1:11" ht="30" hidden="1" customHeight="1" x14ac:dyDescent="0.25">
      <c r="A293" s="86" t="s">
        <v>1665</v>
      </c>
      <c r="B293" s="85">
        <f>IF(A293="","",IF(INDEX(EXTRATO!$C$2:$C$3000,MATCH($A293,EXTRATO!$A$2:$A$3000,0))="","",INDEX(EXTRATO!$C$2:$C$3000,MATCH($A293,EXTRATO!$A$2:$A$3000,0))))</f>
        <v>46093</v>
      </c>
      <c r="C293" s="86">
        <f t="shared" si="4"/>
        <v>3</v>
      </c>
      <c r="D293" s="81" t="s">
        <v>1415</v>
      </c>
      <c r="E293" s="79" t="s">
        <v>1669</v>
      </c>
      <c r="F293" s="80">
        <v>125</v>
      </c>
      <c r="G293" s="81" t="s">
        <v>459</v>
      </c>
      <c r="H293" s="86" t="str">
        <f>IF(A293="","",IF(INDEX(EXTRATO!$F$2:$F$3000,MATCH($A293,EXTRATO!$A$2:$A$3000,0))="","",INDEX(EXTRATO!$F$2:$F$3000,MATCH($A293,EXTRATO!$A$2:$A$3000,0))))</f>
        <v>SAÍDA</v>
      </c>
      <c r="I293" s="88" t="str">
        <f>IF(A293="","",IF(INDEX(EXTRATO!$H$2:$H$3000,MATCH($A293,EXTRATO!$A$2:$A$3000,0))="","",INDEX(EXTRATO!$H$2:$H$3000,MATCH($A293,EXTRATO!$A$2:$A$3000,0))))</f>
        <v>UNICLINICA</v>
      </c>
      <c r="J293" s="86" t="s">
        <v>1313</v>
      </c>
      <c r="K293" s="86" t="str">
        <f>IF(AND(A293="",D293="",E293="",F293=""),"",IF(D293="","SEM CATEGORIA",IF(E293="","SEM SUBCATEGORIA",IF(COUNTIFS(CADASTROS!$L$7:$L$93,D293,CADASTROS!$D$7:$D$93,E293)=0,"INCOMPATÍVEL","OK"))))</f>
        <v>OK</v>
      </c>
    </row>
    <row r="294" spans="1:11" ht="30" hidden="1" customHeight="1" x14ac:dyDescent="0.25">
      <c r="A294" s="86" t="s">
        <v>1666</v>
      </c>
      <c r="B294" s="85">
        <f>IF(A294="","",IF(INDEX(EXTRATO!$C$2:$C$3000,MATCH($A294,EXTRATO!$A$2:$A$3000,0))="","",INDEX(EXTRATO!$C$2:$C$3000,MATCH($A294,EXTRATO!$A$2:$A$3000,0))))</f>
        <v>46094</v>
      </c>
      <c r="C294" s="86">
        <f t="shared" si="4"/>
        <v>3</v>
      </c>
      <c r="D294" s="81" t="s">
        <v>1349</v>
      </c>
      <c r="E294" s="79" t="s">
        <v>1411</v>
      </c>
      <c r="F294" s="80">
        <v>900</v>
      </c>
      <c r="G294" s="81" t="s">
        <v>461</v>
      </c>
      <c r="H294" s="86" t="str">
        <f>IF(A294="","",IF(INDEX(EXTRATO!$F$2:$F$3000,MATCH($A294,EXTRATO!$A$2:$A$3000,0))="","",INDEX(EXTRATO!$F$2:$F$3000,MATCH($A294,EXTRATO!$A$2:$A$3000,0))))</f>
        <v>SAÍDA</v>
      </c>
      <c r="I294" s="88" t="str">
        <f>IF(A294="","",IF(INDEX(EXTRATO!$H$2:$H$3000,MATCH($A294,EXTRATO!$A$2:$A$3000,0))="","",INDEX(EXTRATO!$H$2:$H$3000,MATCH($A294,EXTRATO!$A$2:$A$3000,0))))</f>
        <v>RENATO MOREIRA GOMES</v>
      </c>
      <c r="J294" s="86" t="s">
        <v>1313</v>
      </c>
      <c r="K294" s="86" t="str">
        <f>IF(AND(A294="",D294="",E294="",F294=""),"",IF(D294="","SEM CATEGORIA",IF(E294="","SEM SUBCATEGORIA",IF(COUNTIFS(CADASTROS!$L$7:$L$93,D294,CADASTROS!$D$7:$D$93,E294)=0,"INCOMPATÍVEL","OK"))))</f>
        <v>OK</v>
      </c>
    </row>
    <row r="295" spans="1:11" ht="30" hidden="1" customHeight="1" x14ac:dyDescent="0.25">
      <c r="A295" s="86" t="s">
        <v>1667</v>
      </c>
      <c r="B295" s="85">
        <f>IF(A295="","",IF(INDEX(EXTRATO!$C$2:$C$3000,MATCH($A295,EXTRATO!$A$2:$A$3000,0))="","",INDEX(EXTRATO!$C$2:$C$3000,MATCH($A295,EXTRATO!$A$2:$A$3000,0))))</f>
        <v>46094</v>
      </c>
      <c r="C295" s="86">
        <f t="shared" si="4"/>
        <v>3</v>
      </c>
      <c r="D295" s="81" t="s">
        <v>1349</v>
      </c>
      <c r="E295" s="79" t="s">
        <v>1402</v>
      </c>
      <c r="F295" s="80">
        <v>419.86</v>
      </c>
      <c r="G295" s="81" t="s">
        <v>464</v>
      </c>
      <c r="H295" s="86" t="str">
        <f>IF(A295="","",IF(INDEX(EXTRATO!$F$2:$F$3000,MATCH($A295,EXTRATO!$A$2:$A$3000,0))="","",INDEX(EXTRATO!$F$2:$F$3000,MATCH($A295,EXTRATO!$A$2:$A$3000,0))))</f>
        <v>SAÍDA</v>
      </c>
      <c r="I295" s="88" t="str">
        <f>IF(A295="","",IF(INDEX(EXTRATO!$H$2:$H$3000,MATCH($A295,EXTRATO!$A$2:$A$3000,0))="","",INDEX(EXTRATO!$H$2:$H$3000,MATCH($A295,EXTRATO!$A$2:$A$3000,0))))</f>
        <v>LEMOS BRANCO &amp; CIA</v>
      </c>
      <c r="J295" s="86" t="s">
        <v>1313</v>
      </c>
      <c r="K295" s="86" t="str">
        <f>IF(AND(A295="",D295="",E295="",F295=""),"",IF(D295="","SEM CATEGORIA",IF(E295="","SEM SUBCATEGORIA",IF(COUNTIFS(CADASTROS!$L$7:$L$93,D295,CADASTROS!$D$7:$D$93,E295)=0,"INCOMPATÍVEL","OK"))))</f>
        <v>OK</v>
      </c>
    </row>
    <row r="296" spans="1:11" ht="30" hidden="1" customHeight="1" x14ac:dyDescent="0.25">
      <c r="A296" s="86" t="s">
        <v>1668</v>
      </c>
      <c r="B296" s="85">
        <f>IF(A296="","",IF(INDEX(EXTRATO!$C$2:$C$3000,MATCH($A296,EXTRATO!$A$2:$A$3000,0))="","",INDEX(EXTRATO!$C$2:$C$3000,MATCH($A296,EXTRATO!$A$2:$A$3000,0))))</f>
        <v>46094</v>
      </c>
      <c r="C296" s="86">
        <f t="shared" si="4"/>
        <v>3</v>
      </c>
      <c r="D296" s="81" t="s">
        <v>1330</v>
      </c>
      <c r="E296" s="79" t="s">
        <v>1673</v>
      </c>
      <c r="F296" s="80">
        <v>43.37</v>
      </c>
      <c r="G296" s="81" t="s">
        <v>466</v>
      </c>
      <c r="H296" s="86" t="str">
        <f>IF(A296="","",IF(INDEX(EXTRATO!$F$2:$F$3000,MATCH($A296,EXTRATO!$A$2:$A$3000,0))="","",INDEX(EXTRATO!$F$2:$F$3000,MATCH($A296,EXTRATO!$A$2:$A$3000,0))))</f>
        <v>SAÍDA</v>
      </c>
      <c r="I296" s="88" t="str">
        <f>IF(A296="","",IF(INDEX(EXTRATO!$H$2:$H$3000,MATCH($A296,EXTRATO!$A$2:$A$3000,0))="","",INDEX(EXTRATO!$H$2:$H$3000,MATCH($A296,EXTRATO!$A$2:$A$3000,0))))</f>
        <v>NADJA KARINA BUNA ASSSUNCA</v>
      </c>
      <c r="J296" s="86" t="s">
        <v>1313</v>
      </c>
      <c r="K296" s="86" t="str">
        <f>IF(AND(A296="",D296="",E296="",F296=""),"",IF(D296="","SEM CATEGORIA",IF(E296="","SEM SUBCATEGORIA",IF(COUNTIFS(CADASTROS!$L$7:$L$93,D296,CADASTROS!$D$7:$D$93,E296)=0,"INCOMPATÍVEL","OK"))))</f>
        <v>OK</v>
      </c>
    </row>
    <row r="297" spans="1:11" ht="30" hidden="1" customHeight="1" x14ac:dyDescent="0.25">
      <c r="A297" s="86" t="s">
        <v>1670</v>
      </c>
      <c r="B297" s="85">
        <f>IF(A297="","",IF(INDEX(EXTRATO!$C$2:$C$3000,MATCH($A297,EXTRATO!$A$2:$A$3000,0))="","",INDEX(EXTRATO!$C$2:$C$3000,MATCH($A297,EXTRATO!$A$2:$A$3000,0))))</f>
        <v>46097</v>
      </c>
      <c r="C297" s="86">
        <f t="shared" si="4"/>
        <v>3</v>
      </c>
      <c r="D297" s="81" t="s">
        <v>1311</v>
      </c>
      <c r="E297" s="79" t="s">
        <v>1404</v>
      </c>
      <c r="F297" s="80">
        <v>16277.5</v>
      </c>
      <c r="G297" s="81" t="s">
        <v>470</v>
      </c>
      <c r="H297" s="86" t="str">
        <f>IF(A297="","",IF(INDEX(EXTRATO!$F$2:$F$3000,MATCH($A297,EXTRATO!$A$2:$A$3000,0))="","",INDEX(EXTRATO!$F$2:$F$3000,MATCH($A297,EXTRATO!$A$2:$A$3000,0))))</f>
        <v>SAÍDA</v>
      </c>
      <c r="I297" s="88" t="str">
        <f>IF(A297="","",IF(INDEX(EXTRATO!$H$2:$H$3000,MATCH($A297,EXTRATO!$A$2:$A$3000,0))="","",INDEX(EXTRATO!$H$2:$H$3000,MATCH($A297,EXTRATO!$A$2:$A$3000,0))))</f>
        <v>FARMACE</v>
      </c>
      <c r="J297" s="86" t="s">
        <v>1313</v>
      </c>
      <c r="K297" s="86" t="str">
        <f>IF(AND(A297="",D297="",E297="",F297=""),"",IF(D297="","SEM CATEGORIA",IF(E297="","SEM SUBCATEGORIA",IF(COUNTIFS(CADASTROS!$L$7:$L$93,D297,CADASTROS!$D$7:$D$93,E297)=0,"INCOMPATÍVEL","OK"))))</f>
        <v>OK</v>
      </c>
    </row>
    <row r="298" spans="1:11" ht="30" hidden="1" customHeight="1" x14ac:dyDescent="0.25">
      <c r="A298" s="86" t="s">
        <v>1671</v>
      </c>
      <c r="B298" s="85">
        <f>IF(A298="","",IF(INDEX(EXTRATO!$C$2:$C$3000,MATCH($A298,EXTRATO!$A$2:$A$3000,0))="","",INDEX(EXTRATO!$C$2:$C$3000,MATCH($A298,EXTRATO!$A$2:$A$3000,0))))</f>
        <v>46097</v>
      </c>
      <c r="C298" s="86">
        <f t="shared" si="4"/>
        <v>3</v>
      </c>
      <c r="D298" s="81" t="s">
        <v>1311</v>
      </c>
      <c r="E298" s="79" t="s">
        <v>1342</v>
      </c>
      <c r="F298" s="80">
        <v>5167.7</v>
      </c>
      <c r="G298" s="81" t="s">
        <v>80</v>
      </c>
      <c r="H298" s="86" t="str">
        <f>IF(A298="","",IF(INDEX(EXTRATO!$F$2:$F$3000,MATCH($A298,EXTRATO!$A$2:$A$3000,0))="","",INDEX(EXTRATO!$F$2:$F$3000,MATCH($A298,EXTRATO!$A$2:$A$3000,0))))</f>
        <v>SAÍDA</v>
      </c>
      <c r="I298" s="88" t="str">
        <f>IF(A298="","",IF(INDEX(EXTRATO!$H$2:$H$3000,MATCH($A298,EXTRATO!$A$2:$A$3000,0))="","",INDEX(EXTRATO!$H$2:$H$3000,MATCH($A298,EXTRATO!$A$2:$A$3000,0))))</f>
        <v>CRISTALIA PRODUTOS</v>
      </c>
      <c r="J298" s="86" t="s">
        <v>1313</v>
      </c>
      <c r="K298" s="86" t="str">
        <f>IF(AND(A298="",D298="",E298="",F298=""),"",IF(D298="","SEM CATEGORIA",IF(E298="","SEM SUBCATEGORIA",IF(COUNTIFS(CADASTROS!$L$7:$L$93,D298,CADASTROS!$D$7:$D$93,E298)=0,"INCOMPATÍVEL","OK"))))</f>
        <v>OK</v>
      </c>
    </row>
    <row r="299" spans="1:11" ht="30" hidden="1" customHeight="1" x14ac:dyDescent="0.25">
      <c r="A299" s="86" t="s">
        <v>1672</v>
      </c>
      <c r="B299" s="85">
        <f>IF(A299="","",IF(INDEX(EXTRATO!$C$2:$C$3000,MATCH($A299,EXTRATO!$A$2:$A$3000,0))="","",INDEX(EXTRATO!$C$2:$C$3000,MATCH($A299,EXTRATO!$A$2:$A$3000,0))))</f>
        <v>46097</v>
      </c>
      <c r="C299" s="86">
        <f t="shared" si="4"/>
        <v>3</v>
      </c>
      <c r="D299" s="81" t="s">
        <v>1311</v>
      </c>
      <c r="E299" s="79" t="s">
        <v>1677</v>
      </c>
      <c r="F299" s="80">
        <v>1950</v>
      </c>
      <c r="G299" s="81" t="s">
        <v>1678</v>
      </c>
      <c r="H299" s="86" t="str">
        <f>IF(A299="","",IF(INDEX(EXTRATO!$F$2:$F$3000,MATCH($A299,EXTRATO!$A$2:$A$3000,0))="","",INDEX(EXTRATO!$F$2:$F$3000,MATCH($A299,EXTRATO!$A$2:$A$3000,0))))</f>
        <v>SAÍDA</v>
      </c>
      <c r="I299" s="88" t="str">
        <f>IF(A299="","",IF(INDEX(EXTRATO!$H$2:$H$3000,MATCH($A299,EXTRATO!$A$2:$A$3000,0))="","",INDEX(EXTRATO!$H$2:$H$3000,MATCH($A299,EXTRATO!$A$2:$A$3000,0))))</f>
        <v>DIALISE COMERCIO</v>
      </c>
      <c r="J299" s="86" t="s">
        <v>1313</v>
      </c>
      <c r="K299" s="86" t="str">
        <f>IF(AND(A299="",D299="",E299="",F299=""),"",IF(D299="","SEM CATEGORIA",IF(E299="","SEM SUBCATEGORIA",IF(COUNTIFS(CADASTROS!$L$7:$L$93,D299,CADASTROS!$D$7:$D$93,E299)=0,"INCOMPATÍVEL","OK"))))</f>
        <v>OK</v>
      </c>
    </row>
    <row r="300" spans="1:11" ht="30" hidden="1" customHeight="1" x14ac:dyDescent="0.25">
      <c r="A300" s="86" t="s">
        <v>1672</v>
      </c>
      <c r="B300" s="85">
        <f>IF(A300="","",IF(INDEX(EXTRATO!$C$2:$C$3000,MATCH($A300,EXTRATO!$A$2:$A$3000,0))="","",INDEX(EXTRATO!$C$2:$C$3000,MATCH($A300,EXTRATO!$A$2:$A$3000,0))))</f>
        <v>46097</v>
      </c>
      <c r="C300" s="86">
        <f t="shared" si="4"/>
        <v>3</v>
      </c>
      <c r="D300" s="81" t="s">
        <v>1311</v>
      </c>
      <c r="E300" s="79" t="s">
        <v>1312</v>
      </c>
      <c r="F300" s="80">
        <v>490</v>
      </c>
      <c r="G300" s="81" t="s">
        <v>1325</v>
      </c>
      <c r="H300" s="86" t="str">
        <f>IF(A300="","",IF(INDEX(EXTRATO!$F$2:$F$3000,MATCH($A300,EXTRATO!$A$2:$A$3000,0))="","",INDEX(EXTRATO!$F$2:$F$3000,MATCH($A300,EXTRATO!$A$2:$A$3000,0))))</f>
        <v>SAÍDA</v>
      </c>
      <c r="I300" s="88" t="str">
        <f>IF(A300="","",IF(INDEX(EXTRATO!$H$2:$H$3000,MATCH($A300,EXTRATO!$A$2:$A$3000,0))="","",INDEX(EXTRATO!$H$2:$H$3000,MATCH($A300,EXTRATO!$A$2:$A$3000,0))))</f>
        <v>DIALISE COMERCIO</v>
      </c>
      <c r="J300" s="86" t="s">
        <v>1313</v>
      </c>
      <c r="K300" s="86" t="str">
        <f>IF(AND(A300="",D300="",E300="",F300=""),"",IF(D300="","SEM CATEGORIA",IF(E300="","SEM SUBCATEGORIA",IF(COUNTIFS(CADASTROS!$L$7:$L$93,D300,CADASTROS!$D$7:$D$93,E300)=0,"INCOMPATÍVEL","OK"))))</f>
        <v>OK</v>
      </c>
    </row>
    <row r="301" spans="1:11" ht="30" hidden="1" customHeight="1" x14ac:dyDescent="0.25">
      <c r="A301" s="86" t="s">
        <v>1672</v>
      </c>
      <c r="B301" s="85">
        <f>IF(A301="","",IF(INDEX(EXTRATO!$C$2:$C$3000,MATCH($A301,EXTRATO!$A$2:$A$3000,0))="","",INDEX(EXTRATO!$C$2:$C$3000,MATCH($A301,EXTRATO!$A$2:$A$3000,0))))</f>
        <v>46097</v>
      </c>
      <c r="C301" s="86">
        <f t="shared" si="4"/>
        <v>3</v>
      </c>
      <c r="D301" s="81" t="s">
        <v>1311</v>
      </c>
      <c r="E301" s="79" t="s">
        <v>1320</v>
      </c>
      <c r="F301" s="80">
        <v>450</v>
      </c>
      <c r="G301" s="81" t="s">
        <v>1679</v>
      </c>
      <c r="H301" s="86" t="str">
        <f>IF(A301="","",IF(INDEX(EXTRATO!$F$2:$F$3000,MATCH($A301,EXTRATO!$A$2:$A$3000,0))="","",INDEX(EXTRATO!$F$2:$F$3000,MATCH($A301,EXTRATO!$A$2:$A$3000,0))))</f>
        <v>SAÍDA</v>
      </c>
      <c r="I301" s="88" t="str">
        <f>IF(A301="","",IF(INDEX(EXTRATO!$H$2:$H$3000,MATCH($A301,EXTRATO!$A$2:$A$3000,0))="","",INDEX(EXTRATO!$H$2:$H$3000,MATCH($A301,EXTRATO!$A$2:$A$3000,0))))</f>
        <v>DIALISE COMERCIO</v>
      </c>
      <c r="J301" s="86" t="s">
        <v>1313</v>
      </c>
      <c r="K301" s="86" t="str">
        <f>IF(AND(A301="",D301="",E301="",F301=""),"",IF(D301="","SEM CATEGORIA",IF(E301="","SEM SUBCATEGORIA",IF(COUNTIFS(CADASTROS!$L$7:$L$93,D301,CADASTROS!$D$7:$D$93,E301)=0,"INCOMPATÍVEL","OK"))))</f>
        <v>OK</v>
      </c>
    </row>
    <row r="302" spans="1:11" ht="30" hidden="1" customHeight="1" x14ac:dyDescent="0.25">
      <c r="A302" s="86" t="s">
        <v>1674</v>
      </c>
      <c r="B302" s="85">
        <f>IF(A302="","",IF(INDEX(EXTRATO!$C$2:$C$3000,MATCH($A302,EXTRATO!$A$2:$A$3000,0))="","",INDEX(EXTRATO!$C$2:$C$3000,MATCH($A302,EXTRATO!$A$2:$A$3000,0))))</f>
        <v>46097</v>
      </c>
      <c r="C302" s="86">
        <f t="shared" si="4"/>
        <v>3</v>
      </c>
      <c r="D302" s="81" t="s">
        <v>1367</v>
      </c>
      <c r="E302" s="79" t="s">
        <v>1560</v>
      </c>
      <c r="F302" s="80">
        <v>2839</v>
      </c>
      <c r="G302" s="81" t="s">
        <v>475</v>
      </c>
      <c r="H302" s="86" t="str">
        <f>IF(A302="","",IF(INDEX(EXTRATO!$F$2:$F$3000,MATCH($A302,EXTRATO!$A$2:$A$3000,0))="","",INDEX(EXTRATO!$F$2:$F$3000,MATCH($A302,EXTRATO!$A$2:$A$3000,0))))</f>
        <v>SAÍDA</v>
      </c>
      <c r="I302" s="88" t="str">
        <f>IF(A302="","",IF(INDEX(EXTRATO!$H$2:$H$3000,MATCH($A302,EXTRATO!$A$2:$A$3000,0))="","",INDEX(EXTRATO!$H$2:$H$3000,MATCH($A302,EXTRATO!$A$2:$A$3000,0))))</f>
        <v>PANELA VELHA</v>
      </c>
      <c r="J302" s="86" t="s">
        <v>1313</v>
      </c>
      <c r="K302" s="86" t="str">
        <f>IF(AND(A302="",D302="",E302="",F302=""),"",IF(D302="","SEM CATEGORIA",IF(E302="","SEM SUBCATEGORIA",IF(COUNTIFS(CADASTROS!$L$7:$L$93,D302,CADASTROS!$D$7:$D$93,E302)=0,"INCOMPATÍVEL","OK"))))</f>
        <v>OK</v>
      </c>
    </row>
    <row r="303" spans="1:11" ht="30" hidden="1" customHeight="1" x14ac:dyDescent="0.25">
      <c r="A303" s="86" t="s">
        <v>1675</v>
      </c>
      <c r="B303" s="85">
        <f>IF(A303="","",IF(INDEX(EXTRATO!$C$2:$C$3000,MATCH($A303,EXTRATO!$A$2:$A$3000,0))="","",INDEX(EXTRATO!$C$2:$C$3000,MATCH($A303,EXTRATO!$A$2:$A$3000,0))))</f>
        <v>46097</v>
      </c>
      <c r="C303" s="86">
        <f t="shared" si="4"/>
        <v>3</v>
      </c>
      <c r="D303" s="81" t="s">
        <v>1367</v>
      </c>
      <c r="E303" s="79" t="s">
        <v>1383</v>
      </c>
      <c r="F303" s="80">
        <v>32760.61</v>
      </c>
      <c r="G303" s="81" t="s">
        <v>477</v>
      </c>
      <c r="H303" s="86" t="str">
        <f>IF(A303="","",IF(INDEX(EXTRATO!$F$2:$F$3000,MATCH($A303,EXTRATO!$A$2:$A$3000,0))="","",INDEX(EXTRATO!$F$2:$F$3000,MATCH($A303,EXTRATO!$A$2:$A$3000,0))))</f>
        <v>SAÍDA</v>
      </c>
      <c r="I303" s="88" t="str">
        <f>IF(A303="","",IF(INDEX(EXTRATO!$H$2:$H$3000,MATCH($A303,EXTRATO!$A$2:$A$3000,0))="","",INDEX(EXTRATO!$H$2:$H$3000,MATCH($A303,EXTRATO!$A$2:$A$3000,0))))</f>
        <v>FOLHA DE PAGAMENTO - PISO</v>
      </c>
      <c r="J303" s="86" t="s">
        <v>1313</v>
      </c>
      <c r="K303" s="86" t="str">
        <f>IF(AND(A303="",D303="",E303="",F303=""),"",IF(D303="","SEM CATEGORIA",IF(E303="","SEM SUBCATEGORIA",IF(COUNTIFS(CADASTROS!$L$7:$L$93,D303,CADASTROS!$D$7:$D$93,E303)=0,"INCOMPATÍVEL","OK"))))</f>
        <v>OK</v>
      </c>
    </row>
    <row r="304" spans="1:11" ht="30" hidden="1" customHeight="1" x14ac:dyDescent="0.25">
      <c r="A304" s="86" t="s">
        <v>1676</v>
      </c>
      <c r="B304" s="85">
        <f>IF(A304="","",IF(INDEX(EXTRATO!$C$2:$C$3000,MATCH($A304,EXTRATO!$A$2:$A$3000,0))="","",INDEX(EXTRATO!$C$2:$C$3000,MATCH($A304,EXTRATO!$A$2:$A$3000,0))))</f>
        <v>46097</v>
      </c>
      <c r="C304" s="86">
        <f t="shared" si="4"/>
        <v>3</v>
      </c>
      <c r="D304" s="81" t="s">
        <v>1311</v>
      </c>
      <c r="E304" s="79" t="s">
        <v>1320</v>
      </c>
      <c r="F304" s="80">
        <v>1530</v>
      </c>
      <c r="G304" s="81" t="s">
        <v>478</v>
      </c>
      <c r="H304" s="86" t="str">
        <f>IF(A304="","",IF(INDEX(EXTRATO!$F$2:$F$3000,MATCH($A304,EXTRATO!$A$2:$A$3000,0))="","",INDEX(EXTRATO!$F$2:$F$3000,MATCH($A304,EXTRATO!$A$2:$A$3000,0))))</f>
        <v>SAÍDA</v>
      </c>
      <c r="I304" s="88" t="str">
        <f>IF(A304="","",IF(INDEX(EXTRATO!$H$2:$H$3000,MATCH($A304,EXTRATO!$A$2:$A$3000,0))="","",INDEX(EXTRATO!$H$2:$H$3000,MATCH($A304,EXTRATO!$A$2:$A$3000,0))))</f>
        <v>DIALISE COMERCIO</v>
      </c>
      <c r="J304" s="86" t="s">
        <v>1313</v>
      </c>
      <c r="K304" s="86" t="str">
        <f>IF(AND(A304="",D304="",E304="",F304=""),"",IF(D304="","SEM CATEGORIA",IF(E304="","SEM SUBCATEGORIA",IF(COUNTIFS(CADASTROS!$L$7:$L$93,D304,CADASTROS!$D$7:$D$93,E304)=0,"INCOMPATÍVEL","OK"))))</f>
        <v>OK</v>
      </c>
    </row>
    <row r="305" spans="1:11" ht="30" hidden="1" customHeight="1" x14ac:dyDescent="0.25">
      <c r="A305" s="86" t="s">
        <v>1680</v>
      </c>
      <c r="B305" s="85">
        <f>IF(A305="","",IF(INDEX(EXTRATO!$C$2:$C$3000,MATCH($A305,EXTRATO!$A$2:$A$3000,0))="","",INDEX(EXTRATO!$C$2:$C$3000,MATCH($A305,EXTRATO!$A$2:$A$3000,0))))</f>
        <v>46097</v>
      </c>
      <c r="C305" s="86">
        <f t="shared" si="4"/>
        <v>3</v>
      </c>
      <c r="D305" s="81" t="s">
        <v>1311</v>
      </c>
      <c r="E305" s="79" t="s">
        <v>1315</v>
      </c>
      <c r="F305" s="80">
        <v>1357</v>
      </c>
      <c r="G305" s="81" t="s">
        <v>291</v>
      </c>
      <c r="H305" s="86" t="str">
        <f>IF(A305="","",IF(INDEX(EXTRATO!$F$2:$F$3000,MATCH($A305,EXTRATO!$A$2:$A$3000,0))="","",INDEX(EXTRATO!$F$2:$F$3000,MATCH($A305,EXTRATO!$A$2:$A$3000,0))))</f>
        <v>SAÍDA</v>
      </c>
      <c r="I305" s="88" t="str">
        <f>IF(A305="","",IF(INDEX(EXTRATO!$H$2:$H$3000,MATCH($A305,EXTRATO!$A$2:$A$3000,0))="","",INDEX(EXTRATO!$H$2:$H$3000,MATCH($A305,EXTRATO!$A$2:$A$3000,0))))</f>
        <v>ALLMED PRONEFRO</v>
      </c>
      <c r="J305" s="86" t="s">
        <v>1313</v>
      </c>
      <c r="K305" s="86" t="str">
        <f>IF(AND(A305="",D305="",E305="",F305=""),"",IF(D305="","SEM CATEGORIA",IF(E305="","SEM SUBCATEGORIA",IF(COUNTIFS(CADASTROS!$L$7:$L$93,D305,CADASTROS!$D$7:$D$93,E305)=0,"INCOMPATÍVEL","OK"))))</f>
        <v>OK</v>
      </c>
    </row>
    <row r="306" spans="1:11" ht="30" hidden="1" customHeight="1" x14ac:dyDescent="0.25">
      <c r="A306" s="86" t="s">
        <v>1681</v>
      </c>
      <c r="B306" s="85">
        <f>IF(A306="","",IF(INDEX(EXTRATO!$C$2:$C$3000,MATCH($A306,EXTRATO!$A$2:$A$3000,0))="","",INDEX(EXTRATO!$C$2:$C$3000,MATCH($A306,EXTRATO!$A$2:$A$3000,0))))</f>
        <v>46097</v>
      </c>
      <c r="C306" s="86">
        <f t="shared" si="4"/>
        <v>3</v>
      </c>
      <c r="D306" s="81" t="s">
        <v>1370</v>
      </c>
      <c r="E306" s="79" t="s">
        <v>1371</v>
      </c>
      <c r="F306" s="80">
        <v>900</v>
      </c>
      <c r="G306" s="81" t="s">
        <v>481</v>
      </c>
      <c r="H306" s="86" t="str">
        <f>IF(A306="","",IF(INDEX(EXTRATO!$F$2:$F$3000,MATCH($A306,EXTRATO!$A$2:$A$3000,0))="","",INDEX(EXTRATO!$F$2:$F$3000,MATCH($A306,EXTRATO!$A$2:$A$3000,0))))</f>
        <v>SAÍDA</v>
      </c>
      <c r="I306" s="88" t="str">
        <f>IF(A306="","",IF(INDEX(EXTRATO!$H$2:$H$3000,MATCH($A306,EXTRATO!$A$2:$A$3000,0))="","",INDEX(EXTRATO!$H$2:$H$3000,MATCH($A306,EXTRATO!$A$2:$A$3000,0))))</f>
        <v>J PAULINO DA SILVA</v>
      </c>
      <c r="J306" s="86" t="s">
        <v>1313</v>
      </c>
      <c r="K306" s="86" t="str">
        <f>IF(AND(A306="",D306="",E306="",F306=""),"",IF(D306="","SEM CATEGORIA",IF(E306="","SEM SUBCATEGORIA",IF(COUNTIFS(CADASTROS!$L$7:$L$93,D306,CADASTROS!$D$7:$D$93,E306)=0,"INCOMPATÍVEL","OK"))))</f>
        <v>OK</v>
      </c>
    </row>
    <row r="307" spans="1:11" ht="30" hidden="1" customHeight="1" x14ac:dyDescent="0.25">
      <c r="A307" s="86" t="s">
        <v>1682</v>
      </c>
      <c r="B307" s="85">
        <f>IF(A307="","",IF(INDEX(EXTRATO!$C$2:$C$3000,MATCH($A307,EXTRATO!$A$2:$A$3000,0))="","",INDEX(EXTRATO!$C$2:$C$3000,MATCH($A307,EXTRATO!$A$2:$A$3000,0))))</f>
        <v>46097</v>
      </c>
      <c r="C307" s="86">
        <f t="shared" si="4"/>
        <v>3</v>
      </c>
      <c r="D307" s="81" t="s">
        <v>1311</v>
      </c>
      <c r="E307" s="79" t="s">
        <v>1515</v>
      </c>
      <c r="F307" s="80">
        <v>630</v>
      </c>
      <c r="G307" s="81" t="s">
        <v>274</v>
      </c>
      <c r="H307" s="86" t="str">
        <f>IF(A307="","",IF(INDEX(EXTRATO!$F$2:$F$3000,MATCH($A307,EXTRATO!$A$2:$A$3000,0))="","",INDEX(EXTRATO!$F$2:$F$3000,MATCH($A307,EXTRATO!$A$2:$A$3000,0))))</f>
        <v>SAÍDA</v>
      </c>
      <c r="I307" s="88" t="str">
        <f>IF(A307="","",IF(INDEX(EXTRATO!$H$2:$H$3000,MATCH($A307,EXTRATO!$A$2:$A$3000,0))="","",INDEX(EXTRATO!$H$2:$H$3000,MATCH($A307,EXTRATO!$A$2:$A$3000,0))))</f>
        <v>DIALISE COMERCIO</v>
      </c>
      <c r="J307" s="86" t="s">
        <v>1313</v>
      </c>
      <c r="K307" s="86" t="str">
        <f>IF(AND(A307="",D307="",E307="",F307=""),"",IF(D307="","SEM CATEGORIA",IF(E307="","SEM SUBCATEGORIA",IF(COUNTIFS(CADASTROS!$L$7:$L$93,D307,CADASTROS!$D$7:$D$93,E307)=0,"INCOMPATÍVEL","OK"))))</f>
        <v>OK</v>
      </c>
    </row>
    <row r="308" spans="1:11" ht="30" hidden="1" customHeight="1" x14ac:dyDescent="0.25">
      <c r="A308" s="86" t="s">
        <v>1683</v>
      </c>
      <c r="B308" s="85">
        <f>IF(A308="","",IF(INDEX(EXTRATO!$C$2:$C$3000,MATCH($A308,EXTRATO!$A$2:$A$3000,0))="","",INDEX(EXTRATO!$C$2:$C$3000,MATCH($A308,EXTRATO!$A$2:$A$3000,0))))</f>
        <v>46097</v>
      </c>
      <c r="C308" s="86">
        <f t="shared" si="4"/>
        <v>3</v>
      </c>
      <c r="D308" s="81" t="s">
        <v>1311</v>
      </c>
      <c r="E308" s="79" t="s">
        <v>1312</v>
      </c>
      <c r="F308" s="80">
        <v>580.59</v>
      </c>
      <c r="G308" s="81" t="s">
        <v>485</v>
      </c>
      <c r="H308" s="86" t="str">
        <f>IF(A308="","",IF(INDEX(EXTRATO!$F$2:$F$3000,MATCH($A308,EXTRATO!$A$2:$A$3000,0))="","",INDEX(EXTRATO!$F$2:$F$3000,MATCH($A308,EXTRATO!$A$2:$A$3000,0))))</f>
        <v>SAÍDA</v>
      </c>
      <c r="I308" s="88" t="str">
        <f>IF(A308="","",IF(INDEX(EXTRATO!$H$2:$H$3000,MATCH($A308,EXTRATO!$A$2:$A$3000,0))="","",INDEX(EXTRATO!$H$2:$H$3000,MATCH($A308,EXTRATO!$A$2:$A$3000,0))))</f>
        <v>SUPERMÉDICA</v>
      </c>
      <c r="J308" s="86" t="s">
        <v>1313</v>
      </c>
      <c r="K308" s="86" t="str">
        <f>IF(AND(A308="",D308="",E308="",F308=""),"",IF(D308="","SEM CATEGORIA",IF(E308="","SEM SUBCATEGORIA",IF(COUNTIFS(CADASTROS!$L$7:$L$93,D308,CADASTROS!$D$7:$D$93,E308)=0,"INCOMPATÍVEL","OK"))))</f>
        <v>OK</v>
      </c>
    </row>
    <row r="309" spans="1:11" ht="30" hidden="1" customHeight="1" x14ac:dyDescent="0.25">
      <c r="A309" s="86" t="s">
        <v>1684</v>
      </c>
      <c r="B309" s="85">
        <f>IF(A309="","",IF(INDEX(EXTRATO!$C$2:$C$3000,MATCH($A309,EXTRATO!$A$2:$A$3000,0))="","",INDEX(EXTRATO!$C$2:$C$3000,MATCH($A309,EXTRATO!$A$2:$A$3000,0))))</f>
        <v>46097</v>
      </c>
      <c r="C309" s="86">
        <f t="shared" si="4"/>
        <v>3</v>
      </c>
      <c r="D309" s="81" t="s">
        <v>1330</v>
      </c>
      <c r="E309" s="79" t="s">
        <v>1673</v>
      </c>
      <c r="F309" s="80">
        <v>332.71</v>
      </c>
      <c r="G309" s="81" t="s">
        <v>487</v>
      </c>
      <c r="H309" s="86" t="str">
        <f>IF(A309="","",IF(INDEX(EXTRATO!$F$2:$F$3000,MATCH($A309,EXTRATO!$A$2:$A$3000,0))="","",INDEX(EXTRATO!$F$2:$F$3000,MATCH($A309,EXTRATO!$A$2:$A$3000,0))))</f>
        <v>SAÍDA</v>
      </c>
      <c r="I309" s="88" t="str">
        <f>IF(A309="","",IF(INDEX(EXTRATO!$H$2:$H$3000,MATCH($A309,EXTRATO!$A$2:$A$3000,0))="","",INDEX(EXTRATO!$H$2:$H$3000,MATCH($A309,EXTRATO!$A$2:$A$3000,0))))</f>
        <v>NADJA KARINA BUNA ASSSUNCA</v>
      </c>
      <c r="J309" s="86" t="s">
        <v>1313</v>
      </c>
      <c r="K309" s="86" t="str">
        <f>IF(AND(A309="",D309="",E309="",F309=""),"",IF(D309="","SEM CATEGORIA",IF(E309="","SEM SUBCATEGORIA",IF(COUNTIFS(CADASTROS!$L$7:$L$93,D309,CADASTROS!$D$7:$D$93,E309)=0,"INCOMPATÍVEL","OK"))))</f>
        <v>OK</v>
      </c>
    </row>
    <row r="310" spans="1:11" ht="30" hidden="1" customHeight="1" x14ac:dyDescent="0.25">
      <c r="A310" s="86" t="s">
        <v>1685</v>
      </c>
      <c r="B310" s="85">
        <f>IF(A310="","",IF(INDEX(EXTRATO!$C$2:$C$3000,MATCH($A310,EXTRATO!$A$2:$A$3000,0))="","",INDEX(EXTRATO!$C$2:$C$3000,MATCH($A310,EXTRATO!$A$2:$A$3000,0))))</f>
        <v>46097</v>
      </c>
      <c r="C310" s="86">
        <f t="shared" si="4"/>
        <v>3</v>
      </c>
      <c r="D310" s="81" t="s">
        <v>1330</v>
      </c>
      <c r="E310" s="79" t="s">
        <v>1379</v>
      </c>
      <c r="F310" s="80">
        <v>207</v>
      </c>
      <c r="G310" s="81" t="s">
        <v>305</v>
      </c>
      <c r="H310" s="86" t="str">
        <f>IF(A310="","",IF(INDEX(EXTRATO!$F$2:$F$3000,MATCH($A310,EXTRATO!$A$2:$A$3000,0))="","",INDEX(EXTRATO!$F$2:$F$3000,MATCH($A310,EXTRATO!$A$2:$A$3000,0))))</f>
        <v>SAÍDA</v>
      </c>
      <c r="I310" s="88" t="str">
        <f>IF(A310="","",IF(INDEX(EXTRATO!$H$2:$H$3000,MATCH($A310,EXTRATO!$A$2:$A$3000,0))="","",INDEX(EXTRATO!$H$2:$H$3000,MATCH($A310,EXTRATO!$A$2:$A$3000,0))))</f>
        <v>FORTES CONECTA - RELÓGIO DE PONTO</v>
      </c>
      <c r="J310" s="86" t="s">
        <v>1313</v>
      </c>
      <c r="K310" s="86" t="str">
        <f>IF(AND(A310="",D310="",E310="",F310=""),"",IF(D310="","SEM CATEGORIA",IF(E310="","SEM SUBCATEGORIA",IF(COUNTIFS(CADASTROS!$L$7:$L$93,D310,CADASTROS!$D$7:$D$93,E310)=0,"INCOMPATÍVEL","OK"))))</f>
        <v>OK</v>
      </c>
    </row>
    <row r="311" spans="1:11" ht="30" hidden="1" customHeight="1" x14ac:dyDescent="0.25">
      <c r="A311" s="86" t="s">
        <v>1686</v>
      </c>
      <c r="B311" s="85">
        <f>IF(A311="","",IF(INDEX(EXTRATO!$C$2:$C$3000,MATCH($A311,EXTRATO!$A$2:$A$3000,0))="","",INDEX(EXTRATO!$C$2:$C$3000,MATCH($A311,EXTRATO!$A$2:$A$3000,0))))</f>
        <v>46097</v>
      </c>
      <c r="C311" s="86">
        <f t="shared" si="4"/>
        <v>3</v>
      </c>
      <c r="D311" s="81" t="s">
        <v>1330</v>
      </c>
      <c r="E311" s="79" t="s">
        <v>1379</v>
      </c>
      <c r="F311" s="80">
        <v>95</v>
      </c>
      <c r="G311" s="81" t="s">
        <v>305</v>
      </c>
      <c r="H311" s="86" t="str">
        <f>IF(A311="","",IF(INDEX(EXTRATO!$F$2:$F$3000,MATCH($A311,EXTRATO!$A$2:$A$3000,0))="","",INDEX(EXTRATO!$F$2:$F$3000,MATCH($A311,EXTRATO!$A$2:$A$3000,0))))</f>
        <v>SAÍDA</v>
      </c>
      <c r="I311" s="88" t="str">
        <f>IF(A311="","",IF(INDEX(EXTRATO!$H$2:$H$3000,MATCH($A311,EXTRATO!$A$2:$A$3000,0))="","",INDEX(EXTRATO!$H$2:$H$3000,MATCH($A311,EXTRATO!$A$2:$A$3000,0))))</f>
        <v>FORTES CONECTA - RELÓGIO DE PONTO</v>
      </c>
      <c r="J311" s="86" t="s">
        <v>1313</v>
      </c>
      <c r="K311" s="86" t="str">
        <f>IF(AND(A311="",D311="",E311="",F311=""),"",IF(D311="","SEM CATEGORIA",IF(E311="","SEM SUBCATEGORIA",IF(COUNTIFS(CADASTROS!$L$7:$L$93,D311,CADASTROS!$D$7:$D$93,E311)=0,"INCOMPATÍVEL","OK"))))</f>
        <v>OK</v>
      </c>
    </row>
    <row r="312" spans="1:11" ht="30" hidden="1" customHeight="1" x14ac:dyDescent="0.25">
      <c r="A312" s="86" t="s">
        <v>1687</v>
      </c>
      <c r="B312" s="85">
        <f>IF(A312="","",IF(INDEX(EXTRATO!$C$2:$C$3000,MATCH($A312,EXTRATO!$A$2:$A$3000,0))="","",INDEX(EXTRATO!$C$2:$C$3000,MATCH($A312,EXTRATO!$A$2:$A$3000,0))))</f>
        <v>46097</v>
      </c>
      <c r="C312" s="86">
        <f t="shared" si="4"/>
        <v>3</v>
      </c>
      <c r="D312" s="81" t="s">
        <v>1330</v>
      </c>
      <c r="E312" s="79" t="s">
        <v>1352</v>
      </c>
      <c r="F312" s="80">
        <v>35</v>
      </c>
      <c r="G312" s="81" t="s">
        <v>276</v>
      </c>
      <c r="H312" s="86" t="str">
        <f>IF(A312="","",IF(INDEX(EXTRATO!$F$2:$F$3000,MATCH($A312,EXTRATO!$A$2:$A$3000,0))="","",INDEX(EXTRATO!$F$2:$F$3000,MATCH($A312,EXTRATO!$A$2:$A$3000,0))))</f>
        <v>SAÍDA</v>
      </c>
      <c r="I312" s="88" t="str">
        <f>IF(A312="","",IF(INDEX(EXTRATO!$H$2:$H$3000,MATCH($A312,EXTRATO!$A$2:$A$3000,0))="","",INDEX(EXTRATO!$H$2:$H$3000,MATCH($A312,EXTRATO!$A$2:$A$3000,0))))</f>
        <v>TARIFA BANCÁRIA</v>
      </c>
      <c r="J312" s="86" t="s">
        <v>1313</v>
      </c>
      <c r="K312" s="86" t="str">
        <f>IF(AND(A312="",D312="",E312="",F312=""),"",IF(D312="","SEM CATEGORIA",IF(E312="","SEM SUBCATEGORIA",IF(COUNTIFS(CADASTROS!$L$7:$L$93,D312,CADASTROS!$D$7:$D$93,E312)=0,"INCOMPATÍVEL","OK"))))</f>
        <v>OK</v>
      </c>
    </row>
    <row r="313" spans="1:11" ht="30" hidden="1" customHeight="1" x14ac:dyDescent="0.25">
      <c r="A313" s="86" t="s">
        <v>1688</v>
      </c>
      <c r="B313" s="85">
        <f>IF(A313="","",IF(INDEX(EXTRATO!$C$2:$C$3000,MATCH($A313,EXTRATO!$A$2:$A$3000,0))="","",INDEX(EXTRATO!$C$2:$C$3000,MATCH($A313,EXTRATO!$A$2:$A$3000,0))))</f>
        <v>46098</v>
      </c>
      <c r="C313" s="86">
        <f t="shared" si="4"/>
        <v>3</v>
      </c>
      <c r="D313" s="81" t="s">
        <v>1311</v>
      </c>
      <c r="E313" s="79" t="s">
        <v>1404</v>
      </c>
      <c r="F313" s="80">
        <f>19012+31.04</f>
        <v>19043.04</v>
      </c>
      <c r="G313" s="14" t="s">
        <v>2759</v>
      </c>
      <c r="H313" s="86" t="str">
        <f>IF(A313="","",IF(INDEX(EXTRATO!$F$2:$F$3000,MATCH($A313,EXTRATO!$A$2:$A$3000,0))="","",INDEX(EXTRATO!$F$2:$F$3000,MATCH($A313,EXTRATO!$A$2:$A$3000,0))))</f>
        <v>SAÍDA</v>
      </c>
      <c r="I313" s="88" t="str">
        <f>IF(A313="","",IF(INDEX(EXTRATO!$H$2:$H$3000,MATCH($A313,EXTRATO!$A$2:$A$3000,0))="","",INDEX(EXTRATO!$H$2:$H$3000,MATCH($A313,EXTRATO!$A$2:$A$3000,0))))</f>
        <v>FARMACE</v>
      </c>
      <c r="J313" s="86" t="s">
        <v>1313</v>
      </c>
      <c r="K313" s="86" t="str">
        <f>IF(AND(A313="",D313="",E313="",F313=""),"",IF(D313="","SEM CATEGORIA",IF(E313="","SEM SUBCATEGORIA",IF(COUNTIFS(CADASTROS!$L$7:$L$93,D313,CADASTROS!$D$7:$D$93,E313)=0,"INCOMPATÍVEL","OK"))))</f>
        <v>OK</v>
      </c>
    </row>
    <row r="314" spans="1:11" ht="30" hidden="1" customHeight="1" x14ac:dyDescent="0.25">
      <c r="A314" s="86" t="s">
        <v>1688</v>
      </c>
      <c r="B314" s="85">
        <f>IF(A314="","",IF(INDEX(EXTRATO!$C$2:$C$3000,MATCH($A314,EXTRATO!$A$2:$A$3000,0))="","",INDEX(EXTRATO!$C$2:$C$3000,MATCH($A314,EXTRATO!$A$2:$A$3000,0))))</f>
        <v>46098</v>
      </c>
      <c r="C314" s="86">
        <f t="shared" si="4"/>
        <v>3</v>
      </c>
      <c r="D314" s="81" t="s">
        <v>1311</v>
      </c>
      <c r="E314" s="79" t="s">
        <v>1312</v>
      </c>
      <c r="F314" s="80">
        <v>43.57</v>
      </c>
      <c r="G314" s="14" t="s">
        <v>1810</v>
      </c>
      <c r="H314" s="86" t="str">
        <f>IF(A314="","",IF(INDEX(EXTRATO!$F$2:$F$3000,MATCH($A314,EXTRATO!$A$2:$A$3000,0))="","",INDEX(EXTRATO!$F$2:$F$3000,MATCH($A314,EXTRATO!$A$2:$A$3000,0))))</f>
        <v>SAÍDA</v>
      </c>
      <c r="I314" s="88" t="str">
        <f>IF(A314="","",IF(INDEX(EXTRATO!$H$2:$H$3000,MATCH($A314,EXTRATO!$A$2:$A$3000,0))="","",INDEX(EXTRATO!$H$2:$H$3000,MATCH($A314,EXTRATO!$A$2:$A$3000,0))))</f>
        <v>FARMACE</v>
      </c>
      <c r="J314" s="86" t="s">
        <v>1313</v>
      </c>
      <c r="K314" s="86" t="str">
        <f>IF(AND(A314="",D314="",E314="",F314=""),"",IF(D314="","SEM CATEGORIA",IF(E314="","SEM SUBCATEGORIA",IF(COUNTIFS(CADASTROS!$L$7:$L$93,D314,CADASTROS!$D$7:$D$93,E314)=0,"INCOMPATÍVEL","OK"))))</f>
        <v>OK</v>
      </c>
    </row>
    <row r="315" spans="1:11" ht="30" hidden="1" customHeight="1" x14ac:dyDescent="0.25">
      <c r="A315" s="86" t="s">
        <v>1689</v>
      </c>
      <c r="B315" s="85">
        <f>IF(A315="","",IF(INDEX(EXTRATO!$C$2:$C$3000,MATCH($A315,EXTRATO!$A$2:$A$3000,0))="","",INDEX(EXTRATO!$C$2:$C$3000,MATCH($A315,EXTRATO!$A$2:$A$3000,0))))</f>
        <v>46098</v>
      </c>
      <c r="C315" s="86">
        <f t="shared" si="4"/>
        <v>3</v>
      </c>
      <c r="D315" s="81" t="s">
        <v>1370</v>
      </c>
      <c r="E315" s="79" t="s">
        <v>2528</v>
      </c>
      <c r="F315" s="80">
        <v>2450</v>
      </c>
      <c r="G315" s="81" t="s">
        <v>495</v>
      </c>
      <c r="H315" s="86" t="str">
        <f>IF(A315="","",IF(INDEX(EXTRATO!$F$2:$F$3000,MATCH($A315,EXTRATO!$A$2:$A$3000,0))="","",INDEX(EXTRATO!$F$2:$F$3000,MATCH($A315,EXTRATO!$A$2:$A$3000,0))))</f>
        <v>SAÍDA</v>
      </c>
      <c r="I315" s="88" t="str">
        <f>IF(A315="","",IF(INDEX(EXTRATO!$H$2:$H$3000,MATCH($A315,EXTRATO!$A$2:$A$3000,0))="","",INDEX(EXTRATO!$H$2:$H$3000,MATCH($A315,EXTRATO!$A$2:$A$3000,0))))</f>
        <v>TOTAL FRIO COMERCIO SERVICOS LTDA</v>
      </c>
      <c r="J315" s="86" t="s">
        <v>1313</v>
      </c>
      <c r="K315" s="86" t="str">
        <f>IF(AND(A315="",D315="",E315="",F315=""),"",IF(D315="","SEM CATEGORIA",IF(E315="","SEM SUBCATEGORIA",IF(COUNTIFS(CADASTROS!$L$7:$L$93,D315,CADASTROS!$D$7:$D$93,E315)=0,"INCOMPATÍVEL","OK"))))</f>
        <v>OK</v>
      </c>
    </row>
    <row r="316" spans="1:11" ht="30" hidden="1" customHeight="1" x14ac:dyDescent="0.25">
      <c r="A316" s="86" t="s">
        <v>1690</v>
      </c>
      <c r="B316" s="85">
        <f>IF(A316="","",IF(INDEX(EXTRATO!$C$2:$C$3000,MATCH($A316,EXTRATO!$A$2:$A$3000,0))="","",INDEX(EXTRATO!$C$2:$C$3000,MATCH($A316,EXTRATO!$A$2:$A$3000,0))))</f>
        <v>46098</v>
      </c>
      <c r="C316" s="86">
        <f t="shared" si="4"/>
        <v>3</v>
      </c>
      <c r="D316" s="81" t="s">
        <v>1330</v>
      </c>
      <c r="E316" s="79" t="s">
        <v>1352</v>
      </c>
      <c r="F316" s="80">
        <v>1500</v>
      </c>
      <c r="G316" s="81" t="s">
        <v>498</v>
      </c>
      <c r="H316" s="86" t="str">
        <f>IF(A316="","",IF(INDEX(EXTRATO!$F$2:$F$3000,MATCH($A316,EXTRATO!$A$2:$A$3000,0))="","",INDEX(EXTRATO!$F$2:$F$3000,MATCH($A316,EXTRATO!$A$2:$A$3000,0))))</f>
        <v>SAÍDA</v>
      </c>
      <c r="I316" s="88" t="str">
        <f>IF(A316="","",IF(INDEX(EXTRATO!$H$2:$H$3000,MATCH($A316,EXTRATO!$A$2:$A$3000,0))="","",INDEX(EXTRATO!$H$2:$H$3000,MATCH($A316,EXTRATO!$A$2:$A$3000,0))))</f>
        <v>JOSE RAIMUNDO VASCONCELOS</v>
      </c>
      <c r="J316" s="86" t="s">
        <v>1313</v>
      </c>
      <c r="K316" s="86" t="str">
        <f>IF(AND(A316="",D316="",E316="",F316=""),"",IF(D316="","SEM CATEGORIA",IF(E316="","SEM SUBCATEGORIA",IF(COUNTIFS(CADASTROS!$L$7:$L$93,D316,CADASTROS!$D$7:$D$93,E316)=0,"INCOMPATÍVEL","OK"))))</f>
        <v>OK</v>
      </c>
    </row>
    <row r="317" spans="1:11" ht="30" hidden="1" customHeight="1" x14ac:dyDescent="0.25">
      <c r="A317" s="86" t="s">
        <v>1691</v>
      </c>
      <c r="B317" s="85">
        <f>IF(A317="","",IF(INDEX(EXTRATO!$C$2:$C$3000,MATCH($A317,EXTRATO!$A$2:$A$3000,0))="","",INDEX(EXTRATO!$C$2:$C$3000,MATCH($A317,EXTRATO!$A$2:$A$3000,0))))</f>
        <v>46098</v>
      </c>
      <c r="C317" s="86">
        <f t="shared" si="4"/>
        <v>3</v>
      </c>
      <c r="D317" s="81" t="s">
        <v>1330</v>
      </c>
      <c r="E317" s="79" t="s">
        <v>1337</v>
      </c>
      <c r="F317" s="80">
        <v>692.03</v>
      </c>
      <c r="G317" s="81" t="s">
        <v>2763</v>
      </c>
      <c r="H317" s="86" t="str">
        <f>IF(A317="","",IF(INDEX(EXTRATO!$F$2:$F$3000,MATCH($A317,EXTRATO!$A$2:$A$3000,0))="","",INDEX(EXTRATO!$F$2:$F$3000,MATCH($A317,EXTRATO!$A$2:$A$3000,0))))</f>
        <v>SAÍDA</v>
      </c>
      <c r="I317" s="88" t="str">
        <f>IF(A317="","",IF(INDEX(EXTRATO!$H$2:$H$3000,MATCH($A317,EXTRATO!$A$2:$A$3000,0))="","",INDEX(EXTRATO!$H$2:$H$3000,MATCH($A317,EXTRATO!$A$2:$A$3000,0))))</f>
        <v>MARKETPLACE MERCADO LIVRE</v>
      </c>
      <c r="J317" s="86" t="s">
        <v>1313</v>
      </c>
      <c r="K317" s="86" t="str">
        <f>IF(AND(A317="",D317="",E317="",F317=""),"",IF(D317="","SEM CATEGORIA",IF(E317="","SEM SUBCATEGORIA",IF(COUNTIFS(CADASTROS!$L$7:$L$93,D317,CADASTROS!$D$7:$D$93,E317)=0,"INCOMPATÍVEL","OK"))))</f>
        <v>OK</v>
      </c>
    </row>
    <row r="318" spans="1:11" ht="30" hidden="1" customHeight="1" x14ac:dyDescent="0.25">
      <c r="A318" s="86" t="s">
        <v>1691</v>
      </c>
      <c r="B318" s="85">
        <f>IF(A318="","",IF(INDEX(EXTRATO!$C$2:$C$3000,MATCH($A318,EXTRATO!$A$2:$A$3000,0))="","",INDEX(EXTRATO!$C$2:$C$3000,MATCH($A318,EXTRATO!$A$2:$A$3000,0))))</f>
        <v>46098</v>
      </c>
      <c r="C318" s="86">
        <f t="shared" si="4"/>
        <v>3</v>
      </c>
      <c r="D318" s="81" t="s">
        <v>1454</v>
      </c>
      <c r="E318" s="79" t="s">
        <v>2760</v>
      </c>
      <c r="F318" s="80">
        <v>135.12</v>
      </c>
      <c r="G318" s="81" t="s">
        <v>2765</v>
      </c>
      <c r="H318" s="86" t="str">
        <f>IF(A318="","",IF(INDEX(EXTRATO!$F$2:$F$3000,MATCH($A318,EXTRATO!$A$2:$A$3000,0))="","",INDEX(EXTRATO!$F$2:$F$3000,MATCH($A318,EXTRATO!$A$2:$A$3000,0))))</f>
        <v>SAÍDA</v>
      </c>
      <c r="I318" s="88" t="str">
        <f>IF(A318="","",IF(INDEX(EXTRATO!$H$2:$H$3000,MATCH($A318,EXTRATO!$A$2:$A$3000,0))="","",INDEX(EXTRATO!$H$2:$H$3000,MATCH($A318,EXTRATO!$A$2:$A$3000,0))))</f>
        <v>MARKETPLACE MERCADO LIVRE</v>
      </c>
      <c r="J318" s="86" t="s">
        <v>1313</v>
      </c>
      <c r="K318" s="86" t="str">
        <f>IF(AND(A318="",D318="",E318="",F318=""),"",IF(D318="","SEM CATEGORIA",IF(E318="","SEM SUBCATEGORIA",IF(COUNTIFS(CADASTROS!$L$7:$L$93,D318,CADASTROS!$D$7:$D$93,E318)=0,"INCOMPATÍVEL","OK"))))</f>
        <v>OK</v>
      </c>
    </row>
    <row r="319" spans="1:11" ht="30" hidden="1" customHeight="1" x14ac:dyDescent="0.25">
      <c r="A319" s="86" t="s">
        <v>1691</v>
      </c>
      <c r="B319" s="85">
        <f>IF(A319="","",IF(INDEX(EXTRATO!$C$2:$C$3000,MATCH($A319,EXTRATO!$A$2:$A$3000,0))="","",INDEX(EXTRATO!$C$2:$C$3000,MATCH($A319,EXTRATO!$A$2:$A$3000,0))))</f>
        <v>46098</v>
      </c>
      <c r="C319" s="86">
        <f t="shared" si="4"/>
        <v>3</v>
      </c>
      <c r="D319" s="81" t="s">
        <v>1370</v>
      </c>
      <c r="E319" s="79" t="s">
        <v>1494</v>
      </c>
      <c r="F319" s="80">
        <v>44.68</v>
      </c>
      <c r="G319" s="81" t="s">
        <v>2764</v>
      </c>
      <c r="H319" s="86" t="str">
        <f>IF(A319="","",IF(INDEX(EXTRATO!$F$2:$F$3000,MATCH($A319,EXTRATO!$A$2:$A$3000,0))="","",INDEX(EXTRATO!$F$2:$F$3000,MATCH($A319,EXTRATO!$A$2:$A$3000,0))))</f>
        <v>SAÍDA</v>
      </c>
      <c r="I319" s="88" t="str">
        <f>IF(A319="","",IF(INDEX(EXTRATO!$H$2:$H$3000,MATCH($A319,EXTRATO!$A$2:$A$3000,0))="","",INDEX(EXTRATO!$H$2:$H$3000,MATCH($A319,EXTRATO!$A$2:$A$3000,0))))</f>
        <v>MARKETPLACE MERCADO LIVRE</v>
      </c>
      <c r="J319" s="86" t="s">
        <v>1313</v>
      </c>
      <c r="K319" s="86" t="str">
        <f>IF(AND(A319="",D319="",E319="",F319=""),"",IF(D319="","SEM CATEGORIA",IF(E319="","SEM SUBCATEGORIA",IF(COUNTIFS(CADASTROS!$L$7:$L$93,D319,CADASTROS!$D$7:$D$93,E319)=0,"INCOMPATÍVEL","OK"))))</f>
        <v>OK</v>
      </c>
    </row>
    <row r="320" spans="1:11" ht="30" hidden="1" customHeight="1" x14ac:dyDescent="0.25">
      <c r="A320" s="86" t="s">
        <v>1692</v>
      </c>
      <c r="B320" s="85">
        <f>IF(A320="","",IF(INDEX(EXTRATO!$C$2:$C$3000,MATCH($A320,EXTRATO!$A$2:$A$3000,0))="","",INDEX(EXTRATO!$C$2:$C$3000,MATCH($A320,EXTRATO!$A$2:$A$3000,0))))</f>
        <v>46098</v>
      </c>
      <c r="C320" s="86">
        <f t="shared" si="4"/>
        <v>3</v>
      </c>
      <c r="D320" s="81" t="s">
        <v>1330</v>
      </c>
      <c r="E320" s="79" t="s">
        <v>1352</v>
      </c>
      <c r="F320" s="80">
        <v>200</v>
      </c>
      <c r="G320" s="81" t="s">
        <v>504</v>
      </c>
      <c r="H320" s="86" t="str">
        <f>IF(A320="","",IF(INDEX(EXTRATO!$F$2:$F$3000,MATCH($A320,EXTRATO!$A$2:$A$3000,0))="","",INDEX(EXTRATO!$F$2:$F$3000,MATCH($A320,EXTRATO!$A$2:$A$3000,0))))</f>
        <v>SAÍDA</v>
      </c>
      <c r="I320" s="88" t="str">
        <f>IF(A320="","",IF(INDEX(EXTRATO!$H$2:$H$3000,MATCH($A320,EXTRATO!$A$2:$A$3000,0))="","",INDEX(EXTRATO!$H$2:$H$3000,MATCH($A320,EXTRATO!$A$2:$A$3000,0))))</f>
        <v>GUIA DE RECOLHIMENTO DE ALVARÁ FUNCIONAMENTO 2026</v>
      </c>
      <c r="J320" s="86" t="s">
        <v>1313</v>
      </c>
      <c r="K320" s="86" t="str">
        <f>IF(AND(A320="",D320="",E320="",F320=""),"",IF(D320="","SEM CATEGORIA",IF(E320="","SEM SUBCATEGORIA",IF(COUNTIFS(CADASTROS!$L$7:$L$93,D320,CADASTROS!$D$7:$D$93,E320)=0,"INCOMPATÍVEL","OK"))))</f>
        <v>OK</v>
      </c>
    </row>
    <row r="321" spans="1:11" ht="30" hidden="1" customHeight="1" x14ac:dyDescent="0.25">
      <c r="A321" s="86" t="s">
        <v>1693</v>
      </c>
      <c r="B321" s="85">
        <f>IF(A321="","",IF(INDEX(EXTRATO!$C$2:$C$3000,MATCH($A321,EXTRATO!$A$2:$A$3000,0))="","",INDEX(EXTRATO!$C$2:$C$3000,MATCH($A321,EXTRATO!$A$2:$A$3000,0))))</f>
        <v>46099</v>
      </c>
      <c r="C321" s="86">
        <f t="shared" si="4"/>
        <v>3</v>
      </c>
      <c r="D321" s="81" t="s">
        <v>1330</v>
      </c>
      <c r="E321" s="79" t="s">
        <v>1697</v>
      </c>
      <c r="F321" s="80">
        <v>7700</v>
      </c>
      <c r="G321" s="81" t="s">
        <v>506</v>
      </c>
      <c r="H321" s="86" t="str">
        <f>IF(A321="","",IF(INDEX(EXTRATO!$F$2:$F$3000,MATCH($A321,EXTRATO!$A$2:$A$3000,0))="","",INDEX(EXTRATO!$F$2:$F$3000,MATCH($A321,EXTRATO!$A$2:$A$3000,0))))</f>
        <v>SAÍDA</v>
      </c>
      <c r="I321" s="88" t="str">
        <f>IF(A321="","",IF(INDEX(EXTRATO!$H$2:$H$3000,MATCH($A321,EXTRATO!$A$2:$A$3000,0))="","",INDEX(EXTRATO!$H$2:$H$3000,MATCH($A321,EXTRATO!$A$2:$A$3000,0))))</f>
        <v>ASSESSORIA ADMINISTRATIVA</v>
      </c>
      <c r="J321" s="86" t="s">
        <v>1313</v>
      </c>
      <c r="K321" s="86" t="str">
        <f>IF(AND(A321="",D321="",E321="",F321=""),"",IF(D321="","SEM CATEGORIA",IF(E321="","SEM SUBCATEGORIA",IF(COUNTIFS(CADASTROS!$L$7:$L$93,D321,CADASTROS!$D$7:$D$93,E321)=0,"INCOMPATÍVEL","OK"))))</f>
        <v>OK</v>
      </c>
    </row>
    <row r="322" spans="1:11" ht="30" hidden="1" customHeight="1" x14ac:dyDescent="0.25">
      <c r="A322" s="86" t="s">
        <v>1694</v>
      </c>
      <c r="B322" s="85">
        <f>IF(A322="","",IF(INDEX(EXTRATO!$C$2:$C$3000,MATCH($A322,EXTRATO!$A$2:$A$3000,0))="","",INDEX(EXTRATO!$C$2:$C$3000,MATCH($A322,EXTRATO!$A$2:$A$3000,0))))</f>
        <v>46099</v>
      </c>
      <c r="C322" s="86">
        <f t="shared" ref="C322:C385" si="5">IF(B322="","",MONTH(B322))</f>
        <v>3</v>
      </c>
      <c r="D322" s="81" t="s">
        <v>1311</v>
      </c>
      <c r="E322" s="79" t="s">
        <v>1376</v>
      </c>
      <c r="F322" s="80">
        <v>2750</v>
      </c>
      <c r="G322" s="81" t="s">
        <v>508</v>
      </c>
      <c r="H322" s="86" t="str">
        <f>IF(A322="","",IF(INDEX(EXTRATO!$F$2:$F$3000,MATCH($A322,EXTRATO!$A$2:$A$3000,0))="","",INDEX(EXTRATO!$F$2:$F$3000,MATCH($A322,EXTRATO!$A$2:$A$3000,0))))</f>
        <v>SAÍDA</v>
      </c>
      <c r="I322" s="88" t="str">
        <f>IF(A322="","",IF(INDEX(EXTRATO!$H$2:$H$3000,MATCH($A322,EXTRATO!$A$2:$A$3000,0))="","",INDEX(EXTRATO!$H$2:$H$3000,MATCH($A322,EXTRATO!$A$2:$A$3000,0))))</f>
        <v>NIPRO</v>
      </c>
      <c r="J322" s="86" t="s">
        <v>1313</v>
      </c>
      <c r="K322" s="86" t="str">
        <f>IF(AND(A322="",D322="",E322="",F322=""),"",IF(D322="","SEM CATEGORIA",IF(E322="","SEM SUBCATEGORIA",IF(COUNTIFS(CADASTROS!$L$7:$L$93,D322,CADASTROS!$D$7:$D$93,E322)=0,"INCOMPATÍVEL","OK"))))</f>
        <v>OK</v>
      </c>
    </row>
    <row r="323" spans="1:11" ht="30" hidden="1" customHeight="1" x14ac:dyDescent="0.25">
      <c r="A323" s="86" t="s">
        <v>1695</v>
      </c>
      <c r="B323" s="85">
        <f>IF(A323="","",IF(INDEX(EXTRATO!$C$2:$C$3000,MATCH($A323,EXTRATO!$A$2:$A$3000,0))="","",INDEX(EXTRATO!$C$2:$C$3000,MATCH($A323,EXTRATO!$A$2:$A$3000,0))))</f>
        <v>46099</v>
      </c>
      <c r="C323" s="86">
        <f t="shared" si="5"/>
        <v>3</v>
      </c>
      <c r="D323" s="81" t="s">
        <v>1349</v>
      </c>
      <c r="E323" s="79" t="s">
        <v>1441</v>
      </c>
      <c r="F323" s="80">
        <v>1246</v>
      </c>
      <c r="G323" s="81" t="s">
        <v>293</v>
      </c>
      <c r="H323" s="86" t="str">
        <f>IF(A323="","",IF(INDEX(EXTRATO!$F$2:$F$3000,MATCH($A323,EXTRATO!$A$2:$A$3000,0))="","",INDEX(EXTRATO!$F$2:$F$3000,MATCH($A323,EXTRATO!$A$2:$A$3000,0))))</f>
        <v>SAÍDA</v>
      </c>
      <c r="I323" s="88" t="str">
        <f>IF(A323="","",IF(INDEX(EXTRATO!$H$2:$H$3000,MATCH($A323,EXTRATO!$A$2:$A$3000,0))="","",INDEX(EXTRATO!$H$2:$H$3000,MATCH($A323,EXTRATO!$A$2:$A$3000,0))))</f>
        <v>CLAUDIANE CARDOSO DA SILVA (CARRO HTI)</v>
      </c>
      <c r="J323" s="86" t="s">
        <v>1313</v>
      </c>
      <c r="K323" s="86" t="str">
        <f>IF(AND(A323="",D323="",E323="",F323=""),"",IF(D323="","SEM CATEGORIA",IF(E323="","SEM SUBCATEGORIA",IF(COUNTIFS(CADASTROS!$L$7:$L$93,D323,CADASTROS!$D$7:$D$93,E323)=0,"INCOMPATÍVEL","OK"))))</f>
        <v>OK</v>
      </c>
    </row>
    <row r="324" spans="1:11" ht="30" hidden="1" customHeight="1" x14ac:dyDescent="0.25">
      <c r="A324" s="86" t="s">
        <v>1696</v>
      </c>
      <c r="B324" s="85">
        <f>IF(A324="","",IF(INDEX(EXTRATO!$C$2:$C$3000,MATCH($A324,EXTRATO!$A$2:$A$3000,0))="","",INDEX(EXTRATO!$C$2:$C$3000,MATCH($A324,EXTRATO!$A$2:$A$3000,0))))</f>
        <v>46099</v>
      </c>
      <c r="C324" s="86">
        <f t="shared" si="5"/>
        <v>3</v>
      </c>
      <c r="D324" s="81" t="s">
        <v>1330</v>
      </c>
      <c r="E324" s="79" t="s">
        <v>1352</v>
      </c>
      <c r="F324" s="80">
        <v>400</v>
      </c>
      <c r="G324" s="81" t="s">
        <v>511</v>
      </c>
      <c r="H324" s="86" t="str">
        <f>IF(A324="","",IF(INDEX(EXTRATO!$F$2:$F$3000,MATCH($A324,EXTRATO!$A$2:$A$3000,0))="","",INDEX(EXTRATO!$F$2:$F$3000,MATCH($A324,EXTRATO!$A$2:$A$3000,0))))</f>
        <v>SAÍDA</v>
      </c>
      <c r="I324" s="88" t="str">
        <f>IF(A324="","",IF(INDEX(EXTRATO!$H$2:$H$3000,MATCH($A324,EXTRATO!$A$2:$A$3000,0))="","",INDEX(EXTRATO!$H$2:$H$3000,MATCH($A324,EXTRATO!$A$2:$A$3000,0))))</f>
        <v>BIORENAL LTDA</v>
      </c>
      <c r="J324" s="86" t="s">
        <v>1313</v>
      </c>
      <c r="K324" s="86" t="str">
        <f>IF(AND(A324="",D324="",E324="",F324=""),"",IF(D324="","SEM CATEGORIA",IF(E324="","SEM SUBCATEGORIA",IF(COUNTIFS(CADASTROS!$L$7:$L$93,D324,CADASTROS!$D$7:$D$93,E324)=0,"INCOMPATÍVEL","OK"))))</f>
        <v>OK</v>
      </c>
    </row>
    <row r="325" spans="1:11" ht="30" hidden="1" customHeight="1" x14ac:dyDescent="0.25">
      <c r="A325" s="86" t="s">
        <v>1698</v>
      </c>
      <c r="B325" s="85">
        <f>IF(A325="","",IF(INDEX(EXTRATO!$C$2:$C$3000,MATCH($A325,EXTRATO!$A$2:$A$3000,0))="","",INDEX(EXTRATO!$C$2:$C$3000,MATCH($A325,EXTRATO!$A$2:$A$3000,0))))</f>
        <v>46099</v>
      </c>
      <c r="C325" s="86">
        <f t="shared" si="5"/>
        <v>3</v>
      </c>
      <c r="D325" s="81" t="s">
        <v>1330</v>
      </c>
      <c r="E325" s="79" t="s">
        <v>1333</v>
      </c>
      <c r="F325" s="80">
        <v>300</v>
      </c>
      <c r="G325" s="81" t="s">
        <v>513</v>
      </c>
      <c r="H325" s="86" t="str">
        <f>IF(A325="","",IF(INDEX(EXTRATO!$F$2:$F$3000,MATCH($A325,EXTRATO!$A$2:$A$3000,0))="","",INDEX(EXTRATO!$F$2:$F$3000,MATCH($A325,EXTRATO!$A$2:$A$3000,0))))</f>
        <v>SAÍDA</v>
      </c>
      <c r="I325" s="88" t="str">
        <f>IF(A325="","",IF(INDEX(EXTRATO!$H$2:$H$3000,MATCH($A325,EXTRATO!$A$2:$A$3000,0))="","",INDEX(EXTRATO!$H$2:$H$3000,MATCH($A325,EXTRATO!$A$2:$A$3000,0))))</f>
        <v>CASSIANO &amp; CASSINOS CONTABILIDADE</v>
      </c>
      <c r="J325" s="86" t="s">
        <v>1313</v>
      </c>
      <c r="K325" s="86" t="str">
        <f>IF(AND(A325="",D325="",E325="",F325=""),"",IF(D325="","SEM CATEGORIA",IF(E325="","SEM SUBCATEGORIA",IF(COUNTIFS(CADASTROS!$L$7:$L$93,D325,CADASTROS!$D$7:$D$93,E325)=0,"INCOMPATÍVEL","OK"))))</f>
        <v>OK</v>
      </c>
    </row>
    <row r="326" spans="1:11" ht="30" hidden="1" customHeight="1" x14ac:dyDescent="0.25">
      <c r="A326" s="86" t="s">
        <v>1699</v>
      </c>
      <c r="B326" s="85">
        <f>IF(A326="","",IF(INDEX(EXTRATO!$C$2:$C$3000,MATCH($A326,EXTRATO!$A$2:$A$3000,0))="","",INDEX(EXTRATO!$C$2:$C$3000,MATCH($A326,EXTRATO!$A$2:$A$3000,0))))</f>
        <v>46099</v>
      </c>
      <c r="C326" s="86">
        <f t="shared" si="5"/>
        <v>3</v>
      </c>
      <c r="D326" s="81" t="s">
        <v>1330</v>
      </c>
      <c r="E326" s="79" t="s">
        <v>1352</v>
      </c>
      <c r="F326" s="80">
        <v>19.100000000000001</v>
      </c>
      <c r="G326" s="81" t="s">
        <v>517</v>
      </c>
      <c r="H326" s="86" t="str">
        <f>IF(A326="","",IF(INDEX(EXTRATO!$F$2:$F$3000,MATCH($A326,EXTRATO!$A$2:$A$3000,0))="","",INDEX(EXTRATO!$F$2:$F$3000,MATCH($A326,EXTRATO!$A$2:$A$3000,0))))</f>
        <v>SAÍDA</v>
      </c>
      <c r="I326" s="88" t="str">
        <f>IF(A326="","",IF(INDEX(EXTRATO!$H$2:$H$3000,MATCH($A326,EXTRATO!$A$2:$A$3000,0))="","",INDEX(EXTRATO!$H$2:$H$3000,MATCH($A326,EXTRATO!$A$2:$A$3000,0))))</f>
        <v>TAXA DE PROCESSAMENTO DE CHEQUE</v>
      </c>
      <c r="J326" s="86" t="s">
        <v>1313</v>
      </c>
      <c r="K326" s="86" t="str">
        <f>IF(AND(A326="",D326="",E326="",F326=""),"",IF(D326="","SEM CATEGORIA",IF(E326="","SEM SUBCATEGORIA",IF(COUNTIFS(CADASTROS!$L$7:$L$93,D326,CADASTROS!$D$7:$D$93,E326)=0,"INCOMPATÍVEL","OK"))))</f>
        <v>OK</v>
      </c>
    </row>
    <row r="327" spans="1:11" ht="30" hidden="1" customHeight="1" x14ac:dyDescent="0.25">
      <c r="A327" s="86" t="s">
        <v>1700</v>
      </c>
      <c r="B327" s="85">
        <f>IF(A327="","",IF(INDEX(EXTRATO!$C$2:$C$3000,MATCH($A327,EXTRATO!$A$2:$A$3000,0))="","",INDEX(EXTRATO!$C$2:$C$3000,MATCH($A327,EXTRATO!$A$2:$A$3000,0))))</f>
        <v>46101</v>
      </c>
      <c r="C327" s="86">
        <f t="shared" si="5"/>
        <v>3</v>
      </c>
      <c r="D327" s="81" t="s">
        <v>1367</v>
      </c>
      <c r="E327" s="79" t="s">
        <v>167</v>
      </c>
      <c r="F327" s="80">
        <v>26646.04</v>
      </c>
      <c r="G327" s="81" t="s">
        <v>518</v>
      </c>
      <c r="H327" s="86" t="str">
        <f>IF(A327="","",IF(INDEX(EXTRATO!$F$2:$F$3000,MATCH($A327,EXTRATO!$A$2:$A$3000,0))="","",INDEX(EXTRATO!$F$2:$F$3000,MATCH($A327,EXTRATO!$A$2:$A$3000,0))))</f>
        <v>SAÍDA</v>
      </c>
      <c r="I327" s="88" t="str">
        <f>IF(A327="","",IF(INDEX(EXTRATO!$H$2:$H$3000,MATCH($A327,EXTRATO!$A$2:$A$3000,0))="","",INDEX(EXTRATO!$H$2:$H$3000,MATCH($A327,EXTRATO!$A$2:$A$3000,0))))</f>
        <v>INSS</v>
      </c>
      <c r="J327" s="86" t="s">
        <v>1313</v>
      </c>
      <c r="K327" s="86" t="str">
        <f>IF(AND(A327="",D327="",E327="",F327=""),"",IF(D327="","SEM CATEGORIA",IF(E327="","SEM SUBCATEGORIA",IF(COUNTIFS(CADASTROS!$L$7:$L$93,D327,CADASTROS!$D$7:$D$93,E327)=0,"INCOMPATÍVEL","OK"))))</f>
        <v>OK</v>
      </c>
    </row>
    <row r="328" spans="1:11" ht="30" hidden="1" customHeight="1" x14ac:dyDescent="0.25">
      <c r="A328" s="86" t="s">
        <v>1701</v>
      </c>
      <c r="B328" s="85">
        <f>IF(A328="","",IF(INDEX(EXTRATO!$C$2:$C$3000,MATCH($A328,EXTRATO!$A$2:$A$3000,0))="","",INDEX(EXTRATO!$C$2:$C$3000,MATCH($A328,EXTRATO!$A$2:$A$3000,0))))</f>
        <v>46101</v>
      </c>
      <c r="C328" s="86">
        <f t="shared" si="5"/>
        <v>3</v>
      </c>
      <c r="D328" s="81" t="s">
        <v>1367</v>
      </c>
      <c r="E328" s="79" t="s">
        <v>164</v>
      </c>
      <c r="F328" s="80">
        <v>6884.18</v>
      </c>
      <c r="G328" s="81" t="s">
        <v>519</v>
      </c>
      <c r="H328" s="86" t="str">
        <f>IF(A328="","",IF(INDEX(EXTRATO!$F$2:$F$3000,MATCH($A328,EXTRATO!$A$2:$A$3000,0))="","",INDEX(EXTRATO!$F$2:$F$3000,MATCH($A328,EXTRATO!$A$2:$A$3000,0))))</f>
        <v>SAÍDA</v>
      </c>
      <c r="I328" s="88" t="str">
        <f>IF(A328="","",IF(INDEX(EXTRATO!$H$2:$H$3000,MATCH($A328,EXTRATO!$A$2:$A$3000,0))="","",INDEX(EXTRATO!$H$2:$H$3000,MATCH($A328,EXTRATO!$A$2:$A$3000,0))))</f>
        <v>FGTS</v>
      </c>
      <c r="J328" s="86" t="s">
        <v>1313</v>
      </c>
      <c r="K328" s="86" t="str">
        <f>IF(AND(A328="",D328="",E328="",F328=""),"",IF(D328="","SEM CATEGORIA",IF(E328="","SEM SUBCATEGORIA",IF(COUNTIFS(CADASTROS!$L$7:$L$93,D328,CADASTROS!$D$7:$D$93,E328)=0,"INCOMPATÍVEL","OK"))))</f>
        <v>OK</v>
      </c>
    </row>
    <row r="329" spans="1:11" ht="30" hidden="1" customHeight="1" x14ac:dyDescent="0.25">
      <c r="A329" s="86" t="s">
        <v>1702</v>
      </c>
      <c r="B329" s="85">
        <f>IF(A329="","",IF(INDEX(EXTRATO!$C$2:$C$3000,MATCH($A329,EXTRATO!$A$2:$A$3000,0))="","",INDEX(EXTRATO!$C$2:$C$3000,MATCH($A329,EXTRATO!$A$2:$A$3000,0))))</f>
        <v>46101</v>
      </c>
      <c r="C329" s="86">
        <f t="shared" si="5"/>
        <v>3</v>
      </c>
      <c r="D329" s="81" t="s">
        <v>1388</v>
      </c>
      <c r="E329" s="79" t="s">
        <v>168</v>
      </c>
      <c r="F329" s="80">
        <v>98.78</v>
      </c>
      <c r="G329" s="81" t="s">
        <v>168</v>
      </c>
      <c r="H329" s="86" t="str">
        <f>IF(A329="","",IF(INDEX(EXTRATO!$F$2:$F$3000,MATCH($A329,EXTRATO!$A$2:$A$3000,0))="","",INDEX(EXTRATO!$F$2:$F$3000,MATCH($A329,EXTRATO!$A$2:$A$3000,0))))</f>
        <v>SAÍDA</v>
      </c>
      <c r="I329" s="88" t="str">
        <f>IF(A329="","",IF(INDEX(EXTRATO!$H$2:$H$3000,MATCH($A329,EXTRATO!$A$2:$A$3000,0))="","",INDEX(EXTRATO!$H$2:$H$3000,MATCH($A329,EXTRATO!$A$2:$A$3000,0))))</f>
        <v>TRIBUTOS FEDEREIAS MENSAIS</v>
      </c>
      <c r="J329" s="86" t="s">
        <v>1313</v>
      </c>
      <c r="K329" s="86" t="str">
        <f>IF(AND(A329="",D329="",E329="",F329=""),"",IF(D329="","SEM CATEGORIA",IF(E329="","SEM SUBCATEGORIA",IF(COUNTIFS(CADASTROS!$L$7:$L$93,D329,CADASTROS!$D$7:$D$93,E329)=0,"INCOMPATÍVEL","OK"))))</f>
        <v>OK</v>
      </c>
    </row>
    <row r="330" spans="1:11" ht="30" hidden="1" customHeight="1" x14ac:dyDescent="0.25">
      <c r="A330" s="86" t="s">
        <v>1703</v>
      </c>
      <c r="B330" s="85">
        <f>IF(A330="","",IF(INDEX(EXTRATO!$C$2:$C$3000,MATCH($A330,EXTRATO!$A$2:$A$3000,0))="","",INDEX(EXTRATO!$C$2:$C$3000,MATCH($A330,EXTRATO!$A$2:$A$3000,0))))</f>
        <v>46101</v>
      </c>
      <c r="C330" s="86">
        <f t="shared" si="5"/>
        <v>3</v>
      </c>
      <c r="D330" s="81" t="s">
        <v>1388</v>
      </c>
      <c r="E330" s="79" t="s">
        <v>170</v>
      </c>
      <c r="F330" s="80">
        <v>31.86</v>
      </c>
      <c r="G330" s="81" t="s">
        <v>170</v>
      </c>
      <c r="H330" s="86" t="str">
        <f>IF(A330="","",IF(INDEX(EXTRATO!$F$2:$F$3000,MATCH($A330,EXTRATO!$A$2:$A$3000,0))="","",INDEX(EXTRATO!$F$2:$F$3000,MATCH($A330,EXTRATO!$A$2:$A$3000,0))))</f>
        <v>SAÍDA</v>
      </c>
      <c r="I330" s="88" t="str">
        <f>IF(A330="","",IF(INDEX(EXTRATO!$H$2:$H$3000,MATCH($A330,EXTRATO!$A$2:$A$3000,0))="","",INDEX(EXTRATO!$H$2:$H$3000,MATCH($A330,EXTRATO!$A$2:$A$3000,0))))</f>
        <v>TRIBUTOS FEDEREIAS MENSAIS</v>
      </c>
      <c r="J330" s="86" t="s">
        <v>1313</v>
      </c>
      <c r="K330" s="86" t="str">
        <f>IF(AND(A330="",D330="",E330="",F330=""),"",IF(D330="","SEM CATEGORIA",IF(E330="","SEM SUBCATEGORIA",IF(COUNTIFS(CADASTROS!$L$7:$L$93,D330,CADASTROS!$D$7:$D$93,E330)=0,"INCOMPATÍVEL","OK"))))</f>
        <v>OK</v>
      </c>
    </row>
    <row r="331" spans="1:11" ht="30" hidden="1" customHeight="1" x14ac:dyDescent="0.25">
      <c r="A331" s="86" t="s">
        <v>1704</v>
      </c>
      <c r="B331" s="85">
        <f>IF(A331="","",IF(INDEX(EXTRATO!$C$2:$C$3000,MATCH($A331,EXTRATO!$A$2:$A$3000,0))="","",INDEX(EXTRATO!$C$2:$C$3000,MATCH($A331,EXTRATO!$A$2:$A$3000,0))))</f>
        <v>46104</v>
      </c>
      <c r="C331" s="86">
        <f t="shared" si="5"/>
        <v>3</v>
      </c>
      <c r="D331" s="81" t="s">
        <v>1415</v>
      </c>
      <c r="E331" s="79" t="s">
        <v>1425</v>
      </c>
      <c r="F331" s="80">
        <v>4600</v>
      </c>
      <c r="G331" s="81" t="s">
        <v>520</v>
      </c>
      <c r="H331" s="86" t="str">
        <f>IF(A331="","",IF(INDEX(EXTRATO!$F$2:$F$3000,MATCH($A331,EXTRATO!$A$2:$A$3000,0))="","",INDEX(EXTRATO!$F$2:$F$3000,MATCH($A331,EXTRATO!$A$2:$A$3000,0))))</f>
        <v>SAÍDA</v>
      </c>
      <c r="I331" s="88" t="str">
        <f>IF(A331="","",IF(INDEX(EXTRATO!$H$2:$H$3000,MATCH($A331,EXTRATO!$A$2:$A$3000,0))="","",INDEX(EXTRATO!$H$2:$H$3000,MATCH($A331,EXTRATO!$A$2:$A$3000,0))))</f>
        <v>CASAMATER</v>
      </c>
      <c r="J331" s="86" t="s">
        <v>1313</v>
      </c>
      <c r="K331" s="86" t="str">
        <f>IF(AND(A331="",D331="",E331="",F331=""),"",IF(D331="","SEM CATEGORIA",IF(E331="","SEM SUBCATEGORIA",IF(COUNTIFS(CADASTROS!$L$7:$L$93,D331,CADASTROS!$D$7:$D$93,E331)=0,"INCOMPATÍVEL","OK"))))</f>
        <v>OK</v>
      </c>
    </row>
    <row r="332" spans="1:11" ht="30" hidden="1" customHeight="1" x14ac:dyDescent="0.25">
      <c r="A332" s="86" t="s">
        <v>1705</v>
      </c>
      <c r="B332" s="85">
        <f>IF(A332="","",IF(INDEX(EXTRATO!$C$2:$C$3000,MATCH($A332,EXTRATO!$A$2:$A$3000,0))="","",INDEX(EXTRATO!$C$2:$C$3000,MATCH($A332,EXTRATO!$A$2:$A$3000,0))))</f>
        <v>46104</v>
      </c>
      <c r="C332" s="86">
        <f t="shared" si="5"/>
        <v>3</v>
      </c>
      <c r="D332" s="81" t="s">
        <v>1311</v>
      </c>
      <c r="E332" s="79" t="s">
        <v>1376</v>
      </c>
      <c r="F332" s="80">
        <v>2520</v>
      </c>
      <c r="G332" s="81" t="s">
        <v>522</v>
      </c>
      <c r="H332" s="86" t="str">
        <f>IF(A332="","",IF(INDEX(EXTRATO!$F$2:$F$3000,MATCH($A332,EXTRATO!$A$2:$A$3000,0))="","",INDEX(EXTRATO!$F$2:$F$3000,MATCH($A332,EXTRATO!$A$2:$A$3000,0))))</f>
        <v>SAÍDA</v>
      </c>
      <c r="I332" s="88" t="str">
        <f>IF(A332="","",IF(INDEX(EXTRATO!$H$2:$H$3000,MATCH($A332,EXTRATO!$A$2:$A$3000,0))="","",INDEX(EXTRATO!$H$2:$H$3000,MATCH($A332,EXTRATO!$A$2:$A$3000,0))))</f>
        <v>DIALISE COMERCIO</v>
      </c>
      <c r="J332" s="86" t="s">
        <v>1313</v>
      </c>
      <c r="K332" s="86" t="str">
        <f>IF(AND(A332="",D332="",E332="",F332=""),"",IF(D332="","SEM CATEGORIA",IF(E332="","SEM SUBCATEGORIA",IF(COUNTIFS(CADASTROS!$L$7:$L$93,D332,CADASTROS!$D$7:$D$93,E332)=0,"INCOMPATÍVEL","OK"))))</f>
        <v>OK</v>
      </c>
    </row>
    <row r="333" spans="1:11" ht="30" hidden="1" customHeight="1" x14ac:dyDescent="0.25">
      <c r="A333" s="86" t="s">
        <v>1706</v>
      </c>
      <c r="B333" s="85">
        <f>IF(A333="","",IF(INDEX(EXTRATO!$C$2:$C$3000,MATCH($A333,EXTRATO!$A$2:$A$3000,0))="","",INDEX(EXTRATO!$C$2:$C$3000,MATCH($A333,EXTRATO!$A$2:$A$3000,0))))</f>
        <v>46104</v>
      </c>
      <c r="C333" s="86">
        <f t="shared" si="5"/>
        <v>3</v>
      </c>
      <c r="D333" s="81" t="s">
        <v>1311</v>
      </c>
      <c r="E333" s="79" t="s">
        <v>1376</v>
      </c>
      <c r="F333" s="80">
        <v>1722.5</v>
      </c>
      <c r="G333" s="81" t="s">
        <v>523</v>
      </c>
      <c r="H333" s="86" t="str">
        <f>IF(A333="","",IF(INDEX(EXTRATO!$F$2:$F$3000,MATCH($A333,EXTRATO!$A$2:$A$3000,0))="","",INDEX(EXTRATO!$F$2:$F$3000,MATCH($A333,EXTRATO!$A$2:$A$3000,0))))</f>
        <v>SAÍDA</v>
      </c>
      <c r="I333" s="88" t="str">
        <f>IF(A333="","",IF(INDEX(EXTRATO!$H$2:$H$3000,MATCH($A333,EXTRATO!$A$2:$A$3000,0))="","",INDEX(EXTRATO!$H$2:$H$3000,MATCH($A333,EXTRATO!$A$2:$A$3000,0))))</f>
        <v>NIPRO</v>
      </c>
      <c r="J333" s="86" t="s">
        <v>1313</v>
      </c>
      <c r="K333" s="86" t="str">
        <f>IF(AND(A333="",D333="",E333="",F333=""),"",IF(D333="","SEM CATEGORIA",IF(E333="","SEM SUBCATEGORIA",IF(COUNTIFS(CADASTROS!$L$7:$L$93,D333,CADASTROS!$D$7:$D$93,E333)=0,"INCOMPATÍVEL","OK"))))</f>
        <v>OK</v>
      </c>
    </row>
    <row r="334" spans="1:11" ht="30" hidden="1" customHeight="1" x14ac:dyDescent="0.25">
      <c r="A334" s="86" t="s">
        <v>1707</v>
      </c>
      <c r="B334" s="85">
        <f>IF(A334="","",IF(INDEX(EXTRATO!$C$2:$C$3000,MATCH($A334,EXTRATO!$A$2:$A$3000,0))="","",INDEX(EXTRATO!$C$2:$C$3000,MATCH($A334,EXTRATO!$A$2:$A$3000,0))))</f>
        <v>46104</v>
      </c>
      <c r="C334" s="86">
        <f t="shared" si="5"/>
        <v>3</v>
      </c>
      <c r="D334" s="81" t="s">
        <v>1311</v>
      </c>
      <c r="E334" s="79" t="s">
        <v>1312</v>
      </c>
      <c r="F334" s="80">
        <v>1037</v>
      </c>
      <c r="G334" s="81" t="s">
        <v>526</v>
      </c>
      <c r="H334" s="86" t="str">
        <f>IF(A334="","",IF(INDEX(EXTRATO!$F$2:$F$3000,MATCH($A334,EXTRATO!$A$2:$A$3000,0))="","",INDEX(EXTRATO!$F$2:$F$3000,MATCH($A334,EXTRATO!$A$2:$A$3000,0))))</f>
        <v>SAÍDA</v>
      </c>
      <c r="I334" s="88" t="str">
        <f>IF(A334="","",IF(INDEX(EXTRATO!$H$2:$H$3000,MATCH($A334,EXTRATO!$A$2:$A$3000,0))="","",INDEX(EXTRATO!$H$2:$H$3000,MATCH($A334,EXTRATO!$A$2:$A$3000,0))))</f>
        <v>COOP. UNIMED</v>
      </c>
      <c r="J334" s="86" t="s">
        <v>1313</v>
      </c>
      <c r="K334" s="86" t="str">
        <f>IF(AND(A334="",D334="",E334="",F334=""),"",IF(D334="","SEM CATEGORIA",IF(E334="","SEM SUBCATEGORIA",IF(COUNTIFS(CADASTROS!$L$7:$L$93,D334,CADASTROS!$D$7:$D$93,E334)=0,"INCOMPATÍVEL","OK"))))</f>
        <v>OK</v>
      </c>
    </row>
    <row r="335" spans="1:11" ht="30" hidden="1" customHeight="1" x14ac:dyDescent="0.25">
      <c r="A335" s="86" t="s">
        <v>1708</v>
      </c>
      <c r="B335" s="85">
        <f>IF(A335="","",IF(INDEX(EXTRATO!$C$2:$C$3000,MATCH($A335,EXTRATO!$A$2:$A$3000,0))="","",INDEX(EXTRATO!$C$2:$C$3000,MATCH($A335,EXTRATO!$A$2:$A$3000,0))))</f>
        <v>46104</v>
      </c>
      <c r="C335" s="86">
        <f t="shared" si="5"/>
        <v>3</v>
      </c>
      <c r="D335" s="81" t="s">
        <v>1305</v>
      </c>
      <c r="E335" s="79" t="s">
        <v>1615</v>
      </c>
      <c r="F335" s="80">
        <v>511478.24</v>
      </c>
      <c r="G335" s="81" t="s">
        <v>527</v>
      </c>
      <c r="H335" s="86" t="str">
        <f>IF(A335="","",IF(INDEX(EXTRATO!$F$2:$F$3000,MATCH($A335,EXTRATO!$A$2:$A$3000,0))="","",INDEX(EXTRATO!$F$2:$F$3000,MATCH($A335,EXTRATO!$A$2:$A$3000,0))))</f>
        <v>ENTRADA</v>
      </c>
      <c r="I335" s="88" t="str">
        <f>IF(A335="","",IF(INDEX(EXTRATO!$H$2:$H$3000,MATCH($A335,EXTRATO!$A$2:$A$3000,0))="","",INDEX(EXTRATO!$H$2:$H$3000,MATCH($A335,EXTRATO!$A$2:$A$3000,0))))</f>
        <v>REPASSE DO CONTRATO</v>
      </c>
      <c r="J335" s="86" t="s">
        <v>1307</v>
      </c>
      <c r="K335" s="86" t="str">
        <f>IF(AND(A335="",D335="",E335="",F335=""),"",IF(D335="","SEM CATEGORIA",IF(E335="","SEM SUBCATEGORIA",IF(COUNTIFS(CADASTROS!$L$7:$L$93,D335,CADASTROS!$D$7:$D$93,E335)=0,"INCOMPATÍVEL","OK"))))</f>
        <v>OK</v>
      </c>
    </row>
    <row r="336" spans="1:11" ht="30" hidden="1" customHeight="1" x14ac:dyDescent="0.25">
      <c r="A336" s="86" t="s">
        <v>1709</v>
      </c>
      <c r="B336" s="85">
        <f>IF(A336="","",IF(INDEX(EXTRATO!$C$2:$C$3000,MATCH($A336,EXTRATO!$A$2:$A$3000,0))="","",INDEX(EXTRATO!$C$2:$C$3000,MATCH($A336,EXTRATO!$A$2:$A$3000,0))))</f>
        <v>46104</v>
      </c>
      <c r="C336" s="86">
        <f t="shared" si="5"/>
        <v>3</v>
      </c>
      <c r="D336" s="81" t="s">
        <v>1349</v>
      </c>
      <c r="E336" s="79" t="s">
        <v>1411</v>
      </c>
      <c r="F336" s="80">
        <v>500</v>
      </c>
      <c r="G336" s="81" t="s">
        <v>528</v>
      </c>
      <c r="H336" s="86" t="str">
        <f>IF(A336="","",IF(INDEX(EXTRATO!$F$2:$F$3000,MATCH($A336,EXTRATO!$A$2:$A$3000,0))="","",INDEX(EXTRATO!$F$2:$F$3000,MATCH($A336,EXTRATO!$A$2:$A$3000,0))))</f>
        <v>SAÍDA</v>
      </c>
      <c r="I336" s="88" t="str">
        <f>IF(A336="","",IF(INDEX(EXTRATO!$H$2:$H$3000,MATCH($A336,EXTRATO!$A$2:$A$3000,0))="","",INDEX(EXTRATO!$H$2:$H$3000,MATCH($A336,EXTRATO!$A$2:$A$3000,0))))</f>
        <v>E G BISPO TRANSPORTES</v>
      </c>
      <c r="J336" s="86" t="s">
        <v>1313</v>
      </c>
      <c r="K336" s="86" t="str">
        <f>IF(AND(A336="",D336="",E336="",F336=""),"",IF(D336="","SEM CATEGORIA",IF(E336="","SEM SUBCATEGORIA",IF(COUNTIFS(CADASTROS!$L$7:$L$93,D336,CADASTROS!$D$7:$D$93,E336)=0,"INCOMPATÍVEL","OK"))))</f>
        <v>OK</v>
      </c>
    </row>
    <row r="337" spans="1:11" ht="30" hidden="1" customHeight="1" x14ac:dyDescent="0.25">
      <c r="A337" s="86" t="s">
        <v>1710</v>
      </c>
      <c r="B337" s="85">
        <f>IF(A337="","",IF(INDEX(EXTRATO!$C$2:$C$3000,MATCH($A337,EXTRATO!$A$2:$A$3000,0))="","",INDEX(EXTRATO!$C$2:$C$3000,MATCH($A337,EXTRATO!$A$2:$A$3000,0))))</f>
        <v>46105</v>
      </c>
      <c r="C337" s="86">
        <f t="shared" si="5"/>
        <v>3</v>
      </c>
      <c r="D337" s="81" t="s">
        <v>1637</v>
      </c>
      <c r="E337" s="79" t="s">
        <v>1638</v>
      </c>
      <c r="F337" s="80">
        <v>20000</v>
      </c>
      <c r="G337" s="81" t="s">
        <v>530</v>
      </c>
      <c r="H337" s="86" t="str">
        <f>IF(A337="","",IF(INDEX(EXTRATO!$F$2:$F$3000,MATCH($A337,EXTRATO!$A$2:$A$3000,0))="","",INDEX(EXTRATO!$F$2:$F$3000,MATCH($A337,EXTRATO!$A$2:$A$3000,0))))</f>
        <v>SAÍDA</v>
      </c>
      <c r="I337" s="88" t="str">
        <f>IF(A337="","",IF(INDEX(EXTRATO!$H$2:$H$3000,MATCH($A337,EXTRATO!$A$2:$A$3000,0))="","",INDEX(EXTRATO!$H$2:$H$3000,MATCH($A337,EXTRATO!$A$2:$A$3000,0))))</f>
        <v>PATRICK DULFF</v>
      </c>
      <c r="J337" s="86" t="s">
        <v>1313</v>
      </c>
      <c r="K337" s="86" t="str">
        <f>IF(AND(A337="",D337="",E337="",F337=""),"",IF(D337="","SEM CATEGORIA",IF(E337="","SEM SUBCATEGORIA",IF(COUNTIFS(CADASTROS!$L$7:$L$93,D337,CADASTROS!$D$7:$D$93,E337)=0,"INCOMPATÍVEL","OK"))))</f>
        <v>OK</v>
      </c>
    </row>
    <row r="338" spans="1:11" ht="30" hidden="1" customHeight="1" x14ac:dyDescent="0.25">
      <c r="A338" s="86" t="s">
        <v>1711</v>
      </c>
      <c r="B338" s="85">
        <f>IF(A338="","",IF(INDEX(EXTRATO!$C$2:$C$3000,MATCH($A338,EXTRATO!$A$2:$A$3000,0))="","",INDEX(EXTRATO!$C$2:$C$3000,MATCH($A338,EXTRATO!$A$2:$A$3000,0))))</f>
        <v>46105</v>
      </c>
      <c r="C338" s="86">
        <f t="shared" si="5"/>
        <v>3</v>
      </c>
      <c r="D338" s="81" t="s">
        <v>1415</v>
      </c>
      <c r="E338" s="79" t="s">
        <v>1640</v>
      </c>
      <c r="F338" s="80">
        <v>11015.87</v>
      </c>
      <c r="G338" s="81" t="s">
        <v>531</v>
      </c>
      <c r="H338" s="86" t="str">
        <f>IF(A338="","",IF(INDEX(EXTRATO!$F$2:$F$3000,MATCH($A338,EXTRATO!$A$2:$A$3000,0))="","",INDEX(EXTRATO!$F$2:$F$3000,MATCH($A338,EXTRATO!$A$2:$A$3000,0))))</f>
        <v>SAÍDA</v>
      </c>
      <c r="I338" s="88" t="str">
        <f>IF(A338="","",IF(INDEX(EXTRATO!$H$2:$H$3000,MATCH($A338,EXTRATO!$A$2:$A$3000,0))="","",INDEX(EXTRATO!$H$2:$H$3000,MATCH($A338,EXTRATO!$A$2:$A$3000,0))))</f>
        <v>UNICLINICA</v>
      </c>
      <c r="J338" s="86" t="s">
        <v>1313</v>
      </c>
      <c r="K338" s="86" t="str">
        <f>IF(AND(A338="",D338="",E338="",F338=""),"",IF(D338="","SEM CATEGORIA",IF(E338="","SEM SUBCATEGORIA",IF(COUNTIFS(CADASTROS!$L$7:$L$93,D338,CADASTROS!$D$7:$D$93,E338)=0,"INCOMPATÍVEL","OK"))))</f>
        <v>OK</v>
      </c>
    </row>
    <row r="339" spans="1:11" ht="30" hidden="1" customHeight="1" x14ac:dyDescent="0.25">
      <c r="A339" s="86" t="s">
        <v>1712</v>
      </c>
      <c r="B339" s="85">
        <f>IF(A339="","",IF(INDEX(EXTRATO!$C$2:$C$3000,MATCH($A339,EXTRATO!$A$2:$A$3000,0))="","",INDEX(EXTRATO!$C$2:$C$3000,MATCH($A339,EXTRATO!$A$2:$A$3000,0))))</f>
        <v>46105</v>
      </c>
      <c r="C339" s="86">
        <f t="shared" si="5"/>
        <v>3</v>
      </c>
      <c r="D339" s="81" t="s">
        <v>1637</v>
      </c>
      <c r="E339" s="79" t="s">
        <v>1638</v>
      </c>
      <c r="F339" s="80">
        <v>10000</v>
      </c>
      <c r="G339" s="81" t="s">
        <v>533</v>
      </c>
      <c r="H339" s="86" t="str">
        <f>IF(A339="","",IF(INDEX(EXTRATO!$F$2:$F$3000,MATCH($A339,EXTRATO!$A$2:$A$3000,0))="","",INDEX(EXTRATO!$F$2:$F$3000,MATCH($A339,EXTRATO!$A$2:$A$3000,0))))</f>
        <v>SAÍDA</v>
      </c>
      <c r="I339" s="88" t="str">
        <f>IF(A339="","",IF(INDEX(EXTRATO!$H$2:$H$3000,MATCH($A339,EXTRATO!$A$2:$A$3000,0))="","",INDEX(EXTRATO!$H$2:$H$3000,MATCH($A339,EXTRATO!$A$2:$A$3000,0))))</f>
        <v>FABIANA CRISTINA</v>
      </c>
      <c r="J339" s="86" t="s">
        <v>1313</v>
      </c>
      <c r="K339" s="86" t="str">
        <f>IF(AND(A339="",D339="",E339="",F339=""),"",IF(D339="","SEM CATEGORIA",IF(E339="","SEM SUBCATEGORIA",IF(COUNTIFS(CADASTROS!$L$7:$L$93,D339,CADASTROS!$D$7:$D$93,E339)=0,"INCOMPATÍVEL","OK"))))</f>
        <v>OK</v>
      </c>
    </row>
    <row r="340" spans="1:11" ht="30" hidden="1" customHeight="1" x14ac:dyDescent="0.25">
      <c r="A340" s="86" t="s">
        <v>1713</v>
      </c>
      <c r="B340" s="85">
        <f>IF(A340="","",IF(INDEX(EXTRATO!$C$2:$C$3000,MATCH($A340,EXTRATO!$A$2:$A$3000,0))="","",INDEX(EXTRATO!$C$2:$C$3000,MATCH($A340,EXTRATO!$A$2:$A$3000,0))))</f>
        <v>46105</v>
      </c>
      <c r="C340" s="86">
        <f t="shared" si="5"/>
        <v>3</v>
      </c>
      <c r="D340" s="81" t="s">
        <v>1637</v>
      </c>
      <c r="E340" s="79" t="s">
        <v>1638</v>
      </c>
      <c r="F340" s="80">
        <v>10000</v>
      </c>
      <c r="G340" s="81" t="s">
        <v>534</v>
      </c>
      <c r="H340" s="86" t="str">
        <f>IF(A340="","",IF(INDEX(EXTRATO!$F$2:$F$3000,MATCH($A340,EXTRATO!$A$2:$A$3000,0))="","",INDEX(EXTRATO!$F$2:$F$3000,MATCH($A340,EXTRATO!$A$2:$A$3000,0))))</f>
        <v>SAÍDA</v>
      </c>
      <c r="I340" s="88" t="str">
        <f>IF(A340="","",IF(INDEX(EXTRATO!$H$2:$H$3000,MATCH($A340,EXTRATO!$A$2:$A$3000,0))="","",INDEX(EXTRATO!$H$2:$H$3000,MATCH($A340,EXTRATO!$A$2:$A$3000,0))))</f>
        <v>ANDERSON RAFAEL SALVIANO</v>
      </c>
      <c r="J340" s="86" t="s">
        <v>1313</v>
      </c>
      <c r="K340" s="86" t="str">
        <f>IF(AND(A340="",D340="",E340="",F340=""),"",IF(D340="","SEM CATEGORIA",IF(E340="","SEM SUBCATEGORIA",IF(COUNTIFS(CADASTROS!$L$7:$L$93,D340,CADASTROS!$D$7:$D$93,E340)=0,"INCOMPATÍVEL","OK"))))</f>
        <v>OK</v>
      </c>
    </row>
    <row r="341" spans="1:11" ht="30" hidden="1" customHeight="1" x14ac:dyDescent="0.25">
      <c r="A341" s="86" t="s">
        <v>1714</v>
      </c>
      <c r="B341" s="85">
        <f>IF(A341="","",IF(INDEX(EXTRATO!$C$2:$C$3000,MATCH($A341,EXTRATO!$A$2:$A$3000,0))="","",INDEX(EXTRATO!$C$2:$C$3000,MATCH($A341,EXTRATO!$A$2:$A$3000,0))))</f>
        <v>46105</v>
      </c>
      <c r="C341" s="86">
        <f t="shared" si="5"/>
        <v>3</v>
      </c>
      <c r="D341" s="81" t="s">
        <v>1330</v>
      </c>
      <c r="E341" s="79" t="s">
        <v>1697</v>
      </c>
      <c r="F341" s="80">
        <v>7700</v>
      </c>
      <c r="G341" s="81" t="s">
        <v>535</v>
      </c>
      <c r="H341" s="86" t="str">
        <f>IF(A341="","",IF(INDEX(EXTRATO!$F$2:$F$3000,MATCH($A341,EXTRATO!$A$2:$A$3000,0))="","",INDEX(EXTRATO!$F$2:$F$3000,MATCH($A341,EXTRATO!$A$2:$A$3000,0))))</f>
        <v>SAÍDA</v>
      </c>
      <c r="I341" s="88" t="str">
        <f>IF(A341="","",IF(INDEX(EXTRATO!$H$2:$H$3000,MATCH($A341,EXTRATO!$A$2:$A$3000,0))="","",INDEX(EXTRATO!$H$2:$H$3000,MATCH($A341,EXTRATO!$A$2:$A$3000,0))))</f>
        <v>ASSESSORIA ADMINISTRATIVA</v>
      </c>
      <c r="J341" s="86" t="s">
        <v>1313</v>
      </c>
      <c r="K341" s="86" t="str">
        <f>IF(AND(A341="",D341="",E341="",F341=""),"",IF(D341="","SEM CATEGORIA",IF(E341="","SEM SUBCATEGORIA",IF(COUNTIFS(CADASTROS!$L$7:$L$93,D341,CADASTROS!$D$7:$D$93,E341)=0,"INCOMPATÍVEL","OK"))))</f>
        <v>OK</v>
      </c>
    </row>
    <row r="342" spans="1:11" ht="30" hidden="1" customHeight="1" x14ac:dyDescent="0.25">
      <c r="A342" s="86" t="s">
        <v>1715</v>
      </c>
      <c r="B342" s="85">
        <f>IF(A342="","",IF(INDEX(EXTRATO!$C$2:$C$3000,MATCH($A342,EXTRATO!$A$2:$A$3000,0))="","",INDEX(EXTRATO!$C$2:$C$3000,MATCH($A342,EXTRATO!$A$2:$A$3000,0))))</f>
        <v>46105</v>
      </c>
      <c r="C342" s="86">
        <f t="shared" si="5"/>
        <v>3</v>
      </c>
      <c r="D342" s="81" t="s">
        <v>1637</v>
      </c>
      <c r="E342" s="79" t="s">
        <v>1638</v>
      </c>
      <c r="F342" s="80">
        <v>7500</v>
      </c>
      <c r="G342" s="81" t="s">
        <v>537</v>
      </c>
      <c r="H342" s="86" t="str">
        <f>IF(A342="","",IF(INDEX(EXTRATO!$F$2:$F$3000,MATCH($A342,EXTRATO!$A$2:$A$3000,0))="","",INDEX(EXTRATO!$F$2:$F$3000,MATCH($A342,EXTRATO!$A$2:$A$3000,0))))</f>
        <v>SAÍDA</v>
      </c>
      <c r="I342" s="88" t="str">
        <f>IF(A342="","",IF(INDEX(EXTRATO!$H$2:$H$3000,MATCH($A342,EXTRATO!$A$2:$A$3000,0))="","",INDEX(EXTRATO!$H$2:$H$3000,MATCH($A342,EXTRATO!$A$2:$A$3000,0))))</f>
        <v>MOISES DA S. OLIVEIRA</v>
      </c>
      <c r="J342" s="86" t="s">
        <v>1313</v>
      </c>
      <c r="K342" s="86" t="str">
        <f>IF(AND(A342="",D342="",E342="",F342=""),"",IF(D342="","SEM CATEGORIA",IF(E342="","SEM SUBCATEGORIA",IF(COUNTIFS(CADASTROS!$L$7:$L$93,D342,CADASTROS!$D$7:$D$93,E342)=0,"INCOMPATÍVEL","OK"))))</f>
        <v>OK</v>
      </c>
    </row>
    <row r="343" spans="1:11" ht="30" hidden="1" customHeight="1" x14ac:dyDescent="0.25">
      <c r="A343" s="86" t="s">
        <v>1716</v>
      </c>
      <c r="B343" s="85">
        <f>IF(A343="","",IF(INDEX(EXTRATO!$C$2:$C$3000,MATCH($A343,EXTRATO!$A$2:$A$3000,0))="","",INDEX(EXTRATO!$C$2:$C$3000,MATCH($A343,EXTRATO!$A$2:$A$3000,0))))</f>
        <v>46105</v>
      </c>
      <c r="C343" s="86">
        <f t="shared" si="5"/>
        <v>3</v>
      </c>
      <c r="D343" s="81" t="s">
        <v>1311</v>
      </c>
      <c r="E343" s="79" t="s">
        <v>1376</v>
      </c>
      <c r="F343" s="80">
        <v>6523.2</v>
      </c>
      <c r="G343" s="81" t="s">
        <v>538</v>
      </c>
      <c r="H343" s="86" t="str">
        <f>IF(A343="","",IF(INDEX(EXTRATO!$F$2:$F$3000,MATCH($A343,EXTRATO!$A$2:$A$3000,0))="","",INDEX(EXTRATO!$F$2:$F$3000,MATCH($A343,EXTRATO!$A$2:$A$3000,0))))</f>
        <v>SAÍDA</v>
      </c>
      <c r="I343" s="88" t="str">
        <f>IF(A343="","",IF(INDEX(EXTRATO!$H$2:$H$3000,MATCH($A343,EXTRATO!$A$2:$A$3000,0))="","",INDEX(EXTRATO!$H$2:$H$3000,MATCH($A343,EXTRATO!$A$2:$A$3000,0))))</f>
        <v>NIPRO</v>
      </c>
      <c r="J343" s="86" t="s">
        <v>1313</v>
      </c>
      <c r="K343" s="86" t="str">
        <f>IF(AND(A343="",D343="",E343="",F343=""),"",IF(D343="","SEM CATEGORIA",IF(E343="","SEM SUBCATEGORIA",IF(COUNTIFS(CADASTROS!$L$7:$L$93,D343,CADASTROS!$D$7:$D$93,E343)=0,"INCOMPATÍVEL","OK"))))</f>
        <v>OK</v>
      </c>
    </row>
    <row r="344" spans="1:11" ht="30" hidden="1" customHeight="1" x14ac:dyDescent="0.25">
      <c r="A344" s="86" t="s">
        <v>1717</v>
      </c>
      <c r="B344" s="85">
        <f>IF(A344="","",IF(INDEX(EXTRATO!$C$2:$C$3000,MATCH($A344,EXTRATO!$A$2:$A$3000,0))="","",INDEX(EXTRATO!$C$2:$C$3000,MATCH($A344,EXTRATO!$A$2:$A$3000,0))))</f>
        <v>46105</v>
      </c>
      <c r="C344" s="86">
        <f t="shared" si="5"/>
        <v>3</v>
      </c>
      <c r="D344" s="81" t="s">
        <v>1415</v>
      </c>
      <c r="E344" s="79" t="s">
        <v>1648</v>
      </c>
      <c r="F344" s="80">
        <v>6000</v>
      </c>
      <c r="G344" s="81" t="s">
        <v>539</v>
      </c>
      <c r="H344" s="86" t="str">
        <f>IF(A344="","",IF(INDEX(EXTRATO!$F$2:$F$3000,MATCH($A344,EXTRATO!$A$2:$A$3000,0))="","",INDEX(EXTRATO!$F$2:$F$3000,MATCH($A344,EXTRATO!$A$2:$A$3000,0))))</f>
        <v>SAÍDA</v>
      </c>
      <c r="I344" s="88" t="str">
        <f>IF(A344="","",IF(INDEX(EXTRATO!$H$2:$H$3000,MATCH($A344,EXTRATO!$A$2:$A$3000,0))="","",INDEX(EXTRATO!$H$2:$H$3000,MATCH($A344,EXTRATO!$A$2:$A$3000,0))))</f>
        <v>MARTINS MACHADO SAUDE E E</v>
      </c>
      <c r="J344" s="86" t="s">
        <v>1313</v>
      </c>
      <c r="K344" s="86" t="str">
        <f>IF(AND(A344="",D344="",E344="",F344=""),"",IF(D344="","SEM CATEGORIA",IF(E344="","SEM SUBCATEGORIA",IF(COUNTIFS(CADASTROS!$L$7:$L$93,D344,CADASTROS!$D$7:$D$93,E344)=0,"INCOMPATÍVEL","OK"))))</f>
        <v>OK</v>
      </c>
    </row>
    <row r="345" spans="1:11" ht="30" hidden="1" customHeight="1" x14ac:dyDescent="0.25">
      <c r="A345" s="86" t="s">
        <v>1718</v>
      </c>
      <c r="B345" s="85">
        <f>IF(A345="","",IF(INDEX(EXTRATO!$C$2:$C$3000,MATCH($A345,EXTRATO!$A$2:$A$3000,0))="","",INDEX(EXTRATO!$C$2:$C$3000,MATCH($A345,EXTRATO!$A$2:$A$3000,0))))</f>
        <v>46105</v>
      </c>
      <c r="C345" s="86">
        <f t="shared" si="5"/>
        <v>3</v>
      </c>
      <c r="D345" s="81" t="s">
        <v>1415</v>
      </c>
      <c r="E345" s="79" t="s">
        <v>1643</v>
      </c>
      <c r="F345" s="80">
        <v>6000</v>
      </c>
      <c r="G345" s="81" t="s">
        <v>541</v>
      </c>
      <c r="H345" s="86" t="str">
        <f>IF(A345="","",IF(INDEX(EXTRATO!$F$2:$F$3000,MATCH($A345,EXTRATO!$A$2:$A$3000,0))="","",INDEX(EXTRATO!$F$2:$F$3000,MATCH($A345,EXTRATO!$A$2:$A$3000,0))))</f>
        <v>SAÍDA</v>
      </c>
      <c r="I345" s="88" t="str">
        <f>IF(A345="","",IF(INDEX(EXTRATO!$H$2:$H$3000,MATCH($A345,EXTRATO!$A$2:$A$3000,0))="","",INDEX(EXTRATO!$H$2:$H$3000,MATCH($A345,EXTRATO!$A$2:$A$3000,0))))</f>
        <v>L F ALBUQUERQUE DA SILVA</v>
      </c>
      <c r="J345" s="86" t="s">
        <v>1313</v>
      </c>
      <c r="K345" s="86" t="str">
        <f>IF(AND(A345="",D345="",E345="",F345=""),"",IF(D345="","SEM CATEGORIA",IF(E345="","SEM SUBCATEGORIA",IF(COUNTIFS(CADASTROS!$L$7:$L$93,D345,CADASTROS!$D$7:$D$93,E345)=0,"INCOMPATÍVEL","OK"))))</f>
        <v>OK</v>
      </c>
    </row>
    <row r="346" spans="1:11" ht="30" hidden="1" customHeight="1" x14ac:dyDescent="0.25">
      <c r="A346" s="86" t="s">
        <v>1719</v>
      </c>
      <c r="B346" s="85">
        <f>IF(A346="","",IF(INDEX(EXTRATO!$C$2:$C$3000,MATCH($A346,EXTRATO!$A$2:$A$3000,0))="","",INDEX(EXTRATO!$C$2:$C$3000,MATCH($A346,EXTRATO!$A$2:$A$3000,0))))</f>
        <v>46105</v>
      </c>
      <c r="C346" s="86">
        <f t="shared" si="5"/>
        <v>3</v>
      </c>
      <c r="D346" s="81" t="s">
        <v>1637</v>
      </c>
      <c r="E346" s="79" t="s">
        <v>1638</v>
      </c>
      <c r="F346" s="80">
        <v>5000</v>
      </c>
      <c r="G346" s="81" t="s">
        <v>543</v>
      </c>
      <c r="H346" s="86" t="str">
        <f>IF(A346="","",IF(INDEX(EXTRATO!$F$2:$F$3000,MATCH($A346,EXTRATO!$A$2:$A$3000,0))="","",INDEX(EXTRATO!$F$2:$F$3000,MATCH($A346,EXTRATO!$A$2:$A$3000,0))))</f>
        <v>SAÍDA</v>
      </c>
      <c r="I346" s="88" t="str">
        <f>IF(A346="","",IF(INDEX(EXTRATO!$H$2:$H$3000,MATCH($A346,EXTRATO!$A$2:$A$3000,0))="","",INDEX(EXTRATO!$H$2:$H$3000,MATCH($A346,EXTRATO!$A$2:$A$3000,0))))</f>
        <v>GLADSTONE SANTOS SILVA</v>
      </c>
      <c r="J346" s="86" t="s">
        <v>1313</v>
      </c>
      <c r="K346" s="86" t="str">
        <f>IF(AND(A346="",D346="",E346="",F346=""),"",IF(D346="","SEM CATEGORIA",IF(E346="","SEM SUBCATEGORIA",IF(COUNTIFS(CADASTROS!$L$7:$L$93,D346,CADASTROS!$D$7:$D$93,E346)=0,"INCOMPATÍVEL","OK"))))</f>
        <v>OK</v>
      </c>
    </row>
    <row r="347" spans="1:11" ht="30" hidden="1" customHeight="1" x14ac:dyDescent="0.25">
      <c r="A347" s="86" t="s">
        <v>1720</v>
      </c>
      <c r="B347" s="85">
        <f>IF(A347="","",IF(INDEX(EXTRATO!$C$2:$C$3000,MATCH($A347,EXTRATO!$A$2:$A$3000,0))="","",INDEX(EXTRATO!$C$2:$C$3000,MATCH($A347,EXTRATO!$A$2:$A$3000,0))))</f>
        <v>46105</v>
      </c>
      <c r="C347" s="86">
        <f t="shared" si="5"/>
        <v>3</v>
      </c>
      <c r="D347" s="81" t="s">
        <v>1370</v>
      </c>
      <c r="E347" s="79" t="s">
        <v>1371</v>
      </c>
      <c r="F347" s="80">
        <v>4500</v>
      </c>
      <c r="G347" s="81" t="s">
        <v>544</v>
      </c>
      <c r="H347" s="86" t="str">
        <f>IF(A347="","",IF(INDEX(EXTRATO!$F$2:$F$3000,MATCH($A347,EXTRATO!$A$2:$A$3000,0))="","",INDEX(EXTRATO!$F$2:$F$3000,MATCH($A347,EXTRATO!$A$2:$A$3000,0))))</f>
        <v>SAÍDA</v>
      </c>
      <c r="I347" s="88" t="str">
        <f>IF(A347="","",IF(INDEX(EXTRATO!$H$2:$H$3000,MATCH($A347,EXTRATO!$A$2:$A$3000,0))="","",INDEX(EXTRATO!$H$2:$H$3000,MATCH($A347,EXTRATO!$A$2:$A$3000,0))))</f>
        <v>HR MANUTENCAO HOSPITALAR</v>
      </c>
      <c r="J347" s="86" t="s">
        <v>1313</v>
      </c>
      <c r="K347" s="86" t="str">
        <f>IF(AND(A347="",D347="",E347="",F347=""),"",IF(D347="","SEM CATEGORIA",IF(E347="","SEM SUBCATEGORIA",IF(COUNTIFS(CADASTROS!$L$7:$L$93,D347,CADASTROS!$D$7:$D$93,E347)=0,"INCOMPATÍVEL","OK"))))</f>
        <v>OK</v>
      </c>
    </row>
    <row r="348" spans="1:11" ht="30" hidden="1" customHeight="1" x14ac:dyDescent="0.25">
      <c r="A348" s="86" t="s">
        <v>1721</v>
      </c>
      <c r="B348" s="85">
        <f>IF(A348="","",IF(INDEX(EXTRATO!$C$2:$C$3000,MATCH($A348,EXTRATO!$A$2:$A$3000,0))="","",INDEX(EXTRATO!$C$2:$C$3000,MATCH($A348,EXTRATO!$A$2:$A$3000,0))))</f>
        <v>46105</v>
      </c>
      <c r="C348" s="86">
        <f t="shared" si="5"/>
        <v>3</v>
      </c>
      <c r="D348" s="81" t="s">
        <v>1415</v>
      </c>
      <c r="E348" s="79" t="s">
        <v>1657</v>
      </c>
      <c r="F348" s="80">
        <v>1800</v>
      </c>
      <c r="G348" s="81" t="s">
        <v>546</v>
      </c>
      <c r="H348" s="86" t="str">
        <f>IF(A348="","",IF(INDEX(EXTRATO!$F$2:$F$3000,MATCH($A348,EXTRATO!$A$2:$A$3000,0))="","",INDEX(EXTRATO!$F$2:$F$3000,MATCH($A348,EXTRATO!$A$2:$A$3000,0))))</f>
        <v>SAÍDA</v>
      </c>
      <c r="I348" s="88" t="str">
        <f>IF(A348="","",IF(INDEX(EXTRATO!$H$2:$H$3000,MATCH($A348,EXTRATO!$A$2:$A$3000,0))="","",INDEX(EXTRATO!$H$2:$H$3000,MATCH($A348,EXTRATO!$A$2:$A$3000,0))))</f>
        <v>FARMACÊUTICA REBECA</v>
      </c>
      <c r="J348" s="86" t="s">
        <v>1313</v>
      </c>
      <c r="K348" s="86" t="str">
        <f>IF(AND(A348="",D348="",E348="",F348=""),"",IF(D348="","SEM CATEGORIA",IF(E348="","SEM SUBCATEGORIA",IF(COUNTIFS(CADASTROS!$L$7:$L$93,D348,CADASTROS!$D$7:$D$93,E348)=0,"INCOMPATÍVEL","OK"))))</f>
        <v>OK</v>
      </c>
    </row>
    <row r="349" spans="1:11" ht="30" hidden="1" customHeight="1" x14ac:dyDescent="0.25">
      <c r="A349" s="86" t="s">
        <v>1722</v>
      </c>
      <c r="B349" s="85">
        <f>IF(A349="","",IF(INDEX(EXTRATO!$C$2:$C$3000,MATCH($A349,EXTRATO!$A$2:$A$3000,0))="","",INDEX(EXTRATO!$C$2:$C$3000,MATCH($A349,EXTRATO!$A$2:$A$3000,0))))</f>
        <v>46105</v>
      </c>
      <c r="C349" s="86">
        <f t="shared" si="5"/>
        <v>3</v>
      </c>
      <c r="D349" s="81" t="s">
        <v>1415</v>
      </c>
      <c r="E349" s="79" t="s">
        <v>1664</v>
      </c>
      <c r="F349" s="80">
        <v>1470</v>
      </c>
      <c r="G349" s="81" t="s">
        <v>548</v>
      </c>
      <c r="H349" s="86" t="str">
        <f>IF(A349="","",IF(INDEX(EXTRATO!$F$2:$F$3000,MATCH($A349,EXTRATO!$A$2:$A$3000,0))="","",INDEX(EXTRATO!$F$2:$F$3000,MATCH($A349,EXTRATO!$A$2:$A$3000,0))))</f>
        <v>SAÍDA</v>
      </c>
      <c r="I349" s="88" t="str">
        <f>IF(A349="","",IF(INDEX(EXTRATO!$H$2:$H$3000,MATCH($A349,EXTRATO!$A$2:$A$3000,0))="","",INDEX(EXTRATO!$H$2:$H$3000,MATCH($A349,EXTRATO!$A$2:$A$3000,0))))</f>
        <v>DR. WILSON</v>
      </c>
      <c r="J349" s="86" t="s">
        <v>1313</v>
      </c>
      <c r="K349" s="86" t="str">
        <f>IF(AND(A349="",D349="",E349="",F349=""),"",IF(D349="","SEM CATEGORIA",IF(E349="","SEM SUBCATEGORIA",IF(COUNTIFS(CADASTROS!$L$7:$L$93,D349,CADASTROS!$D$7:$D$93,E349)=0,"INCOMPATÍVEL","OK"))))</f>
        <v>OK</v>
      </c>
    </row>
    <row r="350" spans="1:11" ht="30" hidden="1" customHeight="1" x14ac:dyDescent="0.25">
      <c r="A350" s="86" t="s">
        <v>1723</v>
      </c>
      <c r="B350" s="85">
        <f>IF(A350="","",IF(INDEX(EXTRATO!$C$2:$C$3000,MATCH($A350,EXTRATO!$A$2:$A$3000,0))="","",INDEX(EXTRATO!$C$2:$C$3000,MATCH($A350,EXTRATO!$A$2:$A$3000,0))))</f>
        <v>46105</v>
      </c>
      <c r="C350" s="86">
        <f t="shared" si="5"/>
        <v>3</v>
      </c>
      <c r="D350" s="81" t="s">
        <v>1415</v>
      </c>
      <c r="E350" s="79" t="s">
        <v>1661</v>
      </c>
      <c r="F350" s="80">
        <v>980</v>
      </c>
      <c r="G350" s="81" t="s">
        <v>550</v>
      </c>
      <c r="H350" s="86" t="str">
        <f>IF(A350="","",IF(INDEX(EXTRATO!$F$2:$F$3000,MATCH($A350,EXTRATO!$A$2:$A$3000,0))="","",INDEX(EXTRATO!$F$2:$F$3000,MATCH($A350,EXTRATO!$A$2:$A$3000,0))))</f>
        <v>SAÍDA</v>
      </c>
      <c r="I350" s="88" t="str">
        <f>IF(A350="","",IF(INDEX(EXTRATO!$H$2:$H$3000,MATCH($A350,EXTRATO!$A$2:$A$3000,0))="","",INDEX(EXTRATO!$H$2:$H$3000,MATCH($A350,EXTRATO!$A$2:$A$3000,0))))</f>
        <v>DR. RENATO</v>
      </c>
      <c r="J350" s="86" t="s">
        <v>1313</v>
      </c>
      <c r="K350" s="86" t="str">
        <f>IF(AND(A350="",D350="",E350="",F350=""),"",IF(D350="","SEM CATEGORIA",IF(E350="","SEM SUBCATEGORIA",IF(COUNTIFS(CADASTROS!$L$7:$L$93,D350,CADASTROS!$D$7:$D$93,E350)=0,"INCOMPATÍVEL","OK"))))</f>
        <v>OK</v>
      </c>
    </row>
    <row r="351" spans="1:11" ht="30" hidden="1" customHeight="1" x14ac:dyDescent="0.25">
      <c r="A351" s="86" t="s">
        <v>1724</v>
      </c>
      <c r="B351" s="85">
        <f>IF(A351="","",IF(INDEX(EXTRATO!$C$2:$C$3000,MATCH($A351,EXTRATO!$A$2:$A$3000,0))="","",INDEX(EXTRATO!$C$2:$C$3000,MATCH($A351,EXTRATO!$A$2:$A$3000,0))))</f>
        <v>46105</v>
      </c>
      <c r="C351" s="86">
        <f t="shared" si="5"/>
        <v>3</v>
      </c>
      <c r="D351" s="81" t="s">
        <v>1330</v>
      </c>
      <c r="E351" s="79" t="s">
        <v>1413</v>
      </c>
      <c r="F351" s="80">
        <v>437</v>
      </c>
      <c r="G351" s="81" t="s">
        <v>552</v>
      </c>
      <c r="H351" s="86" t="str">
        <f>IF(A351="","",IF(INDEX(EXTRATO!$F$2:$F$3000,MATCH($A351,EXTRATO!$A$2:$A$3000,0))="","",INDEX(EXTRATO!$F$2:$F$3000,MATCH($A351,EXTRATO!$A$2:$A$3000,0))))</f>
        <v>SAÍDA</v>
      </c>
      <c r="I351" s="88" t="str">
        <f>IF(A351="","",IF(INDEX(EXTRATO!$H$2:$H$3000,MATCH($A351,EXTRATO!$A$2:$A$3000,0))="","",INDEX(EXTRATO!$H$2:$H$3000,MATCH($A351,EXTRATO!$A$2:$A$3000,0))))</f>
        <v>DONA MARINALVA</v>
      </c>
      <c r="J351" s="86" t="s">
        <v>1313</v>
      </c>
      <c r="K351" s="86" t="str">
        <f>IF(AND(A351="",D351="",E351="",F351=""),"",IF(D351="","SEM CATEGORIA",IF(E351="","SEM SUBCATEGORIA",IF(COUNTIFS(CADASTROS!$L$7:$L$93,D351,CADASTROS!$D$7:$D$93,E351)=0,"INCOMPATÍVEL","OK"))))</f>
        <v>OK</v>
      </c>
    </row>
    <row r="352" spans="1:11" ht="30" hidden="1" customHeight="1" x14ac:dyDescent="0.25">
      <c r="A352" s="86" t="s">
        <v>1725</v>
      </c>
      <c r="B352" s="85">
        <f>IF(A352="","",IF(INDEX(EXTRATO!$C$2:$C$3000,MATCH($A352,EXTRATO!$A$2:$A$3000,0))="","",INDEX(EXTRATO!$C$2:$C$3000,MATCH($A352,EXTRATO!$A$2:$A$3000,0))))</f>
        <v>46105</v>
      </c>
      <c r="C352" s="86">
        <f t="shared" si="5"/>
        <v>3</v>
      </c>
      <c r="D352" s="81" t="s">
        <v>1415</v>
      </c>
      <c r="E352" s="79" t="s">
        <v>1669</v>
      </c>
      <c r="F352" s="80">
        <v>125</v>
      </c>
      <c r="G352" s="81" t="s">
        <v>553</v>
      </c>
      <c r="H352" s="86" t="str">
        <f>IF(A352="","",IF(INDEX(EXTRATO!$F$2:$F$3000,MATCH($A352,EXTRATO!$A$2:$A$3000,0))="","",INDEX(EXTRATO!$F$2:$F$3000,MATCH($A352,EXTRATO!$A$2:$A$3000,0))))</f>
        <v>SAÍDA</v>
      </c>
      <c r="I352" s="88" t="str">
        <f>IF(A352="","",IF(INDEX(EXTRATO!$H$2:$H$3000,MATCH($A352,EXTRATO!$A$2:$A$3000,0))="","",INDEX(EXTRATO!$H$2:$H$3000,MATCH($A352,EXTRATO!$A$2:$A$3000,0))))</f>
        <v>UNICLINICA</v>
      </c>
      <c r="J352" s="86" t="s">
        <v>1313</v>
      </c>
      <c r="K352" s="86" t="str">
        <f>IF(AND(A352="",D352="",E352="",F352=""),"",IF(D352="","SEM CATEGORIA",IF(E352="","SEM SUBCATEGORIA",IF(COUNTIFS(CADASTROS!$L$7:$L$93,D352,CADASTROS!$D$7:$D$93,E352)=0,"INCOMPATÍVEL","OK"))))</f>
        <v>OK</v>
      </c>
    </row>
    <row r="353" spans="1:11" ht="30" hidden="1" customHeight="1" x14ac:dyDescent="0.25">
      <c r="A353" s="86" t="s">
        <v>1726</v>
      </c>
      <c r="B353" s="85">
        <f>IF(A353="","",IF(INDEX(EXTRATO!$C$2:$C$3000,MATCH($A353,EXTRATO!$A$2:$A$3000,0))="","",INDEX(EXTRATO!$C$2:$C$3000,MATCH($A353,EXTRATO!$A$2:$A$3000,0))))</f>
        <v>46105</v>
      </c>
      <c r="C353" s="86">
        <f t="shared" si="5"/>
        <v>3</v>
      </c>
      <c r="D353" s="81" t="s">
        <v>1330</v>
      </c>
      <c r="E353" s="79" t="s">
        <v>1352</v>
      </c>
      <c r="F353" s="80">
        <v>19.100000000000001</v>
      </c>
      <c r="G353" s="81" t="s">
        <v>517</v>
      </c>
      <c r="H353" s="86" t="str">
        <f>IF(A353="","",IF(INDEX(EXTRATO!$F$2:$F$3000,MATCH($A353,EXTRATO!$A$2:$A$3000,0))="","",INDEX(EXTRATO!$F$2:$F$3000,MATCH($A353,EXTRATO!$A$2:$A$3000,0))))</f>
        <v>SAÍDA</v>
      </c>
      <c r="I353" s="88" t="str">
        <f>IF(A353="","",IF(INDEX(EXTRATO!$H$2:$H$3000,MATCH($A353,EXTRATO!$A$2:$A$3000,0))="","",INDEX(EXTRATO!$H$2:$H$3000,MATCH($A353,EXTRATO!$A$2:$A$3000,0))))</f>
        <v>TAXA DE PROCESSAMENTO DE CHEQUE</v>
      </c>
      <c r="J353" s="86" t="s">
        <v>1313</v>
      </c>
      <c r="K353" s="86" t="str">
        <f>IF(AND(A353="",D353="",E353="",F353=""),"",IF(D353="","SEM CATEGORIA",IF(E353="","SEM SUBCATEGORIA",IF(COUNTIFS(CADASTROS!$L$7:$L$93,D353,CADASTROS!$D$7:$D$93,E353)=0,"INCOMPATÍVEL","OK"))))</f>
        <v>OK</v>
      </c>
    </row>
    <row r="354" spans="1:11" ht="30" hidden="1" customHeight="1" x14ac:dyDescent="0.25">
      <c r="A354" s="86" t="s">
        <v>1727</v>
      </c>
      <c r="B354" s="85">
        <f>IF(A354="","",IF(INDEX(EXTRATO!$C$2:$C$3000,MATCH($A354,EXTRATO!$A$2:$A$3000,0))="","",INDEX(EXTRATO!$C$2:$C$3000,MATCH($A354,EXTRATO!$A$2:$A$3000,0))))</f>
        <v>46105</v>
      </c>
      <c r="C354" s="86">
        <f t="shared" si="5"/>
        <v>3</v>
      </c>
      <c r="D354" s="81" t="s">
        <v>1330</v>
      </c>
      <c r="E354" s="79" t="s">
        <v>1352</v>
      </c>
      <c r="F354" s="80">
        <v>10</v>
      </c>
      <c r="G354" s="81" t="s">
        <v>555</v>
      </c>
      <c r="H354" s="86" t="str">
        <f>IF(A354="","",IF(INDEX(EXTRATO!$F$2:$F$3000,MATCH($A354,EXTRATO!$A$2:$A$3000,0))="","",INDEX(EXTRATO!$F$2:$F$3000,MATCH($A354,EXTRATO!$A$2:$A$3000,0))))</f>
        <v>SAÍDA</v>
      </c>
      <c r="I354" s="88" t="str">
        <f>IF(A354="","",IF(INDEX(EXTRATO!$H$2:$H$3000,MATCH($A354,EXTRATO!$A$2:$A$3000,0))="","",INDEX(EXTRATO!$H$2:$H$3000,MATCH($A354,EXTRATO!$A$2:$A$3000,0))))</f>
        <v>TARIFA PIX</v>
      </c>
      <c r="J354" s="86" t="s">
        <v>1313</v>
      </c>
      <c r="K354" s="86" t="str">
        <f>IF(AND(A354="",D354="",E354="",F354=""),"",IF(D354="","SEM CATEGORIA",IF(E354="","SEM SUBCATEGORIA",IF(COUNTIFS(CADASTROS!$L$7:$L$93,D354,CADASTROS!$D$7:$D$93,E354)=0,"INCOMPATÍVEL","OK"))))</f>
        <v>OK</v>
      </c>
    </row>
    <row r="355" spans="1:11" ht="30" hidden="1" customHeight="1" x14ac:dyDescent="0.25">
      <c r="A355" s="86" t="s">
        <v>1728</v>
      </c>
      <c r="B355" s="85">
        <f>IF(A355="","",IF(INDEX(EXTRATO!$C$2:$C$3000,MATCH($A355,EXTRATO!$A$2:$A$3000,0))="","",INDEX(EXTRATO!$C$2:$C$3000,MATCH($A355,EXTRATO!$A$2:$A$3000,0))))</f>
        <v>46106</v>
      </c>
      <c r="C355" s="86">
        <f t="shared" si="5"/>
        <v>3</v>
      </c>
      <c r="D355" s="81" t="s">
        <v>1415</v>
      </c>
      <c r="E355" s="79" t="s">
        <v>1420</v>
      </c>
      <c r="F355" s="80">
        <v>3886.36</v>
      </c>
      <c r="G355" s="81" t="s">
        <v>556</v>
      </c>
      <c r="H355" s="86" t="str">
        <f>IF(A355="","",IF(INDEX(EXTRATO!$F$2:$F$3000,MATCH($A355,EXTRATO!$A$2:$A$3000,0))="","",INDEX(EXTRATO!$F$2:$F$3000,MATCH($A355,EXTRATO!$A$2:$A$3000,0))))</f>
        <v>SAÍDA</v>
      </c>
      <c r="I355" s="88" t="str">
        <f>IF(A355="","",IF(INDEX(EXTRATO!$H$2:$H$3000,MATCH($A355,EXTRATO!$A$2:$A$3000,0))="","",INDEX(EXTRATO!$H$2:$H$3000,MATCH($A355,EXTRATO!$A$2:$A$3000,0))))</f>
        <v>I F DA SILVA &amp; CIA LTDA</v>
      </c>
      <c r="J355" s="86" t="s">
        <v>1313</v>
      </c>
      <c r="K355" s="86" t="str">
        <f>IF(AND(A355="",D355="",E355="",F355=""),"",IF(D355="","SEM CATEGORIA",IF(E355="","SEM SUBCATEGORIA",IF(COUNTIFS(CADASTROS!$L$7:$L$93,D355,CADASTROS!$D$7:$D$93,E355)=0,"INCOMPATÍVEL","OK"))))</f>
        <v>OK</v>
      </c>
    </row>
    <row r="356" spans="1:11" ht="30" hidden="1" customHeight="1" x14ac:dyDescent="0.25">
      <c r="A356" s="86" t="s">
        <v>1728</v>
      </c>
      <c r="B356" s="85">
        <f>IF(A356="","",IF(INDEX(EXTRATO!$C$2:$C$3000,MATCH($A356,EXTRATO!$A$2:$A$3000,0))="","",INDEX(EXTRATO!$C$2:$C$3000,MATCH($A356,EXTRATO!$A$2:$A$3000,0))))</f>
        <v>46106</v>
      </c>
      <c r="C356" s="86">
        <f t="shared" si="5"/>
        <v>3</v>
      </c>
      <c r="D356" s="81" t="s">
        <v>1415</v>
      </c>
      <c r="E356" s="79" t="s">
        <v>1422</v>
      </c>
      <c r="F356" s="80">
        <v>3419.97</v>
      </c>
      <c r="G356" s="81" t="s">
        <v>556</v>
      </c>
      <c r="H356" s="86" t="str">
        <f>IF(A356="","",IF(INDEX(EXTRATO!$F$2:$F$3000,MATCH($A356,EXTRATO!$A$2:$A$3000,0))="","",INDEX(EXTRATO!$F$2:$F$3000,MATCH($A356,EXTRATO!$A$2:$A$3000,0))))</f>
        <v>SAÍDA</v>
      </c>
      <c r="I356" s="88" t="str">
        <f>IF(A356="","",IF(INDEX(EXTRATO!$H$2:$H$3000,MATCH($A356,EXTRATO!$A$2:$A$3000,0))="","",INDEX(EXTRATO!$H$2:$H$3000,MATCH($A356,EXTRATO!$A$2:$A$3000,0))))</f>
        <v>I F DA SILVA &amp; CIA LTDA</v>
      </c>
      <c r="J356" s="86" t="s">
        <v>1313</v>
      </c>
      <c r="K356" s="86" t="str">
        <f>IF(AND(A356="",D356="",E356="",F356=""),"",IF(D356="","SEM CATEGORIA",IF(E356="","SEM SUBCATEGORIA",IF(COUNTIFS(CADASTROS!$L$7:$L$93,D356,CADASTROS!$D$7:$D$93,E356)=0,"INCOMPATÍVEL","OK"))))</f>
        <v>OK</v>
      </c>
    </row>
    <row r="357" spans="1:11" ht="30" hidden="1" customHeight="1" x14ac:dyDescent="0.25">
      <c r="A357" s="86" t="s">
        <v>1728</v>
      </c>
      <c r="B357" s="85">
        <f>IF(A357="","",IF(INDEX(EXTRATO!$C$2:$C$3000,MATCH($A357,EXTRATO!$A$2:$A$3000,0))="","",INDEX(EXTRATO!$C$2:$C$3000,MATCH($A357,EXTRATO!$A$2:$A$3000,0))))</f>
        <v>46106</v>
      </c>
      <c r="C357" s="86">
        <f t="shared" si="5"/>
        <v>3</v>
      </c>
      <c r="D357" s="81" t="s">
        <v>1415</v>
      </c>
      <c r="E357" s="79" t="s">
        <v>1416</v>
      </c>
      <c r="F357" s="80">
        <v>800</v>
      </c>
      <c r="G357" s="81" t="s">
        <v>556</v>
      </c>
      <c r="H357" s="86" t="str">
        <f>IF(A357="","",IF(INDEX(EXTRATO!$F$2:$F$3000,MATCH($A357,EXTRATO!$A$2:$A$3000,0))="","",INDEX(EXTRATO!$F$2:$F$3000,MATCH($A357,EXTRATO!$A$2:$A$3000,0))))</f>
        <v>SAÍDA</v>
      </c>
      <c r="I357" s="88" t="str">
        <f>IF(A357="","",IF(INDEX(EXTRATO!$H$2:$H$3000,MATCH($A357,EXTRATO!$A$2:$A$3000,0))="","",INDEX(EXTRATO!$H$2:$H$3000,MATCH($A357,EXTRATO!$A$2:$A$3000,0))))</f>
        <v>I F DA SILVA &amp; CIA LTDA</v>
      </c>
      <c r="J357" s="86" t="s">
        <v>1313</v>
      </c>
      <c r="K357" s="86" t="str">
        <f>IF(AND(A357="",D357="",E357="",F357=""),"",IF(D357="","SEM CATEGORIA",IF(E357="","SEM SUBCATEGORIA",IF(COUNTIFS(CADASTROS!$L$7:$L$93,D357,CADASTROS!$D$7:$D$93,E357)=0,"INCOMPATÍVEL","OK"))))</f>
        <v>OK</v>
      </c>
    </row>
    <row r="358" spans="1:11" ht="30" hidden="1" customHeight="1" x14ac:dyDescent="0.25">
      <c r="A358" s="86" t="s">
        <v>1728</v>
      </c>
      <c r="B358" s="85">
        <f>IF(A358="","",IF(INDEX(EXTRATO!$C$2:$C$3000,MATCH($A358,EXTRATO!$A$2:$A$3000,0))="","",INDEX(EXTRATO!$C$2:$C$3000,MATCH($A358,EXTRATO!$A$2:$A$3000,0))))</f>
        <v>46106</v>
      </c>
      <c r="C358" s="86">
        <f t="shared" si="5"/>
        <v>3</v>
      </c>
      <c r="D358" s="81" t="s">
        <v>1415</v>
      </c>
      <c r="E358" s="79" t="s">
        <v>1418</v>
      </c>
      <c r="F358" s="80">
        <v>400</v>
      </c>
      <c r="G358" s="81" t="s">
        <v>556</v>
      </c>
      <c r="H358" s="86" t="str">
        <f>IF(A358="","",IF(INDEX(EXTRATO!$F$2:$F$3000,MATCH($A358,EXTRATO!$A$2:$A$3000,0))="","",INDEX(EXTRATO!$F$2:$F$3000,MATCH($A358,EXTRATO!$A$2:$A$3000,0))))</f>
        <v>SAÍDA</v>
      </c>
      <c r="I358" s="88" t="str">
        <f>IF(A358="","",IF(INDEX(EXTRATO!$H$2:$H$3000,MATCH($A358,EXTRATO!$A$2:$A$3000,0))="","",INDEX(EXTRATO!$H$2:$H$3000,MATCH($A358,EXTRATO!$A$2:$A$3000,0))))</f>
        <v>I F DA SILVA &amp; CIA LTDA</v>
      </c>
      <c r="J358" s="86" t="s">
        <v>1313</v>
      </c>
      <c r="K358" s="86" t="str">
        <f>IF(AND(A358="",D358="",E358="",F358=""),"",IF(D358="","SEM CATEGORIA",IF(E358="","SEM SUBCATEGORIA",IF(COUNTIFS(CADASTROS!$L$7:$L$93,D358,CADASTROS!$D$7:$D$93,E358)=0,"INCOMPATÍVEL","OK"))))</f>
        <v>OK</v>
      </c>
    </row>
    <row r="359" spans="1:11" ht="30" hidden="1" customHeight="1" x14ac:dyDescent="0.25">
      <c r="A359" s="86" t="s">
        <v>1729</v>
      </c>
      <c r="B359" s="85">
        <f>IF(A359="","",IF(INDEX(EXTRATO!$C$2:$C$3000,MATCH($A359,EXTRATO!$A$2:$A$3000,0))="","",INDEX(EXTRATO!$C$2:$C$3000,MATCH($A359,EXTRATO!$A$2:$A$3000,0))))</f>
        <v>46106</v>
      </c>
      <c r="C359" s="86">
        <f t="shared" si="5"/>
        <v>3</v>
      </c>
      <c r="D359" s="81" t="s">
        <v>1370</v>
      </c>
      <c r="E359" s="79" t="s">
        <v>1371</v>
      </c>
      <c r="F359" s="80">
        <v>2000</v>
      </c>
      <c r="G359" s="81" t="s">
        <v>557</v>
      </c>
      <c r="H359" s="86" t="str">
        <f>IF(A359="","",IF(INDEX(EXTRATO!$F$2:$F$3000,MATCH($A359,EXTRATO!$A$2:$A$3000,0))="","",INDEX(EXTRATO!$F$2:$F$3000,MATCH($A359,EXTRATO!$A$2:$A$3000,0))))</f>
        <v>SAÍDA</v>
      </c>
      <c r="I359" s="88" t="str">
        <f>IF(A359="","",IF(INDEX(EXTRATO!$H$2:$H$3000,MATCH($A359,EXTRATO!$A$2:$A$3000,0))="","",INDEX(EXTRATO!$H$2:$H$3000,MATCH($A359,EXTRATO!$A$2:$A$3000,0))))</f>
        <v>J PAULINO DA SILVA</v>
      </c>
      <c r="J359" s="86" t="s">
        <v>1313</v>
      </c>
      <c r="K359" s="86" t="str">
        <f>IF(AND(A359="",D359="",E359="",F359=""),"",IF(D359="","SEM CATEGORIA",IF(E359="","SEM SUBCATEGORIA",IF(COUNTIFS(CADASTROS!$L$7:$L$93,D359,CADASTROS!$D$7:$D$93,E359)=0,"INCOMPATÍVEL","OK"))))</f>
        <v>OK</v>
      </c>
    </row>
    <row r="360" spans="1:11" ht="30" hidden="1" customHeight="1" x14ac:dyDescent="0.25">
      <c r="A360" s="86" t="s">
        <v>1730</v>
      </c>
      <c r="B360" s="85">
        <f>IF(A360="","",IF(INDEX(EXTRATO!$C$2:$C$3000,MATCH($A360,EXTRATO!$A$2:$A$3000,0))="","",INDEX(EXTRATO!$C$2:$C$3000,MATCH($A360,EXTRATO!$A$2:$A$3000,0))))</f>
        <v>46106</v>
      </c>
      <c r="C360" s="86">
        <f t="shared" si="5"/>
        <v>3</v>
      </c>
      <c r="D360" s="81" t="s">
        <v>1311</v>
      </c>
      <c r="E360" s="79" t="s">
        <v>1470</v>
      </c>
      <c r="F360" s="80">
        <v>1032.93</v>
      </c>
      <c r="G360" s="81" t="s">
        <v>218</v>
      </c>
      <c r="H360" s="86" t="str">
        <f>IF(A360="","",IF(INDEX(EXTRATO!$F$2:$F$3000,MATCH($A360,EXTRATO!$A$2:$A$3000,0))="","",INDEX(EXTRATO!$F$2:$F$3000,MATCH($A360,EXTRATO!$A$2:$A$3000,0))))</f>
        <v>SAÍDA</v>
      </c>
      <c r="I360" s="88" t="str">
        <f>IF(A360="","",IF(INDEX(EXTRATO!$H$2:$H$3000,MATCH($A360,EXTRATO!$A$2:$A$3000,0))="","",INDEX(EXTRATO!$H$2:$H$3000,MATCH($A360,EXTRATO!$A$2:$A$3000,0))))</f>
        <v>QUALIÁGUA</v>
      </c>
      <c r="J360" s="86" t="s">
        <v>1313</v>
      </c>
      <c r="K360" s="86" t="str">
        <f>IF(AND(A360="",D360="",E360="",F360=""),"",IF(D360="","SEM CATEGORIA",IF(E360="","SEM SUBCATEGORIA",IF(COUNTIFS(CADASTROS!$L$7:$L$93,D360,CADASTROS!$D$7:$D$93,E360)=0,"INCOMPATÍVEL","OK"))))</f>
        <v>OK</v>
      </c>
    </row>
    <row r="361" spans="1:11" ht="30" hidden="1" customHeight="1" x14ac:dyDescent="0.25">
      <c r="A361" s="86" t="s">
        <v>1731</v>
      </c>
      <c r="B361" s="85">
        <f>IF(A361="","",IF(INDEX(EXTRATO!$C$2:$C$3000,MATCH($A361,EXTRATO!$A$2:$A$3000,0))="","",INDEX(EXTRATO!$C$2:$C$3000,MATCH($A361,EXTRATO!$A$2:$A$3000,0))))</f>
        <v>46106</v>
      </c>
      <c r="C361" s="86">
        <f t="shared" si="5"/>
        <v>3</v>
      </c>
      <c r="D361" s="81" t="s">
        <v>1330</v>
      </c>
      <c r="E361" s="79" t="s">
        <v>1352</v>
      </c>
      <c r="F361" s="80">
        <v>10</v>
      </c>
      <c r="G361" s="81" t="s">
        <v>555</v>
      </c>
      <c r="H361" s="86" t="str">
        <f>IF(A361="","",IF(INDEX(EXTRATO!$F$2:$F$3000,MATCH($A361,EXTRATO!$A$2:$A$3000,0))="","",INDEX(EXTRATO!$F$2:$F$3000,MATCH($A361,EXTRATO!$A$2:$A$3000,0))))</f>
        <v>SAÍDA</v>
      </c>
      <c r="I361" s="88" t="str">
        <f>IF(A361="","",IF(INDEX(EXTRATO!$H$2:$H$3000,MATCH($A361,EXTRATO!$A$2:$A$3000,0))="","",INDEX(EXTRATO!$H$2:$H$3000,MATCH($A361,EXTRATO!$A$2:$A$3000,0))))</f>
        <v>TARIFA PIX</v>
      </c>
      <c r="J361" s="86" t="s">
        <v>1313</v>
      </c>
      <c r="K361" s="86" t="str">
        <f>IF(AND(A361="",D361="",E361="",F361=""),"",IF(D361="","SEM CATEGORIA",IF(E361="","SEM SUBCATEGORIA",IF(COUNTIFS(CADASTROS!$L$7:$L$93,D361,CADASTROS!$D$7:$D$93,E361)=0,"INCOMPATÍVEL","OK"))))</f>
        <v>OK</v>
      </c>
    </row>
    <row r="362" spans="1:11" ht="30" hidden="1" customHeight="1" x14ac:dyDescent="0.25">
      <c r="A362" s="86" t="s">
        <v>1732</v>
      </c>
      <c r="B362" s="85">
        <f>IF(A362="","",IF(INDEX(EXTRATO!$C$2:$C$3000,MATCH($A362,EXTRATO!$A$2:$A$3000,0))="","",INDEX(EXTRATO!$C$2:$C$3000,MATCH($A362,EXTRATO!$A$2:$A$3000,0))))</f>
        <v>46106</v>
      </c>
      <c r="C362" s="86">
        <f t="shared" si="5"/>
        <v>3</v>
      </c>
      <c r="D362" s="81" t="s">
        <v>1330</v>
      </c>
      <c r="E362" s="79" t="s">
        <v>1673</v>
      </c>
      <c r="F362" s="80">
        <v>101.88</v>
      </c>
      <c r="G362" s="81" t="s">
        <v>571</v>
      </c>
      <c r="H362" s="86" t="str">
        <f>IF(A362="","",IF(INDEX(EXTRATO!$F$2:$F$3000,MATCH($A362,EXTRATO!$A$2:$A$3000,0))="","",INDEX(EXTRATO!$F$2:$F$3000,MATCH($A362,EXTRATO!$A$2:$A$3000,0))))</f>
        <v>SAÍDA</v>
      </c>
      <c r="I362" s="88" t="str">
        <f>IF(A362="","",IF(INDEX(EXTRATO!$H$2:$H$3000,MATCH($A362,EXTRATO!$A$2:$A$3000,0))="","",INDEX(EXTRATO!$H$2:$H$3000,MATCH($A362,EXTRATO!$A$2:$A$3000,0))))</f>
        <v>NADJA KARINA BUNA ASSSUNCA</v>
      </c>
      <c r="J362" s="86" t="s">
        <v>1313</v>
      </c>
      <c r="K362" s="86" t="str">
        <f>IF(AND(A362="",D362="",E362="",F362=""),"",IF(D362="","SEM CATEGORIA",IF(E362="","SEM SUBCATEGORIA",IF(COUNTIFS(CADASTROS!$L$7:$L$93,D362,CADASTROS!$D$7:$D$93,E362)=0,"INCOMPATÍVEL","OK"))))</f>
        <v>OK</v>
      </c>
    </row>
    <row r="363" spans="1:11" ht="30" hidden="1" customHeight="1" x14ac:dyDescent="0.25">
      <c r="A363" s="86" t="s">
        <v>1733</v>
      </c>
      <c r="B363" s="85">
        <f>IF(A363="","",IF(INDEX(EXTRATO!$C$2:$C$3000,MATCH($A363,EXTRATO!$A$2:$A$3000,0))="","",INDEX(EXTRATO!$C$2:$C$3000,MATCH($A363,EXTRATO!$A$2:$A$3000,0))))</f>
        <v>46107</v>
      </c>
      <c r="C363" s="86">
        <f t="shared" si="5"/>
        <v>3</v>
      </c>
      <c r="D363" s="81" t="s">
        <v>1311</v>
      </c>
      <c r="E363" s="79" t="s">
        <v>1312</v>
      </c>
      <c r="F363" s="80">
        <v>1497</v>
      </c>
      <c r="G363" s="81" t="s">
        <v>184</v>
      </c>
      <c r="H363" s="86" t="str">
        <f>IF(A363="","",IF(INDEX(EXTRATO!$F$2:$F$3000,MATCH($A363,EXTRATO!$A$2:$A$3000,0))="","",INDEX(EXTRATO!$F$2:$F$3000,MATCH($A363,EXTRATO!$A$2:$A$3000,0))))</f>
        <v>SAÍDA</v>
      </c>
      <c r="I363" s="88" t="str">
        <f>IF(A363="","",IF(INDEX(EXTRATO!$H$2:$H$3000,MATCH($A363,EXTRATO!$A$2:$A$3000,0))="","",INDEX(EXTRATO!$H$2:$H$3000,MATCH($A363,EXTRATO!$A$2:$A$3000,0))))</f>
        <v>COOP. UNIMED</v>
      </c>
      <c r="J363" s="86" t="s">
        <v>1313</v>
      </c>
      <c r="K363" s="86" t="str">
        <f>IF(AND(A363="",D363="",E363="",F363=""),"",IF(D363="","SEM CATEGORIA",IF(E363="","SEM SUBCATEGORIA",IF(COUNTIFS(CADASTROS!$L$7:$L$93,D363,CADASTROS!$D$7:$D$93,E363)=0,"INCOMPATÍVEL","OK"))))</f>
        <v>OK</v>
      </c>
    </row>
    <row r="364" spans="1:11" ht="30" hidden="1" customHeight="1" x14ac:dyDescent="0.25">
      <c r="A364" s="86" t="s">
        <v>1734</v>
      </c>
      <c r="B364" s="85">
        <f>IF(A364="","",IF(INDEX(EXTRATO!$C$2:$C$3000,MATCH($A364,EXTRATO!$A$2:$A$3000,0))="","",INDEX(EXTRATO!$C$2:$C$3000,MATCH($A364,EXTRATO!$A$2:$A$3000,0))))</f>
        <v>46107</v>
      </c>
      <c r="C364" s="86">
        <f t="shared" si="5"/>
        <v>3</v>
      </c>
      <c r="D364" s="81" t="s">
        <v>1311</v>
      </c>
      <c r="E364" s="79" t="s">
        <v>1312</v>
      </c>
      <c r="F364" s="80">
        <v>590.54</v>
      </c>
      <c r="G364" s="81" t="s">
        <v>561</v>
      </c>
      <c r="H364" s="86" t="str">
        <f>IF(A364="","",IF(INDEX(EXTRATO!$F$2:$F$3000,MATCH($A364,EXTRATO!$A$2:$A$3000,0))="","",INDEX(EXTRATO!$F$2:$F$3000,MATCH($A364,EXTRATO!$A$2:$A$3000,0))))</f>
        <v>SAÍDA</v>
      </c>
      <c r="I364" s="88" t="str">
        <f>IF(A364="","",IF(INDEX(EXTRATO!$H$2:$H$3000,MATCH($A364,EXTRATO!$A$2:$A$3000,0))="","",INDEX(EXTRATO!$H$2:$H$3000,MATCH($A364,EXTRATO!$A$2:$A$3000,0))))</f>
        <v>J SUL DISTRIBUIDORA</v>
      </c>
      <c r="J364" s="86" t="s">
        <v>1313</v>
      </c>
      <c r="K364" s="86" t="str">
        <f>IF(AND(A364="",D364="",E364="",F364=""),"",IF(D364="","SEM CATEGORIA",IF(E364="","SEM SUBCATEGORIA",IF(COUNTIFS(CADASTROS!$L$7:$L$93,D364,CADASTROS!$D$7:$D$93,E364)=0,"INCOMPATÍVEL","OK"))))</f>
        <v>OK</v>
      </c>
    </row>
    <row r="365" spans="1:11" ht="30" hidden="1" customHeight="1" x14ac:dyDescent="0.25">
      <c r="A365" s="86" t="s">
        <v>1735</v>
      </c>
      <c r="B365" s="85">
        <f>IF(A365="","",IF(INDEX(EXTRATO!$C$2:$C$3000,MATCH($A365,EXTRATO!$A$2:$A$3000,0))="","",INDEX(EXTRATO!$C$2:$C$3000,MATCH($A365,EXTRATO!$A$2:$A$3000,0))))</f>
        <v>46111</v>
      </c>
      <c r="C365" s="86">
        <f t="shared" si="5"/>
        <v>3</v>
      </c>
      <c r="D365" s="81" t="s">
        <v>1454</v>
      </c>
      <c r="E365" s="79" t="s">
        <v>1473</v>
      </c>
      <c r="F365" s="80">
        <v>48992.160000000003</v>
      </c>
      <c r="G365" s="81" t="s">
        <v>562</v>
      </c>
      <c r="H365" s="86" t="str">
        <f>IF(A365="","",IF(INDEX(EXTRATO!$F$2:$F$3000,MATCH($A365,EXTRATO!$A$2:$A$3000,0))="","",INDEX(EXTRATO!$F$2:$F$3000,MATCH($A365,EXTRATO!$A$2:$A$3000,0))))</f>
        <v>SAÍDA</v>
      </c>
      <c r="I365" s="88" t="str">
        <f>IF(A365="","",IF(INDEX(EXTRATO!$H$2:$H$3000,MATCH($A365,EXTRATO!$A$2:$A$3000,0))="","",INDEX(EXTRATO!$H$2:$H$3000,MATCH($A365,EXTRATO!$A$2:$A$3000,0))))</f>
        <v>NIPRO</v>
      </c>
      <c r="J365" s="86" t="s">
        <v>1313</v>
      </c>
      <c r="K365" s="86" t="str">
        <f>IF(AND(A365="",D365="",E365="",F365=""),"",IF(D365="","SEM CATEGORIA",IF(E365="","SEM SUBCATEGORIA",IF(COUNTIFS(CADASTROS!$L$7:$L$93,D365,CADASTROS!$D$7:$D$93,E365)=0,"INCOMPATÍVEL","OK"))))</f>
        <v>OK</v>
      </c>
    </row>
    <row r="366" spans="1:11" ht="30" hidden="1" customHeight="1" x14ac:dyDescent="0.25">
      <c r="A366" s="86" t="s">
        <v>1736</v>
      </c>
      <c r="B366" s="85">
        <f>IF(A366="","",IF(INDEX(EXTRATO!$C$2:$C$3000,MATCH($A366,EXTRATO!$A$2:$A$3000,0))="","",INDEX(EXTRATO!$C$2:$C$3000,MATCH($A366,EXTRATO!$A$2:$A$3000,0))))</f>
        <v>46111</v>
      </c>
      <c r="C366" s="86">
        <f t="shared" si="5"/>
        <v>3</v>
      </c>
      <c r="D366" s="81" t="s">
        <v>1454</v>
      </c>
      <c r="E366" s="79" t="s">
        <v>1473</v>
      </c>
      <c r="F366" s="80">
        <v>9331.84</v>
      </c>
      <c r="G366" s="81" t="s">
        <v>563</v>
      </c>
      <c r="H366" s="86" t="str">
        <f>IF(A366="","",IF(INDEX(EXTRATO!$F$2:$F$3000,MATCH($A366,EXTRATO!$A$2:$A$3000,0))="","",INDEX(EXTRATO!$F$2:$F$3000,MATCH($A366,EXTRATO!$A$2:$A$3000,0))))</f>
        <v>SAÍDA</v>
      </c>
      <c r="I366" s="88" t="str">
        <f>IF(A366="","",IF(INDEX(EXTRATO!$H$2:$H$3000,MATCH($A366,EXTRATO!$A$2:$A$3000,0))="","",INDEX(EXTRATO!$H$2:$H$3000,MATCH($A366,EXTRATO!$A$2:$A$3000,0))))</f>
        <v>NIPRO</v>
      </c>
      <c r="J366" s="86" t="s">
        <v>1313</v>
      </c>
      <c r="K366" s="86" t="str">
        <f>IF(AND(A366="",D366="",E366="",F366=""),"",IF(D366="","SEM CATEGORIA",IF(E366="","SEM SUBCATEGORIA",IF(COUNTIFS(CADASTROS!$L$7:$L$93,D366,CADASTROS!$D$7:$D$93,E366)=0,"INCOMPATÍVEL","OK"))))</f>
        <v>OK</v>
      </c>
    </row>
    <row r="367" spans="1:11" ht="30" hidden="1" customHeight="1" x14ac:dyDescent="0.25">
      <c r="A367" s="86" t="s">
        <v>1737</v>
      </c>
      <c r="B367" s="85">
        <f>IF(A367="","",IF(INDEX(EXTRATO!$C$2:$C$3000,MATCH($A367,EXTRATO!$A$2:$A$3000,0))="","",INDEX(EXTRATO!$C$2:$C$3000,MATCH($A367,EXTRATO!$A$2:$A$3000,0))))</f>
        <v>46111</v>
      </c>
      <c r="C367" s="86">
        <f t="shared" si="5"/>
        <v>3</v>
      </c>
      <c r="D367" s="81" t="s">
        <v>1311</v>
      </c>
      <c r="E367" s="79" t="s">
        <v>1342</v>
      </c>
      <c r="F367" s="80">
        <v>2200</v>
      </c>
      <c r="G367" s="81" t="s">
        <v>564</v>
      </c>
      <c r="H367" s="86" t="str">
        <f>IF(A367="","",IF(INDEX(EXTRATO!$F$2:$F$3000,MATCH($A367,EXTRATO!$A$2:$A$3000,0))="","",INDEX(EXTRATO!$F$2:$F$3000,MATCH($A367,EXTRATO!$A$2:$A$3000,0))))</f>
        <v>SAÍDA</v>
      </c>
      <c r="I367" s="88" t="str">
        <f>IF(A367="","",IF(INDEX(EXTRATO!$H$2:$H$3000,MATCH($A367,EXTRATO!$A$2:$A$3000,0))="","",INDEX(EXTRATO!$H$2:$H$3000,MATCH($A367,EXTRATO!$A$2:$A$3000,0))))</f>
        <v>DIALISE COMERCIO</v>
      </c>
      <c r="J367" s="86" t="s">
        <v>1313</v>
      </c>
      <c r="K367" s="86" t="str">
        <f>IF(AND(A367="",D367="",E367="",F367=""),"",IF(D367="","SEM CATEGORIA",IF(E367="","SEM SUBCATEGORIA",IF(COUNTIFS(CADASTROS!$L$7:$L$93,D367,CADASTROS!$D$7:$D$93,E367)=0,"INCOMPATÍVEL","OK"))))</f>
        <v>OK</v>
      </c>
    </row>
    <row r="368" spans="1:11" ht="30" hidden="1" customHeight="1" x14ac:dyDescent="0.25">
      <c r="A368" s="86" t="s">
        <v>1738</v>
      </c>
      <c r="B368" s="85">
        <f>IF(A368="","",IF(INDEX(EXTRATO!$C$2:$C$3000,MATCH($A368,EXTRATO!$A$2:$A$3000,0))="","",INDEX(EXTRATO!$C$2:$C$3000,MATCH($A368,EXTRATO!$A$2:$A$3000,0))))</f>
        <v>46111</v>
      </c>
      <c r="C368" s="86">
        <f t="shared" si="5"/>
        <v>3</v>
      </c>
      <c r="D368" s="81" t="s">
        <v>1370</v>
      </c>
      <c r="E368" s="79" t="s">
        <v>1371</v>
      </c>
      <c r="F368" s="80">
        <v>1000</v>
      </c>
      <c r="G368" s="81" t="s">
        <v>566</v>
      </c>
      <c r="H368" s="86" t="str">
        <f>IF(A368="","",IF(INDEX(EXTRATO!$F$2:$F$3000,MATCH($A368,EXTRATO!$A$2:$A$3000,0))="","",INDEX(EXTRATO!$F$2:$F$3000,MATCH($A368,EXTRATO!$A$2:$A$3000,0))))</f>
        <v>SAÍDA</v>
      </c>
      <c r="I368" s="88" t="str">
        <f>IF(A368="","",IF(INDEX(EXTRATO!$H$2:$H$3000,MATCH($A368,EXTRATO!$A$2:$A$3000,0))="","",INDEX(EXTRATO!$H$2:$H$3000,MATCH($A368,EXTRATO!$A$2:$A$3000,0))))</f>
        <v>J PAULINO DA SILVA</v>
      </c>
      <c r="J368" s="86" t="s">
        <v>1313</v>
      </c>
      <c r="K368" s="86" t="str">
        <f>IF(AND(A368="",D368="",E368="",F368=""),"",IF(D368="","SEM CATEGORIA",IF(E368="","SEM SUBCATEGORIA",IF(COUNTIFS(CADASTROS!$L$7:$L$93,D368,CADASTROS!$D$7:$D$93,E368)=0,"INCOMPATÍVEL","OK"))))</f>
        <v>OK</v>
      </c>
    </row>
    <row r="369" spans="1:11" ht="30" hidden="1" customHeight="1" x14ac:dyDescent="0.25">
      <c r="A369" s="86" t="s">
        <v>1739</v>
      </c>
      <c r="B369" s="85">
        <f>IF(A369="","",IF(INDEX(EXTRATO!$C$2:$C$3000,MATCH($A369,EXTRATO!$A$2:$A$3000,0))="","",INDEX(EXTRATO!$C$2:$C$3000,MATCH($A369,EXTRATO!$A$2:$A$3000,0))))</f>
        <v>46111</v>
      </c>
      <c r="C369" s="86">
        <f t="shared" si="5"/>
        <v>3</v>
      </c>
      <c r="D369" s="81" t="s">
        <v>1370</v>
      </c>
      <c r="E369" s="79" t="s">
        <v>1742</v>
      </c>
      <c r="F369" s="80">
        <v>404.38</v>
      </c>
      <c r="G369" s="81" t="s">
        <v>568</v>
      </c>
      <c r="H369" s="86" t="str">
        <f>IF(A369="","",IF(INDEX(EXTRATO!$F$2:$F$3000,MATCH($A369,EXTRATO!$A$2:$A$3000,0))="","",INDEX(EXTRATO!$F$2:$F$3000,MATCH($A369,EXTRATO!$A$2:$A$3000,0))))</f>
        <v>SAÍDA</v>
      </c>
      <c r="I369" s="88" t="str">
        <f>IF(A369="","",IF(INDEX(EXTRATO!$H$2:$H$3000,MATCH($A369,EXTRATO!$A$2:$A$3000,0))="","",INDEX(EXTRATO!$H$2:$H$3000,MATCH($A369,EXTRATO!$A$2:$A$3000,0))))</f>
        <v>POSTO MAGNOLIA</v>
      </c>
      <c r="J369" s="86" t="s">
        <v>1313</v>
      </c>
      <c r="K369" s="86" t="str">
        <f>IF(AND(A369="",D369="",E369="",F369=""),"",IF(D369="","SEM CATEGORIA",IF(E369="","SEM SUBCATEGORIA",IF(COUNTIFS(CADASTROS!$L$7:$L$93,D369,CADASTROS!$D$7:$D$93,E369)=0,"INCOMPATÍVEL","OK"))))</f>
        <v>OK</v>
      </c>
    </row>
    <row r="370" spans="1:11" ht="30" hidden="1" customHeight="1" x14ac:dyDescent="0.25">
      <c r="A370" s="86" t="s">
        <v>1740</v>
      </c>
      <c r="B370" s="85">
        <f>IF(A370="","",IF(INDEX(EXTRATO!$C$2:$C$3000,MATCH($A370,EXTRATO!$A$2:$A$3000,0))="","",INDEX(EXTRATO!$C$2:$C$3000,MATCH($A370,EXTRATO!$A$2:$A$3000,0))))</f>
        <v>46111</v>
      </c>
      <c r="C370" s="86">
        <f t="shared" si="5"/>
        <v>3</v>
      </c>
      <c r="D370" s="81" t="s">
        <v>1330</v>
      </c>
      <c r="E370" s="79" t="s">
        <v>1352</v>
      </c>
      <c r="F370" s="80">
        <v>4</v>
      </c>
      <c r="G370" s="81" t="s">
        <v>555</v>
      </c>
      <c r="H370" s="86" t="str">
        <f>IF(A370="","",IF(INDEX(EXTRATO!$F$2:$F$3000,MATCH($A370,EXTRATO!$A$2:$A$3000,0))="","",INDEX(EXTRATO!$F$2:$F$3000,MATCH($A370,EXTRATO!$A$2:$A$3000,0))))</f>
        <v>SAÍDA</v>
      </c>
      <c r="I370" s="88" t="str">
        <f>IF(A370="","",IF(INDEX(EXTRATO!$H$2:$H$3000,MATCH($A370,EXTRATO!$A$2:$A$3000,0))="","",INDEX(EXTRATO!$H$2:$H$3000,MATCH($A370,EXTRATO!$A$2:$A$3000,0))))</f>
        <v>TARIFA PIX</v>
      </c>
      <c r="J370" s="86" t="s">
        <v>1313</v>
      </c>
      <c r="K370" s="86" t="str">
        <f>IF(AND(A370="",D370="",E370="",F370=""),"",IF(D370="","SEM CATEGORIA",IF(E370="","SEM SUBCATEGORIA",IF(COUNTIFS(CADASTROS!$L$7:$L$93,D370,CADASTROS!$D$7:$D$93,E370)=0,"INCOMPATÍVEL","OK"))))</f>
        <v>OK</v>
      </c>
    </row>
    <row r="371" spans="1:11" ht="30" hidden="1" customHeight="1" x14ac:dyDescent="0.25">
      <c r="A371" s="86" t="s">
        <v>1741</v>
      </c>
      <c r="B371" s="85">
        <f>IF(A371="","",IF(INDEX(EXTRATO!$C$2:$C$3000,MATCH($A371,EXTRATO!$A$2:$A$3000,0))="","",INDEX(EXTRATO!$C$2:$C$3000,MATCH($A371,EXTRATO!$A$2:$A$3000,0))))</f>
        <v>46113</v>
      </c>
      <c r="C371" s="86">
        <f t="shared" si="5"/>
        <v>4</v>
      </c>
      <c r="D371" s="81" t="s">
        <v>1454</v>
      </c>
      <c r="E371" s="79" t="s">
        <v>2760</v>
      </c>
      <c r="F371" s="80">
        <v>4674.9799999999996</v>
      </c>
      <c r="G371" s="81" t="s">
        <v>572</v>
      </c>
      <c r="H371" s="86" t="str">
        <f>IF(A371="","",IF(INDEX(EXTRATO!$F$2:$F$3000,MATCH($A371,EXTRATO!$A$2:$A$3000,0))="","",INDEX(EXTRATO!$F$2:$F$3000,MATCH($A371,EXTRATO!$A$2:$A$3000,0))))</f>
        <v>SAÍDA</v>
      </c>
      <c r="I371" s="88" t="str">
        <f>IF(A371="","",IF(INDEX(EXTRATO!$H$2:$H$3000,MATCH($A371,EXTRATO!$A$2:$A$3000,0))="","",INDEX(EXTRATO!$H$2:$H$3000,MATCH($A371,EXTRATO!$A$2:$A$3000,0))))</f>
        <v>HERVAL NORDESTE E INDUSTRIA DE MOVEIS, COLCHOES E ESPUMAS</v>
      </c>
      <c r="J371" s="86" t="s">
        <v>1313</v>
      </c>
      <c r="K371" s="86" t="str">
        <f>IF(AND(A371="",D371="",E371="",F371=""),"",IF(D371="","SEM CATEGORIA",IF(E371="","SEM SUBCATEGORIA",IF(COUNTIFS(CADASTROS!$L$7:$L$93,D371,CADASTROS!$D$7:$D$93,E371)=0,"INCOMPATÍVEL","OK"))))</f>
        <v>OK</v>
      </c>
    </row>
    <row r="372" spans="1:11" ht="30" hidden="1" customHeight="1" x14ac:dyDescent="0.25">
      <c r="A372" s="86" t="s">
        <v>1743</v>
      </c>
      <c r="B372" s="85">
        <f>IF(A372="","",IF(INDEX(EXTRATO!$C$2:$C$3000,MATCH($A372,EXTRATO!$A$2:$A$3000,0))="","",INDEX(EXTRATO!$C$2:$C$3000,MATCH($A372,EXTRATO!$A$2:$A$3000,0))))</f>
        <v>46113</v>
      </c>
      <c r="C372" s="86">
        <f t="shared" si="5"/>
        <v>4</v>
      </c>
      <c r="D372" s="81" t="s">
        <v>1311</v>
      </c>
      <c r="E372" s="79" t="s">
        <v>1376</v>
      </c>
      <c r="F372" s="80">
        <v>3232.5</v>
      </c>
      <c r="G372" s="81" t="s">
        <v>575</v>
      </c>
      <c r="H372" s="86" t="str">
        <f>IF(A372="","",IF(INDEX(EXTRATO!$F$2:$F$3000,MATCH($A372,EXTRATO!$A$2:$A$3000,0))="","",INDEX(EXTRATO!$F$2:$F$3000,MATCH($A372,EXTRATO!$A$2:$A$3000,0))))</f>
        <v>SAÍDA</v>
      </c>
      <c r="I372" s="88" t="str">
        <f>IF(A372="","",IF(INDEX(EXTRATO!$H$2:$H$3000,MATCH($A372,EXTRATO!$A$2:$A$3000,0))="","",INDEX(EXTRATO!$H$2:$H$3000,MATCH($A372,EXTRATO!$A$2:$A$3000,0))))</f>
        <v>NIPRO</v>
      </c>
      <c r="J372" s="86" t="s">
        <v>1313</v>
      </c>
      <c r="K372" s="86" t="str">
        <f>IF(AND(A372="",D372="",E372="",F372=""),"",IF(D372="","SEM CATEGORIA",IF(E372="","SEM SUBCATEGORIA",IF(COUNTIFS(CADASTROS!$L$7:$L$93,D372,CADASTROS!$D$7:$D$93,E372)=0,"INCOMPATÍVEL","OK"))))</f>
        <v>OK</v>
      </c>
    </row>
    <row r="373" spans="1:11" ht="30" hidden="1" customHeight="1" x14ac:dyDescent="0.25">
      <c r="A373" s="86" t="s">
        <v>1744</v>
      </c>
      <c r="B373" s="85">
        <f>IF(A373="","",IF(INDEX(EXTRATO!$C$2:$C$3000,MATCH($A373,EXTRATO!$A$2:$A$3000,0))="","",INDEX(EXTRATO!$C$2:$C$3000,MATCH($A373,EXTRATO!$A$2:$A$3000,0))))</f>
        <v>46113</v>
      </c>
      <c r="C373" s="86">
        <f t="shared" si="5"/>
        <v>4</v>
      </c>
      <c r="D373" s="81" t="s">
        <v>1311</v>
      </c>
      <c r="E373" s="79" t="s">
        <v>1318</v>
      </c>
      <c r="F373" s="80">
        <v>1360</v>
      </c>
      <c r="G373" s="81" t="s">
        <v>1750</v>
      </c>
      <c r="H373" s="86" t="str">
        <f>IF(A373="","",IF(INDEX(EXTRATO!$F$2:$F$3000,MATCH($A373,EXTRATO!$A$2:$A$3000,0))="","",INDEX(EXTRATO!$F$2:$F$3000,MATCH($A373,EXTRATO!$A$2:$A$3000,0))))</f>
        <v>SAÍDA</v>
      </c>
      <c r="I373" s="88" t="str">
        <f>IF(A373="","",IF(INDEX(EXTRATO!$H$2:$H$3000,MATCH($A373,EXTRATO!$A$2:$A$3000,0))="","",INDEX(EXTRATO!$H$2:$H$3000,MATCH($A373,EXTRATO!$A$2:$A$3000,0))))</f>
        <v>BIOCOMPANY</v>
      </c>
      <c r="J373" s="86" t="s">
        <v>1313</v>
      </c>
      <c r="K373" s="86" t="str">
        <f>IF(AND(A373="",D373="",E373="",F373=""),"",IF(D373="","SEM CATEGORIA",IF(E373="","SEM SUBCATEGORIA",IF(COUNTIFS(CADASTROS!$L$7:$L$93,D373,CADASTROS!$D$7:$D$93,E373)=0,"INCOMPATÍVEL","OK"))))</f>
        <v>OK</v>
      </c>
    </row>
    <row r="374" spans="1:11" ht="30" hidden="1" customHeight="1" x14ac:dyDescent="0.25">
      <c r="A374" s="86" t="s">
        <v>1744</v>
      </c>
      <c r="B374" s="85">
        <f>IF(A374="","",IF(INDEX(EXTRATO!$C$2:$C$3000,MATCH($A374,EXTRATO!$A$2:$A$3000,0))="","",INDEX(EXTRATO!$C$2:$C$3000,MATCH($A374,EXTRATO!$A$2:$A$3000,0))))</f>
        <v>46113</v>
      </c>
      <c r="C374" s="86">
        <f t="shared" si="5"/>
        <v>4</v>
      </c>
      <c r="D374" s="81" t="s">
        <v>1311</v>
      </c>
      <c r="E374" s="79" t="s">
        <v>1312</v>
      </c>
      <c r="F374" s="80">
        <v>328</v>
      </c>
      <c r="G374" s="81" t="s">
        <v>1751</v>
      </c>
      <c r="H374" s="86" t="str">
        <f>IF(A374="","",IF(INDEX(EXTRATO!$F$2:$F$3000,MATCH($A374,EXTRATO!$A$2:$A$3000,0))="","",INDEX(EXTRATO!$F$2:$F$3000,MATCH($A374,EXTRATO!$A$2:$A$3000,0))))</f>
        <v>SAÍDA</v>
      </c>
      <c r="I374" s="88" t="str">
        <f>IF(A374="","",IF(INDEX(EXTRATO!$H$2:$H$3000,MATCH($A374,EXTRATO!$A$2:$A$3000,0))="","",INDEX(EXTRATO!$H$2:$H$3000,MATCH($A374,EXTRATO!$A$2:$A$3000,0))))</f>
        <v>BIOCOMPANY</v>
      </c>
      <c r="J374" s="86" t="s">
        <v>1313</v>
      </c>
      <c r="K374" s="86" t="str">
        <f>IF(AND(A374="",D374="",E374="",F374=""),"",IF(D374="","SEM CATEGORIA",IF(E374="","SEM SUBCATEGORIA",IF(COUNTIFS(CADASTROS!$L$7:$L$93,D374,CADASTROS!$D$7:$D$93,E374)=0,"INCOMPATÍVEL","OK"))))</f>
        <v>OK</v>
      </c>
    </row>
    <row r="375" spans="1:11" ht="30" hidden="1" customHeight="1" x14ac:dyDescent="0.25">
      <c r="A375" s="86" t="s">
        <v>1745</v>
      </c>
      <c r="B375" s="85">
        <f>IF(A375="","",IF(INDEX(EXTRATO!$C$2:$C$3000,MATCH($A375,EXTRATO!$A$2:$A$3000,0))="","",INDEX(EXTRATO!$C$2:$C$3000,MATCH($A375,EXTRATO!$A$2:$A$3000,0))))</f>
        <v>46114</v>
      </c>
      <c r="C375" s="86">
        <f t="shared" si="5"/>
        <v>4</v>
      </c>
      <c r="D375" s="81" t="s">
        <v>1415</v>
      </c>
      <c r="E375" s="79" t="s">
        <v>1425</v>
      </c>
      <c r="F375" s="80">
        <v>3800</v>
      </c>
      <c r="G375" s="14" t="s">
        <v>2766</v>
      </c>
      <c r="H375" s="86" t="str">
        <f>IF(A375="","",IF(INDEX(EXTRATO!$F$2:$F$3000,MATCH($A375,EXTRATO!$A$2:$A$3000,0))="","",INDEX(EXTRATO!$F$2:$F$3000,MATCH($A375,EXTRATO!$A$2:$A$3000,0))))</f>
        <v>SAÍDA</v>
      </c>
      <c r="I375" s="88" t="str">
        <f>IF(A375="","",IF(INDEX(EXTRATO!$H$2:$H$3000,MATCH($A375,EXTRATO!$A$2:$A$3000,0))="","",INDEX(EXTRATO!$H$2:$H$3000,MATCH($A375,EXTRATO!$A$2:$A$3000,0))))</f>
        <v>CASAMATER</v>
      </c>
      <c r="J375" s="86" t="s">
        <v>1313</v>
      </c>
      <c r="K375" s="86" t="str">
        <f>IF(AND(A375="",D375="",E375="",F375=""),"",IF(D375="","SEM CATEGORIA",IF(E375="","SEM SUBCATEGORIA",IF(COUNTIFS(CADASTROS!$L$7:$L$93,D375,CADASTROS!$D$7:$D$93,E375)=0,"INCOMPATÍVEL","OK"))))</f>
        <v>OK</v>
      </c>
    </row>
    <row r="376" spans="1:11" ht="30" hidden="1" customHeight="1" x14ac:dyDescent="0.25">
      <c r="A376" s="86" t="s">
        <v>1746</v>
      </c>
      <c r="B376" s="85">
        <f>IF(A376="","",IF(INDEX(EXTRATO!$C$2:$C$3000,MATCH($A376,EXTRATO!$A$2:$A$3000,0))="","",INDEX(EXTRATO!$C$2:$C$3000,MATCH($A376,EXTRATO!$A$2:$A$3000,0))))</f>
        <v>46114</v>
      </c>
      <c r="C376" s="86">
        <f t="shared" si="5"/>
        <v>4</v>
      </c>
      <c r="D376" s="81" t="s">
        <v>1330</v>
      </c>
      <c r="E376" s="79" t="s">
        <v>1379</v>
      </c>
      <c r="F376" s="80">
        <v>2938.4</v>
      </c>
      <c r="G376" s="81" t="s">
        <v>254</v>
      </c>
      <c r="H376" s="86" t="str">
        <f>IF(A376="","",IF(INDEX(EXTRATO!$F$2:$F$3000,MATCH($A376,EXTRATO!$A$2:$A$3000,0))="","",INDEX(EXTRATO!$F$2:$F$3000,MATCH($A376,EXTRATO!$A$2:$A$3000,0))))</f>
        <v>SAÍDA</v>
      </c>
      <c r="I376" s="88" t="str">
        <f>IF(A376="","",IF(INDEX(EXTRATO!$H$2:$H$3000,MATCH($A376,EXTRATO!$A$2:$A$3000,0))="","",INDEX(EXTRATO!$H$2:$H$3000,MATCH($A376,EXTRATO!$A$2:$A$3000,0))))</f>
        <v>NEPHROSYS SUPORTE E MANUTENÇÃO</v>
      </c>
      <c r="J376" s="86" t="s">
        <v>1313</v>
      </c>
      <c r="K376" s="86" t="str">
        <f>IF(AND(A376="",D376="",E376="",F376=""),"",IF(D376="","SEM CATEGORIA",IF(E376="","SEM SUBCATEGORIA",IF(COUNTIFS(CADASTROS!$L$7:$L$93,D376,CADASTROS!$D$7:$D$93,E376)=0,"INCOMPATÍVEL","OK"))))</f>
        <v>OK</v>
      </c>
    </row>
    <row r="377" spans="1:11" ht="30" hidden="1" customHeight="1" x14ac:dyDescent="0.25">
      <c r="A377" s="86" t="s">
        <v>1747</v>
      </c>
      <c r="B377" s="85">
        <f>IF(A377="","",IF(INDEX(EXTRATO!$C$2:$C$3000,MATCH($A377,EXTRATO!$A$2:$A$3000,0))="","",INDEX(EXTRATO!$C$2:$C$3000,MATCH($A377,EXTRATO!$A$2:$A$3000,0))))</f>
        <v>46114</v>
      </c>
      <c r="C377" s="86">
        <f t="shared" si="5"/>
        <v>4</v>
      </c>
      <c r="D377" s="81" t="s">
        <v>1349</v>
      </c>
      <c r="E377" s="79" t="s">
        <v>1411</v>
      </c>
      <c r="F377" s="80">
        <v>841.5</v>
      </c>
      <c r="G377" s="81" t="s">
        <v>580</v>
      </c>
      <c r="H377" s="86" t="str">
        <f>IF(A377="","",IF(INDEX(EXTRATO!$F$2:$F$3000,MATCH($A377,EXTRATO!$A$2:$A$3000,0))="","",INDEX(EXTRATO!$F$2:$F$3000,MATCH($A377,EXTRATO!$A$2:$A$3000,0))))</f>
        <v>SAÍDA</v>
      </c>
      <c r="I377" s="88" t="str">
        <f>IF(A377="","",IF(INDEX(EXTRATO!$H$2:$H$3000,MATCH($A377,EXTRATO!$A$2:$A$3000,0))="","",INDEX(EXTRATO!$H$2:$H$3000,MATCH($A377,EXTRATO!$A$2:$A$3000,0))))</f>
        <v>EXPRESSO RODOVIÁRIO</v>
      </c>
      <c r="J377" s="86" t="s">
        <v>1313</v>
      </c>
      <c r="K377" s="86" t="str">
        <f>IF(AND(A377="",D377="",E377="",F377=""),"",IF(D377="","SEM CATEGORIA",IF(E377="","SEM SUBCATEGORIA",IF(COUNTIFS(CADASTROS!$L$7:$L$93,D377,CADASTROS!$D$7:$D$93,E377)=0,"INCOMPATÍVEL","OK"))))</f>
        <v>OK</v>
      </c>
    </row>
    <row r="378" spans="1:11" ht="30" hidden="1" customHeight="1" x14ac:dyDescent="0.25">
      <c r="A378" s="86" t="s">
        <v>1748</v>
      </c>
      <c r="B378" s="85">
        <f>IF(A378="","",IF(INDEX(EXTRATO!$C$2:$C$3000,MATCH($A378,EXTRATO!$A$2:$A$3000,0))="","",INDEX(EXTRATO!$C$2:$C$3000,MATCH($A378,EXTRATO!$A$2:$A$3000,0))))</f>
        <v>46114</v>
      </c>
      <c r="C378" s="86">
        <f t="shared" si="5"/>
        <v>4</v>
      </c>
      <c r="D378" s="81" t="s">
        <v>1311</v>
      </c>
      <c r="E378" s="79" t="s">
        <v>1320</v>
      </c>
      <c r="F378" s="80">
        <v>1530</v>
      </c>
      <c r="G378" s="81" t="s">
        <v>584</v>
      </c>
      <c r="H378" s="86" t="str">
        <f>IF(A378="","",IF(INDEX(EXTRATO!$F$2:$F$3000,MATCH($A378,EXTRATO!$A$2:$A$3000,0))="","",INDEX(EXTRATO!$F$2:$F$3000,MATCH($A378,EXTRATO!$A$2:$A$3000,0))))</f>
        <v>SAÍDA</v>
      </c>
      <c r="I378" s="88" t="str">
        <f>IF(A378="","",IF(INDEX(EXTRATO!$H$2:$H$3000,MATCH($A378,EXTRATO!$A$2:$A$3000,0))="","",INDEX(EXTRATO!$H$2:$H$3000,MATCH($A378,EXTRATO!$A$2:$A$3000,0))))</f>
        <v>DIALISE COMERCIO</v>
      </c>
      <c r="J378" s="86" t="s">
        <v>1313</v>
      </c>
      <c r="K378" s="86" t="str">
        <f>IF(AND(A378="",D378="",E378="",F378=""),"",IF(D378="","SEM CATEGORIA",IF(E378="","SEM SUBCATEGORIA",IF(COUNTIFS(CADASTROS!$L$7:$L$93,D378,CADASTROS!$D$7:$D$93,E378)=0,"INCOMPATÍVEL","OK"))))</f>
        <v>OK</v>
      </c>
    </row>
    <row r="379" spans="1:11" ht="30" hidden="1" customHeight="1" x14ac:dyDescent="0.25">
      <c r="A379" s="86" t="s">
        <v>1749</v>
      </c>
      <c r="B379" s="85">
        <f>IF(A379="","",IF(INDEX(EXTRATO!$C$2:$C$3000,MATCH($A379,EXTRATO!$A$2:$A$3000,0))="","",INDEX(EXTRATO!$C$2:$C$3000,MATCH($A379,EXTRATO!$A$2:$A$3000,0))))</f>
        <v>46114</v>
      </c>
      <c r="C379" s="86">
        <f t="shared" si="5"/>
        <v>4</v>
      </c>
      <c r="D379" s="81" t="s">
        <v>1311</v>
      </c>
      <c r="E379" s="79" t="s">
        <v>1318</v>
      </c>
      <c r="F379" s="80">
        <v>1360</v>
      </c>
      <c r="G379" s="81" t="s">
        <v>1757</v>
      </c>
      <c r="H379" s="86" t="str">
        <f>IF(A379="","",IF(INDEX(EXTRATO!$F$2:$F$3000,MATCH($A379,EXTRATO!$A$2:$A$3000,0))="","",INDEX(EXTRATO!$F$2:$F$3000,MATCH($A379,EXTRATO!$A$2:$A$3000,0))))</f>
        <v>SAÍDA</v>
      </c>
      <c r="I379" s="88" t="str">
        <f>IF(A379="","",IF(INDEX(EXTRATO!$H$2:$H$3000,MATCH($A379,EXTRATO!$A$2:$A$3000,0))="","",INDEX(EXTRATO!$H$2:$H$3000,MATCH($A379,EXTRATO!$A$2:$A$3000,0))))</f>
        <v>BIOCOMPANY</v>
      </c>
      <c r="J379" s="86" t="s">
        <v>1313</v>
      </c>
      <c r="K379" s="86" t="str">
        <f>IF(AND(A379="",D379="",E379="",F379=""),"",IF(D379="","SEM CATEGORIA",IF(E379="","SEM SUBCATEGORIA",IF(COUNTIFS(CADASTROS!$L$7:$L$93,D379,CADASTROS!$D$7:$D$93,E379)=0,"INCOMPATÍVEL","OK"))))</f>
        <v>OK</v>
      </c>
    </row>
    <row r="380" spans="1:11" ht="30" hidden="1" customHeight="1" x14ac:dyDescent="0.25">
      <c r="A380" s="86" t="s">
        <v>1749</v>
      </c>
      <c r="B380" s="85">
        <f>IF(A380="","",IF(INDEX(EXTRATO!$C$2:$C$3000,MATCH($A380,EXTRATO!$A$2:$A$3000,0))="","",INDEX(EXTRATO!$C$2:$C$3000,MATCH($A380,EXTRATO!$A$2:$A$3000,0))))</f>
        <v>46114</v>
      </c>
      <c r="C380" s="86">
        <f t="shared" si="5"/>
        <v>4</v>
      </c>
      <c r="D380" s="81" t="s">
        <v>1311</v>
      </c>
      <c r="E380" s="79" t="s">
        <v>1312</v>
      </c>
      <c r="F380" s="80">
        <v>300</v>
      </c>
      <c r="G380" s="81" t="s">
        <v>1758</v>
      </c>
      <c r="H380" s="86" t="str">
        <f>IF(A380="","",IF(INDEX(EXTRATO!$F$2:$F$3000,MATCH($A380,EXTRATO!$A$2:$A$3000,0))="","",INDEX(EXTRATO!$F$2:$F$3000,MATCH($A380,EXTRATO!$A$2:$A$3000,0))))</f>
        <v>SAÍDA</v>
      </c>
      <c r="I380" s="88" t="str">
        <f>IF(A380="","",IF(INDEX(EXTRATO!$H$2:$H$3000,MATCH($A380,EXTRATO!$A$2:$A$3000,0))="","",INDEX(EXTRATO!$H$2:$H$3000,MATCH($A380,EXTRATO!$A$2:$A$3000,0))))</f>
        <v>BIOCOMPANY</v>
      </c>
      <c r="J380" s="86" t="s">
        <v>1313</v>
      </c>
      <c r="K380" s="86" t="str">
        <f>IF(AND(A380="",D380="",E380="",F380=""),"",IF(D380="","SEM CATEGORIA",IF(E380="","SEM SUBCATEGORIA",IF(COUNTIFS(CADASTROS!$L$7:$L$93,D380,CADASTROS!$D$7:$D$93,E380)=0,"INCOMPATÍVEL","OK"))))</f>
        <v>OK</v>
      </c>
    </row>
    <row r="381" spans="1:11" ht="30" hidden="1" customHeight="1" x14ac:dyDescent="0.25">
      <c r="A381" s="86" t="s">
        <v>1752</v>
      </c>
      <c r="B381" s="85">
        <f>IF(A381="","",IF(INDEX(EXTRATO!$C$2:$C$3000,MATCH($A381,EXTRATO!$A$2:$A$3000,0))="","",INDEX(EXTRATO!$C$2:$C$3000,MATCH($A381,EXTRATO!$A$2:$A$3000,0))))</f>
        <v>46114</v>
      </c>
      <c r="C381" s="86">
        <f t="shared" si="5"/>
        <v>4</v>
      </c>
      <c r="D381" s="81" t="s">
        <v>1311</v>
      </c>
      <c r="E381" s="79" t="s">
        <v>1376</v>
      </c>
      <c r="F381" s="80">
        <v>1722.5</v>
      </c>
      <c r="G381" s="81" t="s">
        <v>586</v>
      </c>
      <c r="H381" s="86" t="str">
        <f>IF(A381="","",IF(INDEX(EXTRATO!$F$2:$F$3000,MATCH($A381,EXTRATO!$A$2:$A$3000,0))="","",INDEX(EXTRATO!$F$2:$F$3000,MATCH($A381,EXTRATO!$A$2:$A$3000,0))))</f>
        <v>SAÍDA</v>
      </c>
      <c r="I381" s="88" t="str">
        <f>IF(A381="","",IF(INDEX(EXTRATO!$H$2:$H$3000,MATCH($A381,EXTRATO!$A$2:$A$3000,0))="","",INDEX(EXTRATO!$H$2:$H$3000,MATCH($A381,EXTRATO!$A$2:$A$3000,0))))</f>
        <v>NIPRO</v>
      </c>
      <c r="J381" s="86" t="s">
        <v>1313</v>
      </c>
      <c r="K381" s="86" t="str">
        <f>IF(AND(A381="",D381="",E381="",F381=""),"",IF(D381="","SEM CATEGORIA",IF(E381="","SEM SUBCATEGORIA",IF(COUNTIFS(CADASTROS!$L$7:$L$93,D381,CADASTROS!$D$7:$D$93,E381)=0,"INCOMPATÍVEL","OK"))))</f>
        <v>OK</v>
      </c>
    </row>
    <row r="382" spans="1:11" ht="30" hidden="1" customHeight="1" x14ac:dyDescent="0.25">
      <c r="A382" s="86" t="s">
        <v>1753</v>
      </c>
      <c r="B382" s="85">
        <f>IF(A382="","",IF(INDEX(EXTRATO!$C$2:$C$3000,MATCH($A382,EXTRATO!$A$2:$A$3000,0))="","",INDEX(EXTRATO!$C$2:$C$3000,MATCH($A382,EXTRATO!$A$2:$A$3000,0))))</f>
        <v>46118</v>
      </c>
      <c r="C382" s="86">
        <f t="shared" si="5"/>
        <v>4</v>
      </c>
      <c r="D382" s="81" t="s">
        <v>1367</v>
      </c>
      <c r="E382" s="79" t="s">
        <v>1479</v>
      </c>
      <c r="F382" s="80">
        <v>72007.08</v>
      </c>
      <c r="G382" s="81" t="s">
        <v>587</v>
      </c>
      <c r="H382" s="86" t="str">
        <f>IF(A382="","",IF(INDEX(EXTRATO!$F$2:$F$3000,MATCH($A382,EXTRATO!$A$2:$A$3000,0))="","",INDEX(EXTRATO!$F$2:$F$3000,MATCH($A382,EXTRATO!$A$2:$A$3000,0))))</f>
        <v>SAÍDA</v>
      </c>
      <c r="I382" s="88" t="str">
        <f>IF(A382="","",IF(INDEX(EXTRATO!$H$2:$H$3000,MATCH($A382,EXTRATO!$A$2:$A$3000,0))="","",INDEX(EXTRATO!$H$2:$H$3000,MATCH($A382,EXTRATO!$A$2:$A$3000,0))))</f>
        <v>FOLHA DE PAGAMENTO</v>
      </c>
      <c r="J382" s="86" t="s">
        <v>1313</v>
      </c>
      <c r="K382" s="86" t="str">
        <f>IF(AND(A382="",D382="",E382="",F382=""),"",IF(D382="","SEM CATEGORIA",IF(E382="","SEM SUBCATEGORIA",IF(COUNTIFS(CADASTROS!$L$7:$L$93,D382,CADASTROS!$D$7:$D$93,E382)=0,"INCOMPATÍVEL","OK"))))</f>
        <v>OK</v>
      </c>
    </row>
    <row r="383" spans="1:11" ht="30" hidden="1" customHeight="1" x14ac:dyDescent="0.25">
      <c r="A383" s="86" t="s">
        <v>1754</v>
      </c>
      <c r="B383" s="85">
        <f>IF(A383="","",IF(INDEX(EXTRATO!$C$2:$C$3000,MATCH($A383,EXTRATO!$A$2:$A$3000,0))="","",INDEX(EXTRATO!$C$2:$C$3000,MATCH($A383,EXTRATO!$A$2:$A$3000,0))))</f>
        <v>46118</v>
      </c>
      <c r="C383" s="86">
        <f t="shared" si="5"/>
        <v>4</v>
      </c>
      <c r="D383" s="81" t="s">
        <v>1330</v>
      </c>
      <c r="E383" s="79" t="s">
        <v>1352</v>
      </c>
      <c r="F383" s="80">
        <v>10850</v>
      </c>
      <c r="G383" s="81" t="s">
        <v>588</v>
      </c>
      <c r="H383" s="86" t="str">
        <f>IF(A383="","",IF(INDEX(EXTRATO!$F$2:$F$3000,MATCH($A383,EXTRATO!$A$2:$A$3000,0))="","",INDEX(EXTRATO!$F$2:$F$3000,MATCH($A383,EXTRATO!$A$2:$A$3000,0))))</f>
        <v>SAÍDA</v>
      </c>
      <c r="I383" s="88" t="str">
        <f>IF(A383="","",IF(INDEX(EXTRATO!$H$2:$H$3000,MATCH($A383,EXTRATO!$A$2:$A$3000,0))="","",INDEX(EXTRATO!$H$2:$H$3000,MATCH($A383,EXTRATO!$A$2:$A$3000,0))))</f>
        <v>BIORENAL LTDA</v>
      </c>
      <c r="J383" s="86" t="s">
        <v>1313</v>
      </c>
      <c r="K383" s="86" t="str">
        <f>IF(AND(A383="",D383="",E383="",F383=""),"",IF(D383="","SEM CATEGORIA",IF(E383="","SEM SUBCATEGORIA",IF(COUNTIFS(CADASTROS!$L$7:$L$93,D383,CADASTROS!$D$7:$D$93,E383)=0,"INCOMPATÍVEL","OK"))))</f>
        <v>OK</v>
      </c>
    </row>
    <row r="384" spans="1:11" ht="30" hidden="1" customHeight="1" x14ac:dyDescent="0.25">
      <c r="A384" s="86" t="s">
        <v>1755</v>
      </c>
      <c r="B384" s="85">
        <f>IF(A384="","",IF(INDEX(EXTRATO!$C$2:$C$3000,MATCH($A384,EXTRATO!$A$2:$A$3000,0))="","",INDEX(EXTRATO!$C$2:$C$3000,MATCH($A384,EXTRATO!$A$2:$A$3000,0))))</f>
        <v>46118</v>
      </c>
      <c r="C384" s="86">
        <f t="shared" si="5"/>
        <v>4</v>
      </c>
      <c r="D384" s="81" t="s">
        <v>1370</v>
      </c>
      <c r="E384" s="79" t="s">
        <v>1371</v>
      </c>
      <c r="F384" s="80">
        <v>238.07</v>
      </c>
      <c r="G384" s="81" t="s">
        <v>590</v>
      </c>
      <c r="H384" s="86" t="str">
        <f>IF(A384="","",IF(INDEX(EXTRATO!$F$2:$F$3000,MATCH($A384,EXTRATO!$A$2:$A$3000,0))="","",INDEX(EXTRATO!$F$2:$F$3000,MATCH($A384,EXTRATO!$A$2:$A$3000,0))))</f>
        <v>SAÍDA</v>
      </c>
      <c r="I384" s="88" t="str">
        <f>IF(A384="","",IF(INDEX(EXTRATO!$H$2:$H$3000,MATCH($A384,EXTRATO!$A$2:$A$3000,0))="","",INDEX(EXTRATO!$H$2:$H$3000,MATCH($A384,EXTRATO!$A$2:$A$3000,0))))</f>
        <v>MARKETPLACE MERCADO LIVRE</v>
      </c>
      <c r="J384" s="86" t="s">
        <v>1313</v>
      </c>
      <c r="K384" s="86" t="str">
        <f>IF(AND(A384="",D384="",E384="",F384=""),"",IF(D384="","SEM CATEGORIA",IF(E384="","SEM SUBCATEGORIA",IF(COUNTIFS(CADASTROS!$L$7:$L$93,D384,CADASTROS!$D$7:$D$93,E384)=0,"INCOMPATÍVEL","OK"))))</f>
        <v>OK</v>
      </c>
    </row>
    <row r="385" spans="1:11" ht="30" hidden="1" customHeight="1" x14ac:dyDescent="0.25">
      <c r="A385" s="86" t="s">
        <v>1756</v>
      </c>
      <c r="B385" s="85">
        <f>IF(A385="","",IF(INDEX(EXTRATO!$C$2:$C$3000,MATCH($A385,EXTRATO!$A$2:$A$3000,0))="","",INDEX(EXTRATO!$C$2:$C$3000,MATCH($A385,EXTRATO!$A$2:$A$3000,0))))</f>
        <v>46118</v>
      </c>
      <c r="C385" s="86">
        <f t="shared" si="5"/>
        <v>4</v>
      </c>
      <c r="D385" s="81" t="s">
        <v>1311</v>
      </c>
      <c r="E385" s="79" t="s">
        <v>1312</v>
      </c>
      <c r="F385" s="80">
        <v>335</v>
      </c>
      <c r="G385" s="81" t="s">
        <v>592</v>
      </c>
      <c r="H385" s="86" t="str">
        <f>IF(A385="","",IF(INDEX(EXTRATO!$F$2:$F$3000,MATCH($A385,EXTRATO!$A$2:$A$3000,0))="","",INDEX(EXTRATO!$F$2:$F$3000,MATCH($A385,EXTRATO!$A$2:$A$3000,0))))</f>
        <v>SAÍDA</v>
      </c>
      <c r="I385" s="88" t="str">
        <f>IF(A385="","",IF(INDEX(EXTRATO!$H$2:$H$3000,MATCH($A385,EXTRATO!$A$2:$A$3000,0))="","",INDEX(EXTRATO!$H$2:$H$3000,MATCH($A385,EXTRATO!$A$2:$A$3000,0))))</f>
        <v>VIVER BEM PRIME</v>
      </c>
      <c r="J385" s="86" t="s">
        <v>1313</v>
      </c>
      <c r="K385" s="86" t="str">
        <f>IF(AND(A385="",D385="",E385="",F385=""),"",IF(D385="","SEM CATEGORIA",IF(E385="","SEM SUBCATEGORIA",IF(COUNTIFS(CADASTROS!$L$7:$L$93,D385,CADASTROS!$D$7:$D$93,E385)=0,"INCOMPATÍVEL","OK"))))</f>
        <v>OK</v>
      </c>
    </row>
    <row r="386" spans="1:11" ht="30" hidden="1" customHeight="1" x14ac:dyDescent="0.25">
      <c r="A386" s="86" t="s">
        <v>1759</v>
      </c>
      <c r="B386" s="85">
        <f>IF(A386="","",IF(INDEX(EXTRATO!$C$2:$C$3000,MATCH($A386,EXTRATO!$A$2:$A$3000,0))="","",INDEX(EXTRATO!$C$2:$C$3000,MATCH($A386,EXTRATO!$A$2:$A$3000,0))))</f>
        <v>46118</v>
      </c>
      <c r="C386" s="86">
        <f t="shared" ref="C386:C449" si="6">IF(B386="","",MONTH(B386))</f>
        <v>4</v>
      </c>
      <c r="D386" s="81" t="s">
        <v>1330</v>
      </c>
      <c r="E386" s="79" t="s">
        <v>1333</v>
      </c>
      <c r="F386" s="80">
        <v>2593</v>
      </c>
      <c r="G386" s="81" t="s">
        <v>67</v>
      </c>
      <c r="H386" s="86" t="str">
        <f>IF(A386="","",IF(INDEX(EXTRATO!$F$2:$F$3000,MATCH($A386,EXTRATO!$A$2:$A$3000,0))="","",INDEX(EXTRATO!$F$2:$F$3000,MATCH($A386,EXTRATO!$A$2:$A$3000,0))))</f>
        <v>SAÍDA</v>
      </c>
      <c r="I386" s="88" t="str">
        <f>IF(A386="","",IF(INDEX(EXTRATO!$H$2:$H$3000,MATCH($A386,EXTRATO!$A$2:$A$3000,0))="","",INDEX(EXTRATO!$H$2:$H$3000,MATCH($A386,EXTRATO!$A$2:$A$3000,0))))</f>
        <v>CASSIANO &amp; CASSINOS CONTABILIDADE</v>
      </c>
      <c r="J386" s="86" t="s">
        <v>1313</v>
      </c>
      <c r="K386" s="86" t="str">
        <f>IF(AND(A386="",D386="",E386="",F386=""),"",IF(D386="","SEM CATEGORIA",IF(E386="","SEM SUBCATEGORIA",IF(COUNTIFS(CADASTROS!$L$7:$L$93,D386,CADASTROS!$D$7:$D$93,E386)=0,"INCOMPATÍVEL","OK"))))</f>
        <v>OK</v>
      </c>
    </row>
    <row r="387" spans="1:11" ht="30" hidden="1" customHeight="1" x14ac:dyDescent="0.25">
      <c r="A387" s="86" t="s">
        <v>1760</v>
      </c>
      <c r="B387" s="85">
        <f>IF(A387="","",IF(INDEX(EXTRATO!$C$2:$C$3000,MATCH($A387,EXTRATO!$A$2:$A$3000,0))="","",INDEX(EXTRATO!$C$2:$C$3000,MATCH($A387,EXTRATO!$A$2:$A$3000,0))))</f>
        <v>46118</v>
      </c>
      <c r="C387" s="86">
        <f t="shared" si="6"/>
        <v>4</v>
      </c>
      <c r="D387" s="81" t="s">
        <v>1330</v>
      </c>
      <c r="E387" s="79" t="s">
        <v>1331</v>
      </c>
      <c r="F387" s="80">
        <v>897.92</v>
      </c>
      <c r="G387" s="81" t="s">
        <v>282</v>
      </c>
      <c r="H387" s="86" t="str">
        <f>IF(A387="","",IF(INDEX(EXTRATO!$F$2:$F$3000,MATCH($A387,EXTRATO!$A$2:$A$3000,0))="","",INDEX(EXTRATO!$F$2:$F$3000,MATCH($A387,EXTRATO!$A$2:$A$3000,0))))</f>
        <v>SAÍDA</v>
      </c>
      <c r="I387" s="88" t="str">
        <f>IF(A387="","",IF(INDEX(EXTRATO!$H$2:$H$3000,MATCH($A387,EXTRATO!$A$2:$A$3000,0))="","",INDEX(EXTRATO!$H$2:$H$3000,MATCH($A387,EXTRATO!$A$2:$A$3000,0))))</f>
        <v>ALECRIM INDUSTRIA E COMÉRCIO</v>
      </c>
      <c r="J387" s="86" t="s">
        <v>1313</v>
      </c>
      <c r="K387" s="86" t="str">
        <f>IF(AND(A387="",D387="",E387="",F387=""),"",IF(D387="","SEM CATEGORIA",IF(E387="","SEM SUBCATEGORIA",IF(COUNTIFS(CADASTROS!$L$7:$L$93,D387,CADASTROS!$D$7:$D$93,E387)=0,"INCOMPATÍVEL","OK"))))</f>
        <v>OK</v>
      </c>
    </row>
    <row r="388" spans="1:11" ht="30" hidden="1" customHeight="1" x14ac:dyDescent="0.25">
      <c r="A388" s="86" t="s">
        <v>1761</v>
      </c>
      <c r="B388" s="85">
        <f>IF(A388="","",IF(INDEX(EXTRATO!$C$2:$C$3000,MATCH($A388,EXTRATO!$A$2:$A$3000,0))="","",INDEX(EXTRATO!$C$2:$C$3000,MATCH($A388,EXTRATO!$A$2:$A$3000,0))))</f>
        <v>46118</v>
      </c>
      <c r="C388" s="86">
        <f t="shared" si="6"/>
        <v>4</v>
      </c>
      <c r="D388" s="81" t="s">
        <v>1370</v>
      </c>
      <c r="E388" s="79" t="s">
        <v>1371</v>
      </c>
      <c r="F388" s="80">
        <v>1765</v>
      </c>
      <c r="G388" s="81" t="s">
        <v>597</v>
      </c>
      <c r="H388" s="86" t="str">
        <f>IF(A388="","",IF(INDEX(EXTRATO!$F$2:$F$3000,MATCH($A388,EXTRATO!$A$2:$A$3000,0))="","",INDEX(EXTRATO!$F$2:$F$3000,MATCH($A388,EXTRATO!$A$2:$A$3000,0))))</f>
        <v>SAÍDA</v>
      </c>
      <c r="I388" s="88" t="str">
        <f>IF(A388="","",IF(INDEX(EXTRATO!$H$2:$H$3000,MATCH($A388,EXTRATO!$A$2:$A$3000,0))="","",INDEX(EXTRATO!$H$2:$H$3000,MATCH($A388,EXTRATO!$A$2:$A$3000,0))))</f>
        <v>DMW ELETROMEDICINA LTDA</v>
      </c>
      <c r="J388" s="86" t="s">
        <v>1313</v>
      </c>
      <c r="K388" s="86" t="str">
        <f>IF(AND(A388="",D388="",E388="",F388=""),"",IF(D388="","SEM CATEGORIA",IF(E388="","SEM SUBCATEGORIA",IF(COUNTIFS(CADASTROS!$L$7:$L$93,D388,CADASTROS!$D$7:$D$93,E388)=0,"INCOMPATÍVEL","OK"))))</f>
        <v>OK</v>
      </c>
    </row>
    <row r="389" spans="1:11" ht="30" hidden="1" customHeight="1" x14ac:dyDescent="0.25">
      <c r="A389" s="86" t="s">
        <v>1762</v>
      </c>
      <c r="B389" s="85">
        <f>IF(A389="","",IF(INDEX(EXTRATO!$C$2:$C$3000,MATCH($A389,EXTRATO!$A$2:$A$3000,0))="","",INDEX(EXTRATO!$C$2:$C$3000,MATCH($A389,EXTRATO!$A$2:$A$3000,0))))</f>
        <v>46118</v>
      </c>
      <c r="C389" s="86">
        <f t="shared" si="6"/>
        <v>4</v>
      </c>
      <c r="D389" s="81" t="s">
        <v>1330</v>
      </c>
      <c r="E389" s="79" t="s">
        <v>1331</v>
      </c>
      <c r="F389" s="80">
        <v>808</v>
      </c>
      <c r="G389" s="81" t="s">
        <v>400</v>
      </c>
      <c r="H389" s="86" t="str">
        <f>IF(A389="","",IF(INDEX(EXTRATO!$F$2:$F$3000,MATCH($A389,EXTRATO!$A$2:$A$3000,0))="","",INDEX(EXTRATO!$F$2:$F$3000,MATCH($A389,EXTRATO!$A$2:$A$3000,0))))</f>
        <v>SAÍDA</v>
      </c>
      <c r="I389" s="88" t="str">
        <f>IF(A389="","",IF(INDEX(EXTRATO!$H$2:$H$3000,MATCH($A389,EXTRATO!$A$2:$A$3000,0))="","",INDEX(EXTRATO!$H$2:$H$3000,MATCH($A389,EXTRATO!$A$2:$A$3000,0))))</f>
        <v>BRANDÃO &amp; BRANDÃO</v>
      </c>
      <c r="J389" s="86" t="s">
        <v>1313</v>
      </c>
      <c r="K389" s="86" t="str">
        <f>IF(AND(A389="",D389="",E389="",F389=""),"",IF(D389="","SEM CATEGORIA",IF(E389="","SEM SUBCATEGORIA",IF(COUNTIFS(CADASTROS!$L$7:$L$93,D389,CADASTROS!$D$7:$D$93,E389)=0,"INCOMPATÍVEL","OK"))))</f>
        <v>OK</v>
      </c>
    </row>
    <row r="390" spans="1:11" ht="30" hidden="1" customHeight="1" x14ac:dyDescent="0.25">
      <c r="A390" s="86" t="s">
        <v>1763</v>
      </c>
      <c r="B390" s="85">
        <f>IF(A390="","",IF(INDEX(EXTRATO!$C$2:$C$3000,MATCH($A390,EXTRATO!$A$2:$A$3000,0))="","",INDEX(EXTRATO!$C$2:$C$3000,MATCH($A390,EXTRATO!$A$2:$A$3000,0))))</f>
        <v>46118</v>
      </c>
      <c r="C390" s="86">
        <f t="shared" si="6"/>
        <v>4</v>
      </c>
      <c r="D390" s="81" t="s">
        <v>1330</v>
      </c>
      <c r="E390" s="79" t="s">
        <v>1331</v>
      </c>
      <c r="F390" s="80">
        <v>1302</v>
      </c>
      <c r="G390" s="81" t="s">
        <v>598</v>
      </c>
      <c r="H390" s="86" t="str">
        <f>IF(A390="","",IF(INDEX(EXTRATO!$F$2:$F$3000,MATCH($A390,EXTRATO!$A$2:$A$3000,0))="","",INDEX(EXTRATO!$F$2:$F$3000,MATCH($A390,EXTRATO!$A$2:$A$3000,0))))</f>
        <v>SAÍDA</v>
      </c>
      <c r="I390" s="88" t="str">
        <f>IF(A390="","",IF(INDEX(EXTRATO!$H$2:$H$3000,MATCH($A390,EXTRATO!$A$2:$A$3000,0))="","",INDEX(EXTRATO!$H$2:$H$3000,MATCH($A390,EXTRATO!$A$2:$A$3000,0))))</f>
        <v>BRANDÃO &amp; BRANDÃO</v>
      </c>
      <c r="J390" s="86" t="s">
        <v>1313</v>
      </c>
      <c r="K390" s="86" t="str">
        <f>IF(AND(A390="",D390="",E390="",F390=""),"",IF(D390="","SEM CATEGORIA",IF(E390="","SEM SUBCATEGORIA",IF(COUNTIFS(CADASTROS!$L$7:$L$93,D390,CADASTROS!$D$7:$D$93,E390)=0,"INCOMPATÍVEL","OK"))))</f>
        <v>OK</v>
      </c>
    </row>
    <row r="391" spans="1:11" ht="30" hidden="1" customHeight="1" x14ac:dyDescent="0.25">
      <c r="A391" s="86" t="s">
        <v>1764</v>
      </c>
      <c r="B391" s="85">
        <f>IF(A391="","",IF(INDEX(EXTRATO!$C$2:$C$3000,MATCH($A391,EXTRATO!$A$2:$A$3000,0))="","",INDEX(EXTRATO!$C$2:$C$3000,MATCH($A391,EXTRATO!$A$2:$A$3000,0))))</f>
        <v>46118</v>
      </c>
      <c r="C391" s="86">
        <f t="shared" si="6"/>
        <v>4</v>
      </c>
      <c r="D391" s="81" t="s">
        <v>1330</v>
      </c>
      <c r="E391" s="79" t="s">
        <v>1344</v>
      </c>
      <c r="F391" s="80">
        <v>13783.46</v>
      </c>
      <c r="G391" s="81" t="s">
        <v>600</v>
      </c>
      <c r="H391" s="86" t="str">
        <f>IF(A391="","",IF(INDEX(EXTRATO!$F$2:$F$3000,MATCH($A391,EXTRATO!$A$2:$A$3000,0))="","",INDEX(EXTRATO!$F$2:$F$3000,MATCH($A391,EXTRATO!$A$2:$A$3000,0))))</f>
        <v>SAÍDA</v>
      </c>
      <c r="I391" s="88" t="str">
        <f>IF(A391="","",IF(INDEX(EXTRATO!$H$2:$H$3000,MATCH($A391,EXTRATO!$A$2:$A$3000,0))="","",INDEX(EXTRATO!$H$2:$H$3000,MATCH($A391,EXTRATO!$A$2:$A$3000,0))))</f>
        <v>EQUATORIAL MARANHÃO</v>
      </c>
      <c r="J391" s="86" t="s">
        <v>1313</v>
      </c>
      <c r="K391" s="86" t="str">
        <f>IF(AND(A391="",D391="",E391="",F391=""),"",IF(D391="","SEM CATEGORIA",IF(E391="","SEM SUBCATEGORIA",IF(COUNTIFS(CADASTROS!$L$7:$L$93,D391,CADASTROS!$D$7:$D$93,E391)=0,"INCOMPATÍVEL","OK"))))</f>
        <v>OK</v>
      </c>
    </row>
    <row r="392" spans="1:11" ht="30" hidden="1" customHeight="1" x14ac:dyDescent="0.25">
      <c r="A392" s="86" t="s">
        <v>1765</v>
      </c>
      <c r="B392" s="85">
        <f>IF(A392="","",IF(INDEX(EXTRATO!$C$2:$C$3000,MATCH($A392,EXTRATO!$A$2:$A$3000,0))="","",INDEX(EXTRATO!$C$2:$C$3000,MATCH($A392,EXTRATO!$A$2:$A$3000,0))))</f>
        <v>46118</v>
      </c>
      <c r="C392" s="86">
        <f t="shared" si="6"/>
        <v>4</v>
      </c>
      <c r="D392" s="81" t="s">
        <v>1311</v>
      </c>
      <c r="E392" s="79" t="s">
        <v>1320</v>
      </c>
      <c r="F392" s="80">
        <v>595</v>
      </c>
      <c r="G392" s="81" t="s">
        <v>478</v>
      </c>
      <c r="H392" s="86" t="str">
        <f>IF(A392="","",IF(INDEX(EXTRATO!$F$2:$F$3000,MATCH($A392,EXTRATO!$A$2:$A$3000,0))="","",INDEX(EXTRATO!$F$2:$F$3000,MATCH($A392,EXTRATO!$A$2:$A$3000,0))))</f>
        <v>SAÍDA</v>
      </c>
      <c r="I392" s="88" t="str">
        <f>IF(A392="","",IF(INDEX(EXTRATO!$H$2:$H$3000,MATCH($A392,EXTRATO!$A$2:$A$3000,0))="","",INDEX(EXTRATO!$H$2:$H$3000,MATCH($A392,EXTRATO!$A$2:$A$3000,0))))</f>
        <v>DIALISE COMERCIO</v>
      </c>
      <c r="J392" s="86" t="s">
        <v>1313</v>
      </c>
      <c r="K392" s="86" t="str">
        <f>IF(AND(A392="",D392="",E392="",F392=""),"",IF(D392="","SEM CATEGORIA",IF(E392="","SEM SUBCATEGORIA",IF(COUNTIFS(CADASTROS!$L$7:$L$93,D392,CADASTROS!$D$7:$D$93,E392)=0,"INCOMPATÍVEL","OK"))))</f>
        <v>OK</v>
      </c>
    </row>
    <row r="393" spans="1:11" ht="30" hidden="1" customHeight="1" x14ac:dyDescent="0.25">
      <c r="A393" s="86" t="s">
        <v>1765</v>
      </c>
      <c r="B393" s="85">
        <f>IF(A393="","",IF(INDEX(EXTRATO!$C$2:$C$3000,MATCH($A393,EXTRATO!$A$2:$A$3000,0))="","",INDEX(EXTRATO!$C$2:$C$3000,MATCH($A393,EXTRATO!$A$2:$A$3000,0))))</f>
        <v>46118</v>
      </c>
      <c r="C393" s="86">
        <f t="shared" si="6"/>
        <v>4</v>
      </c>
      <c r="D393" s="81" t="s">
        <v>1311</v>
      </c>
      <c r="E393" s="79" t="s">
        <v>1312</v>
      </c>
      <c r="F393" s="80">
        <v>735</v>
      </c>
      <c r="G393" s="81" t="s">
        <v>1325</v>
      </c>
      <c r="H393" s="86" t="str">
        <f>IF(A393="","",IF(INDEX(EXTRATO!$F$2:$F$3000,MATCH($A393,EXTRATO!$A$2:$A$3000,0))="","",INDEX(EXTRATO!$F$2:$F$3000,MATCH($A393,EXTRATO!$A$2:$A$3000,0))))</f>
        <v>SAÍDA</v>
      </c>
      <c r="I393" s="88" t="str">
        <f>IF(A393="","",IF(INDEX(EXTRATO!$H$2:$H$3000,MATCH($A393,EXTRATO!$A$2:$A$3000,0))="","",INDEX(EXTRATO!$H$2:$H$3000,MATCH($A393,EXTRATO!$A$2:$A$3000,0))))</f>
        <v>DIALISE COMERCIO</v>
      </c>
      <c r="J393" s="86" t="s">
        <v>1313</v>
      </c>
      <c r="K393" s="86" t="str">
        <f>IF(AND(A393="",D393="",E393="",F393=""),"",IF(D393="","SEM CATEGORIA",IF(E393="","SEM SUBCATEGORIA",IF(COUNTIFS(CADASTROS!$L$7:$L$93,D393,CADASTROS!$D$7:$D$93,E393)=0,"INCOMPATÍVEL","OK"))))</f>
        <v>OK</v>
      </c>
    </row>
    <row r="394" spans="1:11" ht="30" hidden="1" customHeight="1" x14ac:dyDescent="0.25">
      <c r="A394" s="86" t="s">
        <v>1766</v>
      </c>
      <c r="B394" s="85">
        <f>IF(A394="","",IF(INDEX(EXTRATO!$C$2:$C$3000,MATCH($A394,EXTRATO!$A$2:$A$3000,0))="","",INDEX(EXTRATO!$C$2:$C$3000,MATCH($A394,EXTRATO!$A$2:$A$3000,0))))</f>
        <v>46118</v>
      </c>
      <c r="C394" s="86">
        <f t="shared" si="6"/>
        <v>4</v>
      </c>
      <c r="D394" s="81" t="s">
        <v>1330</v>
      </c>
      <c r="E394" s="79" t="s">
        <v>1352</v>
      </c>
      <c r="F394" s="80">
        <v>38.5</v>
      </c>
      <c r="G394" s="81" t="s">
        <v>276</v>
      </c>
      <c r="H394" s="86" t="str">
        <f>IF(A394="","",IF(INDEX(EXTRATO!$F$2:$F$3000,MATCH($A394,EXTRATO!$A$2:$A$3000,0))="","",INDEX(EXTRATO!$F$2:$F$3000,MATCH($A394,EXTRATO!$A$2:$A$3000,0))))</f>
        <v>SAÍDA</v>
      </c>
      <c r="I394" s="88" t="str">
        <f>IF(A394="","",IF(INDEX(EXTRATO!$H$2:$H$3000,MATCH($A394,EXTRATO!$A$2:$A$3000,0))="","",INDEX(EXTRATO!$H$2:$H$3000,MATCH($A394,EXTRATO!$A$2:$A$3000,0))))</f>
        <v>TARIFA BANCÁRIA</v>
      </c>
      <c r="J394" s="86" t="s">
        <v>1313</v>
      </c>
      <c r="K394" s="86" t="str">
        <f>IF(AND(A394="",D394="",E394="",F394=""),"",IF(D394="","SEM CATEGORIA",IF(E394="","SEM SUBCATEGORIA",IF(COUNTIFS(CADASTROS!$L$7:$L$93,D394,CADASTROS!$D$7:$D$93,E394)=0,"INCOMPATÍVEL","OK"))))</f>
        <v>OK</v>
      </c>
    </row>
    <row r="395" spans="1:11" ht="30" hidden="1" customHeight="1" x14ac:dyDescent="0.25">
      <c r="A395" s="86" t="s">
        <v>1767</v>
      </c>
      <c r="B395" s="85">
        <f>IF(A395="","",IF(INDEX(EXTRATO!$C$2:$C$3000,MATCH($A395,EXTRATO!$A$2:$A$3000,0))="","",INDEX(EXTRATO!$C$2:$C$3000,MATCH($A395,EXTRATO!$A$2:$A$3000,0))))</f>
        <v>46119</v>
      </c>
      <c r="C395" s="86">
        <f t="shared" si="6"/>
        <v>4</v>
      </c>
      <c r="D395" s="81" t="s">
        <v>1370</v>
      </c>
      <c r="E395" s="79" t="s">
        <v>1494</v>
      </c>
      <c r="F395" s="80">
        <v>695.77</v>
      </c>
      <c r="G395" s="81" t="s">
        <v>603</v>
      </c>
      <c r="H395" s="86" t="str">
        <f>IF(A395="","",IF(INDEX(EXTRATO!$F$2:$F$3000,MATCH($A395,EXTRATO!$A$2:$A$3000,0))="","",INDEX(EXTRATO!$F$2:$F$3000,MATCH($A395,EXTRATO!$A$2:$A$3000,0))))</f>
        <v>SAÍDA</v>
      </c>
      <c r="I395" s="88" t="str">
        <f>IF(A395="","",IF(INDEX(EXTRATO!$H$2:$H$3000,MATCH($A395,EXTRATO!$A$2:$A$3000,0))="","",INDEX(EXTRATO!$H$2:$H$3000,MATCH($A395,EXTRATO!$A$2:$A$3000,0))))</f>
        <v>MARKETPLACE MERCADO LIVRE</v>
      </c>
      <c r="J395" s="86" t="s">
        <v>1313</v>
      </c>
      <c r="K395" s="86" t="str">
        <f>IF(AND(A395="",D395="",E395="",F395=""),"",IF(D395="","SEM CATEGORIA",IF(E395="","SEM SUBCATEGORIA",IF(COUNTIFS(CADASTROS!$L$7:$L$93,D395,CADASTROS!$D$7:$D$93,E395)=0,"INCOMPATÍVEL","OK"))))</f>
        <v>OK</v>
      </c>
    </row>
    <row r="396" spans="1:11" ht="30" hidden="1" customHeight="1" x14ac:dyDescent="0.25">
      <c r="A396" s="86" t="s">
        <v>1768</v>
      </c>
      <c r="B396" s="85">
        <f>IF(A396="","",IF(INDEX(EXTRATO!$C$2:$C$3000,MATCH($A396,EXTRATO!$A$2:$A$3000,0))="","",INDEX(EXTRATO!$C$2:$C$3000,MATCH($A396,EXTRATO!$A$2:$A$3000,0))))</f>
        <v>46119</v>
      </c>
      <c r="C396" s="86">
        <f t="shared" si="6"/>
        <v>4</v>
      </c>
      <c r="D396" s="81" t="s">
        <v>1311</v>
      </c>
      <c r="E396" s="79" t="s">
        <v>1376</v>
      </c>
      <c r="F396" s="80">
        <v>3600</v>
      </c>
      <c r="G396" s="81" t="s">
        <v>606</v>
      </c>
      <c r="H396" s="86" t="str">
        <f>IF(A396="","",IF(INDEX(EXTRATO!$F$2:$F$3000,MATCH($A396,EXTRATO!$A$2:$A$3000,0))="","",INDEX(EXTRATO!$F$2:$F$3000,MATCH($A396,EXTRATO!$A$2:$A$3000,0))))</f>
        <v>SAÍDA</v>
      </c>
      <c r="I396" s="88" t="str">
        <f>IF(A396="","",IF(INDEX(EXTRATO!$H$2:$H$3000,MATCH($A396,EXTRATO!$A$2:$A$3000,0))="","",INDEX(EXTRATO!$H$2:$H$3000,MATCH($A396,EXTRATO!$A$2:$A$3000,0))))</f>
        <v>NIPRO</v>
      </c>
      <c r="J396" s="86" t="s">
        <v>1313</v>
      </c>
      <c r="K396" s="86" t="str">
        <f>IF(AND(A396="",D396="",E396="",F396=""),"",IF(D396="","SEM CATEGORIA",IF(E396="","SEM SUBCATEGORIA",IF(COUNTIFS(CADASTROS!$L$7:$L$93,D396,CADASTROS!$D$7:$D$93,E396)=0,"INCOMPATÍVEL","OK"))))</f>
        <v>OK</v>
      </c>
    </row>
    <row r="397" spans="1:11" ht="30" hidden="1" customHeight="1" x14ac:dyDescent="0.25">
      <c r="A397" s="86" t="s">
        <v>1769</v>
      </c>
      <c r="B397" s="85">
        <f>IF(A397="","",IF(INDEX(EXTRATO!$C$2:$C$3000,MATCH($A397,EXTRATO!$A$2:$A$3000,0))="","",INDEX(EXTRATO!$C$2:$C$3000,MATCH($A397,EXTRATO!$A$2:$A$3000,0))))</f>
        <v>46119</v>
      </c>
      <c r="C397" s="86">
        <f t="shared" si="6"/>
        <v>4</v>
      </c>
      <c r="D397" s="81" t="s">
        <v>1311</v>
      </c>
      <c r="E397" s="79" t="s">
        <v>1312</v>
      </c>
      <c r="F397" s="80">
        <v>1238.23</v>
      </c>
      <c r="G397" s="81" t="s">
        <v>607</v>
      </c>
      <c r="H397" s="86" t="str">
        <f>IF(A397="","",IF(INDEX(EXTRATO!$F$2:$F$3000,MATCH($A397,EXTRATO!$A$2:$A$3000,0))="","",INDEX(EXTRATO!$F$2:$F$3000,MATCH($A397,EXTRATO!$A$2:$A$3000,0))))</f>
        <v>SAÍDA</v>
      </c>
      <c r="I397" s="88" t="str">
        <f>IF(A397="","",IF(INDEX(EXTRATO!$H$2:$H$3000,MATCH($A397,EXTRATO!$A$2:$A$3000,0))="","",INDEX(EXTRATO!$H$2:$H$3000,MATCH($A397,EXTRATO!$A$2:$A$3000,0))))</f>
        <v>REMORA HOSPITALAR</v>
      </c>
      <c r="J397" s="86" t="s">
        <v>1313</v>
      </c>
      <c r="K397" s="86" t="str">
        <f>IF(AND(A397="",D397="",E397="",F397=""),"",IF(D397="","SEM CATEGORIA",IF(E397="","SEM SUBCATEGORIA",IF(COUNTIFS(CADASTROS!$L$7:$L$93,D397,CADASTROS!$D$7:$D$93,E397)=0,"INCOMPATÍVEL","OK"))))</f>
        <v>OK</v>
      </c>
    </row>
    <row r="398" spans="1:11" ht="30" hidden="1" customHeight="1" x14ac:dyDescent="0.25">
      <c r="A398" s="86" t="s">
        <v>1770</v>
      </c>
      <c r="B398" s="85">
        <f>IF(A398="","",IF(INDEX(EXTRATO!$C$2:$C$3000,MATCH($A398,EXTRATO!$A$2:$A$3000,0))="","",INDEX(EXTRATO!$C$2:$C$3000,MATCH($A398,EXTRATO!$A$2:$A$3000,0))))</f>
        <v>46119</v>
      </c>
      <c r="C398" s="86">
        <f t="shared" si="6"/>
        <v>4</v>
      </c>
      <c r="D398" s="81" t="s">
        <v>1311</v>
      </c>
      <c r="E398" s="79" t="s">
        <v>1312</v>
      </c>
      <c r="F398" s="80">
        <v>2107.4</v>
      </c>
      <c r="G398" s="81" t="s">
        <v>386</v>
      </c>
      <c r="H398" s="86" t="str">
        <f>IF(A398="","",IF(INDEX(EXTRATO!$F$2:$F$3000,MATCH($A398,EXTRATO!$A$2:$A$3000,0))="","",INDEX(EXTRATO!$F$2:$F$3000,MATCH($A398,EXTRATO!$A$2:$A$3000,0))))</f>
        <v>SAÍDA</v>
      </c>
      <c r="I398" s="88" t="str">
        <f>IF(A398="","",IF(INDEX(EXTRATO!$H$2:$H$3000,MATCH($A398,EXTRATO!$A$2:$A$3000,0))="","",INDEX(EXTRATO!$H$2:$H$3000,MATCH($A398,EXTRATO!$A$2:$A$3000,0))))</f>
        <v>SUPERMÉDICA</v>
      </c>
      <c r="J398" s="86" t="s">
        <v>1313</v>
      </c>
      <c r="K398" s="86" t="str">
        <f>IF(AND(A398="",D398="",E398="",F398=""),"",IF(D398="","SEM CATEGORIA",IF(E398="","SEM SUBCATEGORIA",IF(COUNTIFS(CADASTROS!$L$7:$L$93,D398,CADASTROS!$D$7:$D$93,E398)=0,"INCOMPATÍVEL","OK"))))</f>
        <v>OK</v>
      </c>
    </row>
    <row r="399" spans="1:11" ht="30" hidden="1" customHeight="1" x14ac:dyDescent="0.25">
      <c r="A399" s="86" t="s">
        <v>1771</v>
      </c>
      <c r="B399" s="85">
        <f>IF(A399="","",IF(INDEX(EXTRATO!$C$2:$C$3000,MATCH($A399,EXTRATO!$A$2:$A$3000,0))="","",INDEX(EXTRATO!$C$2:$C$3000,MATCH($A399,EXTRATO!$A$2:$A$3000,0))))</f>
        <v>46119</v>
      </c>
      <c r="C399" s="86">
        <f t="shared" si="6"/>
        <v>4</v>
      </c>
      <c r="D399" s="81" t="s">
        <v>1311</v>
      </c>
      <c r="E399" s="79" t="s">
        <v>1315</v>
      </c>
      <c r="F399" s="80">
        <v>2156.7199999999998</v>
      </c>
      <c r="G399" s="81" t="s">
        <v>608</v>
      </c>
      <c r="H399" s="86" t="str">
        <f>IF(A399="","",IF(INDEX(EXTRATO!$F$2:$F$3000,MATCH($A399,EXTRATO!$A$2:$A$3000,0))="","",INDEX(EXTRATO!$F$2:$F$3000,MATCH($A399,EXTRATO!$A$2:$A$3000,0))))</f>
        <v>SAÍDA</v>
      </c>
      <c r="I399" s="88" t="str">
        <f>IF(A399="","",IF(INDEX(EXTRATO!$H$2:$H$3000,MATCH($A399,EXTRATO!$A$2:$A$3000,0))="","",INDEX(EXTRATO!$H$2:$H$3000,MATCH($A399,EXTRATO!$A$2:$A$3000,0))))</f>
        <v>ALLMED PRONEFRO</v>
      </c>
      <c r="J399" s="86" t="s">
        <v>1313</v>
      </c>
      <c r="K399" s="86" t="str">
        <f>IF(AND(A399="",D399="",E399="",F399=""),"",IF(D399="","SEM CATEGORIA",IF(E399="","SEM SUBCATEGORIA",IF(COUNTIFS(CADASTROS!$L$7:$L$93,D399,CADASTROS!$D$7:$D$93,E399)=0,"INCOMPATÍVEL","OK"))))</f>
        <v>OK</v>
      </c>
    </row>
    <row r="400" spans="1:11" ht="30" hidden="1" customHeight="1" x14ac:dyDescent="0.25">
      <c r="A400" s="86" t="s">
        <v>1772</v>
      </c>
      <c r="B400" s="85">
        <f>IF(A400="","",IF(INDEX(EXTRATO!$C$2:$C$3000,MATCH($A400,EXTRATO!$A$2:$A$3000,0))="","",INDEX(EXTRATO!$C$2:$C$3000,MATCH($A400,EXTRATO!$A$2:$A$3000,0))))</f>
        <v>46119</v>
      </c>
      <c r="C400" s="86">
        <f t="shared" si="6"/>
        <v>4</v>
      </c>
      <c r="D400" s="81" t="s">
        <v>1311</v>
      </c>
      <c r="E400" s="79" t="s">
        <v>1312</v>
      </c>
      <c r="F400" s="80">
        <v>2492.35</v>
      </c>
      <c r="G400" s="81" t="s">
        <v>390</v>
      </c>
      <c r="H400" s="86" t="str">
        <f>IF(A400="","",IF(INDEX(EXTRATO!$F$2:$F$3000,MATCH($A400,EXTRATO!$A$2:$A$3000,0))="","",INDEX(EXTRATO!$F$2:$F$3000,MATCH($A400,EXTRATO!$A$2:$A$3000,0))))</f>
        <v>SAÍDA</v>
      </c>
      <c r="I400" s="88" t="str">
        <f>IF(A400="","",IF(INDEX(EXTRATO!$H$2:$H$3000,MATCH($A400,EXTRATO!$A$2:$A$3000,0))="","",INDEX(EXTRATO!$H$2:$H$3000,MATCH($A400,EXTRATO!$A$2:$A$3000,0))))</f>
        <v>ULTRAMEGA DISTRIBUIDORA</v>
      </c>
      <c r="J400" s="86" t="s">
        <v>1313</v>
      </c>
      <c r="K400" s="86" t="str">
        <f>IF(AND(A400="",D400="",E400="",F400=""),"",IF(D400="","SEM CATEGORIA",IF(E400="","SEM SUBCATEGORIA",IF(COUNTIFS(CADASTROS!$L$7:$L$93,D400,CADASTROS!$D$7:$D$93,E400)=0,"INCOMPATÍVEL","OK"))))</f>
        <v>OK</v>
      </c>
    </row>
    <row r="401" spans="1:11" ht="30" hidden="1" customHeight="1" x14ac:dyDescent="0.25">
      <c r="A401" s="86" t="s">
        <v>1773</v>
      </c>
      <c r="B401" s="85">
        <f>IF(A401="","",IF(INDEX(EXTRATO!$C$2:$C$3000,MATCH($A401,EXTRATO!$A$2:$A$3000,0))="","",INDEX(EXTRATO!$C$2:$C$3000,MATCH($A401,EXTRATO!$A$2:$A$3000,0))))</f>
        <v>46120</v>
      </c>
      <c r="C401" s="86">
        <f t="shared" si="6"/>
        <v>4</v>
      </c>
      <c r="D401" s="81" t="s">
        <v>1367</v>
      </c>
      <c r="E401" s="79" t="s">
        <v>1779</v>
      </c>
      <c r="F401" s="80">
        <v>599.77</v>
      </c>
      <c r="G401" s="81" t="s">
        <v>610</v>
      </c>
      <c r="H401" s="86" t="str">
        <f>IF(A401="","",IF(INDEX(EXTRATO!$F$2:$F$3000,MATCH($A401,EXTRATO!$A$2:$A$3000,0))="","",INDEX(EXTRATO!$F$2:$F$3000,MATCH($A401,EXTRATO!$A$2:$A$3000,0))))</f>
        <v>SAÍDA</v>
      </c>
      <c r="I401" s="88" t="str">
        <f>IF(A401="","",IF(INDEX(EXTRATO!$H$2:$H$3000,MATCH($A401,EXTRATO!$A$2:$A$3000,0))="","",INDEX(EXTRATO!$H$2:$H$3000,MATCH($A401,EXTRATO!$A$2:$A$3000,0))))</f>
        <v>KÁTIA CILENE DOS SANTOS NUNES</v>
      </c>
      <c r="J401" s="86" t="s">
        <v>1313</v>
      </c>
      <c r="K401" s="86" t="str">
        <f>IF(AND(A401="",D401="",E401="",F401=""),"",IF(D401="","SEM CATEGORIA",IF(E401="","SEM SUBCATEGORIA",IF(COUNTIFS(CADASTROS!$L$7:$L$93,D401,CADASTROS!$D$7:$D$93,E401)=0,"INCOMPATÍVEL","OK"))))</f>
        <v>OK</v>
      </c>
    </row>
    <row r="402" spans="1:11" ht="30" hidden="1" customHeight="1" x14ac:dyDescent="0.25">
      <c r="A402" s="86" t="s">
        <v>1774</v>
      </c>
      <c r="B402" s="85">
        <f>IF(A402="","",IF(INDEX(EXTRATO!$C$2:$C$3000,MATCH($A402,EXTRATO!$A$2:$A$3000,0))="","",INDEX(EXTRATO!$C$2:$C$3000,MATCH($A402,EXTRATO!$A$2:$A$3000,0))))</f>
        <v>46120</v>
      </c>
      <c r="C402" s="86">
        <f t="shared" si="6"/>
        <v>4</v>
      </c>
      <c r="D402" s="81" t="s">
        <v>1454</v>
      </c>
      <c r="E402" s="79" t="s">
        <v>1521</v>
      </c>
      <c r="F402" s="80">
        <v>1935.4</v>
      </c>
      <c r="G402" s="81" t="s">
        <v>613</v>
      </c>
      <c r="H402" s="86" t="str">
        <f>IF(A402="","",IF(INDEX(EXTRATO!$F$2:$F$3000,MATCH($A402,EXTRATO!$A$2:$A$3000,0))="","",INDEX(EXTRATO!$F$2:$F$3000,MATCH($A402,EXTRATO!$A$2:$A$3000,0))))</f>
        <v>SAÍDA</v>
      </c>
      <c r="I402" s="88" t="str">
        <f>IF(A402="","",IF(INDEX(EXTRATO!$H$2:$H$3000,MATCH($A402,EXTRATO!$A$2:$A$3000,0))="","",INDEX(EXTRATO!$H$2:$H$3000,MATCH($A402,EXTRATO!$A$2:$A$3000,0))))</f>
        <v>BANCO VOLKSWAGEN</v>
      </c>
      <c r="J402" s="86" t="s">
        <v>1313</v>
      </c>
      <c r="K402" s="86" t="str">
        <f>IF(AND(A402="",D402="",E402="",F402=""),"",IF(D402="","SEM CATEGORIA",IF(E402="","SEM SUBCATEGORIA",IF(COUNTIFS(CADASTROS!$L$7:$L$93,D402,CADASTROS!$D$7:$D$93,E402)=0,"INCOMPATÍVEL","OK"))))</f>
        <v>OK</v>
      </c>
    </row>
    <row r="403" spans="1:11" ht="30" hidden="1" customHeight="1" x14ac:dyDescent="0.25">
      <c r="A403" s="86" t="s">
        <v>1775</v>
      </c>
      <c r="B403" s="85">
        <f>IF(A403="","",IF(INDEX(EXTRATO!$C$2:$C$3000,MATCH($A403,EXTRATO!$A$2:$A$3000,0))="","",INDEX(EXTRATO!$C$2:$C$3000,MATCH($A403,EXTRATO!$A$2:$A$3000,0))))</f>
        <v>46122</v>
      </c>
      <c r="C403" s="86">
        <f t="shared" si="6"/>
        <v>4</v>
      </c>
      <c r="D403" s="81" t="s">
        <v>1305</v>
      </c>
      <c r="E403" s="79" t="s">
        <v>1339</v>
      </c>
      <c r="F403" s="80">
        <v>32760.61</v>
      </c>
      <c r="G403" s="81" t="s">
        <v>614</v>
      </c>
      <c r="H403" s="86" t="str">
        <f>IF(A403="","",IF(INDEX(EXTRATO!$F$2:$F$3000,MATCH($A403,EXTRATO!$A$2:$A$3000,0))="","",INDEX(EXTRATO!$F$2:$F$3000,MATCH($A403,EXTRATO!$A$2:$A$3000,0))))</f>
        <v>ENTRADA</v>
      </c>
      <c r="I403" s="88" t="str">
        <f>IF(A403="","",IF(INDEX(EXTRATO!$H$2:$H$3000,MATCH($A403,EXTRATO!$A$2:$A$3000,0))="","",INDEX(EXTRATO!$H$2:$H$3000,MATCH($A403,EXTRATO!$A$2:$A$3000,0))))</f>
        <v>PISO DE ENFERMAGEM</v>
      </c>
      <c r="J403" s="86" t="s">
        <v>1307</v>
      </c>
      <c r="K403" s="86" t="str">
        <f>IF(AND(A403="",D403="",E403="",F403=""),"",IF(D403="","SEM CATEGORIA",IF(E403="","SEM SUBCATEGORIA",IF(COUNTIFS(CADASTROS!$L$7:$L$93,D403,CADASTROS!$D$7:$D$93,E403)=0,"INCOMPATÍVEL","OK"))))</f>
        <v>OK</v>
      </c>
    </row>
    <row r="404" spans="1:11" ht="30" hidden="1" customHeight="1" x14ac:dyDescent="0.25">
      <c r="A404" s="86" t="s">
        <v>1776</v>
      </c>
      <c r="B404" s="85">
        <f>IF(A404="","",IF(INDEX(EXTRATO!$C$2:$C$3000,MATCH($A404,EXTRATO!$A$2:$A$3000,0))="","",INDEX(EXTRATO!$C$2:$C$3000,MATCH($A404,EXTRATO!$A$2:$A$3000,0))))</f>
        <v>46122</v>
      </c>
      <c r="C404" s="86">
        <f t="shared" si="6"/>
        <v>4</v>
      </c>
      <c r="D404" s="81" t="s">
        <v>1311</v>
      </c>
      <c r="E404" s="79" t="s">
        <v>1376</v>
      </c>
      <c r="F404" s="80">
        <v>5172.5</v>
      </c>
      <c r="G404" s="81" t="s">
        <v>615</v>
      </c>
      <c r="H404" s="86" t="str">
        <f>IF(A404="","",IF(INDEX(EXTRATO!$F$2:$F$3000,MATCH($A404,EXTRATO!$A$2:$A$3000,0))="","",INDEX(EXTRATO!$F$2:$F$3000,MATCH($A404,EXTRATO!$A$2:$A$3000,0))))</f>
        <v>SAÍDA</v>
      </c>
      <c r="I404" s="88" t="str">
        <f>IF(A404="","",IF(INDEX(EXTRATO!$H$2:$H$3000,MATCH($A404,EXTRATO!$A$2:$A$3000,0))="","",INDEX(EXTRATO!$H$2:$H$3000,MATCH($A404,EXTRATO!$A$2:$A$3000,0))))</f>
        <v>NIPRO</v>
      </c>
      <c r="J404" s="86" t="s">
        <v>1313</v>
      </c>
      <c r="K404" s="86" t="str">
        <f>IF(AND(A404="",D404="",E404="",F404=""),"",IF(D404="","SEM CATEGORIA",IF(E404="","SEM SUBCATEGORIA",IF(COUNTIFS(CADASTROS!$L$7:$L$93,D404,CADASTROS!$D$7:$D$93,E404)=0,"INCOMPATÍVEL","OK"))))</f>
        <v>OK</v>
      </c>
    </row>
    <row r="405" spans="1:11" ht="30" hidden="1" customHeight="1" x14ac:dyDescent="0.25">
      <c r="A405" s="86" t="s">
        <v>1777</v>
      </c>
      <c r="B405" s="85">
        <f>IF(A405="","",IF(INDEX(EXTRATO!$C$2:$C$3000,MATCH($A405,EXTRATO!$A$2:$A$3000,0))="","",INDEX(EXTRATO!$C$2:$C$3000,MATCH($A405,EXTRATO!$A$2:$A$3000,0))))</f>
        <v>46122</v>
      </c>
      <c r="C405" s="86">
        <f t="shared" si="6"/>
        <v>4</v>
      </c>
      <c r="D405" s="81" t="s">
        <v>1311</v>
      </c>
      <c r="E405" s="79" t="s">
        <v>1342</v>
      </c>
      <c r="F405" s="80">
        <v>7250</v>
      </c>
      <c r="G405" s="81" t="s">
        <v>617</v>
      </c>
      <c r="H405" s="86" t="str">
        <f>IF(A405="","",IF(INDEX(EXTRATO!$F$2:$F$3000,MATCH($A405,EXTRATO!$A$2:$A$3000,0))="","",INDEX(EXTRATO!$F$2:$F$3000,MATCH($A405,EXTRATO!$A$2:$A$3000,0))))</f>
        <v>SAÍDA</v>
      </c>
      <c r="I405" s="88" t="str">
        <f>IF(A405="","",IF(INDEX(EXTRATO!$H$2:$H$3000,MATCH($A405,EXTRATO!$A$2:$A$3000,0))="","",INDEX(EXTRATO!$H$2:$H$3000,MATCH($A405,EXTRATO!$A$2:$A$3000,0))))</f>
        <v>EXCELLENCE DISTRIBUIÇÃO</v>
      </c>
      <c r="J405" s="86" t="s">
        <v>1313</v>
      </c>
      <c r="K405" s="86" t="str">
        <f>IF(AND(A405="",D405="",E405="",F405=""),"",IF(D405="","SEM CATEGORIA",IF(E405="","SEM SUBCATEGORIA",IF(COUNTIFS(CADASTROS!$L$7:$L$93,D405,CADASTROS!$D$7:$D$93,E405)=0,"INCOMPATÍVEL","OK"))))</f>
        <v>OK</v>
      </c>
    </row>
    <row r="406" spans="1:11" ht="30" hidden="1" customHeight="1" x14ac:dyDescent="0.25">
      <c r="A406" s="86" t="s">
        <v>1778</v>
      </c>
      <c r="B406" s="85">
        <f>IF(A406="","",IF(INDEX(EXTRATO!$C$2:$C$3000,MATCH($A406,EXTRATO!$A$2:$A$3000,0))="","",INDEX(EXTRATO!$C$2:$C$3000,MATCH($A406,EXTRATO!$A$2:$A$3000,0))))</f>
        <v>46122</v>
      </c>
      <c r="C406" s="86">
        <f t="shared" si="6"/>
        <v>4</v>
      </c>
      <c r="D406" s="81" t="s">
        <v>1388</v>
      </c>
      <c r="E406" s="79" t="s">
        <v>125</v>
      </c>
      <c r="F406" s="80">
        <v>25884.53</v>
      </c>
      <c r="G406" s="81" t="s">
        <v>621</v>
      </c>
      <c r="H406" s="86" t="str">
        <f>IF(A406="","",IF(INDEX(EXTRATO!$F$2:$F$3000,MATCH($A406,EXTRATO!$A$2:$A$3000,0))="","",INDEX(EXTRATO!$F$2:$F$3000,MATCH($A406,EXTRATO!$A$2:$A$3000,0))))</f>
        <v>SAÍDA</v>
      </c>
      <c r="I406" s="88" t="str">
        <f>IF(A406="","",IF(INDEX(EXTRATO!$H$2:$H$3000,MATCH($A406,EXTRATO!$A$2:$A$3000,0))="","",INDEX(EXTRATO!$H$2:$H$3000,MATCH($A406,EXTRATO!$A$2:$A$3000,0))))</f>
        <v>ISS</v>
      </c>
      <c r="J406" s="86" t="s">
        <v>1313</v>
      </c>
      <c r="K406" s="86" t="str">
        <f>IF(AND(A406="",D406="",E406="",F406=""),"",IF(D406="","SEM CATEGORIA",IF(E406="","SEM SUBCATEGORIA",IF(COUNTIFS(CADASTROS!$L$7:$L$93,D406,CADASTROS!$D$7:$D$93,E406)=0,"INCOMPATÍVEL","OK"))))</f>
        <v>OK</v>
      </c>
    </row>
    <row r="407" spans="1:11" ht="30" hidden="1" customHeight="1" x14ac:dyDescent="0.25">
      <c r="A407" s="86" t="s">
        <v>1780</v>
      </c>
      <c r="B407" s="85">
        <f>IF(A407="","",IF(INDEX(EXTRATO!$C$2:$C$3000,MATCH($A407,EXTRATO!$A$2:$A$3000,0))="","",INDEX(EXTRATO!$C$2:$C$3000,MATCH($A407,EXTRATO!$A$2:$A$3000,0))))</f>
        <v>46122</v>
      </c>
      <c r="C407" s="86">
        <f t="shared" si="6"/>
        <v>4</v>
      </c>
      <c r="D407" s="81" t="s">
        <v>1330</v>
      </c>
      <c r="E407" s="79" t="s">
        <v>1379</v>
      </c>
      <c r="F407" s="80">
        <v>149.9</v>
      </c>
      <c r="G407" s="81" t="s">
        <v>119</v>
      </c>
      <c r="H407" s="86" t="str">
        <f>IF(A407="","",IF(INDEX(EXTRATO!$F$2:$F$3000,MATCH($A407,EXTRATO!$A$2:$A$3000,0))="","",INDEX(EXTRATO!$F$2:$F$3000,MATCH($A407,EXTRATO!$A$2:$A$3000,0))))</f>
        <v>SAÍDA</v>
      </c>
      <c r="I407" s="88" t="str">
        <f>IF(A407="","",IF(INDEX(EXTRATO!$H$2:$H$3000,MATCH($A407,EXTRATO!$A$2:$A$3000,0))="","",INDEX(EXTRATO!$H$2:$H$3000,MATCH($A407,EXTRATO!$A$2:$A$3000,0))))</f>
        <v>MARANET TELECOM</v>
      </c>
      <c r="J407" s="86" t="s">
        <v>1313</v>
      </c>
      <c r="K407" s="86" t="str">
        <f>IF(AND(A407="",D407="",E407="",F407=""),"",IF(D407="","SEM CATEGORIA",IF(E407="","SEM SUBCATEGORIA",IF(COUNTIFS(CADASTROS!$L$7:$L$93,D407,CADASTROS!$D$7:$D$93,E407)=0,"INCOMPATÍVEL","OK"))))</f>
        <v>OK</v>
      </c>
    </row>
    <row r="408" spans="1:11" ht="30" hidden="1" customHeight="1" x14ac:dyDescent="0.25">
      <c r="A408" s="86" t="s">
        <v>1781</v>
      </c>
      <c r="B408" s="85">
        <f>IF(A408="","",IF(INDEX(EXTRATO!$C$2:$C$3000,MATCH($A408,EXTRATO!$A$2:$A$3000,0))="","",INDEX(EXTRATO!$C$2:$C$3000,MATCH($A408,EXTRATO!$A$2:$A$3000,0))))</f>
        <v>46122</v>
      </c>
      <c r="C408" s="86">
        <f t="shared" si="6"/>
        <v>4</v>
      </c>
      <c r="D408" s="81" t="s">
        <v>1330</v>
      </c>
      <c r="E408" s="79" t="s">
        <v>1400</v>
      </c>
      <c r="F408" s="80">
        <v>1600</v>
      </c>
      <c r="G408" s="81" t="s">
        <v>623</v>
      </c>
      <c r="H408" s="86" t="str">
        <f>IF(A408="","",IF(INDEX(EXTRATO!$F$2:$F$3000,MATCH($A408,EXTRATO!$A$2:$A$3000,0))="","",INDEX(EXTRATO!$F$2:$F$3000,MATCH($A408,EXTRATO!$A$2:$A$3000,0))))</f>
        <v>SAÍDA</v>
      </c>
      <c r="I408" s="88" t="str">
        <f>IF(A408="","",IF(INDEX(EXTRATO!$H$2:$H$3000,MATCH($A408,EXTRATO!$A$2:$A$3000,0))="","",INDEX(EXTRATO!$H$2:$H$3000,MATCH($A408,EXTRATO!$A$2:$A$3000,0))))</f>
        <v>BIOGREEN</v>
      </c>
      <c r="J408" s="86" t="s">
        <v>1313</v>
      </c>
      <c r="K408" s="86" t="str">
        <f>IF(AND(A408="",D408="",E408="",F408=""),"",IF(D408="","SEM CATEGORIA",IF(E408="","SEM SUBCATEGORIA",IF(COUNTIFS(CADASTROS!$L$7:$L$93,D408,CADASTROS!$D$7:$D$93,E408)=0,"INCOMPATÍVEL","OK"))))</f>
        <v>OK</v>
      </c>
    </row>
    <row r="409" spans="1:11" ht="30" hidden="1" customHeight="1" x14ac:dyDescent="0.25">
      <c r="A409" s="86" t="s">
        <v>1782</v>
      </c>
      <c r="B409" s="85">
        <f>IF(A409="","",IF(INDEX(EXTRATO!$C$2:$C$3000,MATCH($A409,EXTRATO!$A$2:$A$3000,0))="","",INDEX(EXTRATO!$C$2:$C$3000,MATCH($A409,EXTRATO!$A$2:$A$3000,0))))</f>
        <v>46122</v>
      </c>
      <c r="C409" s="86">
        <f t="shared" si="6"/>
        <v>4</v>
      </c>
      <c r="D409" s="81" t="s">
        <v>1454</v>
      </c>
      <c r="E409" s="79" t="s">
        <v>2760</v>
      </c>
      <c r="F409" s="80">
        <v>1050</v>
      </c>
      <c r="G409" s="81" t="s">
        <v>625</v>
      </c>
      <c r="H409" s="86" t="str">
        <f>IF(A409="","",IF(INDEX(EXTRATO!$F$2:$F$3000,MATCH($A409,EXTRATO!$A$2:$A$3000,0))="","",INDEX(EXTRATO!$F$2:$F$3000,MATCH($A409,EXTRATO!$A$2:$A$3000,0))))</f>
        <v>SAÍDA</v>
      </c>
      <c r="I409" s="88" t="str">
        <f>IF(A409="","",IF(INDEX(EXTRATO!$H$2:$H$3000,MATCH($A409,EXTRATO!$A$2:$A$3000,0))="","",INDEX(EXTRATO!$H$2:$H$3000,MATCH($A409,EXTRATO!$A$2:$A$3000,0))))</f>
        <v>FRANCISCO DAS CHAGAS DA SILVA COSTA</v>
      </c>
      <c r="J409" s="86" t="s">
        <v>1455</v>
      </c>
      <c r="K409" s="86" t="str">
        <f>IF(AND(A409="",D409="",E409="",F409=""),"",IF(D409="","SEM CATEGORIA",IF(E409="","SEM SUBCATEGORIA",IF(COUNTIFS(CADASTROS!$L$7:$L$93,D409,CADASTROS!$D$7:$D$93,E409)=0,"INCOMPATÍVEL","OK"))))</f>
        <v>OK</v>
      </c>
    </row>
    <row r="410" spans="1:11" ht="30" hidden="1" customHeight="1" x14ac:dyDescent="0.25">
      <c r="A410" s="86" t="s">
        <v>1783</v>
      </c>
      <c r="B410" s="85">
        <f>IF(A410="","",IF(INDEX(EXTRATO!$C$2:$C$3000,MATCH($A410,EXTRATO!$A$2:$A$3000,0))="","",INDEX(EXTRATO!$C$2:$C$3000,MATCH($A410,EXTRATO!$A$2:$A$3000,0))))</f>
        <v>46122</v>
      </c>
      <c r="C410" s="86">
        <f t="shared" si="6"/>
        <v>4</v>
      </c>
      <c r="D410" s="81" t="s">
        <v>1330</v>
      </c>
      <c r="E410" s="79" t="s">
        <v>1352</v>
      </c>
      <c r="F410" s="80">
        <v>131.5</v>
      </c>
      <c r="G410" s="81" t="s">
        <v>297</v>
      </c>
      <c r="H410" s="86" t="str">
        <f>IF(A410="","",IF(INDEX(EXTRATO!$F$2:$F$3000,MATCH($A410,EXTRATO!$A$2:$A$3000,0))="","",INDEX(EXTRATO!$F$2:$F$3000,MATCH($A410,EXTRATO!$A$2:$A$3000,0))))</f>
        <v>SAÍDA</v>
      </c>
      <c r="I410" s="88" t="str">
        <f>IF(A410="","",IF(INDEX(EXTRATO!$H$2:$H$3000,MATCH($A410,EXTRATO!$A$2:$A$3000,0))="","",INDEX(EXTRATO!$H$2:$H$3000,MATCH($A410,EXTRATO!$A$2:$A$3000,0))))</f>
        <v>TARIFA PACOTE DE SERVIÇOS</v>
      </c>
      <c r="J410" s="86" t="s">
        <v>1313</v>
      </c>
      <c r="K410" s="86" t="str">
        <f>IF(AND(A410="",D410="",E410="",F410=""),"",IF(D410="","SEM CATEGORIA",IF(E410="","SEM SUBCATEGORIA",IF(COUNTIFS(CADASTROS!$L$7:$L$93,D410,CADASTROS!$D$7:$D$93,E410)=0,"INCOMPATÍVEL","OK"))))</f>
        <v>OK</v>
      </c>
    </row>
    <row r="411" spans="1:11" ht="30" hidden="1" customHeight="1" x14ac:dyDescent="0.25">
      <c r="A411" s="86" t="s">
        <v>1784</v>
      </c>
      <c r="B411" s="85">
        <f>IF(A411="","",IF(INDEX(EXTRATO!$C$2:$C$3000,MATCH($A411,EXTRATO!$A$2:$A$3000,0))="","",INDEX(EXTRATO!$C$2:$C$3000,MATCH($A411,EXTRATO!$A$2:$A$3000,0))))</f>
        <v>46125</v>
      </c>
      <c r="C411" s="86">
        <f t="shared" si="6"/>
        <v>4</v>
      </c>
      <c r="D411" s="81" t="s">
        <v>1367</v>
      </c>
      <c r="E411" s="79" t="s">
        <v>1383</v>
      </c>
      <c r="F411" s="80">
        <v>32760.61</v>
      </c>
      <c r="G411" s="81" t="s">
        <v>629</v>
      </c>
      <c r="H411" s="86" t="str">
        <f>IF(A411="","",IF(INDEX(EXTRATO!$F$2:$F$3000,MATCH($A411,EXTRATO!$A$2:$A$3000,0))="","",INDEX(EXTRATO!$F$2:$F$3000,MATCH($A411,EXTRATO!$A$2:$A$3000,0))))</f>
        <v>SAÍDA</v>
      </c>
      <c r="I411" s="88" t="str">
        <f>IF(A411="","",IF(INDEX(EXTRATO!$H$2:$H$3000,MATCH($A411,EXTRATO!$A$2:$A$3000,0))="","",INDEX(EXTRATO!$H$2:$H$3000,MATCH($A411,EXTRATO!$A$2:$A$3000,0))))</f>
        <v>FOLHA DE PAGAMENTO - PISO</v>
      </c>
      <c r="J411" s="86" t="s">
        <v>1313</v>
      </c>
      <c r="K411" s="86" t="str">
        <f>IF(AND(A411="",D411="",E411="",F411=""),"",IF(D411="","SEM CATEGORIA",IF(E411="","SEM SUBCATEGORIA",IF(COUNTIFS(CADASTROS!$L$7:$L$93,D411,CADASTROS!$D$7:$D$93,E411)=0,"INCOMPATÍVEL","OK"))))</f>
        <v>OK</v>
      </c>
    </row>
    <row r="412" spans="1:11" ht="30" hidden="1" customHeight="1" x14ac:dyDescent="0.25">
      <c r="A412" s="86" t="s">
        <v>1785</v>
      </c>
      <c r="B412" s="85">
        <f>IF(A412="","",IF(INDEX(EXTRATO!$C$2:$C$3000,MATCH($A412,EXTRATO!$A$2:$A$3000,0))="","",INDEX(EXTRATO!$C$2:$C$3000,MATCH($A412,EXTRATO!$A$2:$A$3000,0))))</f>
        <v>46125</v>
      </c>
      <c r="C412" s="86">
        <f t="shared" si="6"/>
        <v>4</v>
      </c>
      <c r="D412" s="81" t="s">
        <v>1311</v>
      </c>
      <c r="E412" s="79" t="s">
        <v>1312</v>
      </c>
      <c r="F412" s="80">
        <v>2449.52</v>
      </c>
      <c r="G412" s="81" t="s">
        <v>630</v>
      </c>
      <c r="H412" s="86" t="str">
        <f>IF(A412="","",IF(INDEX(EXTRATO!$F$2:$F$3000,MATCH($A412,EXTRATO!$A$2:$A$3000,0))="","",INDEX(EXTRATO!$F$2:$F$3000,MATCH($A412,EXTRATO!$A$2:$A$3000,0))))</f>
        <v>SAÍDA</v>
      </c>
      <c r="I412" s="88" t="str">
        <f>IF(A412="","",IF(INDEX(EXTRATO!$H$2:$H$3000,MATCH($A412,EXTRATO!$A$2:$A$3000,0))="","",INDEX(EXTRATO!$H$2:$H$3000,MATCH($A412,EXTRATO!$A$2:$A$3000,0))))</f>
        <v>MED VITTA</v>
      </c>
      <c r="J412" s="86" t="s">
        <v>1313</v>
      </c>
      <c r="K412" s="86" t="str">
        <f>IF(AND(A412="",D412="",E412="",F412=""),"",IF(D412="","SEM CATEGORIA",IF(E412="","SEM SUBCATEGORIA",IF(COUNTIFS(CADASTROS!$L$7:$L$93,D412,CADASTROS!$D$7:$D$93,E412)=0,"INCOMPATÍVEL","OK"))))</f>
        <v>OK</v>
      </c>
    </row>
    <row r="413" spans="1:11" ht="30" hidden="1" customHeight="1" x14ac:dyDescent="0.25">
      <c r="A413" s="86" t="s">
        <v>1786</v>
      </c>
      <c r="B413" s="85">
        <f>IF(A413="","",IF(INDEX(EXTRATO!$C$2:$C$3000,MATCH($A413,EXTRATO!$A$2:$A$3000,0))="","",INDEX(EXTRATO!$C$2:$C$3000,MATCH($A413,EXTRATO!$A$2:$A$3000,0))))</f>
        <v>46125</v>
      </c>
      <c r="C413" s="86">
        <f t="shared" si="6"/>
        <v>4</v>
      </c>
      <c r="D413" s="81" t="s">
        <v>1330</v>
      </c>
      <c r="E413" s="79" t="s">
        <v>1331</v>
      </c>
      <c r="F413" s="80">
        <v>80</v>
      </c>
      <c r="G413" s="81" t="s">
        <v>632</v>
      </c>
      <c r="H413" s="86" t="str">
        <f>IF(A413="","",IF(INDEX(EXTRATO!$F$2:$F$3000,MATCH($A413,EXTRATO!$A$2:$A$3000,0))="","",INDEX(EXTRATO!$F$2:$F$3000,MATCH($A413,EXTRATO!$A$2:$A$3000,0))))</f>
        <v>SAÍDA</v>
      </c>
      <c r="I413" s="88" t="str">
        <f>IF(A413="","",IF(INDEX(EXTRATO!$H$2:$H$3000,MATCH($A413,EXTRATO!$A$2:$A$3000,0))="","",INDEX(EXTRATO!$H$2:$H$3000,MATCH($A413,EXTRATO!$A$2:$A$3000,0))))</f>
        <v>BRANDÃO &amp; BRANDÃO</v>
      </c>
      <c r="J413" s="86" t="s">
        <v>1313</v>
      </c>
      <c r="K413" s="86" t="str">
        <f>IF(AND(A413="",D413="",E413="",F413=""),"",IF(D413="","SEM CATEGORIA",IF(E413="","SEM SUBCATEGORIA",IF(COUNTIFS(CADASTROS!$L$7:$L$93,D413,CADASTROS!$D$7:$D$93,E413)=0,"INCOMPATÍVEL","OK"))))</f>
        <v>OK</v>
      </c>
    </row>
    <row r="414" spans="1:11" ht="30" hidden="1" customHeight="1" x14ac:dyDescent="0.25">
      <c r="A414" s="86" t="s">
        <v>1787</v>
      </c>
      <c r="B414" s="85">
        <f>IF(A414="","",IF(INDEX(EXTRATO!$C$2:$C$3000,MATCH($A414,EXTRATO!$A$2:$A$3000,0))="","",INDEX(EXTRATO!$C$2:$C$3000,MATCH($A414,EXTRATO!$A$2:$A$3000,0))))</f>
        <v>46125</v>
      </c>
      <c r="C414" s="86">
        <f t="shared" si="6"/>
        <v>4</v>
      </c>
      <c r="D414" s="81" t="s">
        <v>1330</v>
      </c>
      <c r="E414" s="79" t="s">
        <v>1344</v>
      </c>
      <c r="F414" s="80">
        <v>27.91</v>
      </c>
      <c r="G414" s="81" t="s">
        <v>634</v>
      </c>
      <c r="H414" s="86" t="str">
        <f>IF(A414="","",IF(INDEX(EXTRATO!$F$2:$F$3000,MATCH($A414,EXTRATO!$A$2:$A$3000,0))="","",INDEX(EXTRATO!$F$2:$F$3000,MATCH($A414,EXTRATO!$A$2:$A$3000,0))))</f>
        <v>SAÍDA</v>
      </c>
      <c r="I414" s="88" t="str">
        <f>IF(A414="","",IF(INDEX(EXTRATO!$H$2:$H$3000,MATCH($A414,EXTRATO!$A$2:$A$3000,0))="","",INDEX(EXTRATO!$H$2:$H$3000,MATCH($A414,EXTRATO!$A$2:$A$3000,0))))</f>
        <v>EQUATORIAL MARANHÃO</v>
      </c>
      <c r="J414" s="86" t="s">
        <v>1313</v>
      </c>
      <c r="K414" s="86" t="str">
        <f>IF(AND(A414="",D414="",E414="",F414=""),"",IF(D414="","SEM CATEGORIA",IF(E414="","SEM SUBCATEGORIA",IF(COUNTIFS(CADASTROS!$L$7:$L$93,D414,CADASTROS!$D$7:$D$93,E414)=0,"INCOMPATÍVEL","OK"))))</f>
        <v>OK</v>
      </c>
    </row>
    <row r="415" spans="1:11" ht="30" hidden="1" customHeight="1" x14ac:dyDescent="0.25">
      <c r="A415" s="86" t="s">
        <v>1788</v>
      </c>
      <c r="B415" s="85">
        <f>IF(A415="","",IF(INDEX(EXTRATO!$C$2:$C$3000,MATCH($A415,EXTRATO!$A$2:$A$3000,0))="","",INDEX(EXTRATO!$C$2:$C$3000,MATCH($A415,EXTRATO!$A$2:$A$3000,0))))</f>
        <v>46125</v>
      </c>
      <c r="C415" s="86">
        <f t="shared" si="6"/>
        <v>4</v>
      </c>
      <c r="D415" s="81" t="s">
        <v>1311</v>
      </c>
      <c r="E415" s="79" t="s">
        <v>1312</v>
      </c>
      <c r="F415" s="80">
        <v>580.59</v>
      </c>
      <c r="G415" s="81" t="s">
        <v>635</v>
      </c>
      <c r="H415" s="86" t="str">
        <f>IF(A415="","",IF(INDEX(EXTRATO!$F$2:$F$3000,MATCH($A415,EXTRATO!$A$2:$A$3000,0))="","",INDEX(EXTRATO!$F$2:$F$3000,MATCH($A415,EXTRATO!$A$2:$A$3000,0))))</f>
        <v>SAÍDA</v>
      </c>
      <c r="I415" s="88" t="str">
        <f>IF(A415="","",IF(INDEX(EXTRATO!$H$2:$H$3000,MATCH($A415,EXTRATO!$A$2:$A$3000,0))="","",INDEX(EXTRATO!$H$2:$H$3000,MATCH($A415,EXTRATO!$A$2:$A$3000,0))))</f>
        <v>SUPERMÉDICA</v>
      </c>
      <c r="J415" s="86" t="s">
        <v>1313</v>
      </c>
      <c r="K415" s="86" t="str">
        <f>IF(AND(A415="",D415="",E415="",F415=""),"",IF(D415="","SEM CATEGORIA",IF(E415="","SEM SUBCATEGORIA",IF(COUNTIFS(CADASTROS!$L$7:$L$93,D415,CADASTROS!$D$7:$D$93,E415)=0,"INCOMPATÍVEL","OK"))))</f>
        <v>OK</v>
      </c>
    </row>
    <row r="416" spans="1:11" ht="30" hidden="1" customHeight="1" x14ac:dyDescent="0.25">
      <c r="A416" s="86" t="s">
        <v>1789</v>
      </c>
      <c r="B416" s="85">
        <f>IF(A416="","",IF(INDEX(EXTRATO!$C$2:$C$3000,MATCH($A416,EXTRATO!$A$2:$A$3000,0))="","",INDEX(EXTRATO!$C$2:$C$3000,MATCH($A416,EXTRATO!$A$2:$A$3000,0))))</f>
        <v>46125</v>
      </c>
      <c r="C416" s="86">
        <f t="shared" si="6"/>
        <v>4</v>
      </c>
      <c r="D416" s="81" t="s">
        <v>1330</v>
      </c>
      <c r="E416" s="79" t="s">
        <v>1352</v>
      </c>
      <c r="F416" s="80">
        <v>35</v>
      </c>
      <c r="G416" s="81" t="s">
        <v>276</v>
      </c>
      <c r="H416" s="86" t="str">
        <f>IF(A416="","",IF(INDEX(EXTRATO!$F$2:$F$3000,MATCH($A416,EXTRATO!$A$2:$A$3000,0))="","",INDEX(EXTRATO!$F$2:$F$3000,MATCH($A416,EXTRATO!$A$2:$A$3000,0))))</f>
        <v>SAÍDA</v>
      </c>
      <c r="I416" s="88" t="str">
        <f>IF(A416="","",IF(INDEX(EXTRATO!$H$2:$H$3000,MATCH($A416,EXTRATO!$A$2:$A$3000,0))="","",INDEX(EXTRATO!$H$2:$H$3000,MATCH($A416,EXTRATO!$A$2:$A$3000,0))))</f>
        <v>TARIFA BANCÁRIA</v>
      </c>
      <c r="J416" s="86" t="s">
        <v>1313</v>
      </c>
      <c r="K416" s="86" t="str">
        <f>IF(AND(A416="",D416="",E416="",F416=""),"",IF(D416="","SEM CATEGORIA",IF(E416="","SEM SUBCATEGORIA",IF(COUNTIFS(CADASTROS!$L$7:$L$93,D416,CADASTROS!$D$7:$D$93,E416)=0,"INCOMPATÍVEL","OK"))))</f>
        <v>OK</v>
      </c>
    </row>
    <row r="417" spans="1:11" ht="30" hidden="1" customHeight="1" x14ac:dyDescent="0.25">
      <c r="A417" s="86" t="s">
        <v>1790</v>
      </c>
      <c r="B417" s="85">
        <f>IF(A417="","",IF(INDEX(EXTRATO!$C$2:$C$3000,MATCH($A417,EXTRATO!$A$2:$A$3000,0))="","",INDEX(EXTRATO!$C$2:$C$3000,MATCH($A417,EXTRATO!$A$2:$A$3000,0))))</f>
        <v>46126</v>
      </c>
      <c r="C417" s="86">
        <f t="shared" si="6"/>
        <v>4</v>
      </c>
      <c r="D417" s="81" t="s">
        <v>1415</v>
      </c>
      <c r="E417" s="79" t="s">
        <v>1425</v>
      </c>
      <c r="F417" s="80">
        <v>3800</v>
      </c>
      <c r="G417" s="81" t="s">
        <v>636</v>
      </c>
      <c r="H417" s="86" t="str">
        <f>IF(A417="","",IF(INDEX(EXTRATO!$F$2:$F$3000,MATCH($A417,EXTRATO!$A$2:$A$3000,0))="","",INDEX(EXTRATO!$F$2:$F$3000,MATCH($A417,EXTRATO!$A$2:$A$3000,0))))</f>
        <v>SAÍDA</v>
      </c>
      <c r="I417" s="88" t="str">
        <f>IF(A417="","",IF(INDEX(EXTRATO!$H$2:$H$3000,MATCH($A417,EXTRATO!$A$2:$A$3000,0))="","",INDEX(EXTRATO!$H$2:$H$3000,MATCH($A417,EXTRATO!$A$2:$A$3000,0))))</f>
        <v>CASAMATER</v>
      </c>
      <c r="J417" s="86" t="s">
        <v>1313</v>
      </c>
      <c r="K417" s="86" t="str">
        <f>IF(AND(A417="",D417="",E417="",F417=""),"",IF(D417="","SEM CATEGORIA",IF(E417="","SEM SUBCATEGORIA",IF(COUNTIFS(CADASTROS!$L$7:$L$93,D417,CADASTROS!$D$7:$D$93,E417)=0,"INCOMPATÍVEL","OK"))))</f>
        <v>OK</v>
      </c>
    </row>
    <row r="418" spans="1:11" ht="30" hidden="1" customHeight="1" x14ac:dyDescent="0.25">
      <c r="A418" s="86" t="s">
        <v>1791</v>
      </c>
      <c r="B418" s="85">
        <f>IF(A418="","",IF(INDEX(EXTRATO!$C$2:$C$3000,MATCH($A418,EXTRATO!$A$2:$A$3000,0))="","",INDEX(EXTRATO!$C$2:$C$3000,MATCH($A418,EXTRATO!$A$2:$A$3000,0))))</f>
        <v>46126</v>
      </c>
      <c r="C418" s="86">
        <f t="shared" si="6"/>
        <v>4</v>
      </c>
      <c r="D418" s="81" t="s">
        <v>1330</v>
      </c>
      <c r="E418" s="79" t="s">
        <v>1358</v>
      </c>
      <c r="F418" s="80">
        <v>5865.9</v>
      </c>
      <c r="G418" s="81" t="s">
        <v>639</v>
      </c>
      <c r="H418" s="86" t="str">
        <f>IF(A418="","",IF(INDEX(EXTRATO!$F$2:$F$3000,MATCH($A418,EXTRATO!$A$2:$A$3000,0))="","",INDEX(EXTRATO!$F$2:$F$3000,MATCH($A418,EXTRATO!$A$2:$A$3000,0))))</f>
        <v>SAÍDA</v>
      </c>
      <c r="I418" s="88" t="str">
        <f>IF(A418="","",IF(INDEX(EXTRATO!$H$2:$H$3000,MATCH($A418,EXTRATO!$A$2:$A$3000,0))="","",INDEX(EXTRATO!$H$2:$H$3000,MATCH($A418,EXTRATO!$A$2:$A$3000,0))))</f>
        <v>CAMINO</v>
      </c>
      <c r="J418" s="86" t="s">
        <v>1313</v>
      </c>
      <c r="K418" s="86" t="str">
        <f>IF(AND(A418="",D418="",E418="",F418=""),"",IF(D418="","SEM CATEGORIA",IF(E418="","SEM SUBCATEGORIA",IF(COUNTIFS(CADASTROS!$L$7:$L$93,D418,CADASTROS!$D$7:$D$93,E418)=0,"INCOMPATÍVEL","OK"))))</f>
        <v>OK</v>
      </c>
    </row>
    <row r="419" spans="1:11" ht="30" hidden="1" customHeight="1" x14ac:dyDescent="0.25">
      <c r="A419" s="86" t="s">
        <v>1792</v>
      </c>
      <c r="B419" s="85">
        <f>IF(A419="","",IF(INDEX(EXTRATO!$C$2:$C$3000,MATCH($A419,EXTRATO!$A$2:$A$3000,0))="","",INDEX(EXTRATO!$C$2:$C$3000,MATCH($A419,EXTRATO!$A$2:$A$3000,0))))</f>
        <v>46126</v>
      </c>
      <c r="C419" s="86">
        <f t="shared" si="6"/>
        <v>4</v>
      </c>
      <c r="D419" s="81" t="s">
        <v>1330</v>
      </c>
      <c r="E419" s="79" t="s">
        <v>1673</v>
      </c>
      <c r="F419" s="80">
        <v>73.08</v>
      </c>
      <c r="G419" s="81" t="s">
        <v>642</v>
      </c>
      <c r="H419" s="86" t="str">
        <f>IF(A419="","",IF(INDEX(EXTRATO!$F$2:$F$3000,MATCH($A419,EXTRATO!$A$2:$A$3000,0))="","",INDEX(EXTRATO!$F$2:$F$3000,MATCH($A419,EXTRATO!$A$2:$A$3000,0))))</f>
        <v>SAÍDA</v>
      </c>
      <c r="I419" s="88" t="str">
        <f>IF(A419="","",IF(INDEX(EXTRATO!$H$2:$H$3000,MATCH($A419,EXTRATO!$A$2:$A$3000,0))="","",INDEX(EXTRATO!$H$2:$H$3000,MATCH($A419,EXTRATO!$A$2:$A$3000,0))))</f>
        <v>LUCIANA CASTELO BRANCO TRIFONI</v>
      </c>
      <c r="J419" s="86" t="s">
        <v>1313</v>
      </c>
      <c r="K419" s="86" t="str">
        <f>IF(AND(A419="",D419="",E419="",F419=""),"",IF(D419="","SEM CATEGORIA",IF(E419="","SEM SUBCATEGORIA",IF(COUNTIFS(CADASTROS!$L$7:$L$93,D419,CADASTROS!$D$7:$D$93,E419)=0,"INCOMPATÍVEL","OK"))))</f>
        <v>OK</v>
      </c>
    </row>
    <row r="420" spans="1:11" ht="30" hidden="1" customHeight="1" x14ac:dyDescent="0.25">
      <c r="A420" s="86" t="s">
        <v>1793</v>
      </c>
      <c r="B420" s="85">
        <f>IF(A420="","",IF(INDEX(EXTRATO!$C$2:$C$3000,MATCH($A420,EXTRATO!$A$2:$A$3000,0))="","",INDEX(EXTRATO!$C$2:$C$3000,MATCH($A420,EXTRATO!$A$2:$A$3000,0))))</f>
        <v>46126</v>
      </c>
      <c r="C420" s="86">
        <f t="shared" si="6"/>
        <v>4</v>
      </c>
      <c r="D420" s="81" t="s">
        <v>1311</v>
      </c>
      <c r="E420" s="79" t="s">
        <v>1404</v>
      </c>
      <c r="F420" s="80">
        <v>19055.5</v>
      </c>
      <c r="G420" s="81" t="s">
        <v>645</v>
      </c>
      <c r="H420" s="86" t="str">
        <f>IF(A420="","",IF(INDEX(EXTRATO!$F$2:$F$3000,MATCH($A420,EXTRATO!$A$2:$A$3000,0))="","",INDEX(EXTRATO!$F$2:$F$3000,MATCH($A420,EXTRATO!$A$2:$A$3000,0))))</f>
        <v>SAÍDA</v>
      </c>
      <c r="I420" s="88" t="str">
        <f>IF(A420="","",IF(INDEX(EXTRATO!$H$2:$H$3000,MATCH($A420,EXTRATO!$A$2:$A$3000,0))="","",INDEX(EXTRATO!$H$2:$H$3000,MATCH($A420,EXTRATO!$A$2:$A$3000,0))))</f>
        <v>FARMACE</v>
      </c>
      <c r="J420" s="86" t="s">
        <v>1313</v>
      </c>
      <c r="K420" s="86" t="str">
        <f>IF(AND(A420="",D420="",E420="",F420=""),"",IF(D420="","SEM CATEGORIA",IF(E420="","SEM SUBCATEGORIA",IF(COUNTIFS(CADASTROS!$L$7:$L$93,D420,CADASTROS!$D$7:$D$93,E420)=0,"INCOMPATÍVEL","OK"))))</f>
        <v>OK</v>
      </c>
    </row>
    <row r="421" spans="1:11" ht="30" hidden="1" customHeight="1" x14ac:dyDescent="0.25">
      <c r="A421" s="86" t="s">
        <v>1794</v>
      </c>
      <c r="B421" s="85">
        <f>IF(A421="","",IF(INDEX(EXTRATO!$C$2:$C$3000,MATCH($A421,EXTRATO!$A$2:$A$3000,0))="","",INDEX(EXTRATO!$C$2:$C$3000,MATCH($A421,EXTRATO!$A$2:$A$3000,0))))</f>
        <v>46126</v>
      </c>
      <c r="C421" s="86">
        <f t="shared" si="6"/>
        <v>4</v>
      </c>
      <c r="D421" s="81" t="s">
        <v>1311</v>
      </c>
      <c r="E421" s="79" t="s">
        <v>1315</v>
      </c>
      <c r="F421" s="80">
        <v>1357</v>
      </c>
      <c r="G421" s="81" t="s">
        <v>53</v>
      </c>
      <c r="H421" s="86" t="str">
        <f>IF(A421="","",IF(INDEX(EXTRATO!$F$2:$F$3000,MATCH($A421,EXTRATO!$A$2:$A$3000,0))="","",INDEX(EXTRATO!$F$2:$F$3000,MATCH($A421,EXTRATO!$A$2:$A$3000,0))))</f>
        <v>SAÍDA</v>
      </c>
      <c r="I421" s="88" t="str">
        <f>IF(A421="","",IF(INDEX(EXTRATO!$H$2:$H$3000,MATCH($A421,EXTRATO!$A$2:$A$3000,0))="","",INDEX(EXTRATO!$H$2:$H$3000,MATCH($A421,EXTRATO!$A$2:$A$3000,0))))</f>
        <v>ALLMED PRONEFRO</v>
      </c>
      <c r="J421" s="86" t="s">
        <v>1313</v>
      </c>
      <c r="K421" s="86" t="str">
        <f>IF(AND(A421="",D421="",E421="",F421=""),"",IF(D421="","SEM CATEGORIA",IF(E421="","SEM SUBCATEGORIA",IF(COUNTIFS(CADASTROS!$L$7:$L$93,D421,CADASTROS!$D$7:$D$93,E421)=0,"INCOMPATÍVEL","OK"))))</f>
        <v>OK</v>
      </c>
    </row>
    <row r="422" spans="1:11" ht="30" hidden="1" customHeight="1" x14ac:dyDescent="0.25">
      <c r="A422" s="86" t="s">
        <v>1795</v>
      </c>
      <c r="B422" s="85">
        <f>IF(A422="","",IF(INDEX(EXTRATO!$C$2:$C$3000,MATCH($A422,EXTRATO!$A$2:$A$3000,0))="","",INDEX(EXTRATO!$C$2:$C$3000,MATCH($A422,EXTRATO!$A$2:$A$3000,0))))</f>
        <v>46126</v>
      </c>
      <c r="C422" s="86">
        <f t="shared" si="6"/>
        <v>4</v>
      </c>
      <c r="D422" s="81" t="s">
        <v>1311</v>
      </c>
      <c r="E422" s="79" t="s">
        <v>1342</v>
      </c>
      <c r="F422" s="80">
        <v>5166.1499999999996</v>
      </c>
      <c r="G422" s="81" t="s">
        <v>273</v>
      </c>
      <c r="H422" s="86" t="str">
        <f>IF(A422="","",IF(INDEX(EXTRATO!$F$2:$F$3000,MATCH($A422,EXTRATO!$A$2:$A$3000,0))="","",INDEX(EXTRATO!$F$2:$F$3000,MATCH($A422,EXTRATO!$A$2:$A$3000,0))))</f>
        <v>SAÍDA</v>
      </c>
      <c r="I422" s="88" t="str">
        <f>IF(A422="","",IF(INDEX(EXTRATO!$H$2:$H$3000,MATCH($A422,EXTRATO!$A$2:$A$3000,0))="","",INDEX(EXTRATO!$H$2:$H$3000,MATCH($A422,EXTRATO!$A$2:$A$3000,0))))</f>
        <v>CRISTALIA PRODUTOS</v>
      </c>
      <c r="J422" s="86" t="s">
        <v>1313</v>
      </c>
      <c r="K422" s="86" t="str">
        <f>IF(AND(A422="",D422="",E422="",F422=""),"",IF(D422="","SEM CATEGORIA",IF(E422="","SEM SUBCATEGORIA",IF(COUNTIFS(CADASTROS!$L$7:$L$93,D422,CADASTROS!$D$7:$D$93,E422)=0,"INCOMPATÍVEL","OK"))))</f>
        <v>OK</v>
      </c>
    </row>
    <row r="423" spans="1:11" ht="30" hidden="1" customHeight="1" x14ac:dyDescent="0.25">
      <c r="A423" s="86" t="s">
        <v>1796</v>
      </c>
      <c r="B423" s="85">
        <f>IF(A423="","",IF(INDEX(EXTRATO!$C$2:$C$3000,MATCH($A423,EXTRATO!$A$2:$A$3000,0))="","",INDEX(EXTRATO!$C$2:$C$3000,MATCH($A423,EXTRATO!$A$2:$A$3000,0))))</f>
        <v>46127</v>
      </c>
      <c r="C423" s="86">
        <f t="shared" si="6"/>
        <v>4</v>
      </c>
      <c r="D423" s="81" t="s">
        <v>1311</v>
      </c>
      <c r="E423" s="79" t="s">
        <v>1312</v>
      </c>
      <c r="F423" s="80">
        <v>742.69</v>
      </c>
      <c r="G423" s="81" t="s">
        <v>1802</v>
      </c>
      <c r="H423" s="86" t="str">
        <f>IF(A423="","",IF(INDEX(EXTRATO!$F$2:$F$3000,MATCH($A423,EXTRATO!$A$2:$A$3000,0))="","",INDEX(EXTRATO!$F$2:$F$3000,MATCH($A423,EXTRATO!$A$2:$A$3000,0))))</f>
        <v>SAÍDA</v>
      </c>
      <c r="I423" s="88" t="str">
        <f>IF(A423="","",IF(INDEX(EXTRATO!$H$2:$H$3000,MATCH($A423,EXTRATO!$A$2:$A$3000,0))="","",INDEX(EXTRATO!$H$2:$H$3000,MATCH($A423,EXTRATO!$A$2:$A$3000,0))))</f>
        <v>SUPERMÉDICA</v>
      </c>
      <c r="J423" s="86" t="s">
        <v>1313</v>
      </c>
      <c r="K423" s="86" t="str">
        <f>IF(AND(A423="",D423="",E423="",F423=""),"",IF(D423="","SEM CATEGORIA",IF(E423="","SEM SUBCATEGORIA",IF(COUNTIFS(CADASTROS!$L$7:$L$93,D423,CADASTROS!$D$7:$D$93,E423)=0,"INCOMPATÍVEL","OK"))))</f>
        <v>OK</v>
      </c>
    </row>
    <row r="424" spans="1:11" ht="30" hidden="1" customHeight="1" x14ac:dyDescent="0.25">
      <c r="A424" s="86" t="s">
        <v>1796</v>
      </c>
      <c r="B424" s="85">
        <f>IF(A424="","",IF(INDEX(EXTRATO!$C$2:$C$3000,MATCH($A424,EXTRATO!$A$2:$A$3000,0))="","",INDEX(EXTRATO!$C$2:$C$3000,MATCH($A424,EXTRATO!$A$2:$A$3000,0))))</f>
        <v>46127</v>
      </c>
      <c r="C424" s="86">
        <f t="shared" si="6"/>
        <v>4</v>
      </c>
      <c r="D424" s="81" t="s">
        <v>1311</v>
      </c>
      <c r="E424" s="79" t="s">
        <v>1342</v>
      </c>
      <c r="F424" s="80">
        <v>7450</v>
      </c>
      <c r="G424" s="81" t="s">
        <v>1803</v>
      </c>
      <c r="H424" s="86" t="str">
        <f>IF(A424="","",IF(INDEX(EXTRATO!$F$2:$F$3000,MATCH($A424,EXTRATO!$A$2:$A$3000,0))="","",INDEX(EXTRATO!$F$2:$F$3000,MATCH($A424,EXTRATO!$A$2:$A$3000,0))))</f>
        <v>SAÍDA</v>
      </c>
      <c r="I424" s="88" t="str">
        <f>IF(A424="","",IF(INDEX(EXTRATO!$H$2:$H$3000,MATCH($A424,EXTRATO!$A$2:$A$3000,0))="","",INDEX(EXTRATO!$H$2:$H$3000,MATCH($A424,EXTRATO!$A$2:$A$3000,0))))</f>
        <v>SUPERMÉDICA</v>
      </c>
      <c r="J424" s="86" t="s">
        <v>1313</v>
      </c>
      <c r="K424" s="86" t="str">
        <f>IF(AND(A424="",D424="",E424="",F424=""),"",IF(D424="","SEM CATEGORIA",IF(E424="","SEM SUBCATEGORIA",IF(COUNTIFS(CADASTROS!$L$7:$L$93,D424,CADASTROS!$D$7:$D$93,E424)=0,"INCOMPATÍVEL","OK"))))</f>
        <v>OK</v>
      </c>
    </row>
    <row r="425" spans="1:11" ht="30" hidden="1" customHeight="1" x14ac:dyDescent="0.25">
      <c r="A425" s="86" t="s">
        <v>1797</v>
      </c>
      <c r="B425" s="85">
        <f>IF(A425="","",IF(INDEX(EXTRATO!$C$2:$C$3000,MATCH($A425,EXTRATO!$A$2:$A$3000,0))="","",INDEX(EXTRATO!$C$2:$C$3000,MATCH($A425,EXTRATO!$A$2:$A$3000,0))))</f>
        <v>46127</v>
      </c>
      <c r="C425" s="86">
        <f t="shared" si="6"/>
        <v>4</v>
      </c>
      <c r="D425" s="81" t="s">
        <v>1330</v>
      </c>
      <c r="E425" s="79" t="s">
        <v>1352</v>
      </c>
      <c r="F425" s="80">
        <v>95</v>
      </c>
      <c r="G425" s="81" t="s">
        <v>305</v>
      </c>
      <c r="H425" s="86" t="str">
        <f>IF(A425="","",IF(INDEX(EXTRATO!$F$2:$F$3000,MATCH($A425,EXTRATO!$A$2:$A$3000,0))="","",INDEX(EXTRATO!$F$2:$F$3000,MATCH($A425,EXTRATO!$A$2:$A$3000,0))))</f>
        <v>SAÍDA</v>
      </c>
      <c r="I425" s="88" t="str">
        <f>IF(A425="","",IF(INDEX(EXTRATO!$H$2:$H$3000,MATCH($A425,EXTRATO!$A$2:$A$3000,0))="","",INDEX(EXTRATO!$H$2:$H$3000,MATCH($A425,EXTRATO!$A$2:$A$3000,0))))</f>
        <v>FORTES CONECTA - RELÓGIO DE PONTO</v>
      </c>
      <c r="J425" s="86" t="s">
        <v>1313</v>
      </c>
      <c r="K425" s="86" t="str">
        <f>IF(AND(A425="",D425="",E425="",F425=""),"",IF(D425="","SEM CATEGORIA",IF(E425="","SEM SUBCATEGORIA",IF(COUNTIFS(CADASTROS!$L$7:$L$93,D425,CADASTROS!$D$7:$D$93,E425)=0,"INCOMPATÍVEL","OK"))))</f>
        <v>OK</v>
      </c>
    </row>
    <row r="426" spans="1:11" ht="30" hidden="1" customHeight="1" x14ac:dyDescent="0.25">
      <c r="A426" s="86" t="s">
        <v>1798</v>
      </c>
      <c r="B426" s="85">
        <f>IF(A426="","",IF(INDEX(EXTRATO!$C$2:$C$3000,MATCH($A426,EXTRATO!$A$2:$A$3000,0))="","",INDEX(EXTRATO!$C$2:$C$3000,MATCH($A426,EXTRATO!$A$2:$A$3000,0))))</f>
        <v>46127</v>
      </c>
      <c r="C426" s="86">
        <f t="shared" si="6"/>
        <v>4</v>
      </c>
      <c r="D426" s="81" t="s">
        <v>1330</v>
      </c>
      <c r="E426" s="79" t="s">
        <v>1352</v>
      </c>
      <c r="F426" s="80">
        <v>207</v>
      </c>
      <c r="G426" s="81" t="s">
        <v>305</v>
      </c>
      <c r="H426" s="86" t="str">
        <f>IF(A426="","",IF(INDEX(EXTRATO!$F$2:$F$3000,MATCH($A426,EXTRATO!$A$2:$A$3000,0))="","",INDEX(EXTRATO!$F$2:$F$3000,MATCH($A426,EXTRATO!$A$2:$A$3000,0))))</f>
        <v>SAÍDA</v>
      </c>
      <c r="I426" s="88" t="str">
        <f>IF(A426="","",IF(INDEX(EXTRATO!$H$2:$H$3000,MATCH($A426,EXTRATO!$A$2:$A$3000,0))="","",INDEX(EXTRATO!$H$2:$H$3000,MATCH($A426,EXTRATO!$A$2:$A$3000,0))))</f>
        <v>FORTES CONECTA - RELÓGIO DE PONTO</v>
      </c>
      <c r="J426" s="86" t="s">
        <v>1313</v>
      </c>
      <c r="K426" s="86" t="str">
        <f>IF(AND(A426="",D426="",E426="",F426=""),"",IF(D426="","SEM CATEGORIA",IF(E426="","SEM SUBCATEGORIA",IF(COUNTIFS(CADASTROS!$L$7:$L$93,D426,CADASTROS!$D$7:$D$93,E426)=0,"INCOMPATÍVEL","OK"))))</f>
        <v>OK</v>
      </c>
    </row>
    <row r="427" spans="1:11" ht="30" hidden="1" customHeight="1" x14ac:dyDescent="0.25">
      <c r="A427" s="86" t="s">
        <v>1799</v>
      </c>
      <c r="B427" s="85">
        <f>IF(A427="","",IF(INDEX(EXTRATO!$C$2:$C$3000,MATCH($A427,EXTRATO!$A$2:$A$3000,0))="","",INDEX(EXTRATO!$C$2:$C$3000,MATCH($A427,EXTRATO!$A$2:$A$3000,0))))</f>
        <v>46127</v>
      </c>
      <c r="C427" s="86">
        <f t="shared" si="6"/>
        <v>4</v>
      </c>
      <c r="D427" s="81" t="s">
        <v>1311</v>
      </c>
      <c r="E427" s="79" t="s">
        <v>1312</v>
      </c>
      <c r="F427" s="80">
        <v>1416</v>
      </c>
      <c r="G427" s="81" t="s">
        <v>448</v>
      </c>
      <c r="H427" s="86" t="str">
        <f>IF(A427="","",IF(INDEX(EXTRATO!$F$2:$F$3000,MATCH($A427,EXTRATO!$A$2:$A$3000,0))="","",INDEX(EXTRATO!$F$2:$F$3000,MATCH($A427,EXTRATO!$A$2:$A$3000,0))))</f>
        <v>SAÍDA</v>
      </c>
      <c r="I427" s="88" t="str">
        <f>IF(A427="","",IF(INDEX(EXTRATO!$H$2:$H$3000,MATCH($A427,EXTRATO!$A$2:$A$3000,0))="","",INDEX(EXTRATO!$H$2:$H$3000,MATCH($A427,EXTRATO!$A$2:$A$3000,0))))</f>
        <v>BIOPAR</v>
      </c>
      <c r="J427" s="86" t="s">
        <v>1313</v>
      </c>
      <c r="K427" s="86" t="str">
        <f>IF(AND(A427="",D427="",E427="",F427=""),"",IF(D427="","SEM CATEGORIA",IF(E427="","SEM SUBCATEGORIA",IF(COUNTIFS(CADASTROS!$L$7:$L$93,D427,CADASTROS!$D$7:$D$93,E427)=0,"INCOMPATÍVEL","OK"))))</f>
        <v>OK</v>
      </c>
    </row>
    <row r="428" spans="1:11" ht="30" hidden="1" customHeight="1" x14ac:dyDescent="0.25">
      <c r="A428" s="86" t="s">
        <v>1800</v>
      </c>
      <c r="B428" s="85">
        <f>IF(A428="","",IF(INDEX(EXTRATO!$C$2:$C$3000,MATCH($A428,EXTRATO!$A$2:$A$3000,0))="","",INDEX(EXTRATO!$C$2:$C$3000,MATCH($A428,EXTRATO!$A$2:$A$3000,0))))</f>
        <v>46128</v>
      </c>
      <c r="C428" s="86">
        <f t="shared" si="6"/>
        <v>4</v>
      </c>
      <c r="D428" s="81" t="s">
        <v>1349</v>
      </c>
      <c r="E428" s="79" t="s">
        <v>1402</v>
      </c>
      <c r="F428" s="80">
        <v>500</v>
      </c>
      <c r="G428" s="81" t="s">
        <v>136</v>
      </c>
      <c r="H428" s="86" t="str">
        <f>IF(A428="","",IF(INDEX(EXTRATO!$F$2:$F$3000,MATCH($A428,EXTRATO!$A$2:$A$3000,0))="","",INDEX(EXTRATO!$F$2:$F$3000,MATCH($A428,EXTRATO!$A$2:$A$3000,0))))</f>
        <v>SAÍDA</v>
      </c>
      <c r="I428" s="88" t="str">
        <f>IF(A428="","",IF(INDEX(EXTRATO!$H$2:$H$3000,MATCH($A428,EXTRATO!$A$2:$A$3000,0))="","",INDEX(EXTRATO!$H$2:$H$3000,MATCH($A428,EXTRATO!$A$2:$A$3000,0))))</f>
        <v>LEMOS BRANCO &amp; CIA</v>
      </c>
      <c r="J428" s="86" t="s">
        <v>1313</v>
      </c>
      <c r="K428" s="86" t="str">
        <f>IF(AND(A428="",D428="",E428="",F428=""),"",IF(D428="","SEM CATEGORIA",IF(E428="","SEM SUBCATEGORIA",IF(COUNTIFS(CADASTROS!$L$7:$L$93,D428,CADASTROS!$D$7:$D$93,E428)=0,"INCOMPATÍVEL","OK"))))</f>
        <v>OK</v>
      </c>
    </row>
    <row r="429" spans="1:11" ht="30" hidden="1" customHeight="1" x14ac:dyDescent="0.25">
      <c r="A429" s="86" t="s">
        <v>1801</v>
      </c>
      <c r="B429" s="85">
        <f>IF(A429="","",IF(INDEX(EXTRATO!$C$2:$C$3000,MATCH($A429,EXTRATO!$A$2:$A$3000,0))="","",INDEX(EXTRATO!$C$2:$C$3000,MATCH($A429,EXTRATO!$A$2:$A$3000,0))))</f>
        <v>46129</v>
      </c>
      <c r="C429" s="86">
        <f t="shared" si="6"/>
        <v>4</v>
      </c>
      <c r="D429" s="81" t="s">
        <v>1311</v>
      </c>
      <c r="E429" s="79" t="s">
        <v>1404</v>
      </c>
      <c r="F429" s="80">
        <v>18310</v>
      </c>
      <c r="G429" s="81" t="s">
        <v>1809</v>
      </c>
      <c r="H429" s="86" t="str">
        <f>IF(A429="","",IF(INDEX(EXTRATO!$F$2:$F$3000,MATCH($A429,EXTRATO!$A$2:$A$3000,0))="","",INDEX(EXTRATO!$F$2:$F$3000,MATCH($A429,EXTRATO!$A$2:$A$3000,0))))</f>
        <v>SAÍDA</v>
      </c>
      <c r="I429" s="88" t="str">
        <f>IF(A429="","",IF(INDEX(EXTRATO!$H$2:$H$3000,MATCH($A429,EXTRATO!$A$2:$A$3000,0))="","",INDEX(EXTRATO!$H$2:$H$3000,MATCH($A429,EXTRATO!$A$2:$A$3000,0))))</f>
        <v>FARMACE</v>
      </c>
      <c r="J429" s="86" t="s">
        <v>1313</v>
      </c>
      <c r="K429" s="86" t="str">
        <f>IF(AND(A429="",D429="",E429="",F429=""),"",IF(D429="","SEM CATEGORIA",IF(E429="","SEM SUBCATEGORIA",IF(COUNTIFS(CADASTROS!$L$7:$L$93,D429,CADASTROS!$D$7:$D$93,E429)=0,"INCOMPATÍVEL","OK"))))</f>
        <v>OK</v>
      </c>
    </row>
    <row r="430" spans="1:11" ht="30" hidden="1" customHeight="1" x14ac:dyDescent="0.25">
      <c r="A430" s="86" t="s">
        <v>1801</v>
      </c>
      <c r="B430" s="85">
        <f>IF(A430="","",IF(INDEX(EXTRATO!$C$2:$C$3000,MATCH($A430,EXTRATO!$A$2:$A$3000,0))="","",INDEX(EXTRATO!$C$2:$C$3000,MATCH($A430,EXTRATO!$A$2:$A$3000,0))))</f>
        <v>46129</v>
      </c>
      <c r="C430" s="86">
        <f t="shared" si="6"/>
        <v>4</v>
      </c>
      <c r="D430" s="81" t="s">
        <v>1311</v>
      </c>
      <c r="E430" s="79" t="s">
        <v>1312</v>
      </c>
      <c r="F430" s="80">
        <v>43.5</v>
      </c>
      <c r="G430" s="81" t="s">
        <v>1810</v>
      </c>
      <c r="H430" s="86" t="str">
        <f>IF(A430="","",IF(INDEX(EXTRATO!$F$2:$F$3000,MATCH($A430,EXTRATO!$A$2:$A$3000,0))="","",INDEX(EXTRATO!$F$2:$F$3000,MATCH($A430,EXTRATO!$A$2:$A$3000,0))))</f>
        <v>SAÍDA</v>
      </c>
      <c r="I430" s="88" t="str">
        <f>IF(A430="","",IF(INDEX(EXTRATO!$H$2:$H$3000,MATCH($A430,EXTRATO!$A$2:$A$3000,0))="","",INDEX(EXTRATO!$H$2:$H$3000,MATCH($A430,EXTRATO!$A$2:$A$3000,0))))</f>
        <v>FARMACE</v>
      </c>
      <c r="J430" s="86" t="s">
        <v>1313</v>
      </c>
      <c r="K430" s="86" t="str">
        <f>IF(AND(A430="",D430="",E430="",F430=""),"",IF(D430="","SEM CATEGORIA",IF(E430="","SEM SUBCATEGORIA",IF(COUNTIFS(CADASTROS!$L$7:$L$93,D430,CADASTROS!$D$7:$D$93,E430)=0,"INCOMPATÍVEL","OK"))))</f>
        <v>OK</v>
      </c>
    </row>
    <row r="431" spans="1:11" ht="30" hidden="1" customHeight="1" x14ac:dyDescent="0.25">
      <c r="A431" s="86" t="s">
        <v>1804</v>
      </c>
      <c r="B431" s="85">
        <f>IF(A431="","",IF(INDEX(EXTRATO!$C$2:$C$3000,MATCH($A431,EXTRATO!$A$2:$A$3000,0))="","",INDEX(EXTRATO!$C$2:$C$3000,MATCH($A431,EXTRATO!$A$2:$A$3000,0))))</f>
        <v>46132</v>
      </c>
      <c r="C431" s="86">
        <f t="shared" si="6"/>
        <v>4</v>
      </c>
      <c r="D431" s="81" t="s">
        <v>1330</v>
      </c>
      <c r="E431" s="79" t="s">
        <v>1673</v>
      </c>
      <c r="F431" s="80">
        <v>73.08</v>
      </c>
      <c r="G431" s="81" t="s">
        <v>656</v>
      </c>
      <c r="H431" s="86" t="str">
        <f>IF(A431="","",IF(INDEX(EXTRATO!$F$2:$F$3000,MATCH($A431,EXTRATO!$A$2:$A$3000,0))="","",INDEX(EXTRATO!$F$2:$F$3000,MATCH($A431,EXTRATO!$A$2:$A$3000,0))))</f>
        <v>SAÍDA</v>
      </c>
      <c r="I431" s="88" t="str">
        <f>IF(A431="","",IF(INDEX(EXTRATO!$H$2:$H$3000,MATCH($A431,EXTRATO!$A$2:$A$3000,0))="","",INDEX(EXTRATO!$H$2:$H$3000,MATCH($A431,EXTRATO!$A$2:$A$3000,0))))</f>
        <v>GRACE CASTELO BRANCO FREITAS</v>
      </c>
      <c r="J431" s="86" t="s">
        <v>1313</v>
      </c>
      <c r="K431" s="86" t="str">
        <f>IF(AND(A431="",D431="",E431="",F431=""),"",IF(D431="","SEM CATEGORIA",IF(E431="","SEM SUBCATEGORIA",IF(COUNTIFS(CADASTROS!$L$7:$L$93,D431,CADASTROS!$D$7:$D$93,E431)=0,"INCOMPATÍVEL","OK"))))</f>
        <v>OK</v>
      </c>
    </row>
    <row r="432" spans="1:11" ht="30" hidden="1" customHeight="1" x14ac:dyDescent="0.25">
      <c r="A432" s="86" t="s">
        <v>1805</v>
      </c>
      <c r="B432" s="85">
        <f>IF(A432="","",IF(INDEX(EXTRATO!$C$2:$C$3000,MATCH($A432,EXTRATO!$A$2:$A$3000,0))="","",INDEX(EXTRATO!$C$2:$C$3000,MATCH($A432,EXTRATO!$A$2:$A$3000,0))))</f>
        <v>46132</v>
      </c>
      <c r="C432" s="86">
        <f t="shared" si="6"/>
        <v>4</v>
      </c>
      <c r="D432" s="81" t="s">
        <v>1367</v>
      </c>
      <c r="E432" s="79" t="s">
        <v>1560</v>
      </c>
      <c r="F432" s="80">
        <v>3757</v>
      </c>
      <c r="G432" s="81" t="s">
        <v>658</v>
      </c>
      <c r="H432" s="86" t="str">
        <f>IF(A432="","",IF(INDEX(EXTRATO!$F$2:$F$3000,MATCH($A432,EXTRATO!$A$2:$A$3000,0))="","",INDEX(EXTRATO!$F$2:$F$3000,MATCH($A432,EXTRATO!$A$2:$A$3000,0))))</f>
        <v>SAÍDA</v>
      </c>
      <c r="I432" s="88" t="str">
        <f>IF(A432="","",IF(INDEX(EXTRATO!$H$2:$H$3000,MATCH($A432,EXTRATO!$A$2:$A$3000,0))="","",INDEX(EXTRATO!$H$2:$H$3000,MATCH($A432,EXTRATO!$A$2:$A$3000,0))))</f>
        <v>PANELA VELHA</v>
      </c>
      <c r="J432" s="86" t="s">
        <v>1313</v>
      </c>
      <c r="K432" s="86" t="str">
        <f>IF(AND(A432="",D432="",E432="",F432=""),"",IF(D432="","SEM CATEGORIA",IF(E432="","SEM SUBCATEGORIA",IF(COUNTIFS(CADASTROS!$L$7:$L$93,D432,CADASTROS!$D$7:$D$93,E432)=0,"INCOMPATÍVEL","OK"))))</f>
        <v>OK</v>
      </c>
    </row>
    <row r="433" spans="1:11" ht="30" hidden="1" customHeight="1" x14ac:dyDescent="0.25">
      <c r="A433" s="86" t="s">
        <v>1806</v>
      </c>
      <c r="B433" s="85">
        <f>IF(A433="","",IF(INDEX(EXTRATO!$C$2:$C$3000,MATCH($A433,EXTRATO!$A$2:$A$3000,0))="","",INDEX(EXTRATO!$C$2:$C$3000,MATCH($A433,EXTRATO!$A$2:$A$3000,0))))</f>
        <v>46132</v>
      </c>
      <c r="C433" s="86">
        <f t="shared" si="6"/>
        <v>4</v>
      </c>
      <c r="D433" s="81" t="s">
        <v>1415</v>
      </c>
      <c r="E433" s="79" t="s">
        <v>1657</v>
      </c>
      <c r="F433" s="80">
        <v>1800</v>
      </c>
      <c r="G433" s="81" t="s">
        <v>660</v>
      </c>
      <c r="H433" s="86" t="str">
        <f>IF(A433="","",IF(INDEX(EXTRATO!$F$2:$F$3000,MATCH($A433,EXTRATO!$A$2:$A$3000,0))="","",INDEX(EXTRATO!$F$2:$F$3000,MATCH($A433,EXTRATO!$A$2:$A$3000,0))))</f>
        <v>SAÍDA</v>
      </c>
      <c r="I433" s="88" t="str">
        <f>IF(A433="","",IF(INDEX(EXTRATO!$H$2:$H$3000,MATCH($A433,EXTRATO!$A$2:$A$3000,0))="","",INDEX(EXTRATO!$H$2:$H$3000,MATCH($A433,EXTRATO!$A$2:$A$3000,0))))</f>
        <v>FARMACÊUTICA GARDÊNIA</v>
      </c>
      <c r="J433" s="86" t="s">
        <v>1313</v>
      </c>
      <c r="K433" s="86" t="str">
        <f>IF(AND(A433="",D433="",E433="",F433=""),"",IF(D433="","SEM CATEGORIA",IF(E433="","SEM SUBCATEGORIA",IF(COUNTIFS(CADASTROS!$L$7:$L$93,D433,CADASTROS!$D$7:$D$93,E433)=0,"INCOMPATÍVEL","OK"))))</f>
        <v>OK</v>
      </c>
    </row>
    <row r="434" spans="1:11" ht="30" hidden="1" customHeight="1" x14ac:dyDescent="0.25">
      <c r="A434" s="86" t="s">
        <v>1807</v>
      </c>
      <c r="B434" s="85">
        <f>IF(A434="","",IF(INDEX(EXTRATO!$C$2:$C$3000,MATCH($A434,EXTRATO!$A$2:$A$3000,0))="","",INDEX(EXTRATO!$C$2:$C$3000,MATCH($A434,EXTRATO!$A$2:$A$3000,0))))</f>
        <v>46132</v>
      </c>
      <c r="C434" s="86">
        <f t="shared" si="6"/>
        <v>4</v>
      </c>
      <c r="D434" s="81" t="s">
        <v>1415</v>
      </c>
      <c r="E434" s="79" t="s">
        <v>1425</v>
      </c>
      <c r="F434" s="80">
        <v>200</v>
      </c>
      <c r="G434" s="81" t="s">
        <v>636</v>
      </c>
      <c r="H434" s="86" t="str">
        <f>IF(A434="","",IF(INDEX(EXTRATO!$F$2:$F$3000,MATCH($A434,EXTRATO!$A$2:$A$3000,0))="","",INDEX(EXTRATO!$F$2:$F$3000,MATCH($A434,EXTRATO!$A$2:$A$3000,0))))</f>
        <v>SAÍDA</v>
      </c>
      <c r="I434" s="88" t="str">
        <f>IF(A434="","",IF(INDEX(EXTRATO!$H$2:$H$3000,MATCH($A434,EXTRATO!$A$2:$A$3000,0))="","",INDEX(EXTRATO!$H$2:$H$3000,MATCH($A434,EXTRATO!$A$2:$A$3000,0))))</f>
        <v>CASAMATER</v>
      </c>
      <c r="J434" s="86" t="s">
        <v>1313</v>
      </c>
      <c r="K434" s="86" t="str">
        <f>IF(AND(A434="",D434="",E434="",F434=""),"",IF(D434="","SEM CATEGORIA",IF(E434="","SEM SUBCATEGORIA",IF(COUNTIFS(CADASTROS!$L$7:$L$93,D434,CADASTROS!$D$7:$D$93,E434)=0,"INCOMPATÍVEL","OK"))))</f>
        <v>OK</v>
      </c>
    </row>
    <row r="435" spans="1:11" ht="30" hidden="1" customHeight="1" x14ac:dyDescent="0.25">
      <c r="A435" s="86" t="s">
        <v>1808</v>
      </c>
      <c r="B435" s="85">
        <f>IF(A435="","",IF(INDEX(EXTRATO!$C$2:$C$3000,MATCH($A435,EXTRATO!$A$2:$A$3000,0))="","",INDEX(EXTRATO!$C$2:$C$3000,MATCH($A435,EXTRATO!$A$2:$A$3000,0))))</f>
        <v>46132</v>
      </c>
      <c r="C435" s="86">
        <f t="shared" si="6"/>
        <v>4</v>
      </c>
      <c r="D435" s="81" t="s">
        <v>1367</v>
      </c>
      <c r="E435" s="79" t="s">
        <v>164</v>
      </c>
      <c r="F435" s="80">
        <v>7476.61</v>
      </c>
      <c r="G435" s="81" t="s">
        <v>663</v>
      </c>
      <c r="H435" s="86" t="str">
        <f>IF(A435="","",IF(INDEX(EXTRATO!$F$2:$F$3000,MATCH($A435,EXTRATO!$A$2:$A$3000,0))="","",INDEX(EXTRATO!$F$2:$F$3000,MATCH($A435,EXTRATO!$A$2:$A$3000,0))))</f>
        <v>SAÍDA</v>
      </c>
      <c r="I435" s="88" t="str">
        <f>IF(A435="","",IF(INDEX(EXTRATO!$H$2:$H$3000,MATCH($A435,EXTRATO!$A$2:$A$3000,0))="","",INDEX(EXTRATO!$H$2:$H$3000,MATCH($A435,EXTRATO!$A$2:$A$3000,0))))</f>
        <v>FGTS</v>
      </c>
      <c r="J435" s="86" t="s">
        <v>1313</v>
      </c>
      <c r="K435" s="86" t="str">
        <f>IF(AND(A435="",D435="",E435="",F435=""),"",IF(D435="","SEM CATEGORIA",IF(E435="","SEM SUBCATEGORIA",IF(COUNTIFS(CADASTROS!$L$7:$L$93,D435,CADASTROS!$D$7:$D$93,E435)=0,"INCOMPATÍVEL","OK"))))</f>
        <v>OK</v>
      </c>
    </row>
    <row r="436" spans="1:11" ht="30" hidden="1" customHeight="1" x14ac:dyDescent="0.25">
      <c r="A436" s="86" t="s">
        <v>1811</v>
      </c>
      <c r="B436" s="85">
        <f>IF(A436="","",IF(INDEX(EXTRATO!$C$2:$C$3000,MATCH($A436,EXTRATO!$A$2:$A$3000,0))="","",INDEX(EXTRATO!$C$2:$C$3000,MATCH($A436,EXTRATO!$A$2:$A$3000,0))))</f>
        <v>46132</v>
      </c>
      <c r="C436" s="86">
        <f t="shared" si="6"/>
        <v>4</v>
      </c>
      <c r="D436" s="81" t="s">
        <v>1367</v>
      </c>
      <c r="E436" s="79" t="s">
        <v>167</v>
      </c>
      <c r="F436" s="80">
        <v>28402.02</v>
      </c>
      <c r="G436" s="81" t="s">
        <v>664</v>
      </c>
      <c r="H436" s="86" t="str">
        <f>IF(A436="","",IF(INDEX(EXTRATO!$F$2:$F$3000,MATCH($A436,EXTRATO!$A$2:$A$3000,0))="","",INDEX(EXTRATO!$F$2:$F$3000,MATCH($A436,EXTRATO!$A$2:$A$3000,0))))</f>
        <v>SAÍDA</v>
      </c>
      <c r="I436" s="88" t="str">
        <f>IF(A436="","",IF(INDEX(EXTRATO!$H$2:$H$3000,MATCH($A436,EXTRATO!$A$2:$A$3000,0))="","",INDEX(EXTRATO!$H$2:$H$3000,MATCH($A436,EXTRATO!$A$2:$A$3000,0))))</f>
        <v>INSS</v>
      </c>
      <c r="J436" s="86" t="s">
        <v>1313</v>
      </c>
      <c r="K436" s="86" t="str">
        <f>IF(AND(A436="",D436="",E436="",F436=""),"",IF(D436="","SEM CATEGORIA",IF(E436="","SEM SUBCATEGORIA",IF(COUNTIFS(CADASTROS!$L$7:$L$93,D436,CADASTROS!$D$7:$D$93,E436)=0,"INCOMPATÍVEL","OK"))))</f>
        <v>OK</v>
      </c>
    </row>
    <row r="437" spans="1:11" ht="30" hidden="1" customHeight="1" x14ac:dyDescent="0.25">
      <c r="A437" s="86" t="s">
        <v>1812</v>
      </c>
      <c r="B437" s="85">
        <f>IF(A437="","",IF(INDEX(EXTRATO!$C$2:$C$3000,MATCH($A437,EXTRATO!$A$2:$A$3000,0))="","",INDEX(EXTRATO!$C$2:$C$3000,MATCH($A437,EXTRATO!$A$2:$A$3000,0))))</f>
        <v>46132</v>
      </c>
      <c r="C437" s="86">
        <f t="shared" si="6"/>
        <v>4</v>
      </c>
      <c r="D437" s="81" t="s">
        <v>1388</v>
      </c>
      <c r="E437" s="79" t="s">
        <v>168</v>
      </c>
      <c r="F437" s="80">
        <v>51.18</v>
      </c>
      <c r="G437" s="81" t="s">
        <v>168</v>
      </c>
      <c r="H437" s="86" t="str">
        <f>IF(A437="","",IF(INDEX(EXTRATO!$F$2:$F$3000,MATCH($A437,EXTRATO!$A$2:$A$3000,0))="","",INDEX(EXTRATO!$F$2:$F$3000,MATCH($A437,EXTRATO!$A$2:$A$3000,0))))</f>
        <v>SAÍDA</v>
      </c>
      <c r="I437" s="88" t="str">
        <f>IF(A437="","",IF(INDEX(EXTRATO!$H$2:$H$3000,MATCH($A437,EXTRATO!$A$2:$A$3000,0))="","",INDEX(EXTRATO!$H$2:$H$3000,MATCH($A437,EXTRATO!$A$2:$A$3000,0))))</f>
        <v>TRIBUTOS FEDEREIAS MENSAIS</v>
      </c>
      <c r="J437" s="86" t="s">
        <v>1313</v>
      </c>
      <c r="K437" s="86" t="str">
        <f>IF(AND(A437="",D437="",E437="",F437=""),"",IF(D437="","SEM CATEGORIA",IF(E437="","SEM SUBCATEGORIA",IF(COUNTIFS(CADASTROS!$L$7:$L$93,D437,CADASTROS!$D$7:$D$93,E437)=0,"INCOMPATÍVEL","OK"))))</f>
        <v>OK</v>
      </c>
    </row>
    <row r="438" spans="1:11" ht="30" hidden="1" customHeight="1" x14ac:dyDescent="0.25">
      <c r="A438" s="86" t="s">
        <v>1813</v>
      </c>
      <c r="B438" s="85">
        <f>IF(A438="","",IF(INDEX(EXTRATO!$C$2:$C$3000,MATCH($A438,EXTRATO!$A$2:$A$3000,0))="","",INDEX(EXTRATO!$C$2:$C$3000,MATCH($A438,EXTRATO!$A$2:$A$3000,0))))</f>
        <v>46132</v>
      </c>
      <c r="C438" s="86">
        <f t="shared" si="6"/>
        <v>4</v>
      </c>
      <c r="D438" s="81" t="s">
        <v>1388</v>
      </c>
      <c r="E438" s="79" t="s">
        <v>170</v>
      </c>
      <c r="F438" s="80">
        <v>16.510000000000002</v>
      </c>
      <c r="G438" s="81" t="s">
        <v>170</v>
      </c>
      <c r="H438" s="86" t="str">
        <f>IF(A438="","",IF(INDEX(EXTRATO!$F$2:$F$3000,MATCH($A438,EXTRATO!$A$2:$A$3000,0))="","",INDEX(EXTRATO!$F$2:$F$3000,MATCH($A438,EXTRATO!$A$2:$A$3000,0))))</f>
        <v>SAÍDA</v>
      </c>
      <c r="I438" s="88" t="str">
        <f>IF(A438="","",IF(INDEX(EXTRATO!$H$2:$H$3000,MATCH($A438,EXTRATO!$A$2:$A$3000,0))="","",INDEX(EXTRATO!$H$2:$H$3000,MATCH($A438,EXTRATO!$A$2:$A$3000,0))))</f>
        <v>TRIBUTOS FEDEREIAS MENSAIS</v>
      </c>
      <c r="J438" s="86" t="s">
        <v>1313</v>
      </c>
      <c r="K438" s="86" t="str">
        <f>IF(AND(A438="",D438="",E438="",F438=""),"",IF(D438="","SEM CATEGORIA",IF(E438="","SEM SUBCATEGORIA",IF(COUNTIFS(CADASTROS!$L$7:$L$93,D438,CADASTROS!$D$7:$D$93,E438)=0,"INCOMPATÍVEL","OK"))))</f>
        <v>OK</v>
      </c>
    </row>
    <row r="439" spans="1:11" ht="30" hidden="1" customHeight="1" x14ac:dyDescent="0.25">
      <c r="A439" s="86" t="s">
        <v>1814</v>
      </c>
      <c r="B439" s="85">
        <f>IF(A439="","",IF(INDEX(EXTRATO!$C$2:$C$3000,MATCH($A439,EXTRATO!$A$2:$A$3000,0))="","",INDEX(EXTRATO!$C$2:$C$3000,MATCH($A439,EXTRATO!$A$2:$A$3000,0))))</f>
        <v>46132</v>
      </c>
      <c r="C439" s="86">
        <f t="shared" si="6"/>
        <v>4</v>
      </c>
      <c r="D439" s="81" t="s">
        <v>1330</v>
      </c>
      <c r="E439" s="79" t="s">
        <v>1379</v>
      </c>
      <c r="F439" s="80">
        <v>300</v>
      </c>
      <c r="G439" s="81" t="s">
        <v>513</v>
      </c>
      <c r="H439" s="86" t="str">
        <f>IF(A439="","",IF(INDEX(EXTRATO!$F$2:$F$3000,MATCH($A439,EXTRATO!$A$2:$A$3000,0))="","",INDEX(EXTRATO!$F$2:$F$3000,MATCH($A439,EXTRATO!$A$2:$A$3000,0))))</f>
        <v>SAÍDA</v>
      </c>
      <c r="I439" s="88" t="str">
        <f>IF(A439="","",IF(INDEX(EXTRATO!$H$2:$H$3000,MATCH($A439,EXTRATO!$A$2:$A$3000,0))="","",INDEX(EXTRATO!$H$2:$H$3000,MATCH($A439,EXTRATO!$A$2:$A$3000,0))))</f>
        <v>CASSIANO &amp; CASSINOS CONTABILIDADE</v>
      </c>
      <c r="J439" s="86" t="s">
        <v>1313</v>
      </c>
      <c r="K439" s="86" t="str">
        <f>IF(AND(A439="",D439="",E439="",F439=""),"",IF(D439="","SEM CATEGORIA",IF(E439="","SEM SUBCATEGORIA",IF(COUNTIFS(CADASTROS!$L$7:$L$93,D439,CADASTROS!$D$7:$D$93,E439)=0,"INCOMPATÍVEL","OK"))))</f>
        <v>OK</v>
      </c>
    </row>
    <row r="440" spans="1:11" ht="30" hidden="1" customHeight="1" x14ac:dyDescent="0.25">
      <c r="A440" s="86" t="s">
        <v>1815</v>
      </c>
      <c r="B440" s="85">
        <f>IF(A440="","",IF(INDEX(EXTRATO!$C$2:$C$3000,MATCH($A440,EXTRATO!$A$2:$A$3000,0))="","",INDEX(EXTRATO!$C$2:$C$3000,MATCH($A440,EXTRATO!$A$2:$A$3000,0))))</f>
        <v>46134</v>
      </c>
      <c r="C440" s="86">
        <f t="shared" si="6"/>
        <v>4</v>
      </c>
      <c r="D440" s="81" t="s">
        <v>1330</v>
      </c>
      <c r="E440" s="79" t="s">
        <v>1673</v>
      </c>
      <c r="F440" s="80">
        <v>43.37</v>
      </c>
      <c r="G440" s="81" t="s">
        <v>666</v>
      </c>
      <c r="H440" s="86" t="str">
        <f>IF(A440="","",IF(INDEX(EXTRATO!$F$2:$F$3000,MATCH($A440,EXTRATO!$A$2:$A$3000,0))="","",INDEX(EXTRATO!$F$2:$F$3000,MATCH($A440,EXTRATO!$A$2:$A$3000,0))))</f>
        <v>SAÍDA</v>
      </c>
      <c r="I440" s="88" t="str">
        <f>IF(A440="","",IF(INDEX(EXTRATO!$H$2:$H$3000,MATCH($A440,EXTRATO!$A$2:$A$3000,0))="","",INDEX(EXTRATO!$H$2:$H$3000,MATCH($A440,EXTRATO!$A$2:$A$3000,0))))</f>
        <v>NADJA KARINA BUNA ASSSUNCA</v>
      </c>
      <c r="J440" s="86" t="s">
        <v>1313</v>
      </c>
      <c r="K440" s="86" t="str">
        <f>IF(AND(A440="",D440="",E440="",F440=""),"",IF(D440="","SEM CATEGORIA",IF(E440="","SEM SUBCATEGORIA",IF(COUNTIFS(CADASTROS!$L$7:$L$93,D440,CADASTROS!$D$7:$D$93,E440)=0,"INCOMPATÍVEL","OK"))))</f>
        <v>OK</v>
      </c>
    </row>
    <row r="441" spans="1:11" ht="30" hidden="1" customHeight="1" x14ac:dyDescent="0.25">
      <c r="A441" s="86" t="s">
        <v>1816</v>
      </c>
      <c r="B441" s="85">
        <f>IF(A441="","",IF(INDEX(EXTRATO!$C$2:$C$3000,MATCH($A441,EXTRATO!$A$2:$A$3000,0))="","",INDEX(EXTRATO!$C$2:$C$3000,MATCH($A441,EXTRATO!$A$2:$A$3000,0))))</f>
        <v>46135</v>
      </c>
      <c r="C441" s="86">
        <f t="shared" si="6"/>
        <v>4</v>
      </c>
      <c r="D441" s="81" t="s">
        <v>1370</v>
      </c>
      <c r="E441" s="79" t="s">
        <v>1742</v>
      </c>
      <c r="F441" s="80">
        <v>374.56</v>
      </c>
      <c r="G441" s="81" t="s">
        <v>667</v>
      </c>
      <c r="H441" s="86" t="str">
        <f>IF(A441="","",IF(INDEX(EXTRATO!$F$2:$F$3000,MATCH($A441,EXTRATO!$A$2:$A$3000,0))="","",INDEX(EXTRATO!$F$2:$F$3000,MATCH($A441,EXTRATO!$A$2:$A$3000,0))))</f>
        <v>SAÍDA</v>
      </c>
      <c r="I441" s="88" t="str">
        <f>IF(A441="","",IF(INDEX(EXTRATO!$H$2:$H$3000,MATCH($A441,EXTRATO!$A$2:$A$3000,0))="","",INDEX(EXTRATO!$H$2:$H$3000,MATCH($A441,EXTRATO!$A$2:$A$3000,0))))</f>
        <v>ANTONIO SANTOS LIMA FILHO</v>
      </c>
      <c r="J441" s="86" t="s">
        <v>1313</v>
      </c>
      <c r="K441" s="86" t="str">
        <f>IF(AND(A441="",D441="",E441="",F441=""),"",IF(D441="","SEM CATEGORIA",IF(E441="","SEM SUBCATEGORIA",IF(COUNTIFS(CADASTROS!$L$7:$L$93,D441,CADASTROS!$D$7:$D$93,E441)=0,"INCOMPATÍVEL","OK"))))</f>
        <v>OK</v>
      </c>
    </row>
    <row r="442" spans="1:11" ht="30" hidden="1" customHeight="1" x14ac:dyDescent="0.25">
      <c r="A442" s="86" t="s">
        <v>1817</v>
      </c>
      <c r="B442" s="85">
        <f>IF(A442="","",IF(INDEX(EXTRATO!$C$2:$C$3000,MATCH($A442,EXTRATO!$A$2:$A$3000,0))="","",INDEX(EXTRATO!$C$2:$C$3000,MATCH($A442,EXTRATO!$A$2:$A$3000,0))))</f>
        <v>46135</v>
      </c>
      <c r="C442" s="86">
        <f t="shared" si="6"/>
        <v>4</v>
      </c>
      <c r="D442" s="81" t="s">
        <v>1311</v>
      </c>
      <c r="E442" s="79" t="s">
        <v>1470</v>
      </c>
      <c r="F442" s="80">
        <v>1212.9100000000001</v>
      </c>
      <c r="G442" s="81" t="s">
        <v>218</v>
      </c>
      <c r="H442" s="86" t="str">
        <f>IF(A442="","",IF(INDEX(EXTRATO!$F$2:$F$3000,MATCH($A442,EXTRATO!$A$2:$A$3000,0))="","",INDEX(EXTRATO!$F$2:$F$3000,MATCH($A442,EXTRATO!$A$2:$A$3000,0))))</f>
        <v>SAÍDA</v>
      </c>
      <c r="I442" s="88" t="str">
        <f>IF(A442="","",IF(INDEX(EXTRATO!$H$2:$H$3000,MATCH($A442,EXTRATO!$A$2:$A$3000,0))="","",INDEX(EXTRATO!$H$2:$H$3000,MATCH($A442,EXTRATO!$A$2:$A$3000,0))))</f>
        <v>QUALIÁGUA</v>
      </c>
      <c r="J442" s="86" t="s">
        <v>1313</v>
      </c>
      <c r="K442" s="86" t="str">
        <f>IF(AND(A442="",D442="",E442="",F442=""),"",IF(D442="","SEM CATEGORIA",IF(E442="","SEM SUBCATEGORIA",IF(COUNTIFS(CADASTROS!$L$7:$L$93,D442,CADASTROS!$D$7:$D$93,E442)=0,"INCOMPATÍVEL","OK"))))</f>
        <v>OK</v>
      </c>
    </row>
    <row r="443" spans="1:11" ht="30" hidden="1" customHeight="1" x14ac:dyDescent="0.25">
      <c r="A443" s="86" t="s">
        <v>1818</v>
      </c>
      <c r="B443" s="85">
        <f>IF(A443="","",IF(INDEX(EXTRATO!$C$2:$C$3000,MATCH($A443,EXTRATO!$A$2:$A$3000,0))="","",INDEX(EXTRATO!$C$2:$C$3000,MATCH($A443,EXTRATO!$A$2:$A$3000,0))))</f>
        <v>46136</v>
      </c>
      <c r="C443" s="86">
        <f t="shared" si="6"/>
        <v>4</v>
      </c>
      <c r="D443" s="81" t="s">
        <v>1330</v>
      </c>
      <c r="E443" s="79" t="s">
        <v>1352</v>
      </c>
      <c r="F443" s="80">
        <v>72</v>
      </c>
      <c r="G443" s="81" t="s">
        <v>670</v>
      </c>
      <c r="H443" s="86" t="str">
        <f>IF(A443="","",IF(INDEX(EXTRATO!$F$2:$F$3000,MATCH($A443,EXTRATO!$A$2:$A$3000,0))="","",INDEX(EXTRATO!$F$2:$F$3000,MATCH($A443,EXTRATO!$A$2:$A$3000,0))))</f>
        <v>SAÍDA</v>
      </c>
      <c r="I443" s="88" t="str">
        <f>IF(A443="","",IF(INDEX(EXTRATO!$H$2:$H$3000,MATCH($A443,EXTRATO!$A$2:$A$3000,0))="","",INDEX(EXTRATO!$H$2:$H$3000,MATCH($A443,EXTRATO!$A$2:$A$3000,0))))</f>
        <v>ESTADO DO MARANHÃO</v>
      </c>
      <c r="J443" s="86" t="s">
        <v>1313</v>
      </c>
      <c r="K443" s="86" t="str">
        <f>IF(AND(A443="",D443="",E443="",F443=""),"",IF(D443="","SEM CATEGORIA",IF(E443="","SEM SUBCATEGORIA",IF(COUNTIFS(CADASTROS!$L$7:$L$93,D443,CADASTROS!$D$7:$D$93,E443)=0,"INCOMPATÍVEL","OK"))))</f>
        <v>OK</v>
      </c>
    </row>
    <row r="444" spans="1:11" ht="30" hidden="1" customHeight="1" x14ac:dyDescent="0.25">
      <c r="A444" s="86" t="s">
        <v>1819</v>
      </c>
      <c r="B444" s="85">
        <f>IF(A444="","",IF(INDEX(EXTRATO!$C$2:$C$3000,MATCH($A444,EXTRATO!$A$2:$A$3000,0))="","",INDEX(EXTRATO!$C$2:$C$3000,MATCH($A444,EXTRATO!$A$2:$A$3000,0))))</f>
        <v>46136</v>
      </c>
      <c r="C444" s="86">
        <f t="shared" si="6"/>
        <v>4</v>
      </c>
      <c r="D444" s="81" t="s">
        <v>1454</v>
      </c>
      <c r="E444" s="79" t="s">
        <v>2760</v>
      </c>
      <c r="F444" s="80">
        <v>1050</v>
      </c>
      <c r="G444" s="81" t="s">
        <v>673</v>
      </c>
      <c r="H444" s="86" t="str">
        <f>IF(A444="","",IF(INDEX(EXTRATO!$F$2:$F$3000,MATCH($A444,EXTRATO!$A$2:$A$3000,0))="","",INDEX(EXTRATO!$F$2:$F$3000,MATCH($A444,EXTRATO!$A$2:$A$3000,0))))</f>
        <v>SAÍDA</v>
      </c>
      <c r="I444" s="88" t="str">
        <f>IF(A444="","",IF(INDEX(EXTRATO!$H$2:$H$3000,MATCH($A444,EXTRATO!$A$2:$A$3000,0))="","",INDEX(EXTRATO!$H$2:$H$3000,MATCH($A444,EXTRATO!$A$2:$A$3000,0))))</f>
        <v>FRANCISCO DAS CHAGAS DA SILVA COSTA</v>
      </c>
      <c r="J444" s="86" t="s">
        <v>1455</v>
      </c>
      <c r="K444" s="86" t="str">
        <f>IF(AND(A444="",D444="",E444="",F444=""),"",IF(D444="","SEM CATEGORIA",IF(E444="","SEM SUBCATEGORIA",IF(COUNTIFS(CADASTROS!$L$7:$L$93,D444,CADASTROS!$D$7:$D$93,E444)=0,"INCOMPATÍVEL","OK"))))</f>
        <v>OK</v>
      </c>
    </row>
    <row r="445" spans="1:11" ht="30" hidden="1" customHeight="1" x14ac:dyDescent="0.25">
      <c r="A445" s="86" t="s">
        <v>1820</v>
      </c>
      <c r="B445" s="85">
        <f>IF(A445="","",IF(INDEX(EXTRATO!$C$2:$C$3000,MATCH($A445,EXTRATO!$A$2:$A$3000,0))="","",INDEX(EXTRATO!$C$2:$C$3000,MATCH($A445,EXTRATO!$A$2:$A$3000,0))))</f>
        <v>46136</v>
      </c>
      <c r="C445" s="86">
        <f t="shared" si="6"/>
        <v>4</v>
      </c>
      <c r="D445" s="81" t="s">
        <v>1388</v>
      </c>
      <c r="E445" s="79" t="s">
        <v>179</v>
      </c>
      <c r="F445" s="80">
        <v>6707.31</v>
      </c>
      <c r="G445" s="81" t="s">
        <v>179</v>
      </c>
      <c r="H445" s="86" t="str">
        <f>IF(A445="","",IF(INDEX(EXTRATO!$F$2:$F$3000,MATCH($A445,EXTRATO!$A$2:$A$3000,0))="","",INDEX(EXTRATO!$F$2:$F$3000,MATCH($A445,EXTRATO!$A$2:$A$3000,0))))</f>
        <v>SAÍDA</v>
      </c>
      <c r="I445" s="88" t="str">
        <f>IF(A445="","",IF(INDEX(EXTRATO!$H$2:$H$3000,MATCH($A445,EXTRATO!$A$2:$A$3000,0))="","",INDEX(EXTRATO!$H$2:$H$3000,MATCH($A445,EXTRATO!$A$2:$A$3000,0))))</f>
        <v>PIS</v>
      </c>
      <c r="J445" s="86" t="s">
        <v>1313</v>
      </c>
      <c r="K445" s="86" t="str">
        <f>IF(AND(A445="",D445="",E445="",F445=""),"",IF(D445="","SEM CATEGORIA",IF(E445="","SEM SUBCATEGORIA",IF(COUNTIFS(CADASTROS!$L$7:$L$93,D445,CADASTROS!$D$7:$D$93,E445)=0,"INCOMPATÍVEL","OK"))))</f>
        <v>OK</v>
      </c>
    </row>
    <row r="446" spans="1:11" ht="30" hidden="1" customHeight="1" x14ac:dyDescent="0.25">
      <c r="A446" s="86" t="s">
        <v>1821</v>
      </c>
      <c r="B446" s="85">
        <f>IF(A446="","",IF(INDEX(EXTRATO!$C$2:$C$3000,MATCH($A446,EXTRATO!$A$2:$A$3000,0))="","",INDEX(EXTRATO!$C$2:$C$3000,MATCH($A446,EXTRATO!$A$2:$A$3000,0))))</f>
        <v>46136</v>
      </c>
      <c r="C446" s="86">
        <f t="shared" si="6"/>
        <v>4</v>
      </c>
      <c r="D446" s="81" t="s">
        <v>1388</v>
      </c>
      <c r="E446" s="79" t="s">
        <v>180</v>
      </c>
      <c r="F446" s="80">
        <v>30956.81</v>
      </c>
      <c r="G446" s="81" t="s">
        <v>180</v>
      </c>
      <c r="H446" s="86" t="str">
        <f>IF(A446="","",IF(INDEX(EXTRATO!$F$2:$F$3000,MATCH($A446,EXTRATO!$A$2:$A$3000,0))="","",INDEX(EXTRATO!$F$2:$F$3000,MATCH($A446,EXTRATO!$A$2:$A$3000,0))))</f>
        <v>SAÍDA</v>
      </c>
      <c r="I446" s="88" t="str">
        <f>IF(A446="","",IF(INDEX(EXTRATO!$H$2:$H$3000,MATCH($A446,EXTRATO!$A$2:$A$3000,0))="","",INDEX(EXTRATO!$H$2:$H$3000,MATCH($A446,EXTRATO!$A$2:$A$3000,0))))</f>
        <v>COFINS</v>
      </c>
      <c r="J446" s="86" t="s">
        <v>1313</v>
      </c>
      <c r="K446" s="86" t="str">
        <f>IF(AND(A446="",D446="",E446="",F446=""),"",IF(D446="","SEM CATEGORIA",IF(E446="","SEM SUBCATEGORIA",IF(COUNTIFS(CADASTROS!$L$7:$L$93,D446,CADASTROS!$D$7:$D$93,E446)=0,"INCOMPATÍVEL","OK"))))</f>
        <v>OK</v>
      </c>
    </row>
    <row r="447" spans="1:11" ht="30" hidden="1" customHeight="1" x14ac:dyDescent="0.25">
      <c r="A447" s="86" t="s">
        <v>1822</v>
      </c>
      <c r="B447" s="85">
        <f>IF(A447="","",IF(INDEX(EXTRATO!$C$2:$C$3000,MATCH($A447,EXTRATO!$A$2:$A$3000,0))="","",INDEX(EXTRATO!$C$2:$C$3000,MATCH($A447,EXTRATO!$A$2:$A$3000,0))))</f>
        <v>46139</v>
      </c>
      <c r="C447" s="86">
        <f t="shared" si="6"/>
        <v>4</v>
      </c>
      <c r="D447" s="81" t="s">
        <v>1330</v>
      </c>
      <c r="E447" s="79" t="s">
        <v>1673</v>
      </c>
      <c r="F447" s="80">
        <v>10002.629999999999</v>
      </c>
      <c r="G447" s="81" t="s">
        <v>674</v>
      </c>
      <c r="H447" s="86" t="str">
        <f>IF(A447="","",IF(INDEX(EXTRATO!$F$2:$F$3000,MATCH($A447,EXTRATO!$A$2:$A$3000,0))="","",INDEX(EXTRATO!$F$2:$F$3000,MATCH($A447,EXTRATO!$A$2:$A$3000,0))))</f>
        <v>SAÍDA</v>
      </c>
      <c r="I447" s="88" t="str">
        <f>IF(A447="","",IF(INDEX(EXTRATO!$H$2:$H$3000,MATCH($A447,EXTRATO!$A$2:$A$3000,0))="","",INDEX(EXTRATO!$H$2:$H$3000,MATCH($A447,EXTRATO!$A$2:$A$3000,0))))</f>
        <v>NADJA KARINA BUNA ASSSUNCA</v>
      </c>
      <c r="J447" s="86" t="s">
        <v>1313</v>
      </c>
      <c r="K447" s="86" t="str">
        <f>IF(AND(A447="",D447="",E447="",F447=""),"",IF(D447="","SEM CATEGORIA",IF(E447="","SEM SUBCATEGORIA",IF(COUNTIFS(CADASTROS!$L$7:$L$93,D447,CADASTROS!$D$7:$D$93,E447)=0,"INCOMPATÍVEL","OK"))))</f>
        <v>OK</v>
      </c>
    </row>
    <row r="448" spans="1:11" ht="30" hidden="1" customHeight="1" x14ac:dyDescent="0.25">
      <c r="A448" s="86" t="s">
        <v>1823</v>
      </c>
      <c r="B448" s="85">
        <f>IF(A448="","",IF(INDEX(EXTRATO!$C$2:$C$3000,MATCH($A448,EXTRATO!$A$2:$A$3000,0))="","",INDEX(EXTRATO!$C$2:$C$3000,MATCH($A448,EXTRATO!$A$2:$A$3000,0))))</f>
        <v>46139</v>
      </c>
      <c r="C448" s="86">
        <f t="shared" si="6"/>
        <v>4</v>
      </c>
      <c r="D448" s="81" t="s">
        <v>1370</v>
      </c>
      <c r="E448" s="79" t="s">
        <v>1371</v>
      </c>
      <c r="F448" s="80">
        <v>157.80000000000001</v>
      </c>
      <c r="G448" s="81" t="s">
        <v>676</v>
      </c>
      <c r="H448" s="86" t="str">
        <f>IF(A448="","",IF(INDEX(EXTRATO!$F$2:$F$3000,MATCH($A448,EXTRATO!$A$2:$A$3000,0))="","",INDEX(EXTRATO!$F$2:$F$3000,MATCH($A448,EXTRATO!$A$2:$A$3000,0))))</f>
        <v>SAÍDA</v>
      </c>
      <c r="I448" s="88" t="str">
        <f>IF(A448="","",IF(INDEX(EXTRATO!$H$2:$H$3000,MATCH($A448,EXTRATO!$A$2:$A$3000,0))="","",INDEX(EXTRATO!$H$2:$H$3000,MATCH($A448,EXTRATO!$A$2:$A$3000,0))))</f>
        <v>MARKETPLACE MERCADO LIVRE</v>
      </c>
      <c r="J448" s="86" t="s">
        <v>1313</v>
      </c>
      <c r="K448" s="86" t="str">
        <f>IF(AND(A448="",D448="",E448="",F448=""),"",IF(D448="","SEM CATEGORIA",IF(E448="","SEM SUBCATEGORIA",IF(COUNTIFS(CADASTROS!$L$7:$L$93,D448,CADASTROS!$D$7:$D$93,E448)=0,"INCOMPATÍVEL","OK"))))</f>
        <v>OK</v>
      </c>
    </row>
    <row r="449" spans="1:11" ht="30" hidden="1" customHeight="1" x14ac:dyDescent="0.25">
      <c r="A449" s="86" t="s">
        <v>1824</v>
      </c>
      <c r="B449" s="85">
        <f>IF(A449="","",IF(INDEX(EXTRATO!$C$2:$C$3000,MATCH($A449,EXTRATO!$A$2:$A$3000,0))="","",INDEX(EXTRATO!$C$2:$C$3000,MATCH($A449,EXTRATO!$A$2:$A$3000,0))))</f>
        <v>46139</v>
      </c>
      <c r="C449" s="86">
        <f t="shared" si="6"/>
        <v>4</v>
      </c>
      <c r="D449" s="81" t="s">
        <v>1330</v>
      </c>
      <c r="E449" s="79" t="s">
        <v>1352</v>
      </c>
      <c r="F449" s="80">
        <v>400</v>
      </c>
      <c r="G449" s="81" t="s">
        <v>678</v>
      </c>
      <c r="H449" s="86" t="str">
        <f>IF(A449="","",IF(INDEX(EXTRATO!$F$2:$F$3000,MATCH($A449,EXTRATO!$A$2:$A$3000,0))="","",INDEX(EXTRATO!$F$2:$F$3000,MATCH($A449,EXTRATO!$A$2:$A$3000,0))))</f>
        <v>SAÍDA</v>
      </c>
      <c r="I449" s="88" t="str">
        <f>IF(A449="","",IF(INDEX(EXTRATO!$H$2:$H$3000,MATCH($A449,EXTRATO!$A$2:$A$3000,0))="","",INDEX(EXTRATO!$H$2:$H$3000,MATCH($A449,EXTRATO!$A$2:$A$3000,0))))</f>
        <v>ABCDT</v>
      </c>
      <c r="J449" s="86" t="s">
        <v>1313</v>
      </c>
      <c r="K449" s="86" t="str">
        <f>IF(AND(A449="",D449="",E449="",F449=""),"",IF(D449="","SEM CATEGORIA",IF(E449="","SEM SUBCATEGORIA",IF(COUNTIFS(CADASTROS!$L$7:$L$93,D449,CADASTROS!$D$7:$D$93,E449)=0,"INCOMPATÍVEL","OK"))))</f>
        <v>OK</v>
      </c>
    </row>
    <row r="450" spans="1:11" ht="30" hidden="1" customHeight="1" x14ac:dyDescent="0.25">
      <c r="A450" s="86" t="s">
        <v>1825</v>
      </c>
      <c r="B450" s="85">
        <f>IF(A450="","",IF(INDEX(EXTRATO!$C$2:$C$3000,MATCH($A450,EXTRATO!$A$2:$A$3000,0))="","",INDEX(EXTRATO!$C$2:$C$3000,MATCH($A450,EXTRATO!$A$2:$A$3000,0))))</f>
        <v>46139</v>
      </c>
      <c r="C450" s="86">
        <f t="shared" ref="C450:C513" si="7">IF(B450="","",MONTH(B450))</f>
        <v>4</v>
      </c>
      <c r="D450" s="81" t="s">
        <v>1330</v>
      </c>
      <c r="E450" s="79" t="s">
        <v>1337</v>
      </c>
      <c r="F450" s="80">
        <v>294.54000000000002</v>
      </c>
      <c r="G450" s="81" t="s">
        <v>403</v>
      </c>
      <c r="H450" s="86" t="str">
        <f>IF(A450="","",IF(INDEX(EXTRATO!$F$2:$F$3000,MATCH($A450,EXTRATO!$A$2:$A$3000,0))="","",INDEX(EXTRATO!$F$2:$F$3000,MATCH($A450,EXTRATO!$A$2:$A$3000,0))))</f>
        <v>SAÍDA</v>
      </c>
      <c r="I450" s="88" t="str">
        <f>IF(A450="","",IF(INDEX(EXTRATO!$H$2:$H$3000,MATCH($A450,EXTRATO!$A$2:$A$3000,0))="","",INDEX(EXTRATO!$H$2:$H$3000,MATCH($A450,EXTRATO!$A$2:$A$3000,0))))</f>
        <v>C C OLIVEIRA LEITE</v>
      </c>
      <c r="J450" s="86" t="s">
        <v>1313</v>
      </c>
      <c r="K450" s="86" t="str">
        <f>IF(AND(A450="",D450="",E450="",F450=""),"",IF(D450="","SEM CATEGORIA",IF(E450="","SEM SUBCATEGORIA",IF(COUNTIFS(CADASTROS!$L$7:$L$93,D450,CADASTROS!$D$7:$D$93,E450)=0,"INCOMPATÍVEL","OK"))))</f>
        <v>OK</v>
      </c>
    </row>
    <row r="451" spans="1:11" ht="30" hidden="1" customHeight="1" x14ac:dyDescent="0.25">
      <c r="A451" s="86" t="s">
        <v>1826</v>
      </c>
      <c r="B451" s="85">
        <f>IF(A451="","",IF(INDEX(EXTRATO!$C$2:$C$3000,MATCH($A451,EXTRATO!$A$2:$A$3000,0))="","",INDEX(EXTRATO!$C$2:$C$3000,MATCH($A451,EXTRATO!$A$2:$A$3000,0))))</f>
        <v>46139</v>
      </c>
      <c r="C451" s="86">
        <f t="shared" si="7"/>
        <v>4</v>
      </c>
      <c r="D451" s="81" t="s">
        <v>1311</v>
      </c>
      <c r="E451" s="79" t="s">
        <v>1312</v>
      </c>
      <c r="F451" s="80">
        <v>1495</v>
      </c>
      <c r="G451" s="81" t="s">
        <v>323</v>
      </c>
      <c r="H451" s="86" t="str">
        <f>IF(A451="","",IF(INDEX(EXTRATO!$F$2:$F$3000,MATCH($A451,EXTRATO!$A$2:$A$3000,0))="","",INDEX(EXTRATO!$F$2:$F$3000,MATCH($A451,EXTRATO!$A$2:$A$3000,0))))</f>
        <v>SAÍDA</v>
      </c>
      <c r="I451" s="88" t="str">
        <f>IF(A451="","",IF(INDEX(EXTRATO!$H$2:$H$3000,MATCH($A451,EXTRATO!$A$2:$A$3000,0))="","",INDEX(EXTRATO!$H$2:$H$3000,MATCH($A451,EXTRATO!$A$2:$A$3000,0))))</f>
        <v>COOP. UNIMED</v>
      </c>
      <c r="J451" s="86" t="s">
        <v>1313</v>
      </c>
      <c r="K451" s="86" t="str">
        <f>IF(AND(A451="",D451="",E451="",F451=""),"",IF(D451="","SEM CATEGORIA",IF(E451="","SEM SUBCATEGORIA",IF(COUNTIFS(CADASTROS!$L$7:$L$93,D451,CADASTROS!$D$7:$D$93,E451)=0,"INCOMPATÍVEL","OK"))))</f>
        <v>OK</v>
      </c>
    </row>
    <row r="452" spans="1:11" ht="30" hidden="1" customHeight="1" x14ac:dyDescent="0.25">
      <c r="A452" s="86" t="s">
        <v>1827</v>
      </c>
      <c r="B452" s="85">
        <f>IF(A452="","",IF(INDEX(EXTRATO!$C$2:$C$3000,MATCH($A452,EXTRATO!$A$2:$A$3000,0))="","",INDEX(EXTRATO!$C$2:$C$3000,MATCH($A452,EXTRATO!$A$2:$A$3000,0))))</f>
        <v>46140</v>
      </c>
      <c r="C452" s="86">
        <f t="shared" si="7"/>
        <v>4</v>
      </c>
      <c r="D452" s="81" t="s">
        <v>1311</v>
      </c>
      <c r="E452" s="79" t="s">
        <v>1376</v>
      </c>
      <c r="F452" s="80">
        <v>3600</v>
      </c>
      <c r="G452" s="81" t="s">
        <v>681</v>
      </c>
      <c r="H452" s="86" t="str">
        <f>IF(A452="","",IF(INDEX(EXTRATO!$F$2:$F$3000,MATCH($A452,EXTRATO!$A$2:$A$3000,0))="","",INDEX(EXTRATO!$F$2:$F$3000,MATCH($A452,EXTRATO!$A$2:$A$3000,0))))</f>
        <v>SAÍDA</v>
      </c>
      <c r="I452" s="88" t="str">
        <f>IF(A452="","",IF(INDEX(EXTRATO!$H$2:$H$3000,MATCH($A452,EXTRATO!$A$2:$A$3000,0))="","",INDEX(EXTRATO!$H$2:$H$3000,MATCH($A452,EXTRATO!$A$2:$A$3000,0))))</f>
        <v>NIPRO</v>
      </c>
      <c r="J452" s="86" t="s">
        <v>1313</v>
      </c>
      <c r="K452" s="86" t="str">
        <f>IF(AND(A452="",D452="",E452="",F452=""),"",IF(D452="","SEM CATEGORIA",IF(E452="","SEM SUBCATEGORIA",IF(COUNTIFS(CADASTROS!$L$7:$L$93,D452,CADASTROS!$D$7:$D$93,E452)=0,"INCOMPATÍVEL","OK"))))</f>
        <v>OK</v>
      </c>
    </row>
    <row r="453" spans="1:11" ht="30" hidden="1" customHeight="1" x14ac:dyDescent="0.25">
      <c r="A453" s="86" t="s">
        <v>1828</v>
      </c>
      <c r="B453" s="85">
        <f>IF(A453="","",IF(INDEX(EXTRATO!$C$2:$C$3000,MATCH($A453,EXTRATO!$A$2:$A$3000,0))="","",INDEX(EXTRATO!$C$2:$C$3000,MATCH($A453,EXTRATO!$A$2:$A$3000,0))))</f>
        <v>46141</v>
      </c>
      <c r="C453" s="86">
        <f t="shared" si="7"/>
        <v>4</v>
      </c>
      <c r="D453" s="81" t="s">
        <v>1330</v>
      </c>
      <c r="E453" s="79" t="s">
        <v>1379</v>
      </c>
      <c r="F453" s="80">
        <v>2938.4</v>
      </c>
      <c r="G453" s="81" t="s">
        <v>254</v>
      </c>
      <c r="H453" s="86" t="str">
        <f>IF(A453="","",IF(INDEX(EXTRATO!$F$2:$F$3000,MATCH($A453,EXTRATO!$A$2:$A$3000,0))="","",INDEX(EXTRATO!$F$2:$F$3000,MATCH($A453,EXTRATO!$A$2:$A$3000,0))))</f>
        <v>SAÍDA</v>
      </c>
      <c r="I453" s="88" t="str">
        <f>IF(A453="","",IF(INDEX(EXTRATO!$H$2:$H$3000,MATCH($A453,EXTRATO!$A$2:$A$3000,0))="","",INDEX(EXTRATO!$H$2:$H$3000,MATCH($A453,EXTRATO!$A$2:$A$3000,0))))</f>
        <v>NEPHROSYS SUPORTE E MANUTENÇÃO</v>
      </c>
      <c r="J453" s="86" t="s">
        <v>1313</v>
      </c>
      <c r="K453" s="86" t="str">
        <f>IF(AND(A453="",D453="",E453="",F453=""),"",IF(D453="","SEM CATEGORIA",IF(E453="","SEM SUBCATEGORIA",IF(COUNTIFS(CADASTROS!$L$7:$L$93,D453,CADASTROS!$D$7:$D$93,E453)=0,"INCOMPATÍVEL","OK"))))</f>
        <v>OK</v>
      </c>
    </row>
    <row r="454" spans="1:11" ht="30" hidden="1" customHeight="1" x14ac:dyDescent="0.25">
      <c r="A454" s="86" t="s">
        <v>1829</v>
      </c>
      <c r="B454" s="85">
        <f>IF(A454="","",IF(INDEX(EXTRATO!$C$2:$C$3000,MATCH($A454,EXTRATO!$A$2:$A$3000,0))="","",INDEX(EXTRATO!$C$2:$C$3000,MATCH($A454,EXTRATO!$A$2:$A$3000,0))))</f>
        <v>46142</v>
      </c>
      <c r="C454" s="86">
        <f t="shared" si="7"/>
        <v>4</v>
      </c>
      <c r="D454" s="81" t="s">
        <v>1388</v>
      </c>
      <c r="E454" s="79" t="s">
        <v>1466</v>
      </c>
      <c r="F454" s="80">
        <v>2450.0300000000002</v>
      </c>
      <c r="G454" s="81" t="s">
        <v>684</v>
      </c>
      <c r="H454" s="86" t="str">
        <f>IF(A454="","",IF(INDEX(EXTRATO!$F$2:$F$3000,MATCH($A454,EXTRATO!$A$2:$A$3000,0))="","",INDEX(EXTRATO!$F$2:$F$3000,MATCH($A454,EXTRATO!$A$2:$A$3000,0))))</f>
        <v>SAÍDA</v>
      </c>
      <c r="I454" s="88" t="str">
        <f>IF(A454="","",IF(INDEX(EXTRATO!$H$2:$H$3000,MATCH($A454,EXTRATO!$A$2:$A$3000,0))="","",INDEX(EXTRATO!$H$2:$H$3000,MATCH($A454,EXTRATO!$A$2:$A$3000,0))))</f>
        <v>IRPJ</v>
      </c>
      <c r="J454" s="86" t="s">
        <v>1313</v>
      </c>
      <c r="K454" s="86" t="str">
        <f>IF(AND(A454="",D454="",E454="",F454=""),"",IF(D454="","SEM CATEGORIA",IF(E454="","SEM SUBCATEGORIA",IF(COUNTIFS(CADASTROS!$L$7:$L$93,D454,CADASTROS!$D$7:$D$93,E454)=0,"INCOMPATÍVEL","OK"))))</f>
        <v>OK</v>
      </c>
    </row>
    <row r="455" spans="1:11" ht="30" hidden="1" customHeight="1" x14ac:dyDescent="0.25">
      <c r="A455" s="86" t="s">
        <v>1830</v>
      </c>
      <c r="B455" s="85">
        <f>IF(A455="","",IF(INDEX(EXTRATO!$C$2:$C$3000,MATCH($A455,EXTRATO!$A$2:$A$3000,0))="","",INDEX(EXTRATO!$C$2:$C$3000,MATCH($A455,EXTRATO!$A$2:$A$3000,0))))</f>
        <v>46142</v>
      </c>
      <c r="C455" s="86">
        <f t="shared" si="7"/>
        <v>4</v>
      </c>
      <c r="D455" s="81" t="s">
        <v>1388</v>
      </c>
      <c r="E455" s="79" t="s">
        <v>1468</v>
      </c>
      <c r="F455" s="80">
        <v>11820.16</v>
      </c>
      <c r="G455" s="81" t="s">
        <v>685</v>
      </c>
      <c r="H455" s="86" t="str">
        <f>IF(A455="","",IF(INDEX(EXTRATO!$F$2:$F$3000,MATCH($A455,EXTRATO!$A$2:$A$3000,0))="","",INDEX(EXTRATO!$F$2:$F$3000,MATCH($A455,EXTRATO!$A$2:$A$3000,0))))</f>
        <v>SAÍDA</v>
      </c>
      <c r="I455" s="88" t="str">
        <f>IF(A455="","",IF(INDEX(EXTRATO!$H$2:$H$3000,MATCH($A455,EXTRATO!$A$2:$A$3000,0))="","",INDEX(EXTRATO!$H$2:$H$3000,MATCH($A455,EXTRATO!$A$2:$A$3000,0))))</f>
        <v>CSLL</v>
      </c>
      <c r="J455" s="86" t="s">
        <v>1313</v>
      </c>
      <c r="K455" s="86" t="str">
        <f>IF(AND(A455="",D455="",E455="",F455=""),"",IF(D455="","SEM CATEGORIA",IF(E455="","SEM SUBCATEGORIA",IF(COUNTIFS(CADASTROS!$L$7:$L$93,D455,CADASTROS!$D$7:$D$93,E455)=0,"INCOMPATÍVEL","OK"))))</f>
        <v>OK</v>
      </c>
    </row>
    <row r="456" spans="1:11" ht="30" hidden="1" customHeight="1" x14ac:dyDescent="0.25">
      <c r="A456" s="86" t="s">
        <v>1831</v>
      </c>
      <c r="B456" s="85">
        <f>IF(A456="","",IF(INDEX(EXTRATO!$C$2:$C$3000,MATCH($A456,EXTRATO!$A$2:$A$3000,0))="","",INDEX(EXTRATO!$C$2:$C$3000,MATCH($A456,EXTRATO!$A$2:$A$3000,0))))</f>
        <v>46142</v>
      </c>
      <c r="C456" s="86">
        <f t="shared" si="7"/>
        <v>4</v>
      </c>
      <c r="D456" s="81" t="s">
        <v>1454</v>
      </c>
      <c r="E456" s="79" t="s">
        <v>1473</v>
      </c>
      <c r="F456" s="80">
        <v>9331.84</v>
      </c>
      <c r="G456" s="81" t="s">
        <v>686</v>
      </c>
      <c r="H456" s="86" t="str">
        <f>IF(A456="","",IF(INDEX(EXTRATO!$F$2:$F$3000,MATCH($A456,EXTRATO!$A$2:$A$3000,0))="","",INDEX(EXTRATO!$F$2:$F$3000,MATCH($A456,EXTRATO!$A$2:$A$3000,0))))</f>
        <v>SAÍDA</v>
      </c>
      <c r="I456" s="88" t="str">
        <f>IF(A456="","",IF(INDEX(EXTRATO!$H$2:$H$3000,MATCH($A456,EXTRATO!$A$2:$A$3000,0))="","",INDEX(EXTRATO!$H$2:$H$3000,MATCH($A456,EXTRATO!$A$2:$A$3000,0))))</f>
        <v>NIPRO</v>
      </c>
      <c r="J456" s="86" t="s">
        <v>1313</v>
      </c>
      <c r="K456" s="86" t="str">
        <f>IF(AND(A456="",D456="",E456="",F456=""),"",IF(D456="","SEM CATEGORIA",IF(E456="","SEM SUBCATEGORIA",IF(COUNTIFS(CADASTROS!$L$7:$L$93,D456,CADASTROS!$D$7:$D$93,E456)=0,"INCOMPATÍVEL","OK"))))</f>
        <v>OK</v>
      </c>
    </row>
    <row r="457" spans="1:11" ht="30" hidden="1" customHeight="1" x14ac:dyDescent="0.25">
      <c r="A457" s="86" t="s">
        <v>1832</v>
      </c>
      <c r="B457" s="85">
        <f>IF(A457="","",IF(INDEX(EXTRATO!$C$2:$C$3000,MATCH($A457,EXTRATO!$A$2:$A$3000,0))="","",INDEX(EXTRATO!$C$2:$C$3000,MATCH($A457,EXTRATO!$A$2:$A$3000,0))))</f>
        <v>46142</v>
      </c>
      <c r="C457" s="86">
        <f t="shared" si="7"/>
        <v>4</v>
      </c>
      <c r="D457" s="81" t="s">
        <v>1454</v>
      </c>
      <c r="E457" s="79" t="s">
        <v>1473</v>
      </c>
      <c r="F457" s="80">
        <v>48992.160000000003</v>
      </c>
      <c r="G457" s="81" t="s">
        <v>687</v>
      </c>
      <c r="H457" s="86" t="str">
        <f>IF(A457="","",IF(INDEX(EXTRATO!$F$2:$F$3000,MATCH($A457,EXTRATO!$A$2:$A$3000,0))="","",INDEX(EXTRATO!$F$2:$F$3000,MATCH($A457,EXTRATO!$A$2:$A$3000,0))))</f>
        <v>SAÍDA</v>
      </c>
      <c r="I457" s="88" t="str">
        <f>IF(A457="","",IF(INDEX(EXTRATO!$H$2:$H$3000,MATCH($A457,EXTRATO!$A$2:$A$3000,0))="","",INDEX(EXTRATO!$H$2:$H$3000,MATCH($A457,EXTRATO!$A$2:$A$3000,0))))</f>
        <v>NIPRO</v>
      </c>
      <c r="J457" s="86" t="s">
        <v>1313</v>
      </c>
      <c r="K457" s="86" t="str">
        <f>IF(AND(A457="",D457="",E457="",F457=""),"",IF(D457="","SEM CATEGORIA",IF(E457="","SEM SUBCATEGORIA",IF(COUNTIFS(CADASTROS!$L$7:$L$93,D457,CADASTROS!$D$7:$D$93,E457)=0,"INCOMPATÍVEL","OK"))))</f>
        <v>OK</v>
      </c>
    </row>
    <row r="458" spans="1:11" ht="30" hidden="1" customHeight="1" x14ac:dyDescent="0.25">
      <c r="A458" s="86" t="s">
        <v>1833</v>
      </c>
      <c r="B458" s="85">
        <f>IF(A458="","",IF(INDEX(EXTRATO!$C$2:$C$3000,MATCH($A458,EXTRATO!$A$2:$A$3000,0))="","",INDEX(EXTRATO!$C$2:$C$3000,MATCH($A458,EXTRATO!$A$2:$A$3000,0))))</f>
        <v>46142</v>
      </c>
      <c r="C458" s="86">
        <f t="shared" si="7"/>
        <v>4</v>
      </c>
      <c r="D458" s="81" t="s">
        <v>1311</v>
      </c>
      <c r="E458" s="79" t="s">
        <v>1342</v>
      </c>
      <c r="F458" s="80">
        <v>7250</v>
      </c>
      <c r="G458" s="81" t="s">
        <v>688</v>
      </c>
      <c r="H458" s="86" t="str">
        <f>IF(A458="","",IF(INDEX(EXTRATO!$F$2:$F$3000,MATCH($A458,EXTRATO!$A$2:$A$3000,0))="","",INDEX(EXTRATO!$F$2:$F$3000,MATCH($A458,EXTRATO!$A$2:$A$3000,0))))</f>
        <v>SAÍDA</v>
      </c>
      <c r="I458" s="88" t="str">
        <f>IF(A458="","",IF(INDEX(EXTRATO!$H$2:$H$3000,MATCH($A458,EXTRATO!$A$2:$A$3000,0))="","",INDEX(EXTRATO!$H$2:$H$3000,MATCH($A458,EXTRATO!$A$2:$A$3000,0))))</f>
        <v>EXCELLENCE DISTRIBUIÇÃO</v>
      </c>
      <c r="J458" s="86" t="s">
        <v>1313</v>
      </c>
      <c r="K458" s="86" t="str">
        <f>IF(AND(A458="",D458="",E458="",F458=""),"",IF(D458="","SEM CATEGORIA",IF(E458="","SEM SUBCATEGORIA",IF(COUNTIFS(CADASTROS!$L$7:$L$93,D458,CADASTROS!$D$7:$D$93,E458)=0,"INCOMPATÍVEL","OK"))))</f>
        <v>OK</v>
      </c>
    </row>
    <row r="459" spans="1:11" ht="30" hidden="1" customHeight="1" x14ac:dyDescent="0.25">
      <c r="A459" s="86" t="s">
        <v>1834</v>
      </c>
      <c r="B459" s="85">
        <f>IF(A459="","",IF(INDEX(EXTRATO!$C$2:$C$3000,MATCH($A459,EXTRATO!$A$2:$A$3000,0))="","",INDEX(EXTRATO!$C$2:$C$3000,MATCH($A459,EXTRATO!$A$2:$A$3000,0))))</f>
        <v>46146</v>
      </c>
      <c r="C459" s="86">
        <f t="shared" si="7"/>
        <v>5</v>
      </c>
      <c r="D459" s="81" t="s">
        <v>1311</v>
      </c>
      <c r="E459" s="79" t="s">
        <v>1312</v>
      </c>
      <c r="F459" s="80">
        <v>2271.66</v>
      </c>
      <c r="G459" s="81" t="s">
        <v>689</v>
      </c>
      <c r="H459" s="86" t="str">
        <f>IF(A459="","",IF(INDEX(EXTRATO!$F$2:$F$3000,MATCH($A459,EXTRATO!$A$2:$A$3000,0))="","",INDEX(EXTRATO!$F$2:$F$3000,MATCH($A459,EXTRATO!$A$2:$A$3000,0))))</f>
        <v>SAÍDA</v>
      </c>
      <c r="I459" s="88" t="str">
        <f>IF(A459="","",IF(INDEX(EXTRATO!$H$2:$H$3000,MATCH($A459,EXTRATO!$A$2:$A$3000,0))="","",INDEX(EXTRATO!$H$2:$H$3000,MATCH($A459,EXTRATO!$A$2:$A$3000,0))))</f>
        <v>EXCELLENCE DISTRIBUIÇÃO</v>
      </c>
      <c r="J459" s="86" t="s">
        <v>1313</v>
      </c>
      <c r="K459" s="86" t="str">
        <f>IF(AND(A459="",D459="",E459="",F459=""),"",IF(D459="","SEM CATEGORIA",IF(E459="","SEM SUBCATEGORIA",IF(COUNTIFS(CADASTROS!$L$7:$L$93,D459,CADASTROS!$D$7:$D$93,E459)=0,"INCOMPATÍVEL","OK"))))</f>
        <v>OK</v>
      </c>
    </row>
    <row r="460" spans="1:11" ht="30" hidden="1" customHeight="1" x14ac:dyDescent="0.25">
      <c r="A460" s="86" t="s">
        <v>1834</v>
      </c>
      <c r="B460" s="85">
        <f>IF(A460="","",IF(INDEX(EXTRATO!$C$2:$C$3000,MATCH($A460,EXTRATO!$A$2:$A$3000,0))="","",INDEX(EXTRATO!$C$2:$C$3000,MATCH($A460,EXTRATO!$A$2:$A$3000,0))))</f>
        <v>46146</v>
      </c>
      <c r="C460" s="86">
        <f t="shared" si="7"/>
        <v>5</v>
      </c>
      <c r="D460" s="81" t="s">
        <v>1311</v>
      </c>
      <c r="E460" s="79" t="s">
        <v>1342</v>
      </c>
      <c r="F460" s="80">
        <v>5000</v>
      </c>
      <c r="G460" s="81" t="s">
        <v>1840</v>
      </c>
      <c r="H460" s="86" t="str">
        <f>IF(A460="","",IF(INDEX(EXTRATO!$F$2:$F$3000,MATCH($A460,EXTRATO!$A$2:$A$3000,0))="","",INDEX(EXTRATO!$F$2:$F$3000,MATCH($A460,EXTRATO!$A$2:$A$3000,0))))</f>
        <v>SAÍDA</v>
      </c>
      <c r="I460" s="88" t="str">
        <f>IF(A460="","",IF(INDEX(EXTRATO!$H$2:$H$3000,MATCH($A460,EXTRATO!$A$2:$A$3000,0))="","",INDEX(EXTRATO!$H$2:$H$3000,MATCH($A460,EXTRATO!$A$2:$A$3000,0))))</f>
        <v>EXCELLENCE DISTRIBUIÇÃO</v>
      </c>
      <c r="J460" s="86" t="s">
        <v>1313</v>
      </c>
      <c r="K460" s="86" t="str">
        <f>IF(AND(A460="",D460="",E460="",F460=""),"",IF(D460="","SEM CATEGORIA",IF(E460="","SEM SUBCATEGORIA",IF(COUNTIFS(CADASTROS!$L$7:$L$93,D460,CADASTROS!$D$7:$D$93,E460)=0,"INCOMPATÍVEL","OK"))))</f>
        <v>OK</v>
      </c>
    </row>
    <row r="461" spans="1:11" ht="30" hidden="1" customHeight="1" x14ac:dyDescent="0.25">
      <c r="A461" s="86" t="s">
        <v>1835</v>
      </c>
      <c r="B461" s="85">
        <f>IF(A461="","",IF(INDEX(EXTRATO!$C$2:$C$3000,MATCH($A461,EXTRATO!$A$2:$A$3000,0))="","",INDEX(EXTRATO!$C$2:$C$3000,MATCH($A461,EXTRATO!$A$2:$A$3000,0))))</f>
        <v>46146</v>
      </c>
      <c r="C461" s="86">
        <f t="shared" si="7"/>
        <v>5</v>
      </c>
      <c r="D461" s="81" t="s">
        <v>1311</v>
      </c>
      <c r="E461" s="79" t="s">
        <v>1376</v>
      </c>
      <c r="F461" s="80">
        <v>1700</v>
      </c>
      <c r="G461" s="81" t="s">
        <v>312</v>
      </c>
      <c r="H461" s="86" t="str">
        <f>IF(A461="","",IF(INDEX(EXTRATO!$F$2:$F$3000,MATCH($A461,EXTRATO!$A$2:$A$3000,0))="","",INDEX(EXTRATO!$F$2:$F$3000,MATCH($A461,EXTRATO!$A$2:$A$3000,0))))</f>
        <v>SAÍDA</v>
      </c>
      <c r="I461" s="88" t="str">
        <f>IF(A461="","",IF(INDEX(EXTRATO!$H$2:$H$3000,MATCH($A461,EXTRATO!$A$2:$A$3000,0))="","",INDEX(EXTRATO!$H$2:$H$3000,MATCH($A461,EXTRATO!$A$2:$A$3000,0))))</f>
        <v>DIALISE COMERCIO</v>
      </c>
      <c r="J461" s="86" t="s">
        <v>1313</v>
      </c>
      <c r="K461" s="86" t="str">
        <f>IF(AND(A461="",D461="",E461="",F461=""),"",IF(D461="","SEM CATEGORIA",IF(E461="","SEM SUBCATEGORIA",IF(COUNTIFS(CADASTROS!$L$7:$L$93,D461,CADASTROS!$D$7:$D$93,E461)=0,"INCOMPATÍVEL","OK"))))</f>
        <v>OK</v>
      </c>
    </row>
    <row r="462" spans="1:11" ht="30" hidden="1" customHeight="1" x14ac:dyDescent="0.25">
      <c r="A462" s="86" t="s">
        <v>1835</v>
      </c>
      <c r="B462" s="85">
        <f>IF(A462="","",IF(INDEX(EXTRATO!$C$2:$C$3000,MATCH($A462,EXTRATO!$A$2:$A$3000,0))="","",INDEX(EXTRATO!$C$2:$C$3000,MATCH($A462,EXTRATO!$A$2:$A$3000,0))))</f>
        <v>46146</v>
      </c>
      <c r="C462" s="86">
        <f t="shared" si="7"/>
        <v>5</v>
      </c>
      <c r="D462" s="81" t="s">
        <v>1311</v>
      </c>
      <c r="E462" s="79" t="s">
        <v>1320</v>
      </c>
      <c r="F462" s="80">
        <v>396</v>
      </c>
      <c r="G462" s="81" t="s">
        <v>1842</v>
      </c>
      <c r="H462" s="86" t="str">
        <f>IF(A462="","",IF(INDEX(EXTRATO!$F$2:$F$3000,MATCH($A462,EXTRATO!$A$2:$A$3000,0))="","",INDEX(EXTRATO!$F$2:$F$3000,MATCH($A462,EXTRATO!$A$2:$A$3000,0))))</f>
        <v>SAÍDA</v>
      </c>
      <c r="I462" s="88" t="str">
        <f>IF(A462="","",IF(INDEX(EXTRATO!$H$2:$H$3000,MATCH($A462,EXTRATO!$A$2:$A$3000,0))="","",INDEX(EXTRATO!$H$2:$H$3000,MATCH($A462,EXTRATO!$A$2:$A$3000,0))))</f>
        <v>DIALISE COMERCIO</v>
      </c>
      <c r="J462" s="86" t="s">
        <v>1313</v>
      </c>
      <c r="K462" s="86" t="str">
        <f>IF(AND(A462="",D462="",E462="",F462=""),"",IF(D462="","SEM CATEGORIA",IF(E462="","SEM SUBCATEGORIA",IF(COUNTIFS(CADASTROS!$L$7:$L$93,D462,CADASTROS!$D$7:$D$93,E462)=0,"INCOMPATÍVEL","OK"))))</f>
        <v>OK</v>
      </c>
    </row>
    <row r="463" spans="1:11" ht="30" hidden="1" customHeight="1" x14ac:dyDescent="0.25">
      <c r="A463" s="86" t="s">
        <v>1836</v>
      </c>
      <c r="B463" s="85">
        <f>IF(A463="","",IF(INDEX(EXTRATO!$C$2:$C$3000,MATCH($A463,EXTRATO!$A$2:$A$3000,0))="","",INDEX(EXTRATO!$C$2:$C$3000,MATCH($A463,EXTRATO!$A$2:$A$3000,0))))</f>
        <v>46146</v>
      </c>
      <c r="C463" s="86">
        <f t="shared" si="7"/>
        <v>5</v>
      </c>
      <c r="D463" s="81" t="s">
        <v>1311</v>
      </c>
      <c r="E463" s="79" t="s">
        <v>1318</v>
      </c>
      <c r="F463" s="80">
        <v>1360</v>
      </c>
      <c r="G463" s="81" t="s">
        <v>1844</v>
      </c>
      <c r="H463" s="86" t="str">
        <f>IF(A463="","",IF(INDEX(EXTRATO!$F$2:$F$3000,MATCH($A463,EXTRATO!$A$2:$A$3000,0))="","",INDEX(EXTRATO!$F$2:$F$3000,MATCH($A463,EXTRATO!$A$2:$A$3000,0))))</f>
        <v>SAÍDA</v>
      </c>
      <c r="I463" s="88" t="str">
        <f>IF(A463="","",IF(INDEX(EXTRATO!$H$2:$H$3000,MATCH($A463,EXTRATO!$A$2:$A$3000,0))="","",INDEX(EXTRATO!$H$2:$H$3000,MATCH($A463,EXTRATO!$A$2:$A$3000,0))))</f>
        <v>BIOCOMPANY</v>
      </c>
      <c r="J463" s="86" t="s">
        <v>1313</v>
      </c>
      <c r="K463" s="86" t="str">
        <f>IF(AND(A463="",D463="",E463="",F463=""),"",IF(D463="","SEM CATEGORIA",IF(E463="","SEM SUBCATEGORIA",IF(COUNTIFS(CADASTROS!$L$7:$L$93,D463,CADASTROS!$D$7:$D$93,E463)=0,"INCOMPATÍVEL","OK"))))</f>
        <v>OK</v>
      </c>
    </row>
    <row r="464" spans="1:11" ht="30" hidden="1" customHeight="1" x14ac:dyDescent="0.25">
      <c r="A464" s="86" t="s">
        <v>1836</v>
      </c>
      <c r="B464" s="85">
        <f>IF(A464="","",IF(INDEX(EXTRATO!$C$2:$C$3000,MATCH($A464,EXTRATO!$A$2:$A$3000,0))="","",INDEX(EXTRATO!$C$2:$C$3000,MATCH($A464,EXTRATO!$A$2:$A$3000,0))))</f>
        <v>46146</v>
      </c>
      <c r="C464" s="86">
        <f t="shared" si="7"/>
        <v>5</v>
      </c>
      <c r="D464" s="81" t="s">
        <v>1311</v>
      </c>
      <c r="E464" s="79" t="s">
        <v>1312</v>
      </c>
      <c r="F464" s="80">
        <v>328</v>
      </c>
      <c r="G464" s="81" t="s">
        <v>1845</v>
      </c>
      <c r="H464" s="86" t="str">
        <f>IF(A464="","",IF(INDEX(EXTRATO!$F$2:$F$3000,MATCH($A464,EXTRATO!$A$2:$A$3000,0))="","",INDEX(EXTRATO!$F$2:$F$3000,MATCH($A464,EXTRATO!$A$2:$A$3000,0))))</f>
        <v>SAÍDA</v>
      </c>
      <c r="I464" s="88" t="str">
        <f>IF(A464="","",IF(INDEX(EXTRATO!$H$2:$H$3000,MATCH($A464,EXTRATO!$A$2:$A$3000,0))="","",INDEX(EXTRATO!$H$2:$H$3000,MATCH($A464,EXTRATO!$A$2:$A$3000,0))))</f>
        <v>BIOCOMPANY</v>
      </c>
      <c r="J464" s="86" t="s">
        <v>1313</v>
      </c>
      <c r="K464" s="86" t="str">
        <f>IF(AND(A464="",D464="",E464="",F464=""),"",IF(D464="","SEM CATEGORIA",IF(E464="","SEM SUBCATEGORIA",IF(COUNTIFS(CADASTROS!$L$7:$L$93,D464,CADASTROS!$D$7:$D$93,E464)=0,"INCOMPATÍVEL","OK"))))</f>
        <v>OK</v>
      </c>
    </row>
    <row r="465" spans="1:11" ht="30" hidden="1" customHeight="1" x14ac:dyDescent="0.25">
      <c r="A465" s="86" t="s">
        <v>1837</v>
      </c>
      <c r="B465" s="85">
        <f>IF(A465="","",IF(INDEX(EXTRATO!$C$2:$C$3000,MATCH($A465,EXTRATO!$A$2:$A$3000,0))="","",INDEX(EXTRATO!$C$2:$C$3000,MATCH($A465,EXTRATO!$A$2:$A$3000,0))))</f>
        <v>46146</v>
      </c>
      <c r="C465" s="86">
        <f t="shared" si="7"/>
        <v>5</v>
      </c>
      <c r="D465" s="81" t="s">
        <v>1311</v>
      </c>
      <c r="E465" s="79" t="s">
        <v>1312</v>
      </c>
      <c r="F465" s="80">
        <v>187.5</v>
      </c>
      <c r="G465" s="81" t="s">
        <v>1847</v>
      </c>
      <c r="H465" s="86" t="str">
        <f>IF(A465="","",IF(INDEX(EXTRATO!$F$2:$F$3000,MATCH($A465,EXTRATO!$A$2:$A$3000,0))="","",INDEX(EXTRATO!$F$2:$F$3000,MATCH($A465,EXTRATO!$A$2:$A$3000,0))))</f>
        <v>SAÍDA</v>
      </c>
      <c r="I465" s="88" t="str">
        <f>IF(A465="","",IF(INDEX(EXTRATO!$H$2:$H$3000,MATCH($A465,EXTRATO!$A$2:$A$3000,0))="","",INDEX(EXTRATO!$H$2:$H$3000,MATCH($A465,EXTRATO!$A$2:$A$3000,0))))</f>
        <v>BIOCOMPANY</v>
      </c>
      <c r="J465" s="86" t="s">
        <v>1313</v>
      </c>
      <c r="K465" s="86" t="str">
        <f>IF(AND(A465="",D465="",E465="",F465=""),"",IF(D465="","SEM CATEGORIA",IF(E465="","SEM SUBCATEGORIA",IF(COUNTIFS(CADASTROS!$L$7:$L$93,D465,CADASTROS!$D$7:$D$93,E465)=0,"INCOMPATÍVEL","OK"))))</f>
        <v>OK</v>
      </c>
    </row>
    <row r="466" spans="1:11" ht="30" hidden="1" customHeight="1" x14ac:dyDescent="0.25">
      <c r="A466" s="86" t="s">
        <v>1837</v>
      </c>
      <c r="B466" s="85">
        <f>IF(A466="","",IF(INDEX(EXTRATO!$C$2:$C$3000,MATCH($A466,EXTRATO!$A$2:$A$3000,0))="","",INDEX(EXTRATO!$C$2:$C$3000,MATCH($A466,EXTRATO!$A$2:$A$3000,0))))</f>
        <v>46146</v>
      </c>
      <c r="C466" s="86">
        <f t="shared" si="7"/>
        <v>5</v>
      </c>
      <c r="D466" s="81" t="s">
        <v>1311</v>
      </c>
      <c r="E466" s="79" t="s">
        <v>1318</v>
      </c>
      <c r="F466" s="80">
        <v>1040</v>
      </c>
      <c r="G466" s="81" t="s">
        <v>1848</v>
      </c>
      <c r="H466" s="86" t="str">
        <f>IF(A466="","",IF(INDEX(EXTRATO!$F$2:$F$3000,MATCH($A466,EXTRATO!$A$2:$A$3000,0))="","",INDEX(EXTRATO!$F$2:$F$3000,MATCH($A466,EXTRATO!$A$2:$A$3000,0))))</f>
        <v>SAÍDA</v>
      </c>
      <c r="I466" s="88" t="str">
        <f>IF(A466="","",IF(INDEX(EXTRATO!$H$2:$H$3000,MATCH($A466,EXTRATO!$A$2:$A$3000,0))="","",INDEX(EXTRATO!$H$2:$H$3000,MATCH($A466,EXTRATO!$A$2:$A$3000,0))))</f>
        <v>BIOCOMPANY</v>
      </c>
      <c r="J466" s="86" t="s">
        <v>1313</v>
      </c>
      <c r="K466" s="86" t="str">
        <f>IF(AND(A466="",D466="",E466="",F466=""),"",IF(D466="","SEM CATEGORIA",IF(E466="","SEM SUBCATEGORIA",IF(COUNTIFS(CADASTROS!$L$7:$L$93,D466,CADASTROS!$D$7:$D$93,E466)=0,"INCOMPATÍVEL","OK"))))</f>
        <v>OK</v>
      </c>
    </row>
    <row r="467" spans="1:11" ht="30" hidden="1" customHeight="1" x14ac:dyDescent="0.25">
      <c r="A467" s="86" t="s">
        <v>1838</v>
      </c>
      <c r="B467" s="85">
        <f>IF(A467="","",IF(INDEX(EXTRATO!$C$2:$C$3000,MATCH($A467,EXTRATO!$A$2:$A$3000,0))="","",INDEX(EXTRATO!$C$2:$C$3000,MATCH($A467,EXTRATO!$A$2:$A$3000,0))))</f>
        <v>46147</v>
      </c>
      <c r="C467" s="86">
        <f t="shared" si="7"/>
        <v>5</v>
      </c>
      <c r="D467" s="81" t="s">
        <v>1330</v>
      </c>
      <c r="E467" s="79" t="s">
        <v>1333</v>
      </c>
      <c r="F467" s="80">
        <v>2593</v>
      </c>
      <c r="G467" s="81" t="s">
        <v>67</v>
      </c>
      <c r="H467" s="86" t="str">
        <f>IF(A467="","",IF(INDEX(EXTRATO!$F$2:$F$3000,MATCH($A467,EXTRATO!$A$2:$A$3000,0))="","",INDEX(EXTRATO!$F$2:$F$3000,MATCH($A467,EXTRATO!$A$2:$A$3000,0))))</f>
        <v>SAÍDA</v>
      </c>
      <c r="I467" s="88" t="str">
        <f>IF(A467="","",IF(INDEX(EXTRATO!$H$2:$H$3000,MATCH($A467,EXTRATO!$A$2:$A$3000,0))="","",INDEX(EXTRATO!$H$2:$H$3000,MATCH($A467,EXTRATO!$A$2:$A$3000,0))))</f>
        <v>CASSIANO &amp; CASSINOS CONTABILIDADE</v>
      </c>
      <c r="J467" s="86" t="s">
        <v>1313</v>
      </c>
      <c r="K467" s="86" t="str">
        <f>IF(AND(A467="",D467="",E467="",F467=""),"",IF(D467="","SEM CATEGORIA",IF(E467="","SEM SUBCATEGORIA",IF(COUNTIFS(CADASTROS!$L$7:$L$93,D467,CADASTROS!$D$7:$D$93,E467)=0,"INCOMPATÍVEL","OK"))))</f>
        <v>OK</v>
      </c>
    </row>
    <row r="468" spans="1:11" ht="30" hidden="1" customHeight="1" x14ac:dyDescent="0.25">
      <c r="A468" s="86" t="s">
        <v>1839</v>
      </c>
      <c r="B468" s="85">
        <f>IF(A468="","",IF(INDEX(EXTRATO!$C$2:$C$3000,MATCH($A468,EXTRATO!$A$2:$A$3000,0))="","",INDEX(EXTRATO!$C$2:$C$3000,MATCH($A468,EXTRATO!$A$2:$A$3000,0))))</f>
        <v>46147</v>
      </c>
      <c r="C468" s="86">
        <f t="shared" si="7"/>
        <v>5</v>
      </c>
      <c r="D468" s="81" t="s">
        <v>1311</v>
      </c>
      <c r="E468" s="79" t="s">
        <v>1320</v>
      </c>
      <c r="F468" s="80">
        <v>595</v>
      </c>
      <c r="G468" s="81" t="s">
        <v>584</v>
      </c>
      <c r="H468" s="86" t="str">
        <f>IF(A468="","",IF(INDEX(EXTRATO!$F$2:$F$3000,MATCH($A468,EXTRATO!$A$2:$A$3000,0))="","",INDEX(EXTRATO!$F$2:$F$3000,MATCH($A468,EXTRATO!$A$2:$A$3000,0))))</f>
        <v>SAÍDA</v>
      </c>
      <c r="I468" s="88" t="str">
        <f>IF(A468="","",IF(INDEX(EXTRATO!$H$2:$H$3000,MATCH($A468,EXTRATO!$A$2:$A$3000,0))="","",INDEX(EXTRATO!$H$2:$H$3000,MATCH($A468,EXTRATO!$A$2:$A$3000,0))))</f>
        <v>DIALISE COMERCIO</v>
      </c>
      <c r="J468" s="86" t="s">
        <v>1313</v>
      </c>
      <c r="K468" s="86" t="str">
        <f>IF(AND(A468="",D468="",E468="",F468=""),"",IF(D468="","SEM CATEGORIA",IF(E468="","SEM SUBCATEGORIA",IF(COUNTIFS(CADASTROS!$L$7:$L$93,D468,CADASTROS!$D$7:$D$93,E468)=0,"INCOMPATÍVEL","OK"))))</f>
        <v>OK</v>
      </c>
    </row>
    <row r="469" spans="1:11" ht="30" hidden="1" customHeight="1" x14ac:dyDescent="0.25">
      <c r="A469" s="86" t="s">
        <v>1839</v>
      </c>
      <c r="B469" s="85">
        <f>IF(A469="","",IF(INDEX(EXTRATO!$C$2:$C$3000,MATCH($A469,EXTRATO!$A$2:$A$3000,0))="","",INDEX(EXTRATO!$C$2:$C$3000,MATCH($A469,EXTRATO!$A$2:$A$3000,0))))</f>
        <v>46147</v>
      </c>
      <c r="C469" s="86">
        <f t="shared" si="7"/>
        <v>5</v>
      </c>
      <c r="D469" s="81" t="s">
        <v>1311</v>
      </c>
      <c r="E469" s="79" t="s">
        <v>1312</v>
      </c>
      <c r="F469" s="80">
        <v>735</v>
      </c>
      <c r="G469" s="81" t="s">
        <v>1851</v>
      </c>
      <c r="H469" s="86" t="str">
        <f>IF(A469="","",IF(INDEX(EXTRATO!$F$2:$F$3000,MATCH($A469,EXTRATO!$A$2:$A$3000,0))="","",INDEX(EXTRATO!$F$2:$F$3000,MATCH($A469,EXTRATO!$A$2:$A$3000,0))))</f>
        <v>SAÍDA</v>
      </c>
      <c r="I469" s="88" t="str">
        <f>IF(A469="","",IF(INDEX(EXTRATO!$H$2:$H$3000,MATCH($A469,EXTRATO!$A$2:$A$3000,0))="","",INDEX(EXTRATO!$H$2:$H$3000,MATCH($A469,EXTRATO!$A$2:$A$3000,0))))</f>
        <v>DIALISE COMERCIO</v>
      </c>
      <c r="J469" s="86" t="s">
        <v>1313</v>
      </c>
      <c r="K469" s="86" t="str">
        <f>IF(AND(A469="",D469="",E469="",F469=""),"",IF(D469="","SEM CATEGORIA",IF(E469="","SEM SUBCATEGORIA",IF(COUNTIFS(CADASTROS!$L$7:$L$93,D469,CADASTROS!$D$7:$D$93,E469)=0,"INCOMPATÍVEL","OK"))))</f>
        <v>OK</v>
      </c>
    </row>
    <row r="470" spans="1:11" ht="30" hidden="1" customHeight="1" x14ac:dyDescent="0.25">
      <c r="A470" s="86" t="s">
        <v>1841</v>
      </c>
      <c r="B470" s="85">
        <f>IF(A470="","",IF(INDEX(EXTRATO!$C$2:$C$3000,MATCH($A470,EXTRATO!$A$2:$A$3000,0))="","",INDEX(EXTRATO!$C$2:$C$3000,MATCH($A470,EXTRATO!$A$2:$A$3000,0))))</f>
        <v>46147</v>
      </c>
      <c r="C470" s="86">
        <f t="shared" si="7"/>
        <v>5</v>
      </c>
      <c r="D470" s="81" t="s">
        <v>1305</v>
      </c>
      <c r="E470" s="79" t="s">
        <v>1578</v>
      </c>
      <c r="F470" s="80">
        <v>22400</v>
      </c>
      <c r="G470" s="81" t="s">
        <v>699</v>
      </c>
      <c r="H470" s="86" t="str">
        <f>IF(A470="","",IF(INDEX(EXTRATO!$F$2:$F$3000,MATCH($A470,EXTRATO!$A$2:$A$3000,0))="","",INDEX(EXTRATO!$F$2:$F$3000,MATCH($A470,EXTRATO!$A$2:$A$3000,0))))</f>
        <v>ENTRADA</v>
      </c>
      <c r="I470" s="88" t="str">
        <f>IF(A470="","",IF(INDEX(EXTRATO!$H$2:$H$3000,MATCH($A470,EXTRATO!$A$2:$A$3000,0))="","",INDEX(EXTRATO!$H$2:$H$3000,MATCH($A470,EXTRATO!$A$2:$A$3000,0))))</f>
        <v>FABIANA CRISTINA</v>
      </c>
      <c r="J470" s="86" t="s">
        <v>1307</v>
      </c>
      <c r="K470" s="86" t="str">
        <f>IF(AND(A470="",D470="",E470="",F470=""),"",IF(D470="","SEM CATEGORIA",IF(E470="","SEM SUBCATEGORIA",IF(COUNTIFS(CADASTROS!$L$7:$L$93,D470,CADASTROS!$D$7:$D$93,E470)=0,"INCOMPATÍVEL","OK"))))</f>
        <v>OK</v>
      </c>
    </row>
    <row r="471" spans="1:11" ht="30" hidden="1" customHeight="1" x14ac:dyDescent="0.25">
      <c r="A471" s="86" t="s">
        <v>1843</v>
      </c>
      <c r="B471" s="85">
        <f>IF(A471="","",IF(INDEX(EXTRATO!$C$2:$C$3000,MATCH($A471,EXTRATO!$A$2:$A$3000,0))="","",INDEX(EXTRATO!$C$2:$C$3000,MATCH($A471,EXTRATO!$A$2:$A$3000,0))))</f>
        <v>46147</v>
      </c>
      <c r="C471" s="86">
        <f t="shared" si="7"/>
        <v>5</v>
      </c>
      <c r="D471" s="81" t="s">
        <v>1305</v>
      </c>
      <c r="E471" s="79" t="s">
        <v>1578</v>
      </c>
      <c r="F471" s="80">
        <v>11200</v>
      </c>
      <c r="G471" s="81" t="s">
        <v>336</v>
      </c>
      <c r="H471" s="86" t="str">
        <f>IF(A471="","",IF(INDEX(EXTRATO!$F$2:$F$3000,MATCH($A471,EXTRATO!$A$2:$A$3000,0))="","",INDEX(EXTRATO!$F$2:$F$3000,MATCH($A471,EXTRATO!$A$2:$A$3000,0))))</f>
        <v>ENTRADA</v>
      </c>
      <c r="I471" s="88" t="str">
        <f>IF(A471="","",IF(INDEX(EXTRATO!$H$2:$H$3000,MATCH($A471,EXTRATO!$A$2:$A$3000,0))="","",INDEX(EXTRATO!$H$2:$H$3000,MATCH($A471,EXTRATO!$A$2:$A$3000,0))))</f>
        <v>GLADSTONE SANTOS SILVA</v>
      </c>
      <c r="J471" s="86" t="s">
        <v>1307</v>
      </c>
      <c r="K471" s="86" t="str">
        <f>IF(AND(A471="",D471="",E471="",F471=""),"",IF(D471="","SEM CATEGORIA",IF(E471="","SEM SUBCATEGORIA",IF(COUNTIFS(CADASTROS!$L$7:$L$93,D471,CADASTROS!$D$7:$D$93,E471)=0,"INCOMPATÍVEL","OK"))))</f>
        <v>OK</v>
      </c>
    </row>
    <row r="472" spans="1:11" ht="30" hidden="1" customHeight="1" x14ac:dyDescent="0.25">
      <c r="A472" s="86" t="s">
        <v>1846</v>
      </c>
      <c r="B472" s="85">
        <f>IF(A472="","",IF(INDEX(EXTRATO!$C$2:$C$3000,MATCH($A472,EXTRATO!$A$2:$A$3000,0))="","",INDEX(EXTRATO!$C$2:$C$3000,MATCH($A472,EXTRATO!$A$2:$A$3000,0))))</f>
        <v>46148</v>
      </c>
      <c r="C472" s="86">
        <f t="shared" si="7"/>
        <v>5</v>
      </c>
      <c r="D472" s="81" t="s">
        <v>1305</v>
      </c>
      <c r="E472" s="79" t="s">
        <v>1578</v>
      </c>
      <c r="F472" s="80">
        <v>11200</v>
      </c>
      <c r="G472" s="81" t="s">
        <v>334</v>
      </c>
      <c r="H472" s="86" t="str">
        <f>IF(A472="","",IF(INDEX(EXTRATO!$F$2:$F$3000,MATCH($A472,EXTRATO!$A$2:$A$3000,0))="","",INDEX(EXTRATO!$F$2:$F$3000,MATCH($A472,EXTRATO!$A$2:$A$3000,0))))</f>
        <v>ENTRADA</v>
      </c>
      <c r="I472" s="88" t="str">
        <f>IF(A472="","",IF(INDEX(EXTRATO!$H$2:$H$3000,MATCH($A472,EXTRATO!$A$2:$A$3000,0))="","",INDEX(EXTRATO!$H$2:$H$3000,MATCH($A472,EXTRATO!$A$2:$A$3000,0))))</f>
        <v>ADELIA DALVA DA SILVA</v>
      </c>
      <c r="J472" s="86" t="s">
        <v>1307</v>
      </c>
      <c r="K472" s="86" t="str">
        <f>IF(AND(A472="",D472="",E472="",F472=""),"",IF(D472="","SEM CATEGORIA",IF(E472="","SEM SUBCATEGORIA",IF(COUNTIFS(CADASTROS!$L$7:$L$93,D472,CADASTROS!$D$7:$D$93,E472)=0,"INCOMPATÍVEL","OK"))))</f>
        <v>OK</v>
      </c>
    </row>
    <row r="473" spans="1:11" ht="30" hidden="1" customHeight="1" x14ac:dyDescent="0.25">
      <c r="A473" s="86" t="s">
        <v>1849</v>
      </c>
      <c r="B473" s="85">
        <f>IF(A473="","",IF(INDEX(EXTRATO!$C$2:$C$3000,MATCH($A473,EXTRATO!$A$2:$A$3000,0))="","",INDEX(EXTRATO!$C$2:$C$3000,MATCH($A473,EXTRATO!$A$2:$A$3000,0))))</f>
        <v>46149</v>
      </c>
      <c r="C473" s="86">
        <f t="shared" si="7"/>
        <v>5</v>
      </c>
      <c r="D473" s="81" t="s">
        <v>1367</v>
      </c>
      <c r="E473" s="79" t="s">
        <v>1479</v>
      </c>
      <c r="F473" s="80">
        <v>77991.11</v>
      </c>
      <c r="G473" s="81" t="s">
        <v>701</v>
      </c>
      <c r="H473" s="86" t="str">
        <f>IF(A473="","",IF(INDEX(EXTRATO!$F$2:$F$3000,MATCH($A473,EXTRATO!$A$2:$A$3000,0))="","",INDEX(EXTRATO!$F$2:$F$3000,MATCH($A473,EXTRATO!$A$2:$A$3000,0))))</f>
        <v>SAÍDA</v>
      </c>
      <c r="I473" s="88" t="str">
        <f>IF(A473="","",IF(INDEX(EXTRATO!$H$2:$H$3000,MATCH($A473,EXTRATO!$A$2:$A$3000,0))="","",INDEX(EXTRATO!$H$2:$H$3000,MATCH($A473,EXTRATO!$A$2:$A$3000,0))))</f>
        <v>FOLHA DE PAGAMENTO</v>
      </c>
      <c r="J473" s="86" t="s">
        <v>1313</v>
      </c>
      <c r="K473" s="86" t="str">
        <f>IF(AND(A473="",D473="",E473="",F473=""),"",IF(D473="","SEM CATEGORIA",IF(E473="","SEM SUBCATEGORIA",IF(COUNTIFS(CADASTROS!$L$7:$L$93,D473,CADASTROS!$D$7:$D$93,E473)=0,"INCOMPATÍVEL","OK"))))</f>
        <v>OK</v>
      </c>
    </row>
    <row r="474" spans="1:11" ht="30" hidden="1" customHeight="1" x14ac:dyDescent="0.25">
      <c r="A474" s="86" t="s">
        <v>1850</v>
      </c>
      <c r="B474" s="85">
        <f>IF(A474="","",IF(INDEX(EXTRATO!$C$2:$C$3000,MATCH($A474,EXTRATO!$A$2:$A$3000,0))="","",INDEX(EXTRATO!$C$2:$C$3000,MATCH($A474,EXTRATO!$A$2:$A$3000,0))))</f>
        <v>46149</v>
      </c>
      <c r="C474" s="86">
        <f t="shared" si="7"/>
        <v>5</v>
      </c>
      <c r="D474" s="81" t="s">
        <v>1330</v>
      </c>
      <c r="E474" s="79" t="s">
        <v>1352</v>
      </c>
      <c r="F474" s="80">
        <v>35000</v>
      </c>
      <c r="G474" s="81" t="s">
        <v>588</v>
      </c>
      <c r="H474" s="86" t="str">
        <f>IF(A474="","",IF(INDEX(EXTRATO!$F$2:$F$3000,MATCH($A474,EXTRATO!$A$2:$A$3000,0))="","",INDEX(EXTRATO!$F$2:$F$3000,MATCH($A474,EXTRATO!$A$2:$A$3000,0))))</f>
        <v>SAÍDA</v>
      </c>
      <c r="I474" s="88" t="str">
        <f>IF(A474="","",IF(INDEX(EXTRATO!$H$2:$H$3000,MATCH($A474,EXTRATO!$A$2:$A$3000,0))="","",INDEX(EXTRATO!$H$2:$H$3000,MATCH($A474,EXTRATO!$A$2:$A$3000,0))))</f>
        <v>BIORENAL LTDA</v>
      </c>
      <c r="J474" s="86" t="s">
        <v>1313</v>
      </c>
      <c r="K474" s="86" t="str">
        <f>IF(AND(A474="",D474="",E474="",F474=""),"",IF(D474="","SEM CATEGORIA",IF(E474="","SEM SUBCATEGORIA",IF(COUNTIFS(CADASTROS!$L$7:$L$93,D474,CADASTROS!$D$7:$D$93,E474)=0,"INCOMPATÍVEL","OK"))))</f>
        <v>OK</v>
      </c>
    </row>
    <row r="475" spans="1:11" ht="30" hidden="1" customHeight="1" x14ac:dyDescent="0.25">
      <c r="A475" s="86" t="s">
        <v>1852</v>
      </c>
      <c r="B475" s="85">
        <f>IF(A475="","",IF(INDEX(EXTRATO!$C$2:$C$3000,MATCH($A475,EXTRATO!$A$2:$A$3000,0))="","",INDEX(EXTRATO!$C$2:$C$3000,MATCH($A475,EXTRATO!$A$2:$A$3000,0))))</f>
        <v>46149</v>
      </c>
      <c r="C475" s="86">
        <f t="shared" si="7"/>
        <v>5</v>
      </c>
      <c r="D475" s="81" t="s">
        <v>1330</v>
      </c>
      <c r="E475" s="79" t="s">
        <v>1352</v>
      </c>
      <c r="F475" s="80">
        <v>40.25</v>
      </c>
      <c r="G475" s="81" t="s">
        <v>276</v>
      </c>
      <c r="H475" s="86" t="str">
        <f>IF(A475="","",IF(INDEX(EXTRATO!$F$2:$F$3000,MATCH($A475,EXTRATO!$A$2:$A$3000,0))="","",INDEX(EXTRATO!$F$2:$F$3000,MATCH($A475,EXTRATO!$A$2:$A$3000,0))))</f>
        <v>SAÍDA</v>
      </c>
      <c r="I475" s="88" t="str">
        <f>IF(A475="","",IF(INDEX(EXTRATO!$H$2:$H$3000,MATCH($A475,EXTRATO!$A$2:$A$3000,0))="","",INDEX(EXTRATO!$H$2:$H$3000,MATCH($A475,EXTRATO!$A$2:$A$3000,0))))</f>
        <v>TARIFA BANCÁRIA</v>
      </c>
      <c r="J475" s="86" t="s">
        <v>1313</v>
      </c>
      <c r="K475" s="86" t="str">
        <f>IF(AND(A475="",D475="",E475="",F475=""),"",IF(D475="","SEM CATEGORIA",IF(E475="","SEM SUBCATEGORIA",IF(COUNTIFS(CADASTROS!$L$7:$L$93,D475,CADASTROS!$D$7:$D$93,E475)=0,"INCOMPATÍVEL","OK"))))</f>
        <v>OK</v>
      </c>
    </row>
    <row r="476" spans="1:11" ht="30" hidden="1" customHeight="1" x14ac:dyDescent="0.25">
      <c r="A476" s="86" t="s">
        <v>1853</v>
      </c>
      <c r="B476" s="85">
        <f>IF(A476="","",IF(INDEX(EXTRATO!$C$2:$C$3000,MATCH($A476,EXTRATO!$A$2:$A$3000,0))="","",INDEX(EXTRATO!$C$2:$C$3000,MATCH($A476,EXTRATO!$A$2:$A$3000,0))))</f>
        <v>46149</v>
      </c>
      <c r="C476" s="86">
        <f t="shared" si="7"/>
        <v>5</v>
      </c>
      <c r="D476" s="81" t="s">
        <v>1305</v>
      </c>
      <c r="E476" s="79" t="s">
        <v>1578</v>
      </c>
      <c r="F476" s="80">
        <v>22400</v>
      </c>
      <c r="G476" s="81" t="s">
        <v>702</v>
      </c>
      <c r="H476" s="86" t="str">
        <f>IF(A476="","",IF(INDEX(EXTRATO!$F$2:$F$3000,MATCH($A476,EXTRATO!$A$2:$A$3000,0))="","",INDEX(EXTRATO!$F$2:$F$3000,MATCH($A476,EXTRATO!$A$2:$A$3000,0))))</f>
        <v>ENTRADA</v>
      </c>
      <c r="I476" s="88" t="str">
        <f>IF(A476="","",IF(INDEX(EXTRATO!$H$2:$H$3000,MATCH($A476,EXTRATO!$A$2:$A$3000,0))="","",INDEX(EXTRATO!$H$2:$H$3000,MATCH($A476,EXTRATO!$A$2:$A$3000,0))))</f>
        <v>AFONSO PAULO COSTA FERRO</v>
      </c>
      <c r="J476" s="86" t="s">
        <v>1307</v>
      </c>
      <c r="K476" s="86" t="str">
        <f>IF(AND(A476="",D476="",E476="",F476=""),"",IF(D476="","SEM CATEGORIA",IF(E476="","SEM SUBCATEGORIA",IF(COUNTIFS(CADASTROS!$L$7:$L$93,D476,CADASTROS!$D$7:$D$93,E476)=0,"INCOMPATÍVEL","OK"))))</f>
        <v>OK</v>
      </c>
    </row>
    <row r="477" spans="1:11" ht="30" hidden="1" customHeight="1" x14ac:dyDescent="0.25">
      <c r="A477" s="86" t="s">
        <v>1854</v>
      </c>
      <c r="B477" s="85">
        <f>IF(A477="","",IF(INDEX(EXTRATO!$C$2:$C$3000,MATCH($A477,EXTRATO!$A$2:$A$3000,0))="","",INDEX(EXTRATO!$C$2:$C$3000,MATCH($A477,EXTRATO!$A$2:$A$3000,0))))</f>
        <v>46149</v>
      </c>
      <c r="C477" s="86">
        <f t="shared" si="7"/>
        <v>5</v>
      </c>
      <c r="D477" s="81" t="s">
        <v>1305</v>
      </c>
      <c r="E477" s="79" t="s">
        <v>1578</v>
      </c>
      <c r="F477" s="80">
        <v>11200</v>
      </c>
      <c r="G477" s="81" t="s">
        <v>346</v>
      </c>
      <c r="H477" s="86" t="str">
        <f>IF(A477="","",IF(INDEX(EXTRATO!$F$2:$F$3000,MATCH($A477,EXTRATO!$A$2:$A$3000,0))="","",INDEX(EXTRATO!$F$2:$F$3000,MATCH($A477,EXTRATO!$A$2:$A$3000,0))))</f>
        <v>ENTRADA</v>
      </c>
      <c r="I477" s="88" t="str">
        <f>IF(A477="","",IF(INDEX(EXTRATO!$H$2:$H$3000,MATCH($A477,EXTRATO!$A$2:$A$3000,0))="","",INDEX(EXTRATO!$H$2:$H$3000,MATCH($A477,EXTRATO!$A$2:$A$3000,0))))</f>
        <v>MOISES DA S. OLIVEIRA</v>
      </c>
      <c r="J477" s="86" t="s">
        <v>1307</v>
      </c>
      <c r="K477" s="86" t="str">
        <f>IF(AND(A477="",D477="",E477="",F477=""),"",IF(D477="","SEM CATEGORIA",IF(E477="","SEM SUBCATEGORIA",IF(COUNTIFS(CADASTROS!$L$7:$L$93,D477,CADASTROS!$D$7:$D$93,E477)=0,"INCOMPATÍVEL","OK"))))</f>
        <v>OK</v>
      </c>
    </row>
    <row r="478" spans="1:11" ht="30" hidden="1" customHeight="1" x14ac:dyDescent="0.25">
      <c r="A478" s="86" t="s">
        <v>1855</v>
      </c>
      <c r="B478" s="85">
        <f>IF(A478="","",IF(INDEX(EXTRATO!$C$2:$C$3000,MATCH($A478,EXTRATO!$A$2:$A$3000,0))="","",INDEX(EXTRATO!$C$2:$C$3000,MATCH($A478,EXTRATO!$A$2:$A$3000,0))))</f>
        <v>46149</v>
      </c>
      <c r="C478" s="86">
        <f t="shared" si="7"/>
        <v>5</v>
      </c>
      <c r="D478" s="81" t="s">
        <v>1305</v>
      </c>
      <c r="E478" s="79" t="s">
        <v>1578</v>
      </c>
      <c r="F478" s="80">
        <v>22500</v>
      </c>
      <c r="G478" s="81" t="s">
        <v>348</v>
      </c>
      <c r="H478" s="86" t="str">
        <f>IF(A478="","",IF(INDEX(EXTRATO!$F$2:$F$3000,MATCH($A478,EXTRATO!$A$2:$A$3000,0))="","",INDEX(EXTRATO!$F$2:$F$3000,MATCH($A478,EXTRATO!$A$2:$A$3000,0))))</f>
        <v>ENTRADA</v>
      </c>
      <c r="I478" s="88" t="str">
        <f>IF(A478="","",IF(INDEX(EXTRATO!$H$2:$H$3000,MATCH($A478,EXTRATO!$A$2:$A$3000,0))="","",INDEX(EXTRATO!$H$2:$H$3000,MATCH($A478,EXTRATO!$A$2:$A$3000,0))))</f>
        <v>ANDERSON RAFAEL SALVIANO</v>
      </c>
      <c r="J478" s="86" t="s">
        <v>1307</v>
      </c>
      <c r="K478" s="86" t="str">
        <f>IF(AND(A478="",D478="",E478="",F478=""),"",IF(D478="","SEM CATEGORIA",IF(E478="","SEM SUBCATEGORIA",IF(COUNTIFS(CADASTROS!$L$7:$L$93,D478,CADASTROS!$D$7:$D$93,E478)=0,"INCOMPATÍVEL","OK"))))</f>
        <v>OK</v>
      </c>
    </row>
    <row r="479" spans="1:11" ht="30" hidden="1" customHeight="1" x14ac:dyDescent="0.25">
      <c r="A479" s="86" t="s">
        <v>1856</v>
      </c>
      <c r="B479" s="85">
        <f>IF(A479="","",IF(INDEX(EXTRATO!$C$2:$C$3000,MATCH($A479,EXTRATO!$A$2:$A$3000,0))="","",INDEX(EXTRATO!$C$2:$C$3000,MATCH($A479,EXTRATO!$A$2:$A$3000,0))))</f>
        <v>46149</v>
      </c>
      <c r="C479" s="86">
        <f t="shared" si="7"/>
        <v>5</v>
      </c>
      <c r="D479" s="81" t="s">
        <v>1305</v>
      </c>
      <c r="E479" s="79" t="s">
        <v>1578</v>
      </c>
      <c r="F479" s="80">
        <v>11200</v>
      </c>
      <c r="G479" s="81" t="s">
        <v>2775</v>
      </c>
      <c r="H479" s="86" t="str">
        <f>IF(A479="","",IF(INDEX(EXTRATO!$F$2:$F$3000,MATCH($A479,EXTRATO!$A$2:$A$3000,0))="","",INDEX(EXTRATO!$F$2:$F$3000,MATCH($A479,EXTRATO!$A$2:$A$3000,0))))</f>
        <v>ENTRADA</v>
      </c>
      <c r="I479" s="88" t="str">
        <f>IF(A479="","",IF(INDEX(EXTRATO!$H$2:$H$3000,MATCH($A479,EXTRATO!$A$2:$A$3000,0))="","",INDEX(EXTRATO!$H$2:$H$3000,MATCH($A479,EXTRATO!$A$2:$A$3000,0))))</f>
        <v>FRANCISCO HAMILTON SOUSA</v>
      </c>
      <c r="J479" s="86" t="s">
        <v>1307</v>
      </c>
      <c r="K479" s="86" t="str">
        <f>IF(AND(A479="",D479="",E479="",F479=""),"",IF(D479="","SEM CATEGORIA",IF(E479="","SEM SUBCATEGORIA",IF(COUNTIFS(CADASTROS!$L$7:$L$93,D479,CADASTROS!$D$7:$D$93,E479)=0,"INCOMPATÍVEL","OK"))))</f>
        <v>OK</v>
      </c>
    </row>
    <row r="480" spans="1:11" ht="30" hidden="1" customHeight="1" x14ac:dyDescent="0.25">
      <c r="A480" s="86" t="s">
        <v>1857</v>
      </c>
      <c r="B480" s="85">
        <f>IF(A480="","",IF(INDEX(EXTRATO!$C$2:$C$3000,MATCH($A480,EXTRATO!$A$2:$A$3000,0))="","",INDEX(EXTRATO!$C$2:$C$3000,MATCH($A480,EXTRATO!$A$2:$A$3000,0))))</f>
        <v>46150</v>
      </c>
      <c r="C480" s="86">
        <f t="shared" si="7"/>
        <v>5</v>
      </c>
      <c r="D480" s="81" t="s">
        <v>1311</v>
      </c>
      <c r="E480" s="79" t="s">
        <v>1312</v>
      </c>
      <c r="F480" s="80">
        <v>2938.14</v>
      </c>
      <c r="G480" s="81" t="s">
        <v>257</v>
      </c>
      <c r="H480" s="86" t="str">
        <f>IF(A480="","",IF(INDEX(EXTRATO!$F$2:$F$3000,MATCH($A480,EXTRATO!$A$2:$A$3000,0))="","",INDEX(EXTRATO!$F$2:$F$3000,MATCH($A480,EXTRATO!$A$2:$A$3000,0))))</f>
        <v>SAÍDA</v>
      </c>
      <c r="I480" s="88" t="str">
        <f>IF(A480="","",IF(INDEX(EXTRATO!$H$2:$H$3000,MATCH($A480,EXTRATO!$A$2:$A$3000,0))="","",INDEX(EXTRATO!$H$2:$H$3000,MATCH($A480,EXTRATO!$A$2:$A$3000,0))))</f>
        <v>ULTRAMEGA DISTRIBUIDORA</v>
      </c>
      <c r="J480" s="86" t="s">
        <v>1313</v>
      </c>
      <c r="K480" s="86" t="str">
        <f>IF(AND(A480="",D480="",E480="",F480=""),"",IF(D480="","SEM CATEGORIA",IF(E480="","SEM SUBCATEGORIA",IF(COUNTIFS(CADASTROS!$L$7:$L$93,D480,CADASTROS!$D$7:$D$93,E480)=0,"INCOMPATÍVEL","OK"))))</f>
        <v>OK</v>
      </c>
    </row>
    <row r="481" spans="1:11" ht="30" hidden="1" customHeight="1" x14ac:dyDescent="0.25">
      <c r="A481" s="86" t="s">
        <v>1858</v>
      </c>
      <c r="B481" s="85">
        <f>IF(A481="","",IF(INDEX(EXTRATO!$C$2:$C$3000,MATCH($A481,EXTRATO!$A$2:$A$3000,0))="","",INDEX(EXTRATO!$C$2:$C$3000,MATCH($A481,EXTRATO!$A$2:$A$3000,0))))</f>
        <v>46150</v>
      </c>
      <c r="C481" s="86">
        <f t="shared" si="7"/>
        <v>5</v>
      </c>
      <c r="D481" s="81" t="s">
        <v>1311</v>
      </c>
      <c r="E481" s="79" t="s">
        <v>1312</v>
      </c>
      <c r="F481" s="80">
        <v>2503.6</v>
      </c>
      <c r="G481" s="81" t="s">
        <v>706</v>
      </c>
      <c r="H481" s="86" t="str">
        <f>IF(A481="","",IF(INDEX(EXTRATO!$F$2:$F$3000,MATCH($A481,EXTRATO!$A$2:$A$3000,0))="","",INDEX(EXTRATO!$F$2:$F$3000,MATCH($A481,EXTRATO!$A$2:$A$3000,0))))</f>
        <v>SAÍDA</v>
      </c>
      <c r="I481" s="88" t="str">
        <f>IF(A481="","",IF(INDEX(EXTRATO!$H$2:$H$3000,MATCH($A481,EXTRATO!$A$2:$A$3000,0))="","",INDEX(EXTRATO!$H$2:$H$3000,MATCH($A481,EXTRATO!$A$2:$A$3000,0))))</f>
        <v>ULTRAMEGA DISTRIBUIDORA</v>
      </c>
      <c r="J481" s="86" t="s">
        <v>1313</v>
      </c>
      <c r="K481" s="86" t="str">
        <f>IF(AND(A481="",D481="",E481="",F481=""),"",IF(D481="","SEM CATEGORIA",IF(E481="","SEM SUBCATEGORIA",IF(COUNTIFS(CADASTROS!$L$7:$L$93,D481,CADASTROS!$D$7:$D$93,E481)=0,"INCOMPATÍVEL","OK"))))</f>
        <v>OK</v>
      </c>
    </row>
    <row r="482" spans="1:11" ht="30" hidden="1" customHeight="1" x14ac:dyDescent="0.25">
      <c r="A482" s="86" t="s">
        <v>1859</v>
      </c>
      <c r="B482" s="85">
        <f>IF(A482="","",IF(INDEX(EXTRATO!$C$2:$C$3000,MATCH($A482,EXTRATO!$A$2:$A$3000,0))="","",INDEX(EXTRATO!$C$2:$C$3000,MATCH($A482,EXTRATO!$A$2:$A$3000,0))))</f>
        <v>46150</v>
      </c>
      <c r="C482" s="86">
        <f t="shared" si="7"/>
        <v>5</v>
      </c>
      <c r="D482" s="81" t="s">
        <v>1311</v>
      </c>
      <c r="E482" s="79" t="s">
        <v>1374</v>
      </c>
      <c r="F482" s="80">
        <v>180</v>
      </c>
      <c r="G482" s="81" t="s">
        <v>709</v>
      </c>
      <c r="H482" s="86" t="str">
        <f>IF(A482="","",IF(INDEX(EXTRATO!$F$2:$F$3000,MATCH($A482,EXTRATO!$A$2:$A$3000,0))="","",INDEX(EXTRATO!$F$2:$F$3000,MATCH($A482,EXTRATO!$A$2:$A$3000,0))))</f>
        <v>SAÍDA</v>
      </c>
      <c r="I482" s="88" t="str">
        <f>IF(A482="","",IF(INDEX(EXTRATO!$H$2:$H$3000,MATCH($A482,EXTRATO!$A$2:$A$3000,0))="","",INDEX(EXTRATO!$H$2:$H$3000,MATCH($A482,EXTRATO!$A$2:$A$3000,0))))</f>
        <v>M E S XAVIER</v>
      </c>
      <c r="J482" s="86" t="s">
        <v>1313</v>
      </c>
      <c r="K482" s="86" t="str">
        <f>IF(AND(A482="",D482="",E482="",F482=""),"",IF(D482="","SEM CATEGORIA",IF(E482="","SEM SUBCATEGORIA",IF(COUNTIFS(CADASTROS!$L$7:$L$93,D482,CADASTROS!$D$7:$D$93,E482)=0,"INCOMPATÍVEL","OK"))))</f>
        <v>OK</v>
      </c>
    </row>
    <row r="483" spans="1:11" ht="30" hidden="1" customHeight="1" x14ac:dyDescent="0.25">
      <c r="A483" s="86" t="s">
        <v>1860</v>
      </c>
      <c r="B483" s="85">
        <f>IF(A483="","",IF(INDEX(EXTRATO!$C$2:$C$3000,MATCH($A483,EXTRATO!$A$2:$A$3000,0))="","",INDEX(EXTRATO!$C$2:$C$3000,MATCH($A483,EXTRATO!$A$2:$A$3000,0))))</f>
        <v>46150</v>
      </c>
      <c r="C483" s="86">
        <f t="shared" si="7"/>
        <v>5</v>
      </c>
      <c r="D483" s="81" t="s">
        <v>1305</v>
      </c>
      <c r="E483" s="79" t="s">
        <v>1578</v>
      </c>
      <c r="F483" s="80">
        <v>22400</v>
      </c>
      <c r="G483" s="81" t="s">
        <v>711</v>
      </c>
      <c r="H483" s="86" t="str">
        <f>IF(A483="","",IF(INDEX(EXTRATO!$F$2:$F$3000,MATCH($A483,EXTRATO!$A$2:$A$3000,0))="","",INDEX(EXTRATO!$F$2:$F$3000,MATCH($A483,EXTRATO!$A$2:$A$3000,0))))</f>
        <v>ENTRADA</v>
      </c>
      <c r="I483" s="88" t="str">
        <f>IF(A483="","",IF(INDEX(EXTRATO!$H$2:$H$3000,MATCH($A483,EXTRATO!$A$2:$A$3000,0))="","",INDEX(EXTRATO!$H$2:$H$3000,MATCH($A483,EXTRATO!$A$2:$A$3000,0))))</f>
        <v>CELINA TCBC DE MIRANDA</v>
      </c>
      <c r="J483" s="86" t="s">
        <v>1307</v>
      </c>
      <c r="K483" s="86" t="str">
        <f>IF(AND(A483="",D483="",E483="",F483=""),"",IF(D483="","SEM CATEGORIA",IF(E483="","SEM SUBCATEGORIA",IF(COUNTIFS(CADASTROS!$L$7:$L$93,D483,CADASTROS!$D$7:$D$93,E483)=0,"INCOMPATÍVEL","OK"))))</f>
        <v>OK</v>
      </c>
    </row>
    <row r="484" spans="1:11" ht="30" hidden="1" customHeight="1" x14ac:dyDescent="0.25">
      <c r="A484" s="86" t="s">
        <v>1861</v>
      </c>
      <c r="B484" s="85">
        <f>IF(A484="","",IF(INDEX(EXTRATO!$C$2:$C$3000,MATCH($A484,EXTRATO!$A$2:$A$3000,0))="","",INDEX(EXTRATO!$C$2:$C$3000,MATCH($A484,EXTRATO!$A$2:$A$3000,0))))</f>
        <v>46150</v>
      </c>
      <c r="C484" s="86">
        <f t="shared" si="7"/>
        <v>5</v>
      </c>
      <c r="D484" s="81" t="s">
        <v>1305</v>
      </c>
      <c r="E484" s="79" t="s">
        <v>1578</v>
      </c>
      <c r="F484" s="80">
        <v>5600</v>
      </c>
      <c r="G484" s="81" t="s">
        <v>713</v>
      </c>
      <c r="H484" s="86" t="str">
        <f>IF(A484="","",IF(INDEX(EXTRATO!$F$2:$F$3000,MATCH($A484,EXTRATO!$A$2:$A$3000,0))="","",INDEX(EXTRATO!$F$2:$F$3000,MATCH($A484,EXTRATO!$A$2:$A$3000,0))))</f>
        <v>ENTRADA</v>
      </c>
      <c r="I484" s="88" t="str">
        <f>IF(A484="","",IF(INDEX(EXTRATO!$H$2:$H$3000,MATCH($A484,EXTRATO!$A$2:$A$3000,0))="","",INDEX(EXTRATO!$H$2:$H$3000,MATCH($A484,EXTRATO!$A$2:$A$3000,0))))</f>
        <v>PATRICK DULFF</v>
      </c>
      <c r="J484" s="86" t="s">
        <v>1307</v>
      </c>
      <c r="K484" s="86" t="str">
        <f>IF(AND(A484="",D484="",E484="",F484=""),"",IF(D484="","SEM CATEGORIA",IF(E484="","SEM SUBCATEGORIA",IF(COUNTIFS(CADASTROS!$L$7:$L$93,D484,CADASTROS!$D$7:$D$93,E484)=0,"INCOMPATÍVEL","OK"))))</f>
        <v>OK</v>
      </c>
    </row>
    <row r="485" spans="1:11" ht="30" hidden="1" customHeight="1" x14ac:dyDescent="0.25">
      <c r="A485" s="86" t="s">
        <v>1862</v>
      </c>
      <c r="B485" s="85">
        <f>IF(A485="","",IF(INDEX(EXTRATO!$C$2:$C$3000,MATCH($A485,EXTRATO!$A$2:$A$3000,0))="","",INDEX(EXTRATO!$C$2:$C$3000,MATCH($A485,EXTRATO!$A$2:$A$3000,0))))</f>
        <v>46150</v>
      </c>
      <c r="C485" s="86">
        <f t="shared" si="7"/>
        <v>5</v>
      </c>
      <c r="D485" s="81" t="s">
        <v>1305</v>
      </c>
      <c r="E485" s="79" t="s">
        <v>1339</v>
      </c>
      <c r="F485" s="80">
        <v>27754.639999999999</v>
      </c>
      <c r="G485" s="81" t="s">
        <v>714</v>
      </c>
      <c r="H485" s="86" t="str">
        <f>IF(A485="","",IF(INDEX(EXTRATO!$F$2:$F$3000,MATCH($A485,EXTRATO!$A$2:$A$3000,0))="","",INDEX(EXTRATO!$F$2:$F$3000,MATCH($A485,EXTRATO!$A$2:$A$3000,0))))</f>
        <v>ENTRADA</v>
      </c>
      <c r="I485" s="88" t="str">
        <f>IF(A485="","",IF(INDEX(EXTRATO!$H$2:$H$3000,MATCH($A485,EXTRATO!$A$2:$A$3000,0))="","",INDEX(EXTRATO!$H$2:$H$3000,MATCH($A485,EXTRATO!$A$2:$A$3000,0))))</f>
        <v>PISO DE ENFERMAGEM</v>
      </c>
      <c r="J485" s="86" t="s">
        <v>1307</v>
      </c>
      <c r="K485" s="86" t="str">
        <f>IF(AND(A485="",D485="",E485="",F485=""),"",IF(D485="","SEM CATEGORIA",IF(E485="","SEM SUBCATEGORIA",IF(COUNTIFS(CADASTROS!$L$7:$L$93,D485,CADASTROS!$D$7:$D$93,E485)=0,"INCOMPATÍVEL","OK"))))</f>
        <v>OK</v>
      </c>
    </row>
    <row r="486" spans="1:11" ht="30" hidden="1" customHeight="1" x14ac:dyDescent="0.25">
      <c r="A486" s="86" t="s">
        <v>1863</v>
      </c>
      <c r="B486" s="85">
        <f>IF(A486="","",IF(INDEX(EXTRATO!$C$2:$C$3000,MATCH($A486,EXTRATO!$A$2:$A$3000,0))="","",INDEX(EXTRATO!$C$2:$C$3000,MATCH($A486,EXTRATO!$A$2:$A$3000,0))))</f>
        <v>46153</v>
      </c>
      <c r="C486" s="86">
        <f t="shared" si="7"/>
        <v>5</v>
      </c>
      <c r="D486" s="81" t="s">
        <v>1415</v>
      </c>
      <c r="E486" s="79" t="s">
        <v>1418</v>
      </c>
      <c r="F486" s="80">
        <v>400</v>
      </c>
      <c r="G486" s="81" t="s">
        <v>715</v>
      </c>
      <c r="H486" s="86" t="str">
        <f>IF(A486="","",IF(INDEX(EXTRATO!$F$2:$F$3000,MATCH($A486,EXTRATO!$A$2:$A$3000,0))="","",INDEX(EXTRATO!$F$2:$F$3000,MATCH($A486,EXTRATO!$A$2:$A$3000,0))))</f>
        <v>SAÍDA</v>
      </c>
      <c r="I486" s="88" t="str">
        <f>IF(A486="","",IF(INDEX(EXTRATO!$H$2:$H$3000,MATCH($A486,EXTRATO!$A$2:$A$3000,0))="","",INDEX(EXTRATO!$H$2:$H$3000,MATCH($A486,EXTRATO!$A$2:$A$3000,0))))</f>
        <v>I F DA SILVA &amp; CIA LTDA</v>
      </c>
      <c r="J486" s="86" t="s">
        <v>1313</v>
      </c>
      <c r="K486" s="86" t="str">
        <f>IF(AND(A486="",D486="",E486="",F486=""),"",IF(D486="","SEM CATEGORIA",IF(E486="","SEM SUBCATEGORIA",IF(COUNTIFS(CADASTROS!$L$7:$L$93,D486,CADASTROS!$D$7:$D$93,E486)=0,"INCOMPATÍVEL","OK"))))</f>
        <v>OK</v>
      </c>
    </row>
    <row r="487" spans="1:11" ht="30" hidden="1" customHeight="1" x14ac:dyDescent="0.25">
      <c r="A487" s="86" t="s">
        <v>1863</v>
      </c>
      <c r="B487" s="85">
        <f>IF(A487="","",IF(INDEX(EXTRATO!$C$2:$C$3000,MATCH($A487,EXTRATO!$A$2:$A$3000,0))="","",INDEX(EXTRATO!$C$2:$C$3000,MATCH($A487,EXTRATO!$A$2:$A$3000,0))))</f>
        <v>46153</v>
      </c>
      <c r="C487" s="86">
        <f t="shared" si="7"/>
        <v>5</v>
      </c>
      <c r="D487" s="81" t="s">
        <v>1415</v>
      </c>
      <c r="E487" s="79" t="s">
        <v>1420</v>
      </c>
      <c r="F487" s="80">
        <v>3419.97</v>
      </c>
      <c r="G487" s="81" t="s">
        <v>715</v>
      </c>
      <c r="H487" s="86" t="str">
        <f>IF(A487="","",IF(INDEX(EXTRATO!$F$2:$F$3000,MATCH($A487,EXTRATO!$A$2:$A$3000,0))="","",INDEX(EXTRATO!$F$2:$F$3000,MATCH($A487,EXTRATO!$A$2:$A$3000,0))))</f>
        <v>SAÍDA</v>
      </c>
      <c r="I487" s="88" t="str">
        <f>IF(A487="","",IF(INDEX(EXTRATO!$H$2:$H$3000,MATCH($A487,EXTRATO!$A$2:$A$3000,0))="","",INDEX(EXTRATO!$H$2:$H$3000,MATCH($A487,EXTRATO!$A$2:$A$3000,0))))</f>
        <v>I F DA SILVA &amp; CIA LTDA</v>
      </c>
      <c r="J487" s="86" t="s">
        <v>1313</v>
      </c>
      <c r="K487" s="86" t="str">
        <f>IF(AND(A487="",D487="",E487="",F487=""),"",IF(D487="","SEM CATEGORIA",IF(E487="","SEM SUBCATEGORIA",IF(COUNTIFS(CADASTROS!$L$7:$L$93,D487,CADASTROS!$D$7:$D$93,E487)=0,"INCOMPATÍVEL","OK"))))</f>
        <v>OK</v>
      </c>
    </row>
    <row r="488" spans="1:11" ht="30" hidden="1" customHeight="1" x14ac:dyDescent="0.25">
      <c r="A488" s="86" t="s">
        <v>1863</v>
      </c>
      <c r="B488" s="85">
        <f>IF(A488="","",IF(INDEX(EXTRATO!$C$2:$C$3000,MATCH($A488,EXTRATO!$A$2:$A$3000,0))="","",INDEX(EXTRATO!$C$2:$C$3000,MATCH($A488,EXTRATO!$A$2:$A$3000,0))))</f>
        <v>46153</v>
      </c>
      <c r="C488" s="86">
        <f t="shared" si="7"/>
        <v>5</v>
      </c>
      <c r="D488" s="81" t="s">
        <v>1415</v>
      </c>
      <c r="E488" s="79" t="s">
        <v>1416</v>
      </c>
      <c r="F488" s="80">
        <v>800</v>
      </c>
      <c r="G488" s="81" t="s">
        <v>715</v>
      </c>
      <c r="H488" s="86" t="str">
        <f>IF(A488="","",IF(INDEX(EXTRATO!$F$2:$F$3000,MATCH($A488,EXTRATO!$A$2:$A$3000,0))="","",INDEX(EXTRATO!$F$2:$F$3000,MATCH($A488,EXTRATO!$A$2:$A$3000,0))))</f>
        <v>SAÍDA</v>
      </c>
      <c r="I488" s="88" t="str">
        <f>IF(A488="","",IF(INDEX(EXTRATO!$H$2:$H$3000,MATCH($A488,EXTRATO!$A$2:$A$3000,0))="","",INDEX(EXTRATO!$H$2:$H$3000,MATCH($A488,EXTRATO!$A$2:$A$3000,0))))</f>
        <v>I F DA SILVA &amp; CIA LTDA</v>
      </c>
      <c r="J488" s="86" t="s">
        <v>1313</v>
      </c>
      <c r="K488" s="86" t="str">
        <f>IF(AND(A488="",D488="",E488="",F488=""),"",IF(D488="","SEM CATEGORIA",IF(E488="","SEM SUBCATEGORIA",IF(COUNTIFS(CADASTROS!$L$7:$L$93,D488,CADASTROS!$D$7:$D$93,E488)=0,"INCOMPATÍVEL","OK"))))</f>
        <v>OK</v>
      </c>
    </row>
    <row r="489" spans="1:11" ht="30" hidden="1" customHeight="1" x14ac:dyDescent="0.25">
      <c r="A489" s="86" t="s">
        <v>1863</v>
      </c>
      <c r="B489" s="85">
        <f>IF(A489="","",IF(INDEX(EXTRATO!$C$2:$C$3000,MATCH($A489,EXTRATO!$A$2:$A$3000,0))="","",INDEX(EXTRATO!$C$2:$C$3000,MATCH($A489,EXTRATO!$A$2:$A$3000,0))))</f>
        <v>46153</v>
      </c>
      <c r="C489" s="86">
        <f t="shared" si="7"/>
        <v>5</v>
      </c>
      <c r="D489" s="81" t="s">
        <v>1415</v>
      </c>
      <c r="E489" s="79" t="s">
        <v>1422</v>
      </c>
      <c r="F489" s="80">
        <v>3886.36</v>
      </c>
      <c r="G489" s="81" t="s">
        <v>715</v>
      </c>
      <c r="H489" s="86" t="str">
        <f>IF(A489="","",IF(INDEX(EXTRATO!$F$2:$F$3000,MATCH($A489,EXTRATO!$A$2:$A$3000,0))="","",INDEX(EXTRATO!$F$2:$F$3000,MATCH($A489,EXTRATO!$A$2:$A$3000,0))))</f>
        <v>SAÍDA</v>
      </c>
      <c r="I489" s="88" t="str">
        <f>IF(A489="","",IF(INDEX(EXTRATO!$H$2:$H$3000,MATCH($A489,EXTRATO!$A$2:$A$3000,0))="","",INDEX(EXTRATO!$H$2:$H$3000,MATCH($A489,EXTRATO!$A$2:$A$3000,0))))</f>
        <v>I F DA SILVA &amp; CIA LTDA</v>
      </c>
      <c r="J489" s="86" t="s">
        <v>1313</v>
      </c>
      <c r="K489" s="86" t="str">
        <f>IF(AND(A489="",D489="",E489="",F489=""),"",IF(D489="","SEM CATEGORIA",IF(E489="","SEM SUBCATEGORIA",IF(COUNTIFS(CADASTROS!$L$7:$L$93,D489,CADASTROS!$D$7:$D$93,E489)=0,"INCOMPATÍVEL","OK"))))</f>
        <v>OK</v>
      </c>
    </row>
    <row r="490" spans="1:11" ht="30" hidden="1" customHeight="1" x14ac:dyDescent="0.25">
      <c r="A490" s="86" t="s">
        <v>1864</v>
      </c>
      <c r="B490" s="85">
        <f>IF(A490="","",IF(INDEX(EXTRATO!$C$2:$C$3000,MATCH($A490,EXTRATO!$A$2:$A$3000,0))="","",INDEX(EXTRATO!$C$2:$C$3000,MATCH($A490,EXTRATO!$A$2:$A$3000,0))))</f>
        <v>46153</v>
      </c>
      <c r="C490" s="86">
        <f t="shared" si="7"/>
        <v>5</v>
      </c>
      <c r="D490" s="81" t="s">
        <v>1330</v>
      </c>
      <c r="E490" s="79" t="s">
        <v>1358</v>
      </c>
      <c r="F490" s="80">
        <v>5117.8599999999997</v>
      </c>
      <c r="G490" s="81" t="s">
        <v>717</v>
      </c>
      <c r="H490" s="86" t="str">
        <f>IF(A490="","",IF(INDEX(EXTRATO!$F$2:$F$3000,MATCH($A490,EXTRATO!$A$2:$A$3000,0))="","",INDEX(EXTRATO!$F$2:$F$3000,MATCH($A490,EXTRATO!$A$2:$A$3000,0))))</f>
        <v>SAÍDA</v>
      </c>
      <c r="I490" s="88" t="str">
        <f>IF(A490="","",IF(INDEX(EXTRATO!$H$2:$H$3000,MATCH($A490,EXTRATO!$A$2:$A$3000,0))="","",INDEX(EXTRATO!$H$2:$H$3000,MATCH($A490,EXTRATO!$A$2:$A$3000,0))))</f>
        <v>CAMINO</v>
      </c>
      <c r="J490" s="86" t="s">
        <v>1313</v>
      </c>
      <c r="K490" s="86" t="str">
        <f>IF(AND(A490="",D490="",E490="",F490=""),"",IF(D490="","SEM CATEGORIA",IF(E490="","SEM SUBCATEGORIA",IF(COUNTIFS(CADASTROS!$L$7:$L$93,D490,CADASTROS!$D$7:$D$93,E490)=0,"INCOMPATÍVEL","OK"))))</f>
        <v>OK</v>
      </c>
    </row>
    <row r="491" spans="1:11" ht="30" hidden="1" customHeight="1" x14ac:dyDescent="0.25">
      <c r="A491" s="86" t="s">
        <v>1865</v>
      </c>
      <c r="B491" s="85">
        <f>IF(A491="","",IF(INDEX(EXTRATO!$C$2:$C$3000,MATCH($A491,EXTRATO!$A$2:$A$3000,0))="","",INDEX(EXTRATO!$C$2:$C$3000,MATCH($A491,EXTRATO!$A$2:$A$3000,0))))</f>
        <v>46153</v>
      </c>
      <c r="C491" s="86">
        <f t="shared" si="7"/>
        <v>5</v>
      </c>
      <c r="D491" s="81" t="s">
        <v>1367</v>
      </c>
      <c r="E491" s="79" t="s">
        <v>1560</v>
      </c>
      <c r="F491" s="80">
        <v>3893</v>
      </c>
      <c r="G491" s="81" t="s">
        <v>658</v>
      </c>
      <c r="H491" s="86" t="str">
        <f>IF(A491="","",IF(INDEX(EXTRATO!$F$2:$F$3000,MATCH($A491,EXTRATO!$A$2:$A$3000,0))="","",INDEX(EXTRATO!$F$2:$F$3000,MATCH($A491,EXTRATO!$A$2:$A$3000,0))))</f>
        <v>SAÍDA</v>
      </c>
      <c r="I491" s="88" t="str">
        <f>IF(A491="","",IF(INDEX(EXTRATO!$H$2:$H$3000,MATCH($A491,EXTRATO!$A$2:$A$3000,0))="","",INDEX(EXTRATO!$H$2:$H$3000,MATCH($A491,EXTRATO!$A$2:$A$3000,0))))</f>
        <v>PANELA VELHA</v>
      </c>
      <c r="J491" s="86" t="s">
        <v>1313</v>
      </c>
      <c r="K491" s="86" t="str">
        <f>IF(AND(A491="",D491="",E491="",F491=""),"",IF(D491="","SEM CATEGORIA",IF(E491="","SEM SUBCATEGORIA",IF(COUNTIFS(CADASTROS!$L$7:$L$93,D491,CADASTROS!$D$7:$D$93,E491)=0,"INCOMPATÍVEL","OK"))))</f>
        <v>OK</v>
      </c>
    </row>
    <row r="492" spans="1:11" ht="30" hidden="1" customHeight="1" x14ac:dyDescent="0.25">
      <c r="A492" s="86" t="s">
        <v>1866</v>
      </c>
      <c r="B492" s="85">
        <f>IF(A492="","",IF(INDEX(EXTRATO!$C$2:$C$3000,MATCH($A492,EXTRATO!$A$2:$A$3000,0))="","",INDEX(EXTRATO!$C$2:$C$3000,MATCH($A492,EXTRATO!$A$2:$A$3000,0))))</f>
        <v>46153</v>
      </c>
      <c r="C492" s="86">
        <f t="shared" si="7"/>
        <v>5</v>
      </c>
      <c r="D492" s="81" t="s">
        <v>1415</v>
      </c>
      <c r="E492" s="79" t="s">
        <v>1657</v>
      </c>
      <c r="F492" s="80">
        <v>1800</v>
      </c>
      <c r="G492" s="81" t="s">
        <v>720</v>
      </c>
      <c r="H492" s="86" t="str">
        <f>IF(A492="","",IF(INDEX(EXTRATO!$F$2:$F$3000,MATCH($A492,EXTRATO!$A$2:$A$3000,0))="","",INDEX(EXTRATO!$F$2:$F$3000,MATCH($A492,EXTRATO!$A$2:$A$3000,0))))</f>
        <v>SAÍDA</v>
      </c>
      <c r="I492" s="88" t="str">
        <f>IF(A492="","",IF(INDEX(EXTRATO!$H$2:$H$3000,MATCH($A492,EXTRATO!$A$2:$A$3000,0))="","",INDEX(EXTRATO!$H$2:$H$3000,MATCH($A492,EXTRATO!$A$2:$A$3000,0))))</f>
        <v>FARMACÊUTICA GARDÊNIA</v>
      </c>
      <c r="J492" s="86" t="s">
        <v>1313</v>
      </c>
      <c r="K492" s="86" t="str">
        <f>IF(AND(A492="",D492="",E492="",F492=""),"",IF(D492="","SEM CATEGORIA",IF(E492="","SEM SUBCATEGORIA",IF(COUNTIFS(CADASTROS!$L$7:$L$93,D492,CADASTROS!$D$7:$D$93,E492)=0,"INCOMPATÍVEL","OK"))))</f>
        <v>OK</v>
      </c>
    </row>
    <row r="493" spans="1:11" ht="30" hidden="1" customHeight="1" x14ac:dyDescent="0.25">
      <c r="A493" s="86" t="s">
        <v>1867</v>
      </c>
      <c r="B493" s="85">
        <f>IF(A493="","",IF(INDEX(EXTRATO!$C$2:$C$3000,MATCH($A493,EXTRATO!$A$2:$A$3000,0))="","",INDEX(EXTRATO!$C$2:$C$3000,MATCH($A493,EXTRATO!$A$2:$A$3000,0))))</f>
        <v>46153</v>
      </c>
      <c r="C493" s="86">
        <f t="shared" si="7"/>
        <v>5</v>
      </c>
      <c r="D493" s="81" t="s">
        <v>1330</v>
      </c>
      <c r="E493" s="79" t="s">
        <v>1352</v>
      </c>
      <c r="F493" s="80">
        <v>275</v>
      </c>
      <c r="G493" s="81" t="s">
        <v>297</v>
      </c>
      <c r="H493" s="86" t="str">
        <f>IF(A493="","",IF(INDEX(EXTRATO!$F$2:$F$3000,MATCH($A493,EXTRATO!$A$2:$A$3000,0))="","",INDEX(EXTRATO!$F$2:$F$3000,MATCH($A493,EXTRATO!$A$2:$A$3000,0))))</f>
        <v>SAÍDA</v>
      </c>
      <c r="I493" s="88" t="str">
        <f>IF(A493="","",IF(INDEX(EXTRATO!$H$2:$H$3000,MATCH($A493,EXTRATO!$A$2:$A$3000,0))="","",INDEX(EXTRATO!$H$2:$H$3000,MATCH($A493,EXTRATO!$A$2:$A$3000,0))))</f>
        <v>TARIFA PACOTE DE SERVIÇOS</v>
      </c>
      <c r="J493" s="86" t="s">
        <v>1313</v>
      </c>
      <c r="K493" s="86" t="str">
        <f>IF(AND(A493="",D493="",E493="",F493=""),"",IF(D493="","SEM CATEGORIA",IF(E493="","SEM SUBCATEGORIA",IF(COUNTIFS(CADASTROS!$L$7:$L$93,D493,CADASTROS!$D$7:$D$93,E493)=0,"INCOMPATÍVEL","OK"))))</f>
        <v>OK</v>
      </c>
    </row>
    <row r="494" spans="1:11" ht="30" hidden="1" customHeight="1" x14ac:dyDescent="0.25">
      <c r="A494" s="86" t="s">
        <v>1868</v>
      </c>
      <c r="B494" s="85">
        <f>IF(A494="","",IF(INDEX(EXTRATO!$C$2:$C$3000,MATCH($A494,EXTRATO!$A$2:$A$3000,0))="","",INDEX(EXTRATO!$C$2:$C$3000,MATCH($A494,EXTRATO!$A$2:$A$3000,0))))</f>
        <v>46153</v>
      </c>
      <c r="C494" s="86">
        <f t="shared" si="7"/>
        <v>5</v>
      </c>
      <c r="D494" s="81" t="s">
        <v>1330</v>
      </c>
      <c r="E494" s="79" t="s">
        <v>1379</v>
      </c>
      <c r="F494" s="80">
        <v>149.9</v>
      </c>
      <c r="G494" s="81" t="s">
        <v>119</v>
      </c>
      <c r="H494" s="86" t="str">
        <f>IF(A494="","",IF(INDEX(EXTRATO!$F$2:$F$3000,MATCH($A494,EXTRATO!$A$2:$A$3000,0))="","",INDEX(EXTRATO!$F$2:$F$3000,MATCH($A494,EXTRATO!$A$2:$A$3000,0))))</f>
        <v>SAÍDA</v>
      </c>
      <c r="I494" s="88" t="str">
        <f>IF(A494="","",IF(INDEX(EXTRATO!$H$2:$H$3000,MATCH($A494,EXTRATO!$A$2:$A$3000,0))="","",INDEX(EXTRATO!$H$2:$H$3000,MATCH($A494,EXTRATO!$A$2:$A$3000,0))))</f>
        <v>MARANET TELECOM</v>
      </c>
      <c r="J494" s="86" t="s">
        <v>1313</v>
      </c>
      <c r="K494" s="86" t="str">
        <f>IF(AND(A494="",D494="",E494="",F494=""),"",IF(D494="","SEM CATEGORIA",IF(E494="","SEM SUBCATEGORIA",IF(COUNTIFS(CADASTROS!$L$7:$L$93,D494,CADASTROS!$D$7:$D$93,E494)=0,"INCOMPATÍVEL","OK"))))</f>
        <v>OK</v>
      </c>
    </row>
    <row r="495" spans="1:11" ht="30" hidden="1" customHeight="1" x14ac:dyDescent="0.25">
      <c r="A495" s="86" t="s">
        <v>1869</v>
      </c>
      <c r="B495" s="85">
        <f>IF(A495="","",IF(INDEX(EXTRATO!$C$2:$C$3000,MATCH($A495,EXTRATO!$A$2:$A$3000,0))="","",INDEX(EXTRATO!$C$2:$C$3000,MATCH($A495,EXTRATO!$A$2:$A$3000,0))))</f>
        <v>46153</v>
      </c>
      <c r="C495" s="86">
        <f t="shared" si="7"/>
        <v>5</v>
      </c>
      <c r="D495" s="81" t="s">
        <v>1305</v>
      </c>
      <c r="E495" s="79" t="s">
        <v>1339</v>
      </c>
      <c r="F495" s="80">
        <v>8413.9699999999993</v>
      </c>
      <c r="G495" s="81" t="s">
        <v>722</v>
      </c>
      <c r="H495" s="86" t="str">
        <f>IF(A495="","",IF(INDEX(EXTRATO!$F$2:$F$3000,MATCH($A495,EXTRATO!$A$2:$A$3000,0))="","",INDEX(EXTRATO!$F$2:$F$3000,MATCH($A495,EXTRATO!$A$2:$A$3000,0))))</f>
        <v>ENTRADA</v>
      </c>
      <c r="I495" s="88" t="str">
        <f>IF(A495="","",IF(INDEX(EXTRATO!$H$2:$H$3000,MATCH($A495,EXTRATO!$A$2:$A$3000,0))="","",INDEX(EXTRATO!$H$2:$H$3000,MATCH($A495,EXTRATO!$A$2:$A$3000,0))))</f>
        <v>PISO DE ENFERMAGEM</v>
      </c>
      <c r="J495" s="86" t="s">
        <v>1307</v>
      </c>
      <c r="K495" s="86" t="str">
        <f>IF(AND(A495="",D495="",E495="",F495=""),"",IF(D495="","SEM CATEGORIA",IF(E495="","SEM SUBCATEGORIA",IF(COUNTIFS(CADASTROS!$L$7:$L$93,D495,CADASTROS!$D$7:$D$93,E495)=0,"INCOMPATÍVEL","OK"))))</f>
        <v>OK</v>
      </c>
    </row>
    <row r="496" spans="1:11" ht="30" hidden="1" customHeight="1" x14ac:dyDescent="0.25">
      <c r="A496" s="86" t="s">
        <v>1870</v>
      </c>
      <c r="B496" s="85">
        <f>IF(A496="","",IF(INDEX(EXTRATO!$C$2:$C$3000,MATCH($A496,EXTRATO!$A$2:$A$3000,0))="","",INDEX(EXTRATO!$C$2:$C$3000,MATCH($A496,EXTRATO!$A$2:$A$3000,0))))</f>
        <v>46154</v>
      </c>
      <c r="C496" s="86">
        <f t="shared" si="7"/>
        <v>5</v>
      </c>
      <c r="D496" s="81" t="s">
        <v>1330</v>
      </c>
      <c r="E496" s="79" t="s">
        <v>1335</v>
      </c>
      <c r="F496" s="80">
        <v>230</v>
      </c>
      <c r="G496" s="81" t="s">
        <v>69</v>
      </c>
      <c r="H496" s="86" t="str">
        <f>IF(A496="","",IF(INDEX(EXTRATO!$F$2:$F$3000,MATCH($A496,EXTRATO!$A$2:$A$3000,0))="","",INDEX(EXTRATO!$F$2:$F$3000,MATCH($A496,EXTRATO!$A$2:$A$3000,0))))</f>
        <v>SAÍDA</v>
      </c>
      <c r="I496" s="88" t="str">
        <f>IF(A496="","",IF(INDEX(EXTRATO!$H$2:$H$3000,MATCH($A496,EXTRATO!$A$2:$A$3000,0))="","",INDEX(EXTRATO!$H$2:$H$3000,MATCH($A496,EXTRATO!$A$2:$A$3000,0))))</f>
        <v>GAS SÃO JOSE</v>
      </c>
      <c r="J496" s="86" t="s">
        <v>1313</v>
      </c>
      <c r="K496" s="86" t="str">
        <f>IF(AND(A496="",D496="",E496="",F496=""),"",IF(D496="","SEM CATEGORIA",IF(E496="","SEM SUBCATEGORIA",IF(COUNTIFS(CADASTROS!$L$7:$L$93,D496,CADASTROS!$D$7:$D$93,E496)=0,"INCOMPATÍVEL","OK"))))</f>
        <v>OK</v>
      </c>
    </row>
    <row r="497" spans="1:11" ht="30" hidden="1" customHeight="1" x14ac:dyDescent="0.25">
      <c r="A497" s="86" t="s">
        <v>1871</v>
      </c>
      <c r="B497" s="85">
        <f>IF(A497="","",IF(INDEX(EXTRATO!$C$2:$C$3000,MATCH($A497,EXTRATO!$A$2:$A$3000,0))="","",INDEX(EXTRATO!$C$2:$C$3000,MATCH($A497,EXTRATO!$A$2:$A$3000,0))))</f>
        <v>46155</v>
      </c>
      <c r="C497" s="86">
        <f t="shared" si="7"/>
        <v>5</v>
      </c>
      <c r="D497" s="81" t="s">
        <v>1367</v>
      </c>
      <c r="E497" s="79" t="s">
        <v>1383</v>
      </c>
      <c r="F497" s="80">
        <v>36168.61</v>
      </c>
      <c r="G497" s="81" t="s">
        <v>629</v>
      </c>
      <c r="H497" s="86" t="str">
        <f>IF(A497="","",IF(INDEX(EXTRATO!$F$2:$F$3000,MATCH($A497,EXTRATO!$A$2:$A$3000,0))="","",INDEX(EXTRATO!$F$2:$F$3000,MATCH($A497,EXTRATO!$A$2:$A$3000,0))))</f>
        <v>SAÍDA</v>
      </c>
      <c r="I497" s="88" t="str">
        <f>IF(A497="","",IF(INDEX(EXTRATO!$H$2:$H$3000,MATCH($A497,EXTRATO!$A$2:$A$3000,0))="","",INDEX(EXTRATO!$H$2:$H$3000,MATCH($A497,EXTRATO!$A$2:$A$3000,0))))</f>
        <v>FOLHA DE PAGAMENTO - PISO</v>
      </c>
      <c r="J497" s="86" t="s">
        <v>1313</v>
      </c>
      <c r="K497" s="86" t="str">
        <f>IF(AND(A497="",D497="",E497="",F497=""),"",IF(D497="","SEM CATEGORIA",IF(E497="","SEM SUBCATEGORIA",IF(COUNTIFS(CADASTROS!$L$7:$L$93,D497,CADASTROS!$D$7:$D$93,E497)=0,"INCOMPATÍVEL","OK"))))</f>
        <v>OK</v>
      </c>
    </row>
    <row r="498" spans="1:11" ht="30" hidden="1" customHeight="1" x14ac:dyDescent="0.25">
      <c r="A498" s="86" t="s">
        <v>1872</v>
      </c>
      <c r="B498" s="85">
        <f>IF(A498="","",IF(INDEX(EXTRATO!$C$2:$C$3000,MATCH($A498,EXTRATO!$A$2:$A$3000,0))="","",INDEX(EXTRATO!$C$2:$C$3000,MATCH($A498,EXTRATO!$A$2:$A$3000,0))))</f>
        <v>46155</v>
      </c>
      <c r="C498" s="86">
        <f t="shared" si="7"/>
        <v>5</v>
      </c>
      <c r="D498" s="81" t="s">
        <v>1330</v>
      </c>
      <c r="E498" s="79" t="s">
        <v>1352</v>
      </c>
      <c r="F498" s="80">
        <v>38.5</v>
      </c>
      <c r="G498" s="81" t="s">
        <v>276</v>
      </c>
      <c r="H498" s="86" t="str">
        <f>IF(A498="","",IF(INDEX(EXTRATO!$F$2:$F$3000,MATCH($A498,EXTRATO!$A$2:$A$3000,0))="","",INDEX(EXTRATO!$F$2:$F$3000,MATCH($A498,EXTRATO!$A$2:$A$3000,0))))</f>
        <v>SAÍDA</v>
      </c>
      <c r="I498" s="88" t="str">
        <f>IF(A498="","",IF(INDEX(EXTRATO!$H$2:$H$3000,MATCH($A498,EXTRATO!$A$2:$A$3000,0))="","",INDEX(EXTRATO!$H$2:$H$3000,MATCH($A498,EXTRATO!$A$2:$A$3000,0))))</f>
        <v>TARIFA BANCÁRIA</v>
      </c>
      <c r="J498" s="86" t="s">
        <v>1313</v>
      </c>
      <c r="K498" s="86" t="str">
        <f>IF(AND(A498="",D498="",E498="",F498=""),"",IF(D498="","SEM CATEGORIA",IF(E498="","SEM SUBCATEGORIA",IF(COUNTIFS(CADASTROS!$L$7:$L$93,D498,CADASTROS!$D$7:$D$93,E498)=0,"INCOMPATÍVEL","OK"))))</f>
        <v>OK</v>
      </c>
    </row>
    <row r="499" spans="1:11" ht="30" hidden="1" customHeight="1" x14ac:dyDescent="0.25">
      <c r="A499" s="86" t="s">
        <v>1873</v>
      </c>
      <c r="B499" s="85">
        <f>IF(A499="","",IF(INDEX(EXTRATO!$C$2:$C$3000,MATCH($A499,EXTRATO!$A$2:$A$3000,0))="","",INDEX(EXTRATO!$C$2:$C$3000,MATCH($A499,EXTRATO!$A$2:$A$3000,0))))</f>
        <v>46156</v>
      </c>
      <c r="C499" s="86">
        <f t="shared" si="7"/>
        <v>5</v>
      </c>
      <c r="D499" s="81" t="s">
        <v>1454</v>
      </c>
      <c r="E499" s="79" t="s">
        <v>1521</v>
      </c>
      <c r="F499" s="80">
        <v>2001.76</v>
      </c>
      <c r="G499" s="81" t="s">
        <v>724</v>
      </c>
      <c r="H499" s="86" t="str">
        <f>IF(A499="","",IF(INDEX(EXTRATO!$F$2:$F$3000,MATCH($A499,EXTRATO!$A$2:$A$3000,0))="","",INDEX(EXTRATO!$F$2:$F$3000,MATCH($A499,EXTRATO!$A$2:$A$3000,0))))</f>
        <v>SAÍDA</v>
      </c>
      <c r="I499" s="88" t="str">
        <f>IF(A499="","",IF(INDEX(EXTRATO!$H$2:$H$3000,MATCH($A499,EXTRATO!$A$2:$A$3000,0))="","",INDEX(EXTRATO!$H$2:$H$3000,MATCH($A499,EXTRATO!$A$2:$A$3000,0))))</f>
        <v>BANCO VOLKSWAGEN</v>
      </c>
      <c r="J499" s="86" t="s">
        <v>1313</v>
      </c>
      <c r="K499" s="86" t="str">
        <f>IF(AND(A499="",D499="",E499="",F499=""),"",IF(D499="","SEM CATEGORIA",IF(E499="","SEM SUBCATEGORIA",IF(COUNTIFS(CADASTROS!$L$7:$L$93,D499,CADASTROS!$D$7:$D$93,E499)=0,"INCOMPATÍVEL","OK"))))</f>
        <v>OK</v>
      </c>
    </row>
    <row r="500" spans="1:11" ht="30" hidden="1" customHeight="1" x14ac:dyDescent="0.25">
      <c r="A500" s="86" t="s">
        <v>1874</v>
      </c>
      <c r="B500" s="85">
        <f>IF(A500="","",IF(INDEX(EXTRATO!$C$2:$C$3000,MATCH($A500,EXTRATO!$A$2:$A$3000,0))="","",INDEX(EXTRATO!$C$2:$C$3000,MATCH($A500,EXTRATO!$A$2:$A$3000,0))))</f>
        <v>46162</v>
      </c>
      <c r="C500" s="86">
        <f t="shared" si="7"/>
        <v>5</v>
      </c>
      <c r="D500" s="81" t="s">
        <v>1367</v>
      </c>
      <c r="E500" s="79" t="s">
        <v>167</v>
      </c>
      <c r="F500" s="80">
        <v>30826.71</v>
      </c>
      <c r="G500" s="81" t="s">
        <v>726</v>
      </c>
      <c r="H500" s="86" t="str">
        <f>IF(A500="","",IF(INDEX(EXTRATO!$F$2:$F$3000,MATCH($A500,EXTRATO!$A$2:$A$3000,0))="","",INDEX(EXTRATO!$F$2:$F$3000,MATCH($A500,EXTRATO!$A$2:$A$3000,0))))</f>
        <v>SAÍDA</v>
      </c>
      <c r="I500" s="88" t="str">
        <f>IF(A500="","",IF(INDEX(EXTRATO!$H$2:$H$3000,MATCH($A500,EXTRATO!$A$2:$A$3000,0))="","",INDEX(EXTRATO!$H$2:$H$3000,MATCH($A500,EXTRATO!$A$2:$A$3000,0))))</f>
        <v>INSS</v>
      </c>
      <c r="J500" s="86" t="s">
        <v>1313</v>
      </c>
      <c r="K500" s="86" t="str">
        <f>IF(AND(A500="",D500="",E500="",F500=""),"",IF(D500="","SEM CATEGORIA",IF(E500="","SEM SUBCATEGORIA",IF(COUNTIFS(CADASTROS!$L$7:$L$93,D500,CADASTROS!$D$7:$D$93,E500)=0,"INCOMPATÍVEL","OK"))))</f>
        <v>OK</v>
      </c>
    </row>
    <row r="501" spans="1:11" ht="30" hidden="1" customHeight="1" x14ac:dyDescent="0.25">
      <c r="A501" s="86" t="s">
        <v>1875</v>
      </c>
      <c r="B501" s="85">
        <f>IF(A501="","",IF(INDEX(EXTRATO!$C$2:$C$3000,MATCH($A501,EXTRATO!$A$2:$A$3000,0))="","",INDEX(EXTRATO!$C$2:$C$3000,MATCH($A501,EXTRATO!$A$2:$A$3000,0))))</f>
        <v>46162</v>
      </c>
      <c r="C501" s="86">
        <f t="shared" si="7"/>
        <v>5</v>
      </c>
      <c r="D501" s="81" t="s">
        <v>1330</v>
      </c>
      <c r="E501" s="79" t="s">
        <v>1344</v>
      </c>
      <c r="F501" s="80">
        <v>25963.55</v>
      </c>
      <c r="G501" s="81" t="s">
        <v>727</v>
      </c>
      <c r="H501" s="86" t="str">
        <f>IF(A501="","",IF(INDEX(EXTRATO!$F$2:$F$3000,MATCH($A501,EXTRATO!$A$2:$A$3000,0))="","",INDEX(EXTRATO!$F$2:$F$3000,MATCH($A501,EXTRATO!$A$2:$A$3000,0))))</f>
        <v>SAÍDA</v>
      </c>
      <c r="I501" s="88" t="str">
        <f>IF(A501="","",IF(INDEX(EXTRATO!$H$2:$H$3000,MATCH($A501,EXTRATO!$A$2:$A$3000,0))="","",INDEX(EXTRATO!$H$2:$H$3000,MATCH($A501,EXTRATO!$A$2:$A$3000,0))))</f>
        <v>EQUATORIAL MARANHÃO</v>
      </c>
      <c r="J501" s="86" t="s">
        <v>1313</v>
      </c>
      <c r="K501" s="86" t="str">
        <f>IF(AND(A501="",D501="",E501="",F501=""),"",IF(D501="","SEM CATEGORIA",IF(E501="","SEM SUBCATEGORIA",IF(COUNTIFS(CADASTROS!$L$7:$L$93,D501,CADASTROS!$D$7:$D$93,E501)=0,"INCOMPATÍVEL","OK"))))</f>
        <v>OK</v>
      </c>
    </row>
    <row r="502" spans="1:11" ht="30" hidden="1" customHeight="1" x14ac:dyDescent="0.25">
      <c r="A502" s="86" t="s">
        <v>1876</v>
      </c>
      <c r="B502" s="85">
        <f>IF(A502="","",IF(INDEX(EXTRATO!$C$2:$C$3000,MATCH($A502,EXTRATO!$A$2:$A$3000,0))="","",INDEX(EXTRATO!$C$2:$C$3000,MATCH($A502,EXTRATO!$A$2:$A$3000,0))))</f>
        <v>46162</v>
      </c>
      <c r="C502" s="86">
        <f t="shared" si="7"/>
        <v>5</v>
      </c>
      <c r="D502" s="81" t="s">
        <v>1311</v>
      </c>
      <c r="E502" s="79" t="s">
        <v>1404</v>
      </c>
      <c r="F502" s="80">
        <v>16011</v>
      </c>
      <c r="G502" s="81" t="s">
        <v>1882</v>
      </c>
      <c r="H502" s="86" t="str">
        <f>IF(A502="","",IF(INDEX(EXTRATO!$F$2:$F$3000,MATCH($A502,EXTRATO!$A$2:$A$3000,0))="","",INDEX(EXTRATO!$F$2:$F$3000,MATCH($A502,EXTRATO!$A$2:$A$3000,0))))</f>
        <v>SAÍDA</v>
      </c>
      <c r="I502" s="88" t="str">
        <f>IF(A502="","",IF(INDEX(EXTRATO!$H$2:$H$3000,MATCH($A502,EXTRATO!$A$2:$A$3000,0))="","",INDEX(EXTRATO!$H$2:$H$3000,MATCH($A502,EXTRATO!$A$2:$A$3000,0))))</f>
        <v>FARMACE</v>
      </c>
      <c r="J502" s="86" t="s">
        <v>1313</v>
      </c>
      <c r="K502" s="86" t="str">
        <f>IF(AND(A502="",D502="",E502="",F502=""),"",IF(D502="","SEM CATEGORIA",IF(E502="","SEM SUBCATEGORIA",IF(COUNTIFS(CADASTROS!$L$7:$L$93,D502,CADASTROS!$D$7:$D$93,E502)=0,"INCOMPATÍVEL","OK"))))</f>
        <v>OK</v>
      </c>
    </row>
    <row r="503" spans="1:11" ht="30" hidden="1" customHeight="1" x14ac:dyDescent="0.25">
      <c r="A503" s="86" t="s">
        <v>1876</v>
      </c>
      <c r="B503" s="85">
        <f>IF(A503="","",IF(INDEX(EXTRATO!$C$2:$C$3000,MATCH($A503,EXTRATO!$A$2:$A$3000,0))="","",INDEX(EXTRATO!$C$2:$C$3000,MATCH($A503,EXTRATO!$A$2:$A$3000,0))))</f>
        <v>46162</v>
      </c>
      <c r="C503" s="86">
        <f t="shared" si="7"/>
        <v>5</v>
      </c>
      <c r="D503" s="81" t="s">
        <v>1311</v>
      </c>
      <c r="E503" s="79" t="s">
        <v>1312</v>
      </c>
      <c r="F503" s="80">
        <v>160</v>
      </c>
      <c r="G503" s="81" t="s">
        <v>1883</v>
      </c>
      <c r="H503" s="86" t="str">
        <f>IF(A503="","",IF(INDEX(EXTRATO!$F$2:$F$3000,MATCH($A503,EXTRATO!$A$2:$A$3000,0))="","",INDEX(EXTRATO!$F$2:$F$3000,MATCH($A503,EXTRATO!$A$2:$A$3000,0))))</f>
        <v>SAÍDA</v>
      </c>
      <c r="I503" s="88" t="str">
        <f>IF(A503="","",IF(INDEX(EXTRATO!$H$2:$H$3000,MATCH($A503,EXTRATO!$A$2:$A$3000,0))="","",INDEX(EXTRATO!$H$2:$H$3000,MATCH($A503,EXTRATO!$A$2:$A$3000,0))))</f>
        <v>FARMACE</v>
      </c>
      <c r="J503" s="86" t="s">
        <v>1313</v>
      </c>
      <c r="K503" s="86" t="str">
        <f>IF(AND(A503="",D503="",E503="",F503=""),"",IF(D503="","SEM CATEGORIA",IF(E503="","SEM SUBCATEGORIA",IF(COUNTIFS(CADASTROS!$L$7:$L$93,D503,CADASTROS!$D$7:$D$93,E503)=0,"INCOMPATÍVEL","OK"))))</f>
        <v>OK</v>
      </c>
    </row>
    <row r="504" spans="1:11" ht="30" hidden="1" customHeight="1" x14ac:dyDescent="0.25">
      <c r="A504" s="86" t="s">
        <v>1877</v>
      </c>
      <c r="B504" s="85">
        <f>IF(A504="","",IF(INDEX(EXTRATO!$C$2:$C$3000,MATCH($A504,EXTRATO!$A$2:$A$3000,0))="","",INDEX(EXTRATO!$C$2:$C$3000,MATCH($A504,EXTRATO!$A$2:$A$3000,0))))</f>
        <v>46162</v>
      </c>
      <c r="C504" s="86">
        <f t="shared" si="7"/>
        <v>5</v>
      </c>
      <c r="D504" s="81" t="s">
        <v>1637</v>
      </c>
      <c r="E504" s="79" t="s">
        <v>1638</v>
      </c>
      <c r="F504" s="80">
        <v>10000</v>
      </c>
      <c r="G504" s="81" t="s">
        <v>1885</v>
      </c>
      <c r="H504" s="86" t="str">
        <f>IF(A504="","",IF(INDEX(EXTRATO!$F$2:$F$3000,MATCH($A504,EXTRATO!$A$2:$A$3000,0))="","",INDEX(EXTRATO!$F$2:$F$3000,MATCH($A504,EXTRATO!$A$2:$A$3000,0))))</f>
        <v>SAÍDA</v>
      </c>
      <c r="I504" s="88" t="str">
        <f>IF(A504="","",IF(INDEX(EXTRATO!$H$2:$H$3000,MATCH($A504,EXTRATO!$A$2:$A$3000,0))="","",INDEX(EXTRATO!$H$2:$H$3000,MATCH($A504,EXTRATO!$A$2:$A$3000,0))))</f>
        <v>FABIANA CRISTINA</v>
      </c>
      <c r="J504" s="86" t="s">
        <v>1313</v>
      </c>
      <c r="K504" s="86" t="str">
        <f>IF(AND(A504="",D504="",E504="",F504=""),"",IF(D504="","SEM CATEGORIA",IF(E504="","SEM SUBCATEGORIA",IF(COUNTIFS(CADASTROS!$L$7:$L$93,D504,CADASTROS!$D$7:$D$93,E504)=0,"INCOMPATÍVEL","OK"))))</f>
        <v>OK</v>
      </c>
    </row>
    <row r="505" spans="1:11" ht="30" hidden="1" customHeight="1" x14ac:dyDescent="0.25">
      <c r="A505" s="86" t="s">
        <v>1877</v>
      </c>
      <c r="B505" s="85">
        <f>IF(A505="","",IF(INDEX(EXTRATO!$C$2:$C$3000,MATCH($A505,EXTRATO!$A$2:$A$3000,0))="","",INDEX(EXTRATO!$C$2:$C$3000,MATCH($A505,EXTRATO!$A$2:$A$3000,0))))</f>
        <v>46162</v>
      </c>
      <c r="C505" s="86">
        <f t="shared" si="7"/>
        <v>5</v>
      </c>
      <c r="D505" s="81" t="s">
        <v>2486</v>
      </c>
      <c r="E505" s="79" t="s">
        <v>2529</v>
      </c>
      <c r="F505" s="80">
        <v>5332.88</v>
      </c>
      <c r="G505" s="81" t="s">
        <v>1886</v>
      </c>
      <c r="H505" s="86" t="str">
        <f>IF(A505="","",IF(INDEX(EXTRATO!$F$2:$F$3000,MATCH($A505,EXTRATO!$A$2:$A$3000,0))="","",INDEX(EXTRATO!$F$2:$F$3000,MATCH($A505,EXTRATO!$A$2:$A$3000,0))))</f>
        <v>SAÍDA</v>
      </c>
      <c r="I505" s="88" t="str">
        <f>IF(A505="","",IF(INDEX(EXTRATO!$H$2:$H$3000,MATCH($A505,EXTRATO!$A$2:$A$3000,0))="","",INDEX(EXTRATO!$H$2:$H$3000,MATCH($A505,EXTRATO!$A$2:$A$3000,0))))</f>
        <v>FABIANA CRISTINA</v>
      </c>
      <c r="J505" s="86" t="s">
        <v>1313</v>
      </c>
      <c r="K505" s="86" t="str">
        <f>IF(AND(A505="",D505="",E505="",F505=""),"",IF(D505="","SEM CATEGORIA",IF(E505="","SEM SUBCATEGORIA",IF(COUNTIFS(CADASTROS!$L$7:$L$93,D505,CADASTROS!$D$7:$D$93,E505)=0,"INCOMPATÍVEL","OK"))))</f>
        <v>OK</v>
      </c>
    </row>
    <row r="506" spans="1:11" ht="30" hidden="1" customHeight="1" x14ac:dyDescent="0.25">
      <c r="A506" s="86" t="s">
        <v>1878</v>
      </c>
      <c r="B506" s="85">
        <f>IF(A506="","",IF(INDEX(EXTRATO!$C$2:$C$3000,MATCH($A506,EXTRATO!$A$2:$A$3000,0))="","",INDEX(EXTRATO!$C$2:$C$3000,MATCH($A506,EXTRATO!$A$2:$A$3000,0))))</f>
        <v>46162</v>
      </c>
      <c r="C506" s="86">
        <f t="shared" si="7"/>
        <v>5</v>
      </c>
      <c r="D506" s="81" t="s">
        <v>1415</v>
      </c>
      <c r="E506" s="79" t="s">
        <v>1643</v>
      </c>
      <c r="F506" s="80">
        <v>14000</v>
      </c>
      <c r="G506" s="81" t="s">
        <v>732</v>
      </c>
      <c r="H506" s="86" t="str">
        <f>IF(A506="","",IF(INDEX(EXTRATO!$F$2:$F$3000,MATCH($A506,EXTRATO!$A$2:$A$3000,0))="","",INDEX(EXTRATO!$F$2:$F$3000,MATCH($A506,EXTRATO!$A$2:$A$3000,0))))</f>
        <v>SAÍDA</v>
      </c>
      <c r="I506" s="88" t="str">
        <f>IF(A506="","",IF(INDEX(EXTRATO!$H$2:$H$3000,MATCH($A506,EXTRATO!$A$2:$A$3000,0))="","",INDEX(EXTRATO!$H$2:$H$3000,MATCH($A506,EXTRATO!$A$2:$A$3000,0))))</f>
        <v>L F ALBUQUERQUE DA SILVA</v>
      </c>
      <c r="J506" s="86" t="s">
        <v>1313</v>
      </c>
      <c r="K506" s="86" t="str">
        <f>IF(AND(A506="",D506="",E506="",F506=""),"",IF(D506="","SEM CATEGORIA",IF(E506="","SEM SUBCATEGORIA",IF(COUNTIFS(CADASTROS!$L$7:$L$93,D506,CADASTROS!$D$7:$D$93,E506)=0,"INCOMPATÍVEL","OK"))))</f>
        <v>OK</v>
      </c>
    </row>
    <row r="507" spans="1:11" ht="30" hidden="1" customHeight="1" x14ac:dyDescent="0.25">
      <c r="A507" s="86" t="s">
        <v>1879</v>
      </c>
      <c r="B507" s="85">
        <f>IF(A507="","",IF(INDEX(EXTRATO!$C$2:$C$3000,MATCH($A507,EXTRATO!$A$2:$A$3000,0))="","",INDEX(EXTRATO!$C$2:$C$3000,MATCH($A507,EXTRATO!$A$2:$A$3000,0))))</f>
        <v>46162</v>
      </c>
      <c r="C507" s="86">
        <f t="shared" si="7"/>
        <v>5</v>
      </c>
      <c r="D507" s="81" t="s">
        <v>1637</v>
      </c>
      <c r="E507" s="79" t="s">
        <v>1638</v>
      </c>
      <c r="F507" s="80">
        <v>12500</v>
      </c>
      <c r="G507" s="81" t="s">
        <v>1889</v>
      </c>
      <c r="H507" s="86" t="str">
        <f>IF(A507="","",IF(INDEX(EXTRATO!$F$2:$F$3000,MATCH($A507,EXTRATO!$A$2:$A$3000,0))="","",INDEX(EXTRATO!$F$2:$F$3000,MATCH($A507,EXTRATO!$A$2:$A$3000,0))))</f>
        <v>SAÍDA</v>
      </c>
      <c r="I507" s="88" t="str">
        <f>IF(A507="","",IF(INDEX(EXTRATO!$H$2:$H$3000,MATCH($A507,EXTRATO!$A$2:$A$3000,0))="","",INDEX(EXTRATO!$H$2:$H$3000,MATCH($A507,EXTRATO!$A$2:$A$3000,0))))</f>
        <v>PATRICK DULFF</v>
      </c>
      <c r="J507" s="86" t="s">
        <v>1313</v>
      </c>
      <c r="K507" s="86" t="str">
        <f>IF(AND(A507="",D507="",E507="",F507=""),"",IF(D507="","SEM CATEGORIA",IF(E507="","SEM SUBCATEGORIA",IF(COUNTIFS(CADASTROS!$L$7:$L$93,D507,CADASTROS!$D$7:$D$93,E507)=0,"INCOMPATÍVEL","OK"))))</f>
        <v>OK</v>
      </c>
    </row>
    <row r="508" spans="1:11" ht="30" hidden="1" customHeight="1" x14ac:dyDescent="0.25">
      <c r="A508" s="86" t="s">
        <v>1879</v>
      </c>
      <c r="B508" s="85">
        <f>IF(A508="","",IF(INDEX(EXTRATO!$C$2:$C$3000,MATCH($A508,EXTRATO!$A$2:$A$3000,0))="","",INDEX(EXTRATO!$C$2:$C$3000,MATCH($A508,EXTRATO!$A$2:$A$3000,0))))</f>
        <v>46162</v>
      </c>
      <c r="C508" s="86">
        <f t="shared" si="7"/>
        <v>5</v>
      </c>
      <c r="D508" s="81" t="s">
        <v>2486</v>
      </c>
      <c r="E508" s="79" t="s">
        <v>2529</v>
      </c>
      <c r="F508" s="80">
        <v>1333.22</v>
      </c>
      <c r="G508" s="81" t="s">
        <v>1890</v>
      </c>
      <c r="H508" s="86" t="str">
        <f>IF(A508="","",IF(INDEX(EXTRATO!$F$2:$F$3000,MATCH($A508,EXTRATO!$A$2:$A$3000,0))="","",INDEX(EXTRATO!$F$2:$F$3000,MATCH($A508,EXTRATO!$A$2:$A$3000,0))))</f>
        <v>SAÍDA</v>
      </c>
      <c r="I508" s="88" t="str">
        <f>IF(A508="","",IF(INDEX(EXTRATO!$H$2:$H$3000,MATCH($A508,EXTRATO!$A$2:$A$3000,0))="","",INDEX(EXTRATO!$H$2:$H$3000,MATCH($A508,EXTRATO!$A$2:$A$3000,0))))</f>
        <v>PATRICK DULFF</v>
      </c>
      <c r="J508" s="86" t="s">
        <v>1313</v>
      </c>
      <c r="K508" s="86" t="str">
        <f>IF(AND(A508="",D508="",E508="",F508=""),"",IF(D508="","SEM CATEGORIA",IF(E508="","SEM SUBCATEGORIA",IF(COUNTIFS(CADASTROS!$L$7:$L$93,D508,CADASTROS!$D$7:$D$93,E508)=0,"INCOMPATÍVEL","OK"))))</f>
        <v>OK</v>
      </c>
    </row>
    <row r="509" spans="1:11" ht="30" hidden="1" customHeight="1" x14ac:dyDescent="0.25">
      <c r="A509" s="86" t="s">
        <v>1880</v>
      </c>
      <c r="B509" s="85">
        <f>IF(A509="","",IF(INDEX(EXTRATO!$C$2:$C$3000,MATCH($A509,EXTRATO!$A$2:$A$3000,0))="","",INDEX(EXTRATO!$C$2:$C$3000,MATCH($A509,EXTRATO!$A$2:$A$3000,0))))</f>
        <v>46162</v>
      </c>
      <c r="C509" s="86">
        <f t="shared" si="7"/>
        <v>5</v>
      </c>
      <c r="D509" s="81" t="s">
        <v>1637</v>
      </c>
      <c r="E509" s="79" t="s">
        <v>1638</v>
      </c>
      <c r="F509" s="80">
        <v>7500</v>
      </c>
      <c r="G509" s="81" t="s">
        <v>1892</v>
      </c>
      <c r="H509" s="86" t="str">
        <f>IF(A509="","",IF(INDEX(EXTRATO!$F$2:$F$3000,MATCH($A509,EXTRATO!$A$2:$A$3000,0))="","",INDEX(EXTRATO!$F$2:$F$3000,MATCH($A509,EXTRATO!$A$2:$A$3000,0))))</f>
        <v>SAÍDA</v>
      </c>
      <c r="I509" s="88" t="str">
        <f>IF(A509="","",IF(INDEX(EXTRATO!$H$2:$H$3000,MATCH($A509,EXTRATO!$A$2:$A$3000,0))="","",INDEX(EXTRATO!$H$2:$H$3000,MATCH($A509,EXTRATO!$A$2:$A$3000,0))))</f>
        <v>ANDERSON RAFAEL SALVIANO</v>
      </c>
      <c r="J509" s="86" t="s">
        <v>1313</v>
      </c>
      <c r="K509" s="86" t="str">
        <f>IF(AND(A509="",D509="",E509="",F509=""),"",IF(D509="","SEM CATEGORIA",IF(E509="","SEM SUBCATEGORIA",IF(COUNTIFS(CADASTROS!$L$7:$L$93,D509,CADASTROS!$D$7:$D$93,E509)=0,"INCOMPATÍVEL","OK"))))</f>
        <v>OK</v>
      </c>
    </row>
    <row r="510" spans="1:11" ht="30" hidden="1" customHeight="1" x14ac:dyDescent="0.25">
      <c r="A510" s="86" t="s">
        <v>1880</v>
      </c>
      <c r="B510" s="85">
        <f>IF(A510="","",IF(INDEX(EXTRATO!$C$2:$C$3000,MATCH($A510,EXTRATO!$A$2:$A$3000,0))="","",INDEX(EXTRATO!$C$2:$C$3000,MATCH($A510,EXTRATO!$A$2:$A$3000,0))))</f>
        <v>46162</v>
      </c>
      <c r="C510" s="86">
        <f t="shared" si="7"/>
        <v>5</v>
      </c>
      <c r="D510" s="81" t="s">
        <v>2486</v>
      </c>
      <c r="E510" s="79" t="s">
        <v>2529</v>
      </c>
      <c r="F510" s="80">
        <v>5332.88</v>
      </c>
      <c r="G510" s="81" t="s">
        <v>1893</v>
      </c>
      <c r="H510" s="86" t="str">
        <f>IF(A510="","",IF(INDEX(EXTRATO!$F$2:$F$3000,MATCH($A510,EXTRATO!$A$2:$A$3000,0))="","",INDEX(EXTRATO!$F$2:$F$3000,MATCH($A510,EXTRATO!$A$2:$A$3000,0))))</f>
        <v>SAÍDA</v>
      </c>
      <c r="I510" s="88" t="str">
        <f>IF(A510="","",IF(INDEX(EXTRATO!$H$2:$H$3000,MATCH($A510,EXTRATO!$A$2:$A$3000,0))="","",INDEX(EXTRATO!$H$2:$H$3000,MATCH($A510,EXTRATO!$A$2:$A$3000,0))))</f>
        <v>ANDERSON RAFAEL SALVIANO</v>
      </c>
      <c r="J510" s="86" t="s">
        <v>1313</v>
      </c>
      <c r="K510" s="86" t="str">
        <f>IF(AND(A510="",D510="",E510="",F510=""),"",IF(D510="","SEM CATEGORIA",IF(E510="","SEM SUBCATEGORIA",IF(COUNTIFS(CADASTROS!$L$7:$L$93,D510,CADASTROS!$D$7:$D$93,E510)=0,"INCOMPATÍVEL","OK"))))</f>
        <v>OK</v>
      </c>
    </row>
    <row r="511" spans="1:11" ht="30" hidden="1" customHeight="1" x14ac:dyDescent="0.25">
      <c r="A511" s="86" t="s">
        <v>1881</v>
      </c>
      <c r="B511" s="85">
        <f>IF(A511="","",IF(INDEX(EXTRATO!$C$2:$C$3000,MATCH($A511,EXTRATO!$A$2:$A$3000,0))="","",INDEX(EXTRATO!$C$2:$C$3000,MATCH($A511,EXTRATO!$A$2:$A$3000,0))))</f>
        <v>46162</v>
      </c>
      <c r="C511" s="86">
        <f t="shared" si="7"/>
        <v>5</v>
      </c>
      <c r="D511" s="81" t="s">
        <v>1415</v>
      </c>
      <c r="E511" s="79" t="s">
        <v>1640</v>
      </c>
      <c r="F511" s="80">
        <v>11098.96</v>
      </c>
      <c r="G511" s="81" t="s">
        <v>737</v>
      </c>
      <c r="H511" s="86" t="str">
        <f>IF(A511="","",IF(INDEX(EXTRATO!$F$2:$F$3000,MATCH($A511,EXTRATO!$A$2:$A$3000,0))="","",INDEX(EXTRATO!$F$2:$F$3000,MATCH($A511,EXTRATO!$A$2:$A$3000,0))))</f>
        <v>SAÍDA</v>
      </c>
      <c r="I511" s="88" t="str">
        <f>IF(A511="","",IF(INDEX(EXTRATO!$H$2:$H$3000,MATCH($A511,EXTRATO!$A$2:$A$3000,0))="","",INDEX(EXTRATO!$H$2:$H$3000,MATCH($A511,EXTRATO!$A$2:$A$3000,0))))</f>
        <v>UNICLINICA</v>
      </c>
      <c r="J511" s="86" t="s">
        <v>1313</v>
      </c>
      <c r="K511" s="86" t="str">
        <f>IF(AND(A511="",D511="",E511="",F511=""),"",IF(D511="","SEM CATEGORIA",IF(E511="","SEM SUBCATEGORIA",IF(COUNTIFS(CADASTROS!$L$7:$L$93,D511,CADASTROS!$D$7:$D$93,E511)=0,"INCOMPATÍVEL","OK"))))</f>
        <v>OK</v>
      </c>
    </row>
    <row r="512" spans="1:11" ht="30" hidden="1" customHeight="1" x14ac:dyDescent="0.25">
      <c r="A512" s="86" t="s">
        <v>1884</v>
      </c>
      <c r="B512" s="85">
        <f>IF(A512="","",IF(INDEX(EXTRATO!$C$2:$C$3000,MATCH($A512,EXTRATO!$A$2:$A$3000,0))="","",INDEX(EXTRATO!$C$2:$C$3000,MATCH($A512,EXTRATO!$A$2:$A$3000,0))))</f>
        <v>46162</v>
      </c>
      <c r="C512" s="86">
        <f t="shared" si="7"/>
        <v>5</v>
      </c>
      <c r="D512" s="81" t="s">
        <v>1311</v>
      </c>
      <c r="E512" s="79" t="s">
        <v>1312</v>
      </c>
      <c r="F512" s="80">
        <v>957.77</v>
      </c>
      <c r="G512" s="81" t="s">
        <v>1896</v>
      </c>
      <c r="H512" s="86" t="str">
        <f>IF(A512="","",IF(INDEX(EXTRATO!$F$2:$F$3000,MATCH($A512,EXTRATO!$A$2:$A$3000,0))="","",INDEX(EXTRATO!$F$2:$F$3000,MATCH($A512,EXTRATO!$A$2:$A$3000,0))))</f>
        <v>SAÍDA</v>
      </c>
      <c r="I512" s="88" t="str">
        <f>IF(A512="","",IF(INDEX(EXTRATO!$H$2:$H$3000,MATCH($A512,EXTRATO!$A$2:$A$3000,0))="","",INDEX(EXTRATO!$H$2:$H$3000,MATCH($A512,EXTRATO!$A$2:$A$3000,0))))</f>
        <v>SUPERMÉDICA</v>
      </c>
      <c r="J512" s="86" t="s">
        <v>1313</v>
      </c>
      <c r="K512" s="86" t="str">
        <f>IF(AND(A512="",D512="",E512="",F512=""),"",IF(D512="","SEM CATEGORIA",IF(E512="","SEM SUBCATEGORIA",IF(COUNTIFS(CADASTROS!$L$7:$L$93,D512,CADASTROS!$D$7:$D$93,E512)=0,"INCOMPATÍVEL","OK"))))</f>
        <v>OK</v>
      </c>
    </row>
    <row r="513" spans="1:11" ht="30" hidden="1" customHeight="1" x14ac:dyDescent="0.25">
      <c r="A513" s="86" t="s">
        <v>1884</v>
      </c>
      <c r="B513" s="85">
        <f>IF(A513="","",IF(INDEX(EXTRATO!$C$2:$C$3000,MATCH($A513,EXTRATO!$A$2:$A$3000,0))="","",INDEX(EXTRATO!$C$2:$C$3000,MATCH($A513,EXTRATO!$A$2:$A$3000,0))))</f>
        <v>46162</v>
      </c>
      <c r="C513" s="86">
        <f t="shared" si="7"/>
        <v>5</v>
      </c>
      <c r="D513" s="81" t="s">
        <v>1311</v>
      </c>
      <c r="E513" s="79" t="s">
        <v>1342</v>
      </c>
      <c r="F513" s="80">
        <v>7480.72</v>
      </c>
      <c r="G513" s="81" t="s">
        <v>1897</v>
      </c>
      <c r="H513" s="86" t="str">
        <f>IF(A513="","",IF(INDEX(EXTRATO!$F$2:$F$3000,MATCH($A513,EXTRATO!$A$2:$A$3000,0))="","",INDEX(EXTRATO!$F$2:$F$3000,MATCH($A513,EXTRATO!$A$2:$A$3000,0))))</f>
        <v>SAÍDA</v>
      </c>
      <c r="I513" s="88" t="str">
        <f>IF(A513="","",IF(INDEX(EXTRATO!$H$2:$H$3000,MATCH($A513,EXTRATO!$A$2:$A$3000,0))="","",INDEX(EXTRATO!$H$2:$H$3000,MATCH($A513,EXTRATO!$A$2:$A$3000,0))))</f>
        <v>SUPERMÉDICA</v>
      </c>
      <c r="J513" s="86" t="s">
        <v>1313</v>
      </c>
      <c r="K513" s="86" t="str">
        <f>IF(AND(A513="",D513="",E513="",F513=""),"",IF(D513="","SEM CATEGORIA",IF(E513="","SEM SUBCATEGORIA",IF(COUNTIFS(CADASTROS!$L$7:$L$93,D513,CADASTROS!$D$7:$D$93,E513)=0,"INCOMPATÍVEL","OK"))))</f>
        <v>OK</v>
      </c>
    </row>
    <row r="514" spans="1:11" ht="30" hidden="1" customHeight="1" x14ac:dyDescent="0.25">
      <c r="A514" s="86" t="s">
        <v>1887</v>
      </c>
      <c r="B514" s="85">
        <f>IF(A514="","",IF(INDEX(EXTRATO!$C$2:$C$3000,MATCH($A514,EXTRATO!$A$2:$A$3000,0))="","",INDEX(EXTRATO!$C$2:$C$3000,MATCH($A514,EXTRATO!$A$2:$A$3000,0))))</f>
        <v>46162</v>
      </c>
      <c r="C514" s="86">
        <f t="shared" ref="C514:C577" si="8">IF(B514="","",MONTH(B514))</f>
        <v>5</v>
      </c>
      <c r="D514" s="81" t="s">
        <v>1367</v>
      </c>
      <c r="E514" s="79" t="s">
        <v>164</v>
      </c>
      <c r="F514" s="80">
        <v>8213.39</v>
      </c>
      <c r="G514" s="81" t="s">
        <v>741</v>
      </c>
      <c r="H514" s="86" t="str">
        <f>IF(A514="","",IF(INDEX(EXTRATO!$F$2:$F$3000,MATCH($A514,EXTRATO!$A$2:$A$3000,0))="","",INDEX(EXTRATO!$F$2:$F$3000,MATCH($A514,EXTRATO!$A$2:$A$3000,0))))</f>
        <v>SAÍDA</v>
      </c>
      <c r="I514" s="88" t="str">
        <f>IF(A514="","",IF(INDEX(EXTRATO!$H$2:$H$3000,MATCH($A514,EXTRATO!$A$2:$A$3000,0))="","",INDEX(EXTRATO!$H$2:$H$3000,MATCH($A514,EXTRATO!$A$2:$A$3000,0))))</f>
        <v>FGTS</v>
      </c>
      <c r="J514" s="86" t="s">
        <v>1313</v>
      </c>
      <c r="K514" s="86" t="str">
        <f>IF(AND(A514="",D514="",E514="",F514=""),"",IF(D514="","SEM CATEGORIA",IF(E514="","SEM SUBCATEGORIA",IF(COUNTIFS(CADASTROS!$L$7:$L$93,D514,CADASTROS!$D$7:$D$93,E514)=0,"INCOMPATÍVEL","OK"))))</f>
        <v>OK</v>
      </c>
    </row>
    <row r="515" spans="1:11" ht="30" hidden="1" customHeight="1" x14ac:dyDescent="0.25">
      <c r="A515" s="86" t="s">
        <v>1888</v>
      </c>
      <c r="B515" s="85">
        <f>IF(A515="","",IF(INDEX(EXTRATO!$C$2:$C$3000,MATCH($A515,EXTRATO!$A$2:$A$3000,0))="","",INDEX(EXTRATO!$C$2:$C$3000,MATCH($A515,EXTRATO!$A$2:$A$3000,0))))</f>
        <v>46162</v>
      </c>
      <c r="C515" s="86">
        <f t="shared" si="8"/>
        <v>5</v>
      </c>
      <c r="D515" s="81" t="s">
        <v>1637</v>
      </c>
      <c r="E515" s="79" t="s">
        <v>1638</v>
      </c>
      <c r="F515" s="80">
        <v>5000</v>
      </c>
      <c r="G515" s="81" t="s">
        <v>1900</v>
      </c>
      <c r="H515" s="86" t="str">
        <f>IF(A515="","",IF(INDEX(EXTRATO!$F$2:$F$3000,MATCH($A515,EXTRATO!$A$2:$A$3000,0))="","",INDEX(EXTRATO!$F$2:$F$3000,MATCH($A515,EXTRATO!$A$2:$A$3000,0))))</f>
        <v>SAÍDA</v>
      </c>
      <c r="I515" s="88" t="str">
        <f>IF(A515="","",IF(INDEX(EXTRATO!$H$2:$H$3000,MATCH($A515,EXTRATO!$A$2:$A$3000,0))="","",INDEX(EXTRATO!$H$2:$H$3000,MATCH($A515,EXTRATO!$A$2:$A$3000,0))))</f>
        <v>MOISES S OLIVEIRA</v>
      </c>
      <c r="J515" s="86" t="s">
        <v>1313</v>
      </c>
      <c r="K515" s="86" t="str">
        <f>IF(AND(A515="",D515="",E515="",F515=""),"",IF(D515="","SEM CATEGORIA",IF(E515="","SEM SUBCATEGORIA",IF(COUNTIFS(CADASTROS!$L$7:$L$93,D515,CADASTROS!$D$7:$D$93,E515)=0,"INCOMPATÍVEL","OK"))))</f>
        <v>OK</v>
      </c>
    </row>
    <row r="516" spans="1:11" ht="30" hidden="1" customHeight="1" x14ac:dyDescent="0.25">
      <c r="A516" s="86" t="s">
        <v>1888</v>
      </c>
      <c r="B516" s="85">
        <f>IF(A516="","",IF(INDEX(EXTRATO!$C$2:$C$3000,MATCH($A516,EXTRATO!$A$2:$A$3000,0))="","",INDEX(EXTRATO!$C$2:$C$3000,MATCH($A516,EXTRATO!$A$2:$A$3000,0))))</f>
        <v>46162</v>
      </c>
      <c r="C516" s="86">
        <f t="shared" si="8"/>
        <v>5</v>
      </c>
      <c r="D516" s="81" t="s">
        <v>2486</v>
      </c>
      <c r="E516" s="79" t="s">
        <v>2529</v>
      </c>
      <c r="F516" s="80">
        <v>2666.44</v>
      </c>
      <c r="G516" s="81" t="s">
        <v>1901</v>
      </c>
      <c r="H516" s="86" t="str">
        <f>IF(A516="","",IF(INDEX(EXTRATO!$F$2:$F$3000,MATCH($A516,EXTRATO!$A$2:$A$3000,0))="","",INDEX(EXTRATO!$F$2:$F$3000,MATCH($A516,EXTRATO!$A$2:$A$3000,0))))</f>
        <v>SAÍDA</v>
      </c>
      <c r="I516" s="88" t="str">
        <f>IF(A516="","",IF(INDEX(EXTRATO!$H$2:$H$3000,MATCH($A516,EXTRATO!$A$2:$A$3000,0))="","",INDEX(EXTRATO!$H$2:$H$3000,MATCH($A516,EXTRATO!$A$2:$A$3000,0))))</f>
        <v>MOISES S OLIVEIRA</v>
      </c>
      <c r="J516" s="86" t="s">
        <v>1313</v>
      </c>
      <c r="K516" s="86" t="str">
        <f>IF(AND(A516="",D516="",E516="",F516=""),"",IF(D516="","SEM CATEGORIA",IF(E516="","SEM SUBCATEGORIA",IF(COUNTIFS(CADASTROS!$L$7:$L$93,D516,CADASTROS!$D$7:$D$93,E516)=0,"INCOMPATÍVEL","OK"))))</f>
        <v>OK</v>
      </c>
    </row>
    <row r="517" spans="1:11" ht="30" hidden="1" customHeight="1" x14ac:dyDescent="0.25">
      <c r="A517" s="86" t="s">
        <v>1891</v>
      </c>
      <c r="B517" s="85">
        <f>IF(A517="","",IF(INDEX(EXTRATO!$C$2:$C$3000,MATCH($A517,EXTRATO!$A$2:$A$3000,0))="","",INDEX(EXTRATO!$C$2:$C$3000,MATCH($A517,EXTRATO!$A$2:$A$3000,0))))</f>
        <v>46162</v>
      </c>
      <c r="C517" s="86">
        <f t="shared" si="8"/>
        <v>5</v>
      </c>
      <c r="D517" s="81" t="s">
        <v>1415</v>
      </c>
      <c r="E517" s="79" t="s">
        <v>1648</v>
      </c>
      <c r="F517" s="80">
        <v>6000</v>
      </c>
      <c r="G517" s="81" t="s">
        <v>744</v>
      </c>
      <c r="H517" s="86" t="str">
        <f>IF(A517="","",IF(INDEX(EXTRATO!$F$2:$F$3000,MATCH($A517,EXTRATO!$A$2:$A$3000,0))="","",INDEX(EXTRATO!$F$2:$F$3000,MATCH($A517,EXTRATO!$A$2:$A$3000,0))))</f>
        <v>SAÍDA</v>
      </c>
      <c r="I517" s="88" t="str">
        <f>IF(A517="","",IF(INDEX(EXTRATO!$H$2:$H$3000,MATCH($A517,EXTRATO!$A$2:$A$3000,0))="","",INDEX(EXTRATO!$H$2:$H$3000,MATCH($A517,EXTRATO!$A$2:$A$3000,0))))</f>
        <v>MARTINS MACHADO SAUDE E E</v>
      </c>
      <c r="J517" s="86" t="s">
        <v>1313</v>
      </c>
      <c r="K517" s="86" t="str">
        <f>IF(AND(A517="",D517="",E517="",F517=""),"",IF(D517="","SEM CATEGORIA",IF(E517="","SEM SUBCATEGORIA",IF(COUNTIFS(CADASTROS!$L$7:$L$93,D517,CADASTROS!$D$7:$D$93,E517)=0,"INCOMPATÍVEL","OK"))))</f>
        <v>OK</v>
      </c>
    </row>
    <row r="518" spans="1:11" ht="30" hidden="1" customHeight="1" x14ac:dyDescent="0.25">
      <c r="A518" s="86" t="s">
        <v>1894</v>
      </c>
      <c r="B518" s="85">
        <f>IF(A518="","",IF(INDEX(EXTRATO!$C$2:$C$3000,MATCH($A518,EXTRATO!$A$2:$A$3000,0))="","",INDEX(EXTRATO!$C$2:$C$3000,MATCH($A518,EXTRATO!$A$2:$A$3000,0))))</f>
        <v>46162</v>
      </c>
      <c r="C518" s="86">
        <f t="shared" si="8"/>
        <v>5</v>
      </c>
      <c r="D518" s="81" t="s">
        <v>2486</v>
      </c>
      <c r="E518" s="79" t="s">
        <v>2529</v>
      </c>
      <c r="F518" s="80">
        <v>5332.88</v>
      </c>
      <c r="G518" s="81" t="s">
        <v>747</v>
      </c>
      <c r="H518" s="86" t="str">
        <f>IF(A518="","",IF(INDEX(EXTRATO!$F$2:$F$3000,MATCH($A518,EXTRATO!$A$2:$A$3000,0))="","",INDEX(EXTRATO!$F$2:$F$3000,MATCH($A518,EXTRATO!$A$2:$A$3000,0))))</f>
        <v>SAÍDA</v>
      </c>
      <c r="I518" s="88" t="str">
        <f>IF(A518="","",IF(INDEX(EXTRATO!$H$2:$H$3000,MATCH($A518,EXTRATO!$A$2:$A$3000,0))="","",INDEX(EXTRATO!$H$2:$H$3000,MATCH($A518,EXTRATO!$A$2:$A$3000,0))))</f>
        <v>CELINA TCBC DE MIRANDA</v>
      </c>
      <c r="J518" s="86" t="s">
        <v>1313</v>
      </c>
      <c r="K518" s="86" t="str">
        <f>IF(AND(A518="",D518="",E518="",F518=""),"",IF(D518="","SEM CATEGORIA",IF(E518="","SEM SUBCATEGORIA",IF(COUNTIFS(CADASTROS!$L$7:$L$93,D518,CADASTROS!$D$7:$D$93,E518)=0,"INCOMPATÍVEL","OK"))))</f>
        <v>OK</v>
      </c>
    </row>
    <row r="519" spans="1:11" ht="30" hidden="1" customHeight="1" x14ac:dyDescent="0.25">
      <c r="A519" s="86" t="s">
        <v>1895</v>
      </c>
      <c r="B519" s="85">
        <f>IF(A519="","",IF(INDEX(EXTRATO!$C$2:$C$3000,MATCH($A519,EXTRATO!$A$2:$A$3000,0))="","",INDEX(EXTRATO!$C$2:$C$3000,MATCH($A519,EXTRATO!$A$2:$A$3000,0))))</f>
        <v>46162</v>
      </c>
      <c r="C519" s="86">
        <f t="shared" si="8"/>
        <v>5</v>
      </c>
      <c r="D519" s="81" t="s">
        <v>2486</v>
      </c>
      <c r="E519" s="79" t="s">
        <v>2529</v>
      </c>
      <c r="F519" s="80">
        <v>5332.88</v>
      </c>
      <c r="G519" s="81" t="s">
        <v>748</v>
      </c>
      <c r="H519" s="86" t="str">
        <f>IF(A519="","",IF(INDEX(EXTRATO!$F$2:$F$3000,MATCH($A519,EXTRATO!$A$2:$A$3000,0))="","",INDEX(EXTRATO!$F$2:$F$3000,MATCH($A519,EXTRATO!$A$2:$A$3000,0))))</f>
        <v>SAÍDA</v>
      </c>
      <c r="I519" s="88" t="str">
        <f>IF(A519="","",IF(INDEX(EXTRATO!$H$2:$H$3000,MATCH($A519,EXTRATO!$A$2:$A$3000,0))="","",INDEX(EXTRATO!$H$2:$H$3000,MATCH($A519,EXTRATO!$A$2:$A$3000,0))))</f>
        <v>AFONSO PAULO COSTA FERRO</v>
      </c>
      <c r="J519" s="86" t="s">
        <v>1313</v>
      </c>
      <c r="K519" s="86" t="str">
        <f>IF(AND(A519="",D519="",E519="",F519=""),"",IF(D519="","SEM CATEGORIA",IF(E519="","SEM SUBCATEGORIA",IF(COUNTIFS(CADASTROS!$L$7:$L$93,D519,CADASTROS!$D$7:$D$93,E519)=0,"INCOMPATÍVEL","OK"))))</f>
        <v>OK</v>
      </c>
    </row>
    <row r="520" spans="1:11" ht="30" hidden="1" customHeight="1" x14ac:dyDescent="0.25">
      <c r="A520" s="86" t="s">
        <v>1898</v>
      </c>
      <c r="B520" s="85">
        <f>IF(A520="","",IF(INDEX(EXTRATO!$C$2:$C$3000,MATCH($A520,EXTRATO!$A$2:$A$3000,0))="","",INDEX(EXTRATO!$C$2:$C$3000,MATCH($A520,EXTRATO!$A$2:$A$3000,0))))</f>
        <v>46162</v>
      </c>
      <c r="C520" s="86">
        <f t="shared" si="8"/>
        <v>5</v>
      </c>
      <c r="D520" s="81" t="s">
        <v>1311</v>
      </c>
      <c r="E520" s="79" t="s">
        <v>1342</v>
      </c>
      <c r="F520" s="80">
        <v>5207.46</v>
      </c>
      <c r="G520" s="81" t="s">
        <v>161</v>
      </c>
      <c r="H520" s="86" t="str">
        <f>IF(A520="","",IF(INDEX(EXTRATO!$F$2:$F$3000,MATCH($A520,EXTRATO!$A$2:$A$3000,0))="","",INDEX(EXTRATO!$F$2:$F$3000,MATCH($A520,EXTRATO!$A$2:$A$3000,0))))</f>
        <v>SAÍDA</v>
      </c>
      <c r="I520" s="88" t="str">
        <f>IF(A520="","",IF(INDEX(EXTRATO!$H$2:$H$3000,MATCH($A520,EXTRATO!$A$2:$A$3000,0))="","",INDEX(EXTRATO!$H$2:$H$3000,MATCH($A520,EXTRATO!$A$2:$A$3000,0))))</f>
        <v>CRISTALIA PRODUTOS</v>
      </c>
      <c r="J520" s="86" t="s">
        <v>1313</v>
      </c>
      <c r="K520" s="86" t="str">
        <f>IF(AND(A520="",D520="",E520="",F520=""),"",IF(D520="","SEM CATEGORIA",IF(E520="","SEM SUBCATEGORIA",IF(COUNTIFS(CADASTROS!$L$7:$L$93,D520,CADASTROS!$D$7:$D$93,E520)=0,"INCOMPATÍVEL","OK"))))</f>
        <v>OK</v>
      </c>
    </row>
    <row r="521" spans="1:11" ht="30" hidden="1" customHeight="1" x14ac:dyDescent="0.25">
      <c r="A521" s="86" t="s">
        <v>1899</v>
      </c>
      <c r="B521" s="85">
        <f>IF(A521="","",IF(INDEX(EXTRATO!$C$2:$C$3000,MATCH($A521,EXTRATO!$A$2:$A$3000,0))="","",INDEX(EXTRATO!$C$2:$C$3000,MATCH($A521,EXTRATO!$A$2:$A$3000,0))))</f>
        <v>46162</v>
      </c>
      <c r="C521" s="86">
        <f t="shared" si="8"/>
        <v>5</v>
      </c>
      <c r="D521" s="81" t="s">
        <v>1311</v>
      </c>
      <c r="E521" s="79" t="s">
        <v>1376</v>
      </c>
      <c r="F521" s="80">
        <v>5172.5</v>
      </c>
      <c r="G521" s="81" t="s">
        <v>750</v>
      </c>
      <c r="H521" s="86" t="str">
        <f>IF(A521="","",IF(INDEX(EXTRATO!$F$2:$F$3000,MATCH($A521,EXTRATO!$A$2:$A$3000,0))="","",INDEX(EXTRATO!$F$2:$F$3000,MATCH($A521,EXTRATO!$A$2:$A$3000,0))))</f>
        <v>SAÍDA</v>
      </c>
      <c r="I521" s="88" t="str">
        <f>IF(A521="","",IF(INDEX(EXTRATO!$H$2:$H$3000,MATCH($A521,EXTRATO!$A$2:$A$3000,0))="","",INDEX(EXTRATO!$H$2:$H$3000,MATCH($A521,EXTRATO!$A$2:$A$3000,0))))</f>
        <v>NIPRO</v>
      </c>
      <c r="J521" s="86" t="s">
        <v>1313</v>
      </c>
      <c r="K521" s="86" t="str">
        <f>IF(AND(A521="",D521="",E521="",F521=""),"",IF(D521="","SEM CATEGORIA",IF(E521="","SEM SUBCATEGORIA",IF(COUNTIFS(CADASTROS!$L$7:$L$93,D521,CADASTROS!$D$7:$D$93,E521)=0,"INCOMPATÍVEL","OK"))))</f>
        <v>OK</v>
      </c>
    </row>
    <row r="522" spans="1:11" ht="30" hidden="1" customHeight="1" x14ac:dyDescent="0.25">
      <c r="A522" s="86" t="s">
        <v>1902</v>
      </c>
      <c r="B522" s="85">
        <f>IF(A522="","",IF(INDEX(EXTRATO!$C$2:$C$3000,MATCH($A522,EXTRATO!$A$2:$A$3000,0))="","",INDEX(EXTRATO!$C$2:$C$3000,MATCH($A522,EXTRATO!$A$2:$A$3000,0))))</f>
        <v>46162</v>
      </c>
      <c r="C522" s="86">
        <f t="shared" si="8"/>
        <v>5</v>
      </c>
      <c r="D522" s="81" t="s">
        <v>1311</v>
      </c>
      <c r="E522" s="79" t="s">
        <v>1376</v>
      </c>
      <c r="F522" s="80">
        <v>4413.75</v>
      </c>
      <c r="G522" s="81" t="s">
        <v>1910</v>
      </c>
      <c r="H522" s="86" t="str">
        <f>IF(A522="","",IF(INDEX(EXTRATO!$F$2:$F$3000,MATCH($A522,EXTRATO!$A$2:$A$3000,0))="","",INDEX(EXTRATO!$F$2:$F$3000,MATCH($A522,EXTRATO!$A$2:$A$3000,0))))</f>
        <v>SAÍDA</v>
      </c>
      <c r="I522" s="88" t="str">
        <f>IF(A522="","",IF(INDEX(EXTRATO!$H$2:$H$3000,MATCH($A522,EXTRATO!$A$2:$A$3000,0))="","",INDEX(EXTRATO!$H$2:$H$3000,MATCH($A522,EXTRATO!$A$2:$A$3000,0))))</f>
        <v>NIPRO</v>
      </c>
      <c r="J522" s="86" t="s">
        <v>1313</v>
      </c>
      <c r="K522" s="86" t="str">
        <f>IF(AND(A522="",D522="",E522="",F522=""),"",IF(D522="","SEM CATEGORIA",IF(E522="","SEM SUBCATEGORIA",IF(COUNTIFS(CADASTROS!$L$7:$L$93,D522,CADASTROS!$D$7:$D$93,E522)=0,"INCOMPATÍVEL","OK"))))</f>
        <v>OK</v>
      </c>
    </row>
    <row r="523" spans="1:11" ht="30" hidden="1" customHeight="1" x14ac:dyDescent="0.25">
      <c r="A523" s="86" t="s">
        <v>1902</v>
      </c>
      <c r="B523" s="85">
        <f>IF(A523="","",IF(INDEX(EXTRATO!$C$2:$C$3000,MATCH($A523,EXTRATO!$A$2:$A$3000,0))="","",INDEX(EXTRATO!$C$2:$C$3000,MATCH($A523,EXTRATO!$A$2:$A$3000,0))))</f>
        <v>46162</v>
      </c>
      <c r="C523" s="86">
        <f t="shared" si="8"/>
        <v>5</v>
      </c>
      <c r="D523" s="81" t="s">
        <v>1311</v>
      </c>
      <c r="E523" s="79" t="s">
        <v>1312</v>
      </c>
      <c r="F523" s="80">
        <v>357.75</v>
      </c>
      <c r="G523" s="81" t="s">
        <v>1911</v>
      </c>
      <c r="H523" s="86" t="str">
        <f>IF(A523="","",IF(INDEX(EXTRATO!$F$2:$F$3000,MATCH($A523,EXTRATO!$A$2:$A$3000,0))="","",INDEX(EXTRATO!$F$2:$F$3000,MATCH($A523,EXTRATO!$A$2:$A$3000,0))))</f>
        <v>SAÍDA</v>
      </c>
      <c r="I523" s="88" t="str">
        <f>IF(A523="","",IF(INDEX(EXTRATO!$H$2:$H$3000,MATCH($A523,EXTRATO!$A$2:$A$3000,0))="","",INDEX(EXTRATO!$H$2:$H$3000,MATCH($A523,EXTRATO!$A$2:$A$3000,0))))</f>
        <v>NIPRO</v>
      </c>
      <c r="J523" s="86" t="s">
        <v>1313</v>
      </c>
      <c r="K523" s="86" t="str">
        <f>IF(AND(A523="",D523="",E523="",F523=""),"",IF(D523="","SEM CATEGORIA",IF(E523="","SEM SUBCATEGORIA",IF(COUNTIFS(CADASTROS!$L$7:$L$93,D523,CADASTROS!$D$7:$D$93,E523)=0,"INCOMPATÍVEL","OK"))))</f>
        <v>OK</v>
      </c>
    </row>
    <row r="524" spans="1:11" ht="30" hidden="1" customHeight="1" x14ac:dyDescent="0.25">
      <c r="A524" s="86" t="s">
        <v>1903</v>
      </c>
      <c r="B524" s="85">
        <f>IF(A524="","",IF(INDEX(EXTRATO!$C$2:$C$3000,MATCH($A524,EXTRATO!$A$2:$A$3000,0))="","",INDEX(EXTRATO!$C$2:$C$3000,MATCH($A524,EXTRATO!$A$2:$A$3000,0))))</f>
        <v>46162</v>
      </c>
      <c r="C524" s="86">
        <f t="shared" si="8"/>
        <v>5</v>
      </c>
      <c r="D524" s="81" t="s">
        <v>2486</v>
      </c>
      <c r="E524" s="79" t="s">
        <v>2529</v>
      </c>
      <c r="F524" s="80">
        <v>2666.44</v>
      </c>
      <c r="G524" s="81" t="s">
        <v>754</v>
      </c>
      <c r="H524" s="86" t="str">
        <f>IF(A524="","",IF(INDEX(EXTRATO!$F$2:$F$3000,MATCH($A524,EXTRATO!$A$2:$A$3000,0))="","",INDEX(EXTRATO!$F$2:$F$3000,MATCH($A524,EXTRATO!$A$2:$A$3000,0))))</f>
        <v>SAÍDA</v>
      </c>
      <c r="I524" s="88" t="str">
        <f>IF(A524="","",IF(INDEX(EXTRATO!$H$2:$H$3000,MATCH($A524,EXTRATO!$A$2:$A$3000,0))="","",INDEX(EXTRATO!$H$2:$H$3000,MATCH($A524,EXTRATO!$A$2:$A$3000,0))))</f>
        <v>ADELIA DALVA DA SILVA OLIVEIRA</v>
      </c>
      <c r="J524" s="86" t="s">
        <v>1313</v>
      </c>
      <c r="K524" s="86" t="str">
        <f>IF(AND(A524="",D524="",E524="",F524=""),"",IF(D524="","SEM CATEGORIA",IF(E524="","SEM SUBCATEGORIA",IF(COUNTIFS(CADASTROS!$L$7:$L$93,D524,CADASTROS!$D$7:$D$93,E524)=0,"INCOMPATÍVEL","OK"))))</f>
        <v>OK</v>
      </c>
    </row>
    <row r="525" spans="1:11" ht="30" hidden="1" customHeight="1" x14ac:dyDescent="0.25">
      <c r="A525" s="86" t="s">
        <v>1906</v>
      </c>
      <c r="B525" s="85">
        <f>IF(A525="","",IF(INDEX(EXTRATO!$C$2:$C$3000,MATCH($A525,EXTRATO!$A$2:$A$3000,0))="","",INDEX(EXTRATO!$C$2:$C$3000,MATCH($A525,EXTRATO!$A$2:$A$3000,0))))</f>
        <v>46162</v>
      </c>
      <c r="C525" s="86">
        <f t="shared" si="8"/>
        <v>5</v>
      </c>
      <c r="D525" s="81" t="s">
        <v>2486</v>
      </c>
      <c r="E525" s="79" t="s">
        <v>2529</v>
      </c>
      <c r="F525" s="80">
        <v>2666.44</v>
      </c>
      <c r="G525" s="81" t="s">
        <v>1914</v>
      </c>
      <c r="H525" s="86" t="str">
        <f>IF(A525="","",IF(INDEX(EXTRATO!$F$2:$F$3000,MATCH($A525,EXTRATO!$A$2:$A$3000,0))="","",INDEX(EXTRATO!$F$2:$F$3000,MATCH($A525,EXTRATO!$A$2:$A$3000,0))))</f>
        <v>SAÍDA</v>
      </c>
      <c r="I525" s="88" t="str">
        <f>IF(A525="","",IF(INDEX(EXTRATO!$H$2:$H$3000,MATCH($A525,EXTRATO!$A$2:$A$3000,0))="","",INDEX(EXTRATO!$H$2:$H$3000,MATCH($A525,EXTRATO!$A$2:$A$3000,0))))</f>
        <v>GLADSTONE SANTOS SILVA</v>
      </c>
      <c r="J525" s="86" t="s">
        <v>1313</v>
      </c>
      <c r="K525" s="86" t="str">
        <f>IF(AND(A525="",D525="",E525="",F525=""),"",IF(D525="","SEM CATEGORIA",IF(E525="","SEM SUBCATEGORIA",IF(COUNTIFS(CADASTROS!$L$7:$L$93,D525,CADASTROS!$D$7:$D$93,E525)=0,"INCOMPATÍVEL","OK"))))</f>
        <v>OK</v>
      </c>
    </row>
    <row r="526" spans="1:11" ht="30" hidden="1" customHeight="1" x14ac:dyDescent="0.25">
      <c r="A526" s="86" t="s">
        <v>1907</v>
      </c>
      <c r="B526" s="85">
        <f>IF(A526="","",IF(INDEX(EXTRATO!$C$2:$C$3000,MATCH($A526,EXTRATO!$A$2:$A$3000,0))="","",INDEX(EXTRATO!$C$2:$C$3000,MATCH($A526,EXTRATO!$A$2:$A$3000,0))))</f>
        <v>46162</v>
      </c>
      <c r="C526" s="86">
        <f t="shared" si="8"/>
        <v>5</v>
      </c>
      <c r="D526" s="81" t="s">
        <v>2486</v>
      </c>
      <c r="E526" s="79" t="s">
        <v>2529</v>
      </c>
      <c r="F526" s="80">
        <v>2666.44</v>
      </c>
      <c r="G526" s="81" t="s">
        <v>757</v>
      </c>
      <c r="H526" s="86" t="str">
        <f>IF(A526="","",IF(INDEX(EXTRATO!$F$2:$F$3000,MATCH($A526,EXTRATO!$A$2:$A$3000,0))="","",INDEX(EXTRATO!$F$2:$F$3000,MATCH($A526,EXTRATO!$A$2:$A$3000,0))))</f>
        <v>SAÍDA</v>
      </c>
      <c r="I526" s="88" t="str">
        <f>IF(A526="","",IF(INDEX(EXTRATO!$H$2:$H$3000,MATCH($A526,EXTRATO!$A$2:$A$3000,0))="","",INDEX(EXTRATO!$H$2:$H$3000,MATCH($A526,EXTRATO!$A$2:$A$3000,0))))</f>
        <v>FRANCISCO H SOUSA</v>
      </c>
      <c r="J526" s="86" t="s">
        <v>1313</v>
      </c>
      <c r="K526" s="86" t="str">
        <f>IF(AND(A526="",D526="",E526="",F526=""),"",IF(D526="","SEM CATEGORIA",IF(E526="","SEM SUBCATEGORIA",IF(COUNTIFS(CADASTROS!$L$7:$L$93,D526,CADASTROS!$D$7:$D$93,E526)=0,"INCOMPATÍVEL","OK"))))</f>
        <v>OK</v>
      </c>
    </row>
    <row r="527" spans="1:11" ht="30" hidden="1" customHeight="1" x14ac:dyDescent="0.25">
      <c r="A527" s="86" t="s">
        <v>1908</v>
      </c>
      <c r="B527" s="85">
        <f>IF(A527="","",IF(INDEX(EXTRATO!$C$2:$C$3000,MATCH($A527,EXTRATO!$A$2:$A$3000,0))="","",INDEX(EXTRATO!$C$2:$C$3000,MATCH($A527,EXTRATO!$A$2:$A$3000,0))))</f>
        <v>46162</v>
      </c>
      <c r="C527" s="86">
        <f t="shared" si="8"/>
        <v>5</v>
      </c>
      <c r="D527" s="81" t="s">
        <v>1311</v>
      </c>
      <c r="E527" s="79" t="s">
        <v>1312</v>
      </c>
      <c r="F527" s="80">
        <v>2555.65</v>
      </c>
      <c r="G527" s="81" t="s">
        <v>759</v>
      </c>
      <c r="H527" s="86" t="str">
        <f>IF(A527="","",IF(INDEX(EXTRATO!$F$2:$F$3000,MATCH($A527,EXTRATO!$A$2:$A$3000,0))="","",INDEX(EXTRATO!$F$2:$F$3000,MATCH($A527,EXTRATO!$A$2:$A$3000,0))))</f>
        <v>SAÍDA</v>
      </c>
      <c r="I527" s="88" t="str">
        <f>IF(A527="","",IF(INDEX(EXTRATO!$H$2:$H$3000,MATCH($A527,EXTRATO!$A$2:$A$3000,0))="","",INDEX(EXTRATO!$H$2:$H$3000,MATCH($A527,EXTRATO!$A$2:$A$3000,0))))</f>
        <v>MED VITTA</v>
      </c>
      <c r="J527" s="86" t="s">
        <v>1313</v>
      </c>
      <c r="K527" s="86" t="str">
        <f>IF(AND(A527="",D527="",E527="",F527=""),"",IF(D527="","SEM CATEGORIA",IF(E527="","SEM SUBCATEGORIA",IF(COUNTIFS(CADASTROS!$L$7:$L$93,D527,CADASTROS!$D$7:$D$93,E527)=0,"INCOMPATÍVEL","OK"))))</f>
        <v>OK</v>
      </c>
    </row>
    <row r="528" spans="1:11" ht="30" hidden="1" customHeight="1" x14ac:dyDescent="0.25">
      <c r="A528" s="86" t="s">
        <v>1909</v>
      </c>
      <c r="B528" s="85">
        <f>IF(A528="","",IF(INDEX(EXTRATO!$C$2:$C$3000,MATCH($A528,EXTRATO!$A$2:$A$3000,0))="","",INDEX(EXTRATO!$C$2:$C$3000,MATCH($A528,EXTRATO!$A$2:$A$3000,0))))</f>
        <v>46162</v>
      </c>
      <c r="C528" s="86">
        <f t="shared" si="8"/>
        <v>5</v>
      </c>
      <c r="D528" s="81" t="s">
        <v>1415</v>
      </c>
      <c r="E528" s="79" t="s">
        <v>1664</v>
      </c>
      <c r="F528" s="80">
        <v>1960</v>
      </c>
      <c r="G528" s="81" t="s">
        <v>761</v>
      </c>
      <c r="H528" s="86" t="str">
        <f>IF(A528="","",IF(INDEX(EXTRATO!$F$2:$F$3000,MATCH($A528,EXTRATO!$A$2:$A$3000,0))="","",INDEX(EXTRATO!$F$2:$F$3000,MATCH($A528,EXTRATO!$A$2:$A$3000,0))))</f>
        <v>SAÍDA</v>
      </c>
      <c r="I528" s="88" t="str">
        <f>IF(A528="","",IF(INDEX(EXTRATO!$H$2:$H$3000,MATCH($A528,EXTRATO!$A$2:$A$3000,0))="","",INDEX(EXTRATO!$H$2:$H$3000,MATCH($A528,EXTRATO!$A$2:$A$3000,0))))</f>
        <v>DR. WILSON</v>
      </c>
      <c r="J528" s="86" t="s">
        <v>1313</v>
      </c>
      <c r="K528" s="86" t="str">
        <f>IF(AND(A528="",D528="",E528="",F528=""),"",IF(D528="","SEM CATEGORIA",IF(E528="","SEM SUBCATEGORIA",IF(COUNTIFS(CADASTROS!$L$7:$L$93,D528,CADASTROS!$D$7:$D$93,E528)=0,"INCOMPATÍVEL","OK"))))</f>
        <v>OK</v>
      </c>
    </row>
    <row r="529" spans="1:11" ht="30" hidden="1" customHeight="1" x14ac:dyDescent="0.25">
      <c r="A529" s="86" t="s">
        <v>1912</v>
      </c>
      <c r="B529" s="85">
        <f>IF(A529="","",IF(INDEX(EXTRATO!$C$2:$C$3000,MATCH($A529,EXTRATO!$A$2:$A$3000,0))="","",INDEX(EXTRATO!$C$2:$C$3000,MATCH($A529,EXTRATO!$A$2:$A$3000,0))))</f>
        <v>46162</v>
      </c>
      <c r="C529" s="86">
        <f t="shared" si="8"/>
        <v>5</v>
      </c>
      <c r="D529" s="81" t="s">
        <v>1311</v>
      </c>
      <c r="E529" s="79" t="s">
        <v>1312</v>
      </c>
      <c r="F529" s="80">
        <v>1824.46</v>
      </c>
      <c r="G529" s="81" t="s">
        <v>184</v>
      </c>
      <c r="H529" s="86" t="str">
        <f>IF(A529="","",IF(INDEX(EXTRATO!$F$2:$F$3000,MATCH($A529,EXTRATO!$A$2:$A$3000,0))="","",INDEX(EXTRATO!$F$2:$F$3000,MATCH($A529,EXTRATO!$A$2:$A$3000,0))))</f>
        <v>SAÍDA</v>
      </c>
      <c r="I529" s="88" t="str">
        <f>IF(A529="","",IF(INDEX(EXTRATO!$H$2:$H$3000,MATCH($A529,EXTRATO!$A$2:$A$3000,0))="","",INDEX(EXTRATO!$H$2:$H$3000,MATCH($A529,EXTRATO!$A$2:$A$3000,0))))</f>
        <v>COOP. UNIMED</v>
      </c>
      <c r="J529" s="86" t="s">
        <v>1313</v>
      </c>
      <c r="K529" s="86" t="str">
        <f>IF(AND(A529="",D529="",E529="",F529=""),"",IF(D529="","SEM CATEGORIA",IF(E529="","SEM SUBCATEGORIA",IF(COUNTIFS(CADASTROS!$L$7:$L$93,D529,CADASTROS!$D$7:$D$93,E529)=0,"INCOMPATÍVEL","OK"))))</f>
        <v>OK</v>
      </c>
    </row>
    <row r="530" spans="1:11" ht="30" hidden="1" customHeight="1" x14ac:dyDescent="0.25">
      <c r="A530" s="86" t="s">
        <v>1913</v>
      </c>
      <c r="B530" s="85">
        <f>IF(A530="","",IF(INDEX(EXTRATO!$C$2:$C$3000,MATCH($A530,EXTRATO!$A$2:$A$3000,0))="","",INDEX(EXTRATO!$C$2:$C$3000,MATCH($A530,EXTRATO!$A$2:$A$3000,0))))</f>
        <v>46162</v>
      </c>
      <c r="C530" s="86">
        <f t="shared" si="8"/>
        <v>5</v>
      </c>
      <c r="D530" s="81" t="s">
        <v>1311</v>
      </c>
      <c r="E530" s="79" t="s">
        <v>1312</v>
      </c>
      <c r="F530" s="80">
        <v>1651.51</v>
      </c>
      <c r="G530" s="81" t="s">
        <v>448</v>
      </c>
      <c r="H530" s="86" t="str">
        <f>IF(A530="","",IF(INDEX(EXTRATO!$F$2:$F$3000,MATCH($A530,EXTRATO!$A$2:$A$3000,0))="","",INDEX(EXTRATO!$F$2:$F$3000,MATCH($A530,EXTRATO!$A$2:$A$3000,0))))</f>
        <v>SAÍDA</v>
      </c>
      <c r="I530" s="88" t="str">
        <f>IF(A530="","",IF(INDEX(EXTRATO!$H$2:$H$3000,MATCH($A530,EXTRATO!$A$2:$A$3000,0))="","",INDEX(EXTRATO!$H$2:$H$3000,MATCH($A530,EXTRATO!$A$2:$A$3000,0))))</f>
        <v>BIOPAR</v>
      </c>
      <c r="J530" s="86" t="s">
        <v>1313</v>
      </c>
      <c r="K530" s="86" t="str">
        <f>IF(AND(A530="",D530="",E530="",F530=""),"",IF(D530="","SEM CATEGORIA",IF(E530="","SEM SUBCATEGORIA",IF(COUNTIFS(CADASTROS!$L$7:$L$93,D530,CADASTROS!$D$7:$D$93,E530)=0,"INCOMPATÍVEL","OK"))))</f>
        <v>OK</v>
      </c>
    </row>
    <row r="531" spans="1:11" ht="30" hidden="1" customHeight="1" x14ac:dyDescent="0.25">
      <c r="A531" s="86" t="s">
        <v>1915</v>
      </c>
      <c r="B531" s="85">
        <f>IF(A531="","",IF(INDEX(EXTRATO!$C$2:$C$3000,MATCH($A531,EXTRATO!$A$2:$A$3000,0))="","",INDEX(EXTRATO!$C$2:$C$3000,MATCH($A531,EXTRATO!$A$2:$A$3000,0))))</f>
        <v>46162</v>
      </c>
      <c r="C531" s="86">
        <f t="shared" si="8"/>
        <v>5</v>
      </c>
      <c r="D531" s="81" t="s">
        <v>1330</v>
      </c>
      <c r="E531" s="79" t="s">
        <v>1400</v>
      </c>
      <c r="F531" s="80">
        <v>1636.79</v>
      </c>
      <c r="G531" s="81" t="s">
        <v>767</v>
      </c>
      <c r="H531" s="86" t="str">
        <f>IF(A531="","",IF(INDEX(EXTRATO!$F$2:$F$3000,MATCH($A531,EXTRATO!$A$2:$A$3000,0))="","",INDEX(EXTRATO!$F$2:$F$3000,MATCH($A531,EXTRATO!$A$2:$A$3000,0))))</f>
        <v>SAÍDA</v>
      </c>
      <c r="I531" s="88" t="str">
        <f>IF(A531="","",IF(INDEX(EXTRATO!$H$2:$H$3000,MATCH($A531,EXTRATO!$A$2:$A$3000,0))="","",INDEX(EXTRATO!$H$2:$H$3000,MATCH($A531,EXTRATO!$A$2:$A$3000,0))))</f>
        <v>BIOGREEN</v>
      </c>
      <c r="J531" s="86" t="s">
        <v>1313</v>
      </c>
      <c r="K531" s="86" t="str">
        <f>IF(AND(A531="",D531="",E531="",F531=""),"",IF(D531="","SEM CATEGORIA",IF(E531="","SEM SUBCATEGORIA",IF(COUNTIFS(CADASTROS!$L$7:$L$93,D531,CADASTROS!$D$7:$D$93,E531)=0,"INCOMPATÍVEL","OK"))))</f>
        <v>OK</v>
      </c>
    </row>
    <row r="532" spans="1:11" ht="30" hidden="1" customHeight="1" x14ac:dyDescent="0.25">
      <c r="A532" s="86" t="s">
        <v>1916</v>
      </c>
      <c r="B532" s="85">
        <f>IF(A532="","",IF(INDEX(EXTRATO!$C$2:$C$3000,MATCH($A532,EXTRATO!$A$2:$A$3000,0))="","",INDEX(EXTRATO!$C$2:$C$3000,MATCH($A532,EXTRATO!$A$2:$A$3000,0))))</f>
        <v>46162</v>
      </c>
      <c r="C532" s="86">
        <f t="shared" si="8"/>
        <v>5</v>
      </c>
      <c r="D532" s="81" t="s">
        <v>1311</v>
      </c>
      <c r="E532" s="79" t="s">
        <v>1315</v>
      </c>
      <c r="F532" s="80">
        <v>1608.86</v>
      </c>
      <c r="G532" s="81" t="s">
        <v>291</v>
      </c>
      <c r="H532" s="86" t="str">
        <f>IF(A532="","",IF(INDEX(EXTRATO!$F$2:$F$3000,MATCH($A532,EXTRATO!$A$2:$A$3000,0))="","",INDEX(EXTRATO!$F$2:$F$3000,MATCH($A532,EXTRATO!$A$2:$A$3000,0))))</f>
        <v>SAÍDA</v>
      </c>
      <c r="I532" s="88" t="str">
        <f>IF(A532="","",IF(INDEX(EXTRATO!$H$2:$H$3000,MATCH($A532,EXTRATO!$A$2:$A$3000,0))="","",INDEX(EXTRATO!$H$2:$H$3000,MATCH($A532,EXTRATO!$A$2:$A$3000,0))))</f>
        <v>ALLMED PRONEFRO</v>
      </c>
      <c r="J532" s="86" t="s">
        <v>1313</v>
      </c>
      <c r="K532" s="86" t="str">
        <f>IF(AND(A532="",D532="",E532="",F532=""),"",IF(D532="","SEM CATEGORIA",IF(E532="","SEM SUBCATEGORIA",IF(COUNTIFS(CADASTROS!$L$7:$L$93,D532,CADASTROS!$D$7:$D$93,E532)=0,"INCOMPATÍVEL","OK"))))</f>
        <v>OK</v>
      </c>
    </row>
    <row r="533" spans="1:11" ht="30" hidden="1" customHeight="1" x14ac:dyDescent="0.25">
      <c r="A533" s="86" t="s">
        <v>1917</v>
      </c>
      <c r="B533" s="85">
        <f>IF(A533="","",IF(INDEX(EXTRATO!$C$2:$C$3000,MATCH($A533,EXTRATO!$A$2:$A$3000,0))="","",INDEX(EXTRATO!$C$2:$C$3000,MATCH($A533,EXTRATO!$A$2:$A$3000,0))))</f>
        <v>46162</v>
      </c>
      <c r="C533" s="86">
        <f t="shared" si="8"/>
        <v>5</v>
      </c>
      <c r="D533" s="81" t="s">
        <v>1311</v>
      </c>
      <c r="E533" s="79" t="s">
        <v>1470</v>
      </c>
      <c r="F533" s="80">
        <v>1165.98</v>
      </c>
      <c r="G533" s="81" t="s">
        <v>218</v>
      </c>
      <c r="H533" s="86" t="str">
        <f>IF(A533="","",IF(INDEX(EXTRATO!$F$2:$F$3000,MATCH($A533,EXTRATO!$A$2:$A$3000,0))="","",INDEX(EXTRATO!$F$2:$F$3000,MATCH($A533,EXTRATO!$A$2:$A$3000,0))))</f>
        <v>SAÍDA</v>
      </c>
      <c r="I533" s="88" t="str">
        <f>IF(A533="","",IF(INDEX(EXTRATO!$H$2:$H$3000,MATCH($A533,EXTRATO!$A$2:$A$3000,0))="","",INDEX(EXTRATO!$H$2:$H$3000,MATCH($A533,EXTRATO!$A$2:$A$3000,0))))</f>
        <v>QUALIÁGUA</v>
      </c>
      <c r="J533" s="86" t="s">
        <v>1313</v>
      </c>
      <c r="K533" s="86" t="str">
        <f>IF(AND(A533="",D533="",E533="",F533=""),"",IF(D533="","SEM CATEGORIA",IF(E533="","SEM SUBCATEGORIA",IF(COUNTIFS(CADASTROS!$L$7:$L$93,D533,CADASTROS!$D$7:$D$93,E533)=0,"INCOMPATÍVEL","OK"))))</f>
        <v>OK</v>
      </c>
    </row>
    <row r="534" spans="1:11" ht="30" hidden="1" customHeight="1" x14ac:dyDescent="0.25">
      <c r="A534" s="86" t="s">
        <v>1918</v>
      </c>
      <c r="B534" s="85">
        <f>IF(A534="","",IF(INDEX(EXTRATO!$C$2:$C$3000,MATCH($A534,EXTRATO!$A$2:$A$3000,0))="","",INDEX(EXTRATO!$C$2:$C$3000,MATCH($A534,EXTRATO!$A$2:$A$3000,0))))</f>
        <v>46162</v>
      </c>
      <c r="C534" s="86">
        <f t="shared" si="8"/>
        <v>5</v>
      </c>
      <c r="D534" s="81" t="s">
        <v>1311</v>
      </c>
      <c r="E534" s="79" t="s">
        <v>1342</v>
      </c>
      <c r="F534" s="80">
        <v>1100</v>
      </c>
      <c r="G534" s="81" t="s">
        <v>773</v>
      </c>
      <c r="H534" s="86" t="str">
        <f>IF(A534="","",IF(INDEX(EXTRATO!$F$2:$F$3000,MATCH($A534,EXTRATO!$A$2:$A$3000,0))="","",INDEX(EXTRATO!$F$2:$F$3000,MATCH($A534,EXTRATO!$A$2:$A$3000,0))))</f>
        <v>SAÍDA</v>
      </c>
      <c r="I534" s="88" t="str">
        <f>IF(A534="","",IF(INDEX(EXTRATO!$H$2:$H$3000,MATCH($A534,EXTRATO!$A$2:$A$3000,0))="","",INDEX(EXTRATO!$H$2:$H$3000,MATCH($A534,EXTRATO!$A$2:$A$3000,0))))</f>
        <v>DIALISE COMERCIO</v>
      </c>
      <c r="J534" s="86" t="s">
        <v>1313</v>
      </c>
      <c r="K534" s="86" t="str">
        <f>IF(AND(A534="",D534="",E534="",F534=""),"",IF(D534="","SEM CATEGORIA",IF(E534="","SEM SUBCATEGORIA",IF(COUNTIFS(CADASTROS!$L$7:$L$93,D534,CADASTROS!$D$7:$D$93,E534)=0,"INCOMPATÍVEL","OK"))))</f>
        <v>OK</v>
      </c>
    </row>
    <row r="535" spans="1:11" ht="30" hidden="1" customHeight="1" x14ac:dyDescent="0.25">
      <c r="A535" s="86" t="s">
        <v>1919</v>
      </c>
      <c r="B535" s="85">
        <f>IF(A535="","",IF(INDEX(EXTRATO!$C$2:$C$3000,MATCH($A535,EXTRATO!$A$2:$A$3000,0))="","",INDEX(EXTRATO!$C$2:$C$3000,MATCH($A535,EXTRATO!$A$2:$A$3000,0))))</f>
        <v>46162</v>
      </c>
      <c r="C535" s="86">
        <f t="shared" si="8"/>
        <v>5</v>
      </c>
      <c r="D535" s="81" t="s">
        <v>1311</v>
      </c>
      <c r="E535" s="79" t="s">
        <v>1502</v>
      </c>
      <c r="F535" s="80">
        <v>605.54999999999995</v>
      </c>
      <c r="G535" s="81" t="s">
        <v>1925</v>
      </c>
      <c r="H535" s="86" t="str">
        <f>IF(A535="","",IF(INDEX(EXTRATO!$F$2:$F$3000,MATCH($A535,EXTRATO!$A$2:$A$3000,0))="","",INDEX(EXTRATO!$F$2:$F$3000,MATCH($A535,EXTRATO!$A$2:$A$3000,0))))</f>
        <v>SAÍDA</v>
      </c>
      <c r="I535" s="88" t="str">
        <f>IF(A535="","",IF(INDEX(EXTRATO!$H$2:$H$3000,MATCH($A535,EXTRATO!$A$2:$A$3000,0))="","",INDEX(EXTRATO!$H$2:$H$3000,MATCH($A535,EXTRATO!$A$2:$A$3000,0))))</f>
        <v>RICEK INDUSTRIA E COMÉRCIO</v>
      </c>
      <c r="J535" s="86" t="s">
        <v>1313</v>
      </c>
      <c r="K535" s="86" t="str">
        <f>IF(AND(A535="",D535="",E535="",F535=""),"",IF(D535="","SEM CATEGORIA",IF(E535="","SEM SUBCATEGORIA",IF(COUNTIFS(CADASTROS!$L$7:$L$93,D535,CADASTROS!$D$7:$D$93,E535)=0,"INCOMPATÍVEL","OK"))))</f>
        <v>OK</v>
      </c>
    </row>
    <row r="536" spans="1:11" ht="30" hidden="1" customHeight="1" x14ac:dyDescent="0.25">
      <c r="A536" s="86" t="s">
        <v>1919</v>
      </c>
      <c r="B536" s="85">
        <f>IF(A536="","",IF(INDEX(EXTRATO!$C$2:$C$3000,MATCH($A536,EXTRATO!$A$2:$A$3000,0))="","",INDEX(EXTRATO!$C$2:$C$3000,MATCH($A536,EXTRATO!$A$2:$A$3000,0))))</f>
        <v>46162</v>
      </c>
      <c r="C536" s="86">
        <f t="shared" si="8"/>
        <v>5</v>
      </c>
      <c r="D536" s="81" t="s">
        <v>1330</v>
      </c>
      <c r="E536" s="79" t="s">
        <v>1331</v>
      </c>
      <c r="F536" s="80">
        <v>392.37</v>
      </c>
      <c r="G536" s="81" t="s">
        <v>1926</v>
      </c>
      <c r="H536" s="86" t="str">
        <f>IF(A536="","",IF(INDEX(EXTRATO!$F$2:$F$3000,MATCH($A536,EXTRATO!$A$2:$A$3000,0))="","",INDEX(EXTRATO!$F$2:$F$3000,MATCH($A536,EXTRATO!$A$2:$A$3000,0))))</f>
        <v>SAÍDA</v>
      </c>
      <c r="I536" s="88" t="str">
        <f>IF(A536="","",IF(INDEX(EXTRATO!$H$2:$H$3000,MATCH($A536,EXTRATO!$A$2:$A$3000,0))="","",INDEX(EXTRATO!$H$2:$H$3000,MATCH($A536,EXTRATO!$A$2:$A$3000,0))))</f>
        <v>RICEK INDUSTRIA E COMÉRCIO</v>
      </c>
      <c r="J536" s="86" t="s">
        <v>1313</v>
      </c>
      <c r="K536" s="86" t="str">
        <f>IF(AND(A536="",D536="",E536="",F536=""),"",IF(D536="","SEM CATEGORIA",IF(E536="","SEM SUBCATEGORIA",IF(COUNTIFS(CADASTROS!$L$7:$L$93,D536,CADASTROS!$D$7:$D$93,E536)=0,"INCOMPATÍVEL","OK"))))</f>
        <v>OK</v>
      </c>
    </row>
    <row r="537" spans="1:11" ht="30" hidden="1" customHeight="1" x14ac:dyDescent="0.25">
      <c r="A537" s="86" t="s">
        <v>1920</v>
      </c>
      <c r="B537" s="85">
        <f>IF(A537="","",IF(INDEX(EXTRATO!$C$2:$C$3000,MATCH($A537,EXTRATO!$A$2:$A$3000,0))="","",INDEX(EXTRATO!$C$2:$C$3000,MATCH($A537,EXTRATO!$A$2:$A$3000,0))))</f>
        <v>46162</v>
      </c>
      <c r="C537" s="86">
        <f t="shared" si="8"/>
        <v>5</v>
      </c>
      <c r="D537" s="81" t="s">
        <v>1330</v>
      </c>
      <c r="E537" s="79" t="s">
        <v>1413</v>
      </c>
      <c r="F537" s="80">
        <v>797</v>
      </c>
      <c r="G537" s="81" t="s">
        <v>778</v>
      </c>
      <c r="H537" s="86" t="str">
        <f>IF(A537="","",IF(INDEX(EXTRATO!$F$2:$F$3000,MATCH($A537,EXTRATO!$A$2:$A$3000,0))="","",INDEX(EXTRATO!$F$2:$F$3000,MATCH($A537,EXTRATO!$A$2:$A$3000,0))))</f>
        <v>SAÍDA</v>
      </c>
      <c r="I537" s="88" t="str">
        <f>IF(A537="","",IF(INDEX(EXTRATO!$H$2:$H$3000,MATCH($A537,EXTRATO!$A$2:$A$3000,0))="","",INDEX(EXTRATO!$H$2:$H$3000,MATCH($A537,EXTRATO!$A$2:$A$3000,0))))</f>
        <v>DONA MARINALVA</v>
      </c>
      <c r="J537" s="86" t="s">
        <v>1313</v>
      </c>
      <c r="K537" s="86" t="str">
        <f>IF(AND(A537="",D537="",E537="",F537=""),"",IF(D537="","SEM CATEGORIA",IF(E537="","SEM SUBCATEGORIA",IF(COUNTIFS(CADASTROS!$L$7:$L$93,D537,CADASTROS!$D$7:$D$93,E537)=0,"INCOMPATÍVEL","OK"))))</f>
        <v>OK</v>
      </c>
    </row>
    <row r="538" spans="1:11" ht="30" hidden="1" customHeight="1" x14ac:dyDescent="0.25">
      <c r="A538" s="86" t="s">
        <v>1921</v>
      </c>
      <c r="B538" s="85">
        <f>IF(A538="","",IF(INDEX(EXTRATO!$C$2:$C$3000,MATCH($A538,EXTRATO!$A$2:$A$3000,0))="","",INDEX(EXTRATO!$C$2:$C$3000,MATCH($A538,EXTRATO!$A$2:$A$3000,0))))</f>
        <v>46162</v>
      </c>
      <c r="C538" s="86">
        <f t="shared" si="8"/>
        <v>5</v>
      </c>
      <c r="D538" s="81" t="s">
        <v>1330</v>
      </c>
      <c r="E538" s="79" t="s">
        <v>1413</v>
      </c>
      <c r="F538" s="80">
        <v>685</v>
      </c>
      <c r="G538" s="81" t="s">
        <v>779</v>
      </c>
      <c r="H538" s="86" t="str">
        <f>IF(A538="","",IF(INDEX(EXTRATO!$F$2:$F$3000,MATCH($A538,EXTRATO!$A$2:$A$3000,0))="","",INDEX(EXTRATO!$F$2:$F$3000,MATCH($A538,EXTRATO!$A$2:$A$3000,0))))</f>
        <v>SAÍDA</v>
      </c>
      <c r="I538" s="88" t="str">
        <f>IF(A538="","",IF(INDEX(EXTRATO!$H$2:$H$3000,MATCH($A538,EXTRATO!$A$2:$A$3000,0))="","",INDEX(EXTRATO!$H$2:$H$3000,MATCH($A538,EXTRATO!$A$2:$A$3000,0))))</f>
        <v>E M GONÇALVES PADARIA</v>
      </c>
      <c r="J538" s="86" t="s">
        <v>1313</v>
      </c>
      <c r="K538" s="86" t="str">
        <f>IF(AND(A538="",D538="",E538="",F538=""),"",IF(D538="","SEM CATEGORIA",IF(E538="","SEM SUBCATEGORIA",IF(COUNTIFS(CADASTROS!$L$7:$L$93,D538,CADASTROS!$D$7:$D$93,E538)=0,"INCOMPATÍVEL","OK"))))</f>
        <v>OK</v>
      </c>
    </row>
    <row r="539" spans="1:11" ht="30" hidden="1" customHeight="1" x14ac:dyDescent="0.25">
      <c r="A539" s="86" t="s">
        <v>1922</v>
      </c>
      <c r="B539" s="85">
        <f>IF(A539="","",IF(INDEX(EXTRATO!$C$2:$C$3000,MATCH($A539,EXTRATO!$A$2:$A$3000,0))="","",INDEX(EXTRATO!$C$2:$C$3000,MATCH($A539,EXTRATO!$A$2:$A$3000,0))))</f>
        <v>46162</v>
      </c>
      <c r="C539" s="86">
        <f t="shared" si="8"/>
        <v>5</v>
      </c>
      <c r="D539" s="81" t="s">
        <v>1330</v>
      </c>
      <c r="E539" s="79" t="s">
        <v>1331</v>
      </c>
      <c r="F539" s="80">
        <v>647.29999999999995</v>
      </c>
      <c r="G539" s="81" t="s">
        <v>781</v>
      </c>
      <c r="H539" s="86" t="str">
        <f>IF(A539="","",IF(INDEX(EXTRATO!$F$2:$F$3000,MATCH($A539,EXTRATO!$A$2:$A$3000,0))="","",INDEX(EXTRATO!$F$2:$F$3000,MATCH($A539,EXTRATO!$A$2:$A$3000,0))))</f>
        <v>SAÍDA</v>
      </c>
      <c r="I539" s="88" t="str">
        <f>IF(A539="","",IF(INDEX(EXTRATO!$H$2:$H$3000,MATCH($A539,EXTRATO!$A$2:$A$3000,0))="","",INDEX(EXTRATO!$H$2:$H$3000,MATCH($A539,EXTRATO!$A$2:$A$3000,0))))</f>
        <v>ALECRIM INDUSTRIA E COMÉRCIO</v>
      </c>
      <c r="J539" s="86" t="s">
        <v>1313</v>
      </c>
      <c r="K539" s="86" t="str">
        <f>IF(AND(A539="",D539="",E539="",F539=""),"",IF(D539="","SEM CATEGORIA",IF(E539="","SEM SUBCATEGORIA",IF(COUNTIFS(CADASTROS!$L$7:$L$93,D539,CADASTROS!$D$7:$D$93,E539)=0,"INCOMPATÍVEL","OK"))))</f>
        <v>OK</v>
      </c>
    </row>
    <row r="540" spans="1:11" ht="30" hidden="1" customHeight="1" x14ac:dyDescent="0.25">
      <c r="A540" s="86" t="s">
        <v>1923</v>
      </c>
      <c r="B540" s="85">
        <f>IF(A540="","",IF(INDEX(EXTRATO!$C$2:$C$3000,MATCH($A540,EXTRATO!$A$2:$A$3000,0))="","",INDEX(EXTRATO!$C$2:$C$3000,MATCH($A540,EXTRATO!$A$2:$A$3000,0))))</f>
        <v>46162</v>
      </c>
      <c r="C540" s="86">
        <f t="shared" si="8"/>
        <v>5</v>
      </c>
      <c r="D540" s="81" t="s">
        <v>1415</v>
      </c>
      <c r="E540" s="79" t="s">
        <v>1661</v>
      </c>
      <c r="F540" s="80">
        <v>490</v>
      </c>
      <c r="G540" s="81" t="s">
        <v>783</v>
      </c>
      <c r="H540" s="86" t="str">
        <f>IF(A540="","",IF(INDEX(EXTRATO!$F$2:$F$3000,MATCH($A540,EXTRATO!$A$2:$A$3000,0))="","",INDEX(EXTRATO!$F$2:$F$3000,MATCH($A540,EXTRATO!$A$2:$A$3000,0))))</f>
        <v>SAÍDA</v>
      </c>
      <c r="I540" s="88" t="str">
        <f>IF(A540="","",IF(INDEX(EXTRATO!$H$2:$H$3000,MATCH($A540,EXTRATO!$A$2:$A$3000,0))="","",INDEX(EXTRATO!$H$2:$H$3000,MATCH($A540,EXTRATO!$A$2:$A$3000,0))))</f>
        <v>DR. RENATO</v>
      </c>
      <c r="J540" s="86" t="s">
        <v>1313</v>
      </c>
      <c r="K540" s="86" t="str">
        <f>IF(AND(A540="",D540="",E540="",F540=""),"",IF(D540="","SEM CATEGORIA",IF(E540="","SEM SUBCATEGORIA",IF(COUNTIFS(CADASTROS!$L$7:$L$93,D540,CADASTROS!$D$7:$D$93,E540)=0,"INCOMPATÍVEL","OK"))))</f>
        <v>OK</v>
      </c>
    </row>
    <row r="541" spans="1:11" ht="30" hidden="1" customHeight="1" x14ac:dyDescent="0.25">
      <c r="A541" s="86" t="s">
        <v>1924</v>
      </c>
      <c r="B541" s="85">
        <f>IF(A541="","",IF(INDEX(EXTRATO!$C$2:$C$3000,MATCH($A541,EXTRATO!$A$2:$A$3000,0))="","",INDEX(EXTRATO!$C$2:$C$3000,MATCH($A541,EXTRATO!$A$2:$A$3000,0))))</f>
        <v>46162</v>
      </c>
      <c r="C541" s="86">
        <f t="shared" si="8"/>
        <v>5</v>
      </c>
      <c r="D541" s="81" t="s">
        <v>1349</v>
      </c>
      <c r="E541" s="79" t="s">
        <v>1411</v>
      </c>
      <c r="F541" s="80">
        <v>450</v>
      </c>
      <c r="G541" s="81" t="s">
        <v>785</v>
      </c>
      <c r="H541" s="86" t="str">
        <f>IF(A541="","",IF(INDEX(EXTRATO!$F$2:$F$3000,MATCH($A541,EXTRATO!$A$2:$A$3000,0))="","",INDEX(EXTRATO!$F$2:$F$3000,MATCH($A541,EXTRATO!$A$2:$A$3000,0))))</f>
        <v>SAÍDA</v>
      </c>
      <c r="I541" s="88" t="str">
        <f>IF(A541="","",IF(INDEX(EXTRATO!$H$2:$H$3000,MATCH($A541,EXTRATO!$A$2:$A$3000,0))="","",INDEX(EXTRATO!$H$2:$H$3000,MATCH($A541,EXTRATO!$A$2:$A$3000,0))))</f>
        <v>E G BISPO TRANSPORTES</v>
      </c>
      <c r="J541" s="86" t="s">
        <v>1313</v>
      </c>
      <c r="K541" s="86" t="str">
        <f>IF(AND(A541="",D541="",E541="",F541=""),"",IF(D541="","SEM CATEGORIA",IF(E541="","SEM SUBCATEGORIA",IF(COUNTIFS(CADASTROS!$L$7:$L$93,D541,CADASTROS!$D$7:$D$93,E541)=0,"INCOMPATÍVEL","OK"))))</f>
        <v>OK</v>
      </c>
    </row>
    <row r="542" spans="1:11" ht="30" hidden="1" customHeight="1" x14ac:dyDescent="0.25">
      <c r="A542" s="86" t="s">
        <v>1927</v>
      </c>
      <c r="B542" s="85">
        <f>IF(A542="","",IF(INDEX(EXTRATO!$C$2:$C$3000,MATCH($A542,EXTRATO!$A$2:$A$3000,0))="","",INDEX(EXTRATO!$C$2:$C$3000,MATCH($A542,EXTRATO!$A$2:$A$3000,0))))</f>
        <v>46162</v>
      </c>
      <c r="C542" s="86">
        <f t="shared" si="8"/>
        <v>5</v>
      </c>
      <c r="D542" s="81" t="s">
        <v>1330</v>
      </c>
      <c r="E542" s="79" t="s">
        <v>1331</v>
      </c>
      <c r="F542" s="80">
        <v>448</v>
      </c>
      <c r="G542" s="81" t="s">
        <v>239</v>
      </c>
      <c r="H542" s="86" t="str">
        <f>IF(A542="","",IF(INDEX(EXTRATO!$F$2:$F$3000,MATCH($A542,EXTRATO!$A$2:$A$3000,0))="","",INDEX(EXTRATO!$F$2:$F$3000,MATCH($A542,EXTRATO!$A$2:$A$3000,0))))</f>
        <v>SAÍDA</v>
      </c>
      <c r="I542" s="88" t="str">
        <f>IF(A542="","",IF(INDEX(EXTRATO!$H$2:$H$3000,MATCH($A542,EXTRATO!$A$2:$A$3000,0))="","",INDEX(EXTRATO!$H$2:$H$3000,MATCH($A542,EXTRATO!$A$2:$A$3000,0))))</f>
        <v>BRANDÃO &amp; BRANDÃO</v>
      </c>
      <c r="J542" s="86" t="s">
        <v>1313</v>
      </c>
      <c r="K542" s="86" t="str">
        <f>IF(AND(A542="",D542="",E542="",F542=""),"",IF(D542="","SEM CATEGORIA",IF(E542="","SEM SUBCATEGORIA",IF(COUNTIFS(CADASTROS!$L$7:$L$93,D542,CADASTROS!$D$7:$D$93,E542)=0,"INCOMPATÍVEL","OK"))))</f>
        <v>OK</v>
      </c>
    </row>
    <row r="543" spans="1:11" ht="30" hidden="1" customHeight="1" x14ac:dyDescent="0.25">
      <c r="A543" s="86" t="s">
        <v>1928</v>
      </c>
      <c r="B543" s="85">
        <f>IF(A543="","",IF(INDEX(EXTRATO!$C$2:$C$3000,MATCH($A543,EXTRATO!$A$2:$A$3000,0))="","",INDEX(EXTRATO!$C$2:$C$3000,MATCH($A543,EXTRATO!$A$2:$A$3000,0))))</f>
        <v>46162</v>
      </c>
      <c r="C543" s="86">
        <f t="shared" si="8"/>
        <v>5</v>
      </c>
      <c r="D543" s="81" t="s">
        <v>1349</v>
      </c>
      <c r="E543" s="79" t="s">
        <v>1402</v>
      </c>
      <c r="F543" s="80">
        <v>400</v>
      </c>
      <c r="G543" s="81" t="s">
        <v>136</v>
      </c>
      <c r="H543" s="86" t="str">
        <f>IF(A543="","",IF(INDEX(EXTRATO!$F$2:$F$3000,MATCH($A543,EXTRATO!$A$2:$A$3000,0))="","",INDEX(EXTRATO!$F$2:$F$3000,MATCH($A543,EXTRATO!$A$2:$A$3000,0))))</f>
        <v>SAÍDA</v>
      </c>
      <c r="I543" s="88" t="str">
        <f>IF(A543="","",IF(INDEX(EXTRATO!$H$2:$H$3000,MATCH($A543,EXTRATO!$A$2:$A$3000,0))="","",INDEX(EXTRATO!$H$2:$H$3000,MATCH($A543,EXTRATO!$A$2:$A$3000,0))))</f>
        <v>LEMOS BRANCO &amp; CIA</v>
      </c>
      <c r="J543" s="86" t="s">
        <v>1313</v>
      </c>
      <c r="K543" s="86" t="str">
        <f>IF(AND(A543="",D543="",E543="",F543=""),"",IF(D543="","SEM CATEGORIA",IF(E543="","SEM SUBCATEGORIA",IF(COUNTIFS(CADASTROS!$L$7:$L$93,D543,CADASTROS!$D$7:$D$93,E543)=0,"INCOMPATÍVEL","OK"))))</f>
        <v>OK</v>
      </c>
    </row>
    <row r="544" spans="1:11" ht="30" hidden="1" customHeight="1" x14ac:dyDescent="0.25">
      <c r="A544" s="86" t="s">
        <v>1929</v>
      </c>
      <c r="B544" s="85">
        <f>IF(A544="","",IF(INDEX(EXTRATO!$C$2:$C$3000,MATCH($A544,EXTRATO!$A$2:$A$3000,0))="","",INDEX(EXTRATO!$C$2:$C$3000,MATCH($A544,EXTRATO!$A$2:$A$3000,0))))</f>
        <v>46162</v>
      </c>
      <c r="C544" s="86">
        <f t="shared" si="8"/>
        <v>5</v>
      </c>
      <c r="D544" s="81" t="s">
        <v>1330</v>
      </c>
      <c r="E544" s="79" t="s">
        <v>1379</v>
      </c>
      <c r="F544" s="80">
        <v>300</v>
      </c>
      <c r="G544" s="81" t="s">
        <v>513</v>
      </c>
      <c r="H544" s="86" t="str">
        <f>IF(A544="","",IF(INDEX(EXTRATO!$F$2:$F$3000,MATCH($A544,EXTRATO!$A$2:$A$3000,0))="","",INDEX(EXTRATO!$F$2:$F$3000,MATCH($A544,EXTRATO!$A$2:$A$3000,0))))</f>
        <v>SAÍDA</v>
      </c>
      <c r="I544" s="88" t="str">
        <f>IF(A544="","",IF(INDEX(EXTRATO!$H$2:$H$3000,MATCH($A544,EXTRATO!$A$2:$A$3000,0))="","",INDEX(EXTRATO!$H$2:$H$3000,MATCH($A544,EXTRATO!$A$2:$A$3000,0))))</f>
        <v>CASSIANO &amp; CASSINOS CONTABILIDADE</v>
      </c>
      <c r="J544" s="86" t="s">
        <v>1313</v>
      </c>
      <c r="K544" s="86" t="str">
        <f>IF(AND(A544="",D544="",E544="",F544=""),"",IF(D544="","SEM CATEGORIA",IF(E544="","SEM SUBCATEGORIA",IF(COUNTIFS(CADASTROS!$L$7:$L$93,D544,CADASTROS!$D$7:$D$93,E544)=0,"INCOMPATÍVEL","OK"))))</f>
        <v>OK</v>
      </c>
    </row>
    <row r="545" spans="1:11" ht="30" hidden="1" customHeight="1" x14ac:dyDescent="0.25">
      <c r="A545" s="86" t="s">
        <v>1930</v>
      </c>
      <c r="B545" s="85">
        <f>IF(A545="","",IF(INDEX(EXTRATO!$C$2:$C$3000,MATCH($A545,EXTRATO!$A$2:$A$3000,0))="","",INDEX(EXTRATO!$C$2:$C$3000,MATCH($A545,EXTRATO!$A$2:$A$3000,0))))</f>
        <v>46162</v>
      </c>
      <c r="C545" s="86">
        <f t="shared" si="8"/>
        <v>5</v>
      </c>
      <c r="D545" s="81" t="s">
        <v>1330</v>
      </c>
      <c r="E545" s="79" t="s">
        <v>1379</v>
      </c>
      <c r="F545" s="80">
        <v>212.51</v>
      </c>
      <c r="G545" s="81" t="s">
        <v>305</v>
      </c>
      <c r="H545" s="86" t="str">
        <f>IF(A545="","",IF(INDEX(EXTRATO!$F$2:$F$3000,MATCH($A545,EXTRATO!$A$2:$A$3000,0))="","",INDEX(EXTRATO!$F$2:$F$3000,MATCH($A545,EXTRATO!$A$2:$A$3000,0))))</f>
        <v>SAÍDA</v>
      </c>
      <c r="I545" s="88" t="str">
        <f>IF(A545="","",IF(INDEX(EXTRATO!$H$2:$H$3000,MATCH($A545,EXTRATO!$A$2:$A$3000,0))="","",INDEX(EXTRATO!$H$2:$H$3000,MATCH($A545,EXTRATO!$A$2:$A$3000,0))))</f>
        <v>FORTES CONECTA - RELÓGIO DE PONTO</v>
      </c>
      <c r="J545" s="86" t="s">
        <v>1313</v>
      </c>
      <c r="K545" s="86" t="str">
        <f>IF(AND(A545="",D545="",E545="",F545=""),"",IF(D545="","SEM CATEGORIA",IF(E545="","SEM SUBCATEGORIA",IF(COUNTIFS(CADASTROS!$L$7:$L$93,D545,CADASTROS!$D$7:$D$93,E545)=0,"INCOMPATÍVEL","OK"))))</f>
        <v>OK</v>
      </c>
    </row>
    <row r="546" spans="1:11" ht="30" hidden="1" customHeight="1" x14ac:dyDescent="0.25">
      <c r="A546" s="86" t="s">
        <v>1931</v>
      </c>
      <c r="B546" s="85">
        <f>IF(A546="","",IF(INDEX(EXTRATO!$C$2:$C$3000,MATCH($A546,EXTRATO!$A$2:$A$3000,0))="","",INDEX(EXTRATO!$C$2:$C$3000,MATCH($A546,EXTRATO!$A$2:$A$3000,0))))</f>
        <v>46162</v>
      </c>
      <c r="C546" s="86">
        <f t="shared" si="8"/>
        <v>5</v>
      </c>
      <c r="D546" s="81" t="s">
        <v>1330</v>
      </c>
      <c r="E546" s="79" t="s">
        <v>1379</v>
      </c>
      <c r="F546" s="80">
        <v>97.53</v>
      </c>
      <c r="G546" s="81" t="s">
        <v>305</v>
      </c>
      <c r="H546" s="86" t="str">
        <f>IF(A546="","",IF(INDEX(EXTRATO!$F$2:$F$3000,MATCH($A546,EXTRATO!$A$2:$A$3000,0))="","",INDEX(EXTRATO!$F$2:$F$3000,MATCH($A546,EXTRATO!$A$2:$A$3000,0))))</f>
        <v>SAÍDA</v>
      </c>
      <c r="I546" s="88" t="str">
        <f>IF(A546="","",IF(INDEX(EXTRATO!$H$2:$H$3000,MATCH($A546,EXTRATO!$A$2:$A$3000,0))="","",INDEX(EXTRATO!$H$2:$H$3000,MATCH($A546,EXTRATO!$A$2:$A$3000,0))))</f>
        <v>FORTES CONECTA - RELÓGIO DE PONTO</v>
      </c>
      <c r="J546" s="86" t="s">
        <v>1313</v>
      </c>
      <c r="K546" s="86" t="str">
        <f>IF(AND(A546="",D546="",E546="",F546=""),"",IF(D546="","SEM CATEGORIA",IF(E546="","SEM SUBCATEGORIA",IF(COUNTIFS(CADASTROS!$L$7:$L$93,D546,CADASTROS!$D$7:$D$93,E546)=0,"INCOMPATÍVEL","OK"))))</f>
        <v>OK</v>
      </c>
    </row>
    <row r="547" spans="1:11" ht="30" hidden="1" customHeight="1" x14ac:dyDescent="0.25">
      <c r="A547" s="86" t="s">
        <v>1932</v>
      </c>
      <c r="B547" s="85">
        <f>IF(A547="","",IF(INDEX(EXTRATO!$C$2:$C$3000,MATCH($A547,EXTRATO!$A$2:$A$3000,0))="","",INDEX(EXTRATO!$C$2:$C$3000,MATCH($A547,EXTRATO!$A$2:$A$3000,0))))</f>
        <v>46162</v>
      </c>
      <c r="C547" s="86">
        <f t="shared" si="8"/>
        <v>5</v>
      </c>
      <c r="D547" s="81" t="s">
        <v>1388</v>
      </c>
      <c r="E547" s="79" t="s">
        <v>168</v>
      </c>
      <c r="F547" s="80">
        <v>60.09</v>
      </c>
      <c r="G547" s="81" t="s">
        <v>168</v>
      </c>
      <c r="H547" s="86" t="str">
        <f>IF(A547="","",IF(INDEX(EXTRATO!$F$2:$F$3000,MATCH($A547,EXTRATO!$A$2:$A$3000,0))="","",INDEX(EXTRATO!$F$2:$F$3000,MATCH($A547,EXTRATO!$A$2:$A$3000,0))))</f>
        <v>SAÍDA</v>
      </c>
      <c r="I547" s="88" t="str">
        <f>IF(A547="","",IF(INDEX(EXTRATO!$H$2:$H$3000,MATCH($A547,EXTRATO!$A$2:$A$3000,0))="","",INDEX(EXTRATO!$H$2:$H$3000,MATCH($A547,EXTRATO!$A$2:$A$3000,0))))</f>
        <v>TRIBUTOS FEDEREIAS MENSAIS</v>
      </c>
      <c r="J547" s="86" t="s">
        <v>1313</v>
      </c>
      <c r="K547" s="86" t="str">
        <f>IF(AND(A547="",D547="",E547="",F547=""),"",IF(D547="","SEM CATEGORIA",IF(E547="","SEM SUBCATEGORIA",IF(COUNTIFS(CADASTROS!$L$7:$L$93,D547,CADASTROS!$D$7:$D$93,E547)=0,"INCOMPATÍVEL","OK"))))</f>
        <v>OK</v>
      </c>
    </row>
    <row r="548" spans="1:11" ht="30" hidden="1" customHeight="1" x14ac:dyDescent="0.25">
      <c r="A548" s="86" t="s">
        <v>1933</v>
      </c>
      <c r="B548" s="85">
        <f>IF(A548="","",IF(INDEX(EXTRATO!$C$2:$C$3000,MATCH($A548,EXTRATO!$A$2:$A$3000,0))="","",INDEX(EXTRATO!$C$2:$C$3000,MATCH($A548,EXTRATO!$A$2:$A$3000,0))))</f>
        <v>46162</v>
      </c>
      <c r="C548" s="86">
        <f t="shared" si="8"/>
        <v>5</v>
      </c>
      <c r="D548" s="81" t="s">
        <v>1330</v>
      </c>
      <c r="E548" s="79" t="s">
        <v>1344</v>
      </c>
      <c r="F548" s="80">
        <v>28.19</v>
      </c>
      <c r="G548" s="81" t="s">
        <v>795</v>
      </c>
      <c r="H548" s="86" t="str">
        <f>IF(A548="","",IF(INDEX(EXTRATO!$F$2:$F$3000,MATCH($A548,EXTRATO!$A$2:$A$3000,0))="","",INDEX(EXTRATO!$F$2:$F$3000,MATCH($A548,EXTRATO!$A$2:$A$3000,0))))</f>
        <v>SAÍDA</v>
      </c>
      <c r="I548" s="88" t="str">
        <f>IF(A548="","",IF(INDEX(EXTRATO!$H$2:$H$3000,MATCH($A548,EXTRATO!$A$2:$A$3000,0))="","",INDEX(EXTRATO!$H$2:$H$3000,MATCH($A548,EXTRATO!$A$2:$A$3000,0))))</f>
        <v>EQUATORIAL MARANHÃO</v>
      </c>
      <c r="J548" s="86" t="s">
        <v>1313</v>
      </c>
      <c r="K548" s="86" t="str">
        <f>IF(AND(A548="",D548="",E548="",F548=""),"",IF(D548="","SEM CATEGORIA",IF(E548="","SEM SUBCATEGORIA",IF(COUNTIFS(CADASTROS!$L$7:$L$93,D548,CADASTROS!$D$7:$D$93,E548)=0,"INCOMPATÍVEL","OK"))))</f>
        <v>OK</v>
      </c>
    </row>
    <row r="549" spans="1:11" ht="30" hidden="1" customHeight="1" x14ac:dyDescent="0.25">
      <c r="A549" s="86" t="s">
        <v>1934</v>
      </c>
      <c r="B549" s="85">
        <f>IF(A549="","",IF(INDEX(EXTRATO!$C$2:$C$3000,MATCH($A549,EXTRATO!$A$2:$A$3000,0))="","",INDEX(EXTRATO!$C$2:$C$3000,MATCH($A549,EXTRATO!$A$2:$A$3000,0))))</f>
        <v>46162</v>
      </c>
      <c r="C549" s="86">
        <f t="shared" si="8"/>
        <v>5</v>
      </c>
      <c r="D549" s="81" t="s">
        <v>1388</v>
      </c>
      <c r="E549" s="79" t="s">
        <v>170</v>
      </c>
      <c r="F549" s="80">
        <v>19.39</v>
      </c>
      <c r="G549" s="81" t="s">
        <v>170</v>
      </c>
      <c r="H549" s="86" t="str">
        <f>IF(A549="","",IF(INDEX(EXTRATO!$F$2:$F$3000,MATCH($A549,EXTRATO!$A$2:$A$3000,0))="","",INDEX(EXTRATO!$F$2:$F$3000,MATCH($A549,EXTRATO!$A$2:$A$3000,0))))</f>
        <v>SAÍDA</v>
      </c>
      <c r="I549" s="88" t="str">
        <f>IF(A549="","",IF(INDEX(EXTRATO!$H$2:$H$3000,MATCH($A549,EXTRATO!$A$2:$A$3000,0))="","",INDEX(EXTRATO!$H$2:$H$3000,MATCH($A549,EXTRATO!$A$2:$A$3000,0))))</f>
        <v>TRIBUTOS FEDEREIAS MENSAIS</v>
      </c>
      <c r="J549" s="86" t="s">
        <v>1313</v>
      </c>
      <c r="K549" s="86" t="str">
        <f>IF(AND(A549="",D549="",E549="",F549=""),"",IF(D549="","SEM CATEGORIA",IF(E549="","SEM SUBCATEGORIA",IF(COUNTIFS(CADASTROS!$L$7:$L$93,D549,CADASTROS!$D$7:$D$93,E549)=0,"INCOMPATÍVEL","OK"))))</f>
        <v>OK</v>
      </c>
    </row>
    <row r="550" spans="1:11" ht="30" hidden="1" customHeight="1" x14ac:dyDescent="0.25">
      <c r="A550" s="86" t="s">
        <v>1935</v>
      </c>
      <c r="B550" s="85">
        <f>IF(A550="","",IF(INDEX(EXTRATO!$C$2:$C$3000,MATCH($A550,EXTRATO!$A$2:$A$3000,0))="","",INDEX(EXTRATO!$C$2:$C$3000,MATCH($A550,EXTRATO!$A$2:$A$3000,0))))</f>
        <v>46162</v>
      </c>
      <c r="C550" s="86">
        <f t="shared" si="8"/>
        <v>5</v>
      </c>
      <c r="D550" s="81" t="s">
        <v>1305</v>
      </c>
      <c r="E550" s="79" t="s">
        <v>1615</v>
      </c>
      <c r="F550" s="80">
        <v>445665.97</v>
      </c>
      <c r="G550" s="81" t="s">
        <v>796</v>
      </c>
      <c r="H550" s="86" t="str">
        <f>IF(A550="","",IF(INDEX(EXTRATO!$F$2:$F$3000,MATCH($A550,EXTRATO!$A$2:$A$3000,0))="","",INDEX(EXTRATO!$F$2:$F$3000,MATCH($A550,EXTRATO!$A$2:$A$3000,0))))</f>
        <v>ENTRADA</v>
      </c>
      <c r="I550" s="88" t="str">
        <f>IF(A550="","",IF(INDEX(EXTRATO!$H$2:$H$3000,MATCH($A550,EXTRATO!$A$2:$A$3000,0))="","",INDEX(EXTRATO!$H$2:$H$3000,MATCH($A550,EXTRATO!$A$2:$A$3000,0))))</f>
        <v>REPASSE DO CONTRATO</v>
      </c>
      <c r="J550" s="86" t="s">
        <v>1307</v>
      </c>
      <c r="K550" s="86" t="str">
        <f>IF(AND(A550="",D550="",E550="",F550=""),"",IF(D550="","SEM CATEGORIA",IF(E550="","SEM SUBCATEGORIA",IF(COUNTIFS(CADASTROS!$L$7:$L$93,D550,CADASTROS!$D$7:$D$93,E550)=0,"INCOMPATÍVEL","OK"))))</f>
        <v>OK</v>
      </c>
    </row>
    <row r="551" spans="1:11" ht="30" hidden="1" customHeight="1" x14ac:dyDescent="0.25">
      <c r="A551" s="86" t="s">
        <v>1936</v>
      </c>
      <c r="B551" s="85">
        <f>IF(A551="","",IF(INDEX(EXTRATO!$C$2:$C$3000,MATCH($A551,EXTRATO!$A$2:$A$3000,0))="","",INDEX(EXTRATO!$C$2:$C$3000,MATCH($A551,EXTRATO!$A$2:$A$3000,0))))</f>
        <v>46163</v>
      </c>
      <c r="C551" s="86">
        <f t="shared" si="8"/>
        <v>5</v>
      </c>
      <c r="D551" s="81" t="s">
        <v>1637</v>
      </c>
      <c r="E551" s="79" t="s">
        <v>1638</v>
      </c>
      <c r="F551" s="80">
        <v>10000</v>
      </c>
      <c r="G551" s="81" t="s">
        <v>1942</v>
      </c>
      <c r="H551" s="86" t="str">
        <f>IF(A551="","",IF(INDEX(EXTRATO!$F$2:$F$3000,MATCH($A551,EXTRATO!$A$2:$A$3000,0))="","",INDEX(EXTRATO!$F$2:$F$3000,MATCH($A551,EXTRATO!$A$2:$A$3000,0))))</f>
        <v>SAÍDA</v>
      </c>
      <c r="I551" s="88" t="str">
        <f>IF(A551="","",IF(INDEX(EXTRATO!$H$2:$H$3000,MATCH($A551,EXTRATO!$A$2:$A$3000,0))="","",INDEX(EXTRATO!$H$2:$H$3000,MATCH($A551,EXTRATO!$A$2:$A$3000,0))))</f>
        <v>FABIANA CRISTINA</v>
      </c>
      <c r="J551" s="86" t="s">
        <v>1313</v>
      </c>
      <c r="K551" s="86" t="str">
        <f>IF(AND(A551="",D551="",E551="",F551=""),"",IF(D551="","SEM CATEGORIA",IF(E551="","SEM SUBCATEGORIA",IF(COUNTIFS(CADASTROS!$L$7:$L$93,D551,CADASTROS!$D$7:$D$93,E551)=0,"INCOMPATÍVEL","OK"))))</f>
        <v>OK</v>
      </c>
    </row>
    <row r="552" spans="1:11" ht="30" hidden="1" customHeight="1" x14ac:dyDescent="0.25">
      <c r="A552" s="86" t="s">
        <v>1936</v>
      </c>
      <c r="B552" s="85">
        <f>IF(A552="","",IF(INDEX(EXTRATO!$C$2:$C$3000,MATCH($A552,EXTRATO!$A$2:$A$3000,0))="","",INDEX(EXTRATO!$C$2:$C$3000,MATCH($A552,EXTRATO!$A$2:$A$3000,0))))</f>
        <v>46163</v>
      </c>
      <c r="C552" s="86">
        <f t="shared" si="8"/>
        <v>5</v>
      </c>
      <c r="D552" s="81" t="s">
        <v>1904</v>
      </c>
      <c r="E552" s="79" t="s">
        <v>2532</v>
      </c>
      <c r="F552" s="80">
        <v>22400</v>
      </c>
      <c r="G552" s="81" t="s">
        <v>1943</v>
      </c>
      <c r="H552" s="86" t="str">
        <f>IF(A552="","",IF(INDEX(EXTRATO!$F$2:$F$3000,MATCH($A552,EXTRATO!$A$2:$A$3000,0))="","",INDEX(EXTRATO!$F$2:$F$3000,MATCH($A552,EXTRATO!$A$2:$A$3000,0))))</f>
        <v>SAÍDA</v>
      </c>
      <c r="I552" s="88" t="str">
        <f>IF(A552="","",IF(INDEX(EXTRATO!$H$2:$H$3000,MATCH($A552,EXTRATO!$A$2:$A$3000,0))="","",INDEX(EXTRATO!$H$2:$H$3000,MATCH($A552,EXTRATO!$A$2:$A$3000,0))))</f>
        <v>FABIANA CRISTINA</v>
      </c>
      <c r="J552" s="86" t="s">
        <v>1313</v>
      </c>
      <c r="K552" s="86" t="str">
        <f>IF(AND(A552="",D552="",E552="",F552=""),"",IF(D552="","SEM CATEGORIA",IF(E552="","SEM SUBCATEGORIA",IF(COUNTIFS(CADASTROS!$L$7:$L$93,D552,CADASTROS!$D$7:$D$93,E552)=0,"INCOMPATÍVEL","OK"))))</f>
        <v>OK</v>
      </c>
    </row>
    <row r="553" spans="1:11" ht="30" hidden="1" customHeight="1" x14ac:dyDescent="0.25">
      <c r="A553" s="86" t="s">
        <v>1936</v>
      </c>
      <c r="B553" s="85">
        <f>IF(A553="","",IF(INDEX(EXTRATO!$C$2:$C$3000,MATCH($A553,EXTRATO!$A$2:$A$3000,0))="","",INDEX(EXTRATO!$C$2:$C$3000,MATCH($A553,EXTRATO!$A$2:$A$3000,0))))</f>
        <v>46163</v>
      </c>
      <c r="C553" s="86">
        <f t="shared" si="8"/>
        <v>5</v>
      </c>
      <c r="D553" s="81" t="s">
        <v>2486</v>
      </c>
      <c r="E553" s="79" t="s">
        <v>2530</v>
      </c>
      <c r="F553" s="80">
        <v>1995.84</v>
      </c>
      <c r="G553" s="81" t="s">
        <v>2770</v>
      </c>
      <c r="H553" s="86" t="str">
        <f>IF(A553="","",IF(INDEX(EXTRATO!$F$2:$F$3000,MATCH($A553,EXTRATO!$A$2:$A$3000,0))="","",INDEX(EXTRATO!$F$2:$F$3000,MATCH($A553,EXTRATO!$A$2:$A$3000,0))))</f>
        <v>SAÍDA</v>
      </c>
      <c r="I553" s="88" t="str">
        <f>IF(A553="","",IF(INDEX(EXTRATO!$H$2:$H$3000,MATCH($A553,EXTRATO!$A$2:$A$3000,0))="","",INDEX(EXTRATO!$H$2:$H$3000,MATCH($A553,EXTRATO!$A$2:$A$3000,0))))</f>
        <v>FABIANA CRISTINA</v>
      </c>
      <c r="J553" s="86" t="s">
        <v>1313</v>
      </c>
      <c r="K553" s="86" t="str">
        <f>IF(AND(A553="",D553="",E553="",F553=""),"",IF(D553="","SEM CATEGORIA",IF(E553="","SEM SUBCATEGORIA",IF(COUNTIFS(CADASTROS!$L$7:$L$93,D553,CADASTROS!$D$7:$D$93,E553)=0,"INCOMPATÍVEL","OK"))))</f>
        <v>OK</v>
      </c>
    </row>
    <row r="554" spans="1:11" ht="30" hidden="1" customHeight="1" x14ac:dyDescent="0.25">
      <c r="A554" s="86" t="s">
        <v>1937</v>
      </c>
      <c r="B554" s="85">
        <f>IF(A554="","",IF(INDEX(EXTRATO!$C$2:$C$3000,MATCH($A554,EXTRATO!$A$2:$A$3000,0))="","",INDEX(EXTRATO!$C$2:$C$3000,MATCH($A554,EXTRATO!$A$2:$A$3000,0))))</f>
        <v>46163</v>
      </c>
      <c r="C554" s="86">
        <f t="shared" si="8"/>
        <v>5</v>
      </c>
      <c r="D554" s="81" t="s">
        <v>1637</v>
      </c>
      <c r="E554" s="79" t="s">
        <v>1638</v>
      </c>
      <c r="F554" s="80">
        <v>10000</v>
      </c>
      <c r="G554" s="81" t="s">
        <v>1945</v>
      </c>
      <c r="H554" s="86" t="str">
        <f>IF(A554="","",IF(INDEX(EXTRATO!$F$2:$F$3000,MATCH($A554,EXTRATO!$A$2:$A$3000,0))="","",INDEX(EXTRATO!$F$2:$F$3000,MATCH($A554,EXTRATO!$A$2:$A$3000,0))))</f>
        <v>SAÍDA</v>
      </c>
      <c r="I554" s="88" t="str">
        <f>IF(A554="","",IF(INDEX(EXTRATO!$H$2:$H$3000,MATCH($A554,EXTRATO!$A$2:$A$3000,0))="","",INDEX(EXTRATO!$H$2:$H$3000,MATCH($A554,EXTRATO!$A$2:$A$3000,0))))</f>
        <v>ANDERSON RAFAEL SALVIANO</v>
      </c>
      <c r="J554" s="86" t="s">
        <v>1313</v>
      </c>
      <c r="K554" s="86" t="str">
        <f>IF(AND(A554="",D554="",E554="",F554=""),"",IF(D554="","SEM CATEGORIA",IF(E554="","SEM SUBCATEGORIA",IF(COUNTIFS(CADASTROS!$L$7:$L$93,D554,CADASTROS!$D$7:$D$93,E554)=0,"INCOMPATÍVEL","OK"))))</f>
        <v>OK</v>
      </c>
    </row>
    <row r="555" spans="1:11" ht="30" hidden="1" customHeight="1" x14ac:dyDescent="0.25">
      <c r="A555" s="86" t="s">
        <v>1937</v>
      </c>
      <c r="B555" s="85">
        <f>IF(A555="","",IF(INDEX(EXTRATO!$C$2:$C$3000,MATCH($A555,EXTRATO!$A$2:$A$3000,0))="","",INDEX(EXTRATO!$C$2:$C$3000,MATCH($A555,EXTRATO!$A$2:$A$3000,0))))</f>
        <v>46163</v>
      </c>
      <c r="C555" s="86">
        <f t="shared" si="8"/>
        <v>5</v>
      </c>
      <c r="D555" s="81" t="s">
        <v>1904</v>
      </c>
      <c r="E555" s="79" t="s">
        <v>2532</v>
      </c>
      <c r="F555" s="80">
        <v>22400</v>
      </c>
      <c r="G555" s="81" t="s">
        <v>1946</v>
      </c>
      <c r="H555" s="86" t="str">
        <f>IF(A555="","",IF(INDEX(EXTRATO!$F$2:$F$3000,MATCH($A555,EXTRATO!$A$2:$A$3000,0))="","",INDEX(EXTRATO!$F$2:$F$3000,MATCH($A555,EXTRATO!$A$2:$A$3000,0))))</f>
        <v>SAÍDA</v>
      </c>
      <c r="I555" s="88" t="str">
        <f>IF(A555="","",IF(INDEX(EXTRATO!$H$2:$H$3000,MATCH($A555,EXTRATO!$A$2:$A$3000,0))="","",INDEX(EXTRATO!$H$2:$H$3000,MATCH($A555,EXTRATO!$A$2:$A$3000,0))))</f>
        <v>ANDERSON RAFAEL SALVIANO</v>
      </c>
      <c r="J555" s="86" t="s">
        <v>1313</v>
      </c>
      <c r="K555" s="86" t="str">
        <f>IF(AND(A555="",D555="",E555="",F555=""),"",IF(D555="","SEM CATEGORIA",IF(E555="","SEM SUBCATEGORIA",IF(COUNTIFS(CADASTROS!$L$7:$L$93,D555,CADASTROS!$D$7:$D$93,E555)=0,"INCOMPATÍVEL","OK"))))</f>
        <v>OK</v>
      </c>
    </row>
    <row r="556" spans="1:11" ht="30" hidden="1" customHeight="1" x14ac:dyDescent="0.25">
      <c r="A556" s="86" t="s">
        <v>1937</v>
      </c>
      <c r="B556" s="85">
        <f>IF(A556="","",IF(INDEX(EXTRATO!$C$2:$C$3000,MATCH($A556,EXTRATO!$A$2:$A$3000,0))="","",INDEX(EXTRATO!$C$2:$C$3000,MATCH($A556,EXTRATO!$A$2:$A$3000,0))))</f>
        <v>46163</v>
      </c>
      <c r="C556" s="86">
        <f t="shared" si="8"/>
        <v>5</v>
      </c>
      <c r="D556" s="81" t="s">
        <v>2486</v>
      </c>
      <c r="E556" s="79" t="s">
        <v>2530</v>
      </c>
      <c r="F556" s="80">
        <v>1995.84</v>
      </c>
      <c r="G556" s="81" t="s">
        <v>2769</v>
      </c>
      <c r="H556" s="86" t="str">
        <f>IF(A556="","",IF(INDEX(EXTRATO!$F$2:$F$3000,MATCH($A556,EXTRATO!$A$2:$A$3000,0))="","",INDEX(EXTRATO!$F$2:$F$3000,MATCH($A556,EXTRATO!$A$2:$A$3000,0))))</f>
        <v>SAÍDA</v>
      </c>
      <c r="I556" s="88" t="str">
        <f>IF(A556="","",IF(INDEX(EXTRATO!$H$2:$H$3000,MATCH($A556,EXTRATO!$A$2:$A$3000,0))="","",INDEX(EXTRATO!$H$2:$H$3000,MATCH($A556,EXTRATO!$A$2:$A$3000,0))))</f>
        <v>ANDERSON RAFAEL SALVIANO</v>
      </c>
      <c r="J556" s="86" t="s">
        <v>1313</v>
      </c>
      <c r="K556" s="86" t="str">
        <f>IF(AND(A556="",D556="",E556="",F556=""),"",IF(D556="","SEM CATEGORIA",IF(E556="","SEM SUBCATEGORIA",IF(COUNTIFS(CADASTROS!$L$7:$L$93,D556,CADASTROS!$D$7:$D$93,E556)=0,"INCOMPATÍVEL","OK"))))</f>
        <v>OK</v>
      </c>
    </row>
    <row r="557" spans="1:11" ht="30" hidden="1" customHeight="1" x14ac:dyDescent="0.25">
      <c r="A557" s="86" t="s">
        <v>1938</v>
      </c>
      <c r="B557" s="85">
        <f>IF(A557="","",IF(INDEX(EXTRATO!$C$2:$C$3000,MATCH($A557,EXTRATO!$A$2:$A$3000,0))="","",INDEX(EXTRATO!$C$2:$C$3000,MATCH($A557,EXTRATO!$A$2:$A$3000,0))))</f>
        <v>46163</v>
      </c>
      <c r="C557" s="86">
        <f t="shared" si="8"/>
        <v>5</v>
      </c>
      <c r="D557" s="81" t="s">
        <v>1904</v>
      </c>
      <c r="E557" s="79" t="s">
        <v>2532</v>
      </c>
      <c r="F557" s="80">
        <v>22400</v>
      </c>
      <c r="G557" s="81" t="s">
        <v>2767</v>
      </c>
      <c r="H557" s="86" t="str">
        <f>IF(A557="","",IF(INDEX(EXTRATO!$F$2:$F$3000,MATCH($A557,EXTRATO!$A$2:$A$3000,0))="","",INDEX(EXTRATO!$F$2:$F$3000,MATCH($A557,EXTRATO!$A$2:$A$3000,0))))</f>
        <v>SAÍDA</v>
      </c>
      <c r="I557" s="88" t="str">
        <f>IF(A557="","",IF(INDEX(EXTRATO!$H$2:$H$3000,MATCH($A557,EXTRATO!$A$2:$A$3000,0))="","",INDEX(EXTRATO!$H$2:$H$3000,MATCH($A557,EXTRATO!$A$2:$A$3000,0))))</f>
        <v>CELINA TCBC DE MIRANDA</v>
      </c>
      <c r="J557" s="86" t="s">
        <v>1313</v>
      </c>
      <c r="K557" s="86" t="str">
        <f>IF(AND(A557="",D557="",E557="",F557=""),"",IF(D557="","SEM CATEGORIA",IF(E557="","SEM SUBCATEGORIA",IF(COUNTIFS(CADASTROS!$L$7:$L$93,D557,CADASTROS!$D$7:$D$93,E557)=0,"INCOMPATÍVEL","OK"))))</f>
        <v>OK</v>
      </c>
    </row>
    <row r="558" spans="1:11" ht="30" hidden="1" customHeight="1" x14ac:dyDescent="0.25">
      <c r="A558" s="86" t="s">
        <v>1938</v>
      </c>
      <c r="B558" s="85">
        <f>IF(A558="","",IF(INDEX(EXTRATO!$C$2:$C$3000,MATCH($A558,EXTRATO!$A$2:$A$3000,0))="","",INDEX(EXTRATO!$C$2:$C$3000,MATCH($A558,EXTRATO!$A$2:$A$3000,0))))</f>
        <v>46163</v>
      </c>
      <c r="C558" s="86">
        <f t="shared" si="8"/>
        <v>5</v>
      </c>
      <c r="D558" s="81" t="s">
        <v>2486</v>
      </c>
      <c r="E558" s="79" t="s">
        <v>2530</v>
      </c>
      <c r="F558" s="80">
        <v>1995.84</v>
      </c>
      <c r="G558" s="81" t="s">
        <v>2774</v>
      </c>
      <c r="H558" s="86" t="str">
        <f>IF(A558="","",IF(INDEX(EXTRATO!$F$2:$F$3000,MATCH($A558,EXTRATO!$A$2:$A$3000,0))="","",INDEX(EXTRATO!$F$2:$F$3000,MATCH($A558,EXTRATO!$A$2:$A$3000,0))))</f>
        <v>SAÍDA</v>
      </c>
      <c r="I558" s="88" t="str">
        <f>IF(A558="","",IF(INDEX(EXTRATO!$H$2:$H$3000,MATCH($A558,EXTRATO!$A$2:$A$3000,0))="","",INDEX(EXTRATO!$H$2:$H$3000,MATCH($A558,EXTRATO!$A$2:$A$3000,0))))</f>
        <v>CELINA TCBC DE MIRANDA</v>
      </c>
      <c r="J558" s="86" t="s">
        <v>1313</v>
      </c>
      <c r="K558" s="86" t="str">
        <f>IF(AND(A558="",D558="",E558="",F558=""),"",IF(D558="","SEM CATEGORIA",IF(E558="","SEM SUBCATEGORIA",IF(COUNTIFS(CADASTROS!$L$7:$L$93,D558,CADASTROS!$D$7:$D$93,E558)=0,"INCOMPATÍVEL","OK"))))</f>
        <v>OK</v>
      </c>
    </row>
    <row r="559" spans="1:11" ht="30" hidden="1" customHeight="1" x14ac:dyDescent="0.25">
      <c r="A559" s="86" t="s">
        <v>1939</v>
      </c>
      <c r="B559" s="85">
        <f>IF(A559="","",IF(INDEX(EXTRATO!$C$2:$C$3000,MATCH($A559,EXTRATO!$A$2:$A$3000,0))="","",INDEX(EXTRATO!$C$2:$C$3000,MATCH($A559,EXTRATO!$A$2:$A$3000,0))))</f>
        <v>46163</v>
      </c>
      <c r="C559" s="86">
        <f t="shared" si="8"/>
        <v>5</v>
      </c>
      <c r="D559" s="81" t="s">
        <v>1904</v>
      </c>
      <c r="E559" s="79" t="s">
        <v>2532</v>
      </c>
      <c r="F559" s="80">
        <v>22400</v>
      </c>
      <c r="G559" s="81" t="s">
        <v>1949</v>
      </c>
      <c r="H559" s="86" t="str">
        <f>IF(A559="","",IF(INDEX(EXTRATO!$F$2:$F$3000,MATCH($A559,EXTRATO!$A$2:$A$3000,0))="","",INDEX(EXTRATO!$F$2:$F$3000,MATCH($A559,EXTRATO!$A$2:$A$3000,0))))</f>
        <v>SAÍDA</v>
      </c>
      <c r="I559" s="88" t="str">
        <f>IF(A559="","",IF(INDEX(EXTRATO!$H$2:$H$3000,MATCH($A559,EXTRATO!$A$2:$A$3000,0))="","",INDEX(EXTRATO!$H$2:$H$3000,MATCH($A559,EXTRATO!$A$2:$A$3000,0))))</f>
        <v>AFONSO PAULO COSTA FERRO</v>
      </c>
      <c r="J559" s="86" t="s">
        <v>1313</v>
      </c>
      <c r="K559" s="86" t="str">
        <f>IF(AND(A559="",D559="",E559="",F559=""),"",IF(D559="","SEM CATEGORIA",IF(E559="","SEM SUBCATEGORIA",IF(COUNTIFS(CADASTROS!$L$7:$L$93,D559,CADASTROS!$D$7:$D$93,E559)=0,"INCOMPATÍVEL","OK"))))</f>
        <v>OK</v>
      </c>
    </row>
    <row r="560" spans="1:11" ht="30" hidden="1" customHeight="1" x14ac:dyDescent="0.25">
      <c r="A560" s="86" t="s">
        <v>1939</v>
      </c>
      <c r="B560" s="85">
        <f>IF(A560="","",IF(INDEX(EXTRATO!$C$2:$C$3000,MATCH($A560,EXTRATO!$A$2:$A$3000,0))="","",INDEX(EXTRATO!$C$2:$C$3000,MATCH($A560,EXTRATO!$A$2:$A$3000,0))))</f>
        <v>46163</v>
      </c>
      <c r="C560" s="86">
        <f t="shared" si="8"/>
        <v>5</v>
      </c>
      <c r="D560" s="81" t="s">
        <v>2486</v>
      </c>
      <c r="E560" s="79" t="s">
        <v>2530</v>
      </c>
      <c r="F560" s="80">
        <v>1995.84</v>
      </c>
      <c r="G560" s="81" t="s">
        <v>2773</v>
      </c>
      <c r="H560" s="86" t="str">
        <f>IF(A560="","",IF(INDEX(EXTRATO!$F$2:$F$3000,MATCH($A560,EXTRATO!$A$2:$A$3000,0))="","",INDEX(EXTRATO!$F$2:$F$3000,MATCH($A560,EXTRATO!$A$2:$A$3000,0))))</f>
        <v>SAÍDA</v>
      </c>
      <c r="I560" s="88" t="str">
        <f>IF(A560="","",IF(INDEX(EXTRATO!$H$2:$H$3000,MATCH($A560,EXTRATO!$A$2:$A$3000,0))="","",INDEX(EXTRATO!$H$2:$H$3000,MATCH($A560,EXTRATO!$A$2:$A$3000,0))))</f>
        <v>AFONSO PAULO COSTA FERRO</v>
      </c>
      <c r="J560" s="86" t="s">
        <v>1313</v>
      </c>
      <c r="K560" s="86" t="str">
        <f>IF(AND(A560="",D560="",E560="",F560=""),"",IF(D560="","SEM CATEGORIA",IF(E560="","SEM SUBCATEGORIA",IF(COUNTIFS(CADASTROS!$L$7:$L$93,D560,CADASTROS!$D$7:$D$93,E560)=0,"INCOMPATÍVEL","OK"))))</f>
        <v>OK</v>
      </c>
    </row>
    <row r="561" spans="1:11" ht="30" hidden="1" customHeight="1" x14ac:dyDescent="0.25">
      <c r="A561" s="86" t="s">
        <v>1940</v>
      </c>
      <c r="B561" s="85">
        <f>IF(A561="","",IF(INDEX(EXTRATO!$C$2:$C$3000,MATCH($A561,EXTRATO!$A$2:$A$3000,0))="","",INDEX(EXTRATO!$C$2:$C$3000,MATCH($A561,EXTRATO!$A$2:$A$3000,0))))</f>
        <v>46163</v>
      </c>
      <c r="C561" s="86">
        <f t="shared" si="8"/>
        <v>5</v>
      </c>
      <c r="D561" s="81" t="s">
        <v>1388</v>
      </c>
      <c r="E561" s="79" t="s">
        <v>125</v>
      </c>
      <c r="F561" s="80">
        <v>22553.95</v>
      </c>
      <c r="G561" s="81" t="s">
        <v>801</v>
      </c>
      <c r="H561" s="86" t="str">
        <f>IF(A561="","",IF(INDEX(EXTRATO!$F$2:$F$3000,MATCH($A561,EXTRATO!$A$2:$A$3000,0))="","",INDEX(EXTRATO!$F$2:$F$3000,MATCH($A561,EXTRATO!$A$2:$A$3000,0))))</f>
        <v>SAÍDA</v>
      </c>
      <c r="I561" s="88" t="str">
        <f>IF(A561="","",IF(INDEX(EXTRATO!$H$2:$H$3000,MATCH($A561,EXTRATO!$A$2:$A$3000,0))="","",INDEX(EXTRATO!$H$2:$H$3000,MATCH($A561,EXTRATO!$A$2:$A$3000,0))))</f>
        <v>ISS</v>
      </c>
      <c r="J561" s="86" t="s">
        <v>1313</v>
      </c>
      <c r="K561" s="86" t="str">
        <f>IF(AND(A561="",D561="",E561="",F561=""),"",IF(D561="","SEM CATEGORIA",IF(E561="","SEM SUBCATEGORIA",IF(COUNTIFS(CADASTROS!$L$7:$L$93,D561,CADASTROS!$D$7:$D$93,E561)=0,"INCOMPATÍVEL","OK"))))</f>
        <v>OK</v>
      </c>
    </row>
    <row r="562" spans="1:11" ht="30" hidden="1" customHeight="1" x14ac:dyDescent="0.25">
      <c r="A562" s="86" t="s">
        <v>1941</v>
      </c>
      <c r="B562" s="85">
        <f>IF(A562="","",IF(INDEX(EXTRATO!$C$2:$C$3000,MATCH($A562,EXTRATO!$A$2:$A$3000,0))="","",INDEX(EXTRATO!$C$2:$C$3000,MATCH($A562,EXTRATO!$A$2:$A$3000,0))))</f>
        <v>46163</v>
      </c>
      <c r="C562" s="86">
        <f t="shared" si="8"/>
        <v>5</v>
      </c>
      <c r="D562" s="81" t="s">
        <v>1637</v>
      </c>
      <c r="E562" s="79" t="s">
        <v>1638</v>
      </c>
      <c r="F562" s="80">
        <v>15000</v>
      </c>
      <c r="G562" s="81" t="s">
        <v>1952</v>
      </c>
      <c r="H562" s="86" t="str">
        <f>IF(A562="","",IF(INDEX(EXTRATO!$F$2:$F$3000,MATCH($A562,EXTRATO!$A$2:$A$3000,0))="","",INDEX(EXTRATO!$F$2:$F$3000,MATCH($A562,EXTRATO!$A$2:$A$3000,0))))</f>
        <v>SAÍDA</v>
      </c>
      <c r="I562" s="88" t="str">
        <f>IF(A562="","",IF(INDEX(EXTRATO!$H$2:$H$3000,MATCH($A562,EXTRATO!$A$2:$A$3000,0))="","",INDEX(EXTRATO!$H$2:$H$3000,MATCH($A562,EXTRATO!$A$2:$A$3000,0))))</f>
        <v>PATRICK DULFF</v>
      </c>
      <c r="J562" s="86" t="s">
        <v>1313</v>
      </c>
      <c r="K562" s="86" t="str">
        <f>IF(AND(A562="",D562="",E562="",F562=""),"",IF(D562="","SEM CATEGORIA",IF(E562="","SEM SUBCATEGORIA",IF(COUNTIFS(CADASTROS!$L$7:$L$93,D562,CADASTROS!$D$7:$D$93,E562)=0,"INCOMPATÍVEL","OK"))))</f>
        <v>OK</v>
      </c>
    </row>
    <row r="563" spans="1:11" ht="30" hidden="1" customHeight="1" x14ac:dyDescent="0.25">
      <c r="A563" s="86" t="s">
        <v>1941</v>
      </c>
      <c r="B563" s="85">
        <f>IF(A563="","",IF(INDEX(EXTRATO!$C$2:$C$3000,MATCH($A563,EXTRATO!$A$2:$A$3000,0))="","",INDEX(EXTRATO!$C$2:$C$3000,MATCH($A563,EXTRATO!$A$2:$A$3000,0))))</f>
        <v>46163</v>
      </c>
      <c r="C563" s="86">
        <f t="shared" si="8"/>
        <v>5</v>
      </c>
      <c r="D563" s="81" t="s">
        <v>1904</v>
      </c>
      <c r="E563" s="79" t="s">
        <v>2532</v>
      </c>
      <c r="F563" s="80">
        <v>5600</v>
      </c>
      <c r="G563" s="81" t="s">
        <v>1953</v>
      </c>
      <c r="H563" s="86" t="str">
        <f>IF(A563="","",IF(INDEX(EXTRATO!$F$2:$F$3000,MATCH($A563,EXTRATO!$A$2:$A$3000,0))="","",INDEX(EXTRATO!$F$2:$F$3000,MATCH($A563,EXTRATO!$A$2:$A$3000,0))))</f>
        <v>SAÍDA</v>
      </c>
      <c r="I563" s="88" t="str">
        <f>IF(A563="","",IF(INDEX(EXTRATO!$H$2:$H$3000,MATCH($A563,EXTRATO!$A$2:$A$3000,0))="","",INDEX(EXTRATO!$H$2:$H$3000,MATCH($A563,EXTRATO!$A$2:$A$3000,0))))</f>
        <v>PATRICK DULFF</v>
      </c>
      <c r="J563" s="86" t="s">
        <v>1313</v>
      </c>
      <c r="K563" s="86" t="str">
        <f>IF(AND(A563="",D563="",E563="",F563=""),"",IF(D563="","SEM CATEGORIA",IF(E563="","SEM SUBCATEGORIA",IF(COUNTIFS(CADASTROS!$L$7:$L$93,D563,CADASTROS!$D$7:$D$93,E563)=0,"INCOMPATÍVEL","OK"))))</f>
        <v>OK</v>
      </c>
    </row>
    <row r="564" spans="1:11" ht="30" hidden="1" customHeight="1" x14ac:dyDescent="0.25">
      <c r="A564" s="86" t="s">
        <v>1941</v>
      </c>
      <c r="B564" s="85">
        <f>IF(A564="","",IF(INDEX(EXTRATO!$C$2:$C$3000,MATCH($A564,EXTRATO!$A$2:$A$3000,0))="","",INDEX(EXTRATO!$C$2:$C$3000,MATCH($A564,EXTRATO!$A$2:$A$3000,0))))</f>
        <v>46163</v>
      </c>
      <c r="C564" s="86">
        <f t="shared" si="8"/>
        <v>5</v>
      </c>
      <c r="D564" s="81" t="s">
        <v>2486</v>
      </c>
      <c r="E564" s="79" t="s">
        <v>2530</v>
      </c>
      <c r="F564" s="80">
        <v>498.96</v>
      </c>
      <c r="G564" s="81" t="s">
        <v>2768</v>
      </c>
      <c r="H564" s="86" t="str">
        <f>IF(A564="","",IF(INDEX(EXTRATO!$F$2:$F$3000,MATCH($A564,EXTRATO!$A$2:$A$3000,0))="","",INDEX(EXTRATO!$F$2:$F$3000,MATCH($A564,EXTRATO!$A$2:$A$3000,0))))</f>
        <v>SAÍDA</v>
      </c>
      <c r="I564" s="88" t="str">
        <f>IF(A564="","",IF(INDEX(EXTRATO!$H$2:$H$3000,MATCH($A564,EXTRATO!$A$2:$A$3000,0))="","",INDEX(EXTRATO!$H$2:$H$3000,MATCH($A564,EXTRATO!$A$2:$A$3000,0))))</f>
        <v>PATRICK DULFF</v>
      </c>
      <c r="J564" s="86" t="s">
        <v>1313</v>
      </c>
      <c r="K564" s="86" t="str">
        <f>IF(AND(A564="",D564="",E564="",F564=""),"",IF(D564="","SEM CATEGORIA",IF(E564="","SEM SUBCATEGORIA",IF(COUNTIFS(CADASTROS!$L$7:$L$93,D564,CADASTROS!$D$7:$D$93,E564)=0,"INCOMPATÍVEL","OK"))))</f>
        <v>OK</v>
      </c>
    </row>
    <row r="565" spans="1:11" ht="30" hidden="1" customHeight="1" x14ac:dyDescent="0.25">
      <c r="A565" s="86" t="s">
        <v>1944</v>
      </c>
      <c r="B565" s="85">
        <f>IF(A565="","",IF(INDEX(EXTRATO!$C$2:$C$3000,MATCH($A565,EXTRATO!$A$2:$A$3000,0))="","",INDEX(EXTRATO!$C$2:$C$3000,MATCH($A565,EXTRATO!$A$2:$A$3000,0))))</f>
        <v>46163</v>
      </c>
      <c r="C565" s="86">
        <f t="shared" si="8"/>
        <v>5</v>
      </c>
      <c r="D565" s="81" t="s">
        <v>1637</v>
      </c>
      <c r="E565" s="79" t="s">
        <v>1638</v>
      </c>
      <c r="F565" s="80">
        <v>5000</v>
      </c>
      <c r="G565" s="81" t="s">
        <v>1955</v>
      </c>
      <c r="H565" s="86" t="str">
        <f>IF(A565="","",IF(INDEX(EXTRATO!$F$2:$F$3000,MATCH($A565,EXTRATO!$A$2:$A$3000,0))="","",INDEX(EXTRATO!$F$2:$F$3000,MATCH($A565,EXTRATO!$A$2:$A$3000,0))))</f>
        <v>SAÍDA</v>
      </c>
      <c r="I565" s="88" t="str">
        <f>IF(A565="","",IF(INDEX(EXTRATO!$H$2:$H$3000,MATCH($A565,EXTRATO!$A$2:$A$3000,0))="","",INDEX(EXTRATO!$H$2:$H$3000,MATCH($A565,EXTRATO!$A$2:$A$3000,0))))</f>
        <v>MOISES S OLIVEIRA</v>
      </c>
      <c r="J565" s="86" t="s">
        <v>1313</v>
      </c>
      <c r="K565" s="86" t="str">
        <f>IF(AND(A565="",D565="",E565="",F565=""),"",IF(D565="","SEM CATEGORIA",IF(E565="","SEM SUBCATEGORIA",IF(COUNTIFS(CADASTROS!$L$7:$L$93,D565,CADASTROS!$D$7:$D$93,E565)=0,"INCOMPATÍVEL","OK"))))</f>
        <v>OK</v>
      </c>
    </row>
    <row r="566" spans="1:11" ht="30" hidden="1" customHeight="1" x14ac:dyDescent="0.25">
      <c r="A566" s="86" t="s">
        <v>1944</v>
      </c>
      <c r="B566" s="85">
        <f>IF(A566="","",IF(INDEX(EXTRATO!$C$2:$C$3000,MATCH($A566,EXTRATO!$A$2:$A$3000,0))="","",INDEX(EXTRATO!$C$2:$C$3000,MATCH($A566,EXTRATO!$A$2:$A$3000,0))))</f>
        <v>46163</v>
      </c>
      <c r="C566" s="86">
        <f t="shared" si="8"/>
        <v>5</v>
      </c>
      <c r="D566" s="81" t="s">
        <v>1904</v>
      </c>
      <c r="E566" s="79" t="s">
        <v>2532</v>
      </c>
      <c r="F566" s="80">
        <v>11200</v>
      </c>
      <c r="G566" s="81" t="s">
        <v>2777</v>
      </c>
      <c r="H566" s="86" t="str">
        <f>IF(A566="","",IF(INDEX(EXTRATO!$F$2:$F$3000,MATCH($A566,EXTRATO!$A$2:$A$3000,0))="","",INDEX(EXTRATO!$F$2:$F$3000,MATCH($A566,EXTRATO!$A$2:$A$3000,0))))</f>
        <v>SAÍDA</v>
      </c>
      <c r="I566" s="88" t="str">
        <f>IF(A566="","",IF(INDEX(EXTRATO!$H$2:$H$3000,MATCH($A566,EXTRATO!$A$2:$A$3000,0))="","",INDEX(EXTRATO!$H$2:$H$3000,MATCH($A566,EXTRATO!$A$2:$A$3000,0))))</f>
        <v>MOISES S OLIVEIRA</v>
      </c>
      <c r="J566" s="86" t="s">
        <v>1313</v>
      </c>
      <c r="K566" s="86" t="str">
        <f>IF(AND(A566="",D566="",E566="",F566=""),"",IF(D566="","SEM CATEGORIA",IF(E566="","SEM SUBCATEGORIA",IF(COUNTIFS(CADASTROS!$L$7:$L$93,D566,CADASTROS!$D$7:$D$93,E566)=0,"INCOMPATÍVEL","OK"))))</f>
        <v>OK</v>
      </c>
    </row>
    <row r="567" spans="1:11" ht="30" hidden="1" customHeight="1" x14ac:dyDescent="0.25">
      <c r="A567" s="86" t="s">
        <v>1944</v>
      </c>
      <c r="B567" s="85">
        <f>IF(A567="","",IF(INDEX(EXTRATO!$C$2:$C$3000,MATCH($A567,EXTRATO!$A$2:$A$3000,0))="","",INDEX(EXTRATO!$C$2:$C$3000,MATCH($A567,EXTRATO!$A$2:$A$3000,0))))</f>
        <v>46163</v>
      </c>
      <c r="C567" s="86">
        <f t="shared" si="8"/>
        <v>5</v>
      </c>
      <c r="D567" s="81" t="s">
        <v>2486</v>
      </c>
      <c r="E567" s="79" t="s">
        <v>2530</v>
      </c>
      <c r="F567" s="80">
        <v>997.92</v>
      </c>
      <c r="G567" s="81" t="s">
        <v>2771</v>
      </c>
      <c r="H567" s="86" t="str">
        <f>IF(A567="","",IF(INDEX(EXTRATO!$F$2:$F$3000,MATCH($A567,EXTRATO!$A$2:$A$3000,0))="","",INDEX(EXTRATO!$F$2:$F$3000,MATCH($A567,EXTRATO!$A$2:$A$3000,0))))</f>
        <v>SAÍDA</v>
      </c>
      <c r="I567" s="88" t="str">
        <f>IF(A567="","",IF(INDEX(EXTRATO!$H$2:$H$3000,MATCH($A567,EXTRATO!$A$2:$A$3000,0))="","",INDEX(EXTRATO!$H$2:$H$3000,MATCH($A567,EXTRATO!$A$2:$A$3000,0))))</f>
        <v>MOISES S OLIVEIRA</v>
      </c>
      <c r="J567" s="86" t="s">
        <v>1313</v>
      </c>
      <c r="K567" s="86" t="str">
        <f>IF(AND(A567="",D567="",E567="",F567=""),"",IF(D567="","SEM CATEGORIA",IF(E567="","SEM SUBCATEGORIA",IF(COUNTIFS(CADASTROS!$L$7:$L$93,D567,CADASTROS!$D$7:$D$93,E567)=0,"INCOMPATÍVEL","OK"))))</f>
        <v>OK</v>
      </c>
    </row>
    <row r="568" spans="1:11" ht="30" hidden="1" customHeight="1" x14ac:dyDescent="0.25">
      <c r="A568" s="86" t="s">
        <v>1947</v>
      </c>
      <c r="B568" s="85">
        <f>IF(A568="","",IF(INDEX(EXTRATO!$C$2:$C$3000,MATCH($A568,EXTRATO!$A$2:$A$3000,0))="","",INDEX(EXTRATO!$C$2:$C$3000,MATCH($A568,EXTRATO!$A$2:$A$3000,0))))</f>
        <v>46163</v>
      </c>
      <c r="C568" s="86">
        <f t="shared" si="8"/>
        <v>5</v>
      </c>
      <c r="D568" s="81" t="s">
        <v>1637</v>
      </c>
      <c r="E568" s="79" t="s">
        <v>1638</v>
      </c>
      <c r="F568" s="80">
        <v>5000</v>
      </c>
      <c r="G568" s="81" t="s">
        <v>1957</v>
      </c>
      <c r="H568" s="86" t="str">
        <f>IF(A568="","",IF(INDEX(EXTRATO!$F$2:$F$3000,MATCH($A568,EXTRATO!$A$2:$A$3000,0))="","",INDEX(EXTRATO!$F$2:$F$3000,MATCH($A568,EXTRATO!$A$2:$A$3000,0))))</f>
        <v>SAÍDA</v>
      </c>
      <c r="I568" s="88" t="str">
        <f>IF(A568="","",IF(INDEX(EXTRATO!$H$2:$H$3000,MATCH($A568,EXTRATO!$A$2:$A$3000,0))="","",INDEX(EXTRATO!$H$2:$H$3000,MATCH($A568,EXTRATO!$A$2:$A$3000,0))))</f>
        <v>GLADSTONE SANTOS SILVA</v>
      </c>
      <c r="J568" s="86" t="s">
        <v>1313</v>
      </c>
      <c r="K568" s="86" t="str">
        <f>IF(AND(A568="",D568="",E568="",F568=""),"",IF(D568="","SEM CATEGORIA",IF(E568="","SEM SUBCATEGORIA",IF(COUNTIFS(CADASTROS!$L$7:$L$93,D568,CADASTROS!$D$7:$D$93,E568)=0,"INCOMPATÍVEL","OK"))))</f>
        <v>OK</v>
      </c>
    </row>
    <row r="569" spans="1:11" ht="30" hidden="1" customHeight="1" x14ac:dyDescent="0.25">
      <c r="A569" s="86" t="s">
        <v>1947</v>
      </c>
      <c r="B569" s="85">
        <f>IF(A569="","",IF(INDEX(EXTRATO!$C$2:$C$3000,MATCH($A569,EXTRATO!$A$2:$A$3000,0))="","",INDEX(EXTRATO!$C$2:$C$3000,MATCH($A569,EXTRATO!$A$2:$A$3000,0))))</f>
        <v>46163</v>
      </c>
      <c r="C569" s="86">
        <f t="shared" si="8"/>
        <v>5</v>
      </c>
      <c r="D569" s="81" t="s">
        <v>1904</v>
      </c>
      <c r="E569" s="79" t="s">
        <v>2532</v>
      </c>
      <c r="F569" s="80">
        <v>11200</v>
      </c>
      <c r="G569" s="81" t="s">
        <v>2778</v>
      </c>
      <c r="H569" s="86" t="str">
        <f>IF(A569="","",IF(INDEX(EXTRATO!$F$2:$F$3000,MATCH($A569,EXTRATO!$A$2:$A$3000,0))="","",INDEX(EXTRATO!$F$2:$F$3000,MATCH($A569,EXTRATO!$A$2:$A$3000,0))))</f>
        <v>SAÍDA</v>
      </c>
      <c r="I569" s="88" t="str">
        <f>IF(A569="","",IF(INDEX(EXTRATO!$H$2:$H$3000,MATCH($A569,EXTRATO!$A$2:$A$3000,0))="","",INDEX(EXTRATO!$H$2:$H$3000,MATCH($A569,EXTRATO!$A$2:$A$3000,0))))</f>
        <v>GLADSTONE SANTOS SILVA</v>
      </c>
      <c r="J569" s="86" t="s">
        <v>1313</v>
      </c>
      <c r="K569" s="86" t="str">
        <f>IF(AND(A569="",D569="",E569="",F569=""),"",IF(D569="","SEM CATEGORIA",IF(E569="","SEM SUBCATEGORIA",IF(COUNTIFS(CADASTROS!$L$7:$L$93,D569,CADASTROS!$D$7:$D$93,E569)=0,"INCOMPATÍVEL","OK"))))</f>
        <v>OK</v>
      </c>
    </row>
    <row r="570" spans="1:11" ht="30" hidden="1" customHeight="1" x14ac:dyDescent="0.25">
      <c r="A570" s="86" t="s">
        <v>1947</v>
      </c>
      <c r="B570" s="85">
        <f>IF(A570="","",IF(INDEX(EXTRATO!$C$2:$C$3000,MATCH($A570,EXTRATO!$A$2:$A$3000,0))="","",INDEX(EXTRATO!$C$2:$C$3000,MATCH($A570,EXTRATO!$A$2:$A$3000,0))))</f>
        <v>46163</v>
      </c>
      <c r="C570" s="86">
        <f t="shared" si="8"/>
        <v>5</v>
      </c>
      <c r="D570" s="81" t="s">
        <v>2486</v>
      </c>
      <c r="E570" s="79" t="s">
        <v>2530</v>
      </c>
      <c r="F570" s="80">
        <v>997.92</v>
      </c>
      <c r="G570" s="81" t="s">
        <v>2772</v>
      </c>
      <c r="H570" s="86" t="str">
        <f>IF(A570="","",IF(INDEX(EXTRATO!$F$2:$F$3000,MATCH($A570,EXTRATO!$A$2:$A$3000,0))="","",INDEX(EXTRATO!$F$2:$F$3000,MATCH($A570,EXTRATO!$A$2:$A$3000,0))))</f>
        <v>SAÍDA</v>
      </c>
      <c r="I570" s="88" t="str">
        <f>IF(A570="","",IF(INDEX(EXTRATO!$H$2:$H$3000,MATCH($A570,EXTRATO!$A$2:$A$3000,0))="","",INDEX(EXTRATO!$H$2:$H$3000,MATCH($A570,EXTRATO!$A$2:$A$3000,0))))</f>
        <v>GLADSTONE SANTOS SILVA</v>
      </c>
      <c r="J570" s="86" t="s">
        <v>1313</v>
      </c>
      <c r="K570" s="86" t="str">
        <f>IF(AND(A570="",D570="",E570="",F570=""),"",IF(D570="","SEM CATEGORIA",IF(E570="","SEM SUBCATEGORIA",IF(COUNTIFS(CADASTROS!$L$7:$L$93,D570,CADASTROS!$D$7:$D$93,E570)=0,"INCOMPATÍVEL","OK"))))</f>
        <v>OK</v>
      </c>
    </row>
    <row r="571" spans="1:11" ht="30" hidden="1" customHeight="1" x14ac:dyDescent="0.25">
      <c r="A571" s="86" t="s">
        <v>1948</v>
      </c>
      <c r="B571" s="85">
        <f>IF(A571="","",IF(INDEX(EXTRATO!$C$2:$C$3000,MATCH($A571,EXTRATO!$A$2:$A$3000,0))="","",INDEX(EXTRATO!$C$2:$C$3000,MATCH($A571,EXTRATO!$A$2:$A$3000,0))))</f>
        <v>46163</v>
      </c>
      <c r="C571" s="86">
        <f t="shared" si="8"/>
        <v>5</v>
      </c>
      <c r="D571" s="81" t="s">
        <v>1415</v>
      </c>
      <c r="E571" s="79" t="s">
        <v>1643</v>
      </c>
      <c r="F571" s="80">
        <v>12000</v>
      </c>
      <c r="G571" s="81" t="s">
        <v>805</v>
      </c>
      <c r="H571" s="86" t="str">
        <f>IF(A571="","",IF(INDEX(EXTRATO!$F$2:$F$3000,MATCH($A571,EXTRATO!$A$2:$A$3000,0))="","",INDEX(EXTRATO!$F$2:$F$3000,MATCH($A571,EXTRATO!$A$2:$A$3000,0))))</f>
        <v>SAÍDA</v>
      </c>
      <c r="I571" s="88" t="str">
        <f>IF(A571="","",IF(INDEX(EXTRATO!$H$2:$H$3000,MATCH($A571,EXTRATO!$A$2:$A$3000,0))="","",INDEX(EXTRATO!$H$2:$H$3000,MATCH($A571,EXTRATO!$A$2:$A$3000,0))))</f>
        <v>L F ALBUQUERQUE DA SILVA</v>
      </c>
      <c r="J571" s="86" t="s">
        <v>1313</v>
      </c>
      <c r="K571" s="86" t="str">
        <f>IF(AND(A571="",D571="",E571="",F571=""),"",IF(D571="","SEM CATEGORIA",IF(E571="","SEM SUBCATEGORIA",IF(COUNTIFS(CADASTROS!$L$7:$L$93,D571,CADASTROS!$D$7:$D$93,E571)=0,"INCOMPATÍVEL","OK"))))</f>
        <v>OK</v>
      </c>
    </row>
    <row r="572" spans="1:11" ht="30" hidden="1" customHeight="1" x14ac:dyDescent="0.25">
      <c r="A572" s="86" t="s">
        <v>1950</v>
      </c>
      <c r="B572" s="85">
        <f>IF(A572="","",IF(INDEX(EXTRATO!$C$2:$C$3000,MATCH($A572,EXTRATO!$A$2:$A$3000,0))="","",INDEX(EXTRATO!$C$2:$C$3000,MATCH($A572,EXTRATO!$A$2:$A$3000,0))))</f>
        <v>46163</v>
      </c>
      <c r="C572" s="86">
        <f t="shared" si="8"/>
        <v>5</v>
      </c>
      <c r="D572" s="81" t="s">
        <v>1415</v>
      </c>
      <c r="E572" s="79" t="s">
        <v>1648</v>
      </c>
      <c r="F572" s="80">
        <v>4000</v>
      </c>
      <c r="G572" s="81" t="s">
        <v>806</v>
      </c>
      <c r="H572" s="86" t="str">
        <f>IF(A572="","",IF(INDEX(EXTRATO!$F$2:$F$3000,MATCH($A572,EXTRATO!$A$2:$A$3000,0))="","",INDEX(EXTRATO!$F$2:$F$3000,MATCH($A572,EXTRATO!$A$2:$A$3000,0))))</f>
        <v>SAÍDA</v>
      </c>
      <c r="I572" s="88" t="str">
        <f>IF(A572="","",IF(INDEX(EXTRATO!$H$2:$H$3000,MATCH($A572,EXTRATO!$A$2:$A$3000,0))="","",INDEX(EXTRATO!$H$2:$H$3000,MATCH($A572,EXTRATO!$A$2:$A$3000,0))))</f>
        <v>MARTINS MACHADO SAUDE E E</v>
      </c>
      <c r="J572" s="86" t="s">
        <v>1313</v>
      </c>
      <c r="K572" s="86" t="str">
        <f>IF(AND(A572="",D572="",E572="",F572=""),"",IF(D572="","SEM CATEGORIA",IF(E572="","SEM SUBCATEGORIA",IF(COUNTIFS(CADASTROS!$L$7:$L$93,D572,CADASTROS!$D$7:$D$93,E572)=0,"INCOMPATÍVEL","OK"))))</f>
        <v>OK</v>
      </c>
    </row>
    <row r="573" spans="1:11" ht="30" hidden="1" customHeight="1" x14ac:dyDescent="0.25">
      <c r="A573" s="86" t="s">
        <v>1951</v>
      </c>
      <c r="B573" s="85">
        <f>IF(A573="","",IF(INDEX(EXTRATO!$C$2:$C$3000,MATCH($A573,EXTRATO!$A$2:$A$3000,0))="","",INDEX(EXTRATO!$C$2:$C$3000,MATCH($A573,EXTRATO!$A$2:$A$3000,0))))</f>
        <v>46163</v>
      </c>
      <c r="C573" s="86">
        <f t="shared" si="8"/>
        <v>5</v>
      </c>
      <c r="D573" s="81"/>
      <c r="E573" s="79"/>
      <c r="F573" s="80">
        <v>997.92</v>
      </c>
      <c r="G573" s="81"/>
      <c r="H573" s="86" t="str">
        <f>IF(A573="","",IF(INDEX(EXTRATO!$F$2:$F$3000,MATCH($A573,EXTRATO!$A$2:$A$3000,0))="","",INDEX(EXTRATO!$F$2:$F$3000,MATCH($A573,EXTRATO!$A$2:$A$3000,0))))</f>
        <v>ENTRADA</v>
      </c>
      <c r="I573" s="88" t="str">
        <f>IF(A573="","",IF(INDEX(EXTRATO!$H$2:$H$3000,MATCH($A573,EXTRATO!$A$2:$A$3000,0))="","",INDEX(EXTRATO!$H$2:$H$3000,MATCH($A573,EXTRATO!$A$2:$A$3000,0))))</f>
        <v>ADELIA DALVA DA SILVA</v>
      </c>
      <c r="J573" s="86" t="s">
        <v>1307</v>
      </c>
      <c r="K573" s="86" t="str">
        <f>IF(AND(A573="",D573="",E573="",F573=""),"",IF(D573="","SEM CATEGORIA",IF(E573="","SEM SUBCATEGORIA",IF(COUNTIFS(CADASTROS!$L$7:$L$93,D573,CADASTROS!$D$7:$D$93,E573)=0,"INCOMPATÍVEL","OK"))))</f>
        <v>SEM CATEGORIA</v>
      </c>
    </row>
    <row r="574" spans="1:11" ht="30" hidden="1" customHeight="1" x14ac:dyDescent="0.25">
      <c r="A574" s="86" t="s">
        <v>1954</v>
      </c>
      <c r="B574" s="85">
        <f>IF(A574="","",IF(INDEX(EXTRATO!$C$2:$C$3000,MATCH($A574,EXTRATO!$A$2:$A$3000,0))="","",INDEX(EXTRATO!$C$2:$C$3000,MATCH($A574,EXTRATO!$A$2:$A$3000,0))))</f>
        <v>46163</v>
      </c>
      <c r="C574" s="86">
        <f t="shared" si="8"/>
        <v>5</v>
      </c>
      <c r="D574" s="81" t="s">
        <v>1305</v>
      </c>
      <c r="E574" s="79" t="s">
        <v>1962</v>
      </c>
      <c r="F574" s="80">
        <v>100000</v>
      </c>
      <c r="G574" s="81" t="s">
        <v>808</v>
      </c>
      <c r="H574" s="86" t="str">
        <f>IF(A574="","",IF(INDEX(EXTRATO!$F$2:$F$3000,MATCH($A574,EXTRATO!$A$2:$A$3000,0))="","",INDEX(EXTRATO!$F$2:$F$3000,MATCH($A574,EXTRATO!$A$2:$A$3000,0))))</f>
        <v>ENTRADA</v>
      </c>
      <c r="I574" s="88" t="str">
        <f>IF(A574="","",IF(INDEX(EXTRATO!$H$2:$H$3000,MATCH($A574,EXTRATO!$A$2:$A$3000,0))="","",INDEX(EXTRATO!$H$2:$H$3000,MATCH($A574,EXTRATO!$A$2:$A$3000,0))))</f>
        <v>BIORENAL LTDA</v>
      </c>
      <c r="J574" s="86" t="s">
        <v>1307</v>
      </c>
      <c r="K574" s="86" t="str">
        <f>IF(AND(A574="",D574="",E574="",F574=""),"",IF(D574="","SEM CATEGORIA",IF(E574="","SEM SUBCATEGORIA",IF(COUNTIFS(CADASTROS!$L$7:$L$93,D574,CADASTROS!$D$7:$D$93,E574)=0,"INCOMPATÍVEL","OK"))))</f>
        <v>OK</v>
      </c>
    </row>
    <row r="575" spans="1:11" ht="30" hidden="1" customHeight="1" x14ac:dyDescent="0.25">
      <c r="A575" s="86" t="s">
        <v>1956</v>
      </c>
      <c r="B575" s="85">
        <f>IF(A575="","",IF(INDEX(EXTRATO!$C$2:$C$3000,MATCH($A575,EXTRATO!$A$2:$A$3000,0))="","",INDEX(EXTRATO!$C$2:$C$3000,MATCH($A575,EXTRATO!$A$2:$A$3000,0))))</f>
        <v>46164</v>
      </c>
      <c r="C575" s="86">
        <f t="shared" si="8"/>
        <v>5</v>
      </c>
      <c r="D575" s="81" t="s">
        <v>1311</v>
      </c>
      <c r="E575" s="79" t="s">
        <v>1404</v>
      </c>
      <c r="F575" s="80">
        <v>16999.599999999999</v>
      </c>
      <c r="G575" s="81" t="s">
        <v>1964</v>
      </c>
      <c r="H575" s="86" t="str">
        <f>IF(A575="","",IF(INDEX(EXTRATO!$F$2:$F$3000,MATCH($A575,EXTRATO!$A$2:$A$3000,0))="","",INDEX(EXTRATO!$F$2:$F$3000,MATCH($A575,EXTRATO!$A$2:$A$3000,0))))</f>
        <v>SAÍDA</v>
      </c>
      <c r="I575" s="88" t="str">
        <f>IF(A575="","",IF(INDEX(EXTRATO!$H$2:$H$3000,MATCH($A575,EXTRATO!$A$2:$A$3000,0))="","",INDEX(EXTRATO!$H$2:$H$3000,MATCH($A575,EXTRATO!$A$2:$A$3000,0))))</f>
        <v>FARMACE</v>
      </c>
      <c r="J575" s="86" t="s">
        <v>1313</v>
      </c>
      <c r="K575" s="86" t="str">
        <f>IF(AND(A575="",D575="",E575="",F575=""),"",IF(D575="","SEM CATEGORIA",IF(E575="","SEM SUBCATEGORIA",IF(COUNTIFS(CADASTROS!$L$7:$L$93,D575,CADASTROS!$D$7:$D$93,E575)=0,"INCOMPATÍVEL","OK"))))</f>
        <v>OK</v>
      </c>
    </row>
    <row r="576" spans="1:11" ht="30" hidden="1" customHeight="1" x14ac:dyDescent="0.25">
      <c r="A576" s="86" t="s">
        <v>1956</v>
      </c>
      <c r="B576" s="85">
        <f>IF(A576="","",IF(INDEX(EXTRATO!$C$2:$C$3000,MATCH($A576,EXTRATO!$A$2:$A$3000,0))="","",INDEX(EXTRATO!$C$2:$C$3000,MATCH($A576,EXTRATO!$A$2:$A$3000,0))))</f>
        <v>46164</v>
      </c>
      <c r="C576" s="86">
        <f t="shared" si="8"/>
        <v>5</v>
      </c>
      <c r="D576" s="81" t="s">
        <v>1311</v>
      </c>
      <c r="E576" s="79" t="s">
        <v>1312</v>
      </c>
      <c r="F576" s="80">
        <v>340</v>
      </c>
      <c r="G576" s="81" t="s">
        <v>1965</v>
      </c>
      <c r="H576" s="86" t="str">
        <f>IF(A576="","",IF(INDEX(EXTRATO!$F$2:$F$3000,MATCH($A576,EXTRATO!$A$2:$A$3000,0))="","",INDEX(EXTRATO!$F$2:$F$3000,MATCH($A576,EXTRATO!$A$2:$A$3000,0))))</f>
        <v>SAÍDA</v>
      </c>
      <c r="I576" s="88" t="str">
        <f>IF(A576="","",IF(INDEX(EXTRATO!$H$2:$H$3000,MATCH($A576,EXTRATO!$A$2:$A$3000,0))="","",INDEX(EXTRATO!$H$2:$H$3000,MATCH($A576,EXTRATO!$A$2:$A$3000,0))))</f>
        <v>FARMACE</v>
      </c>
      <c r="J576" s="86" t="s">
        <v>1313</v>
      </c>
      <c r="K576" s="86" t="str">
        <f>IF(AND(A576="",D576="",E576="",F576=""),"",IF(D576="","SEM CATEGORIA",IF(E576="","SEM SUBCATEGORIA",IF(COUNTIFS(CADASTROS!$L$7:$L$93,D576,CADASTROS!$D$7:$D$93,E576)=0,"INCOMPATÍVEL","OK"))))</f>
        <v>OK</v>
      </c>
    </row>
    <row r="577" spans="1:11" ht="30" hidden="1" customHeight="1" x14ac:dyDescent="0.25">
      <c r="A577" s="86" t="s">
        <v>1958</v>
      </c>
      <c r="B577" s="85">
        <f>IF(A577="","",IF(INDEX(EXTRATO!$C$2:$C$3000,MATCH($A577,EXTRATO!$A$2:$A$3000,0))="","",INDEX(EXTRATO!$C$2:$C$3000,MATCH($A577,EXTRATO!$A$2:$A$3000,0))))</f>
        <v>46164</v>
      </c>
      <c r="C577" s="86">
        <f t="shared" si="8"/>
        <v>5</v>
      </c>
      <c r="D577" s="81" t="s">
        <v>1415</v>
      </c>
      <c r="E577" s="79" t="s">
        <v>1640</v>
      </c>
      <c r="F577" s="80">
        <v>16357.94</v>
      </c>
      <c r="G577" s="81" t="s">
        <v>811</v>
      </c>
      <c r="H577" s="86" t="str">
        <f>IF(A577="","",IF(INDEX(EXTRATO!$F$2:$F$3000,MATCH($A577,EXTRATO!$A$2:$A$3000,0))="","",INDEX(EXTRATO!$F$2:$F$3000,MATCH($A577,EXTRATO!$A$2:$A$3000,0))))</f>
        <v>SAÍDA</v>
      </c>
      <c r="I577" s="88" t="str">
        <f>IF(A577="","",IF(INDEX(EXTRATO!$H$2:$H$3000,MATCH($A577,EXTRATO!$A$2:$A$3000,0))="","",INDEX(EXTRATO!$H$2:$H$3000,MATCH($A577,EXTRATO!$A$2:$A$3000,0))))</f>
        <v>UNICLINICA</v>
      </c>
      <c r="J577" s="86" t="s">
        <v>1313</v>
      </c>
      <c r="K577" s="86" t="str">
        <f>IF(AND(A577="",D577="",E577="",F577=""),"",IF(D577="","SEM CATEGORIA",IF(E577="","SEM SUBCATEGORIA",IF(COUNTIFS(CADASTROS!$L$7:$L$93,D577,CADASTROS!$D$7:$D$93,E577)=0,"INCOMPATÍVEL","OK"))))</f>
        <v>OK</v>
      </c>
    </row>
    <row r="578" spans="1:11" ht="30" hidden="1" customHeight="1" x14ac:dyDescent="0.25">
      <c r="A578" s="86" t="s">
        <v>1959</v>
      </c>
      <c r="B578" s="85">
        <f>IF(A578="","",IF(INDEX(EXTRATO!$C$2:$C$3000,MATCH($A578,EXTRATO!$A$2:$A$3000,0))="","",INDEX(EXTRATO!$C$2:$C$3000,MATCH($A578,EXTRATO!$A$2:$A$3000,0))))</f>
        <v>46164</v>
      </c>
      <c r="C578" s="86">
        <f t="shared" ref="C578:C641" si="9">IF(B578="","",MONTH(B578))</f>
        <v>5</v>
      </c>
      <c r="D578" s="81" t="s">
        <v>1330</v>
      </c>
      <c r="E578" s="79" t="s">
        <v>1697</v>
      </c>
      <c r="F578" s="80">
        <v>7700</v>
      </c>
      <c r="G578" s="81" t="s">
        <v>813</v>
      </c>
      <c r="H578" s="86" t="str">
        <f>IF(A578="","",IF(INDEX(EXTRATO!$F$2:$F$3000,MATCH($A578,EXTRATO!$A$2:$A$3000,0))="","",INDEX(EXTRATO!$F$2:$F$3000,MATCH($A578,EXTRATO!$A$2:$A$3000,0))))</f>
        <v>SAÍDA</v>
      </c>
      <c r="I578" s="88" t="str">
        <f>IF(A578="","",IF(INDEX(EXTRATO!$H$2:$H$3000,MATCH($A578,EXTRATO!$A$2:$A$3000,0))="","",INDEX(EXTRATO!$H$2:$H$3000,MATCH($A578,EXTRATO!$A$2:$A$3000,0))))</f>
        <v>ASSESSORIA ADMINISTRATIVA</v>
      </c>
      <c r="J578" s="86" t="s">
        <v>1313</v>
      </c>
      <c r="K578" s="86" t="str">
        <f>IF(AND(A578="",D578="",E578="",F578=""),"",IF(D578="","SEM CATEGORIA",IF(E578="","SEM SUBCATEGORIA",IF(COUNTIFS(CADASTROS!$L$7:$L$93,D578,CADASTROS!$D$7:$D$93,E578)=0,"INCOMPATÍVEL","OK"))))</f>
        <v>OK</v>
      </c>
    </row>
    <row r="579" spans="1:11" ht="30" hidden="1" customHeight="1" x14ac:dyDescent="0.25">
      <c r="A579" s="86" t="s">
        <v>1960</v>
      </c>
      <c r="B579" s="85">
        <f>IF(A579="","",IF(INDEX(EXTRATO!$C$2:$C$3000,MATCH($A579,EXTRATO!$A$2:$A$3000,0))="","",INDEX(EXTRATO!$C$2:$C$3000,MATCH($A579,EXTRATO!$A$2:$A$3000,0))))</f>
        <v>46164</v>
      </c>
      <c r="C579" s="86">
        <f t="shared" si="9"/>
        <v>5</v>
      </c>
      <c r="D579" s="81" t="s">
        <v>1330</v>
      </c>
      <c r="E579" s="79" t="s">
        <v>1697</v>
      </c>
      <c r="F579" s="80">
        <v>7700</v>
      </c>
      <c r="G579" s="81" t="s">
        <v>814</v>
      </c>
      <c r="H579" s="86" t="str">
        <f>IF(A579="","",IF(INDEX(EXTRATO!$F$2:$F$3000,MATCH($A579,EXTRATO!$A$2:$A$3000,0))="","",INDEX(EXTRATO!$F$2:$F$3000,MATCH($A579,EXTRATO!$A$2:$A$3000,0))))</f>
        <v>SAÍDA</v>
      </c>
      <c r="I579" s="88" t="str">
        <f>IF(A579="","",IF(INDEX(EXTRATO!$H$2:$H$3000,MATCH($A579,EXTRATO!$A$2:$A$3000,0))="","",INDEX(EXTRATO!$H$2:$H$3000,MATCH($A579,EXTRATO!$A$2:$A$3000,0))))</f>
        <v>ASSESSORIA ADMINISTRATIVA</v>
      </c>
      <c r="J579" s="86" t="s">
        <v>1313</v>
      </c>
      <c r="K579" s="86" t="str">
        <f>IF(AND(A579="",D579="",E579="",F579=""),"",IF(D579="","SEM CATEGORIA",IF(E579="","SEM SUBCATEGORIA",IF(COUNTIFS(CADASTROS!$L$7:$L$93,D579,CADASTROS!$D$7:$D$93,E579)=0,"INCOMPATÍVEL","OK"))))</f>
        <v>OK</v>
      </c>
    </row>
    <row r="580" spans="1:11" ht="30" hidden="1" customHeight="1" x14ac:dyDescent="0.25">
      <c r="A580" s="86" t="s">
        <v>1961</v>
      </c>
      <c r="B580" s="85">
        <f>IF(A580="","",IF(INDEX(EXTRATO!$C$2:$C$3000,MATCH($A580,EXTRATO!$A$2:$A$3000,0))="","",INDEX(EXTRATO!$C$2:$C$3000,MATCH($A580,EXTRATO!$A$2:$A$3000,0))))</f>
        <v>46164</v>
      </c>
      <c r="C580" s="86">
        <f t="shared" si="9"/>
        <v>5</v>
      </c>
      <c r="D580" s="81" t="s">
        <v>1311</v>
      </c>
      <c r="E580" s="79" t="s">
        <v>1376</v>
      </c>
      <c r="F580" s="80">
        <v>7583.75</v>
      </c>
      <c r="G580" s="81" t="s">
        <v>815</v>
      </c>
      <c r="H580" s="86" t="str">
        <f>IF(A580="","",IF(INDEX(EXTRATO!$F$2:$F$3000,MATCH($A580,EXTRATO!$A$2:$A$3000,0))="","",INDEX(EXTRATO!$F$2:$F$3000,MATCH($A580,EXTRATO!$A$2:$A$3000,0))))</f>
        <v>SAÍDA</v>
      </c>
      <c r="I580" s="88" t="str">
        <f>IF(A580="","",IF(INDEX(EXTRATO!$H$2:$H$3000,MATCH($A580,EXTRATO!$A$2:$A$3000,0))="","",INDEX(EXTRATO!$H$2:$H$3000,MATCH($A580,EXTRATO!$A$2:$A$3000,0))))</f>
        <v>NIPRO</v>
      </c>
      <c r="J580" s="86" t="s">
        <v>1313</v>
      </c>
      <c r="K580" s="86" t="str">
        <f>IF(AND(A580="",D580="",E580="",F580=""),"",IF(D580="","SEM CATEGORIA",IF(E580="","SEM SUBCATEGORIA",IF(COUNTIFS(CADASTROS!$L$7:$L$93,D580,CADASTROS!$D$7:$D$93,E580)=0,"INCOMPATÍVEL","OK"))))</f>
        <v>OK</v>
      </c>
    </row>
    <row r="581" spans="1:11" ht="30" hidden="1" customHeight="1" x14ac:dyDescent="0.25">
      <c r="A581" s="86" t="s">
        <v>1963</v>
      </c>
      <c r="B581" s="85">
        <f>IF(A581="","",IF(INDEX(EXTRATO!$C$2:$C$3000,MATCH($A581,EXTRATO!$A$2:$A$3000,0))="","",INDEX(EXTRATO!$C$2:$C$3000,MATCH($A581,EXTRATO!$A$2:$A$3000,0))))</f>
        <v>46164</v>
      </c>
      <c r="C581" s="86">
        <f t="shared" si="9"/>
        <v>5</v>
      </c>
      <c r="D581" s="81" t="s">
        <v>1370</v>
      </c>
      <c r="E581" s="79" t="s">
        <v>1371</v>
      </c>
      <c r="F581" s="80">
        <v>5100</v>
      </c>
      <c r="G581" s="81" t="s">
        <v>817</v>
      </c>
      <c r="H581" s="86" t="str">
        <f>IF(A581="","",IF(INDEX(EXTRATO!$F$2:$F$3000,MATCH($A581,EXTRATO!$A$2:$A$3000,0))="","",INDEX(EXTRATO!$F$2:$F$3000,MATCH($A581,EXTRATO!$A$2:$A$3000,0))))</f>
        <v>SAÍDA</v>
      </c>
      <c r="I581" s="88" t="str">
        <f>IF(A581="","",IF(INDEX(EXTRATO!$H$2:$H$3000,MATCH($A581,EXTRATO!$A$2:$A$3000,0))="","",INDEX(EXTRATO!$H$2:$H$3000,MATCH($A581,EXTRATO!$A$2:$A$3000,0))))</f>
        <v>HR MANUTENCAO HOSPITALAR</v>
      </c>
      <c r="J581" s="86" t="s">
        <v>1313</v>
      </c>
      <c r="K581" s="86" t="str">
        <f>IF(AND(A581="",D581="",E581="",F581=""),"",IF(D581="","SEM CATEGORIA",IF(E581="","SEM SUBCATEGORIA",IF(COUNTIFS(CADASTROS!$L$7:$L$93,D581,CADASTROS!$D$7:$D$93,E581)=0,"INCOMPATÍVEL","OK"))))</f>
        <v>OK</v>
      </c>
    </row>
    <row r="582" spans="1:11" ht="30" hidden="1" customHeight="1" x14ac:dyDescent="0.25">
      <c r="A582" s="86" t="s">
        <v>1966</v>
      </c>
      <c r="B582" s="85">
        <f>IF(A582="","",IF(INDEX(EXTRATO!$C$2:$C$3000,MATCH($A582,EXTRATO!$A$2:$A$3000,0))="","",INDEX(EXTRATO!$C$2:$C$3000,MATCH($A582,EXTRATO!$A$2:$A$3000,0))))</f>
        <v>46164</v>
      </c>
      <c r="C582" s="86">
        <f t="shared" si="9"/>
        <v>5</v>
      </c>
      <c r="D582" s="81" t="s">
        <v>1311</v>
      </c>
      <c r="E582" s="79" t="s">
        <v>1404</v>
      </c>
      <c r="F582" s="80">
        <v>3884.4</v>
      </c>
      <c r="G582" s="81" t="s">
        <v>819</v>
      </c>
      <c r="H582" s="86" t="str">
        <f>IF(A582="","",IF(INDEX(EXTRATO!$F$2:$F$3000,MATCH($A582,EXTRATO!$A$2:$A$3000,0))="","",INDEX(EXTRATO!$F$2:$F$3000,MATCH($A582,EXTRATO!$A$2:$A$3000,0))))</f>
        <v>SAÍDA</v>
      </c>
      <c r="I582" s="88" t="str">
        <f>IF(A582="","",IF(INDEX(EXTRATO!$H$2:$H$3000,MATCH($A582,EXTRATO!$A$2:$A$3000,0))="","",INDEX(EXTRATO!$H$2:$H$3000,MATCH($A582,EXTRATO!$A$2:$A$3000,0))))</f>
        <v>FARMACE</v>
      </c>
      <c r="J582" s="86" t="s">
        <v>1313</v>
      </c>
      <c r="K582" s="86" t="str">
        <f>IF(AND(A582="",D582="",E582="",F582=""),"",IF(D582="","SEM CATEGORIA",IF(E582="","SEM SUBCATEGORIA",IF(COUNTIFS(CADASTROS!$L$7:$L$93,D582,CADASTROS!$D$7:$D$93,E582)=0,"INCOMPATÍVEL","OK"))))</f>
        <v>OK</v>
      </c>
    </row>
    <row r="583" spans="1:11" ht="30" hidden="1" customHeight="1" x14ac:dyDescent="0.25">
      <c r="A583" s="86" t="s">
        <v>1967</v>
      </c>
      <c r="B583" s="85">
        <f>IF(A583="","",IF(INDEX(EXTRATO!$C$2:$C$3000,MATCH($A583,EXTRATO!$A$2:$A$3000,0))="","",INDEX(EXTRATO!$C$2:$C$3000,MATCH($A583,EXTRATO!$A$2:$A$3000,0))))</f>
        <v>46164</v>
      </c>
      <c r="C583" s="86">
        <f t="shared" si="9"/>
        <v>5</v>
      </c>
      <c r="D583" s="81" t="s">
        <v>1415</v>
      </c>
      <c r="E583" s="79" t="s">
        <v>1425</v>
      </c>
      <c r="F583" s="80">
        <v>3600</v>
      </c>
      <c r="G583" s="81" t="s">
        <v>821</v>
      </c>
      <c r="H583" s="86" t="str">
        <f>IF(A583="","",IF(INDEX(EXTRATO!$F$2:$F$3000,MATCH($A583,EXTRATO!$A$2:$A$3000,0))="","",INDEX(EXTRATO!$F$2:$F$3000,MATCH($A583,EXTRATO!$A$2:$A$3000,0))))</f>
        <v>SAÍDA</v>
      </c>
      <c r="I583" s="88" t="str">
        <f>IF(A583="","",IF(INDEX(EXTRATO!$H$2:$H$3000,MATCH($A583,EXTRATO!$A$2:$A$3000,0))="","",INDEX(EXTRATO!$H$2:$H$3000,MATCH($A583,EXTRATO!$A$2:$A$3000,0))))</f>
        <v>CASAMATER</v>
      </c>
      <c r="J583" s="86" t="s">
        <v>1313</v>
      </c>
      <c r="K583" s="86" t="str">
        <f>IF(AND(A583="",D583="",E583="",F583=""),"",IF(D583="","SEM CATEGORIA",IF(E583="","SEM SUBCATEGORIA",IF(COUNTIFS(CADASTROS!$L$7:$L$93,D583,CADASTROS!$D$7:$D$93,E583)=0,"INCOMPATÍVEL","OK"))))</f>
        <v>OK</v>
      </c>
    </row>
    <row r="584" spans="1:11" ht="30" hidden="1" customHeight="1" x14ac:dyDescent="0.25">
      <c r="A584" s="86" t="s">
        <v>1968</v>
      </c>
      <c r="B584" s="85">
        <f>IF(A584="","",IF(INDEX(EXTRATO!$C$2:$C$3000,MATCH($A584,EXTRATO!$A$2:$A$3000,0))="","",INDEX(EXTRATO!$C$2:$C$3000,MATCH($A584,EXTRATO!$A$2:$A$3000,0))))</f>
        <v>46164</v>
      </c>
      <c r="C584" s="86">
        <f t="shared" si="9"/>
        <v>5</v>
      </c>
      <c r="D584" s="81" t="s">
        <v>1349</v>
      </c>
      <c r="E584" s="79" t="s">
        <v>1441</v>
      </c>
      <c r="F584" s="80">
        <v>1246</v>
      </c>
      <c r="G584" s="81" t="s">
        <v>293</v>
      </c>
      <c r="H584" s="86" t="str">
        <f>IF(A584="","",IF(INDEX(EXTRATO!$F$2:$F$3000,MATCH($A584,EXTRATO!$A$2:$A$3000,0))="","",INDEX(EXTRATO!$F$2:$F$3000,MATCH($A584,EXTRATO!$A$2:$A$3000,0))))</f>
        <v>SAÍDA</v>
      </c>
      <c r="I584" s="88" t="str">
        <f>IF(A584="","",IF(INDEX(EXTRATO!$H$2:$H$3000,MATCH($A584,EXTRATO!$A$2:$A$3000,0))="","",INDEX(EXTRATO!$H$2:$H$3000,MATCH($A584,EXTRATO!$A$2:$A$3000,0))))</f>
        <v>CLAUDIANE CARDOSO DA SILVA (CARRO HTI)</v>
      </c>
      <c r="J584" s="86" t="s">
        <v>1313</v>
      </c>
      <c r="K584" s="86" t="str">
        <f>IF(AND(A584="",D584="",E584="",F584=""),"",IF(D584="","SEM CATEGORIA",IF(E584="","SEM SUBCATEGORIA",IF(COUNTIFS(CADASTROS!$L$7:$L$93,D584,CADASTROS!$D$7:$D$93,E584)=0,"INCOMPATÍVEL","OK"))))</f>
        <v>OK</v>
      </c>
    </row>
    <row r="585" spans="1:11" ht="30" hidden="1" customHeight="1" x14ac:dyDescent="0.25">
      <c r="A585" s="86" t="s">
        <v>1969</v>
      </c>
      <c r="B585" s="85">
        <f>IF(A585="","",IF(INDEX(EXTRATO!$C$2:$C$3000,MATCH($A585,EXTRATO!$A$2:$A$3000,0))="","",INDEX(EXTRATO!$C$2:$C$3000,MATCH($A585,EXTRATO!$A$2:$A$3000,0))))</f>
        <v>46164</v>
      </c>
      <c r="C585" s="86">
        <f t="shared" si="9"/>
        <v>5</v>
      </c>
      <c r="D585" s="81" t="s">
        <v>1330</v>
      </c>
      <c r="E585" s="79" t="s">
        <v>1413</v>
      </c>
      <c r="F585" s="80">
        <v>890</v>
      </c>
      <c r="G585" s="81" t="s">
        <v>824</v>
      </c>
      <c r="H585" s="86" t="str">
        <f>IF(A585="","",IF(INDEX(EXTRATO!$F$2:$F$3000,MATCH($A585,EXTRATO!$A$2:$A$3000,0))="","",INDEX(EXTRATO!$F$2:$F$3000,MATCH($A585,EXTRATO!$A$2:$A$3000,0))))</f>
        <v>SAÍDA</v>
      </c>
      <c r="I585" s="88" t="str">
        <f>IF(A585="","",IF(INDEX(EXTRATO!$H$2:$H$3000,MATCH($A585,EXTRATO!$A$2:$A$3000,0))="","",INDEX(EXTRATO!$H$2:$H$3000,MATCH($A585,EXTRATO!$A$2:$A$3000,0))))</f>
        <v>E M GONÇALVES PADARIA</v>
      </c>
      <c r="J585" s="86" t="s">
        <v>1313</v>
      </c>
      <c r="K585" s="86" t="str">
        <f>IF(AND(A585="",D585="",E585="",F585=""),"",IF(D585="","SEM CATEGORIA",IF(E585="","SEM SUBCATEGORIA",IF(COUNTIFS(CADASTROS!$L$7:$L$93,D585,CADASTROS!$D$7:$D$93,E585)=0,"INCOMPATÍVEL","OK"))))</f>
        <v>OK</v>
      </c>
    </row>
    <row r="586" spans="1:11" ht="30" hidden="1" customHeight="1" x14ac:dyDescent="0.25">
      <c r="A586" s="86" t="s">
        <v>1970</v>
      </c>
      <c r="B586" s="85">
        <f>IF(A586="","",IF(INDEX(EXTRATO!$C$2:$C$3000,MATCH($A586,EXTRATO!$A$2:$A$3000,0))="","",INDEX(EXTRATO!$C$2:$C$3000,MATCH($A586,EXTRATO!$A$2:$A$3000,0))))</f>
        <v>46164</v>
      </c>
      <c r="C586" s="86">
        <f t="shared" si="9"/>
        <v>5</v>
      </c>
      <c r="D586" s="81" t="s">
        <v>1330</v>
      </c>
      <c r="E586" s="79" t="s">
        <v>1413</v>
      </c>
      <c r="F586" s="80">
        <v>820</v>
      </c>
      <c r="G586" s="81" t="s">
        <v>826</v>
      </c>
      <c r="H586" s="86" t="str">
        <f>IF(A586="","",IF(INDEX(EXTRATO!$F$2:$F$3000,MATCH($A586,EXTRATO!$A$2:$A$3000,0))="","",INDEX(EXTRATO!$F$2:$F$3000,MATCH($A586,EXTRATO!$A$2:$A$3000,0))))</f>
        <v>SAÍDA</v>
      </c>
      <c r="I586" s="88" t="str">
        <f>IF(A586="","",IF(INDEX(EXTRATO!$H$2:$H$3000,MATCH($A586,EXTRATO!$A$2:$A$3000,0))="","",INDEX(EXTRATO!$H$2:$H$3000,MATCH($A586,EXTRATO!$A$2:$A$3000,0))))</f>
        <v>E M GONÇALVES PADARIA</v>
      </c>
      <c r="J586" s="86" t="s">
        <v>1313</v>
      </c>
      <c r="K586" s="86" t="str">
        <f>IF(AND(A586="",D586="",E586="",F586=""),"",IF(D586="","SEM CATEGORIA",IF(E586="","SEM SUBCATEGORIA",IF(COUNTIFS(CADASTROS!$L$7:$L$93,D586,CADASTROS!$D$7:$D$93,E586)=0,"INCOMPATÍVEL","OK"))))</f>
        <v>OK</v>
      </c>
    </row>
    <row r="587" spans="1:11" ht="30" hidden="1" customHeight="1" x14ac:dyDescent="0.25">
      <c r="A587" s="86" t="s">
        <v>1971</v>
      </c>
      <c r="B587" s="85">
        <f>IF(A587="","",IF(INDEX(EXTRATO!$C$2:$C$3000,MATCH($A587,EXTRATO!$A$2:$A$3000,0))="","",INDEX(EXTRATO!$C$2:$C$3000,MATCH($A587,EXTRATO!$A$2:$A$3000,0))))</f>
        <v>46164</v>
      </c>
      <c r="C587" s="86">
        <f t="shared" si="9"/>
        <v>5</v>
      </c>
      <c r="D587" s="81" t="s">
        <v>1330</v>
      </c>
      <c r="E587" s="79" t="s">
        <v>1413</v>
      </c>
      <c r="F587" s="80">
        <v>700</v>
      </c>
      <c r="G587" s="81" t="s">
        <v>828</v>
      </c>
      <c r="H587" s="86" t="str">
        <f>IF(A587="","",IF(INDEX(EXTRATO!$F$2:$F$3000,MATCH($A587,EXTRATO!$A$2:$A$3000,0))="","",INDEX(EXTRATO!$F$2:$F$3000,MATCH($A587,EXTRATO!$A$2:$A$3000,0))))</f>
        <v>SAÍDA</v>
      </c>
      <c r="I587" s="88" t="str">
        <f>IF(A587="","",IF(INDEX(EXTRATO!$H$2:$H$3000,MATCH($A587,EXTRATO!$A$2:$A$3000,0))="","",INDEX(EXTRATO!$H$2:$H$3000,MATCH($A587,EXTRATO!$A$2:$A$3000,0))))</f>
        <v>DONA MARINALVA</v>
      </c>
      <c r="J587" s="86" t="s">
        <v>1313</v>
      </c>
      <c r="K587" s="86" t="str">
        <f>IF(AND(A587="",D587="",E587="",F587=""),"",IF(D587="","SEM CATEGORIA",IF(E587="","SEM SUBCATEGORIA",IF(COUNTIFS(CADASTROS!$L$7:$L$93,D587,CADASTROS!$D$7:$D$93,E587)=0,"INCOMPATÍVEL","OK"))))</f>
        <v>OK</v>
      </c>
    </row>
    <row r="588" spans="1:11" ht="30" hidden="1" customHeight="1" x14ac:dyDescent="0.25">
      <c r="A588" s="86" t="s">
        <v>1972</v>
      </c>
      <c r="B588" s="85">
        <f>IF(A588="","",IF(INDEX(EXTRATO!$C$2:$C$3000,MATCH($A588,EXTRATO!$A$2:$A$3000,0))="","",INDEX(EXTRATO!$C$2:$C$3000,MATCH($A588,EXTRATO!$A$2:$A$3000,0))))</f>
        <v>46164</v>
      </c>
      <c r="C588" s="86">
        <f t="shared" si="9"/>
        <v>5</v>
      </c>
      <c r="D588" s="81" t="s">
        <v>1349</v>
      </c>
      <c r="E588" s="79" t="s">
        <v>1411</v>
      </c>
      <c r="F588" s="80">
        <v>500</v>
      </c>
      <c r="G588" s="81" t="s">
        <v>829</v>
      </c>
      <c r="H588" s="86" t="str">
        <f>IF(A588="","",IF(INDEX(EXTRATO!$F$2:$F$3000,MATCH($A588,EXTRATO!$A$2:$A$3000,0))="","",INDEX(EXTRATO!$F$2:$F$3000,MATCH($A588,EXTRATO!$A$2:$A$3000,0))))</f>
        <v>SAÍDA</v>
      </c>
      <c r="I588" s="88" t="str">
        <f>IF(A588="","",IF(INDEX(EXTRATO!$H$2:$H$3000,MATCH($A588,EXTRATO!$A$2:$A$3000,0))="","",INDEX(EXTRATO!$H$2:$H$3000,MATCH($A588,EXTRATO!$A$2:$A$3000,0))))</f>
        <v>E G BISPO TRANSPORTES</v>
      </c>
      <c r="J588" s="86" t="s">
        <v>1313</v>
      </c>
      <c r="K588" s="86" t="str">
        <f>IF(AND(A588="",D588="",E588="",F588=""),"",IF(D588="","SEM CATEGORIA",IF(E588="","SEM SUBCATEGORIA",IF(COUNTIFS(CADASTROS!$L$7:$L$93,D588,CADASTROS!$D$7:$D$93,E588)=0,"INCOMPATÍVEL","OK"))))</f>
        <v>OK</v>
      </c>
    </row>
    <row r="589" spans="1:11" ht="30" hidden="1" customHeight="1" x14ac:dyDescent="0.25">
      <c r="A589" s="86" t="s">
        <v>1973</v>
      </c>
      <c r="B589" s="85">
        <f>IF(A589="","",IF(INDEX(EXTRATO!$C$2:$C$3000,MATCH($A589,EXTRATO!$A$2:$A$3000,0))="","",INDEX(EXTRATO!$C$2:$C$3000,MATCH($A589,EXTRATO!$A$2:$A$3000,0))))</f>
        <v>46164</v>
      </c>
      <c r="C589" s="86">
        <f t="shared" si="9"/>
        <v>5</v>
      </c>
      <c r="D589" s="81" t="s">
        <v>1415</v>
      </c>
      <c r="E589" s="79" t="s">
        <v>1669</v>
      </c>
      <c r="F589" s="80">
        <v>212.5</v>
      </c>
      <c r="G589" s="81" t="s">
        <v>831</v>
      </c>
      <c r="H589" s="86" t="str">
        <f>IF(A589="","",IF(INDEX(EXTRATO!$F$2:$F$3000,MATCH($A589,EXTRATO!$A$2:$A$3000,0))="","",INDEX(EXTRATO!$F$2:$F$3000,MATCH($A589,EXTRATO!$A$2:$A$3000,0))))</f>
        <v>SAÍDA</v>
      </c>
      <c r="I589" s="88" t="str">
        <f>IF(A589="","",IF(INDEX(EXTRATO!$H$2:$H$3000,MATCH($A589,EXTRATO!$A$2:$A$3000,0))="","",INDEX(EXTRATO!$H$2:$H$3000,MATCH($A589,EXTRATO!$A$2:$A$3000,0))))</f>
        <v>UNICLINICA</v>
      </c>
      <c r="J589" s="86" t="s">
        <v>1313</v>
      </c>
      <c r="K589" s="86" t="str">
        <f>IF(AND(A589="",D589="",E589="",F589=""),"",IF(D589="","SEM CATEGORIA",IF(E589="","SEM SUBCATEGORIA",IF(COUNTIFS(CADASTROS!$L$7:$L$93,D589,CADASTROS!$D$7:$D$93,E589)=0,"INCOMPATÍVEL","OK"))))</f>
        <v>OK</v>
      </c>
    </row>
    <row r="590" spans="1:11" ht="30" hidden="1" customHeight="1" x14ac:dyDescent="0.25">
      <c r="A590" s="86" t="s">
        <v>1974</v>
      </c>
      <c r="B590" s="85">
        <f>IF(A590="","",IF(INDEX(EXTRATO!$C$2:$C$3000,MATCH($A590,EXTRATO!$A$2:$A$3000,0))="","",INDEX(EXTRATO!$C$2:$C$3000,MATCH($A590,EXTRATO!$A$2:$A$3000,0))))</f>
        <v>46164</v>
      </c>
      <c r="C590" s="86">
        <f t="shared" si="9"/>
        <v>5</v>
      </c>
      <c r="D590" s="81" t="s">
        <v>1330</v>
      </c>
      <c r="E590" s="79" t="s">
        <v>1352</v>
      </c>
      <c r="F590" s="80">
        <v>21.8</v>
      </c>
      <c r="G590" s="81" t="s">
        <v>517</v>
      </c>
      <c r="H590" s="86" t="str">
        <f>IF(A590="","",IF(INDEX(EXTRATO!$F$2:$F$3000,MATCH($A590,EXTRATO!$A$2:$A$3000,0))="","",INDEX(EXTRATO!$F$2:$F$3000,MATCH($A590,EXTRATO!$A$2:$A$3000,0))))</f>
        <v>SAÍDA</v>
      </c>
      <c r="I590" s="88" t="str">
        <f>IF(A590="","",IF(INDEX(EXTRATO!$H$2:$H$3000,MATCH($A590,EXTRATO!$A$2:$A$3000,0))="","",INDEX(EXTRATO!$H$2:$H$3000,MATCH($A590,EXTRATO!$A$2:$A$3000,0))))</f>
        <v>TAXA DE PROCESSAMENTO DE CHEQUE</v>
      </c>
      <c r="J590" s="86" t="s">
        <v>1313</v>
      </c>
      <c r="K590" s="86" t="str">
        <f>IF(AND(A590="",D590="",E590="",F590=""),"",IF(D590="","SEM CATEGORIA",IF(E590="","SEM SUBCATEGORIA",IF(COUNTIFS(CADASTROS!$L$7:$L$93,D590,CADASTROS!$D$7:$D$93,E590)=0,"INCOMPATÍVEL","OK"))))</f>
        <v>OK</v>
      </c>
    </row>
    <row r="591" spans="1:11" ht="30" hidden="1" customHeight="1" x14ac:dyDescent="0.25">
      <c r="A591" s="86" t="s">
        <v>1975</v>
      </c>
      <c r="B591" s="85">
        <f>IF(A591="","",IF(INDEX(EXTRATO!$C$2:$C$3000,MATCH($A591,EXTRATO!$A$2:$A$3000,0))="","",INDEX(EXTRATO!$C$2:$C$3000,MATCH($A591,EXTRATO!$A$2:$A$3000,0))))</f>
        <v>46164</v>
      </c>
      <c r="C591" s="86">
        <f t="shared" si="9"/>
        <v>5</v>
      </c>
      <c r="D591" s="81" t="s">
        <v>1330</v>
      </c>
      <c r="E591" s="79" t="s">
        <v>1352</v>
      </c>
      <c r="F591" s="80">
        <v>21.8</v>
      </c>
      <c r="G591" s="81" t="s">
        <v>517</v>
      </c>
      <c r="H591" s="86" t="str">
        <f>IF(A591="","",IF(INDEX(EXTRATO!$F$2:$F$3000,MATCH($A591,EXTRATO!$A$2:$A$3000,0))="","",INDEX(EXTRATO!$F$2:$F$3000,MATCH($A591,EXTRATO!$A$2:$A$3000,0))))</f>
        <v>SAÍDA</v>
      </c>
      <c r="I591" s="88" t="str">
        <f>IF(A591="","",IF(INDEX(EXTRATO!$H$2:$H$3000,MATCH($A591,EXTRATO!$A$2:$A$3000,0))="","",INDEX(EXTRATO!$H$2:$H$3000,MATCH($A591,EXTRATO!$A$2:$A$3000,0))))</f>
        <v>TAXA DE PROCESSAMENTO DE CHEQUE</v>
      </c>
      <c r="J591" s="86" t="s">
        <v>1313</v>
      </c>
      <c r="K591" s="86" t="str">
        <f>IF(AND(A591="",D591="",E591="",F591=""),"",IF(D591="","SEM CATEGORIA",IF(E591="","SEM SUBCATEGORIA",IF(COUNTIFS(CADASTROS!$L$7:$L$93,D591,CADASTROS!$D$7:$D$93,E591)=0,"INCOMPATÍVEL","OK"))))</f>
        <v>OK</v>
      </c>
    </row>
    <row r="592" spans="1:11" ht="30" hidden="1" customHeight="1" x14ac:dyDescent="0.25">
      <c r="A592" s="86" t="s">
        <v>1976</v>
      </c>
      <c r="B592" s="85">
        <f>IF(A592="","",IF(INDEX(EXTRATO!$C$2:$C$3000,MATCH($A592,EXTRATO!$A$2:$A$3000,0))="","",INDEX(EXTRATO!$C$2:$C$3000,MATCH($A592,EXTRATO!$A$2:$A$3000,0))))</f>
        <v>46167</v>
      </c>
      <c r="C592" s="86">
        <f t="shared" si="9"/>
        <v>5</v>
      </c>
      <c r="D592" s="81" t="s">
        <v>1311</v>
      </c>
      <c r="E592" s="79" t="s">
        <v>1404</v>
      </c>
      <c r="F592" s="80">
        <v>18310</v>
      </c>
      <c r="G592" s="81" t="s">
        <v>1982</v>
      </c>
      <c r="H592" s="86" t="str">
        <f>IF(A592="","",IF(INDEX(EXTRATO!$F$2:$F$3000,MATCH($A592,EXTRATO!$A$2:$A$3000,0))="","",INDEX(EXTRATO!$F$2:$F$3000,MATCH($A592,EXTRATO!$A$2:$A$3000,0))))</f>
        <v>SAÍDA</v>
      </c>
      <c r="I592" s="88" t="str">
        <f>IF(A592="","",IF(INDEX(EXTRATO!$H$2:$H$3000,MATCH($A592,EXTRATO!$A$2:$A$3000,0))="","",INDEX(EXTRATO!$H$2:$H$3000,MATCH($A592,EXTRATO!$A$2:$A$3000,0))))</f>
        <v>FARMACE</v>
      </c>
      <c r="J592" s="86" t="s">
        <v>1313</v>
      </c>
      <c r="K592" s="86" t="str">
        <f>IF(AND(A592="",D592="",E592="",F592=""),"",IF(D592="","SEM CATEGORIA",IF(E592="","SEM SUBCATEGORIA",IF(COUNTIFS(CADASTROS!$L$7:$L$93,D592,CADASTROS!$D$7:$D$93,E592)=0,"INCOMPATÍVEL","OK"))))</f>
        <v>OK</v>
      </c>
    </row>
    <row r="593" spans="1:11" ht="30" hidden="1" customHeight="1" x14ac:dyDescent="0.25">
      <c r="A593" s="86" t="s">
        <v>1976</v>
      </c>
      <c r="B593" s="85">
        <f>IF(A593="","",IF(INDEX(EXTRATO!$C$2:$C$3000,MATCH($A593,EXTRATO!$A$2:$A$3000,0))="","",INDEX(EXTRATO!$C$2:$C$3000,MATCH($A593,EXTRATO!$A$2:$A$3000,0))))</f>
        <v>46167</v>
      </c>
      <c r="C593" s="86">
        <f t="shared" si="9"/>
        <v>5</v>
      </c>
      <c r="D593" s="81" t="s">
        <v>1311</v>
      </c>
      <c r="E593" s="79" t="s">
        <v>1312</v>
      </c>
      <c r="F593" s="80">
        <v>43.5</v>
      </c>
      <c r="G593" s="81" t="s">
        <v>1983</v>
      </c>
      <c r="H593" s="86" t="str">
        <f>IF(A593="","",IF(INDEX(EXTRATO!$F$2:$F$3000,MATCH($A593,EXTRATO!$A$2:$A$3000,0))="","",INDEX(EXTRATO!$F$2:$F$3000,MATCH($A593,EXTRATO!$A$2:$A$3000,0))))</f>
        <v>SAÍDA</v>
      </c>
      <c r="I593" s="88" t="str">
        <f>IF(A593="","",IF(INDEX(EXTRATO!$H$2:$H$3000,MATCH($A593,EXTRATO!$A$2:$A$3000,0))="","",INDEX(EXTRATO!$H$2:$H$3000,MATCH($A593,EXTRATO!$A$2:$A$3000,0))))</f>
        <v>FARMACE</v>
      </c>
      <c r="J593" s="86" t="s">
        <v>1313</v>
      </c>
      <c r="K593" s="86" t="str">
        <f>IF(AND(A593="",D593="",E593="",F593=""),"",IF(D593="","SEM CATEGORIA",IF(E593="","SEM SUBCATEGORIA",IF(COUNTIFS(CADASTROS!$L$7:$L$93,D593,CADASTROS!$D$7:$D$93,E593)=0,"INCOMPATÍVEL","OK"))))</f>
        <v>OK</v>
      </c>
    </row>
    <row r="594" spans="1:11" ht="30" hidden="1" customHeight="1" x14ac:dyDescent="0.25">
      <c r="A594" s="86" t="s">
        <v>1977</v>
      </c>
      <c r="B594" s="85">
        <f>IF(A594="","",IF(INDEX(EXTRATO!$C$2:$C$3000,MATCH($A594,EXTRATO!$A$2:$A$3000,0))="","",INDEX(EXTRATO!$C$2:$C$3000,MATCH($A594,EXTRATO!$A$2:$A$3000,0))))</f>
        <v>46167</v>
      </c>
      <c r="C594" s="86">
        <f t="shared" si="9"/>
        <v>5</v>
      </c>
      <c r="D594" s="81" t="s">
        <v>1904</v>
      </c>
      <c r="E594" s="79" t="s">
        <v>2532</v>
      </c>
      <c r="F594" s="80">
        <v>11200</v>
      </c>
      <c r="G594" s="81" t="s">
        <v>1985</v>
      </c>
      <c r="H594" s="86" t="str">
        <f>IF(A594="","",IF(INDEX(EXTRATO!$F$2:$F$3000,MATCH($A594,EXTRATO!$A$2:$A$3000,0))="","",INDEX(EXTRATO!$F$2:$F$3000,MATCH($A594,EXTRATO!$A$2:$A$3000,0))))</f>
        <v>SAÍDA</v>
      </c>
      <c r="I594" s="88" t="str">
        <f>IF(A594="","",IF(INDEX(EXTRATO!$H$2:$H$3000,MATCH($A594,EXTRATO!$A$2:$A$3000,0))="","",INDEX(EXTRATO!$H$2:$H$3000,MATCH($A594,EXTRATO!$A$2:$A$3000,0))))</f>
        <v>ADELIA DALVA DA SILVA OLIVEIRA</v>
      </c>
      <c r="J594" s="86" t="s">
        <v>1313</v>
      </c>
      <c r="K594" s="86" t="str">
        <f>IF(AND(A594="",D594="",E594="",F594=""),"",IF(D594="","SEM CATEGORIA",IF(E594="","SEM SUBCATEGORIA",IF(COUNTIFS(CADASTROS!$L$7:$L$93,D594,CADASTROS!$D$7:$D$93,E594)=0,"INCOMPATÍVEL","OK"))))</f>
        <v>OK</v>
      </c>
    </row>
    <row r="595" spans="1:11" ht="30" hidden="1" customHeight="1" x14ac:dyDescent="0.25">
      <c r="A595" s="86" t="s">
        <v>1977</v>
      </c>
      <c r="B595" s="85">
        <f>IF(A595="","",IF(INDEX(EXTRATO!$C$2:$C$3000,MATCH($A595,EXTRATO!$A$2:$A$3000,0))="","",INDEX(EXTRATO!$C$2:$C$3000,MATCH($A595,EXTRATO!$A$2:$A$3000,0))))</f>
        <v>46167</v>
      </c>
      <c r="C595" s="86">
        <f t="shared" si="9"/>
        <v>5</v>
      </c>
      <c r="D595" s="81" t="s">
        <v>2486</v>
      </c>
      <c r="E595" s="79" t="s">
        <v>2530</v>
      </c>
      <c r="F595" s="80">
        <v>997.92</v>
      </c>
      <c r="G595" s="81" t="s">
        <v>2779</v>
      </c>
      <c r="H595" s="86" t="str">
        <f>IF(A595="","",IF(INDEX(EXTRATO!$F$2:$F$3000,MATCH($A595,EXTRATO!$A$2:$A$3000,0))="","",INDEX(EXTRATO!$F$2:$F$3000,MATCH($A595,EXTRATO!$A$2:$A$3000,0))))</f>
        <v>SAÍDA</v>
      </c>
      <c r="I595" s="88" t="str">
        <f>IF(A595="","",IF(INDEX(EXTRATO!$H$2:$H$3000,MATCH($A595,EXTRATO!$A$2:$A$3000,0))="","",INDEX(EXTRATO!$H$2:$H$3000,MATCH($A595,EXTRATO!$A$2:$A$3000,0))))</f>
        <v>ADELIA DALVA DA SILVA OLIVEIRA</v>
      </c>
      <c r="J595" s="86" t="s">
        <v>1565</v>
      </c>
      <c r="K595" s="86" t="str">
        <f>IF(AND(A595="",D595="",E595="",F595=""),"",IF(D595="","SEM CATEGORIA",IF(E595="","SEM SUBCATEGORIA",IF(COUNTIFS(CADASTROS!$L$7:$L$93,D595,CADASTROS!$D$7:$D$93,E595)=0,"INCOMPATÍVEL","OK"))))</f>
        <v>OK</v>
      </c>
    </row>
    <row r="596" spans="1:11" ht="30" hidden="1" customHeight="1" x14ac:dyDescent="0.25">
      <c r="A596" s="86" t="s">
        <v>1978</v>
      </c>
      <c r="B596" s="85">
        <f>IF(A596="","",IF(INDEX(EXTRATO!$C$2:$C$3000,MATCH($A596,EXTRATO!$A$2:$A$3000,0))="","",INDEX(EXTRATO!$C$2:$C$3000,MATCH($A596,EXTRATO!$A$2:$A$3000,0))))</f>
        <v>46167</v>
      </c>
      <c r="C596" s="86">
        <f t="shared" si="9"/>
        <v>5</v>
      </c>
      <c r="D596" s="81" t="s">
        <v>1904</v>
      </c>
      <c r="E596" s="79" t="s">
        <v>2532</v>
      </c>
      <c r="F596" s="80">
        <v>11200</v>
      </c>
      <c r="G596" s="81" t="s">
        <v>1987</v>
      </c>
      <c r="H596" s="86" t="str">
        <f>IF(A596="","",IF(INDEX(EXTRATO!$F$2:$F$3000,MATCH($A596,EXTRATO!$A$2:$A$3000,0))="","",INDEX(EXTRATO!$F$2:$F$3000,MATCH($A596,EXTRATO!$A$2:$A$3000,0))))</f>
        <v>SAÍDA</v>
      </c>
      <c r="I596" s="88" t="str">
        <f>IF(A596="","",IF(INDEX(EXTRATO!$H$2:$H$3000,MATCH($A596,EXTRATO!$A$2:$A$3000,0))="","",INDEX(EXTRATO!$H$2:$H$3000,MATCH($A596,EXTRATO!$A$2:$A$3000,0))))</f>
        <v>FRANCISCO H SOUSA</v>
      </c>
      <c r="J596" s="86" t="s">
        <v>1313</v>
      </c>
      <c r="K596" s="86" t="str">
        <f>IF(AND(A596="",D596="",E596="",F596=""),"",IF(D596="","SEM CATEGORIA",IF(E596="","SEM SUBCATEGORIA",IF(COUNTIFS(CADASTROS!$L$7:$L$93,D596,CADASTROS!$D$7:$D$93,E596)=0,"INCOMPATÍVEL","OK"))))</f>
        <v>OK</v>
      </c>
    </row>
    <row r="597" spans="1:11" ht="30" hidden="1" customHeight="1" x14ac:dyDescent="0.25">
      <c r="A597" s="86" t="s">
        <v>1978</v>
      </c>
      <c r="B597" s="85">
        <f>IF(A597="","",IF(INDEX(EXTRATO!$C$2:$C$3000,MATCH($A597,EXTRATO!$A$2:$A$3000,0))="","",INDEX(EXTRATO!$C$2:$C$3000,MATCH($A597,EXTRATO!$A$2:$A$3000,0))))</f>
        <v>46167</v>
      </c>
      <c r="C597" s="86">
        <f t="shared" si="9"/>
        <v>5</v>
      </c>
      <c r="D597" s="81" t="s">
        <v>2486</v>
      </c>
      <c r="E597" s="79" t="s">
        <v>2530</v>
      </c>
      <c r="F597" s="80">
        <v>997.92</v>
      </c>
      <c r="G597" s="81" t="s">
        <v>2776</v>
      </c>
      <c r="H597" s="86" t="str">
        <f>IF(A597="","",IF(INDEX(EXTRATO!$F$2:$F$3000,MATCH($A597,EXTRATO!$A$2:$A$3000,0))="","",INDEX(EXTRATO!$F$2:$F$3000,MATCH($A597,EXTRATO!$A$2:$A$3000,0))))</f>
        <v>SAÍDA</v>
      </c>
      <c r="I597" s="88" t="str">
        <f>IF(A597="","",IF(INDEX(EXTRATO!$H$2:$H$3000,MATCH($A597,EXTRATO!$A$2:$A$3000,0))="","",INDEX(EXTRATO!$H$2:$H$3000,MATCH($A597,EXTRATO!$A$2:$A$3000,0))))</f>
        <v>FRANCISCO H SOUSA</v>
      </c>
      <c r="J597" s="86" t="s">
        <v>1565</v>
      </c>
      <c r="K597" s="86" t="str">
        <f>IF(AND(A597="",D597="",E597="",F597=""),"",IF(D597="","SEM CATEGORIA",IF(E597="","SEM SUBCATEGORIA",IF(COUNTIFS(CADASTROS!$L$7:$L$93,D597,CADASTROS!$D$7:$D$93,E597)=0,"INCOMPATÍVEL","OK"))))</f>
        <v>OK</v>
      </c>
    </row>
    <row r="598" spans="1:11" ht="30" hidden="1" customHeight="1" x14ac:dyDescent="0.25">
      <c r="A598" s="86" t="s">
        <v>1979</v>
      </c>
      <c r="B598" s="85">
        <f>IF(A598="","",IF(INDEX(EXTRATO!$C$2:$C$3000,MATCH($A598,EXTRATO!$A$2:$A$3000,0))="","",INDEX(EXTRATO!$C$2:$C$3000,MATCH($A598,EXTRATO!$A$2:$A$3000,0))))</f>
        <v>46167</v>
      </c>
      <c r="C598" s="86">
        <f t="shared" si="9"/>
        <v>5</v>
      </c>
      <c r="D598" s="81" t="s">
        <v>1415</v>
      </c>
      <c r="E598" s="79" t="s">
        <v>1418</v>
      </c>
      <c r="F598" s="80">
        <v>400</v>
      </c>
      <c r="G598" s="81" t="s">
        <v>836</v>
      </c>
      <c r="H598" s="86" t="str">
        <f>IF(A598="","",IF(INDEX(EXTRATO!$F$2:$F$3000,MATCH($A598,EXTRATO!$A$2:$A$3000,0))="","",INDEX(EXTRATO!$F$2:$F$3000,MATCH($A598,EXTRATO!$A$2:$A$3000,0))))</f>
        <v>SAÍDA</v>
      </c>
      <c r="I598" s="88" t="str">
        <f>IF(A598="","",IF(INDEX(EXTRATO!$H$2:$H$3000,MATCH($A598,EXTRATO!$A$2:$A$3000,0))="","",INDEX(EXTRATO!$H$2:$H$3000,MATCH($A598,EXTRATO!$A$2:$A$3000,0))))</f>
        <v>I F DA SILVA &amp; CIA LTDA</v>
      </c>
      <c r="J598" s="86" t="s">
        <v>1313</v>
      </c>
      <c r="K598" s="86" t="str">
        <f>IF(AND(A598="",D598="",E598="",F598=""),"",IF(D598="","SEM CATEGORIA",IF(E598="","SEM SUBCATEGORIA",IF(COUNTIFS(CADASTROS!$L$7:$L$93,D598,CADASTROS!$D$7:$D$93,E598)=0,"INCOMPATÍVEL","OK"))))</f>
        <v>OK</v>
      </c>
    </row>
    <row r="599" spans="1:11" ht="30" hidden="1" customHeight="1" x14ac:dyDescent="0.25">
      <c r="A599" s="86" t="s">
        <v>1979</v>
      </c>
      <c r="B599" s="85">
        <f>IF(A599="","",IF(INDEX(EXTRATO!$C$2:$C$3000,MATCH($A599,EXTRATO!$A$2:$A$3000,0))="","",INDEX(EXTRATO!$C$2:$C$3000,MATCH($A599,EXTRATO!$A$2:$A$3000,0))))</f>
        <v>46167</v>
      </c>
      <c r="C599" s="86">
        <f t="shared" si="9"/>
        <v>5</v>
      </c>
      <c r="D599" s="81" t="s">
        <v>1415</v>
      </c>
      <c r="E599" s="79" t="s">
        <v>1420</v>
      </c>
      <c r="F599" s="80">
        <v>3419.97</v>
      </c>
      <c r="G599" s="81" t="s">
        <v>836</v>
      </c>
      <c r="H599" s="86" t="str">
        <f>IF(A599="","",IF(INDEX(EXTRATO!$F$2:$F$3000,MATCH($A599,EXTRATO!$A$2:$A$3000,0))="","",INDEX(EXTRATO!$F$2:$F$3000,MATCH($A599,EXTRATO!$A$2:$A$3000,0))))</f>
        <v>SAÍDA</v>
      </c>
      <c r="I599" s="88" t="str">
        <f>IF(A599="","",IF(INDEX(EXTRATO!$H$2:$H$3000,MATCH($A599,EXTRATO!$A$2:$A$3000,0))="","",INDEX(EXTRATO!$H$2:$H$3000,MATCH($A599,EXTRATO!$A$2:$A$3000,0))))</f>
        <v>I F DA SILVA &amp; CIA LTDA</v>
      </c>
      <c r="J599" s="86" t="s">
        <v>1313</v>
      </c>
      <c r="K599" s="86" t="str">
        <f>IF(AND(A599="",D599="",E599="",F599=""),"",IF(D599="","SEM CATEGORIA",IF(E599="","SEM SUBCATEGORIA",IF(COUNTIFS(CADASTROS!$L$7:$L$93,D599,CADASTROS!$D$7:$D$93,E599)=0,"INCOMPATÍVEL","OK"))))</f>
        <v>OK</v>
      </c>
    </row>
    <row r="600" spans="1:11" ht="30" hidden="1" customHeight="1" x14ac:dyDescent="0.25">
      <c r="A600" s="86" t="s">
        <v>1979</v>
      </c>
      <c r="B600" s="85">
        <f>IF(A600="","",IF(INDEX(EXTRATO!$C$2:$C$3000,MATCH($A600,EXTRATO!$A$2:$A$3000,0))="","",INDEX(EXTRATO!$C$2:$C$3000,MATCH($A600,EXTRATO!$A$2:$A$3000,0))))</f>
        <v>46167</v>
      </c>
      <c r="C600" s="86">
        <f t="shared" si="9"/>
        <v>5</v>
      </c>
      <c r="D600" s="81" t="s">
        <v>1415</v>
      </c>
      <c r="E600" s="79" t="s">
        <v>1416</v>
      </c>
      <c r="F600" s="80">
        <v>800</v>
      </c>
      <c r="G600" s="81" t="s">
        <v>836</v>
      </c>
      <c r="H600" s="86" t="str">
        <f>IF(A600="","",IF(INDEX(EXTRATO!$F$2:$F$3000,MATCH($A600,EXTRATO!$A$2:$A$3000,0))="","",INDEX(EXTRATO!$F$2:$F$3000,MATCH($A600,EXTRATO!$A$2:$A$3000,0))))</f>
        <v>SAÍDA</v>
      </c>
      <c r="I600" s="88" t="str">
        <f>IF(A600="","",IF(INDEX(EXTRATO!$H$2:$H$3000,MATCH($A600,EXTRATO!$A$2:$A$3000,0))="","",INDEX(EXTRATO!$H$2:$H$3000,MATCH($A600,EXTRATO!$A$2:$A$3000,0))))</f>
        <v>I F DA SILVA &amp; CIA LTDA</v>
      </c>
      <c r="J600" s="86" t="s">
        <v>1313</v>
      </c>
      <c r="K600" s="86" t="str">
        <f>IF(AND(A600="",D600="",E600="",F600=""),"",IF(D600="","SEM CATEGORIA",IF(E600="","SEM SUBCATEGORIA",IF(COUNTIFS(CADASTROS!$L$7:$L$93,D600,CADASTROS!$D$7:$D$93,E600)=0,"INCOMPATÍVEL","OK"))))</f>
        <v>OK</v>
      </c>
    </row>
    <row r="601" spans="1:11" ht="30" hidden="1" customHeight="1" x14ac:dyDescent="0.25">
      <c r="A601" s="86" t="s">
        <v>1979</v>
      </c>
      <c r="B601" s="85">
        <f>IF(A601="","",IF(INDEX(EXTRATO!$C$2:$C$3000,MATCH($A601,EXTRATO!$A$2:$A$3000,0))="","",INDEX(EXTRATO!$C$2:$C$3000,MATCH($A601,EXTRATO!$A$2:$A$3000,0))))</f>
        <v>46167</v>
      </c>
      <c r="C601" s="86">
        <f t="shared" si="9"/>
        <v>5</v>
      </c>
      <c r="D601" s="81" t="s">
        <v>1415</v>
      </c>
      <c r="E601" s="79" t="s">
        <v>1422</v>
      </c>
      <c r="F601" s="80">
        <v>3886.36</v>
      </c>
      <c r="G601" s="81" t="s">
        <v>836</v>
      </c>
      <c r="H601" s="86" t="str">
        <f>IF(A601="","",IF(INDEX(EXTRATO!$F$2:$F$3000,MATCH($A601,EXTRATO!$A$2:$A$3000,0))="","",INDEX(EXTRATO!$F$2:$F$3000,MATCH($A601,EXTRATO!$A$2:$A$3000,0))))</f>
        <v>SAÍDA</v>
      </c>
      <c r="I601" s="88" t="str">
        <f>IF(A601="","",IF(INDEX(EXTRATO!$H$2:$H$3000,MATCH($A601,EXTRATO!$A$2:$A$3000,0))="","",INDEX(EXTRATO!$H$2:$H$3000,MATCH($A601,EXTRATO!$A$2:$A$3000,0))))</f>
        <v>I F DA SILVA &amp; CIA LTDA</v>
      </c>
      <c r="J601" s="86" t="s">
        <v>1313</v>
      </c>
      <c r="K601" s="86" t="str">
        <f>IF(AND(A601="",D601="",E601="",F601=""),"",IF(D601="","SEM CATEGORIA",IF(E601="","SEM SUBCATEGORIA",IF(COUNTIFS(CADASTROS!$L$7:$L$93,D601,CADASTROS!$D$7:$D$93,E601)=0,"INCOMPATÍVEL","OK"))))</f>
        <v>OK</v>
      </c>
    </row>
    <row r="602" spans="1:11" ht="30" hidden="1" customHeight="1" x14ac:dyDescent="0.25">
      <c r="A602" s="86" t="s">
        <v>1980</v>
      </c>
      <c r="B602" s="85">
        <f>IF(A602="","",IF(INDEX(EXTRATO!$C$2:$C$3000,MATCH($A602,EXTRATO!$A$2:$A$3000,0))="","",INDEX(EXTRATO!$C$2:$C$3000,MATCH($A602,EXTRATO!$A$2:$A$3000,0))))</f>
        <v>46167</v>
      </c>
      <c r="C602" s="86">
        <f t="shared" si="9"/>
        <v>5</v>
      </c>
      <c r="D602" s="81" t="s">
        <v>1311</v>
      </c>
      <c r="E602" s="79" t="s">
        <v>1404</v>
      </c>
      <c r="F602" s="80">
        <v>4914</v>
      </c>
      <c r="G602" s="81" t="s">
        <v>838</v>
      </c>
      <c r="H602" s="86" t="str">
        <f>IF(A602="","",IF(INDEX(EXTRATO!$F$2:$F$3000,MATCH($A602,EXTRATO!$A$2:$A$3000,0))="","",INDEX(EXTRATO!$F$2:$F$3000,MATCH($A602,EXTRATO!$A$2:$A$3000,0))))</f>
        <v>SAÍDA</v>
      </c>
      <c r="I602" s="88" t="str">
        <f>IF(A602="","",IF(INDEX(EXTRATO!$H$2:$H$3000,MATCH($A602,EXTRATO!$A$2:$A$3000,0))="","",INDEX(EXTRATO!$H$2:$H$3000,MATCH($A602,EXTRATO!$A$2:$A$3000,0))))</f>
        <v>FARMACE</v>
      </c>
      <c r="J602" s="86" t="s">
        <v>1313</v>
      </c>
      <c r="K602" s="86" t="str">
        <f>IF(AND(A602="",D602="",E602="",F602=""),"",IF(D602="","SEM CATEGORIA",IF(E602="","SEM SUBCATEGORIA",IF(COUNTIFS(CADASTROS!$L$7:$L$93,D602,CADASTROS!$D$7:$D$93,E602)=0,"INCOMPATÍVEL","OK"))))</f>
        <v>OK</v>
      </c>
    </row>
    <row r="603" spans="1:11" ht="30" hidden="1" customHeight="1" x14ac:dyDescent="0.25">
      <c r="A603" s="86" t="s">
        <v>1981</v>
      </c>
      <c r="B603" s="85">
        <f>IF(A603="","",IF(INDEX(EXTRATO!$C$2:$C$3000,MATCH($A603,EXTRATO!$A$2:$A$3000,0))="","",INDEX(EXTRATO!$C$2:$C$3000,MATCH($A603,EXTRATO!$A$2:$A$3000,0))))</f>
        <v>46167</v>
      </c>
      <c r="C603" s="86">
        <f t="shared" si="9"/>
        <v>5</v>
      </c>
      <c r="D603" s="81" t="s">
        <v>1311</v>
      </c>
      <c r="E603" s="79" t="s">
        <v>1312</v>
      </c>
      <c r="F603" s="80">
        <v>1496</v>
      </c>
      <c r="G603" s="81" t="s">
        <v>526</v>
      </c>
      <c r="H603" s="86" t="str">
        <f>IF(A603="","",IF(INDEX(EXTRATO!$F$2:$F$3000,MATCH($A603,EXTRATO!$A$2:$A$3000,0))="","",INDEX(EXTRATO!$F$2:$F$3000,MATCH($A603,EXTRATO!$A$2:$A$3000,0))))</f>
        <v>SAÍDA</v>
      </c>
      <c r="I603" s="88" t="str">
        <f>IF(A603="","",IF(INDEX(EXTRATO!$H$2:$H$3000,MATCH($A603,EXTRATO!$A$2:$A$3000,0))="","",INDEX(EXTRATO!$H$2:$H$3000,MATCH($A603,EXTRATO!$A$2:$A$3000,0))))</f>
        <v>COOP. UNIMED</v>
      </c>
      <c r="J603" s="86" t="s">
        <v>1313</v>
      </c>
      <c r="K603" s="86" t="str">
        <f>IF(AND(A603="",D603="",E603="",F603=""),"",IF(D603="","SEM CATEGORIA",IF(E603="","SEM SUBCATEGORIA",IF(COUNTIFS(CADASTROS!$L$7:$L$93,D603,CADASTROS!$D$7:$D$93,E603)=0,"INCOMPATÍVEL","OK"))))</f>
        <v>OK</v>
      </c>
    </row>
    <row r="604" spans="1:11" ht="30" hidden="1" customHeight="1" x14ac:dyDescent="0.25">
      <c r="A604" s="86" t="s">
        <v>1984</v>
      </c>
      <c r="B604" s="85">
        <f>IF(A604="","",IF(INDEX(EXTRATO!$C$2:$C$3000,MATCH($A604,EXTRATO!$A$2:$A$3000,0))="","",INDEX(EXTRATO!$C$2:$C$3000,MATCH($A604,EXTRATO!$A$2:$A$3000,0))))</f>
        <v>46167</v>
      </c>
      <c r="C604" s="86">
        <f t="shared" si="9"/>
        <v>5</v>
      </c>
      <c r="D604" s="81"/>
      <c r="E604" s="79"/>
      <c r="F604" s="80">
        <v>997.92</v>
      </c>
      <c r="G604" s="81"/>
      <c r="H604" s="86" t="str">
        <f>IF(A604="","",IF(INDEX(EXTRATO!$F$2:$F$3000,MATCH($A604,EXTRATO!$A$2:$A$3000,0))="","",INDEX(EXTRATO!$F$2:$F$3000,MATCH($A604,EXTRATO!$A$2:$A$3000,0))))</f>
        <v>SAÍDA</v>
      </c>
      <c r="I604" s="88" t="str">
        <f>IF(A604="","",IF(INDEX(EXTRATO!$H$2:$H$3000,MATCH($A604,EXTRATO!$A$2:$A$3000,0))="","",INDEX(EXTRATO!$H$2:$H$3000,MATCH($A604,EXTRATO!$A$2:$A$3000,0))))</f>
        <v>JG CONSTRUCOES</v>
      </c>
      <c r="J604" s="86" t="s">
        <v>1360</v>
      </c>
      <c r="K604" s="86" t="str">
        <f>IF(AND(A604="",D604="",E604="",F604=""),"",IF(D604="","SEM CATEGORIA",IF(E604="","SEM SUBCATEGORIA",IF(COUNTIFS(CADASTROS!$L$7:$L$93,D604,CADASTROS!$D$7:$D$93,E604)=0,"INCOMPATÍVEL","OK"))))</f>
        <v>SEM CATEGORIA</v>
      </c>
    </row>
    <row r="605" spans="1:11" ht="30" hidden="1" customHeight="1" x14ac:dyDescent="0.25">
      <c r="A605" s="86" t="s">
        <v>1986</v>
      </c>
      <c r="B605" s="85">
        <f>IF(A605="","",IF(INDEX(EXTRATO!$C$2:$C$3000,MATCH($A605,EXTRATO!$A$2:$A$3000,0))="","",INDEX(EXTRATO!$C$2:$C$3000,MATCH($A605,EXTRATO!$A$2:$A$3000,0))))</f>
        <v>46167</v>
      </c>
      <c r="C605" s="86">
        <f t="shared" si="9"/>
        <v>5</v>
      </c>
      <c r="D605" s="81" t="s">
        <v>1330</v>
      </c>
      <c r="E605" s="79" t="s">
        <v>1352</v>
      </c>
      <c r="F605" s="80">
        <v>400</v>
      </c>
      <c r="G605" s="81" t="s">
        <v>678</v>
      </c>
      <c r="H605" s="86" t="str">
        <f>IF(A605="","",IF(INDEX(EXTRATO!$F$2:$F$3000,MATCH($A605,EXTRATO!$A$2:$A$3000,0))="","",INDEX(EXTRATO!$F$2:$F$3000,MATCH($A605,EXTRATO!$A$2:$A$3000,0))))</f>
        <v>SAÍDA</v>
      </c>
      <c r="I605" s="88" t="str">
        <f>IF(A605="","",IF(INDEX(EXTRATO!$H$2:$H$3000,MATCH($A605,EXTRATO!$A$2:$A$3000,0))="","",INDEX(EXTRATO!$H$2:$H$3000,MATCH($A605,EXTRATO!$A$2:$A$3000,0))))</f>
        <v>ABCDT</v>
      </c>
      <c r="J605" s="86" t="s">
        <v>1313</v>
      </c>
      <c r="K605" s="86" t="str">
        <f>IF(AND(A605="",D605="",E605="",F605=""),"",IF(D605="","SEM CATEGORIA",IF(E605="","SEM SUBCATEGORIA",IF(COUNTIFS(CADASTROS!$L$7:$L$93,D605,CADASTROS!$D$7:$D$93,E605)=0,"INCOMPATÍVEL","OK"))))</f>
        <v>OK</v>
      </c>
    </row>
    <row r="606" spans="1:11" ht="30" hidden="1" customHeight="1" x14ac:dyDescent="0.25">
      <c r="A606" s="86" t="s">
        <v>1988</v>
      </c>
      <c r="B606" s="85">
        <f>IF(A606="","",IF(INDEX(EXTRATO!$C$2:$C$3000,MATCH($A606,EXTRATO!$A$2:$A$3000,0))="","",INDEX(EXTRATO!$C$2:$C$3000,MATCH($A606,EXTRATO!$A$2:$A$3000,0))))</f>
        <v>46167</v>
      </c>
      <c r="C606" s="86">
        <f t="shared" si="9"/>
        <v>5</v>
      </c>
      <c r="D606" s="81" t="s">
        <v>1367</v>
      </c>
      <c r="E606" s="79" t="s">
        <v>1368</v>
      </c>
      <c r="F606" s="80">
        <v>170</v>
      </c>
      <c r="G606" s="81" t="s">
        <v>843</v>
      </c>
      <c r="H606" s="86" t="str">
        <f>IF(A606="","",IF(INDEX(EXTRATO!$F$2:$F$3000,MATCH($A606,EXTRATO!$A$2:$A$3000,0))="","",INDEX(EXTRATO!$F$2:$F$3000,MATCH($A606,EXTRATO!$A$2:$A$3000,0))))</f>
        <v>SAÍDA</v>
      </c>
      <c r="I606" s="88" t="str">
        <f>IF(A606="","",IF(INDEX(EXTRATO!$H$2:$H$3000,MATCH($A606,EXTRATO!$A$2:$A$3000,0))="","",INDEX(EXTRATO!$H$2:$H$3000,MATCH($A606,EXTRATO!$A$2:$A$3000,0))))</f>
        <v>FERCASTRO</v>
      </c>
      <c r="J606" s="86" t="s">
        <v>1313</v>
      </c>
      <c r="K606" s="86" t="str">
        <f>IF(AND(A606="",D606="",E606="",F606=""),"",IF(D606="","SEM CATEGORIA",IF(E606="","SEM SUBCATEGORIA",IF(COUNTIFS(CADASTROS!$L$7:$L$93,D606,CADASTROS!$D$7:$D$93,E606)=0,"INCOMPATÍVEL","OK"))))</f>
        <v>OK</v>
      </c>
    </row>
    <row r="607" spans="1:11" ht="30" hidden="1" customHeight="1" x14ac:dyDescent="0.25">
      <c r="A607" s="86" t="s">
        <v>1989</v>
      </c>
      <c r="B607" s="85">
        <f>IF(A607="","",IF(INDEX(EXTRATO!$C$2:$C$3000,MATCH($A607,EXTRATO!$A$2:$A$3000,0))="","",INDEX(EXTRATO!$C$2:$C$3000,MATCH($A607,EXTRATO!$A$2:$A$3000,0))))</f>
        <v>46167</v>
      </c>
      <c r="C607" s="86">
        <f t="shared" si="9"/>
        <v>5</v>
      </c>
      <c r="D607" s="81" t="s">
        <v>1305</v>
      </c>
      <c r="E607" s="79" t="s">
        <v>1962</v>
      </c>
      <c r="F607" s="80">
        <v>100000</v>
      </c>
      <c r="G607" s="81" t="s">
        <v>808</v>
      </c>
      <c r="H607" s="86" t="str">
        <f>IF(A607="","",IF(INDEX(EXTRATO!$F$2:$F$3000,MATCH($A607,EXTRATO!$A$2:$A$3000,0))="","",INDEX(EXTRATO!$F$2:$F$3000,MATCH($A607,EXTRATO!$A$2:$A$3000,0))))</f>
        <v>ENTRADA</v>
      </c>
      <c r="I607" s="88" t="str">
        <f>IF(A607="","",IF(INDEX(EXTRATO!$H$2:$H$3000,MATCH($A607,EXTRATO!$A$2:$A$3000,0))="","",INDEX(EXTRATO!$H$2:$H$3000,MATCH($A607,EXTRATO!$A$2:$A$3000,0))))</f>
        <v>BIORENAL LTDA</v>
      </c>
      <c r="J607" s="86" t="s">
        <v>1307</v>
      </c>
      <c r="K607" s="86" t="str">
        <f>IF(AND(A607="",D607="",E607="",F607=""),"",IF(D607="","SEM CATEGORIA",IF(E607="","SEM SUBCATEGORIA",IF(COUNTIFS(CADASTROS!$L$7:$L$93,D607,CADASTROS!$D$7:$D$93,E607)=0,"INCOMPATÍVEL","OK"))))</f>
        <v>OK</v>
      </c>
    </row>
    <row r="608" spans="1:11" ht="30" hidden="1" customHeight="1" x14ac:dyDescent="0.25">
      <c r="A608" s="86" t="s">
        <v>1990</v>
      </c>
      <c r="B608" s="85">
        <f>IF(A608="","",IF(INDEX(EXTRATO!$C$2:$C$3000,MATCH($A608,EXTRATO!$A$2:$A$3000,0))="","",INDEX(EXTRATO!$C$2:$C$3000,MATCH($A608,EXTRATO!$A$2:$A$3000,0))))</f>
        <v>46168</v>
      </c>
      <c r="C608" s="86">
        <f t="shared" si="9"/>
        <v>5</v>
      </c>
      <c r="D608" s="81" t="s">
        <v>1311</v>
      </c>
      <c r="E608" s="79" t="s">
        <v>1376</v>
      </c>
      <c r="F608" s="80">
        <v>3600</v>
      </c>
      <c r="G608" s="81" t="s">
        <v>846</v>
      </c>
      <c r="H608" s="86" t="str">
        <f>IF(A608="","",IF(INDEX(EXTRATO!$F$2:$F$3000,MATCH($A608,EXTRATO!$A$2:$A$3000,0))="","",INDEX(EXTRATO!$F$2:$F$3000,MATCH($A608,EXTRATO!$A$2:$A$3000,0))))</f>
        <v>SAÍDA</v>
      </c>
      <c r="I608" s="88" t="str">
        <f>IF(A608="","",IF(INDEX(EXTRATO!$H$2:$H$3000,MATCH($A608,EXTRATO!$A$2:$A$3000,0))="","",INDEX(EXTRATO!$H$2:$H$3000,MATCH($A608,EXTRATO!$A$2:$A$3000,0))))</f>
        <v>NIPRO</v>
      </c>
      <c r="J608" s="86" t="s">
        <v>1313</v>
      </c>
      <c r="K608" s="86" t="str">
        <f>IF(AND(A608="",D608="",E608="",F608=""),"",IF(D608="","SEM CATEGORIA",IF(E608="","SEM SUBCATEGORIA",IF(COUNTIFS(CADASTROS!$L$7:$L$93,D608,CADASTROS!$D$7:$D$93,E608)=0,"INCOMPATÍVEL","OK"))))</f>
        <v>OK</v>
      </c>
    </row>
    <row r="609" spans="1:11" ht="30" hidden="1" customHeight="1" x14ac:dyDescent="0.25">
      <c r="A609" s="86" t="s">
        <v>1991</v>
      </c>
      <c r="B609" s="85">
        <f>IF(A609="","",IF(INDEX(EXTRATO!$C$2:$C$3000,MATCH($A609,EXTRATO!$A$2:$A$3000,0))="","",INDEX(EXTRATO!$C$2:$C$3000,MATCH($A609,EXTRATO!$A$2:$A$3000,0))))</f>
        <v>46168</v>
      </c>
      <c r="C609" s="86">
        <f t="shared" si="9"/>
        <v>5</v>
      </c>
      <c r="D609" s="81" t="s">
        <v>1370</v>
      </c>
      <c r="E609" s="79" t="s">
        <v>1371</v>
      </c>
      <c r="F609" s="80">
        <v>1320</v>
      </c>
      <c r="G609" s="81" t="s">
        <v>847</v>
      </c>
      <c r="H609" s="86" t="str">
        <f>IF(A609="","",IF(INDEX(EXTRATO!$F$2:$F$3000,MATCH($A609,EXTRATO!$A$2:$A$3000,0))="","",INDEX(EXTRATO!$F$2:$F$3000,MATCH($A609,EXTRATO!$A$2:$A$3000,0))))</f>
        <v>SAÍDA</v>
      </c>
      <c r="I609" s="88" t="str">
        <f>IF(A609="","",IF(INDEX(EXTRATO!$H$2:$H$3000,MATCH($A609,EXTRATO!$A$2:$A$3000,0))="","",INDEX(EXTRATO!$H$2:$H$3000,MATCH($A609,EXTRATO!$A$2:$A$3000,0))))</f>
        <v>DMW ELETROMEDICINA LTDA</v>
      </c>
      <c r="J609" s="86" t="s">
        <v>1313</v>
      </c>
      <c r="K609" s="86" t="str">
        <f>IF(AND(A609="",D609="",E609="",F609=""),"",IF(D609="","SEM CATEGORIA",IF(E609="","SEM SUBCATEGORIA",IF(COUNTIFS(CADASTROS!$L$7:$L$93,D609,CADASTROS!$D$7:$D$93,E609)=0,"INCOMPATÍVEL","OK"))))</f>
        <v>OK</v>
      </c>
    </row>
    <row r="610" spans="1:11" ht="30" hidden="1" customHeight="1" x14ac:dyDescent="0.25">
      <c r="A610" s="86" t="s">
        <v>1992</v>
      </c>
      <c r="B610" s="85">
        <f>IF(A610="","",IF(INDEX(EXTRATO!$C$2:$C$3000,MATCH($A610,EXTRATO!$A$2:$A$3000,0))="","",INDEX(EXTRATO!$C$2:$C$3000,MATCH($A610,EXTRATO!$A$2:$A$3000,0))))</f>
        <v>46170</v>
      </c>
      <c r="C610" s="86">
        <f t="shared" si="9"/>
        <v>5</v>
      </c>
      <c r="D610" s="81" t="s">
        <v>1311</v>
      </c>
      <c r="E610" s="79" t="s">
        <v>1502</v>
      </c>
      <c r="F610" s="80">
        <v>605.54999999999995</v>
      </c>
      <c r="G610" s="81" t="s">
        <v>1925</v>
      </c>
      <c r="H610" s="86" t="str">
        <f>IF(A610="","",IF(INDEX(EXTRATO!$F$2:$F$3000,MATCH($A610,EXTRATO!$A$2:$A$3000,0))="","",INDEX(EXTRATO!$F$2:$F$3000,MATCH($A610,EXTRATO!$A$2:$A$3000,0))))</f>
        <v>SAÍDA</v>
      </c>
      <c r="I610" s="88" t="str">
        <f>IF(A610="","",IF(INDEX(EXTRATO!$H$2:$H$3000,MATCH($A610,EXTRATO!$A$2:$A$3000,0))="","",INDEX(EXTRATO!$H$2:$H$3000,MATCH($A610,EXTRATO!$A$2:$A$3000,0))))</f>
        <v>RICEK INDUSTRIA E COMÉRCIO</v>
      </c>
      <c r="J610" s="86" t="s">
        <v>1313</v>
      </c>
      <c r="K610" s="86" t="str">
        <f>IF(AND(A610="",D610="",E610="",F610=""),"",IF(D610="","SEM CATEGORIA",IF(E610="","SEM SUBCATEGORIA",IF(COUNTIFS(CADASTROS!$L$7:$L$93,D610,CADASTROS!$D$7:$D$93,E610)=0,"INCOMPATÍVEL","OK"))))</f>
        <v>OK</v>
      </c>
    </row>
    <row r="611" spans="1:11" ht="30" hidden="1" customHeight="1" x14ac:dyDescent="0.25">
      <c r="A611" s="86" t="s">
        <v>1992</v>
      </c>
      <c r="B611" s="85">
        <f>IF(A611="","",IF(INDEX(EXTRATO!$C$2:$C$3000,MATCH($A611,EXTRATO!$A$2:$A$3000,0))="","",INDEX(EXTRATO!$C$2:$C$3000,MATCH($A611,EXTRATO!$A$2:$A$3000,0))))</f>
        <v>46170</v>
      </c>
      <c r="C611" s="86">
        <f t="shared" si="9"/>
        <v>5</v>
      </c>
      <c r="D611" s="81" t="s">
        <v>1330</v>
      </c>
      <c r="E611" s="79" t="s">
        <v>1331</v>
      </c>
      <c r="F611" s="80">
        <v>392.37</v>
      </c>
      <c r="G611" s="81" t="s">
        <v>1926</v>
      </c>
      <c r="H611" s="86" t="str">
        <f>IF(A611="","",IF(INDEX(EXTRATO!$F$2:$F$3000,MATCH($A611,EXTRATO!$A$2:$A$3000,0))="","",INDEX(EXTRATO!$F$2:$F$3000,MATCH($A611,EXTRATO!$A$2:$A$3000,0))))</f>
        <v>SAÍDA</v>
      </c>
      <c r="I611" s="88" t="str">
        <f>IF(A611="","",IF(INDEX(EXTRATO!$H$2:$H$3000,MATCH($A611,EXTRATO!$A$2:$A$3000,0))="","",INDEX(EXTRATO!$H$2:$H$3000,MATCH($A611,EXTRATO!$A$2:$A$3000,0))))</f>
        <v>RICEK INDUSTRIA E COMÉRCIO</v>
      </c>
      <c r="J611" s="86" t="s">
        <v>1313</v>
      </c>
      <c r="K611" s="86" t="str">
        <f>IF(AND(A611="",D611="",E611="",F611=""),"",IF(D611="","SEM CATEGORIA",IF(E611="","SEM SUBCATEGORIA",IF(COUNTIFS(CADASTROS!$L$7:$L$93,D611,CADASTROS!$D$7:$D$93,E611)=0,"INCOMPATÍVEL","OK"))))</f>
        <v>OK</v>
      </c>
    </row>
    <row r="612" spans="1:11" ht="30" hidden="1" customHeight="1" x14ac:dyDescent="0.25">
      <c r="A612" s="86" t="s">
        <v>1993</v>
      </c>
      <c r="B612" s="85">
        <f>IF(A612="","",IF(INDEX(EXTRATO!$C$2:$C$3000,MATCH($A612,EXTRATO!$A$2:$A$3000,0))="","",INDEX(EXTRATO!$C$2:$C$3000,MATCH($A612,EXTRATO!$A$2:$A$3000,0))))</f>
        <v>46170</v>
      </c>
      <c r="C612" s="86">
        <f t="shared" si="9"/>
        <v>5</v>
      </c>
      <c r="D612" s="81" t="s">
        <v>1330</v>
      </c>
      <c r="E612" s="79" t="s">
        <v>1331</v>
      </c>
      <c r="F612" s="80">
        <v>647.29999999999995</v>
      </c>
      <c r="G612" s="81" t="s">
        <v>850</v>
      </c>
      <c r="H612" s="86" t="str">
        <f>IF(A612="","",IF(INDEX(EXTRATO!$F$2:$F$3000,MATCH($A612,EXTRATO!$A$2:$A$3000,0))="","",INDEX(EXTRATO!$F$2:$F$3000,MATCH($A612,EXTRATO!$A$2:$A$3000,0))))</f>
        <v>SAÍDA</v>
      </c>
      <c r="I612" s="88" t="str">
        <f>IF(A612="","",IF(INDEX(EXTRATO!$H$2:$H$3000,MATCH($A612,EXTRATO!$A$2:$A$3000,0))="","",INDEX(EXTRATO!$H$2:$H$3000,MATCH($A612,EXTRATO!$A$2:$A$3000,0))))</f>
        <v>ALECRIM INDUSTRIA E COMÉRCIO</v>
      </c>
      <c r="J612" s="86" t="s">
        <v>1313</v>
      </c>
      <c r="K612" s="86" t="str">
        <f>IF(AND(A612="",D612="",E612="",F612=""),"",IF(D612="","SEM CATEGORIA",IF(E612="","SEM SUBCATEGORIA",IF(COUNTIFS(CADASTROS!$L$7:$L$93,D612,CADASTROS!$D$7:$D$93,E612)=0,"INCOMPATÍVEL","OK"))))</f>
        <v>OK</v>
      </c>
    </row>
    <row r="613" spans="1:11" ht="30" hidden="1" customHeight="1" x14ac:dyDescent="0.25">
      <c r="A613" s="86" t="s">
        <v>1994</v>
      </c>
      <c r="B613" s="85">
        <f>IF(A613="","",IF(INDEX(EXTRATO!$C$2:$C$3000,MATCH($A613,EXTRATO!$A$2:$A$3000,0))="","",INDEX(EXTRATO!$C$2:$C$3000,MATCH($A613,EXTRATO!$A$2:$A$3000,0))))</f>
        <v>46171</v>
      </c>
      <c r="C613" s="86">
        <f t="shared" si="9"/>
        <v>5</v>
      </c>
      <c r="D613" s="81" t="s">
        <v>1370</v>
      </c>
      <c r="E613" s="79" t="s">
        <v>1371</v>
      </c>
      <c r="F613" s="80">
        <v>4500</v>
      </c>
      <c r="G613" s="81" t="s">
        <v>851</v>
      </c>
      <c r="H613" s="86" t="str">
        <f>IF(A613="","",IF(INDEX(EXTRATO!$F$2:$F$3000,MATCH($A613,EXTRATO!$A$2:$A$3000,0))="","",INDEX(EXTRATO!$F$2:$F$3000,MATCH($A613,EXTRATO!$A$2:$A$3000,0))))</f>
        <v>SAÍDA</v>
      </c>
      <c r="I613" s="88" t="str">
        <f>IF(A613="","",IF(INDEX(EXTRATO!$H$2:$H$3000,MATCH($A613,EXTRATO!$A$2:$A$3000,0))="","",INDEX(EXTRATO!$H$2:$H$3000,MATCH($A613,EXTRATO!$A$2:$A$3000,0))))</f>
        <v>HR MANUTENCAO HOSPITALAR</v>
      </c>
      <c r="J613" s="86" t="s">
        <v>1313</v>
      </c>
      <c r="K613" s="86" t="str">
        <f>IF(AND(A613="",D613="",E613="",F613=""),"",IF(D613="","SEM CATEGORIA",IF(E613="","SEM SUBCATEGORIA",IF(COUNTIFS(CADASTROS!$L$7:$L$93,D613,CADASTROS!$D$7:$D$93,E613)=0,"INCOMPATÍVEL","OK"))))</f>
        <v>OK</v>
      </c>
    </row>
    <row r="614" spans="1:11" ht="30" hidden="1" customHeight="1" x14ac:dyDescent="0.25">
      <c r="A614" s="86" t="s">
        <v>1995</v>
      </c>
      <c r="B614" s="85">
        <f>IF(A614="","",IF(INDEX(EXTRATO!$C$2:$C$3000,MATCH($A614,EXTRATO!$A$2:$A$3000,0))="","",INDEX(EXTRATO!$C$2:$C$3000,MATCH($A614,EXTRATO!$A$2:$A$3000,0))))</f>
        <v>46171</v>
      </c>
      <c r="C614" s="86">
        <f t="shared" si="9"/>
        <v>5</v>
      </c>
      <c r="D614" s="81" t="s">
        <v>1415</v>
      </c>
      <c r="E614" s="79" t="s">
        <v>1661</v>
      </c>
      <c r="F614" s="80">
        <v>1470</v>
      </c>
      <c r="G614" s="81" t="s">
        <v>853</v>
      </c>
      <c r="H614" s="86" t="str">
        <f>IF(A614="","",IF(INDEX(EXTRATO!$F$2:$F$3000,MATCH($A614,EXTRATO!$A$2:$A$3000,0))="","",INDEX(EXTRATO!$F$2:$F$3000,MATCH($A614,EXTRATO!$A$2:$A$3000,0))))</f>
        <v>SAÍDA</v>
      </c>
      <c r="I614" s="88" t="str">
        <f>IF(A614="","",IF(INDEX(EXTRATO!$H$2:$H$3000,MATCH($A614,EXTRATO!$A$2:$A$3000,0))="","",INDEX(EXTRATO!$H$2:$H$3000,MATCH($A614,EXTRATO!$A$2:$A$3000,0))))</f>
        <v>DR. RENATO</v>
      </c>
      <c r="J614" s="86" t="s">
        <v>1313</v>
      </c>
      <c r="K614" s="86" t="str">
        <f>IF(AND(A614="",D614="",E614="",F614=""),"",IF(D614="","SEM CATEGORIA",IF(E614="","SEM SUBCATEGORIA",IF(COUNTIFS(CADASTROS!$L$7:$L$93,D614,CADASTROS!$D$7:$D$93,E614)=0,"INCOMPATÍVEL","OK"))))</f>
        <v>OK</v>
      </c>
    </row>
    <row r="615" spans="1:11" ht="30" hidden="1" customHeight="1" x14ac:dyDescent="0.25">
      <c r="A615" s="86" t="s">
        <v>1996</v>
      </c>
      <c r="B615" s="85">
        <f>IF(A615="","",IF(INDEX(EXTRATO!$C$2:$C$3000,MATCH($A615,EXTRATO!$A$2:$A$3000,0))="","",INDEX(EXTRATO!$C$2:$C$3000,MATCH($A615,EXTRATO!$A$2:$A$3000,0))))</f>
        <v>46171</v>
      </c>
      <c r="C615" s="86">
        <f t="shared" si="9"/>
        <v>5</v>
      </c>
      <c r="D615" s="81" t="s">
        <v>1330</v>
      </c>
      <c r="E615" s="79" t="s">
        <v>1337</v>
      </c>
      <c r="F615" s="80">
        <v>300</v>
      </c>
      <c r="G615" s="81" t="s">
        <v>854</v>
      </c>
      <c r="H615" s="86" t="str">
        <f>IF(A615="","",IF(INDEX(EXTRATO!$F$2:$F$3000,MATCH($A615,EXTRATO!$A$2:$A$3000,0))="","",INDEX(EXTRATO!$F$2:$F$3000,MATCH($A615,EXTRATO!$A$2:$A$3000,0))))</f>
        <v>SAÍDA</v>
      </c>
      <c r="I615" s="88" t="str">
        <f>IF(A615="","",IF(INDEX(EXTRATO!$H$2:$H$3000,MATCH($A615,EXTRATO!$A$2:$A$3000,0))="","",INDEX(EXTRATO!$H$2:$H$3000,MATCH($A615,EXTRATO!$A$2:$A$3000,0))))</f>
        <v>MASTER GRAFICA DIGITAL</v>
      </c>
      <c r="J615" s="86" t="s">
        <v>1313</v>
      </c>
      <c r="K615" s="86" t="str">
        <f>IF(AND(A615="",D615="",E615="",F615=""),"",IF(D615="","SEM CATEGORIA",IF(E615="","SEM SUBCATEGORIA",IF(COUNTIFS(CADASTROS!$L$7:$L$93,D615,CADASTROS!$D$7:$D$93,E615)=0,"INCOMPATÍVEL","OK"))))</f>
        <v>OK</v>
      </c>
    </row>
    <row r="616" spans="1:11" ht="30" hidden="1" customHeight="1" x14ac:dyDescent="0.25">
      <c r="A616" s="86" t="s">
        <v>1997</v>
      </c>
      <c r="B616" s="85">
        <f>IF(A616="","",IF(INDEX(EXTRATO!$C$2:$C$3000,MATCH($A616,EXTRATO!$A$2:$A$3000,0))="","",INDEX(EXTRATO!$C$2:$C$3000,MATCH($A616,EXTRATO!$A$2:$A$3000,0))))</f>
        <v>46174</v>
      </c>
      <c r="C616" s="86">
        <f t="shared" si="9"/>
        <v>6</v>
      </c>
      <c r="D616" s="81" t="s">
        <v>1454</v>
      </c>
      <c r="E616" s="79" t="s">
        <v>1473</v>
      </c>
      <c r="F616" s="80">
        <v>48992.160000000003</v>
      </c>
      <c r="G616" s="81" t="s">
        <v>857</v>
      </c>
      <c r="H616" s="86" t="str">
        <f>IF(A616="","",IF(INDEX(EXTRATO!$F$2:$F$3000,MATCH($A616,EXTRATO!$A$2:$A$3000,0))="","",INDEX(EXTRATO!$F$2:$F$3000,MATCH($A616,EXTRATO!$A$2:$A$3000,0))))</f>
        <v>SAÍDA</v>
      </c>
      <c r="I616" s="88" t="str">
        <f>IF(A616="","",IF(INDEX(EXTRATO!$H$2:$H$3000,MATCH($A616,EXTRATO!$A$2:$A$3000,0))="","",INDEX(EXTRATO!$H$2:$H$3000,MATCH($A616,EXTRATO!$A$2:$A$3000,0))))</f>
        <v>NIPRO</v>
      </c>
      <c r="J616" s="86" t="s">
        <v>1313</v>
      </c>
      <c r="K616" s="86" t="str">
        <f>IF(AND(A616="",D616="",E616="",F616=""),"",IF(D616="","SEM CATEGORIA",IF(E616="","SEM SUBCATEGORIA",IF(COUNTIFS(CADASTROS!$L$7:$L$93,D616,CADASTROS!$D$7:$D$93,E616)=0,"INCOMPATÍVEL","OK"))))</f>
        <v>OK</v>
      </c>
    </row>
    <row r="617" spans="1:11" ht="30" hidden="1" customHeight="1" x14ac:dyDescent="0.25">
      <c r="A617" s="86" t="s">
        <v>1998</v>
      </c>
      <c r="B617" s="85">
        <f>IF(A617="","",IF(INDEX(EXTRATO!$C$2:$C$3000,MATCH($A617,EXTRATO!$A$2:$A$3000,0))="","",INDEX(EXTRATO!$C$2:$C$3000,MATCH($A617,EXTRATO!$A$2:$A$3000,0))))</f>
        <v>46174</v>
      </c>
      <c r="C617" s="86">
        <f t="shared" si="9"/>
        <v>6</v>
      </c>
      <c r="D617" s="81" t="s">
        <v>1454</v>
      </c>
      <c r="E617" s="79" t="s">
        <v>1473</v>
      </c>
      <c r="F617" s="80">
        <v>9331.84</v>
      </c>
      <c r="G617" s="81" t="s">
        <v>858</v>
      </c>
      <c r="H617" s="86" t="str">
        <f>IF(A617="","",IF(INDEX(EXTRATO!$F$2:$F$3000,MATCH($A617,EXTRATO!$A$2:$A$3000,0))="","",INDEX(EXTRATO!$F$2:$F$3000,MATCH($A617,EXTRATO!$A$2:$A$3000,0))))</f>
        <v>SAÍDA</v>
      </c>
      <c r="I617" s="88" t="str">
        <f>IF(A617="","",IF(INDEX(EXTRATO!$H$2:$H$3000,MATCH($A617,EXTRATO!$A$2:$A$3000,0))="","",INDEX(EXTRATO!$H$2:$H$3000,MATCH($A617,EXTRATO!$A$2:$A$3000,0))))</f>
        <v>NIPRO</v>
      </c>
      <c r="J617" s="86" t="s">
        <v>1313</v>
      </c>
      <c r="K617" s="86" t="str">
        <f>IF(AND(A617="",D617="",E617="",F617=""),"",IF(D617="","SEM CATEGORIA",IF(E617="","SEM SUBCATEGORIA",IF(COUNTIFS(CADASTROS!$L$7:$L$93,D617,CADASTROS!$D$7:$D$93,E617)=0,"INCOMPATÍVEL","OK"))))</f>
        <v>OK</v>
      </c>
    </row>
    <row r="618" spans="1:11" ht="30" hidden="1" customHeight="1" x14ac:dyDescent="0.25">
      <c r="A618" s="86" t="s">
        <v>1999</v>
      </c>
      <c r="B618" s="85">
        <f>IF(A618="","",IF(INDEX(EXTRATO!$C$2:$C$3000,MATCH($A618,EXTRATO!$A$2:$A$3000,0))="","",INDEX(EXTRATO!$C$2:$C$3000,MATCH($A618,EXTRATO!$A$2:$A$3000,0))))</f>
        <v>46174</v>
      </c>
      <c r="C618" s="86">
        <f t="shared" si="9"/>
        <v>6</v>
      </c>
      <c r="D618" s="81" t="s">
        <v>1311</v>
      </c>
      <c r="E618" s="79" t="s">
        <v>1376</v>
      </c>
      <c r="F618" s="80">
        <v>10173.75</v>
      </c>
      <c r="G618" s="81" t="s">
        <v>859</v>
      </c>
      <c r="H618" s="86" t="str">
        <f>IF(A618="","",IF(INDEX(EXTRATO!$F$2:$F$3000,MATCH($A618,EXTRATO!$A$2:$A$3000,0))="","",INDEX(EXTRATO!$F$2:$F$3000,MATCH($A618,EXTRATO!$A$2:$A$3000,0))))</f>
        <v>SAÍDA</v>
      </c>
      <c r="I618" s="88" t="str">
        <f>IF(A618="","",IF(INDEX(EXTRATO!$H$2:$H$3000,MATCH($A618,EXTRATO!$A$2:$A$3000,0))="","",INDEX(EXTRATO!$H$2:$H$3000,MATCH($A618,EXTRATO!$A$2:$A$3000,0))))</f>
        <v>NIPRO</v>
      </c>
      <c r="J618" s="86" t="s">
        <v>1313</v>
      </c>
      <c r="K618" s="86" t="str">
        <f>IF(AND(A618="",D618="",E618="",F618=""),"",IF(D618="","SEM CATEGORIA",IF(E618="","SEM SUBCATEGORIA",IF(COUNTIFS(CADASTROS!$L$7:$L$93,D618,CADASTROS!$D$7:$D$93,E618)=0,"INCOMPATÍVEL","OK"))))</f>
        <v>OK</v>
      </c>
    </row>
    <row r="619" spans="1:11" ht="30" hidden="1" customHeight="1" x14ac:dyDescent="0.25">
      <c r="A619" s="86" t="s">
        <v>2000</v>
      </c>
      <c r="B619" s="85">
        <f>IF(A619="","",IF(INDEX(EXTRATO!$C$2:$C$3000,MATCH($A619,EXTRATO!$A$2:$A$3000,0))="","",INDEX(EXTRATO!$C$2:$C$3000,MATCH($A619,EXTRATO!$A$2:$A$3000,0))))</f>
        <v>46174</v>
      </c>
      <c r="C619" s="86">
        <f t="shared" si="9"/>
        <v>6</v>
      </c>
      <c r="D619" s="81" t="s">
        <v>1330</v>
      </c>
      <c r="E619" s="79" t="s">
        <v>1344</v>
      </c>
      <c r="F619" s="80">
        <v>27.39</v>
      </c>
      <c r="G619" s="81" t="s">
        <v>861</v>
      </c>
      <c r="H619" s="86" t="str">
        <f>IF(A619="","",IF(INDEX(EXTRATO!$F$2:$F$3000,MATCH($A619,EXTRATO!$A$2:$A$3000,0))="","",INDEX(EXTRATO!$F$2:$F$3000,MATCH($A619,EXTRATO!$A$2:$A$3000,0))))</f>
        <v>SAÍDA</v>
      </c>
      <c r="I619" s="88" t="str">
        <f>IF(A619="","",IF(INDEX(EXTRATO!$H$2:$H$3000,MATCH($A619,EXTRATO!$A$2:$A$3000,0))="","",INDEX(EXTRATO!$H$2:$H$3000,MATCH($A619,EXTRATO!$A$2:$A$3000,0))))</f>
        <v>EQUATORIAL MARANHÃO</v>
      </c>
      <c r="J619" s="86" t="s">
        <v>1313</v>
      </c>
      <c r="K619" s="86" t="str">
        <f>IF(AND(A619="",D619="",E619="",F619=""),"",IF(D619="","SEM CATEGORIA",IF(E619="","SEM SUBCATEGORIA",IF(COUNTIFS(CADASTROS!$L$7:$L$93,D619,CADASTROS!$D$7:$D$93,E619)=0,"INCOMPATÍVEL","OK"))))</f>
        <v>OK</v>
      </c>
    </row>
    <row r="620" spans="1:11" ht="30" hidden="1" customHeight="1" x14ac:dyDescent="0.25">
      <c r="A620" s="86" t="s">
        <v>2001</v>
      </c>
      <c r="B620" s="85">
        <f>IF(A620="","",IF(INDEX(EXTRATO!$C$2:$C$3000,MATCH($A620,EXTRATO!$A$2:$A$3000,0))="","",INDEX(EXTRATO!$C$2:$C$3000,MATCH($A620,EXTRATO!$A$2:$A$3000,0))))</f>
        <v>46174</v>
      </c>
      <c r="C620" s="86">
        <f t="shared" si="9"/>
        <v>6</v>
      </c>
      <c r="D620" s="81" t="s">
        <v>1311</v>
      </c>
      <c r="E620" s="79" t="s">
        <v>1320</v>
      </c>
      <c r="F620" s="80">
        <v>1680</v>
      </c>
      <c r="G620" s="81" t="s">
        <v>478</v>
      </c>
      <c r="H620" s="86" t="str">
        <f>IF(A620="","",IF(INDEX(EXTRATO!$F$2:$F$3000,MATCH($A620,EXTRATO!$A$2:$A$3000,0))="","",INDEX(EXTRATO!$F$2:$F$3000,MATCH($A620,EXTRATO!$A$2:$A$3000,0))))</f>
        <v>SAÍDA</v>
      </c>
      <c r="I620" s="88" t="str">
        <f>IF(A620="","",IF(INDEX(EXTRATO!$H$2:$H$3000,MATCH($A620,EXTRATO!$A$2:$A$3000,0))="","",INDEX(EXTRATO!$H$2:$H$3000,MATCH($A620,EXTRATO!$A$2:$A$3000,0))))</f>
        <v>DIALISE COMERCIO</v>
      </c>
      <c r="J620" s="86" t="s">
        <v>1313</v>
      </c>
      <c r="K620" s="86" t="str">
        <f>IF(AND(A620="",D620="",E620="",F620=""),"",IF(D620="","SEM CATEGORIA",IF(E620="","SEM SUBCATEGORIA",IF(COUNTIFS(CADASTROS!$L$7:$L$93,D620,CADASTROS!$D$7:$D$93,E620)=0,"INCOMPATÍVEL","OK"))))</f>
        <v>OK</v>
      </c>
    </row>
    <row r="621" spans="1:11" ht="30" hidden="1" customHeight="1" x14ac:dyDescent="0.25">
      <c r="A621" s="86" t="s">
        <v>2001</v>
      </c>
      <c r="B621" s="85">
        <f>IF(A621="","",IF(INDEX(EXTRATO!$C$2:$C$3000,MATCH($A621,EXTRATO!$A$2:$A$3000,0))="","",INDEX(EXTRATO!$C$2:$C$3000,MATCH($A621,EXTRATO!$A$2:$A$3000,0))))</f>
        <v>46174</v>
      </c>
      <c r="C621" s="86">
        <f t="shared" si="9"/>
        <v>6</v>
      </c>
      <c r="D621" s="81" t="s">
        <v>1311</v>
      </c>
      <c r="E621" s="79" t="s">
        <v>1376</v>
      </c>
      <c r="F621" s="80">
        <v>792</v>
      </c>
      <c r="G621" s="81" t="s">
        <v>2007</v>
      </c>
      <c r="H621" s="86" t="str">
        <f>IF(A621="","",IF(INDEX(EXTRATO!$F$2:$F$3000,MATCH($A621,EXTRATO!$A$2:$A$3000,0))="","",INDEX(EXTRATO!$F$2:$F$3000,MATCH($A621,EXTRATO!$A$2:$A$3000,0))))</f>
        <v>SAÍDA</v>
      </c>
      <c r="I621" s="88" t="str">
        <f>IF(A621="","",IF(INDEX(EXTRATO!$H$2:$H$3000,MATCH($A621,EXTRATO!$A$2:$A$3000,0))="","",INDEX(EXTRATO!$H$2:$H$3000,MATCH($A621,EXTRATO!$A$2:$A$3000,0))))</f>
        <v>DIALISE COMERCIO</v>
      </c>
      <c r="J621" s="86" t="s">
        <v>1313</v>
      </c>
      <c r="K621" s="86" t="str">
        <f>IF(AND(A621="",D621="",E621="",F621=""),"",IF(D621="","SEM CATEGORIA",IF(E621="","SEM SUBCATEGORIA",IF(COUNTIFS(CADASTROS!$L$7:$L$93,D621,CADASTROS!$D$7:$D$93,E621)=0,"INCOMPATÍVEL","OK"))))</f>
        <v>OK</v>
      </c>
    </row>
    <row r="622" spans="1:11" ht="30" hidden="1" customHeight="1" x14ac:dyDescent="0.25">
      <c r="A622" s="86" t="s">
        <v>2001</v>
      </c>
      <c r="B622" s="85">
        <f>IF(A622="","",IF(INDEX(EXTRATO!$C$2:$C$3000,MATCH($A622,EXTRATO!$A$2:$A$3000,0))="","",INDEX(EXTRATO!$C$2:$C$3000,MATCH($A622,EXTRATO!$A$2:$A$3000,0))))</f>
        <v>46174</v>
      </c>
      <c r="C622" s="86">
        <f t="shared" si="9"/>
        <v>6</v>
      </c>
      <c r="D622" s="81" t="s">
        <v>1311</v>
      </c>
      <c r="E622" s="79" t="s">
        <v>1312</v>
      </c>
      <c r="F622" s="80">
        <v>310</v>
      </c>
      <c r="G622" s="81" t="s">
        <v>2008</v>
      </c>
      <c r="H622" s="86" t="str">
        <f>IF(A622="","",IF(INDEX(EXTRATO!$F$2:$F$3000,MATCH($A622,EXTRATO!$A$2:$A$3000,0))="","",INDEX(EXTRATO!$F$2:$F$3000,MATCH($A622,EXTRATO!$A$2:$A$3000,0))))</f>
        <v>SAÍDA</v>
      </c>
      <c r="I622" s="88" t="str">
        <f>IF(A622="","",IF(INDEX(EXTRATO!$H$2:$H$3000,MATCH($A622,EXTRATO!$A$2:$A$3000,0))="","",INDEX(EXTRATO!$H$2:$H$3000,MATCH($A622,EXTRATO!$A$2:$A$3000,0))))</f>
        <v>DIALISE COMERCIO</v>
      </c>
      <c r="J622" s="86" t="s">
        <v>1313</v>
      </c>
      <c r="K622" s="86" t="str">
        <f>IF(AND(A622="",D622="",E622="",F622=""),"",IF(D622="","SEM CATEGORIA",IF(E622="","SEM SUBCATEGORIA",IF(COUNTIFS(CADASTROS!$L$7:$L$93,D622,CADASTROS!$D$7:$D$93,E622)=0,"INCOMPATÍVEL","OK"))))</f>
        <v>OK</v>
      </c>
    </row>
    <row r="623" spans="1:11" ht="30" hidden="1" customHeight="1" x14ac:dyDescent="0.25">
      <c r="A623" s="86" t="s">
        <v>2002</v>
      </c>
      <c r="B623" s="85">
        <f>IF(A623="","",IF(INDEX(EXTRATO!$C$2:$C$3000,MATCH($A623,EXTRATO!$A$2:$A$3000,0))="","",INDEX(EXTRATO!$C$2:$C$3000,MATCH($A623,EXTRATO!$A$2:$A$3000,0))))</f>
        <v>46174</v>
      </c>
      <c r="C623" s="86">
        <f t="shared" si="9"/>
        <v>6</v>
      </c>
      <c r="D623" s="81" t="s">
        <v>1311</v>
      </c>
      <c r="E623" s="79" t="s">
        <v>1312</v>
      </c>
      <c r="F623" s="80">
        <v>187.5</v>
      </c>
      <c r="G623" s="81" t="s">
        <v>2010</v>
      </c>
      <c r="H623" s="86" t="str">
        <f>IF(A623="","",IF(INDEX(EXTRATO!$F$2:$F$3000,MATCH($A623,EXTRATO!$A$2:$A$3000,0))="","",INDEX(EXTRATO!$F$2:$F$3000,MATCH($A623,EXTRATO!$A$2:$A$3000,0))))</f>
        <v>SAÍDA</v>
      </c>
      <c r="I623" s="88" t="str">
        <f>IF(A623="","",IF(INDEX(EXTRATO!$H$2:$H$3000,MATCH($A623,EXTRATO!$A$2:$A$3000,0))="","",INDEX(EXTRATO!$H$2:$H$3000,MATCH($A623,EXTRATO!$A$2:$A$3000,0))))</f>
        <v>BIOCOMPANY</v>
      </c>
      <c r="J623" s="86" t="s">
        <v>1313</v>
      </c>
      <c r="K623" s="86" t="str">
        <f>IF(AND(A623="",D623="",E623="",F623=""),"",IF(D623="","SEM CATEGORIA",IF(E623="","SEM SUBCATEGORIA",IF(COUNTIFS(CADASTROS!$L$7:$L$93,D623,CADASTROS!$D$7:$D$93,E623)=0,"INCOMPATÍVEL","OK"))))</f>
        <v>OK</v>
      </c>
    </row>
    <row r="624" spans="1:11" ht="30" hidden="1" customHeight="1" x14ac:dyDescent="0.25">
      <c r="A624" s="86" t="s">
        <v>2002</v>
      </c>
      <c r="B624" s="85">
        <f>IF(A624="","",IF(INDEX(EXTRATO!$C$2:$C$3000,MATCH($A624,EXTRATO!$A$2:$A$3000,0))="","",INDEX(EXTRATO!$C$2:$C$3000,MATCH($A624,EXTRATO!$A$2:$A$3000,0))))</f>
        <v>46174</v>
      </c>
      <c r="C624" s="86">
        <f t="shared" si="9"/>
        <v>6</v>
      </c>
      <c r="D624" s="81" t="s">
        <v>1311</v>
      </c>
      <c r="E624" s="79" t="s">
        <v>1318</v>
      </c>
      <c r="F624" s="80">
        <v>1040</v>
      </c>
      <c r="G624" s="81" t="s">
        <v>2011</v>
      </c>
      <c r="H624" s="86" t="str">
        <f>IF(A624="","",IF(INDEX(EXTRATO!$F$2:$F$3000,MATCH($A624,EXTRATO!$A$2:$A$3000,0))="","",INDEX(EXTRATO!$F$2:$F$3000,MATCH($A624,EXTRATO!$A$2:$A$3000,0))))</f>
        <v>SAÍDA</v>
      </c>
      <c r="I624" s="88" t="str">
        <f>IF(A624="","",IF(INDEX(EXTRATO!$H$2:$H$3000,MATCH($A624,EXTRATO!$A$2:$A$3000,0))="","",INDEX(EXTRATO!$H$2:$H$3000,MATCH($A624,EXTRATO!$A$2:$A$3000,0))))</f>
        <v>BIOCOMPANY</v>
      </c>
      <c r="J624" s="86" t="s">
        <v>1313</v>
      </c>
      <c r="K624" s="86" t="str">
        <f>IF(AND(A624="",D624="",E624="",F624=""),"",IF(D624="","SEM CATEGORIA",IF(E624="","SEM SUBCATEGORIA",IF(COUNTIFS(CADASTROS!$L$7:$L$93,D624,CADASTROS!$D$7:$D$93,E624)=0,"INCOMPATÍVEL","OK"))))</f>
        <v>OK</v>
      </c>
    </row>
    <row r="625" spans="1:11" ht="30" hidden="1" customHeight="1" x14ac:dyDescent="0.25">
      <c r="A625" s="86" t="s">
        <v>2003</v>
      </c>
      <c r="B625" s="85">
        <f>IF(A625="","",IF(INDEX(EXTRATO!$C$2:$C$3000,MATCH($A625,EXTRATO!$A$2:$A$3000,0))="","",INDEX(EXTRATO!$C$2:$C$3000,MATCH($A625,EXTRATO!$A$2:$A$3000,0))))</f>
        <v>46174</v>
      </c>
      <c r="C625" s="86">
        <f t="shared" si="9"/>
        <v>6</v>
      </c>
      <c r="D625" s="81" t="s">
        <v>1311</v>
      </c>
      <c r="E625" s="79" t="s">
        <v>1315</v>
      </c>
      <c r="F625" s="80">
        <v>1561</v>
      </c>
      <c r="G625" s="81" t="s">
        <v>53</v>
      </c>
      <c r="H625" s="86" t="str">
        <f>IF(A625="","",IF(INDEX(EXTRATO!$F$2:$F$3000,MATCH($A625,EXTRATO!$A$2:$A$3000,0))="","",INDEX(EXTRATO!$F$2:$F$3000,MATCH($A625,EXTRATO!$A$2:$A$3000,0))))</f>
        <v>SAÍDA</v>
      </c>
      <c r="I625" s="88" t="str">
        <f>IF(A625="","",IF(INDEX(EXTRATO!$H$2:$H$3000,MATCH($A625,EXTRATO!$A$2:$A$3000,0))="","",INDEX(EXTRATO!$H$2:$H$3000,MATCH($A625,EXTRATO!$A$2:$A$3000,0))))</f>
        <v>ALLMED PRONEFRO</v>
      </c>
      <c r="J625" s="86" t="s">
        <v>1313</v>
      </c>
      <c r="K625" s="86" t="str">
        <f>IF(AND(A625="",D625="",E625="",F625=""),"",IF(D625="","SEM CATEGORIA",IF(E625="","SEM SUBCATEGORIA",IF(COUNTIFS(CADASTROS!$L$7:$L$93,D625,CADASTROS!$D$7:$D$93,E625)=0,"INCOMPATÍVEL","OK"))))</f>
        <v>OK</v>
      </c>
    </row>
    <row r="626" spans="1:11" ht="30" hidden="1" customHeight="1" x14ac:dyDescent="0.25">
      <c r="A626" s="86" t="s">
        <v>2004</v>
      </c>
      <c r="B626" s="85">
        <f>IF(A626="","",IF(INDEX(EXTRATO!$C$2:$C$3000,MATCH($A626,EXTRATO!$A$2:$A$3000,0))="","",INDEX(EXTRATO!$C$2:$C$3000,MATCH($A626,EXTRATO!$A$2:$A$3000,0))))</f>
        <v>46174</v>
      </c>
      <c r="C626" s="86">
        <f t="shared" si="9"/>
        <v>6</v>
      </c>
      <c r="D626" s="81" t="s">
        <v>1305</v>
      </c>
      <c r="E626" s="79" t="s">
        <v>1306</v>
      </c>
      <c r="F626" s="80">
        <v>500</v>
      </c>
      <c r="G626" s="81" t="s">
        <v>45</v>
      </c>
      <c r="H626" s="86" t="str">
        <f>IF(A626="","",IF(INDEX(EXTRATO!$F$2:$F$3000,MATCH($A626,EXTRATO!$A$2:$A$3000,0))="","",INDEX(EXTRATO!$F$2:$F$3000,MATCH($A626,EXTRATO!$A$2:$A$3000,0))))</f>
        <v>RESGATE</v>
      </c>
      <c r="I626" s="88" t="str">
        <f>IF(A626="","",IF(INDEX(EXTRATO!$H$2:$H$3000,MATCH($A626,EXTRATO!$A$2:$A$3000,0))="","",INDEX(EXTRATO!$H$2:$H$3000,MATCH($A626,EXTRATO!$A$2:$A$3000,0))))</f>
        <v>BANCO DO BRASIL - CDB DI</v>
      </c>
      <c r="J626" s="86" t="s">
        <v>1307</v>
      </c>
      <c r="K626" s="86" t="str">
        <f>IF(AND(A626="",D626="",E626="",F626=""),"",IF(D626="","SEM CATEGORIA",IF(E626="","SEM SUBCATEGORIA",IF(COUNTIFS(CADASTROS!$L$7:$L$93,D626,CADASTROS!$D$7:$D$93,E626)=0,"INCOMPATÍVEL","OK"))))</f>
        <v>OK</v>
      </c>
    </row>
    <row r="627" spans="1:11" ht="30" hidden="1" customHeight="1" x14ac:dyDescent="0.25">
      <c r="A627" s="86" t="s">
        <v>2005</v>
      </c>
      <c r="B627" s="85">
        <f>IF(A627="","",IF(INDEX(EXTRATO!$C$2:$C$3000,MATCH($A627,EXTRATO!$A$2:$A$3000,0))="","",INDEX(EXTRATO!$C$2:$C$3000,MATCH($A627,EXTRATO!$A$2:$A$3000,0))))</f>
        <v>46175</v>
      </c>
      <c r="C627" s="86">
        <f t="shared" si="9"/>
        <v>6</v>
      </c>
      <c r="D627" s="81" t="s">
        <v>1305</v>
      </c>
      <c r="E627" s="79" t="s">
        <v>1962</v>
      </c>
      <c r="F627" s="80">
        <v>100000</v>
      </c>
      <c r="G627" s="81" t="s">
        <v>808</v>
      </c>
      <c r="H627" s="86" t="str">
        <f>IF(A627="","",IF(INDEX(EXTRATO!$F$2:$F$3000,MATCH($A627,EXTRATO!$A$2:$A$3000,0))="","",INDEX(EXTRATO!$F$2:$F$3000,MATCH($A627,EXTRATO!$A$2:$A$3000,0))))</f>
        <v>ENTRADA</v>
      </c>
      <c r="I627" s="88" t="str">
        <f>IF(A627="","",IF(INDEX(EXTRATO!$H$2:$H$3000,MATCH($A627,EXTRATO!$A$2:$A$3000,0))="","",INDEX(EXTRATO!$H$2:$H$3000,MATCH($A627,EXTRATO!$A$2:$A$3000,0))))</f>
        <v>BIORENAL LTDA</v>
      </c>
      <c r="J627" s="86" t="s">
        <v>1307</v>
      </c>
      <c r="K627" s="86" t="str">
        <f>IF(AND(A627="",D627="",E627="",F627=""),"",IF(D627="","SEM CATEGORIA",IF(E627="","SEM SUBCATEGORIA",IF(COUNTIFS(CADASTROS!$L$7:$L$93,D627,CADASTROS!$D$7:$D$93,E627)=0,"INCOMPATÍVEL","OK"))))</f>
        <v>OK</v>
      </c>
    </row>
    <row r="628" spans="1:11" ht="30" hidden="1" customHeight="1" x14ac:dyDescent="0.25">
      <c r="A628" s="86" t="s">
        <v>2006</v>
      </c>
      <c r="B628" s="85">
        <f>IF(A628="","",IF(INDEX(EXTRATO!$C$2:$C$3000,MATCH($A628,EXTRATO!$A$2:$A$3000,0))="","",INDEX(EXTRATO!$C$2:$C$3000,MATCH($A628,EXTRATO!$A$2:$A$3000,0))))</f>
        <v>46175</v>
      </c>
      <c r="C628" s="86">
        <f t="shared" si="9"/>
        <v>6</v>
      </c>
      <c r="D628" s="81" t="s">
        <v>1305</v>
      </c>
      <c r="E628" s="79" t="s">
        <v>1306</v>
      </c>
      <c r="F628" s="80">
        <v>21.88</v>
      </c>
      <c r="G628" s="81" t="s">
        <v>45</v>
      </c>
      <c r="H628" s="86" t="str">
        <f>IF(A628="","",IF(INDEX(EXTRATO!$F$2:$F$3000,MATCH($A628,EXTRATO!$A$2:$A$3000,0))="","",INDEX(EXTRATO!$F$2:$F$3000,MATCH($A628,EXTRATO!$A$2:$A$3000,0))))</f>
        <v>RESGATE</v>
      </c>
      <c r="I628" s="88" t="str">
        <f>IF(A628="","",IF(INDEX(EXTRATO!$H$2:$H$3000,MATCH($A628,EXTRATO!$A$2:$A$3000,0))="","",INDEX(EXTRATO!$H$2:$H$3000,MATCH($A628,EXTRATO!$A$2:$A$3000,0))))</f>
        <v>BANCO DO BRASIL - CDB DI</v>
      </c>
      <c r="J628" s="86" t="s">
        <v>1307</v>
      </c>
      <c r="K628" s="86" t="str">
        <f>IF(AND(A628="",D628="",E628="",F628=""),"",IF(D628="","SEM CATEGORIA",IF(E628="","SEM SUBCATEGORIA",IF(COUNTIFS(CADASTROS!$L$7:$L$93,D628,CADASTROS!$D$7:$D$93,E628)=0,"INCOMPATÍVEL","OK"))))</f>
        <v>OK</v>
      </c>
    </row>
    <row r="629" spans="1:11" ht="30" hidden="1" customHeight="1" x14ac:dyDescent="0.25">
      <c r="A629" s="86" t="s">
        <v>2009</v>
      </c>
      <c r="B629" s="85">
        <f>IF(A629="","",IF(INDEX(EXTRATO!$C$2:$C$3000,MATCH($A629,EXTRATO!$A$2:$A$3000,0))="","",INDEX(EXTRATO!$C$2:$C$3000,MATCH($A629,EXTRATO!$A$2:$A$3000,0))))</f>
        <v>46175</v>
      </c>
      <c r="C629" s="86">
        <f t="shared" si="9"/>
        <v>6</v>
      </c>
      <c r="D629" s="81" t="s">
        <v>1311</v>
      </c>
      <c r="E629" s="79" t="s">
        <v>1404</v>
      </c>
      <c r="F629" s="80">
        <v>15996.07</v>
      </c>
      <c r="G629" s="81" t="s">
        <v>865</v>
      </c>
      <c r="H629" s="86" t="str">
        <f>IF(A629="","",IF(INDEX(EXTRATO!$F$2:$F$3000,MATCH($A629,EXTRATO!$A$2:$A$3000,0))="","",INDEX(EXTRATO!$F$2:$F$3000,MATCH($A629,EXTRATO!$A$2:$A$3000,0))))</f>
        <v>SAÍDA</v>
      </c>
      <c r="I629" s="88" t="str">
        <f>IF(A629="","",IF(INDEX(EXTRATO!$H$2:$H$3000,MATCH($A629,EXTRATO!$A$2:$A$3000,0))="","",INDEX(EXTRATO!$H$2:$H$3000,MATCH($A629,EXTRATO!$A$2:$A$3000,0))))</f>
        <v>FARMACE</v>
      </c>
      <c r="J629" s="86" t="s">
        <v>1313</v>
      </c>
      <c r="K629" s="86" t="str">
        <f>IF(AND(A629="",D629="",E629="",F629=""),"",IF(D629="","SEM CATEGORIA",IF(E629="","SEM SUBCATEGORIA",IF(COUNTIFS(CADASTROS!$L$7:$L$93,D629,CADASTROS!$D$7:$D$93,E629)=0,"INCOMPATÍVEL","OK"))))</f>
        <v>OK</v>
      </c>
    </row>
    <row r="630" spans="1:11" ht="30" hidden="1" customHeight="1" x14ac:dyDescent="0.25">
      <c r="A630" s="86" t="s">
        <v>2012</v>
      </c>
      <c r="B630" s="85">
        <f>IF(A630="","",IF(INDEX(EXTRATO!$C$2:$C$3000,MATCH($A630,EXTRATO!$A$2:$A$3000,0))="","",INDEX(EXTRATO!$C$2:$C$3000,MATCH($A630,EXTRATO!$A$2:$A$3000,0))))</f>
        <v>46175</v>
      </c>
      <c r="C630" s="86">
        <f t="shared" si="9"/>
        <v>6</v>
      </c>
      <c r="D630" s="81" t="s">
        <v>1330</v>
      </c>
      <c r="E630" s="79" t="s">
        <v>1379</v>
      </c>
      <c r="F630" s="80">
        <v>2998.13</v>
      </c>
      <c r="G630" s="81" t="s">
        <v>254</v>
      </c>
      <c r="H630" s="86" t="str">
        <f>IF(A630="","",IF(INDEX(EXTRATO!$F$2:$F$3000,MATCH($A630,EXTRATO!$A$2:$A$3000,0))="","",INDEX(EXTRATO!$F$2:$F$3000,MATCH($A630,EXTRATO!$A$2:$A$3000,0))))</f>
        <v>SAÍDA</v>
      </c>
      <c r="I630" s="88" t="str">
        <f>IF(A630="","",IF(INDEX(EXTRATO!$H$2:$H$3000,MATCH($A630,EXTRATO!$A$2:$A$3000,0))="","",INDEX(EXTRATO!$H$2:$H$3000,MATCH($A630,EXTRATO!$A$2:$A$3000,0))))</f>
        <v>NEPHROSYS SUPORTE E MANUTENÇÃO</v>
      </c>
      <c r="J630" s="86" t="s">
        <v>1313</v>
      </c>
      <c r="K630" s="86" t="str">
        <f>IF(AND(A630="",D630="",E630="",F630=""),"",IF(D630="","SEM CATEGORIA",IF(E630="","SEM SUBCATEGORIA",IF(COUNTIFS(CADASTROS!$L$7:$L$93,D630,CADASTROS!$D$7:$D$93,E630)=0,"INCOMPATÍVEL","OK"))))</f>
        <v>OK</v>
      </c>
    </row>
    <row r="631" spans="1:11" ht="30" hidden="1" customHeight="1" x14ac:dyDescent="0.25">
      <c r="A631" s="86" t="s">
        <v>2013</v>
      </c>
      <c r="B631" s="85">
        <f>IF(A631="","",IF(INDEX(EXTRATO!$C$2:$C$3000,MATCH($A631,EXTRATO!$A$2:$A$3000,0))="","",INDEX(EXTRATO!$C$2:$C$3000,MATCH($A631,EXTRATO!$A$2:$A$3000,0))))</f>
        <v>46175</v>
      </c>
      <c r="C631" s="86">
        <f t="shared" si="9"/>
        <v>6</v>
      </c>
      <c r="D631" s="81" t="s">
        <v>1330</v>
      </c>
      <c r="E631" s="79" t="s">
        <v>1344</v>
      </c>
      <c r="F631" s="80">
        <v>21363.33</v>
      </c>
      <c r="G631" s="81" t="s">
        <v>870</v>
      </c>
      <c r="H631" s="86" t="str">
        <f>IF(A631="","",IF(INDEX(EXTRATO!$F$2:$F$3000,MATCH($A631,EXTRATO!$A$2:$A$3000,0))="","",INDEX(EXTRATO!$F$2:$F$3000,MATCH($A631,EXTRATO!$A$2:$A$3000,0))))</f>
        <v>SAÍDA</v>
      </c>
      <c r="I631" s="88" t="str">
        <f>IF(A631="","",IF(INDEX(EXTRATO!$H$2:$H$3000,MATCH($A631,EXTRATO!$A$2:$A$3000,0))="","",INDEX(EXTRATO!$H$2:$H$3000,MATCH($A631,EXTRATO!$A$2:$A$3000,0))))</f>
        <v>EQUATORIAL MARANHÃO</v>
      </c>
      <c r="J631" s="86" t="s">
        <v>1313</v>
      </c>
      <c r="K631" s="86" t="str">
        <f>IF(AND(A631="",D631="",E631="",F631=""),"",IF(D631="","SEM CATEGORIA",IF(E631="","SEM SUBCATEGORIA",IF(COUNTIFS(CADASTROS!$L$7:$L$93,D631,CADASTROS!$D$7:$D$93,E631)=0,"INCOMPATÍVEL","OK"))))</f>
        <v>OK</v>
      </c>
    </row>
    <row r="632" spans="1:11" ht="30" hidden="1" customHeight="1" x14ac:dyDescent="0.25">
      <c r="A632" s="86" t="s">
        <v>2014</v>
      </c>
      <c r="B632" s="85">
        <f>IF(A632="","",IF(INDEX(EXTRATO!$C$2:$C$3000,MATCH($A632,EXTRATO!$A$2:$A$3000,0))="","",INDEX(EXTRATO!$C$2:$C$3000,MATCH($A632,EXTRATO!$A$2:$A$3000,0))))</f>
        <v>46175</v>
      </c>
      <c r="C632" s="86">
        <f t="shared" si="9"/>
        <v>6</v>
      </c>
      <c r="D632" s="81" t="s">
        <v>1311</v>
      </c>
      <c r="E632" s="79" t="s">
        <v>1376</v>
      </c>
      <c r="F632" s="80">
        <v>1700</v>
      </c>
      <c r="G632" s="81" t="s">
        <v>522</v>
      </c>
      <c r="H632" s="86" t="str">
        <f>IF(A632="","",IF(INDEX(EXTRATO!$F$2:$F$3000,MATCH($A632,EXTRATO!$A$2:$A$3000,0))="","",INDEX(EXTRATO!$F$2:$F$3000,MATCH($A632,EXTRATO!$A$2:$A$3000,0))))</f>
        <v>SAÍDA</v>
      </c>
      <c r="I632" s="88" t="str">
        <f>IF(A632="","",IF(INDEX(EXTRATO!$H$2:$H$3000,MATCH($A632,EXTRATO!$A$2:$A$3000,0))="","",INDEX(EXTRATO!$H$2:$H$3000,MATCH($A632,EXTRATO!$A$2:$A$3000,0))))</f>
        <v>DIALISE COMERCIO</v>
      </c>
      <c r="J632" s="86" t="s">
        <v>1313</v>
      </c>
      <c r="K632" s="86" t="str">
        <f>IF(AND(A632="",D632="",E632="",F632=""),"",IF(D632="","SEM CATEGORIA",IF(E632="","SEM SUBCATEGORIA",IF(COUNTIFS(CADASTROS!$L$7:$L$93,D632,CADASTROS!$D$7:$D$93,E632)=0,"INCOMPATÍVEL","OK"))))</f>
        <v>OK</v>
      </c>
    </row>
    <row r="633" spans="1:11" ht="30" hidden="1" customHeight="1" x14ac:dyDescent="0.25">
      <c r="A633" s="86" t="s">
        <v>2014</v>
      </c>
      <c r="B633" s="85">
        <f>IF(A633="","",IF(INDEX(EXTRATO!$C$2:$C$3000,MATCH($A633,EXTRATO!$A$2:$A$3000,0))="","",INDEX(EXTRATO!$C$2:$C$3000,MATCH($A633,EXTRATO!$A$2:$A$3000,0))))</f>
        <v>46175</v>
      </c>
      <c r="C633" s="86">
        <f t="shared" si="9"/>
        <v>6</v>
      </c>
      <c r="D633" s="81" t="s">
        <v>1311</v>
      </c>
      <c r="E633" s="79" t="s">
        <v>1320</v>
      </c>
      <c r="F633" s="80">
        <v>396</v>
      </c>
      <c r="G633" s="81" t="s">
        <v>2020</v>
      </c>
      <c r="H633" s="86" t="str">
        <f>IF(A633="","",IF(INDEX(EXTRATO!$F$2:$F$3000,MATCH($A633,EXTRATO!$A$2:$A$3000,0))="","",INDEX(EXTRATO!$F$2:$F$3000,MATCH($A633,EXTRATO!$A$2:$A$3000,0))))</f>
        <v>SAÍDA</v>
      </c>
      <c r="I633" s="88" t="str">
        <f>IF(A633="","",IF(INDEX(EXTRATO!$H$2:$H$3000,MATCH($A633,EXTRATO!$A$2:$A$3000,0))="","",INDEX(EXTRATO!$H$2:$H$3000,MATCH($A633,EXTRATO!$A$2:$A$3000,0))))</f>
        <v>DIALISE COMERCIO</v>
      </c>
      <c r="J633" s="86" t="s">
        <v>1313</v>
      </c>
      <c r="K633" s="86" t="str">
        <f>IF(AND(A633="",D633="",E633="",F633=""),"",IF(D633="","SEM CATEGORIA",IF(E633="","SEM SUBCATEGORIA",IF(COUNTIFS(CADASTROS!$L$7:$L$93,D633,CADASTROS!$D$7:$D$93,E633)=0,"INCOMPATÍVEL","OK"))))</f>
        <v>OK</v>
      </c>
    </row>
    <row r="634" spans="1:11" ht="30" hidden="1" customHeight="1" x14ac:dyDescent="0.25">
      <c r="A634" s="86" t="s">
        <v>2015</v>
      </c>
      <c r="B634" s="85">
        <f>IF(A634="","",IF(INDEX(EXTRATO!$C$2:$C$3000,MATCH($A634,EXTRATO!$A$2:$A$3000,0))="","",INDEX(EXTRATO!$C$2:$C$3000,MATCH($A634,EXTRATO!$A$2:$A$3000,0))))</f>
        <v>46176</v>
      </c>
      <c r="C634" s="86">
        <f t="shared" si="9"/>
        <v>6</v>
      </c>
      <c r="D634" s="81" t="s">
        <v>1311</v>
      </c>
      <c r="E634" s="79" t="s">
        <v>1312</v>
      </c>
      <c r="F634" s="80">
        <v>1841.16</v>
      </c>
      <c r="G634" s="81" t="s">
        <v>2022</v>
      </c>
      <c r="H634" s="86" t="str">
        <f>IF(A634="","",IF(INDEX(EXTRATO!$F$2:$F$3000,MATCH($A634,EXTRATO!$A$2:$A$3000,0))="","",INDEX(EXTRATO!$F$2:$F$3000,MATCH($A634,EXTRATO!$A$2:$A$3000,0))))</f>
        <v>SAÍDA</v>
      </c>
      <c r="I634" s="88" t="str">
        <f>IF(A634="","",IF(INDEX(EXTRATO!$H$2:$H$3000,MATCH($A634,EXTRATO!$A$2:$A$3000,0))="","",INDEX(EXTRATO!$H$2:$H$3000,MATCH($A634,EXTRATO!$A$2:$A$3000,0))))</f>
        <v>EXCELLENCE DISTRIBUIÇÃO</v>
      </c>
      <c r="J634" s="86" t="s">
        <v>1313</v>
      </c>
      <c r="K634" s="86" t="str">
        <f>IF(AND(A634="",D634="",E634="",F634=""),"",IF(D634="","SEM CATEGORIA",IF(E634="","SEM SUBCATEGORIA",IF(COUNTIFS(CADASTROS!$L$7:$L$93,D634,CADASTROS!$D$7:$D$93,E634)=0,"INCOMPATÍVEL","OK"))))</f>
        <v>OK</v>
      </c>
    </row>
    <row r="635" spans="1:11" ht="30" hidden="1" customHeight="1" x14ac:dyDescent="0.25">
      <c r="A635" s="86" t="s">
        <v>2015</v>
      </c>
      <c r="B635" s="85">
        <f>IF(A635="","",IF(INDEX(EXTRATO!$C$2:$C$3000,MATCH($A635,EXTRATO!$A$2:$A$3000,0))="","",INDEX(EXTRATO!$C$2:$C$3000,MATCH($A635,EXTRATO!$A$2:$A$3000,0))))</f>
        <v>46176</v>
      </c>
      <c r="C635" s="86">
        <f t="shared" si="9"/>
        <v>6</v>
      </c>
      <c r="D635" s="81" t="s">
        <v>1311</v>
      </c>
      <c r="E635" s="79" t="s">
        <v>1342</v>
      </c>
      <c r="F635" s="80">
        <v>4052.5</v>
      </c>
      <c r="G635" s="81" t="s">
        <v>2023</v>
      </c>
      <c r="H635" s="86" t="str">
        <f>IF(A635="","",IF(INDEX(EXTRATO!$F$2:$F$3000,MATCH($A635,EXTRATO!$A$2:$A$3000,0))="","",INDEX(EXTRATO!$F$2:$F$3000,MATCH($A635,EXTRATO!$A$2:$A$3000,0))))</f>
        <v>SAÍDA</v>
      </c>
      <c r="I635" s="88" t="str">
        <f>IF(A635="","",IF(INDEX(EXTRATO!$H$2:$H$3000,MATCH($A635,EXTRATO!$A$2:$A$3000,0))="","",INDEX(EXTRATO!$H$2:$H$3000,MATCH($A635,EXTRATO!$A$2:$A$3000,0))))</f>
        <v>EXCELLENCE DISTRIBUIÇÃO</v>
      </c>
      <c r="J635" s="86" t="s">
        <v>1313</v>
      </c>
      <c r="K635" s="86" t="str">
        <f>IF(AND(A635="",D635="",E635="",F635=""),"",IF(D635="","SEM CATEGORIA",IF(E635="","SEM SUBCATEGORIA",IF(COUNTIFS(CADASTROS!$L$7:$L$93,D635,CADASTROS!$D$7:$D$93,E635)=0,"INCOMPATÍVEL","OK"))))</f>
        <v>OK</v>
      </c>
    </row>
    <row r="636" spans="1:11" ht="30" hidden="1" customHeight="1" x14ac:dyDescent="0.25">
      <c r="A636" s="86" t="s">
        <v>2016</v>
      </c>
      <c r="B636" s="85">
        <f>IF(A636="","",IF(INDEX(EXTRATO!$C$2:$C$3000,MATCH($A636,EXTRATO!$A$2:$A$3000,0))="","",INDEX(EXTRATO!$C$2:$C$3000,MATCH($A636,EXTRATO!$A$2:$A$3000,0))))</f>
        <v>46178</v>
      </c>
      <c r="C636" s="86">
        <f t="shared" si="9"/>
        <v>6</v>
      </c>
      <c r="D636" s="81" t="s">
        <v>1305</v>
      </c>
      <c r="E636" s="79" t="s">
        <v>1962</v>
      </c>
      <c r="F636" s="80">
        <v>90000</v>
      </c>
      <c r="G636" s="81" t="s">
        <v>808</v>
      </c>
      <c r="H636" s="86" t="str">
        <f>IF(A636="","",IF(INDEX(EXTRATO!$F$2:$F$3000,MATCH($A636,EXTRATO!$A$2:$A$3000,0))="","",INDEX(EXTRATO!$F$2:$F$3000,MATCH($A636,EXTRATO!$A$2:$A$3000,0))))</f>
        <v>ENTRADA</v>
      </c>
      <c r="I636" s="88" t="str">
        <f>IF(A636="","",IF(INDEX(EXTRATO!$H$2:$H$3000,MATCH($A636,EXTRATO!$A$2:$A$3000,0))="","",INDEX(EXTRATO!$H$2:$H$3000,MATCH($A636,EXTRATO!$A$2:$A$3000,0))))</f>
        <v>BIORENAL LTDA</v>
      </c>
      <c r="J636" s="86" t="s">
        <v>1307</v>
      </c>
      <c r="K636" s="86" t="str">
        <f>IF(AND(A636="",D636="",E636="",F636=""),"",IF(D636="","SEM CATEGORIA",IF(E636="","SEM SUBCATEGORIA",IF(COUNTIFS(CADASTROS!$L$7:$L$93,D636,CADASTROS!$D$7:$D$93,E636)=0,"INCOMPATÍVEL","OK"))))</f>
        <v>OK</v>
      </c>
    </row>
    <row r="637" spans="1:11" ht="30" hidden="1" customHeight="1" x14ac:dyDescent="0.25">
      <c r="A637" s="86" t="s">
        <v>2017</v>
      </c>
      <c r="B637" s="85">
        <f>IF(A637="","",IF(INDEX(EXTRATO!$C$2:$C$3000,MATCH($A637,EXTRATO!$A$2:$A$3000,0))="","",INDEX(EXTRATO!$C$2:$C$3000,MATCH($A637,EXTRATO!$A$2:$A$3000,0))))</f>
        <v>46178</v>
      </c>
      <c r="C637" s="86">
        <f t="shared" si="9"/>
        <v>6</v>
      </c>
      <c r="D637" s="81" t="s">
        <v>1370</v>
      </c>
      <c r="E637" s="79" t="s">
        <v>1494</v>
      </c>
      <c r="F637" s="80">
        <v>700</v>
      </c>
      <c r="G637" s="81" t="s">
        <v>873</v>
      </c>
      <c r="H637" s="86" t="str">
        <f>IF(A637="","",IF(INDEX(EXTRATO!$F$2:$F$3000,MATCH($A637,EXTRATO!$A$2:$A$3000,0))="","",INDEX(EXTRATO!$F$2:$F$3000,MATCH($A637,EXTRATO!$A$2:$A$3000,0))))</f>
        <v>SAÍDA</v>
      </c>
      <c r="I637" s="88" t="str">
        <f>IF(A637="","",IF(INDEX(EXTRATO!$H$2:$H$3000,MATCH($A637,EXTRATO!$A$2:$A$3000,0))="","",INDEX(EXTRATO!$H$2:$H$3000,MATCH($A637,EXTRATO!$A$2:$A$3000,0))))</f>
        <v>EDVALDO LIMA DA ROCHA</v>
      </c>
      <c r="J637" s="86" t="s">
        <v>1313</v>
      </c>
      <c r="K637" s="86" t="str">
        <f>IF(AND(A637="",D637="",E637="",F637=""),"",IF(D637="","SEM CATEGORIA",IF(E637="","SEM SUBCATEGORIA",IF(COUNTIFS(CADASTROS!$L$7:$L$93,D637,CADASTROS!$D$7:$D$93,E637)=0,"INCOMPATÍVEL","OK"))))</f>
        <v>OK</v>
      </c>
    </row>
    <row r="638" spans="1:11" ht="30" hidden="1" customHeight="1" x14ac:dyDescent="0.25">
      <c r="A638" s="86" t="s">
        <v>2018</v>
      </c>
      <c r="B638" s="85">
        <f>IF(A638="","",IF(INDEX(EXTRATO!$C$2:$C$3000,MATCH($A638,EXTRATO!$A$2:$A$3000,0))="","",INDEX(EXTRATO!$C$2:$C$3000,MATCH($A638,EXTRATO!$A$2:$A$3000,0))))</f>
        <v>46178</v>
      </c>
      <c r="C638" s="86">
        <f t="shared" si="9"/>
        <v>6</v>
      </c>
      <c r="D638" s="81" t="s">
        <v>1330</v>
      </c>
      <c r="E638" s="79" t="s">
        <v>1331</v>
      </c>
      <c r="F638" s="80">
        <v>138</v>
      </c>
      <c r="G638" s="81" t="s">
        <v>876</v>
      </c>
      <c r="H638" s="86" t="str">
        <f>IF(A638="","",IF(INDEX(EXTRATO!$F$2:$F$3000,MATCH($A638,EXTRATO!$A$2:$A$3000,0))="","",INDEX(EXTRATO!$F$2:$F$3000,MATCH($A638,EXTRATO!$A$2:$A$3000,0))))</f>
        <v>SAÍDA</v>
      </c>
      <c r="I638" s="88" t="str">
        <f>IF(A638="","",IF(INDEX(EXTRATO!$H$2:$H$3000,MATCH($A638,EXTRATO!$A$2:$A$3000,0))="","",INDEX(EXTRATO!$H$2:$H$3000,MATCH($A638,EXTRATO!$A$2:$A$3000,0))))</f>
        <v xml:space="preserve">EUREKA LAVANDERIA </v>
      </c>
      <c r="J638" s="86" t="s">
        <v>1313</v>
      </c>
      <c r="K638" s="86" t="str">
        <f>IF(AND(A638="",D638="",E638="",F638=""),"",IF(D638="","SEM CATEGORIA",IF(E638="","SEM SUBCATEGORIA",IF(COUNTIFS(CADASTROS!$L$7:$L$93,D638,CADASTROS!$D$7:$D$93,E638)=0,"INCOMPATÍVEL","OK"))))</f>
        <v>OK</v>
      </c>
    </row>
    <row r="639" spans="1:11" ht="30" hidden="1" customHeight="1" x14ac:dyDescent="0.25">
      <c r="A639" s="86" t="s">
        <v>2019</v>
      </c>
      <c r="B639" s="85">
        <f>IF(A639="","",IF(INDEX(EXTRATO!$C$2:$C$3000,MATCH($A639,EXTRATO!$A$2:$A$3000,0))="","",INDEX(EXTRATO!$C$2:$C$3000,MATCH($A639,EXTRATO!$A$2:$A$3000,0))))</f>
        <v>46178</v>
      </c>
      <c r="C639" s="86">
        <f t="shared" si="9"/>
        <v>6</v>
      </c>
      <c r="D639" s="81" t="s">
        <v>1367</v>
      </c>
      <c r="E639" s="79" t="s">
        <v>1479</v>
      </c>
      <c r="F639" s="80">
        <v>75052.02</v>
      </c>
      <c r="G639" s="81" t="s">
        <v>878</v>
      </c>
      <c r="H639" s="86" t="str">
        <f>IF(A639="","",IF(INDEX(EXTRATO!$F$2:$F$3000,MATCH($A639,EXTRATO!$A$2:$A$3000,0))="","",INDEX(EXTRATO!$F$2:$F$3000,MATCH($A639,EXTRATO!$A$2:$A$3000,0))))</f>
        <v>SAÍDA</v>
      </c>
      <c r="I639" s="88" t="str">
        <f>IF(A639="","",IF(INDEX(EXTRATO!$H$2:$H$3000,MATCH($A639,EXTRATO!$A$2:$A$3000,0))="","",INDEX(EXTRATO!$H$2:$H$3000,MATCH($A639,EXTRATO!$A$2:$A$3000,0))))</f>
        <v>FOLHA DE PAGAMENTO</v>
      </c>
      <c r="J639" s="86" t="s">
        <v>1313</v>
      </c>
      <c r="K639" s="86" t="str">
        <f>IF(AND(A639="",D639="",E639="",F639=""),"",IF(D639="","SEM CATEGORIA",IF(E639="","SEM SUBCATEGORIA",IF(COUNTIFS(CADASTROS!$L$7:$L$93,D639,CADASTROS!$D$7:$D$93,E639)=0,"INCOMPATÍVEL","OK"))))</f>
        <v>OK</v>
      </c>
    </row>
    <row r="640" spans="1:11" ht="30" hidden="1" customHeight="1" x14ac:dyDescent="0.25">
      <c r="A640" s="86" t="s">
        <v>2021</v>
      </c>
      <c r="B640" s="85">
        <f>IF(A640="","",IF(INDEX(EXTRATO!$C$2:$C$3000,MATCH($A640,EXTRATO!$A$2:$A$3000,0))="","",INDEX(EXTRATO!$C$2:$C$3000,MATCH($A640,EXTRATO!$A$2:$A$3000,0))))</f>
        <v>46178</v>
      </c>
      <c r="C640" s="86">
        <f t="shared" si="9"/>
        <v>6</v>
      </c>
      <c r="D640" s="81" t="s">
        <v>1311</v>
      </c>
      <c r="E640" s="79" t="s">
        <v>1342</v>
      </c>
      <c r="F640" s="80">
        <v>9335.2000000000007</v>
      </c>
      <c r="G640" s="81" t="s">
        <v>80</v>
      </c>
      <c r="H640" s="86" t="str">
        <f>IF(A640="","",IF(INDEX(EXTRATO!$F$2:$F$3000,MATCH($A640,EXTRATO!$A$2:$A$3000,0))="","",INDEX(EXTRATO!$F$2:$F$3000,MATCH($A640,EXTRATO!$A$2:$A$3000,0))))</f>
        <v>SAÍDA</v>
      </c>
      <c r="I640" s="88" t="str">
        <f>IF(A640="","",IF(INDEX(EXTRATO!$H$2:$H$3000,MATCH($A640,EXTRATO!$A$2:$A$3000,0))="","",INDEX(EXTRATO!$H$2:$H$3000,MATCH($A640,EXTRATO!$A$2:$A$3000,0))))</f>
        <v>CRISTALIA PRODUTOS</v>
      </c>
      <c r="J640" s="86" t="s">
        <v>1313</v>
      </c>
      <c r="K640" s="86" t="str">
        <f>IF(AND(A640="",D640="",E640="",F640=""),"",IF(D640="","SEM CATEGORIA",IF(E640="","SEM SUBCATEGORIA",IF(COUNTIFS(CADASTROS!$L$7:$L$93,D640,CADASTROS!$D$7:$D$93,E640)=0,"INCOMPATÍVEL","OK"))))</f>
        <v>OK</v>
      </c>
    </row>
    <row r="641" spans="1:11" ht="30" hidden="1" customHeight="1" x14ac:dyDescent="0.25">
      <c r="A641" s="86" t="s">
        <v>2024</v>
      </c>
      <c r="B641" s="85">
        <f>IF(A641="","",IF(INDEX(EXTRATO!$C$2:$C$3000,MATCH($A641,EXTRATO!$A$2:$A$3000,0))="","",INDEX(EXTRATO!$C$2:$C$3000,MATCH($A641,EXTRATO!$A$2:$A$3000,0))))</f>
        <v>46178</v>
      </c>
      <c r="C641" s="86">
        <f t="shared" si="9"/>
        <v>6</v>
      </c>
      <c r="D641" s="81" t="s">
        <v>1311</v>
      </c>
      <c r="E641" s="79" t="s">
        <v>1312</v>
      </c>
      <c r="F641" s="80">
        <v>2467.52</v>
      </c>
      <c r="G641" s="81" t="s">
        <v>880</v>
      </c>
      <c r="H641" s="86" t="str">
        <f>IF(A641="","",IF(INDEX(EXTRATO!$F$2:$F$3000,MATCH($A641,EXTRATO!$A$2:$A$3000,0))="","",INDEX(EXTRATO!$F$2:$F$3000,MATCH($A641,EXTRATO!$A$2:$A$3000,0))))</f>
        <v>SAÍDA</v>
      </c>
      <c r="I641" s="88" t="str">
        <f>IF(A641="","",IF(INDEX(EXTRATO!$H$2:$H$3000,MATCH($A641,EXTRATO!$A$2:$A$3000,0))="","",INDEX(EXTRATO!$H$2:$H$3000,MATCH($A641,EXTRATO!$A$2:$A$3000,0))))</f>
        <v>SUPERMÉDICA</v>
      </c>
      <c r="J641" s="86" t="s">
        <v>1313</v>
      </c>
      <c r="K641" s="86" t="str">
        <f>IF(AND(A641="",D641="",E641="",F641=""),"",IF(D641="","SEM CATEGORIA",IF(E641="","SEM SUBCATEGORIA",IF(COUNTIFS(CADASTROS!$L$7:$L$93,D641,CADASTROS!$D$7:$D$93,E641)=0,"INCOMPATÍVEL","OK"))))</f>
        <v>OK</v>
      </c>
    </row>
    <row r="642" spans="1:11" ht="30" hidden="1" customHeight="1" x14ac:dyDescent="0.25">
      <c r="A642" s="86" t="s">
        <v>2025</v>
      </c>
      <c r="B642" s="85">
        <f>IF(A642="","",IF(INDEX(EXTRATO!$C$2:$C$3000,MATCH($A642,EXTRATO!$A$2:$A$3000,0))="","",INDEX(EXTRATO!$C$2:$C$3000,MATCH($A642,EXTRATO!$A$2:$A$3000,0))))</f>
        <v>46178</v>
      </c>
      <c r="C642" s="86">
        <f t="shared" ref="C642:C705" si="10">IF(B642="","",MONTH(B642))</f>
        <v>6</v>
      </c>
      <c r="D642" s="81" t="s">
        <v>1311</v>
      </c>
      <c r="E642" s="79" t="s">
        <v>1312</v>
      </c>
      <c r="F642" s="80">
        <v>3440.77</v>
      </c>
      <c r="G642" s="81" t="s">
        <v>882</v>
      </c>
      <c r="H642" s="86" t="str">
        <f>IF(A642="","",IF(INDEX(EXTRATO!$F$2:$F$3000,MATCH($A642,EXTRATO!$A$2:$A$3000,0))="","",INDEX(EXTRATO!$F$2:$F$3000,MATCH($A642,EXTRATO!$A$2:$A$3000,0))))</f>
        <v>SAÍDA</v>
      </c>
      <c r="I642" s="88" t="str">
        <f>IF(A642="","",IF(INDEX(EXTRATO!$H$2:$H$3000,MATCH($A642,EXTRATO!$A$2:$A$3000,0))="","",INDEX(EXTRATO!$H$2:$H$3000,MATCH($A642,EXTRATO!$A$2:$A$3000,0))))</f>
        <v>REMORA HOSPITALAR</v>
      </c>
      <c r="J642" s="86" t="s">
        <v>1313</v>
      </c>
      <c r="K642" s="86" t="str">
        <f>IF(AND(A642="",D642="",E642="",F642=""),"",IF(D642="","SEM CATEGORIA",IF(E642="","SEM SUBCATEGORIA",IF(COUNTIFS(CADASTROS!$L$7:$L$93,D642,CADASTROS!$D$7:$D$93,E642)=0,"INCOMPATÍVEL","OK"))))</f>
        <v>OK</v>
      </c>
    </row>
    <row r="643" spans="1:11" ht="30" hidden="1" customHeight="1" x14ac:dyDescent="0.25">
      <c r="A643" s="86" t="s">
        <v>2026</v>
      </c>
      <c r="B643" s="85">
        <f>IF(A643="","",IF(INDEX(EXTRATO!$C$2:$C$3000,MATCH($A643,EXTRATO!$A$2:$A$3000,0))="","",INDEX(EXTRATO!$C$2:$C$3000,MATCH($A643,EXTRATO!$A$2:$A$3000,0))))</f>
        <v>46178</v>
      </c>
      <c r="C643" s="86">
        <f t="shared" si="10"/>
        <v>6</v>
      </c>
      <c r="D643" s="81" t="s">
        <v>1311</v>
      </c>
      <c r="E643" s="79" t="s">
        <v>1404</v>
      </c>
      <c r="F643" s="80">
        <v>4914</v>
      </c>
      <c r="G643" s="81" t="s">
        <v>884</v>
      </c>
      <c r="H643" s="86" t="str">
        <f>IF(A643="","",IF(INDEX(EXTRATO!$F$2:$F$3000,MATCH($A643,EXTRATO!$A$2:$A$3000,0))="","",INDEX(EXTRATO!$F$2:$F$3000,MATCH($A643,EXTRATO!$A$2:$A$3000,0))))</f>
        <v>SAÍDA</v>
      </c>
      <c r="I643" s="88" t="str">
        <f>IF(A643="","",IF(INDEX(EXTRATO!$H$2:$H$3000,MATCH($A643,EXTRATO!$A$2:$A$3000,0))="","",INDEX(EXTRATO!$H$2:$H$3000,MATCH($A643,EXTRATO!$A$2:$A$3000,0))))</f>
        <v>FARMACE</v>
      </c>
      <c r="J643" s="86" t="s">
        <v>1313</v>
      </c>
      <c r="K643" s="86" t="str">
        <f>IF(AND(A643="",D643="",E643="",F643=""),"",IF(D643="","SEM CATEGORIA",IF(E643="","SEM SUBCATEGORIA",IF(COUNTIFS(CADASTROS!$L$7:$L$93,D643,CADASTROS!$D$7:$D$93,E643)=0,"INCOMPATÍVEL","OK"))))</f>
        <v>OK</v>
      </c>
    </row>
    <row r="644" spans="1:11" ht="30" hidden="1" customHeight="1" x14ac:dyDescent="0.25">
      <c r="A644" s="86" t="s">
        <v>2027</v>
      </c>
      <c r="B644" s="85">
        <f>IF(A644="","",IF(INDEX(EXTRATO!$C$2:$C$3000,MATCH($A644,EXTRATO!$A$2:$A$3000,0))="","",INDEX(EXTRATO!$C$2:$C$3000,MATCH($A644,EXTRATO!$A$2:$A$3000,0))))</f>
        <v>46178</v>
      </c>
      <c r="C644" s="86">
        <f t="shared" si="10"/>
        <v>6</v>
      </c>
      <c r="D644" s="81" t="s">
        <v>1311</v>
      </c>
      <c r="E644" s="79" t="s">
        <v>1404</v>
      </c>
      <c r="F644" s="80">
        <v>16011</v>
      </c>
      <c r="G644" s="81" t="s">
        <v>2033</v>
      </c>
      <c r="H644" s="86" t="str">
        <f>IF(A644="","",IF(INDEX(EXTRATO!$F$2:$F$3000,MATCH($A644,EXTRATO!$A$2:$A$3000,0))="","",INDEX(EXTRATO!$F$2:$F$3000,MATCH($A644,EXTRATO!$A$2:$A$3000,0))))</f>
        <v>SAÍDA</v>
      </c>
      <c r="I644" s="88" t="str">
        <f>IF(A644="","",IF(INDEX(EXTRATO!$H$2:$H$3000,MATCH($A644,EXTRATO!$A$2:$A$3000,0))="","",INDEX(EXTRATO!$H$2:$H$3000,MATCH($A644,EXTRATO!$A$2:$A$3000,0))))</f>
        <v>FARMACE</v>
      </c>
      <c r="J644" s="86" t="s">
        <v>1313</v>
      </c>
      <c r="K644" s="86" t="str">
        <f>IF(AND(A644="",D644="",E644="",F644=""),"",IF(D644="","SEM CATEGORIA",IF(E644="","SEM SUBCATEGORIA",IF(COUNTIFS(CADASTROS!$L$7:$L$93,D644,CADASTROS!$D$7:$D$93,E644)=0,"INCOMPATÍVEL","OK"))))</f>
        <v>OK</v>
      </c>
    </row>
    <row r="645" spans="1:11" ht="30" hidden="1" customHeight="1" x14ac:dyDescent="0.25">
      <c r="A645" s="86" t="s">
        <v>2027</v>
      </c>
      <c r="B645" s="85">
        <f>IF(A645="","",IF(INDEX(EXTRATO!$C$2:$C$3000,MATCH($A645,EXTRATO!$A$2:$A$3000,0))="","",INDEX(EXTRATO!$C$2:$C$3000,MATCH($A645,EXTRATO!$A$2:$A$3000,0))))</f>
        <v>46178</v>
      </c>
      <c r="C645" s="86">
        <f t="shared" si="10"/>
        <v>6</v>
      </c>
      <c r="D645" s="81" t="s">
        <v>1311</v>
      </c>
      <c r="E645" s="79" t="s">
        <v>1312</v>
      </c>
      <c r="F645" s="80">
        <v>160</v>
      </c>
      <c r="G645" s="81" t="s">
        <v>2034</v>
      </c>
      <c r="H645" s="86" t="str">
        <f>IF(A645="","",IF(INDEX(EXTRATO!$F$2:$F$3000,MATCH($A645,EXTRATO!$A$2:$A$3000,0))="","",INDEX(EXTRATO!$F$2:$F$3000,MATCH($A645,EXTRATO!$A$2:$A$3000,0))))</f>
        <v>SAÍDA</v>
      </c>
      <c r="I645" s="88" t="str">
        <f>IF(A645="","",IF(INDEX(EXTRATO!$H$2:$H$3000,MATCH($A645,EXTRATO!$A$2:$A$3000,0))="","",INDEX(EXTRATO!$H$2:$H$3000,MATCH($A645,EXTRATO!$A$2:$A$3000,0))))</f>
        <v>FARMACE</v>
      </c>
      <c r="J645" s="86" t="s">
        <v>1313</v>
      </c>
      <c r="K645" s="86" t="str">
        <f>IF(AND(A645="",D645="",E645="",F645=""),"",IF(D645="","SEM CATEGORIA",IF(E645="","SEM SUBCATEGORIA",IF(COUNTIFS(CADASTROS!$L$7:$L$93,D645,CADASTROS!$D$7:$D$93,E645)=0,"INCOMPATÍVEL","OK"))))</f>
        <v>OK</v>
      </c>
    </row>
    <row r="646" spans="1:11" ht="30" hidden="1" customHeight="1" x14ac:dyDescent="0.25">
      <c r="A646" s="86" t="s">
        <v>2028</v>
      </c>
      <c r="B646" s="85">
        <f>IF(A646="","",IF(INDEX(EXTRATO!$C$2:$C$3000,MATCH($A646,EXTRATO!$A$2:$A$3000,0))="","",INDEX(EXTRATO!$C$2:$C$3000,MATCH($A646,EXTRATO!$A$2:$A$3000,0))))</f>
        <v>46178</v>
      </c>
      <c r="C646" s="86">
        <f t="shared" si="10"/>
        <v>6</v>
      </c>
      <c r="D646" s="81" t="s">
        <v>1311</v>
      </c>
      <c r="E646" s="79" t="s">
        <v>1342</v>
      </c>
      <c r="F646" s="80">
        <v>1100</v>
      </c>
      <c r="G646" s="81" t="s">
        <v>886</v>
      </c>
      <c r="H646" s="86" t="str">
        <f>IF(A646="","",IF(INDEX(EXTRATO!$F$2:$F$3000,MATCH($A646,EXTRATO!$A$2:$A$3000,0))="","",INDEX(EXTRATO!$F$2:$F$3000,MATCH($A646,EXTRATO!$A$2:$A$3000,0))))</f>
        <v>SAÍDA</v>
      </c>
      <c r="I646" s="88" t="str">
        <f>IF(A646="","",IF(INDEX(EXTRATO!$H$2:$H$3000,MATCH($A646,EXTRATO!$A$2:$A$3000,0))="","",INDEX(EXTRATO!$H$2:$H$3000,MATCH($A646,EXTRATO!$A$2:$A$3000,0))))</f>
        <v>DIALISE COMERCIO</v>
      </c>
      <c r="J646" s="86" t="s">
        <v>1313</v>
      </c>
      <c r="K646" s="86" t="str">
        <f>IF(AND(A646="",D646="",E646="",F646=""),"",IF(D646="","SEM CATEGORIA",IF(E646="","SEM SUBCATEGORIA",IF(COUNTIFS(CADASTROS!$L$7:$L$93,D646,CADASTROS!$D$7:$D$93,E646)=0,"INCOMPATÍVEL","OK"))))</f>
        <v>OK</v>
      </c>
    </row>
    <row r="647" spans="1:11" ht="30" hidden="1" customHeight="1" x14ac:dyDescent="0.25">
      <c r="A647" s="86" t="s">
        <v>2029</v>
      </c>
      <c r="B647" s="85">
        <f>IF(A647="","",IF(INDEX(EXTRATO!$C$2:$C$3000,MATCH($A647,EXTRATO!$A$2:$A$3000,0))="","",INDEX(EXTRATO!$C$2:$C$3000,MATCH($A647,EXTRATO!$A$2:$A$3000,0))))</f>
        <v>46178</v>
      </c>
      <c r="C647" s="86">
        <f t="shared" si="10"/>
        <v>6</v>
      </c>
      <c r="D647" s="81" t="s">
        <v>1330</v>
      </c>
      <c r="E647" s="79" t="s">
        <v>1400</v>
      </c>
      <c r="F647" s="80">
        <v>1600</v>
      </c>
      <c r="G647" s="81" t="s">
        <v>887</v>
      </c>
      <c r="H647" s="86" t="str">
        <f>IF(A647="","",IF(INDEX(EXTRATO!$F$2:$F$3000,MATCH($A647,EXTRATO!$A$2:$A$3000,0))="","",INDEX(EXTRATO!$F$2:$F$3000,MATCH($A647,EXTRATO!$A$2:$A$3000,0))))</f>
        <v>SAÍDA</v>
      </c>
      <c r="I647" s="88" t="str">
        <f>IF(A647="","",IF(INDEX(EXTRATO!$H$2:$H$3000,MATCH($A647,EXTRATO!$A$2:$A$3000,0))="","",INDEX(EXTRATO!$H$2:$H$3000,MATCH($A647,EXTRATO!$A$2:$A$3000,0))))</f>
        <v>BIOGREEN</v>
      </c>
      <c r="J647" s="86" t="s">
        <v>1313</v>
      </c>
      <c r="K647" s="86" t="str">
        <f>IF(AND(A647="",D647="",E647="",F647=""),"",IF(D647="","SEM CATEGORIA",IF(E647="","SEM SUBCATEGORIA",IF(COUNTIFS(CADASTROS!$L$7:$L$93,D647,CADASTROS!$D$7:$D$93,E647)=0,"INCOMPATÍVEL","OK"))))</f>
        <v>OK</v>
      </c>
    </row>
    <row r="648" spans="1:11" ht="30" hidden="1" customHeight="1" x14ac:dyDescent="0.25">
      <c r="A648" s="86" t="s">
        <v>2030</v>
      </c>
      <c r="B648" s="85">
        <f>IF(A648="","",IF(INDEX(EXTRATO!$C$2:$C$3000,MATCH($A648,EXTRATO!$A$2:$A$3000,0))="","",INDEX(EXTRATO!$C$2:$C$3000,MATCH($A648,EXTRATO!$A$2:$A$3000,0))))</f>
        <v>46178</v>
      </c>
      <c r="C648" s="86">
        <f t="shared" si="10"/>
        <v>6</v>
      </c>
      <c r="D648" s="81" t="s">
        <v>1311</v>
      </c>
      <c r="E648" s="79" t="s">
        <v>1312</v>
      </c>
      <c r="F648" s="80">
        <v>1789</v>
      </c>
      <c r="G648" s="81" t="s">
        <v>323</v>
      </c>
      <c r="H648" s="86" t="str">
        <f>IF(A648="","",IF(INDEX(EXTRATO!$F$2:$F$3000,MATCH($A648,EXTRATO!$A$2:$A$3000,0))="","",INDEX(EXTRATO!$F$2:$F$3000,MATCH($A648,EXTRATO!$A$2:$A$3000,0))))</f>
        <v>SAÍDA</v>
      </c>
      <c r="I648" s="88" t="str">
        <f>IF(A648="","",IF(INDEX(EXTRATO!$H$2:$H$3000,MATCH($A648,EXTRATO!$A$2:$A$3000,0))="","",INDEX(EXTRATO!$H$2:$H$3000,MATCH($A648,EXTRATO!$A$2:$A$3000,0))))</f>
        <v>COOP. UNIMED</v>
      </c>
      <c r="J648" s="86" t="s">
        <v>1313</v>
      </c>
      <c r="K648" s="86" t="str">
        <f>IF(AND(A648="",D648="",E648="",F648=""),"",IF(D648="","SEM CATEGORIA",IF(E648="","SEM SUBCATEGORIA",IF(COUNTIFS(CADASTROS!$L$7:$L$93,D648,CADASTROS!$D$7:$D$93,E648)=0,"INCOMPATÍVEL","OK"))))</f>
        <v>OK</v>
      </c>
    </row>
    <row r="649" spans="1:11" ht="30" hidden="1" customHeight="1" x14ac:dyDescent="0.25">
      <c r="A649" s="86" t="s">
        <v>2031</v>
      </c>
      <c r="B649" s="85">
        <f>IF(A649="","",IF(INDEX(EXTRATO!$C$2:$C$3000,MATCH($A649,EXTRATO!$A$2:$A$3000,0))="","",INDEX(EXTRATO!$C$2:$C$3000,MATCH($A649,EXTRATO!$A$2:$A$3000,0))))</f>
        <v>46178</v>
      </c>
      <c r="C649" s="86">
        <f t="shared" si="10"/>
        <v>6</v>
      </c>
      <c r="D649" s="81" t="s">
        <v>1330</v>
      </c>
      <c r="E649" s="79" t="s">
        <v>1333</v>
      </c>
      <c r="F649" s="80">
        <v>2593</v>
      </c>
      <c r="G649" s="81" t="s">
        <v>67</v>
      </c>
      <c r="H649" s="86" t="str">
        <f>IF(A649="","",IF(INDEX(EXTRATO!$F$2:$F$3000,MATCH($A649,EXTRATO!$A$2:$A$3000,0))="","",INDEX(EXTRATO!$F$2:$F$3000,MATCH($A649,EXTRATO!$A$2:$A$3000,0))))</f>
        <v>SAÍDA</v>
      </c>
      <c r="I649" s="88" t="str">
        <f>IF(A649="","",IF(INDEX(EXTRATO!$H$2:$H$3000,MATCH($A649,EXTRATO!$A$2:$A$3000,0))="","",INDEX(EXTRATO!$H$2:$H$3000,MATCH($A649,EXTRATO!$A$2:$A$3000,0))))</f>
        <v>CASSIANO &amp; CASSINOS CONTABILIDADE</v>
      </c>
      <c r="J649" s="86" t="s">
        <v>1313</v>
      </c>
      <c r="K649" s="86" t="str">
        <f>IF(AND(A649="",D649="",E649="",F649=""),"",IF(D649="","SEM CATEGORIA",IF(E649="","SEM SUBCATEGORIA",IF(COUNTIFS(CADASTROS!$L$7:$L$93,D649,CADASTROS!$D$7:$D$93,E649)=0,"INCOMPATÍVEL","OK"))))</f>
        <v>OK</v>
      </c>
    </row>
    <row r="650" spans="1:11" ht="30" hidden="1" customHeight="1" x14ac:dyDescent="0.25">
      <c r="A650" s="86" t="s">
        <v>2032</v>
      </c>
      <c r="B650" s="85">
        <f>IF(A650="","",IF(INDEX(EXTRATO!$C$2:$C$3000,MATCH($A650,EXTRATO!$A$2:$A$3000,0))="","",INDEX(EXTRATO!$C$2:$C$3000,MATCH($A650,EXTRATO!$A$2:$A$3000,0))))</f>
        <v>46178</v>
      </c>
      <c r="C650" s="86">
        <f t="shared" si="10"/>
        <v>6</v>
      </c>
      <c r="D650" s="81" t="s">
        <v>1330</v>
      </c>
      <c r="E650" s="79" t="s">
        <v>1331</v>
      </c>
      <c r="F650" s="80">
        <v>613.07000000000005</v>
      </c>
      <c r="G650" s="81" t="s">
        <v>888</v>
      </c>
      <c r="H650" s="86" t="str">
        <f>IF(A650="","",IF(INDEX(EXTRATO!$F$2:$F$3000,MATCH($A650,EXTRATO!$A$2:$A$3000,0))="","",INDEX(EXTRATO!$F$2:$F$3000,MATCH($A650,EXTRATO!$A$2:$A$3000,0))))</f>
        <v>SAÍDA</v>
      </c>
      <c r="I650" s="88" t="str">
        <f>IF(A650="","",IF(INDEX(EXTRATO!$H$2:$H$3000,MATCH($A650,EXTRATO!$A$2:$A$3000,0))="","",INDEX(EXTRATO!$H$2:$H$3000,MATCH($A650,EXTRATO!$A$2:$A$3000,0))))</f>
        <v>RICEK INDUSTRIA E COMÉRCIO</v>
      </c>
      <c r="J650" s="86" t="s">
        <v>1313</v>
      </c>
      <c r="K650" s="86" t="str">
        <f>IF(AND(A650="",D650="",E650="",F650=""),"",IF(D650="","SEM CATEGORIA",IF(E650="","SEM SUBCATEGORIA",IF(COUNTIFS(CADASTROS!$L$7:$L$93,D650,CADASTROS!$D$7:$D$93,E650)=0,"INCOMPATÍVEL","OK"))))</f>
        <v>OK</v>
      </c>
    </row>
    <row r="651" spans="1:11" ht="30" hidden="1" customHeight="1" x14ac:dyDescent="0.25">
      <c r="A651" s="86" t="s">
        <v>2035</v>
      </c>
      <c r="B651" s="85">
        <f>IF(A651="","",IF(INDEX(EXTRATO!$C$2:$C$3000,MATCH($A651,EXTRATO!$A$2:$A$3000,0))="","",INDEX(EXTRATO!$C$2:$C$3000,MATCH($A651,EXTRATO!$A$2:$A$3000,0))))</f>
        <v>46178</v>
      </c>
      <c r="C651" s="86">
        <f t="shared" si="10"/>
        <v>6</v>
      </c>
      <c r="D651" s="81" t="s">
        <v>1311</v>
      </c>
      <c r="E651" s="79" t="s">
        <v>1312</v>
      </c>
      <c r="F651" s="80">
        <v>740.17</v>
      </c>
      <c r="G651" s="81" t="s">
        <v>890</v>
      </c>
      <c r="H651" s="86" t="str">
        <f>IF(A651="","",IF(INDEX(EXTRATO!$F$2:$F$3000,MATCH($A651,EXTRATO!$A$2:$A$3000,0))="","",INDEX(EXTRATO!$F$2:$F$3000,MATCH($A651,EXTRATO!$A$2:$A$3000,0))))</f>
        <v>SAÍDA</v>
      </c>
      <c r="I651" s="88" t="str">
        <f>IF(A651="","",IF(INDEX(EXTRATO!$H$2:$H$3000,MATCH($A651,EXTRATO!$A$2:$A$3000,0))="","",INDEX(EXTRATO!$H$2:$H$3000,MATCH($A651,EXTRATO!$A$2:$A$3000,0))))</f>
        <v>ULTRAMEGA DISTRIBUIDORA</v>
      </c>
      <c r="J651" s="86" t="s">
        <v>1313</v>
      </c>
      <c r="K651" s="86" t="str">
        <f>IF(AND(A651="",D651="",E651="",F651=""),"",IF(D651="","SEM CATEGORIA",IF(E651="","SEM SUBCATEGORIA",IF(COUNTIFS(CADASTROS!$L$7:$L$93,D651,CADASTROS!$D$7:$D$93,E651)=0,"INCOMPATÍVEL","OK"))))</f>
        <v>OK</v>
      </c>
    </row>
    <row r="652" spans="1:11" ht="30" hidden="1" customHeight="1" x14ac:dyDescent="0.25">
      <c r="A652" s="86" t="s">
        <v>2036</v>
      </c>
      <c r="B652" s="85">
        <f>IF(A652="","",IF(INDEX(EXTRATO!$C$2:$C$3000,MATCH($A652,EXTRATO!$A$2:$A$3000,0))="","",INDEX(EXTRATO!$C$2:$C$3000,MATCH($A652,EXTRATO!$A$2:$A$3000,0))))</f>
        <v>46178</v>
      </c>
      <c r="C652" s="86">
        <f t="shared" si="10"/>
        <v>6</v>
      </c>
      <c r="D652" s="81" t="s">
        <v>1311</v>
      </c>
      <c r="E652" s="79" t="s">
        <v>1312</v>
      </c>
      <c r="F652" s="80">
        <v>706.77</v>
      </c>
      <c r="G652" s="81" t="s">
        <v>706</v>
      </c>
      <c r="H652" s="86" t="str">
        <f>IF(A652="","",IF(INDEX(EXTRATO!$F$2:$F$3000,MATCH($A652,EXTRATO!$A$2:$A$3000,0))="","",INDEX(EXTRATO!$F$2:$F$3000,MATCH($A652,EXTRATO!$A$2:$A$3000,0))))</f>
        <v>SAÍDA</v>
      </c>
      <c r="I652" s="88" t="str">
        <f>IF(A652="","",IF(INDEX(EXTRATO!$H$2:$H$3000,MATCH($A652,EXTRATO!$A$2:$A$3000,0))="","",INDEX(EXTRATO!$H$2:$H$3000,MATCH($A652,EXTRATO!$A$2:$A$3000,0))))</f>
        <v>ULTRAMEGA DISTRIBUIDORA</v>
      </c>
      <c r="J652" s="86" t="s">
        <v>1313</v>
      </c>
      <c r="K652" s="86" t="str">
        <f>IF(AND(A652="",D652="",E652="",F652=""),"",IF(D652="","SEM CATEGORIA",IF(E652="","SEM SUBCATEGORIA",IF(COUNTIFS(CADASTROS!$L$7:$L$93,D652,CADASTROS!$D$7:$D$93,E652)=0,"INCOMPATÍVEL","OK"))))</f>
        <v>OK</v>
      </c>
    </row>
    <row r="653" spans="1:11" ht="30" hidden="1" customHeight="1" x14ac:dyDescent="0.25">
      <c r="A653" s="86" t="s">
        <v>2037</v>
      </c>
      <c r="B653" s="85">
        <f>IF(A653="","",IF(INDEX(EXTRATO!$C$2:$C$3000,MATCH($A653,EXTRATO!$A$2:$A$3000,0))="","",INDEX(EXTRATO!$C$2:$C$3000,MATCH($A653,EXTRATO!$A$2:$A$3000,0))))</f>
        <v>46178</v>
      </c>
      <c r="C653" s="86">
        <f t="shared" si="10"/>
        <v>6</v>
      </c>
      <c r="D653" s="81" t="s">
        <v>1330</v>
      </c>
      <c r="E653" s="79" t="s">
        <v>1352</v>
      </c>
      <c r="F653" s="80">
        <v>40.25</v>
      </c>
      <c r="G653" s="81" t="s">
        <v>276</v>
      </c>
      <c r="H653" s="86" t="str">
        <f>IF(A653="","",IF(INDEX(EXTRATO!$F$2:$F$3000,MATCH($A653,EXTRATO!$A$2:$A$3000,0))="","",INDEX(EXTRATO!$F$2:$F$3000,MATCH($A653,EXTRATO!$A$2:$A$3000,0))))</f>
        <v>SAÍDA</v>
      </c>
      <c r="I653" s="88" t="str">
        <f>IF(A653="","",IF(INDEX(EXTRATO!$H$2:$H$3000,MATCH($A653,EXTRATO!$A$2:$A$3000,0))="","",INDEX(EXTRATO!$H$2:$H$3000,MATCH($A653,EXTRATO!$A$2:$A$3000,0))))</f>
        <v>TARIFA BANCÁRIA</v>
      </c>
      <c r="J653" s="86" t="s">
        <v>1313</v>
      </c>
      <c r="K653" s="86" t="str">
        <f>IF(AND(A653="",D653="",E653="",F653=""),"",IF(D653="","SEM CATEGORIA",IF(E653="","SEM SUBCATEGORIA",IF(COUNTIFS(CADASTROS!$L$7:$L$93,D653,CADASTROS!$D$7:$D$93,E653)=0,"INCOMPATÍVEL","OK"))))</f>
        <v>OK</v>
      </c>
    </row>
    <row r="654" spans="1:11" ht="30" hidden="1" customHeight="1" x14ac:dyDescent="0.25">
      <c r="A654" s="86" t="s">
        <v>2038</v>
      </c>
      <c r="B654" s="85">
        <f>IF(A654="","",IF(INDEX(EXTRATO!$C$2:$C$3000,MATCH($A654,EXTRATO!$A$2:$A$3000,0))="","",INDEX(EXTRATO!$C$2:$C$3000,MATCH($A654,EXTRATO!$A$2:$A$3000,0))))</f>
        <v>46181</v>
      </c>
      <c r="C654" s="86">
        <f t="shared" si="10"/>
        <v>6</v>
      </c>
      <c r="D654" s="81" t="s">
        <v>1305</v>
      </c>
      <c r="E654" s="79" t="s">
        <v>1615</v>
      </c>
      <c r="F654" s="80">
        <v>525686.4</v>
      </c>
      <c r="G654" s="81" t="s">
        <v>894</v>
      </c>
      <c r="H654" s="86" t="str">
        <f>IF(A654="","",IF(INDEX(EXTRATO!$F$2:$F$3000,MATCH($A654,EXTRATO!$A$2:$A$3000,0))="","",INDEX(EXTRATO!$F$2:$F$3000,MATCH($A654,EXTRATO!$A$2:$A$3000,0))))</f>
        <v>ENTRADA</v>
      </c>
      <c r="I654" s="88" t="str">
        <f>IF(A654="","",IF(INDEX(EXTRATO!$H$2:$H$3000,MATCH($A654,EXTRATO!$A$2:$A$3000,0))="","",INDEX(EXTRATO!$H$2:$H$3000,MATCH($A654,EXTRATO!$A$2:$A$3000,0))))</f>
        <v>REPASSE DO CONTRATO</v>
      </c>
      <c r="J654" s="86" t="s">
        <v>1307</v>
      </c>
      <c r="K654" s="86" t="str">
        <f>IF(AND(A654="",D654="",E654="",F654=""),"",IF(D654="","SEM CATEGORIA",IF(E654="","SEM SUBCATEGORIA",IF(COUNTIFS(CADASTROS!$L$7:$L$93,D654,CADASTROS!$D$7:$D$93,E654)=0,"INCOMPATÍVEL","OK"))))</f>
        <v>OK</v>
      </c>
    </row>
    <row r="655" spans="1:11" ht="30" hidden="1" customHeight="1" x14ac:dyDescent="0.25">
      <c r="A655" s="86" t="s">
        <v>2039</v>
      </c>
      <c r="B655" s="85">
        <f>IF(A655="","",IF(INDEX(EXTRATO!$C$2:$C$3000,MATCH($A655,EXTRATO!$A$2:$A$3000,0))="","",INDEX(EXTRATO!$C$2:$C$3000,MATCH($A655,EXTRATO!$A$2:$A$3000,0))))</f>
        <v>46181</v>
      </c>
      <c r="C655" s="86">
        <f t="shared" si="10"/>
        <v>6</v>
      </c>
      <c r="D655" s="81" t="s">
        <v>1904</v>
      </c>
      <c r="E655" s="79" t="s">
        <v>1905</v>
      </c>
      <c r="F655" s="80">
        <v>8000</v>
      </c>
      <c r="G655" s="81" t="s">
        <v>895</v>
      </c>
      <c r="H655" s="86" t="str">
        <f>IF(A655="","",IF(INDEX(EXTRATO!$F$2:$F$3000,MATCH($A655,EXTRATO!$A$2:$A$3000,0))="","",INDEX(EXTRATO!$F$2:$F$3000,MATCH($A655,EXTRATO!$A$2:$A$3000,0))))</f>
        <v>SAÍDA</v>
      </c>
      <c r="I655" s="88" t="str">
        <f>IF(A655="","",IF(INDEX(EXTRATO!$H$2:$H$3000,MATCH($A655,EXTRATO!$A$2:$A$3000,0))="","",INDEX(EXTRATO!$H$2:$H$3000,MATCH($A655,EXTRATO!$A$2:$A$3000,0))))</f>
        <v>CELINA TCBC DE MIRANDA</v>
      </c>
      <c r="J655" s="86" t="s">
        <v>1313</v>
      </c>
      <c r="K655" s="86" t="str">
        <f>IF(AND(A655="",D655="",E655="",F655=""),"",IF(D655="","SEM CATEGORIA",IF(E655="","SEM SUBCATEGORIA",IF(COUNTIFS(CADASTROS!$L$7:$L$93,D655,CADASTROS!$D$7:$D$93,E655)=0,"INCOMPATÍVEL","OK"))))</f>
        <v>OK</v>
      </c>
    </row>
    <row r="656" spans="1:11" ht="30" hidden="1" customHeight="1" x14ac:dyDescent="0.25">
      <c r="A656" s="86" t="s">
        <v>2040</v>
      </c>
      <c r="B656" s="85">
        <f>IF(A656="","",IF(INDEX(EXTRATO!$C$2:$C$3000,MATCH($A656,EXTRATO!$A$2:$A$3000,0))="","",INDEX(EXTRATO!$C$2:$C$3000,MATCH($A656,EXTRATO!$A$2:$A$3000,0))))</f>
        <v>46181</v>
      </c>
      <c r="C656" s="86">
        <f t="shared" si="10"/>
        <v>6</v>
      </c>
      <c r="D656" s="81" t="s">
        <v>1904</v>
      </c>
      <c r="E656" s="79" t="s">
        <v>1905</v>
      </c>
      <c r="F656" s="80">
        <v>8000</v>
      </c>
      <c r="G656" s="81" t="s">
        <v>2046</v>
      </c>
      <c r="H656" s="86" t="str">
        <f>IF(A656="","",IF(INDEX(EXTRATO!$F$2:$F$3000,MATCH($A656,EXTRATO!$A$2:$A$3000,0))="","",INDEX(EXTRATO!$F$2:$F$3000,MATCH($A656,EXTRATO!$A$2:$A$3000,0))))</f>
        <v>SAÍDA</v>
      </c>
      <c r="I656" s="88" t="str">
        <f>IF(A656="","",IF(INDEX(EXTRATO!$H$2:$H$3000,MATCH($A656,EXTRATO!$A$2:$A$3000,0))="","",INDEX(EXTRATO!$H$2:$H$3000,MATCH($A656,EXTRATO!$A$2:$A$3000,0))))</f>
        <v>AFONSO PAULO COSTA FERRO</v>
      </c>
      <c r="J656" s="86" t="s">
        <v>1313</v>
      </c>
      <c r="K656" s="86" t="str">
        <f>IF(AND(A656="",D656="",E656="",F656=""),"",IF(D656="","SEM CATEGORIA",IF(E656="","SEM SUBCATEGORIA",IF(COUNTIFS(CADASTROS!$L$7:$L$93,D656,CADASTROS!$D$7:$D$93,E656)=0,"INCOMPATÍVEL","OK"))))</f>
        <v>OK</v>
      </c>
    </row>
    <row r="657" spans="1:11" ht="30" hidden="1" customHeight="1" x14ac:dyDescent="0.25">
      <c r="A657" s="86" t="s">
        <v>2040</v>
      </c>
      <c r="B657" s="85">
        <f>IF(A657="","",IF(INDEX(EXTRATO!$C$2:$C$3000,MATCH($A657,EXTRATO!$A$2:$A$3000,0))="","",INDEX(EXTRATO!$C$2:$C$3000,MATCH($A657,EXTRATO!$A$2:$A$3000,0))))</f>
        <v>46181</v>
      </c>
      <c r="C657" s="86">
        <f t="shared" si="10"/>
        <v>6</v>
      </c>
      <c r="D657" s="81" t="s">
        <v>1637</v>
      </c>
      <c r="E657" s="79" t="s">
        <v>2047</v>
      </c>
      <c r="F657" s="80">
        <v>1621</v>
      </c>
      <c r="G657" s="81" t="s">
        <v>2048</v>
      </c>
      <c r="H657" s="86" t="str">
        <f>IF(A657="","",IF(INDEX(EXTRATO!$F$2:$F$3000,MATCH($A657,EXTRATO!$A$2:$A$3000,0))="","",INDEX(EXTRATO!$F$2:$F$3000,MATCH($A657,EXTRATO!$A$2:$A$3000,0))))</f>
        <v>SAÍDA</v>
      </c>
      <c r="I657" s="88" t="str">
        <f>IF(A657="","",IF(INDEX(EXTRATO!$H$2:$H$3000,MATCH($A657,EXTRATO!$A$2:$A$3000,0))="","",INDEX(EXTRATO!$H$2:$H$3000,MATCH($A657,EXTRATO!$A$2:$A$3000,0))))</f>
        <v>AFONSO PAULO COSTA FERRO</v>
      </c>
      <c r="J657" s="86" t="s">
        <v>1313</v>
      </c>
      <c r="K657" s="86" t="str">
        <f>IF(AND(A657="",D657="",E657="",F657=""),"",IF(D657="","SEM CATEGORIA",IF(E657="","SEM SUBCATEGORIA",IF(COUNTIFS(CADASTROS!$L$7:$L$93,D657,CADASTROS!$D$7:$D$93,E657)=0,"INCOMPATÍVEL","OK"))))</f>
        <v>OK</v>
      </c>
    </row>
    <row r="658" spans="1:11" ht="30" hidden="1" customHeight="1" x14ac:dyDescent="0.25">
      <c r="A658" s="86" t="s">
        <v>2041</v>
      </c>
      <c r="B658" s="85">
        <f>IF(A658="","",IF(INDEX(EXTRATO!$C$2:$C$3000,MATCH($A658,EXTRATO!$A$2:$A$3000,0))="","",INDEX(EXTRATO!$C$2:$C$3000,MATCH($A658,EXTRATO!$A$2:$A$3000,0))))</f>
        <v>46181</v>
      </c>
      <c r="C658" s="86">
        <f t="shared" si="10"/>
        <v>6</v>
      </c>
      <c r="D658" s="81" t="s">
        <v>1904</v>
      </c>
      <c r="E658" s="79" t="s">
        <v>1905</v>
      </c>
      <c r="F658" s="80">
        <v>8000</v>
      </c>
      <c r="G658" s="81" t="s">
        <v>2050</v>
      </c>
      <c r="H658" s="86" t="str">
        <f>IF(A658="","",IF(INDEX(EXTRATO!$F$2:$F$3000,MATCH($A658,EXTRATO!$A$2:$A$3000,0))="","",INDEX(EXTRATO!$F$2:$F$3000,MATCH($A658,EXTRATO!$A$2:$A$3000,0))))</f>
        <v>SAÍDA</v>
      </c>
      <c r="I658" s="88" t="str">
        <f>IF(A658="","",IF(INDEX(EXTRATO!$H$2:$H$3000,MATCH($A658,EXTRATO!$A$2:$A$3000,0))="","",INDEX(EXTRATO!$H$2:$H$3000,MATCH($A658,EXTRATO!$A$2:$A$3000,0))))</f>
        <v>FABIANA CRISTINA</v>
      </c>
      <c r="J658" s="86" t="s">
        <v>1313</v>
      </c>
      <c r="K658" s="86" t="str">
        <f>IF(AND(A658="",D658="",E658="",F658=""),"",IF(D658="","SEM CATEGORIA",IF(E658="","SEM SUBCATEGORIA",IF(COUNTIFS(CADASTROS!$L$7:$L$93,D658,CADASTROS!$D$7:$D$93,E658)=0,"INCOMPATÍVEL","OK"))))</f>
        <v>OK</v>
      </c>
    </row>
    <row r="659" spans="1:11" ht="30" hidden="1" customHeight="1" x14ac:dyDescent="0.25">
      <c r="A659" s="86" t="s">
        <v>2041</v>
      </c>
      <c r="B659" s="85">
        <f>IF(A659="","",IF(INDEX(EXTRATO!$C$2:$C$3000,MATCH($A659,EXTRATO!$A$2:$A$3000,0))="","",INDEX(EXTRATO!$C$2:$C$3000,MATCH($A659,EXTRATO!$A$2:$A$3000,0))))</f>
        <v>46181</v>
      </c>
      <c r="C659" s="86">
        <f t="shared" si="10"/>
        <v>6</v>
      </c>
      <c r="D659" s="81" t="s">
        <v>1637</v>
      </c>
      <c r="E659" s="79" t="s">
        <v>1638</v>
      </c>
      <c r="F659" s="80">
        <v>7500</v>
      </c>
      <c r="G659" s="81" t="s">
        <v>2051</v>
      </c>
      <c r="H659" s="86" t="str">
        <f>IF(A659="","",IF(INDEX(EXTRATO!$F$2:$F$3000,MATCH($A659,EXTRATO!$A$2:$A$3000,0))="","",INDEX(EXTRATO!$F$2:$F$3000,MATCH($A659,EXTRATO!$A$2:$A$3000,0))))</f>
        <v>SAÍDA</v>
      </c>
      <c r="I659" s="88" t="str">
        <f>IF(A659="","",IF(INDEX(EXTRATO!$H$2:$H$3000,MATCH($A659,EXTRATO!$A$2:$A$3000,0))="","",INDEX(EXTRATO!$H$2:$H$3000,MATCH($A659,EXTRATO!$A$2:$A$3000,0))))</f>
        <v>FABIANA CRISTINA</v>
      </c>
      <c r="J659" s="86" t="s">
        <v>1313</v>
      </c>
      <c r="K659" s="86" t="str">
        <f>IF(AND(A659="",D659="",E659="",F659=""),"",IF(D659="","SEM CATEGORIA",IF(E659="","SEM SUBCATEGORIA",IF(COUNTIFS(CADASTROS!$L$7:$L$93,D659,CADASTROS!$D$7:$D$93,E659)=0,"INCOMPATÍVEL","OK"))))</f>
        <v>OK</v>
      </c>
    </row>
    <row r="660" spans="1:11" ht="30" hidden="1" customHeight="1" x14ac:dyDescent="0.25">
      <c r="A660" s="86" t="s">
        <v>2042</v>
      </c>
      <c r="B660" s="85">
        <f>IF(A660="","",IF(INDEX(EXTRATO!$C$2:$C$3000,MATCH($A660,EXTRATO!$A$2:$A$3000,0))="","",INDEX(EXTRATO!$C$2:$C$3000,MATCH($A660,EXTRATO!$A$2:$A$3000,0))))</f>
        <v>46181</v>
      </c>
      <c r="C660" s="86">
        <f t="shared" si="10"/>
        <v>6</v>
      </c>
      <c r="D660" s="81" t="s">
        <v>1904</v>
      </c>
      <c r="E660" s="79" t="s">
        <v>1905</v>
      </c>
      <c r="F660" s="80">
        <v>2000</v>
      </c>
      <c r="G660" s="81" t="s">
        <v>2053</v>
      </c>
      <c r="H660" s="86" t="str">
        <f>IF(A660="","",IF(INDEX(EXTRATO!$F$2:$F$3000,MATCH($A660,EXTRATO!$A$2:$A$3000,0))="","",INDEX(EXTRATO!$F$2:$F$3000,MATCH($A660,EXTRATO!$A$2:$A$3000,0))))</f>
        <v>SAÍDA</v>
      </c>
      <c r="I660" s="88" t="str">
        <f>IF(A660="","",IF(INDEX(EXTRATO!$H$2:$H$3000,MATCH($A660,EXTRATO!$A$2:$A$3000,0))="","",INDEX(EXTRATO!$H$2:$H$3000,MATCH($A660,EXTRATO!$A$2:$A$3000,0))))</f>
        <v>PATRICK DULFF</v>
      </c>
      <c r="J660" s="86" t="s">
        <v>1313</v>
      </c>
      <c r="K660" s="86" t="str">
        <f>IF(AND(A660="",D660="",E660="",F660=""),"",IF(D660="","SEM CATEGORIA",IF(E660="","SEM SUBCATEGORIA",IF(COUNTIFS(CADASTROS!$L$7:$L$93,D660,CADASTROS!$D$7:$D$93,E660)=0,"INCOMPATÍVEL","OK"))))</f>
        <v>OK</v>
      </c>
    </row>
    <row r="661" spans="1:11" ht="30" hidden="1" customHeight="1" x14ac:dyDescent="0.25">
      <c r="A661" s="86" t="s">
        <v>2042</v>
      </c>
      <c r="B661" s="85">
        <f>IF(A661="","",IF(INDEX(EXTRATO!$C$2:$C$3000,MATCH($A661,EXTRATO!$A$2:$A$3000,0))="","",INDEX(EXTRATO!$C$2:$C$3000,MATCH($A661,EXTRATO!$A$2:$A$3000,0))))</f>
        <v>46181</v>
      </c>
      <c r="C661" s="86">
        <f t="shared" si="10"/>
        <v>6</v>
      </c>
      <c r="D661" s="81" t="s">
        <v>1637</v>
      </c>
      <c r="E661" s="79" t="s">
        <v>1638</v>
      </c>
      <c r="F661" s="80">
        <v>15000</v>
      </c>
      <c r="G661" s="81" t="s">
        <v>2054</v>
      </c>
      <c r="H661" s="86" t="str">
        <f>IF(A661="","",IF(INDEX(EXTRATO!$F$2:$F$3000,MATCH($A661,EXTRATO!$A$2:$A$3000,0))="","",INDEX(EXTRATO!$F$2:$F$3000,MATCH($A661,EXTRATO!$A$2:$A$3000,0))))</f>
        <v>SAÍDA</v>
      </c>
      <c r="I661" s="88" t="str">
        <f>IF(A661="","",IF(INDEX(EXTRATO!$H$2:$H$3000,MATCH($A661,EXTRATO!$A$2:$A$3000,0))="","",INDEX(EXTRATO!$H$2:$H$3000,MATCH($A661,EXTRATO!$A$2:$A$3000,0))))</f>
        <v>PATRICK DULFF</v>
      </c>
      <c r="J661" s="86" t="s">
        <v>1313</v>
      </c>
      <c r="K661" s="86" t="str">
        <f>IF(AND(A661="",D661="",E661="",F661=""),"",IF(D661="","SEM CATEGORIA",IF(E661="","SEM SUBCATEGORIA",IF(COUNTIFS(CADASTROS!$L$7:$L$93,D661,CADASTROS!$D$7:$D$93,E661)=0,"INCOMPATÍVEL","OK"))))</f>
        <v>OK</v>
      </c>
    </row>
    <row r="662" spans="1:11" ht="30" hidden="1" customHeight="1" x14ac:dyDescent="0.25">
      <c r="A662" s="86" t="s">
        <v>2043</v>
      </c>
      <c r="B662" s="85">
        <f>IF(A662="","",IF(INDEX(EXTRATO!$C$2:$C$3000,MATCH($A662,EXTRATO!$A$2:$A$3000,0))="","",INDEX(EXTRATO!$C$2:$C$3000,MATCH($A662,EXTRATO!$A$2:$A$3000,0))))</f>
        <v>46181</v>
      </c>
      <c r="C662" s="86">
        <f t="shared" si="10"/>
        <v>6</v>
      </c>
      <c r="D662" s="81" t="s">
        <v>1904</v>
      </c>
      <c r="E662" s="79" t="s">
        <v>1905</v>
      </c>
      <c r="F662" s="80">
        <v>4000</v>
      </c>
      <c r="G662" s="81" t="s">
        <v>900</v>
      </c>
      <c r="H662" s="86" t="str">
        <f>IF(A662="","",IF(INDEX(EXTRATO!$F$2:$F$3000,MATCH($A662,EXTRATO!$A$2:$A$3000,0))="","",INDEX(EXTRATO!$F$2:$F$3000,MATCH($A662,EXTRATO!$A$2:$A$3000,0))))</f>
        <v>SAÍDA</v>
      </c>
      <c r="I662" s="88" t="str">
        <f>IF(A662="","",IF(INDEX(EXTRATO!$H$2:$H$3000,MATCH($A662,EXTRATO!$A$2:$A$3000,0))="","",INDEX(EXTRATO!$H$2:$H$3000,MATCH($A662,EXTRATO!$A$2:$A$3000,0))))</f>
        <v>ADELIA DALVA DA SILVA OLIVEIRA</v>
      </c>
      <c r="J662" s="86" t="s">
        <v>1313</v>
      </c>
      <c r="K662" s="86" t="str">
        <f>IF(AND(A662="",D662="",E662="",F662=""),"",IF(D662="","SEM CATEGORIA",IF(E662="","SEM SUBCATEGORIA",IF(COUNTIFS(CADASTROS!$L$7:$L$93,D662,CADASTROS!$D$7:$D$93,E662)=0,"INCOMPATÍVEL","OK"))))</f>
        <v>OK</v>
      </c>
    </row>
    <row r="663" spans="1:11" ht="30" hidden="1" customHeight="1" x14ac:dyDescent="0.25">
      <c r="A663" s="86" t="s">
        <v>2044</v>
      </c>
      <c r="B663" s="85">
        <f>IF(A663="","",IF(INDEX(EXTRATO!$C$2:$C$3000,MATCH($A663,EXTRATO!$A$2:$A$3000,0))="","",INDEX(EXTRATO!$C$2:$C$3000,MATCH($A663,EXTRATO!$A$2:$A$3000,0))))</f>
        <v>46181</v>
      </c>
      <c r="C663" s="86">
        <f t="shared" si="10"/>
        <v>6</v>
      </c>
      <c r="D663" s="81" t="s">
        <v>1904</v>
      </c>
      <c r="E663" s="79" t="s">
        <v>1905</v>
      </c>
      <c r="F663" s="80">
        <v>4000</v>
      </c>
      <c r="G663" s="81" t="s">
        <v>2057</v>
      </c>
      <c r="H663" s="86" t="str">
        <f>IF(A663="","",IF(INDEX(EXTRATO!$F$2:$F$3000,MATCH($A663,EXTRATO!$A$2:$A$3000,0))="","",INDEX(EXTRATO!$F$2:$F$3000,MATCH($A663,EXTRATO!$A$2:$A$3000,0))))</f>
        <v>SAÍDA</v>
      </c>
      <c r="I663" s="88" t="str">
        <f>IF(A663="","",IF(INDEX(EXTRATO!$H$2:$H$3000,MATCH($A663,EXTRATO!$A$2:$A$3000,0))="","",INDEX(EXTRATO!$H$2:$H$3000,MATCH($A663,EXTRATO!$A$2:$A$3000,0))))</f>
        <v>MOISES S OLIVEIRA</v>
      </c>
      <c r="J663" s="86" t="s">
        <v>1313</v>
      </c>
      <c r="K663" s="86" t="str">
        <f>IF(AND(A663="",D663="",E663="",F663=""),"",IF(D663="","SEM CATEGORIA",IF(E663="","SEM SUBCATEGORIA",IF(COUNTIFS(CADASTROS!$L$7:$L$93,D663,CADASTROS!$D$7:$D$93,E663)=0,"INCOMPATÍVEL","OK"))))</f>
        <v>OK</v>
      </c>
    </row>
    <row r="664" spans="1:11" ht="30" hidden="1" customHeight="1" x14ac:dyDescent="0.25">
      <c r="A664" s="86" t="s">
        <v>2044</v>
      </c>
      <c r="B664" s="85">
        <f>IF(A664="","",IF(INDEX(EXTRATO!$C$2:$C$3000,MATCH($A664,EXTRATO!$A$2:$A$3000,0))="","",INDEX(EXTRATO!$C$2:$C$3000,MATCH($A664,EXTRATO!$A$2:$A$3000,0))))</f>
        <v>46181</v>
      </c>
      <c r="C664" s="86">
        <f t="shared" si="10"/>
        <v>6</v>
      </c>
      <c r="D664" s="81" t="s">
        <v>1637</v>
      </c>
      <c r="E664" s="79" t="s">
        <v>1638</v>
      </c>
      <c r="F664" s="80">
        <v>5000</v>
      </c>
      <c r="G664" s="81" t="s">
        <v>2058</v>
      </c>
      <c r="H664" s="86" t="str">
        <f>IF(A664="","",IF(INDEX(EXTRATO!$F$2:$F$3000,MATCH($A664,EXTRATO!$A$2:$A$3000,0))="","",INDEX(EXTRATO!$F$2:$F$3000,MATCH($A664,EXTRATO!$A$2:$A$3000,0))))</f>
        <v>SAÍDA</v>
      </c>
      <c r="I664" s="88" t="str">
        <f>IF(A664="","",IF(INDEX(EXTRATO!$H$2:$H$3000,MATCH($A664,EXTRATO!$A$2:$A$3000,0))="","",INDEX(EXTRATO!$H$2:$H$3000,MATCH($A664,EXTRATO!$A$2:$A$3000,0))))</f>
        <v>MOISES S OLIVEIRA</v>
      </c>
      <c r="J664" s="86" t="s">
        <v>1313</v>
      </c>
      <c r="K664" s="86" t="str">
        <f>IF(AND(A664="",D664="",E664="",F664=""),"",IF(D664="","SEM CATEGORIA",IF(E664="","SEM SUBCATEGORIA",IF(COUNTIFS(CADASTROS!$L$7:$L$93,D664,CADASTROS!$D$7:$D$93,E664)=0,"INCOMPATÍVEL","OK"))))</f>
        <v>OK</v>
      </c>
    </row>
    <row r="665" spans="1:11" ht="30" hidden="1" customHeight="1" x14ac:dyDescent="0.25">
      <c r="A665" s="86" t="s">
        <v>2045</v>
      </c>
      <c r="B665" s="85">
        <f>IF(A665="","",IF(INDEX(EXTRATO!$C$2:$C$3000,MATCH($A665,EXTRATO!$A$2:$A$3000,0))="","",INDEX(EXTRATO!$C$2:$C$3000,MATCH($A665,EXTRATO!$A$2:$A$3000,0))))</f>
        <v>46181</v>
      </c>
      <c r="C665" s="86">
        <f t="shared" si="10"/>
        <v>6</v>
      </c>
      <c r="D665" s="81" t="s">
        <v>1904</v>
      </c>
      <c r="E665" s="79" t="s">
        <v>1905</v>
      </c>
      <c r="F665" s="80">
        <v>4000</v>
      </c>
      <c r="G665" s="81" t="s">
        <v>2060</v>
      </c>
      <c r="H665" s="86" t="str">
        <f>IF(A665="","",IF(INDEX(EXTRATO!$F$2:$F$3000,MATCH($A665,EXTRATO!$A$2:$A$3000,0))="","",INDEX(EXTRATO!$F$2:$F$3000,MATCH($A665,EXTRATO!$A$2:$A$3000,0))))</f>
        <v>SAÍDA</v>
      </c>
      <c r="I665" s="88" t="str">
        <f>IF(A665="","",IF(INDEX(EXTRATO!$H$2:$H$3000,MATCH($A665,EXTRATO!$A$2:$A$3000,0))="","",INDEX(EXTRATO!$H$2:$H$3000,MATCH($A665,EXTRATO!$A$2:$A$3000,0))))</f>
        <v>GLADSTONE SANTOS SILVA</v>
      </c>
      <c r="J665" s="86" t="s">
        <v>1313</v>
      </c>
      <c r="K665" s="86" t="str">
        <f>IF(AND(A665="",D665="",E665="",F665=""),"",IF(D665="","SEM CATEGORIA",IF(E665="","SEM SUBCATEGORIA",IF(COUNTIFS(CADASTROS!$L$7:$L$93,D665,CADASTROS!$D$7:$D$93,E665)=0,"INCOMPATÍVEL","OK"))))</f>
        <v>OK</v>
      </c>
    </row>
    <row r="666" spans="1:11" ht="30" hidden="1" customHeight="1" x14ac:dyDescent="0.25">
      <c r="A666" s="86" t="s">
        <v>2045</v>
      </c>
      <c r="B666" s="85">
        <f>IF(A666="","",IF(INDEX(EXTRATO!$C$2:$C$3000,MATCH($A666,EXTRATO!$A$2:$A$3000,0))="","",INDEX(EXTRATO!$C$2:$C$3000,MATCH($A666,EXTRATO!$A$2:$A$3000,0))))</f>
        <v>46181</v>
      </c>
      <c r="C666" s="86">
        <f t="shared" si="10"/>
        <v>6</v>
      </c>
      <c r="D666" s="81" t="s">
        <v>1637</v>
      </c>
      <c r="E666" s="79" t="s">
        <v>1638</v>
      </c>
      <c r="F666" s="80">
        <v>5000</v>
      </c>
      <c r="G666" s="81" t="s">
        <v>2061</v>
      </c>
      <c r="H666" s="86" t="str">
        <f>IF(A666="","",IF(INDEX(EXTRATO!$F$2:$F$3000,MATCH($A666,EXTRATO!$A$2:$A$3000,0))="","",INDEX(EXTRATO!$F$2:$F$3000,MATCH($A666,EXTRATO!$A$2:$A$3000,0))))</f>
        <v>SAÍDA</v>
      </c>
      <c r="I666" s="88" t="str">
        <f>IF(A666="","",IF(INDEX(EXTRATO!$H$2:$H$3000,MATCH($A666,EXTRATO!$A$2:$A$3000,0))="","",INDEX(EXTRATO!$H$2:$H$3000,MATCH($A666,EXTRATO!$A$2:$A$3000,0))))</f>
        <v>GLADSTONE SANTOS SILVA</v>
      </c>
      <c r="J666" s="86" t="s">
        <v>1313</v>
      </c>
      <c r="K666" s="86" t="str">
        <f>IF(AND(A666="",D666="",E666="",F666=""),"",IF(D666="","SEM CATEGORIA",IF(E666="","SEM SUBCATEGORIA",IF(COUNTIFS(CADASTROS!$L$7:$L$93,D666,CADASTROS!$D$7:$D$93,E666)=0,"INCOMPATÍVEL","OK"))))</f>
        <v>OK</v>
      </c>
    </row>
    <row r="667" spans="1:11" ht="30" hidden="1" customHeight="1" x14ac:dyDescent="0.25">
      <c r="A667" s="86" t="s">
        <v>2049</v>
      </c>
      <c r="B667" s="85">
        <f>IF(A667="","",IF(INDEX(EXTRATO!$C$2:$C$3000,MATCH($A667,EXTRATO!$A$2:$A$3000,0))="","",INDEX(EXTRATO!$C$2:$C$3000,MATCH($A667,EXTRATO!$A$2:$A$3000,0))))</f>
        <v>46181</v>
      </c>
      <c r="C667" s="86">
        <f t="shared" si="10"/>
        <v>6</v>
      </c>
      <c r="D667" s="81" t="s">
        <v>1637</v>
      </c>
      <c r="E667" s="79" t="s">
        <v>1638</v>
      </c>
      <c r="F667" s="80">
        <v>7500</v>
      </c>
      <c r="G667" s="81" t="s">
        <v>2063</v>
      </c>
      <c r="H667" s="86" t="str">
        <f>IF(A667="","",IF(INDEX(EXTRATO!$F$2:$F$3000,MATCH($A667,EXTRATO!$A$2:$A$3000,0))="","",INDEX(EXTRATO!$F$2:$F$3000,MATCH($A667,EXTRATO!$A$2:$A$3000,0))))</f>
        <v>SAÍDA</v>
      </c>
      <c r="I667" s="88" t="str">
        <f>IF(A667="","",IF(INDEX(EXTRATO!$H$2:$H$3000,MATCH($A667,EXTRATO!$A$2:$A$3000,0))="","",INDEX(EXTRATO!$H$2:$H$3000,MATCH($A667,EXTRATO!$A$2:$A$3000,0))))</f>
        <v>ANDERSON RAFAEL SALVIANO</v>
      </c>
      <c r="J667" s="86" t="s">
        <v>1313</v>
      </c>
      <c r="K667" s="86" t="str">
        <f>IF(AND(A667="",D667="",E667="",F667=""),"",IF(D667="","SEM CATEGORIA",IF(E667="","SEM SUBCATEGORIA",IF(COUNTIFS(CADASTROS!$L$7:$L$93,D667,CADASTROS!$D$7:$D$93,E667)=0,"INCOMPATÍVEL","OK"))))</f>
        <v>OK</v>
      </c>
    </row>
    <row r="668" spans="1:11" ht="30" hidden="1" customHeight="1" x14ac:dyDescent="0.25">
      <c r="A668" s="86" t="s">
        <v>2049</v>
      </c>
      <c r="B668" s="85">
        <f>IF(A668="","",IF(INDEX(EXTRATO!$C$2:$C$3000,MATCH($A668,EXTRATO!$A$2:$A$3000,0))="","",INDEX(EXTRATO!$C$2:$C$3000,MATCH($A668,EXTRATO!$A$2:$A$3000,0))))</f>
        <v>46181</v>
      </c>
      <c r="C668" s="86">
        <f t="shared" si="10"/>
        <v>6</v>
      </c>
      <c r="D668" s="81" t="s">
        <v>1637</v>
      </c>
      <c r="E668" s="79" t="s">
        <v>2047</v>
      </c>
      <c r="F668" s="80">
        <v>1621</v>
      </c>
      <c r="G668" s="81" t="s">
        <v>2064</v>
      </c>
      <c r="H668" s="86" t="str">
        <f>IF(A668="","",IF(INDEX(EXTRATO!$F$2:$F$3000,MATCH($A668,EXTRATO!$A$2:$A$3000,0))="","",INDEX(EXTRATO!$F$2:$F$3000,MATCH($A668,EXTRATO!$A$2:$A$3000,0))))</f>
        <v>SAÍDA</v>
      </c>
      <c r="I668" s="88" t="str">
        <f>IF(A668="","",IF(INDEX(EXTRATO!$H$2:$H$3000,MATCH($A668,EXTRATO!$A$2:$A$3000,0))="","",INDEX(EXTRATO!$H$2:$H$3000,MATCH($A668,EXTRATO!$A$2:$A$3000,0))))</f>
        <v>ANDERSON RAFAEL SALVIANO</v>
      </c>
      <c r="J668" s="86" t="s">
        <v>1313</v>
      </c>
      <c r="K668" s="86" t="str">
        <f>IF(AND(A668="",D668="",E668="",F668=""),"",IF(D668="","SEM CATEGORIA",IF(E668="","SEM SUBCATEGORIA",IF(COUNTIFS(CADASTROS!$L$7:$L$93,D668,CADASTROS!$D$7:$D$93,E668)=0,"INCOMPATÍVEL","OK"))))</f>
        <v>OK</v>
      </c>
    </row>
    <row r="669" spans="1:11" ht="30" hidden="1" customHeight="1" x14ac:dyDescent="0.25">
      <c r="A669" s="86" t="s">
        <v>2049</v>
      </c>
      <c r="B669" s="85">
        <f>IF(A669="","",IF(INDEX(EXTRATO!$C$2:$C$3000,MATCH($A669,EXTRATO!$A$2:$A$3000,0))="","",INDEX(EXTRATO!$C$2:$C$3000,MATCH($A669,EXTRATO!$A$2:$A$3000,0))))</f>
        <v>46181</v>
      </c>
      <c r="C669" s="86">
        <f t="shared" si="10"/>
        <v>6</v>
      </c>
      <c r="D669" s="81" t="s">
        <v>1637</v>
      </c>
      <c r="E669" s="79" t="s">
        <v>2065</v>
      </c>
      <c r="F669" s="80">
        <v>1621</v>
      </c>
      <c r="G669" s="81" t="s">
        <v>2066</v>
      </c>
      <c r="H669" s="86" t="str">
        <f>IF(A669="","",IF(INDEX(EXTRATO!$F$2:$F$3000,MATCH($A669,EXTRATO!$A$2:$A$3000,0))="","",INDEX(EXTRATO!$F$2:$F$3000,MATCH($A669,EXTRATO!$A$2:$A$3000,0))))</f>
        <v>SAÍDA</v>
      </c>
      <c r="I669" s="88" t="str">
        <f>IF(A669="","",IF(INDEX(EXTRATO!$H$2:$H$3000,MATCH($A669,EXTRATO!$A$2:$A$3000,0))="","",INDEX(EXTRATO!$H$2:$H$3000,MATCH($A669,EXTRATO!$A$2:$A$3000,0))))</f>
        <v>ANDERSON RAFAEL SALVIANO</v>
      </c>
      <c r="J669" s="86" t="s">
        <v>1313</v>
      </c>
      <c r="K669" s="86" t="str">
        <f>IF(AND(A669="",D669="",E669="",F669=""),"",IF(D669="","SEM CATEGORIA",IF(E669="","SEM SUBCATEGORIA",IF(COUNTIFS(CADASTROS!$L$7:$L$93,D669,CADASTROS!$D$7:$D$93,E669)=0,"INCOMPATÍVEL","OK"))))</f>
        <v>OK</v>
      </c>
    </row>
    <row r="670" spans="1:11" ht="30" hidden="1" customHeight="1" x14ac:dyDescent="0.25">
      <c r="A670" s="86" t="s">
        <v>2049</v>
      </c>
      <c r="B670" s="85">
        <f>IF(A670="","",IF(INDEX(EXTRATO!$C$2:$C$3000,MATCH($A670,EXTRATO!$A$2:$A$3000,0))="","",INDEX(EXTRATO!$C$2:$C$3000,MATCH($A670,EXTRATO!$A$2:$A$3000,0))))</f>
        <v>46181</v>
      </c>
      <c r="C670" s="86">
        <f t="shared" si="10"/>
        <v>6</v>
      </c>
      <c r="D670" s="81" t="s">
        <v>1904</v>
      </c>
      <c r="E670" s="79" t="s">
        <v>1905</v>
      </c>
      <c r="F670" s="80">
        <v>8000</v>
      </c>
      <c r="G670" s="81" t="s">
        <v>2067</v>
      </c>
      <c r="H670" s="86" t="str">
        <f>IF(A670="","",IF(INDEX(EXTRATO!$F$2:$F$3000,MATCH($A670,EXTRATO!$A$2:$A$3000,0))="","",INDEX(EXTRATO!$F$2:$F$3000,MATCH($A670,EXTRATO!$A$2:$A$3000,0))))</f>
        <v>SAÍDA</v>
      </c>
      <c r="I670" s="88" t="str">
        <f>IF(A670="","",IF(INDEX(EXTRATO!$H$2:$H$3000,MATCH($A670,EXTRATO!$A$2:$A$3000,0))="","",INDEX(EXTRATO!$H$2:$H$3000,MATCH($A670,EXTRATO!$A$2:$A$3000,0))))</f>
        <v>ANDERSON RAFAEL SALVIANO</v>
      </c>
      <c r="J670" s="86" t="s">
        <v>1313</v>
      </c>
      <c r="K670" s="86" t="str">
        <f>IF(AND(A670="",D670="",E670="",F670=""),"",IF(D670="","SEM CATEGORIA",IF(E670="","SEM SUBCATEGORIA",IF(COUNTIFS(CADASTROS!$L$7:$L$93,D670,CADASTROS!$D$7:$D$93,E670)=0,"INCOMPATÍVEL","OK"))))</f>
        <v>OK</v>
      </c>
    </row>
    <row r="671" spans="1:11" ht="30" hidden="1" customHeight="1" x14ac:dyDescent="0.25">
      <c r="A671" s="86" t="s">
        <v>2052</v>
      </c>
      <c r="B671" s="85">
        <f>IF(A671="","",IF(INDEX(EXTRATO!$C$2:$C$3000,MATCH($A671,EXTRATO!$A$2:$A$3000,0))="","",INDEX(EXTRATO!$C$2:$C$3000,MATCH($A671,EXTRATO!$A$2:$A$3000,0))))</f>
        <v>46181</v>
      </c>
      <c r="C671" s="86">
        <f t="shared" si="10"/>
        <v>6</v>
      </c>
      <c r="D671" s="81" t="s">
        <v>1904</v>
      </c>
      <c r="E671" s="79" t="s">
        <v>1905</v>
      </c>
      <c r="F671" s="80">
        <v>4000</v>
      </c>
      <c r="G671" s="81" t="s">
        <v>904</v>
      </c>
      <c r="H671" s="86" t="str">
        <f>IF(A671="","",IF(INDEX(EXTRATO!$F$2:$F$3000,MATCH($A671,EXTRATO!$A$2:$A$3000,0))="","",INDEX(EXTRATO!$F$2:$F$3000,MATCH($A671,EXTRATO!$A$2:$A$3000,0))))</f>
        <v>SAÍDA</v>
      </c>
      <c r="I671" s="88" t="str">
        <f>IF(A671="","",IF(INDEX(EXTRATO!$H$2:$H$3000,MATCH($A671,EXTRATO!$A$2:$A$3000,0))="","",INDEX(EXTRATO!$H$2:$H$3000,MATCH($A671,EXTRATO!$A$2:$A$3000,0))))</f>
        <v>FRANCISCO H SOUSA</v>
      </c>
      <c r="J671" s="86" t="s">
        <v>1313</v>
      </c>
      <c r="K671" s="86" t="str">
        <f>IF(AND(A671="",D671="",E671="",F671=""),"",IF(D671="","SEM CATEGORIA",IF(E671="","SEM SUBCATEGORIA",IF(COUNTIFS(CADASTROS!$L$7:$L$93,D671,CADASTROS!$D$7:$D$93,E671)=0,"INCOMPATÍVEL","OK"))))</f>
        <v>OK</v>
      </c>
    </row>
    <row r="672" spans="1:11" ht="30" hidden="1" customHeight="1" x14ac:dyDescent="0.25">
      <c r="A672" s="86" t="s">
        <v>2055</v>
      </c>
      <c r="B672" s="85">
        <f>IF(A672="","",IF(INDEX(EXTRATO!$C$2:$C$3000,MATCH($A672,EXTRATO!$A$2:$A$3000,0))="","",INDEX(EXTRATO!$C$2:$C$3000,MATCH($A672,EXTRATO!$A$2:$A$3000,0))))</f>
        <v>46181</v>
      </c>
      <c r="C672" s="86">
        <f t="shared" si="10"/>
        <v>6</v>
      </c>
      <c r="D672" s="81" t="s">
        <v>1330</v>
      </c>
      <c r="E672" s="79" t="s">
        <v>1358</v>
      </c>
      <c r="F672" s="80">
        <v>5859.6</v>
      </c>
      <c r="G672" s="81" t="s">
        <v>905</v>
      </c>
      <c r="H672" s="86" t="str">
        <f>IF(A672="","",IF(INDEX(EXTRATO!$F$2:$F$3000,MATCH($A672,EXTRATO!$A$2:$A$3000,0))="","",INDEX(EXTRATO!$F$2:$F$3000,MATCH($A672,EXTRATO!$A$2:$A$3000,0))))</f>
        <v>SAÍDA</v>
      </c>
      <c r="I672" s="88" t="str">
        <f>IF(A672="","",IF(INDEX(EXTRATO!$H$2:$H$3000,MATCH($A672,EXTRATO!$A$2:$A$3000,0))="","",INDEX(EXTRATO!$H$2:$H$3000,MATCH($A672,EXTRATO!$A$2:$A$3000,0))))</f>
        <v>CAMINO</v>
      </c>
      <c r="J672" s="86" t="s">
        <v>1313</v>
      </c>
      <c r="K672" s="86" t="str">
        <f>IF(AND(A672="",D672="",E672="",F672=""),"",IF(D672="","SEM CATEGORIA",IF(E672="","SEM SUBCATEGORIA",IF(COUNTIFS(CADASTROS!$L$7:$L$93,D672,CADASTROS!$D$7:$D$93,E672)=0,"INCOMPATÍVEL","OK"))))</f>
        <v>OK</v>
      </c>
    </row>
    <row r="673" spans="1:11" ht="30" hidden="1" customHeight="1" x14ac:dyDescent="0.25">
      <c r="A673" s="86" t="s">
        <v>2056</v>
      </c>
      <c r="B673" s="85">
        <f>IF(A673="","",IF(INDEX(EXTRATO!$C$2:$C$3000,MATCH($A673,EXTRATO!$A$2:$A$3000,0))="","",INDEX(EXTRATO!$C$2:$C$3000,MATCH($A673,EXTRATO!$A$2:$A$3000,0))))</f>
        <v>46181</v>
      </c>
      <c r="C673" s="86">
        <f t="shared" si="10"/>
        <v>6</v>
      </c>
      <c r="D673" s="81" t="s">
        <v>1311</v>
      </c>
      <c r="E673" s="79" t="s">
        <v>1312</v>
      </c>
      <c r="F673" s="80">
        <v>2873.02</v>
      </c>
      <c r="G673" s="81" t="s">
        <v>390</v>
      </c>
      <c r="H673" s="86" t="str">
        <f>IF(A673="","",IF(INDEX(EXTRATO!$F$2:$F$3000,MATCH($A673,EXTRATO!$A$2:$A$3000,0))="","",INDEX(EXTRATO!$F$2:$F$3000,MATCH($A673,EXTRATO!$A$2:$A$3000,0))))</f>
        <v>SAÍDA</v>
      </c>
      <c r="I673" s="88" t="str">
        <f>IF(A673="","",IF(INDEX(EXTRATO!$H$2:$H$3000,MATCH($A673,EXTRATO!$A$2:$A$3000,0))="","",INDEX(EXTRATO!$H$2:$H$3000,MATCH($A673,EXTRATO!$A$2:$A$3000,0))))</f>
        <v>ULTRAMEGA DISTRIBUIDORA</v>
      </c>
      <c r="J673" s="86" t="s">
        <v>1313</v>
      </c>
      <c r="K673" s="86" t="str">
        <f>IF(AND(A673="",D673="",E673="",F673=""),"",IF(D673="","SEM CATEGORIA",IF(E673="","SEM SUBCATEGORIA",IF(COUNTIFS(CADASTROS!$L$7:$L$93,D673,CADASTROS!$D$7:$D$93,E673)=0,"INCOMPATÍVEL","OK"))))</f>
        <v>OK</v>
      </c>
    </row>
    <row r="674" spans="1:11" ht="30" hidden="1" customHeight="1" x14ac:dyDescent="0.25">
      <c r="A674" s="86" t="s">
        <v>2059</v>
      </c>
      <c r="B674" s="85">
        <f>IF(A674="","",IF(INDEX(EXTRATO!$C$2:$C$3000,MATCH($A674,EXTRATO!$A$2:$A$3000,0))="","",INDEX(EXTRATO!$C$2:$C$3000,MATCH($A674,EXTRATO!$A$2:$A$3000,0))))</f>
        <v>46181</v>
      </c>
      <c r="C674" s="86">
        <f t="shared" si="10"/>
        <v>6</v>
      </c>
      <c r="D674" s="81" t="s">
        <v>1454</v>
      </c>
      <c r="E674" s="79" t="s">
        <v>1521</v>
      </c>
      <c r="F674" s="80">
        <v>1935.4</v>
      </c>
      <c r="G674" s="81" t="s">
        <v>907</v>
      </c>
      <c r="H674" s="86" t="str">
        <f>IF(A674="","",IF(INDEX(EXTRATO!$F$2:$F$3000,MATCH($A674,EXTRATO!$A$2:$A$3000,0))="","",INDEX(EXTRATO!$F$2:$F$3000,MATCH($A674,EXTRATO!$A$2:$A$3000,0))))</f>
        <v>SAÍDA</v>
      </c>
      <c r="I674" s="88" t="str">
        <f>IF(A674="","",IF(INDEX(EXTRATO!$H$2:$H$3000,MATCH($A674,EXTRATO!$A$2:$A$3000,0))="","",INDEX(EXTRATO!$H$2:$H$3000,MATCH($A674,EXTRATO!$A$2:$A$3000,0))))</f>
        <v>BANCO VOLKSWAGEN</v>
      </c>
      <c r="J674" s="86" t="s">
        <v>1313</v>
      </c>
      <c r="K674" s="86" t="str">
        <f>IF(AND(A674="",D674="",E674="",F674=""),"",IF(D674="","SEM CATEGORIA",IF(E674="","SEM SUBCATEGORIA",IF(COUNTIFS(CADASTROS!$L$7:$L$93,D674,CADASTROS!$D$7:$D$93,E674)=0,"INCOMPATÍVEL","OK"))))</f>
        <v>OK</v>
      </c>
    </row>
    <row r="675" spans="1:11" ht="30" hidden="1" customHeight="1" x14ac:dyDescent="0.25">
      <c r="A675" s="86" t="s">
        <v>2062</v>
      </c>
      <c r="B675" s="85">
        <f>IF(A675="","",IF(INDEX(EXTRATO!$C$2:$C$3000,MATCH($A675,EXTRATO!$A$2:$A$3000,0))="","",INDEX(EXTRATO!$C$2:$C$3000,MATCH($A675,EXTRATO!$A$2:$A$3000,0))))</f>
        <v>46181</v>
      </c>
      <c r="C675" s="86">
        <f t="shared" si="10"/>
        <v>6</v>
      </c>
      <c r="D675" s="81" t="s">
        <v>1311</v>
      </c>
      <c r="E675" s="79" t="s">
        <v>1312</v>
      </c>
      <c r="F675" s="80">
        <v>2448.11</v>
      </c>
      <c r="G675" s="81" t="s">
        <v>908</v>
      </c>
      <c r="H675" s="86" t="str">
        <f>IF(A675="","",IF(INDEX(EXTRATO!$F$2:$F$3000,MATCH($A675,EXTRATO!$A$2:$A$3000,0))="","",INDEX(EXTRATO!$F$2:$F$3000,MATCH($A675,EXTRATO!$A$2:$A$3000,0))))</f>
        <v>SAÍDA</v>
      </c>
      <c r="I675" s="88" t="str">
        <f>IF(A675="","",IF(INDEX(EXTRATO!$H$2:$H$3000,MATCH($A675,EXTRATO!$A$2:$A$3000,0))="","",INDEX(EXTRATO!$H$2:$H$3000,MATCH($A675,EXTRATO!$A$2:$A$3000,0))))</f>
        <v>ULTRAMEGA DISTRIBUIDORA</v>
      </c>
      <c r="J675" s="86" t="s">
        <v>1313</v>
      </c>
      <c r="K675" s="86" t="str">
        <f>IF(AND(A675="",D675="",E675="",F675=""),"",IF(D675="","SEM CATEGORIA",IF(E675="","SEM SUBCATEGORIA",IF(COUNTIFS(CADASTROS!$L$7:$L$93,D675,CADASTROS!$D$7:$D$93,E675)=0,"INCOMPATÍVEL","OK"))))</f>
        <v>OK</v>
      </c>
    </row>
    <row r="676" spans="1:11" ht="30" hidden="1" customHeight="1" x14ac:dyDescent="0.25">
      <c r="A676" s="86" t="s">
        <v>2068</v>
      </c>
      <c r="B676" s="85">
        <f>IF(A676="","",IF(INDEX(EXTRATO!$C$2:$C$3000,MATCH($A676,EXTRATO!$A$2:$A$3000,0))="","",INDEX(EXTRATO!$C$2:$C$3000,MATCH($A676,EXTRATO!$A$2:$A$3000,0))))</f>
        <v>46182</v>
      </c>
      <c r="C676" s="86">
        <f t="shared" si="10"/>
        <v>6</v>
      </c>
      <c r="D676" s="81" t="s">
        <v>1311</v>
      </c>
      <c r="E676" s="79" t="s">
        <v>1312</v>
      </c>
      <c r="F676" s="80">
        <v>4771.5</v>
      </c>
      <c r="G676" s="81" t="s">
        <v>2074</v>
      </c>
      <c r="H676" s="86" t="str">
        <f>IF(A676="","",IF(INDEX(EXTRATO!$F$2:$F$3000,MATCH($A676,EXTRATO!$A$2:$A$3000,0))="","",INDEX(EXTRATO!$F$2:$F$3000,MATCH($A676,EXTRATO!$A$2:$A$3000,0))))</f>
        <v>SAÍDA</v>
      </c>
      <c r="I676" s="88" t="str">
        <f>IF(A676="","",IF(INDEX(EXTRATO!$H$2:$H$3000,MATCH($A676,EXTRATO!$A$2:$A$3000,0))="","",INDEX(EXTRATO!$H$2:$H$3000,MATCH($A676,EXTRATO!$A$2:$A$3000,0))))</f>
        <v>NIPRO</v>
      </c>
      <c r="J676" s="86" t="s">
        <v>1313</v>
      </c>
      <c r="K676" s="86" t="str">
        <f>IF(AND(A676="",D676="",E676="",F676=""),"",IF(D676="","SEM CATEGORIA",IF(E676="","SEM SUBCATEGORIA",IF(COUNTIFS(CADASTROS!$L$7:$L$93,D676,CADASTROS!$D$7:$D$93,E676)=0,"INCOMPATÍVEL","OK"))))</f>
        <v>OK</v>
      </c>
    </row>
    <row r="677" spans="1:11" ht="30" hidden="1" customHeight="1" x14ac:dyDescent="0.25">
      <c r="A677" s="86" t="s">
        <v>2069</v>
      </c>
      <c r="B677" s="85">
        <f>IF(A677="","",IF(INDEX(EXTRATO!$C$2:$C$3000,MATCH($A677,EXTRATO!$A$2:$A$3000,0))="","",INDEX(EXTRATO!$C$2:$C$3000,MATCH($A677,EXTRATO!$A$2:$A$3000,0))))</f>
        <v>46183</v>
      </c>
      <c r="C677" s="86">
        <f t="shared" si="10"/>
        <v>6</v>
      </c>
      <c r="D677" s="81" t="s">
        <v>1415</v>
      </c>
      <c r="E677" s="79" t="s">
        <v>1425</v>
      </c>
      <c r="F677" s="80">
        <v>4600</v>
      </c>
      <c r="G677" s="81" t="s">
        <v>910</v>
      </c>
      <c r="H677" s="86" t="str">
        <f>IF(A677="","",IF(INDEX(EXTRATO!$F$2:$F$3000,MATCH($A677,EXTRATO!$A$2:$A$3000,0))="","",INDEX(EXTRATO!$F$2:$F$3000,MATCH($A677,EXTRATO!$A$2:$A$3000,0))))</f>
        <v>SAÍDA</v>
      </c>
      <c r="I677" s="88" t="str">
        <f>IF(A677="","",IF(INDEX(EXTRATO!$H$2:$H$3000,MATCH($A677,EXTRATO!$A$2:$A$3000,0))="","",INDEX(EXTRATO!$H$2:$H$3000,MATCH($A677,EXTRATO!$A$2:$A$3000,0))))</f>
        <v>CASAMATER</v>
      </c>
      <c r="J677" s="86" t="s">
        <v>1313</v>
      </c>
      <c r="K677" s="86" t="str">
        <f>IF(AND(A677="",D677="",E677="",F677=""),"",IF(D677="","SEM CATEGORIA",IF(E677="","SEM SUBCATEGORIA",IF(COUNTIFS(CADASTROS!$L$7:$L$93,D677,CADASTROS!$D$7:$D$93,E677)=0,"INCOMPATÍVEL","OK"))))</f>
        <v>OK</v>
      </c>
    </row>
    <row r="678" spans="1:11" ht="30" hidden="1" customHeight="1" x14ac:dyDescent="0.25">
      <c r="A678" s="86" t="s">
        <v>2070</v>
      </c>
      <c r="B678" s="85">
        <f>IF(A678="","",IF(INDEX(EXTRATO!$C$2:$C$3000,MATCH($A678,EXTRATO!$A$2:$A$3000,0))="","",INDEX(EXTRATO!$C$2:$C$3000,MATCH($A678,EXTRATO!$A$2:$A$3000,0))))</f>
        <v>46183</v>
      </c>
      <c r="C678" s="86">
        <f t="shared" si="10"/>
        <v>6</v>
      </c>
      <c r="D678" s="81" t="s">
        <v>1330</v>
      </c>
      <c r="E678" s="79" t="s">
        <v>1413</v>
      </c>
      <c r="F678" s="80">
        <v>860</v>
      </c>
      <c r="G678" s="81" t="s">
        <v>912</v>
      </c>
      <c r="H678" s="86" t="str">
        <f>IF(A678="","",IF(INDEX(EXTRATO!$F$2:$F$3000,MATCH($A678,EXTRATO!$A$2:$A$3000,0))="","",INDEX(EXTRATO!$F$2:$F$3000,MATCH($A678,EXTRATO!$A$2:$A$3000,0))))</f>
        <v>SAÍDA</v>
      </c>
      <c r="I678" s="88" t="str">
        <f>IF(A678="","",IF(INDEX(EXTRATO!$H$2:$H$3000,MATCH($A678,EXTRATO!$A$2:$A$3000,0))="","",INDEX(EXTRATO!$H$2:$H$3000,MATCH($A678,EXTRATO!$A$2:$A$3000,0))))</f>
        <v>DONA MARINALVA</v>
      </c>
      <c r="J678" s="86" t="s">
        <v>1313</v>
      </c>
      <c r="K678" s="86" t="str">
        <f>IF(AND(A678="",D678="",E678="",F678=""),"",IF(D678="","SEM CATEGORIA",IF(E678="","SEM SUBCATEGORIA",IF(COUNTIFS(CADASTROS!$L$7:$L$93,D678,CADASTROS!$D$7:$D$93,E678)=0,"INCOMPATÍVEL","OK"))))</f>
        <v>OK</v>
      </c>
    </row>
    <row r="679" spans="1:11" ht="30" hidden="1" customHeight="1" x14ac:dyDescent="0.25">
      <c r="A679" s="86" t="s">
        <v>2071</v>
      </c>
      <c r="B679" s="85">
        <f>IF(A679="","",IF(INDEX(EXTRATO!$C$2:$C$3000,MATCH($A679,EXTRATO!$A$2:$A$3000,0))="","",INDEX(EXTRATO!$C$2:$C$3000,MATCH($A679,EXTRATO!$A$2:$A$3000,0))))</f>
        <v>46183</v>
      </c>
      <c r="C679" s="86">
        <f t="shared" si="10"/>
        <v>6</v>
      </c>
      <c r="D679" s="81" t="s">
        <v>1330</v>
      </c>
      <c r="E679" s="79" t="s">
        <v>1413</v>
      </c>
      <c r="F679" s="80">
        <v>860</v>
      </c>
      <c r="G679" s="81" t="s">
        <v>913</v>
      </c>
      <c r="H679" s="86" t="str">
        <f>IF(A679="","",IF(INDEX(EXTRATO!$F$2:$F$3000,MATCH($A679,EXTRATO!$A$2:$A$3000,0))="","",INDEX(EXTRATO!$F$2:$F$3000,MATCH($A679,EXTRATO!$A$2:$A$3000,0))))</f>
        <v>SAÍDA</v>
      </c>
      <c r="I679" s="88" t="str">
        <f>IF(A679="","",IF(INDEX(EXTRATO!$H$2:$H$3000,MATCH($A679,EXTRATO!$A$2:$A$3000,0))="","",INDEX(EXTRATO!$H$2:$H$3000,MATCH($A679,EXTRATO!$A$2:$A$3000,0))))</f>
        <v>DONA MARINALVA</v>
      </c>
      <c r="J679" s="86" t="s">
        <v>1313</v>
      </c>
      <c r="K679" s="86" t="str">
        <f>IF(AND(A679="",D679="",E679="",F679=""),"",IF(D679="","SEM CATEGORIA",IF(E679="","SEM SUBCATEGORIA",IF(COUNTIFS(CADASTROS!$L$7:$L$93,D679,CADASTROS!$D$7:$D$93,E679)=0,"INCOMPATÍVEL","OK"))))</f>
        <v>OK</v>
      </c>
    </row>
    <row r="680" spans="1:11" ht="30" hidden="1" customHeight="1" x14ac:dyDescent="0.25">
      <c r="A680" s="86" t="s">
        <v>2072</v>
      </c>
      <c r="B680" s="85">
        <f>IF(A680="","",IF(INDEX(EXTRATO!$C$2:$C$3000,MATCH($A680,EXTRATO!$A$2:$A$3000,0))="","",INDEX(EXTRATO!$C$2:$C$3000,MATCH($A680,EXTRATO!$A$2:$A$3000,0))))</f>
        <v>46183</v>
      </c>
      <c r="C680" s="86">
        <f t="shared" si="10"/>
        <v>6</v>
      </c>
      <c r="D680" s="81" t="s">
        <v>1415</v>
      </c>
      <c r="E680" s="79" t="s">
        <v>1640</v>
      </c>
      <c r="F680" s="80">
        <v>15369.43</v>
      </c>
      <c r="G680" s="81" t="s">
        <v>914</v>
      </c>
      <c r="H680" s="86" t="str">
        <f>IF(A680="","",IF(INDEX(EXTRATO!$F$2:$F$3000,MATCH($A680,EXTRATO!$A$2:$A$3000,0))="","",INDEX(EXTRATO!$F$2:$F$3000,MATCH($A680,EXTRATO!$A$2:$A$3000,0))))</f>
        <v>SAÍDA</v>
      </c>
      <c r="I680" s="88" t="str">
        <f>IF(A680="","",IF(INDEX(EXTRATO!$H$2:$H$3000,MATCH($A680,EXTRATO!$A$2:$A$3000,0))="","",INDEX(EXTRATO!$H$2:$H$3000,MATCH($A680,EXTRATO!$A$2:$A$3000,0))))</f>
        <v>UNICLINICA</v>
      </c>
      <c r="J680" s="86" t="s">
        <v>1313</v>
      </c>
      <c r="K680" s="86" t="str">
        <f>IF(AND(A680="",D680="",E680="",F680=""),"",IF(D680="","SEM CATEGORIA",IF(E680="","SEM SUBCATEGORIA",IF(COUNTIFS(CADASTROS!$L$7:$L$93,D680,CADASTROS!$D$7:$D$93,E680)=0,"INCOMPATÍVEL","OK"))))</f>
        <v>OK</v>
      </c>
    </row>
    <row r="681" spans="1:11" ht="30" hidden="1" customHeight="1" x14ac:dyDescent="0.25">
      <c r="A681" s="86" t="s">
        <v>2073</v>
      </c>
      <c r="B681" s="85">
        <f>IF(A681="","",IF(INDEX(EXTRATO!$C$2:$C$3000,MATCH($A681,EXTRATO!$A$2:$A$3000,0))="","",INDEX(EXTRATO!$C$2:$C$3000,MATCH($A681,EXTRATO!$A$2:$A$3000,0))))</f>
        <v>46183</v>
      </c>
      <c r="C681" s="86">
        <f t="shared" si="10"/>
        <v>6</v>
      </c>
      <c r="D681" s="81" t="s">
        <v>1349</v>
      </c>
      <c r="E681" s="79" t="s">
        <v>1441</v>
      </c>
      <c r="F681" s="80">
        <v>1246</v>
      </c>
      <c r="G681" s="81" t="s">
        <v>916</v>
      </c>
      <c r="H681" s="86" t="str">
        <f>IF(A681="","",IF(INDEX(EXTRATO!$F$2:$F$3000,MATCH($A681,EXTRATO!$A$2:$A$3000,0))="","",INDEX(EXTRATO!$F$2:$F$3000,MATCH($A681,EXTRATO!$A$2:$A$3000,0))))</f>
        <v>SAÍDA</v>
      </c>
      <c r="I681" s="88" t="str">
        <f>IF(A681="","",IF(INDEX(EXTRATO!$H$2:$H$3000,MATCH($A681,EXTRATO!$A$2:$A$3000,0))="","",INDEX(EXTRATO!$H$2:$H$3000,MATCH($A681,EXTRATO!$A$2:$A$3000,0))))</f>
        <v>CLAUDIANE CARDOSO DA SILVA (CARRO HTI)</v>
      </c>
      <c r="J681" s="86" t="s">
        <v>1313</v>
      </c>
      <c r="K681" s="86" t="str">
        <f>IF(AND(A681="",D681="",E681="",F681=""),"",IF(D681="","SEM CATEGORIA",IF(E681="","SEM SUBCATEGORIA",IF(COUNTIFS(CADASTROS!$L$7:$L$93,D681,CADASTROS!$D$7:$D$93,E681)=0,"INCOMPATÍVEL","OK"))))</f>
        <v>OK</v>
      </c>
    </row>
    <row r="682" spans="1:11" ht="30" hidden="1" customHeight="1" x14ac:dyDescent="0.25">
      <c r="A682" s="86" t="s">
        <v>2075</v>
      </c>
      <c r="B682" s="85">
        <f>IF(A682="","",IF(INDEX(EXTRATO!$C$2:$C$3000,MATCH($A682,EXTRATO!$A$2:$A$3000,0))="","",INDEX(EXTRATO!$C$2:$C$3000,MATCH($A682,EXTRATO!$A$2:$A$3000,0))))</f>
        <v>46183</v>
      </c>
      <c r="C682" s="86">
        <f t="shared" si="10"/>
        <v>6</v>
      </c>
      <c r="D682" s="81" t="s">
        <v>1349</v>
      </c>
      <c r="E682" s="79" t="s">
        <v>1411</v>
      </c>
      <c r="F682" s="80">
        <v>160</v>
      </c>
      <c r="G682" s="81" t="s">
        <v>918</v>
      </c>
      <c r="H682" s="86" t="str">
        <f>IF(A682="","",IF(INDEX(EXTRATO!$F$2:$F$3000,MATCH($A682,EXTRATO!$A$2:$A$3000,0))="","",INDEX(EXTRATO!$F$2:$F$3000,MATCH($A682,EXTRATO!$A$2:$A$3000,0))))</f>
        <v>SAÍDA</v>
      </c>
      <c r="I682" s="88" t="str">
        <f>IF(A682="","",IF(INDEX(EXTRATO!$H$2:$H$3000,MATCH($A682,EXTRATO!$A$2:$A$3000,0))="","",INDEX(EXTRATO!$H$2:$H$3000,MATCH($A682,EXTRATO!$A$2:$A$3000,0))))</f>
        <v>E G BISPO TRANSPORTES</v>
      </c>
      <c r="J682" s="86" t="s">
        <v>1313</v>
      </c>
      <c r="K682" s="86" t="str">
        <f>IF(AND(A682="",D682="",E682="",F682=""),"",IF(D682="","SEM CATEGORIA",IF(E682="","SEM SUBCATEGORIA",IF(COUNTIFS(CADASTROS!$L$7:$L$93,D682,CADASTROS!$D$7:$D$93,E682)=0,"INCOMPATÍVEL","OK"))))</f>
        <v>OK</v>
      </c>
    </row>
    <row r="683" spans="1:11" ht="30" hidden="1" customHeight="1" x14ac:dyDescent="0.25">
      <c r="A683" s="86" t="s">
        <v>2076</v>
      </c>
      <c r="B683" s="85">
        <f>IF(A683="","",IF(INDEX(EXTRATO!$C$2:$C$3000,MATCH($A683,EXTRATO!$A$2:$A$3000,0))="","",INDEX(EXTRATO!$C$2:$C$3000,MATCH($A683,EXTRATO!$A$2:$A$3000,0))))</f>
        <v>46183</v>
      </c>
      <c r="C683" s="86">
        <f t="shared" si="10"/>
        <v>6</v>
      </c>
      <c r="D683" s="81" t="s">
        <v>1330</v>
      </c>
      <c r="E683" s="79" t="s">
        <v>1413</v>
      </c>
      <c r="F683" s="80">
        <v>843</v>
      </c>
      <c r="G683" s="81" t="s">
        <v>920</v>
      </c>
      <c r="H683" s="86" t="str">
        <f>IF(A683="","",IF(INDEX(EXTRATO!$F$2:$F$3000,MATCH($A683,EXTRATO!$A$2:$A$3000,0))="","",INDEX(EXTRATO!$F$2:$F$3000,MATCH($A683,EXTRATO!$A$2:$A$3000,0))))</f>
        <v>SAÍDA</v>
      </c>
      <c r="I683" s="88" t="str">
        <f>IF(A683="","",IF(INDEX(EXTRATO!$H$2:$H$3000,MATCH($A683,EXTRATO!$A$2:$A$3000,0))="","",INDEX(EXTRATO!$H$2:$H$3000,MATCH($A683,EXTRATO!$A$2:$A$3000,0))))</f>
        <v>E M GONÇALVES PADARIA</v>
      </c>
      <c r="J683" s="86" t="s">
        <v>1313</v>
      </c>
      <c r="K683" s="86" t="str">
        <f>IF(AND(A683="",D683="",E683="",F683=""),"",IF(D683="","SEM CATEGORIA",IF(E683="","SEM SUBCATEGORIA",IF(COUNTIFS(CADASTROS!$L$7:$L$93,D683,CADASTROS!$D$7:$D$93,E683)=0,"INCOMPATÍVEL","OK"))))</f>
        <v>OK</v>
      </c>
    </row>
    <row r="684" spans="1:11" ht="30" hidden="1" customHeight="1" x14ac:dyDescent="0.25">
      <c r="A684" s="86" t="s">
        <v>2077</v>
      </c>
      <c r="B684" s="85">
        <f>IF(A684="","",IF(INDEX(EXTRATO!$C$2:$C$3000,MATCH($A684,EXTRATO!$A$2:$A$3000,0))="","",INDEX(EXTRATO!$C$2:$C$3000,MATCH($A684,EXTRATO!$A$2:$A$3000,0))))</f>
        <v>46183</v>
      </c>
      <c r="C684" s="86">
        <f t="shared" si="10"/>
        <v>6</v>
      </c>
      <c r="D684" s="81" t="s">
        <v>1370</v>
      </c>
      <c r="E684" s="79" t="s">
        <v>1371</v>
      </c>
      <c r="F684" s="80">
        <v>4500</v>
      </c>
      <c r="G684" s="81" t="s">
        <v>922</v>
      </c>
      <c r="H684" s="86" t="str">
        <f>IF(A684="","",IF(INDEX(EXTRATO!$F$2:$F$3000,MATCH($A684,EXTRATO!$A$2:$A$3000,0))="","",INDEX(EXTRATO!$F$2:$F$3000,MATCH($A684,EXTRATO!$A$2:$A$3000,0))))</f>
        <v>SAÍDA</v>
      </c>
      <c r="I684" s="88" t="str">
        <f>IF(A684="","",IF(INDEX(EXTRATO!$H$2:$H$3000,MATCH($A684,EXTRATO!$A$2:$A$3000,0))="","",INDEX(EXTRATO!$H$2:$H$3000,MATCH($A684,EXTRATO!$A$2:$A$3000,0))))</f>
        <v>HR MANUTENCAO HOSPITALAR</v>
      </c>
      <c r="J684" s="86" t="s">
        <v>1313</v>
      </c>
      <c r="K684" s="86" t="str">
        <f>IF(AND(A684="",D684="",E684="",F684=""),"",IF(D684="","SEM CATEGORIA",IF(E684="","SEM SUBCATEGORIA",IF(COUNTIFS(CADASTROS!$L$7:$L$93,D684,CADASTROS!$D$7:$D$93,E684)=0,"INCOMPATÍVEL","OK"))))</f>
        <v>OK</v>
      </c>
    </row>
    <row r="685" spans="1:11" ht="30" hidden="1" customHeight="1" x14ac:dyDescent="0.25">
      <c r="A685" s="86" t="s">
        <v>2078</v>
      </c>
      <c r="B685" s="85">
        <f>IF(A685="","",IF(INDEX(EXTRATO!$C$2:$C$3000,MATCH($A685,EXTRATO!$A$2:$A$3000,0))="","",INDEX(EXTRATO!$C$2:$C$3000,MATCH($A685,EXTRATO!$A$2:$A$3000,0))))</f>
        <v>46183</v>
      </c>
      <c r="C685" s="86">
        <f t="shared" si="10"/>
        <v>6</v>
      </c>
      <c r="D685" s="81" t="s">
        <v>1415</v>
      </c>
      <c r="E685" s="79" t="s">
        <v>1664</v>
      </c>
      <c r="F685" s="80">
        <v>1470</v>
      </c>
      <c r="G685" s="81" t="s">
        <v>923</v>
      </c>
      <c r="H685" s="86" t="str">
        <f>IF(A685="","",IF(INDEX(EXTRATO!$F$2:$F$3000,MATCH($A685,EXTRATO!$A$2:$A$3000,0))="","",INDEX(EXTRATO!$F$2:$F$3000,MATCH($A685,EXTRATO!$A$2:$A$3000,0))))</f>
        <v>SAÍDA</v>
      </c>
      <c r="I685" s="88" t="str">
        <f>IF(A685="","",IF(INDEX(EXTRATO!$H$2:$H$3000,MATCH($A685,EXTRATO!$A$2:$A$3000,0))="","",INDEX(EXTRATO!$H$2:$H$3000,MATCH($A685,EXTRATO!$A$2:$A$3000,0))))</f>
        <v>DR. WILSON</v>
      </c>
      <c r="J685" s="86" t="s">
        <v>1313</v>
      </c>
      <c r="K685" s="86" t="str">
        <f>IF(AND(A685="",D685="",E685="",F685=""),"",IF(D685="","SEM CATEGORIA",IF(E685="","SEM SUBCATEGORIA",IF(COUNTIFS(CADASTROS!$L$7:$L$93,D685,CADASTROS!$D$7:$D$93,E685)=0,"INCOMPATÍVEL","OK"))))</f>
        <v>OK</v>
      </c>
    </row>
    <row r="686" spans="1:11" ht="30" hidden="1" customHeight="1" x14ac:dyDescent="0.25">
      <c r="A686" s="86" t="s">
        <v>2079</v>
      </c>
      <c r="B686" s="85">
        <f>IF(A686="","",IF(INDEX(EXTRATO!$C$2:$C$3000,MATCH($A686,EXTRATO!$A$2:$A$3000,0))="","",INDEX(EXTRATO!$C$2:$C$3000,MATCH($A686,EXTRATO!$A$2:$A$3000,0))))</f>
        <v>46183</v>
      </c>
      <c r="C686" s="86">
        <f t="shared" si="10"/>
        <v>6</v>
      </c>
      <c r="D686" s="81" t="s">
        <v>1367</v>
      </c>
      <c r="E686" s="79" t="s">
        <v>1560</v>
      </c>
      <c r="F686" s="80">
        <v>3944</v>
      </c>
      <c r="G686" s="81" t="s">
        <v>925</v>
      </c>
      <c r="H686" s="86" t="str">
        <f>IF(A686="","",IF(INDEX(EXTRATO!$F$2:$F$3000,MATCH($A686,EXTRATO!$A$2:$A$3000,0))="","",INDEX(EXTRATO!$F$2:$F$3000,MATCH($A686,EXTRATO!$A$2:$A$3000,0))))</f>
        <v>SAÍDA</v>
      </c>
      <c r="I686" s="88" t="str">
        <f>IF(A686="","",IF(INDEX(EXTRATO!$H$2:$H$3000,MATCH($A686,EXTRATO!$A$2:$A$3000,0))="","",INDEX(EXTRATO!$H$2:$H$3000,MATCH($A686,EXTRATO!$A$2:$A$3000,0))))</f>
        <v>PANELA VELHA</v>
      </c>
      <c r="J686" s="86" t="s">
        <v>1313</v>
      </c>
      <c r="K686" s="86" t="str">
        <f>IF(AND(A686="",D686="",E686="",F686=""),"",IF(D686="","SEM CATEGORIA",IF(E686="","SEM SUBCATEGORIA",IF(COUNTIFS(CADASTROS!$L$7:$L$93,D686,CADASTROS!$D$7:$D$93,E686)=0,"INCOMPATÍVEL","OK"))))</f>
        <v>OK</v>
      </c>
    </row>
    <row r="687" spans="1:11" ht="30" hidden="1" customHeight="1" x14ac:dyDescent="0.25">
      <c r="A687" s="86" t="s">
        <v>2080</v>
      </c>
      <c r="B687" s="85">
        <f>IF(A687="","",IF(INDEX(EXTRATO!$C$2:$C$3000,MATCH($A687,EXTRATO!$A$2:$A$3000,0))="","",INDEX(EXTRATO!$C$2:$C$3000,MATCH($A687,EXTRATO!$A$2:$A$3000,0))))</f>
        <v>46183</v>
      </c>
      <c r="C687" s="86">
        <f t="shared" si="10"/>
        <v>6</v>
      </c>
      <c r="D687" s="81" t="s">
        <v>1415</v>
      </c>
      <c r="E687" s="79" t="s">
        <v>1657</v>
      </c>
      <c r="F687" s="80">
        <v>1800</v>
      </c>
      <c r="G687" s="81" t="s">
        <v>926</v>
      </c>
      <c r="H687" s="86" t="str">
        <f>IF(A687="","",IF(INDEX(EXTRATO!$F$2:$F$3000,MATCH($A687,EXTRATO!$A$2:$A$3000,0))="","",INDEX(EXTRATO!$F$2:$F$3000,MATCH($A687,EXTRATO!$A$2:$A$3000,0))))</f>
        <v>SAÍDA</v>
      </c>
      <c r="I687" s="88" t="str">
        <f>IF(A687="","",IF(INDEX(EXTRATO!$H$2:$H$3000,MATCH($A687,EXTRATO!$A$2:$A$3000,0))="","",INDEX(EXTRATO!$H$2:$H$3000,MATCH($A687,EXTRATO!$A$2:$A$3000,0))))</f>
        <v>FARMACÊUTICA GARDÊNIA</v>
      </c>
      <c r="J687" s="86" t="s">
        <v>1313</v>
      </c>
      <c r="K687" s="86" t="str">
        <f>IF(AND(A687="",D687="",E687="",F687=""),"",IF(D687="","SEM CATEGORIA",IF(E687="","SEM SUBCATEGORIA",IF(COUNTIFS(CADASTROS!$L$7:$L$93,D687,CADASTROS!$D$7:$D$93,E687)=0,"INCOMPATÍVEL","OK"))))</f>
        <v>OK</v>
      </c>
    </row>
    <row r="688" spans="1:11" ht="30" hidden="1" customHeight="1" x14ac:dyDescent="0.25">
      <c r="A688" s="86" t="s">
        <v>2081</v>
      </c>
      <c r="B688" s="85">
        <f>IF(A688="","",IF(INDEX(EXTRATO!$C$2:$C$3000,MATCH($A688,EXTRATO!$A$2:$A$3000,0))="","",INDEX(EXTRATO!$C$2:$C$3000,MATCH($A688,EXTRATO!$A$2:$A$3000,0))))</f>
        <v>46183</v>
      </c>
      <c r="C688" s="86">
        <f t="shared" si="10"/>
        <v>6</v>
      </c>
      <c r="D688" s="81" t="s">
        <v>1311</v>
      </c>
      <c r="E688" s="79" t="s">
        <v>1376</v>
      </c>
      <c r="F688" s="80">
        <v>2400</v>
      </c>
      <c r="G688" s="81" t="s">
        <v>2087</v>
      </c>
      <c r="H688" s="86" t="str">
        <f>IF(A688="","",IF(INDEX(EXTRATO!$F$2:$F$3000,MATCH($A688,EXTRATO!$A$2:$A$3000,0))="","",INDEX(EXTRATO!$F$2:$F$3000,MATCH($A688,EXTRATO!$A$2:$A$3000,0))))</f>
        <v>SAÍDA</v>
      </c>
      <c r="I688" s="88" t="str">
        <f>IF(A688="","",IF(INDEX(EXTRATO!$H$2:$H$3000,MATCH($A688,EXTRATO!$A$2:$A$3000,0))="","",INDEX(EXTRATO!$H$2:$H$3000,MATCH($A688,EXTRATO!$A$2:$A$3000,0))))</f>
        <v>DIALISE COMERCIO</v>
      </c>
      <c r="J688" s="86" t="s">
        <v>1313</v>
      </c>
      <c r="K688" s="86" t="str">
        <f>IF(AND(A688="",D688="",E688="",F688=""),"",IF(D688="","SEM CATEGORIA",IF(E688="","SEM SUBCATEGORIA",IF(COUNTIFS(CADASTROS!$L$7:$L$93,D688,CADASTROS!$D$7:$D$93,E688)=0,"INCOMPATÍVEL","OK"))))</f>
        <v>OK</v>
      </c>
    </row>
    <row r="689" spans="1:11" ht="30" hidden="1" customHeight="1" x14ac:dyDescent="0.25">
      <c r="A689" s="86" t="s">
        <v>2081</v>
      </c>
      <c r="B689" s="85">
        <f>IF(A689="","",IF(INDEX(EXTRATO!$C$2:$C$3000,MATCH($A689,EXTRATO!$A$2:$A$3000,0))="","",INDEX(EXTRATO!$C$2:$C$3000,MATCH($A689,EXTRATO!$A$2:$A$3000,0))))</f>
        <v>46183</v>
      </c>
      <c r="C689" s="86">
        <f t="shared" si="10"/>
        <v>6</v>
      </c>
      <c r="D689" s="81" t="s">
        <v>1311</v>
      </c>
      <c r="E689" s="79" t="s">
        <v>1312</v>
      </c>
      <c r="F689" s="80">
        <v>540</v>
      </c>
      <c r="G689" s="81" t="s">
        <v>2088</v>
      </c>
      <c r="H689" s="86" t="str">
        <f>IF(A689="","",IF(INDEX(EXTRATO!$F$2:$F$3000,MATCH($A689,EXTRATO!$A$2:$A$3000,0))="","",INDEX(EXTRATO!$F$2:$F$3000,MATCH($A689,EXTRATO!$A$2:$A$3000,0))))</f>
        <v>SAÍDA</v>
      </c>
      <c r="I689" s="88" t="str">
        <f>IF(A689="","",IF(INDEX(EXTRATO!$H$2:$H$3000,MATCH($A689,EXTRATO!$A$2:$A$3000,0))="","",INDEX(EXTRATO!$H$2:$H$3000,MATCH($A689,EXTRATO!$A$2:$A$3000,0))))</f>
        <v>DIALISE COMERCIO</v>
      </c>
      <c r="J689" s="86" t="s">
        <v>1313</v>
      </c>
      <c r="K689" s="86" t="str">
        <f>IF(AND(A689="",D689="",E689="",F689=""),"",IF(D689="","SEM CATEGORIA",IF(E689="","SEM SUBCATEGORIA",IF(COUNTIFS(CADASTROS!$L$7:$L$93,D689,CADASTROS!$D$7:$D$93,E689)=0,"INCOMPATÍVEL","OK"))))</f>
        <v>OK</v>
      </c>
    </row>
    <row r="690" spans="1:11" ht="30" hidden="1" customHeight="1" x14ac:dyDescent="0.25">
      <c r="A690" s="86" t="s">
        <v>2082</v>
      </c>
      <c r="B690" s="85">
        <f>IF(A690="","",IF(INDEX(EXTRATO!$C$2:$C$3000,MATCH($A690,EXTRATO!$A$2:$A$3000,0))="","",INDEX(EXTRATO!$C$2:$C$3000,MATCH($A690,EXTRATO!$A$2:$A$3000,0))))</f>
        <v>46183</v>
      </c>
      <c r="C690" s="86">
        <f t="shared" si="10"/>
        <v>6</v>
      </c>
      <c r="D690" s="81" t="s">
        <v>1330</v>
      </c>
      <c r="E690" s="79" t="s">
        <v>1379</v>
      </c>
      <c r="F690" s="80">
        <v>149.9</v>
      </c>
      <c r="G690" s="81" t="s">
        <v>119</v>
      </c>
      <c r="H690" s="86" t="str">
        <f>IF(A690="","",IF(INDEX(EXTRATO!$F$2:$F$3000,MATCH($A690,EXTRATO!$A$2:$A$3000,0))="","",INDEX(EXTRATO!$F$2:$F$3000,MATCH($A690,EXTRATO!$A$2:$A$3000,0))))</f>
        <v>SAÍDA</v>
      </c>
      <c r="I690" s="88" t="str">
        <f>IF(A690="","",IF(INDEX(EXTRATO!$H$2:$H$3000,MATCH($A690,EXTRATO!$A$2:$A$3000,0))="","",INDEX(EXTRATO!$H$2:$H$3000,MATCH($A690,EXTRATO!$A$2:$A$3000,0))))</f>
        <v>MARANET TELECOM</v>
      </c>
      <c r="J690" s="86" t="s">
        <v>1313</v>
      </c>
      <c r="K690" s="86" t="str">
        <f>IF(AND(A690="",D690="",E690="",F690=""),"",IF(D690="","SEM CATEGORIA",IF(E690="","SEM SUBCATEGORIA",IF(COUNTIFS(CADASTROS!$L$7:$L$93,D690,CADASTROS!$D$7:$D$93,E690)=0,"INCOMPATÍVEL","OK"))))</f>
        <v>OK</v>
      </c>
    </row>
    <row r="691" spans="1:11" ht="30" hidden="1" customHeight="1" x14ac:dyDescent="0.25">
      <c r="A691" s="86" t="s">
        <v>2083</v>
      </c>
      <c r="B691" s="85">
        <f>IF(A691="","",IF(INDEX(EXTRATO!$C$2:$C$3000,MATCH($A691,EXTRATO!$A$2:$A$3000,0))="","",INDEX(EXTRATO!$C$2:$C$3000,MATCH($A691,EXTRATO!$A$2:$A$3000,0))))</f>
        <v>46183</v>
      </c>
      <c r="C691" s="86">
        <f t="shared" si="10"/>
        <v>6</v>
      </c>
      <c r="D691" s="81" t="s">
        <v>1330</v>
      </c>
      <c r="E691" s="79" t="s">
        <v>1331</v>
      </c>
      <c r="F691" s="80">
        <v>448</v>
      </c>
      <c r="G691" s="81" t="s">
        <v>239</v>
      </c>
      <c r="H691" s="86" t="str">
        <f>IF(A691="","",IF(INDEX(EXTRATO!$F$2:$F$3000,MATCH($A691,EXTRATO!$A$2:$A$3000,0))="","",INDEX(EXTRATO!$F$2:$F$3000,MATCH($A691,EXTRATO!$A$2:$A$3000,0))))</f>
        <v>SAÍDA</v>
      </c>
      <c r="I691" s="88" t="str">
        <f>IF(A691="","",IF(INDEX(EXTRATO!$H$2:$H$3000,MATCH($A691,EXTRATO!$A$2:$A$3000,0))="","",INDEX(EXTRATO!$H$2:$H$3000,MATCH($A691,EXTRATO!$A$2:$A$3000,0))))</f>
        <v>BRANDÃO &amp; BRANDÃO</v>
      </c>
      <c r="J691" s="86" t="s">
        <v>1313</v>
      </c>
      <c r="K691" s="86" t="str">
        <f>IF(AND(A691="",D691="",E691="",F691=""),"",IF(D691="","SEM CATEGORIA",IF(E691="","SEM SUBCATEGORIA",IF(COUNTIFS(CADASTROS!$L$7:$L$93,D691,CADASTROS!$D$7:$D$93,E691)=0,"INCOMPATÍVEL","OK"))))</f>
        <v>OK</v>
      </c>
    </row>
    <row r="692" spans="1:11" ht="30" hidden="1" customHeight="1" x14ac:dyDescent="0.25">
      <c r="A692" s="86" t="s">
        <v>2084</v>
      </c>
      <c r="B692" s="85">
        <f>IF(A692="","",IF(INDEX(EXTRATO!$C$2:$C$3000,MATCH($A692,EXTRATO!$A$2:$A$3000,0))="","",INDEX(EXTRATO!$C$2:$C$3000,MATCH($A692,EXTRATO!$A$2:$A$3000,0))))</f>
        <v>46183</v>
      </c>
      <c r="C692" s="86">
        <f t="shared" si="10"/>
        <v>6</v>
      </c>
      <c r="D692" s="81" t="s">
        <v>1415</v>
      </c>
      <c r="E692" s="79" t="s">
        <v>1661</v>
      </c>
      <c r="F692" s="80">
        <v>1470</v>
      </c>
      <c r="G692" s="81" t="s">
        <v>930</v>
      </c>
      <c r="H692" s="86" t="str">
        <f>IF(A692="","",IF(INDEX(EXTRATO!$F$2:$F$3000,MATCH($A692,EXTRATO!$A$2:$A$3000,0))="","",INDEX(EXTRATO!$F$2:$F$3000,MATCH($A692,EXTRATO!$A$2:$A$3000,0))))</f>
        <v>SAÍDA</v>
      </c>
      <c r="I692" s="88" t="str">
        <f>IF(A692="","",IF(INDEX(EXTRATO!$H$2:$H$3000,MATCH($A692,EXTRATO!$A$2:$A$3000,0))="","",INDEX(EXTRATO!$H$2:$H$3000,MATCH($A692,EXTRATO!$A$2:$A$3000,0))))</f>
        <v>DR. RENATO</v>
      </c>
      <c r="J692" s="86" t="s">
        <v>1313</v>
      </c>
      <c r="K692" s="86" t="str">
        <f>IF(AND(A692="",D692="",E692="",F692=""),"",IF(D692="","SEM CATEGORIA",IF(E692="","SEM SUBCATEGORIA",IF(COUNTIFS(CADASTROS!$L$7:$L$93,D692,CADASTROS!$D$7:$D$93,E692)=0,"INCOMPATÍVEL","OK"))))</f>
        <v>OK</v>
      </c>
    </row>
    <row r="693" spans="1:11" ht="30" hidden="1" customHeight="1" x14ac:dyDescent="0.25">
      <c r="A693" s="86" t="s">
        <v>2085</v>
      </c>
      <c r="B693" s="85">
        <f>IF(A693="","",IF(INDEX(EXTRATO!$C$2:$C$3000,MATCH($A693,EXTRATO!$A$2:$A$3000,0))="","",INDEX(EXTRATO!$C$2:$C$3000,MATCH($A693,EXTRATO!$A$2:$A$3000,0))))</f>
        <v>46183</v>
      </c>
      <c r="C693" s="86">
        <f t="shared" si="10"/>
        <v>6</v>
      </c>
      <c r="D693" s="81" t="s">
        <v>1330</v>
      </c>
      <c r="E693" s="79" t="s">
        <v>1352</v>
      </c>
      <c r="F693" s="80">
        <v>275</v>
      </c>
      <c r="G693" s="81" t="s">
        <v>297</v>
      </c>
      <c r="H693" s="86" t="str">
        <f>IF(A693="","",IF(INDEX(EXTRATO!$F$2:$F$3000,MATCH($A693,EXTRATO!$A$2:$A$3000,0))="","",INDEX(EXTRATO!$F$2:$F$3000,MATCH($A693,EXTRATO!$A$2:$A$3000,0))))</f>
        <v>SAÍDA</v>
      </c>
      <c r="I693" s="88" t="str">
        <f>IF(A693="","",IF(INDEX(EXTRATO!$H$2:$H$3000,MATCH($A693,EXTRATO!$A$2:$A$3000,0))="","",INDEX(EXTRATO!$H$2:$H$3000,MATCH($A693,EXTRATO!$A$2:$A$3000,0))))</f>
        <v>TARIFA PACOTE DE SERVIÇOS</v>
      </c>
      <c r="J693" s="86" t="s">
        <v>1313</v>
      </c>
      <c r="K693" s="86" t="str">
        <f>IF(AND(A693="",D693="",E693="",F693=""),"",IF(D693="","SEM CATEGORIA",IF(E693="","SEM SUBCATEGORIA",IF(COUNTIFS(CADASTROS!$L$7:$L$93,D693,CADASTROS!$D$7:$D$93,E693)=0,"INCOMPATÍVEL","OK"))))</f>
        <v>OK</v>
      </c>
    </row>
    <row r="694" spans="1:11" ht="30" hidden="1" customHeight="1" x14ac:dyDescent="0.25">
      <c r="A694" s="86" t="s">
        <v>2086</v>
      </c>
      <c r="B694" s="85">
        <f>IF(A694="","",IF(INDEX(EXTRATO!$C$2:$C$3000,MATCH($A694,EXTRATO!$A$2:$A$3000,0))="","",INDEX(EXTRATO!$C$2:$C$3000,MATCH($A694,EXTRATO!$A$2:$A$3000,0))))</f>
        <v>46184</v>
      </c>
      <c r="C694" s="86">
        <f t="shared" si="10"/>
        <v>6</v>
      </c>
      <c r="D694" s="81" t="s">
        <v>1305</v>
      </c>
      <c r="E694" s="79" t="s">
        <v>1339</v>
      </c>
      <c r="F694" s="80">
        <v>36168.61</v>
      </c>
      <c r="G694" s="81" t="s">
        <v>931</v>
      </c>
      <c r="H694" s="86" t="str">
        <f>IF(A694="","",IF(INDEX(EXTRATO!$F$2:$F$3000,MATCH($A694,EXTRATO!$A$2:$A$3000,0))="","",INDEX(EXTRATO!$F$2:$F$3000,MATCH($A694,EXTRATO!$A$2:$A$3000,0))))</f>
        <v>ENTRADA</v>
      </c>
      <c r="I694" s="88" t="str">
        <f>IF(A694="","",IF(INDEX(EXTRATO!$H$2:$H$3000,MATCH($A694,EXTRATO!$A$2:$A$3000,0))="","",INDEX(EXTRATO!$H$2:$H$3000,MATCH($A694,EXTRATO!$A$2:$A$3000,0))))</f>
        <v>PISO DE ENFERMAGEM</v>
      </c>
      <c r="J694" s="86" t="s">
        <v>1307</v>
      </c>
      <c r="K694" s="86" t="str">
        <f>IF(AND(A694="",D694="",E694="",F694=""),"",IF(D694="","SEM CATEGORIA",IF(E694="","SEM SUBCATEGORIA",IF(COUNTIFS(CADASTROS!$L$7:$L$93,D694,CADASTROS!$D$7:$D$93,E694)=0,"INCOMPATÍVEL","OK"))))</f>
        <v>OK</v>
      </c>
    </row>
    <row r="695" spans="1:11" ht="30" hidden="1" customHeight="1" x14ac:dyDescent="0.25">
      <c r="A695" s="86" t="s">
        <v>2089</v>
      </c>
      <c r="B695" s="85">
        <f>IF(A695="","",IF(INDEX(EXTRATO!$C$2:$C$3000,MATCH($A695,EXTRATO!$A$2:$A$3000,0))="","",INDEX(EXTRATO!$C$2:$C$3000,MATCH($A695,EXTRATO!$A$2:$A$3000,0))))</f>
        <v>46184</v>
      </c>
      <c r="C695" s="86">
        <f t="shared" si="10"/>
        <v>6</v>
      </c>
      <c r="D695" s="81" t="s">
        <v>1370</v>
      </c>
      <c r="E695" s="79" t="s">
        <v>1371</v>
      </c>
      <c r="F695" s="80">
        <v>2025</v>
      </c>
      <c r="G695" s="81" t="s">
        <v>2095</v>
      </c>
      <c r="H695" s="86" t="str">
        <f>IF(A695="","",IF(INDEX(EXTRATO!$F$2:$F$3000,MATCH($A695,EXTRATO!$A$2:$A$3000,0))="","",INDEX(EXTRATO!$F$2:$F$3000,MATCH($A695,EXTRATO!$A$2:$A$3000,0))))</f>
        <v>SAÍDA</v>
      </c>
      <c r="I695" s="88" t="str">
        <f>IF(A695="","",IF(INDEX(EXTRATO!$H$2:$H$3000,MATCH($A695,EXTRATO!$A$2:$A$3000,0))="","",INDEX(EXTRATO!$H$2:$H$3000,MATCH($A695,EXTRATO!$A$2:$A$3000,0))))</f>
        <v>JOEL</v>
      </c>
      <c r="J695" s="86" t="s">
        <v>1313</v>
      </c>
      <c r="K695" s="86" t="str">
        <f>IF(AND(A695="",D695="",E695="",F695=""),"",IF(D695="","SEM CATEGORIA",IF(E695="","SEM SUBCATEGORIA",IF(COUNTIFS(CADASTROS!$L$7:$L$93,D695,CADASTROS!$D$7:$D$93,E695)=0,"INCOMPATÍVEL","OK"))))</f>
        <v>OK</v>
      </c>
    </row>
    <row r="696" spans="1:11" ht="30" hidden="1" customHeight="1" x14ac:dyDescent="0.25">
      <c r="A696" s="86" t="s">
        <v>2090</v>
      </c>
      <c r="B696" s="85">
        <f>IF(A696="","",IF(INDEX(EXTRATO!$C$2:$C$3000,MATCH($A696,EXTRATO!$A$2:$A$3000,0))="","",INDEX(EXTRATO!$C$2:$C$3000,MATCH($A696,EXTRATO!$A$2:$A$3000,0))))</f>
        <v>46185</v>
      </c>
      <c r="C696" s="86">
        <f t="shared" si="10"/>
        <v>6</v>
      </c>
      <c r="D696" s="81" t="s">
        <v>1330</v>
      </c>
      <c r="E696" s="79" t="s">
        <v>1697</v>
      </c>
      <c r="F696" s="80">
        <v>5200</v>
      </c>
      <c r="G696" s="81" t="s">
        <v>934</v>
      </c>
      <c r="H696" s="86" t="str">
        <f>IF(A696="","",IF(INDEX(EXTRATO!$F$2:$F$3000,MATCH($A696,EXTRATO!$A$2:$A$3000,0))="","",INDEX(EXTRATO!$F$2:$F$3000,MATCH($A696,EXTRATO!$A$2:$A$3000,0))))</f>
        <v>SAÍDA</v>
      </c>
      <c r="I696" s="88" t="str">
        <f>IF(A696="","",IF(INDEX(EXTRATO!$H$2:$H$3000,MATCH($A696,EXTRATO!$A$2:$A$3000,0))="","",INDEX(EXTRATO!$H$2:$H$3000,MATCH($A696,EXTRATO!$A$2:$A$3000,0))))</f>
        <v>ASSESSORIA ADMINISTRATIVA</v>
      </c>
      <c r="J696" s="86" t="s">
        <v>1313</v>
      </c>
      <c r="K696" s="86" t="str">
        <f>IF(AND(A696="",D696="",E696="",F696=""),"",IF(D696="","SEM CATEGORIA",IF(E696="","SEM SUBCATEGORIA",IF(COUNTIFS(CADASTROS!$L$7:$L$93,D696,CADASTROS!$D$7:$D$93,E696)=0,"INCOMPATÍVEL","OK"))))</f>
        <v>OK</v>
      </c>
    </row>
    <row r="697" spans="1:11" ht="30" hidden="1" customHeight="1" x14ac:dyDescent="0.25">
      <c r="A697" s="86" t="s">
        <v>2091</v>
      </c>
      <c r="B697" s="85">
        <f>IF(A697="","",IF(INDEX(EXTRATO!$C$2:$C$3000,MATCH($A697,EXTRATO!$A$2:$A$3000,0))="","",INDEX(EXTRATO!$C$2:$C$3000,MATCH($A697,EXTRATO!$A$2:$A$3000,0))))</f>
        <v>46185</v>
      </c>
      <c r="C697" s="86">
        <f t="shared" si="10"/>
        <v>6</v>
      </c>
      <c r="D697" s="81" t="s">
        <v>1367</v>
      </c>
      <c r="E697" s="79" t="s">
        <v>1368</v>
      </c>
      <c r="F697" s="80">
        <v>138</v>
      </c>
      <c r="G697" s="81" t="s">
        <v>936</v>
      </c>
      <c r="H697" s="86" t="str">
        <f>IF(A697="","",IF(INDEX(EXTRATO!$F$2:$F$3000,MATCH($A697,EXTRATO!$A$2:$A$3000,0))="","",INDEX(EXTRATO!$F$2:$F$3000,MATCH($A697,EXTRATO!$A$2:$A$3000,0))))</f>
        <v>SAÍDA</v>
      </c>
      <c r="I697" s="88" t="str">
        <f>IF(A697="","",IF(INDEX(EXTRATO!$H$2:$H$3000,MATCH($A697,EXTRATO!$A$2:$A$3000,0))="","",INDEX(EXTRATO!$H$2:$H$3000,MATCH($A697,EXTRATO!$A$2:$A$3000,0))))</f>
        <v>FERCASTRO</v>
      </c>
      <c r="J697" s="86" t="s">
        <v>1313</v>
      </c>
      <c r="K697" s="86" t="str">
        <f>IF(AND(A697="",D697="",E697="",F697=""),"",IF(D697="","SEM CATEGORIA",IF(E697="","SEM SUBCATEGORIA",IF(COUNTIFS(CADASTROS!$L$7:$L$93,D697,CADASTROS!$D$7:$D$93,E697)=0,"INCOMPATÍVEL","OK"))))</f>
        <v>OK</v>
      </c>
    </row>
    <row r="698" spans="1:11" ht="30" hidden="1" customHeight="1" x14ac:dyDescent="0.25">
      <c r="A698" s="86" t="s">
        <v>2092</v>
      </c>
      <c r="B698" s="85">
        <f>IF(A698="","",IF(INDEX(EXTRATO!$C$2:$C$3000,MATCH($A698,EXTRATO!$A$2:$A$3000,0))="","",INDEX(EXTRATO!$C$2:$C$3000,MATCH($A698,EXTRATO!$A$2:$A$3000,0))))</f>
        <v>46185</v>
      </c>
      <c r="C698" s="86">
        <f t="shared" si="10"/>
        <v>6</v>
      </c>
      <c r="D698" s="81" t="s">
        <v>1415</v>
      </c>
      <c r="E698" s="79" t="s">
        <v>1657</v>
      </c>
      <c r="F698" s="80">
        <v>1800</v>
      </c>
      <c r="G698" s="81" t="s">
        <v>938</v>
      </c>
      <c r="H698" s="86" t="str">
        <f>IF(A698="","",IF(INDEX(EXTRATO!$F$2:$F$3000,MATCH($A698,EXTRATO!$A$2:$A$3000,0))="","",INDEX(EXTRATO!$F$2:$F$3000,MATCH($A698,EXTRATO!$A$2:$A$3000,0))))</f>
        <v>SAÍDA</v>
      </c>
      <c r="I698" s="88" t="str">
        <f>IF(A698="","",IF(INDEX(EXTRATO!$H$2:$H$3000,MATCH($A698,EXTRATO!$A$2:$A$3000,0))="","",INDEX(EXTRATO!$H$2:$H$3000,MATCH($A698,EXTRATO!$A$2:$A$3000,0))))</f>
        <v>FARMACÊUTICA GARDÊNIA</v>
      </c>
      <c r="J698" s="86" t="s">
        <v>1313</v>
      </c>
      <c r="K698" s="86" t="str">
        <f>IF(AND(A698="",D698="",E698="",F698=""),"",IF(D698="","SEM CATEGORIA",IF(E698="","SEM SUBCATEGORIA",IF(COUNTIFS(CADASTROS!$L$7:$L$93,D698,CADASTROS!$D$7:$D$93,E698)=0,"INCOMPATÍVEL","OK"))))</f>
        <v>OK</v>
      </c>
    </row>
    <row r="699" spans="1:11" ht="30" hidden="1" customHeight="1" x14ac:dyDescent="0.25">
      <c r="A699" s="86" t="s">
        <v>2093</v>
      </c>
      <c r="B699" s="85">
        <f>IF(A699="","",IF(INDEX(EXTRATO!$C$2:$C$3000,MATCH($A699,EXTRATO!$A$2:$A$3000,0))="","",INDEX(EXTRATO!$C$2:$C$3000,MATCH($A699,EXTRATO!$A$2:$A$3000,0))))</f>
        <v>46185</v>
      </c>
      <c r="C699" s="86">
        <f t="shared" si="10"/>
        <v>6</v>
      </c>
      <c r="D699" s="81" t="s">
        <v>1311</v>
      </c>
      <c r="E699" s="79" t="s">
        <v>1312</v>
      </c>
      <c r="F699" s="80">
        <v>3310.4</v>
      </c>
      <c r="G699" s="81" t="s">
        <v>939</v>
      </c>
      <c r="H699" s="86" t="str">
        <f>IF(A699="","",IF(INDEX(EXTRATO!$F$2:$F$3000,MATCH($A699,EXTRATO!$A$2:$A$3000,0))="","",INDEX(EXTRATO!$F$2:$F$3000,MATCH($A699,EXTRATO!$A$2:$A$3000,0))))</f>
        <v>SAÍDA</v>
      </c>
      <c r="I699" s="88" t="str">
        <f>IF(A699="","",IF(INDEX(EXTRATO!$H$2:$H$3000,MATCH($A699,EXTRATO!$A$2:$A$3000,0))="","",INDEX(EXTRATO!$H$2:$H$3000,MATCH($A699,EXTRATO!$A$2:$A$3000,0))))</f>
        <v>BIOPAR</v>
      </c>
      <c r="J699" s="86" t="s">
        <v>1313</v>
      </c>
      <c r="K699" s="86" t="str">
        <f>IF(AND(A699="",D699="",E699="",F699=""),"",IF(D699="","SEM CATEGORIA",IF(E699="","SEM SUBCATEGORIA",IF(COUNTIFS(CADASTROS!$L$7:$L$93,D699,CADASTROS!$D$7:$D$93,E699)=0,"INCOMPATÍVEL","OK"))))</f>
        <v>OK</v>
      </c>
    </row>
    <row r="700" spans="1:11" ht="30" hidden="1" customHeight="1" x14ac:dyDescent="0.25">
      <c r="A700" s="86" t="s">
        <v>2094</v>
      </c>
      <c r="B700" s="85">
        <f>IF(A700="","",IF(INDEX(EXTRATO!$C$2:$C$3000,MATCH($A700,EXTRATO!$A$2:$A$3000,0))="","",INDEX(EXTRATO!$C$2:$C$3000,MATCH($A700,EXTRATO!$A$2:$A$3000,0))))</f>
        <v>46185</v>
      </c>
      <c r="C700" s="86">
        <f t="shared" si="10"/>
        <v>6</v>
      </c>
      <c r="D700" s="81" t="s">
        <v>1349</v>
      </c>
      <c r="E700" s="79" t="s">
        <v>1402</v>
      </c>
      <c r="F700" s="80">
        <v>400</v>
      </c>
      <c r="G700" s="81" t="s">
        <v>136</v>
      </c>
      <c r="H700" s="86" t="str">
        <f>IF(A700="","",IF(INDEX(EXTRATO!$F$2:$F$3000,MATCH($A700,EXTRATO!$A$2:$A$3000,0))="","",INDEX(EXTRATO!$F$2:$F$3000,MATCH($A700,EXTRATO!$A$2:$A$3000,0))))</f>
        <v>SAÍDA</v>
      </c>
      <c r="I700" s="88" t="str">
        <f>IF(A700="","",IF(INDEX(EXTRATO!$H$2:$H$3000,MATCH($A700,EXTRATO!$A$2:$A$3000,0))="","",INDEX(EXTRATO!$H$2:$H$3000,MATCH($A700,EXTRATO!$A$2:$A$3000,0))))</f>
        <v>LEMOS BRANCO &amp; CIA</v>
      </c>
      <c r="J700" s="86" t="s">
        <v>1313</v>
      </c>
      <c r="K700" s="86" t="str">
        <f>IF(AND(A700="",D700="",E700="",F700=""),"",IF(D700="","SEM CATEGORIA",IF(E700="","SEM SUBCATEGORIA",IF(COUNTIFS(CADASTROS!$L$7:$L$93,D700,CADASTROS!$D$7:$D$93,E700)=0,"INCOMPATÍVEL","OK"))))</f>
        <v>OK</v>
      </c>
    </row>
    <row r="701" spans="1:11" ht="30" hidden="1" customHeight="1" x14ac:dyDescent="0.25">
      <c r="A701" s="86" t="s">
        <v>2096</v>
      </c>
      <c r="B701" s="85">
        <f>IF(A701="","",IF(INDEX(EXTRATO!$C$2:$C$3000,MATCH($A701,EXTRATO!$A$2:$A$3000,0))="","",INDEX(EXTRATO!$C$2:$C$3000,MATCH($A701,EXTRATO!$A$2:$A$3000,0))))</f>
        <v>46185</v>
      </c>
      <c r="C701" s="86">
        <f t="shared" si="10"/>
        <v>6</v>
      </c>
      <c r="D701" s="81" t="s">
        <v>1330</v>
      </c>
      <c r="E701" s="79" t="s">
        <v>1352</v>
      </c>
      <c r="F701" s="80">
        <v>21.8</v>
      </c>
      <c r="G701" s="81" t="s">
        <v>517</v>
      </c>
      <c r="H701" s="86" t="str">
        <f>IF(A701="","",IF(INDEX(EXTRATO!$F$2:$F$3000,MATCH($A701,EXTRATO!$A$2:$A$3000,0))="","",INDEX(EXTRATO!$F$2:$F$3000,MATCH($A701,EXTRATO!$A$2:$A$3000,0))))</f>
        <v>SAÍDA</v>
      </c>
      <c r="I701" s="88" t="str">
        <f>IF(A701="","",IF(INDEX(EXTRATO!$H$2:$H$3000,MATCH($A701,EXTRATO!$A$2:$A$3000,0))="","",INDEX(EXTRATO!$H$2:$H$3000,MATCH($A701,EXTRATO!$A$2:$A$3000,0))))</f>
        <v>TAXA DE PROCESSAMENTO DE CHEQUE</v>
      </c>
      <c r="J701" s="86" t="s">
        <v>1313</v>
      </c>
      <c r="K701" s="86" t="str">
        <f>IF(AND(A701="",D701="",E701="",F701=""),"",IF(D701="","SEM CATEGORIA",IF(E701="","SEM SUBCATEGORIA",IF(COUNTIFS(CADASTROS!$L$7:$L$93,D701,CADASTROS!$D$7:$D$93,E701)=0,"INCOMPATÍVEL","OK"))))</f>
        <v>OK</v>
      </c>
    </row>
    <row r="702" spans="1:11" ht="30" hidden="1" customHeight="1" x14ac:dyDescent="0.25">
      <c r="A702" s="86" t="s">
        <v>2097</v>
      </c>
      <c r="B702" s="85">
        <f>IF(A702="","",IF(INDEX(EXTRATO!$C$2:$C$3000,MATCH($A702,EXTRATO!$A$2:$A$3000,0))="","",INDEX(EXTRATO!$C$2:$C$3000,MATCH($A702,EXTRATO!$A$2:$A$3000,0))))</f>
        <v>46188</v>
      </c>
      <c r="C702" s="86">
        <f t="shared" si="10"/>
        <v>6</v>
      </c>
      <c r="D702" s="81" t="s">
        <v>1367</v>
      </c>
      <c r="E702" s="79" t="s">
        <v>1383</v>
      </c>
      <c r="F702" s="80">
        <v>36168.61</v>
      </c>
      <c r="G702" s="81" t="s">
        <v>942</v>
      </c>
      <c r="H702" s="86" t="str">
        <f>IF(A702="","",IF(INDEX(EXTRATO!$F$2:$F$3000,MATCH($A702,EXTRATO!$A$2:$A$3000,0))="","",INDEX(EXTRATO!$F$2:$F$3000,MATCH($A702,EXTRATO!$A$2:$A$3000,0))))</f>
        <v>SAÍDA</v>
      </c>
      <c r="I702" s="88" t="str">
        <f>IF(A702="","",IF(INDEX(EXTRATO!$H$2:$H$3000,MATCH($A702,EXTRATO!$A$2:$A$3000,0))="","",INDEX(EXTRATO!$H$2:$H$3000,MATCH($A702,EXTRATO!$A$2:$A$3000,0))))</f>
        <v>FOLHA DE PAGAMENTO - PISO</v>
      </c>
      <c r="J702" s="86" t="s">
        <v>1313</v>
      </c>
      <c r="K702" s="86" t="str">
        <f>IF(AND(A702="",D702="",E702="",F702=""),"",IF(D702="","SEM CATEGORIA",IF(E702="","SEM SUBCATEGORIA",IF(COUNTIFS(CADASTROS!$L$7:$L$93,D702,CADASTROS!$D$7:$D$93,E702)=0,"INCOMPATÍVEL","OK"))))</f>
        <v>OK</v>
      </c>
    </row>
    <row r="703" spans="1:11" ht="30" hidden="1" customHeight="1" x14ac:dyDescent="0.25">
      <c r="A703" s="86" t="s">
        <v>2098</v>
      </c>
      <c r="B703" s="85">
        <f>IF(A703="","",IF(INDEX(EXTRATO!$C$2:$C$3000,MATCH($A703,EXTRATO!$A$2:$A$3000,0))="","",INDEX(EXTRATO!$C$2:$C$3000,MATCH($A703,EXTRATO!$A$2:$A$3000,0))))</f>
        <v>46188</v>
      </c>
      <c r="C703" s="86">
        <f t="shared" si="10"/>
        <v>6</v>
      </c>
      <c r="D703" s="81" t="s">
        <v>1311</v>
      </c>
      <c r="E703" s="79" t="s">
        <v>1342</v>
      </c>
      <c r="F703" s="80">
        <v>7450</v>
      </c>
      <c r="G703" s="81" t="s">
        <v>2104</v>
      </c>
      <c r="H703" s="86" t="str">
        <f>IF(A703="","",IF(INDEX(EXTRATO!$F$2:$F$3000,MATCH($A703,EXTRATO!$A$2:$A$3000,0))="","",INDEX(EXTRATO!$F$2:$F$3000,MATCH($A703,EXTRATO!$A$2:$A$3000,0))))</f>
        <v>SAÍDA</v>
      </c>
      <c r="I703" s="88" t="str">
        <f>IF(A703="","",IF(INDEX(EXTRATO!$H$2:$H$3000,MATCH($A703,EXTRATO!$A$2:$A$3000,0))="","",INDEX(EXTRATO!$H$2:$H$3000,MATCH($A703,EXTRATO!$A$2:$A$3000,0))))</f>
        <v>SUPERMÉDICA</v>
      </c>
      <c r="J703" s="86" t="s">
        <v>1313</v>
      </c>
      <c r="K703" s="86" t="str">
        <f>IF(AND(A703="",D703="",E703="",F703=""),"",IF(D703="","SEM CATEGORIA",IF(E703="","SEM SUBCATEGORIA",IF(COUNTIFS(CADASTROS!$L$7:$L$93,D703,CADASTROS!$D$7:$D$93,E703)=0,"INCOMPATÍVEL","OK"))))</f>
        <v>OK</v>
      </c>
    </row>
    <row r="704" spans="1:11" ht="30" hidden="1" customHeight="1" x14ac:dyDescent="0.25">
      <c r="A704" s="86" t="s">
        <v>2098</v>
      </c>
      <c r="B704" s="85">
        <f>IF(A704="","",IF(INDEX(EXTRATO!$C$2:$C$3000,MATCH($A704,EXTRATO!$A$2:$A$3000,0))="","",INDEX(EXTRATO!$C$2:$C$3000,MATCH($A704,EXTRATO!$A$2:$A$3000,0))))</f>
        <v>46188</v>
      </c>
      <c r="C704" s="86">
        <f t="shared" si="10"/>
        <v>6</v>
      </c>
      <c r="D704" s="81" t="s">
        <v>1311</v>
      </c>
      <c r="E704" s="79" t="s">
        <v>1312</v>
      </c>
      <c r="F704" s="80">
        <v>742.69</v>
      </c>
      <c r="G704" s="81" t="s">
        <v>2105</v>
      </c>
      <c r="H704" s="86" t="str">
        <f>IF(A704="","",IF(INDEX(EXTRATO!$F$2:$F$3000,MATCH($A704,EXTRATO!$A$2:$A$3000,0))="","",INDEX(EXTRATO!$F$2:$F$3000,MATCH($A704,EXTRATO!$A$2:$A$3000,0))))</f>
        <v>SAÍDA</v>
      </c>
      <c r="I704" s="88" t="str">
        <f>IF(A704="","",IF(INDEX(EXTRATO!$H$2:$H$3000,MATCH($A704,EXTRATO!$A$2:$A$3000,0))="","",INDEX(EXTRATO!$H$2:$H$3000,MATCH($A704,EXTRATO!$A$2:$A$3000,0))))</f>
        <v>SUPERMÉDICA</v>
      </c>
      <c r="J704" s="86" t="s">
        <v>1313</v>
      </c>
      <c r="K704" s="86" t="str">
        <f>IF(AND(A704="",D704="",E704="",F704=""),"",IF(D704="","SEM CATEGORIA",IF(E704="","SEM SUBCATEGORIA",IF(COUNTIFS(CADASTROS!$L$7:$L$93,D704,CADASTROS!$D$7:$D$93,E704)=0,"INCOMPATÍVEL","OK"))))</f>
        <v>OK</v>
      </c>
    </row>
    <row r="705" spans="1:11" ht="30" hidden="1" customHeight="1" x14ac:dyDescent="0.25">
      <c r="A705" s="86" t="s">
        <v>2099</v>
      </c>
      <c r="B705" s="85">
        <f>IF(A705="","",IF(INDEX(EXTRATO!$C$2:$C$3000,MATCH($A705,EXTRATO!$A$2:$A$3000,0))="","",INDEX(EXTRATO!$C$2:$C$3000,MATCH($A705,EXTRATO!$A$2:$A$3000,0))))</f>
        <v>46188</v>
      </c>
      <c r="C705" s="86">
        <f t="shared" si="10"/>
        <v>6</v>
      </c>
      <c r="D705" s="81" t="s">
        <v>1330</v>
      </c>
      <c r="E705" s="79" t="s">
        <v>1379</v>
      </c>
      <c r="F705" s="80">
        <v>207</v>
      </c>
      <c r="G705" s="81" t="s">
        <v>305</v>
      </c>
      <c r="H705" s="86" t="str">
        <f>IF(A705="","",IF(INDEX(EXTRATO!$F$2:$F$3000,MATCH($A705,EXTRATO!$A$2:$A$3000,0))="","",INDEX(EXTRATO!$F$2:$F$3000,MATCH($A705,EXTRATO!$A$2:$A$3000,0))))</f>
        <v>SAÍDA</v>
      </c>
      <c r="I705" s="88" t="str">
        <f>IF(A705="","",IF(INDEX(EXTRATO!$H$2:$H$3000,MATCH($A705,EXTRATO!$A$2:$A$3000,0))="","",INDEX(EXTRATO!$H$2:$H$3000,MATCH($A705,EXTRATO!$A$2:$A$3000,0))))</f>
        <v>FORTES CONECTA - RELÓGIO DE PONTO</v>
      </c>
      <c r="J705" s="86" t="s">
        <v>1313</v>
      </c>
      <c r="K705" s="86" t="str">
        <f>IF(AND(A705="",D705="",E705="",F705=""),"",IF(D705="","SEM CATEGORIA",IF(E705="","SEM SUBCATEGORIA",IF(COUNTIFS(CADASTROS!$L$7:$L$93,D705,CADASTROS!$D$7:$D$93,E705)=0,"INCOMPATÍVEL","OK"))))</f>
        <v>OK</v>
      </c>
    </row>
    <row r="706" spans="1:11" ht="30" hidden="1" customHeight="1" x14ac:dyDescent="0.25">
      <c r="A706" s="86" t="s">
        <v>2100</v>
      </c>
      <c r="B706" s="85">
        <f>IF(A706="","",IF(INDEX(EXTRATO!$C$2:$C$3000,MATCH($A706,EXTRATO!$A$2:$A$3000,0))="","",INDEX(EXTRATO!$C$2:$C$3000,MATCH($A706,EXTRATO!$A$2:$A$3000,0))))</f>
        <v>46188</v>
      </c>
      <c r="C706" s="86">
        <f t="shared" ref="C706:C769" si="11">IF(B706="","",MONTH(B706))</f>
        <v>6</v>
      </c>
      <c r="D706" s="81" t="s">
        <v>1330</v>
      </c>
      <c r="E706" s="79" t="s">
        <v>1379</v>
      </c>
      <c r="F706" s="80">
        <v>95</v>
      </c>
      <c r="G706" s="81" t="s">
        <v>305</v>
      </c>
      <c r="H706" s="86" t="str">
        <f>IF(A706="","",IF(INDEX(EXTRATO!$F$2:$F$3000,MATCH($A706,EXTRATO!$A$2:$A$3000,0))="","",INDEX(EXTRATO!$F$2:$F$3000,MATCH($A706,EXTRATO!$A$2:$A$3000,0))))</f>
        <v>SAÍDA</v>
      </c>
      <c r="I706" s="88" t="str">
        <f>IF(A706="","",IF(INDEX(EXTRATO!$H$2:$H$3000,MATCH($A706,EXTRATO!$A$2:$A$3000,0))="","",INDEX(EXTRATO!$H$2:$H$3000,MATCH($A706,EXTRATO!$A$2:$A$3000,0))))</f>
        <v>FORTES CONECTA - RELÓGIO DE PONTO</v>
      </c>
      <c r="J706" s="86" t="s">
        <v>1313</v>
      </c>
      <c r="K706" s="86" t="str">
        <f>IF(AND(A706="",D706="",E706="",F706=""),"",IF(D706="","SEM CATEGORIA",IF(E706="","SEM SUBCATEGORIA",IF(COUNTIFS(CADASTROS!$L$7:$L$93,D706,CADASTROS!$D$7:$D$93,E706)=0,"INCOMPATÍVEL","OK"))))</f>
        <v>OK</v>
      </c>
    </row>
    <row r="707" spans="1:11" ht="30" hidden="1" customHeight="1" x14ac:dyDescent="0.25">
      <c r="A707" s="86" t="s">
        <v>2101</v>
      </c>
      <c r="B707" s="85">
        <f>IF(A707="","",IF(INDEX(EXTRATO!$C$2:$C$3000,MATCH($A707,EXTRATO!$A$2:$A$3000,0))="","",INDEX(EXTRATO!$C$2:$C$3000,MATCH($A707,EXTRATO!$A$2:$A$3000,0))))</f>
        <v>46188</v>
      </c>
      <c r="C707" s="86">
        <f t="shared" si="11"/>
        <v>6</v>
      </c>
      <c r="D707" s="81" t="s">
        <v>1330</v>
      </c>
      <c r="E707" s="79" t="s">
        <v>1352</v>
      </c>
      <c r="F707" s="80">
        <v>38.5</v>
      </c>
      <c r="G707" s="81" t="s">
        <v>276</v>
      </c>
      <c r="H707" s="86" t="str">
        <f>IF(A707="","",IF(INDEX(EXTRATO!$F$2:$F$3000,MATCH($A707,EXTRATO!$A$2:$A$3000,0))="","",INDEX(EXTRATO!$F$2:$F$3000,MATCH($A707,EXTRATO!$A$2:$A$3000,0))))</f>
        <v>SAÍDA</v>
      </c>
      <c r="I707" s="88" t="str">
        <f>IF(A707="","",IF(INDEX(EXTRATO!$H$2:$H$3000,MATCH($A707,EXTRATO!$A$2:$A$3000,0))="","",INDEX(EXTRATO!$H$2:$H$3000,MATCH($A707,EXTRATO!$A$2:$A$3000,0))))</f>
        <v>TARIFA BANCÁRIA</v>
      </c>
      <c r="J707" s="86" t="s">
        <v>1313</v>
      </c>
      <c r="K707" s="86" t="str">
        <f>IF(AND(A707="",D707="",E707="",F707=""),"",IF(D707="","SEM CATEGORIA",IF(E707="","SEM SUBCATEGORIA",IF(COUNTIFS(CADASTROS!$L$7:$L$93,D707,CADASTROS!$D$7:$D$93,E707)=0,"INCOMPATÍVEL","OK"))))</f>
        <v>OK</v>
      </c>
    </row>
    <row r="708" spans="1:11" ht="30" hidden="1" customHeight="1" x14ac:dyDescent="0.25">
      <c r="A708" s="86" t="s">
        <v>2102</v>
      </c>
      <c r="B708" s="85">
        <f>IF(A708="","",IF(INDEX(EXTRATO!$C$2:$C$3000,MATCH($A708,EXTRATO!$A$2:$A$3000,0))="","",INDEX(EXTRATO!$C$2:$C$3000,MATCH($A708,EXTRATO!$A$2:$A$3000,0))))</f>
        <v>46190</v>
      </c>
      <c r="C708" s="86">
        <f t="shared" si="11"/>
        <v>6</v>
      </c>
      <c r="D708" s="81" t="s">
        <v>1415</v>
      </c>
      <c r="E708" s="79" t="s">
        <v>1648</v>
      </c>
      <c r="F708" s="80">
        <v>12000</v>
      </c>
      <c r="G708" s="81" t="s">
        <v>946</v>
      </c>
      <c r="H708" s="86" t="str">
        <f>IF(A708="","",IF(INDEX(EXTRATO!$F$2:$F$3000,MATCH($A708,EXTRATO!$A$2:$A$3000,0))="","",INDEX(EXTRATO!$F$2:$F$3000,MATCH($A708,EXTRATO!$A$2:$A$3000,0))))</f>
        <v>SAÍDA</v>
      </c>
      <c r="I708" s="88" t="str">
        <f>IF(A708="","",IF(INDEX(EXTRATO!$H$2:$H$3000,MATCH($A708,EXTRATO!$A$2:$A$3000,0))="","",INDEX(EXTRATO!$H$2:$H$3000,MATCH($A708,EXTRATO!$A$2:$A$3000,0))))</f>
        <v>MARTINS MACHADO SAUDE E E</v>
      </c>
      <c r="J708" s="86" t="s">
        <v>1313</v>
      </c>
      <c r="K708" s="86" t="str">
        <f>IF(AND(A708="",D708="",E708="",F708=""),"",IF(D708="","SEM CATEGORIA",IF(E708="","SEM SUBCATEGORIA",IF(COUNTIFS(CADASTROS!$L$7:$L$93,D708,CADASTROS!$D$7:$D$93,E708)=0,"INCOMPATÍVEL","OK"))))</f>
        <v>OK</v>
      </c>
    </row>
    <row r="709" spans="1:11" ht="30" hidden="1" customHeight="1" x14ac:dyDescent="0.25">
      <c r="A709" s="86" t="s">
        <v>2103</v>
      </c>
      <c r="B709" s="85">
        <f>IF(A709="","",IF(INDEX(EXTRATO!$C$2:$C$3000,MATCH($A709,EXTRATO!$A$2:$A$3000,0))="","",INDEX(EXTRATO!$C$2:$C$3000,MATCH($A709,EXTRATO!$A$2:$A$3000,0))))</f>
        <v>46190</v>
      </c>
      <c r="C709" s="86">
        <f t="shared" si="11"/>
        <v>6</v>
      </c>
      <c r="D709" s="81" t="s">
        <v>1415</v>
      </c>
      <c r="E709" s="79" t="s">
        <v>1643</v>
      </c>
      <c r="F709" s="80">
        <v>8000</v>
      </c>
      <c r="G709" s="81" t="s">
        <v>947</v>
      </c>
      <c r="H709" s="86" t="str">
        <f>IF(A709="","",IF(INDEX(EXTRATO!$F$2:$F$3000,MATCH($A709,EXTRATO!$A$2:$A$3000,0))="","",INDEX(EXTRATO!$F$2:$F$3000,MATCH($A709,EXTRATO!$A$2:$A$3000,0))))</f>
        <v>SAÍDA</v>
      </c>
      <c r="I709" s="88" t="str">
        <f>IF(A709="","",IF(INDEX(EXTRATO!$H$2:$H$3000,MATCH($A709,EXTRATO!$A$2:$A$3000,0))="","",INDEX(EXTRATO!$H$2:$H$3000,MATCH($A709,EXTRATO!$A$2:$A$3000,0))))</f>
        <v>L F ALBUQUERQUE DA SILVA</v>
      </c>
      <c r="J709" s="86" t="s">
        <v>1313</v>
      </c>
      <c r="K709" s="86" t="str">
        <f>IF(AND(A709="",D709="",E709="",F709=""),"",IF(D709="","SEM CATEGORIA",IF(E709="","SEM SUBCATEGORIA",IF(COUNTIFS(CADASTROS!$L$7:$L$93,D709,CADASTROS!$D$7:$D$93,E709)=0,"INCOMPATÍVEL","OK"))))</f>
        <v>OK</v>
      </c>
    </row>
    <row r="710" spans="1:11" ht="30" hidden="1" customHeight="1" x14ac:dyDescent="0.25">
      <c r="A710" s="86" t="s">
        <v>2106</v>
      </c>
      <c r="B710" s="85">
        <f>IF(A710="","",IF(INDEX(EXTRATO!$C$2:$C$3000,MATCH($A710,EXTRATO!$A$2:$A$3000,0))="","",INDEX(EXTRATO!$C$2:$C$3000,MATCH($A710,EXTRATO!$A$2:$A$3000,0))))</f>
        <v>46190</v>
      </c>
      <c r="C710" s="86">
        <f t="shared" si="11"/>
        <v>6</v>
      </c>
      <c r="D710" s="81" t="s">
        <v>1330</v>
      </c>
      <c r="E710" s="79" t="s">
        <v>1697</v>
      </c>
      <c r="F710" s="80">
        <v>2200</v>
      </c>
      <c r="G710" s="81" t="s">
        <v>950</v>
      </c>
      <c r="H710" s="86" t="str">
        <f>IF(A710="","",IF(INDEX(EXTRATO!$F$2:$F$3000,MATCH($A710,EXTRATO!$A$2:$A$3000,0))="","",INDEX(EXTRATO!$F$2:$F$3000,MATCH($A710,EXTRATO!$A$2:$A$3000,0))))</f>
        <v>SAÍDA</v>
      </c>
      <c r="I710" s="88" t="str">
        <f>IF(A710="","",IF(INDEX(EXTRATO!$H$2:$H$3000,MATCH($A710,EXTRATO!$A$2:$A$3000,0))="","",INDEX(EXTRATO!$H$2:$H$3000,MATCH($A710,EXTRATO!$A$2:$A$3000,0))))</f>
        <v>LUANA MELO VIEGAS</v>
      </c>
      <c r="J710" s="86" t="s">
        <v>1313</v>
      </c>
      <c r="K710" s="86" t="str">
        <f>IF(AND(A710="",D710="",E710="",F710=""),"",IF(D710="","SEM CATEGORIA",IF(E710="","SEM SUBCATEGORIA",IF(COUNTIFS(CADASTROS!$L$7:$L$93,D710,CADASTROS!$D$7:$D$93,E710)=0,"INCOMPATÍVEL","OK"))))</f>
        <v>OK</v>
      </c>
    </row>
    <row r="711" spans="1:11" ht="30" hidden="1" customHeight="1" x14ac:dyDescent="0.25">
      <c r="A711" s="86" t="s">
        <v>2107</v>
      </c>
      <c r="B711" s="85">
        <f>IF(A711="","",IF(INDEX(EXTRATO!$C$2:$C$3000,MATCH($A711,EXTRATO!$A$2:$A$3000,0))="","",INDEX(EXTRATO!$C$2:$C$3000,MATCH($A711,EXTRATO!$A$2:$A$3000,0))))</f>
        <v>46191</v>
      </c>
      <c r="C711" s="86">
        <f t="shared" si="11"/>
        <v>6</v>
      </c>
      <c r="D711" s="81" t="s">
        <v>1367</v>
      </c>
      <c r="E711" s="79" t="s">
        <v>1560</v>
      </c>
      <c r="F711" s="80">
        <v>1940</v>
      </c>
      <c r="G711" s="81" t="s">
        <v>952</v>
      </c>
      <c r="H711" s="86" t="str">
        <f>IF(A711="","",IF(INDEX(EXTRATO!$F$2:$F$3000,MATCH($A711,EXTRATO!$A$2:$A$3000,0))="","",INDEX(EXTRATO!$F$2:$F$3000,MATCH($A711,EXTRATO!$A$2:$A$3000,0))))</f>
        <v>SAÍDA</v>
      </c>
      <c r="I711" s="88" t="str">
        <f>IF(A711="","",IF(INDEX(EXTRATO!$H$2:$H$3000,MATCH($A711,EXTRATO!$A$2:$A$3000,0))="","",INDEX(EXTRATO!$H$2:$H$3000,MATCH($A711,EXTRATO!$A$2:$A$3000,0))))</f>
        <v>WILSON DE FREITAS SORIANO</v>
      </c>
      <c r="J711" s="86" t="s">
        <v>1313</v>
      </c>
      <c r="K711" s="86" t="str">
        <f>IF(AND(A711="",D711="",E711="",F711=""),"",IF(D711="","SEM CATEGORIA",IF(E711="","SEM SUBCATEGORIA",IF(COUNTIFS(CADASTROS!$L$7:$L$93,D711,CADASTROS!$D$7:$D$93,E711)=0,"INCOMPATÍVEL","OK"))))</f>
        <v>OK</v>
      </c>
    </row>
    <row r="712" spans="1:11" ht="30" hidden="1" customHeight="1" x14ac:dyDescent="0.25">
      <c r="A712" s="86" t="s">
        <v>2108</v>
      </c>
      <c r="B712" s="85">
        <f>IF(A712="","",IF(INDEX(EXTRATO!$C$2:$C$3000,MATCH($A712,EXTRATO!$A$2:$A$3000,0))="","",INDEX(EXTRATO!$C$2:$C$3000,MATCH($A712,EXTRATO!$A$2:$A$3000,0))))</f>
        <v>46191</v>
      </c>
      <c r="C712" s="86">
        <f t="shared" si="11"/>
        <v>6</v>
      </c>
      <c r="D712" s="81" t="s">
        <v>1330</v>
      </c>
      <c r="E712" s="79" t="s">
        <v>1352</v>
      </c>
      <c r="F712" s="80">
        <v>374.22</v>
      </c>
      <c r="G712" s="81" t="s">
        <v>2114</v>
      </c>
      <c r="H712" s="86" t="str">
        <f>IF(A712="","",IF(INDEX(EXTRATO!$F$2:$F$3000,MATCH($A712,EXTRATO!$A$2:$A$3000,0))="","",INDEX(EXTRATO!$F$2:$F$3000,MATCH($A712,EXTRATO!$A$2:$A$3000,0))))</f>
        <v>SAÍDA</v>
      </c>
      <c r="I712" s="88" t="str">
        <f>IF(A712="","",IF(INDEX(EXTRATO!$H$2:$H$3000,MATCH($A712,EXTRATO!$A$2:$A$3000,0))="","",INDEX(EXTRATO!$H$2:$H$3000,MATCH($A712,EXTRATO!$A$2:$A$3000,0))))</f>
        <v>ESTADO DO MARANHÃO</v>
      </c>
      <c r="J712" s="86" t="s">
        <v>1313</v>
      </c>
      <c r="K712" s="86" t="str">
        <f>IF(AND(A712="",D712="",E712="",F712=""),"",IF(D712="","SEM CATEGORIA",IF(E712="","SEM SUBCATEGORIA",IF(COUNTIFS(CADASTROS!$L$7:$L$93,D712,CADASTROS!$D$7:$D$93,E712)=0,"INCOMPATÍVEL","OK"))))</f>
        <v>OK</v>
      </c>
    </row>
    <row r="713" spans="1:11" ht="30" hidden="1" customHeight="1" x14ac:dyDescent="0.25">
      <c r="A713" s="86" t="s">
        <v>2109</v>
      </c>
      <c r="B713" s="85">
        <f>IF(A713="","",IF(INDEX(EXTRATO!$C$2:$C$3000,MATCH($A713,EXTRATO!$A$2:$A$3000,0))="","",INDEX(EXTRATO!$C$2:$C$3000,MATCH($A713,EXTRATO!$A$2:$A$3000,0))))</f>
        <v>46191</v>
      </c>
      <c r="C713" s="86">
        <f t="shared" si="11"/>
        <v>6</v>
      </c>
      <c r="D713" s="81" t="s">
        <v>1388</v>
      </c>
      <c r="E713" s="79" t="s">
        <v>125</v>
      </c>
      <c r="F713" s="80">
        <v>26603.56</v>
      </c>
      <c r="G713" s="81" t="s">
        <v>956</v>
      </c>
      <c r="H713" s="86" t="str">
        <f>IF(A713="","",IF(INDEX(EXTRATO!$F$2:$F$3000,MATCH($A713,EXTRATO!$A$2:$A$3000,0))="","",INDEX(EXTRATO!$F$2:$F$3000,MATCH($A713,EXTRATO!$A$2:$A$3000,0))))</f>
        <v>SAÍDA</v>
      </c>
      <c r="I713" s="88" t="str">
        <f>IF(A713="","",IF(INDEX(EXTRATO!$H$2:$H$3000,MATCH($A713,EXTRATO!$A$2:$A$3000,0))="","",INDEX(EXTRATO!$H$2:$H$3000,MATCH($A713,EXTRATO!$A$2:$A$3000,0))))</f>
        <v>ISS</v>
      </c>
      <c r="J713" s="86" t="s">
        <v>1313</v>
      </c>
      <c r="K713" s="86" t="str">
        <f>IF(AND(A713="",D713="",E713="",F713=""),"",IF(D713="","SEM CATEGORIA",IF(E713="","SEM SUBCATEGORIA",IF(COUNTIFS(CADASTROS!$L$7:$L$93,D713,CADASTROS!$D$7:$D$93,E713)=0,"INCOMPATÍVEL","OK"))))</f>
        <v>OK</v>
      </c>
    </row>
    <row r="714" spans="1:11" ht="30" hidden="1" customHeight="1" x14ac:dyDescent="0.25">
      <c r="A714" s="86" t="s">
        <v>2110</v>
      </c>
      <c r="B714" s="85">
        <f>IF(A714="","",IF(INDEX(EXTRATO!$C$2:$C$3000,MATCH($A714,EXTRATO!$A$2:$A$3000,0))="","",INDEX(EXTRATO!$C$2:$C$3000,MATCH($A714,EXTRATO!$A$2:$A$3000,0))))</f>
        <v>46191</v>
      </c>
      <c r="C714" s="86">
        <f t="shared" si="11"/>
        <v>6</v>
      </c>
      <c r="D714" s="81" t="s">
        <v>1311</v>
      </c>
      <c r="E714" s="79" t="s">
        <v>1404</v>
      </c>
      <c r="F714" s="80">
        <v>18927.2</v>
      </c>
      <c r="G714" s="81" t="s">
        <v>2117</v>
      </c>
      <c r="H714" s="86" t="str">
        <f>IF(A714="","",IF(INDEX(EXTRATO!$F$2:$F$3000,MATCH($A714,EXTRATO!$A$2:$A$3000,0))="","",INDEX(EXTRATO!$F$2:$F$3000,MATCH($A714,EXTRATO!$A$2:$A$3000,0))))</f>
        <v>SAÍDA</v>
      </c>
      <c r="I714" s="88" t="str">
        <f>IF(A714="","",IF(INDEX(EXTRATO!$H$2:$H$3000,MATCH($A714,EXTRATO!$A$2:$A$3000,0))="","",INDEX(EXTRATO!$H$2:$H$3000,MATCH($A714,EXTRATO!$A$2:$A$3000,0))))</f>
        <v>FARMACE</v>
      </c>
      <c r="J714" s="86" t="s">
        <v>1313</v>
      </c>
      <c r="K714" s="86" t="str">
        <f>IF(AND(A714="",D714="",E714="",F714=""),"",IF(D714="","SEM CATEGORIA",IF(E714="","SEM SUBCATEGORIA",IF(COUNTIFS(CADASTROS!$L$7:$L$93,D714,CADASTROS!$D$7:$D$93,E714)=0,"INCOMPATÍVEL","OK"))))</f>
        <v>OK</v>
      </c>
    </row>
    <row r="715" spans="1:11" ht="30" hidden="1" customHeight="1" x14ac:dyDescent="0.25">
      <c r="A715" s="86" t="s">
        <v>2110</v>
      </c>
      <c r="B715" s="85">
        <f>IF(A715="","",IF(INDEX(EXTRATO!$C$2:$C$3000,MATCH($A715,EXTRATO!$A$2:$A$3000,0))="","",INDEX(EXTRATO!$C$2:$C$3000,MATCH($A715,EXTRATO!$A$2:$A$3000,0))))</f>
        <v>46191</v>
      </c>
      <c r="C715" s="86">
        <f t="shared" si="11"/>
        <v>6</v>
      </c>
      <c r="D715" s="81" t="s">
        <v>1311</v>
      </c>
      <c r="E715" s="79" t="s">
        <v>1312</v>
      </c>
      <c r="F715" s="80">
        <v>41</v>
      </c>
      <c r="G715" s="81" t="s">
        <v>2118</v>
      </c>
      <c r="H715" s="86" t="str">
        <f>IF(A715="","",IF(INDEX(EXTRATO!$F$2:$F$3000,MATCH($A715,EXTRATO!$A$2:$A$3000,0))="","",INDEX(EXTRATO!$F$2:$F$3000,MATCH($A715,EXTRATO!$A$2:$A$3000,0))))</f>
        <v>SAÍDA</v>
      </c>
      <c r="I715" s="88" t="str">
        <f>IF(A715="","",IF(INDEX(EXTRATO!$H$2:$H$3000,MATCH($A715,EXTRATO!$A$2:$A$3000,0))="","",INDEX(EXTRATO!$H$2:$H$3000,MATCH($A715,EXTRATO!$A$2:$A$3000,0))))</f>
        <v>FARMACE</v>
      </c>
      <c r="J715" s="86" t="s">
        <v>1313</v>
      </c>
      <c r="K715" s="86" t="str">
        <f>IF(AND(A715="",D715="",E715="",F715=""),"",IF(D715="","SEM CATEGORIA",IF(E715="","SEM SUBCATEGORIA",IF(COUNTIFS(CADASTROS!$L$7:$L$93,D715,CADASTROS!$D$7:$D$93,E715)=0,"INCOMPATÍVEL","OK"))))</f>
        <v>OK</v>
      </c>
    </row>
    <row r="716" spans="1:11" ht="30" hidden="1" customHeight="1" x14ac:dyDescent="0.25">
      <c r="A716" s="86" t="s">
        <v>2111</v>
      </c>
      <c r="B716" s="85">
        <f>IF(A716="","",IF(INDEX(EXTRATO!$C$2:$C$3000,MATCH($A716,EXTRATO!$A$2:$A$3000,0))="","",INDEX(EXTRATO!$C$2:$C$3000,MATCH($A716,EXTRATO!$A$2:$A$3000,0))))</f>
        <v>46191</v>
      </c>
      <c r="C716" s="86">
        <f t="shared" si="11"/>
        <v>6</v>
      </c>
      <c r="D716" s="81" t="s">
        <v>1311</v>
      </c>
      <c r="E716" s="79" t="s">
        <v>1470</v>
      </c>
      <c r="F716" s="80">
        <v>1165.98</v>
      </c>
      <c r="G716" s="81" t="s">
        <v>218</v>
      </c>
      <c r="H716" s="86" t="str">
        <f>IF(A716="","",IF(INDEX(EXTRATO!$F$2:$F$3000,MATCH($A716,EXTRATO!$A$2:$A$3000,0))="","",INDEX(EXTRATO!$F$2:$F$3000,MATCH($A716,EXTRATO!$A$2:$A$3000,0))))</f>
        <v>SAÍDA</v>
      </c>
      <c r="I716" s="88" t="str">
        <f>IF(A716="","",IF(INDEX(EXTRATO!$H$2:$H$3000,MATCH($A716,EXTRATO!$A$2:$A$3000,0))="","",INDEX(EXTRATO!$H$2:$H$3000,MATCH($A716,EXTRATO!$A$2:$A$3000,0))))</f>
        <v>QUALIÁGUA</v>
      </c>
      <c r="J716" s="86" t="s">
        <v>1313</v>
      </c>
      <c r="K716" s="86" t="str">
        <f>IF(AND(A716="",D716="",E716="",F716=""),"",IF(D716="","SEM CATEGORIA",IF(E716="","SEM SUBCATEGORIA",IF(COUNTIFS(CADASTROS!$L$7:$L$93,D716,CADASTROS!$D$7:$D$93,E716)=0,"INCOMPATÍVEL","OK"))))</f>
        <v>OK</v>
      </c>
    </row>
    <row r="717" spans="1:11" ht="30" hidden="1" customHeight="1" x14ac:dyDescent="0.25">
      <c r="A717" s="86" t="s">
        <v>2112</v>
      </c>
      <c r="B717" s="85">
        <f>IF(A717="","",IF(INDEX(EXTRATO!$C$2:$C$3000,MATCH($A717,EXTRATO!$A$2:$A$3000,0))="","",INDEX(EXTRATO!$C$2:$C$3000,MATCH($A717,EXTRATO!$A$2:$A$3000,0))))</f>
        <v>46191</v>
      </c>
      <c r="C717" s="86">
        <f t="shared" si="11"/>
        <v>6</v>
      </c>
      <c r="D717" s="81" t="s">
        <v>1311</v>
      </c>
      <c r="E717" s="79" t="s">
        <v>1376</v>
      </c>
      <c r="F717" s="80">
        <v>7583.75</v>
      </c>
      <c r="G717" s="81" t="s">
        <v>960</v>
      </c>
      <c r="H717" s="86" t="str">
        <f>IF(A717="","",IF(INDEX(EXTRATO!$F$2:$F$3000,MATCH($A717,EXTRATO!$A$2:$A$3000,0))="","",INDEX(EXTRATO!$F$2:$F$3000,MATCH($A717,EXTRATO!$A$2:$A$3000,0))))</f>
        <v>SAÍDA</v>
      </c>
      <c r="I717" s="88" t="str">
        <f>IF(A717="","",IF(INDEX(EXTRATO!$H$2:$H$3000,MATCH($A717,EXTRATO!$A$2:$A$3000,0))="","",INDEX(EXTRATO!$H$2:$H$3000,MATCH($A717,EXTRATO!$A$2:$A$3000,0))))</f>
        <v>NIPRO</v>
      </c>
      <c r="J717" s="86" t="s">
        <v>1313</v>
      </c>
      <c r="K717" s="86" t="str">
        <f>IF(AND(A717="",D717="",E717="",F717=""),"",IF(D717="","SEM CATEGORIA",IF(E717="","SEM SUBCATEGORIA",IF(COUNTIFS(CADASTROS!$L$7:$L$93,D717,CADASTROS!$D$7:$D$93,E717)=0,"INCOMPATÍVEL","OK"))))</f>
        <v>OK</v>
      </c>
    </row>
    <row r="718" spans="1:11" ht="30" hidden="1" customHeight="1" x14ac:dyDescent="0.25">
      <c r="A718" s="86" t="s">
        <v>2113</v>
      </c>
      <c r="B718" s="85">
        <f>IF(A718="","",IF(INDEX(EXTRATO!$C$2:$C$3000,MATCH($A718,EXTRATO!$A$2:$A$3000,0))="","",INDEX(EXTRATO!$C$2:$C$3000,MATCH($A718,EXTRATO!$A$2:$A$3000,0))))</f>
        <v>46192</v>
      </c>
      <c r="C718" s="86">
        <f t="shared" si="11"/>
        <v>6</v>
      </c>
      <c r="D718" s="81" t="s">
        <v>1311</v>
      </c>
      <c r="E718" s="79" t="s">
        <v>1312</v>
      </c>
      <c r="F718" s="80">
        <v>375</v>
      </c>
      <c r="G718" s="81" t="s">
        <v>2122</v>
      </c>
      <c r="H718" s="86" t="str">
        <f>IF(A718="","",IF(INDEX(EXTRATO!$F$2:$F$3000,MATCH($A718,EXTRATO!$A$2:$A$3000,0))="","",INDEX(EXTRATO!$F$2:$F$3000,MATCH($A718,EXTRATO!$A$2:$A$3000,0))))</f>
        <v>SAÍDA</v>
      </c>
      <c r="I718" s="88" t="str">
        <f>IF(A718="","",IF(INDEX(EXTRATO!$H$2:$H$3000,MATCH($A718,EXTRATO!$A$2:$A$3000,0))="","",INDEX(EXTRATO!$H$2:$H$3000,MATCH($A718,EXTRATO!$A$2:$A$3000,0))))</f>
        <v>BIOCOMPANY</v>
      </c>
      <c r="J718" s="86" t="s">
        <v>1313</v>
      </c>
      <c r="K718" s="86" t="str">
        <f>IF(AND(A718="",D718="",E718="",F718=""),"",IF(D718="","SEM CATEGORIA",IF(E718="","SEM SUBCATEGORIA",IF(COUNTIFS(CADASTROS!$L$7:$L$93,D718,CADASTROS!$D$7:$D$93,E718)=0,"INCOMPATÍVEL","OK"))))</f>
        <v>OK</v>
      </c>
    </row>
    <row r="719" spans="1:11" ht="30" hidden="1" customHeight="1" x14ac:dyDescent="0.25">
      <c r="A719" s="86" t="s">
        <v>2113</v>
      </c>
      <c r="B719" s="85">
        <f>IF(A719="","",IF(INDEX(EXTRATO!$C$2:$C$3000,MATCH($A719,EXTRATO!$A$2:$A$3000,0))="","",INDEX(EXTRATO!$C$2:$C$3000,MATCH($A719,EXTRATO!$A$2:$A$3000,0))))</f>
        <v>46192</v>
      </c>
      <c r="C719" s="86">
        <f t="shared" si="11"/>
        <v>6</v>
      </c>
      <c r="D719" s="81" t="s">
        <v>1311</v>
      </c>
      <c r="E719" s="79" t="s">
        <v>1318</v>
      </c>
      <c r="F719" s="80">
        <v>1120</v>
      </c>
      <c r="G719" s="81" t="s">
        <v>2123</v>
      </c>
      <c r="H719" s="86" t="str">
        <f>IF(A719="","",IF(INDEX(EXTRATO!$F$2:$F$3000,MATCH($A719,EXTRATO!$A$2:$A$3000,0))="","",INDEX(EXTRATO!$F$2:$F$3000,MATCH($A719,EXTRATO!$A$2:$A$3000,0))))</f>
        <v>SAÍDA</v>
      </c>
      <c r="I719" s="88" t="str">
        <f>IF(A719="","",IF(INDEX(EXTRATO!$H$2:$H$3000,MATCH($A719,EXTRATO!$A$2:$A$3000,0))="","",INDEX(EXTRATO!$H$2:$H$3000,MATCH($A719,EXTRATO!$A$2:$A$3000,0))))</f>
        <v>BIOCOMPANY</v>
      </c>
      <c r="J719" s="86" t="s">
        <v>1313</v>
      </c>
      <c r="K719" s="86" t="str">
        <f>IF(AND(A719="",D719="",E719="",F719=""),"",IF(D719="","SEM CATEGORIA",IF(E719="","SEM SUBCATEGORIA",IF(COUNTIFS(CADASTROS!$L$7:$L$93,D719,CADASTROS!$D$7:$D$93,E719)=0,"INCOMPATÍVEL","OK"))))</f>
        <v>OK</v>
      </c>
    </row>
    <row r="720" spans="1:11" ht="30" hidden="1" customHeight="1" x14ac:dyDescent="0.25">
      <c r="A720" s="86" t="s">
        <v>2115</v>
      </c>
      <c r="B720" s="85">
        <f>IF(A720="","",IF(INDEX(EXTRATO!$C$2:$C$3000,MATCH($A720,EXTRATO!$A$2:$A$3000,0))="","",INDEX(EXTRATO!$C$2:$C$3000,MATCH($A720,EXTRATO!$A$2:$A$3000,0))))</f>
        <v>46192</v>
      </c>
      <c r="C720" s="86">
        <f t="shared" si="11"/>
        <v>6</v>
      </c>
      <c r="D720" s="81" t="s">
        <v>1388</v>
      </c>
      <c r="E720" s="79" t="s">
        <v>170</v>
      </c>
      <c r="F720" s="80">
        <v>18.64</v>
      </c>
      <c r="G720" s="81" t="s">
        <v>170</v>
      </c>
      <c r="H720" s="86" t="str">
        <f>IF(A720="","",IF(INDEX(EXTRATO!$F$2:$F$3000,MATCH($A720,EXTRATO!$A$2:$A$3000,0))="","",INDEX(EXTRATO!$F$2:$F$3000,MATCH($A720,EXTRATO!$A$2:$A$3000,0))))</f>
        <v>SAÍDA</v>
      </c>
      <c r="I720" s="88" t="str">
        <f>IF(A720="","",IF(INDEX(EXTRATO!$H$2:$H$3000,MATCH($A720,EXTRATO!$A$2:$A$3000,0))="","",INDEX(EXTRATO!$H$2:$H$3000,MATCH($A720,EXTRATO!$A$2:$A$3000,0))))</f>
        <v>TRIBUTOS FEDEREIAS MENSAIS</v>
      </c>
      <c r="J720" s="86" t="s">
        <v>1313</v>
      </c>
      <c r="K720" s="86" t="str">
        <f>IF(AND(A720="",D720="",E720="",F720=""),"",IF(D720="","SEM CATEGORIA",IF(E720="","SEM SUBCATEGORIA",IF(COUNTIFS(CADASTROS!$L$7:$L$93,D720,CADASTROS!$D$7:$D$93,E720)=0,"INCOMPATÍVEL","OK"))))</f>
        <v>OK</v>
      </c>
    </row>
    <row r="721" spans="1:11" ht="30" hidden="1" customHeight="1" x14ac:dyDescent="0.25">
      <c r="A721" s="86" t="s">
        <v>2116</v>
      </c>
      <c r="B721" s="85">
        <f>IF(A721="","",IF(INDEX(EXTRATO!$C$2:$C$3000,MATCH($A721,EXTRATO!$A$2:$A$3000,0))="","",INDEX(EXTRATO!$C$2:$C$3000,MATCH($A721,EXTRATO!$A$2:$A$3000,0))))</f>
        <v>46192</v>
      </c>
      <c r="C721" s="86">
        <f t="shared" si="11"/>
        <v>6</v>
      </c>
      <c r="D721" s="81" t="s">
        <v>1388</v>
      </c>
      <c r="E721" s="79" t="s">
        <v>168</v>
      </c>
      <c r="F721" s="80">
        <v>57.77</v>
      </c>
      <c r="G721" s="81" t="s">
        <v>168</v>
      </c>
      <c r="H721" s="86" t="str">
        <f>IF(A721="","",IF(INDEX(EXTRATO!$F$2:$F$3000,MATCH($A721,EXTRATO!$A$2:$A$3000,0))="","",INDEX(EXTRATO!$F$2:$F$3000,MATCH($A721,EXTRATO!$A$2:$A$3000,0))))</f>
        <v>SAÍDA</v>
      </c>
      <c r="I721" s="88" t="str">
        <f>IF(A721="","",IF(INDEX(EXTRATO!$H$2:$H$3000,MATCH($A721,EXTRATO!$A$2:$A$3000,0))="","",INDEX(EXTRATO!$H$2:$H$3000,MATCH($A721,EXTRATO!$A$2:$A$3000,0))))</f>
        <v>TRIBUTOS FEDEREIAS MENSAIS</v>
      </c>
      <c r="J721" s="86" t="s">
        <v>1313</v>
      </c>
      <c r="K721" s="86" t="str">
        <f>IF(AND(A721="",D721="",E721="",F721=""),"",IF(D721="","SEM CATEGORIA",IF(E721="","SEM SUBCATEGORIA",IF(COUNTIFS(CADASTROS!$L$7:$L$93,D721,CADASTROS!$D$7:$D$93,E721)=0,"INCOMPATÍVEL","OK"))))</f>
        <v>OK</v>
      </c>
    </row>
    <row r="722" spans="1:11" ht="30" hidden="1" customHeight="1" x14ac:dyDescent="0.25">
      <c r="A722" s="86" t="s">
        <v>2119</v>
      </c>
      <c r="B722" s="85">
        <f>IF(A722="","",IF(INDEX(EXTRATO!$C$2:$C$3000,MATCH($A722,EXTRATO!$A$2:$A$3000,0))="","",INDEX(EXTRATO!$C$2:$C$3000,MATCH($A722,EXTRATO!$A$2:$A$3000,0))))</f>
        <v>46192</v>
      </c>
      <c r="C722" s="86">
        <f t="shared" si="11"/>
        <v>6</v>
      </c>
      <c r="D722" s="81" t="s">
        <v>1367</v>
      </c>
      <c r="E722" s="79" t="s">
        <v>164</v>
      </c>
      <c r="F722" s="80">
        <v>8582.7800000000007</v>
      </c>
      <c r="G722" s="81" t="s">
        <v>963</v>
      </c>
      <c r="H722" s="86" t="str">
        <f>IF(A722="","",IF(INDEX(EXTRATO!$F$2:$F$3000,MATCH($A722,EXTRATO!$A$2:$A$3000,0))="","",INDEX(EXTRATO!$F$2:$F$3000,MATCH($A722,EXTRATO!$A$2:$A$3000,0))))</f>
        <v>SAÍDA</v>
      </c>
      <c r="I722" s="88" t="str">
        <f>IF(A722="","",IF(INDEX(EXTRATO!$H$2:$H$3000,MATCH($A722,EXTRATO!$A$2:$A$3000,0))="","",INDEX(EXTRATO!$H$2:$H$3000,MATCH($A722,EXTRATO!$A$2:$A$3000,0))))</f>
        <v>FGTS</v>
      </c>
      <c r="J722" s="86" t="s">
        <v>1313</v>
      </c>
      <c r="K722" s="86" t="str">
        <f>IF(AND(A722="",D722="",E722="",F722=""),"",IF(D722="","SEM CATEGORIA",IF(E722="","SEM SUBCATEGORIA",IF(COUNTIFS(CADASTROS!$L$7:$L$93,D722,CADASTROS!$D$7:$D$93,E722)=0,"INCOMPATÍVEL","OK"))))</f>
        <v>OK</v>
      </c>
    </row>
    <row r="723" spans="1:11" ht="30" hidden="1" customHeight="1" x14ac:dyDescent="0.25">
      <c r="A723" s="86" t="s">
        <v>2120</v>
      </c>
      <c r="B723" s="85">
        <f>IF(A723="","",IF(INDEX(EXTRATO!$C$2:$C$3000,MATCH($A723,EXTRATO!$A$2:$A$3000,0))="","",INDEX(EXTRATO!$C$2:$C$3000,MATCH($A723,EXTRATO!$A$2:$A$3000,0))))</f>
        <v>46192</v>
      </c>
      <c r="C723" s="86">
        <f t="shared" si="11"/>
        <v>6</v>
      </c>
      <c r="D723" s="81" t="s">
        <v>1367</v>
      </c>
      <c r="E723" s="79" t="s">
        <v>167</v>
      </c>
      <c r="F723" s="80">
        <v>29965.3</v>
      </c>
      <c r="G723" s="81" t="s">
        <v>964</v>
      </c>
      <c r="H723" s="86" t="str">
        <f>IF(A723="","",IF(INDEX(EXTRATO!$F$2:$F$3000,MATCH($A723,EXTRATO!$A$2:$A$3000,0))="","",INDEX(EXTRATO!$F$2:$F$3000,MATCH($A723,EXTRATO!$A$2:$A$3000,0))))</f>
        <v>SAÍDA</v>
      </c>
      <c r="I723" s="88" t="str">
        <f>IF(A723="","",IF(INDEX(EXTRATO!$H$2:$H$3000,MATCH($A723,EXTRATO!$A$2:$A$3000,0))="","",INDEX(EXTRATO!$H$2:$H$3000,MATCH($A723,EXTRATO!$A$2:$A$3000,0))))</f>
        <v>INSS</v>
      </c>
      <c r="J723" s="86" t="s">
        <v>1313</v>
      </c>
      <c r="K723" s="86" t="str">
        <f>IF(AND(A723="",D723="",E723="",F723=""),"",IF(D723="","SEM CATEGORIA",IF(E723="","SEM SUBCATEGORIA",IF(COUNTIFS(CADASTROS!$L$7:$L$93,D723,CADASTROS!$D$7:$D$93,E723)=0,"INCOMPATÍVEL","OK"))))</f>
        <v>OK</v>
      </c>
    </row>
    <row r="724" spans="1:11" ht="30" hidden="1" customHeight="1" x14ac:dyDescent="0.25">
      <c r="A724" s="86" t="s">
        <v>2121</v>
      </c>
      <c r="B724" s="85">
        <f>IF(A724="","",IF(INDEX(EXTRATO!$C$2:$C$3000,MATCH($A724,EXTRATO!$A$2:$A$3000,0))="","",INDEX(EXTRATO!$C$2:$C$3000,MATCH($A724,EXTRATO!$A$2:$A$3000,0))))</f>
        <v>46192</v>
      </c>
      <c r="C724" s="86">
        <f t="shared" si="11"/>
        <v>6</v>
      </c>
      <c r="D724" s="81" t="s">
        <v>1415</v>
      </c>
      <c r="E724" s="79" t="s">
        <v>1418</v>
      </c>
      <c r="F724" s="80">
        <v>400</v>
      </c>
      <c r="G724" s="81" t="s">
        <v>965</v>
      </c>
      <c r="H724" s="86" t="str">
        <f>IF(A724="","",IF(INDEX(EXTRATO!$F$2:$F$3000,MATCH($A724,EXTRATO!$A$2:$A$3000,0))="","",INDEX(EXTRATO!$F$2:$F$3000,MATCH($A724,EXTRATO!$A$2:$A$3000,0))))</f>
        <v>SAÍDA</v>
      </c>
      <c r="I724" s="88" t="str">
        <f>IF(A724="","",IF(INDEX(EXTRATO!$H$2:$H$3000,MATCH($A724,EXTRATO!$A$2:$A$3000,0))="","",INDEX(EXTRATO!$H$2:$H$3000,MATCH($A724,EXTRATO!$A$2:$A$3000,0))))</f>
        <v>I F DA SILVA &amp; CIA LTDA</v>
      </c>
      <c r="J724" s="86" t="s">
        <v>1313</v>
      </c>
      <c r="K724" s="86" t="str">
        <f>IF(AND(A724="",D724="",E724="",F724=""),"",IF(D724="","SEM CATEGORIA",IF(E724="","SEM SUBCATEGORIA",IF(COUNTIFS(CADASTROS!$L$7:$L$93,D724,CADASTROS!$D$7:$D$93,E724)=0,"INCOMPATÍVEL","OK"))))</f>
        <v>OK</v>
      </c>
    </row>
    <row r="725" spans="1:11" ht="30" hidden="1" customHeight="1" x14ac:dyDescent="0.25">
      <c r="A725" s="86" t="s">
        <v>2121</v>
      </c>
      <c r="B725" s="85">
        <f>IF(A725="","",IF(INDEX(EXTRATO!$C$2:$C$3000,MATCH($A725,EXTRATO!$A$2:$A$3000,0))="","",INDEX(EXTRATO!$C$2:$C$3000,MATCH($A725,EXTRATO!$A$2:$A$3000,0))))</f>
        <v>46192</v>
      </c>
      <c r="C725" s="86">
        <f t="shared" si="11"/>
        <v>6</v>
      </c>
      <c r="D725" s="81" t="s">
        <v>1415</v>
      </c>
      <c r="E725" s="79" t="s">
        <v>1420</v>
      </c>
      <c r="F725" s="80">
        <v>3419.97</v>
      </c>
      <c r="G725" s="81" t="s">
        <v>965</v>
      </c>
      <c r="H725" s="86" t="str">
        <f>IF(A725="","",IF(INDEX(EXTRATO!$F$2:$F$3000,MATCH($A725,EXTRATO!$A$2:$A$3000,0))="","",INDEX(EXTRATO!$F$2:$F$3000,MATCH($A725,EXTRATO!$A$2:$A$3000,0))))</f>
        <v>SAÍDA</v>
      </c>
      <c r="I725" s="88" t="str">
        <f>IF(A725="","",IF(INDEX(EXTRATO!$H$2:$H$3000,MATCH($A725,EXTRATO!$A$2:$A$3000,0))="","",INDEX(EXTRATO!$H$2:$H$3000,MATCH($A725,EXTRATO!$A$2:$A$3000,0))))</f>
        <v>I F DA SILVA &amp; CIA LTDA</v>
      </c>
      <c r="J725" s="86" t="s">
        <v>1313</v>
      </c>
      <c r="K725" s="86" t="str">
        <f>IF(AND(A725="",D725="",E725="",F725=""),"",IF(D725="","SEM CATEGORIA",IF(E725="","SEM SUBCATEGORIA",IF(COUNTIFS(CADASTROS!$L$7:$L$93,D725,CADASTROS!$D$7:$D$93,E725)=0,"INCOMPATÍVEL","OK"))))</f>
        <v>OK</v>
      </c>
    </row>
    <row r="726" spans="1:11" ht="30" hidden="1" customHeight="1" x14ac:dyDescent="0.25">
      <c r="A726" s="86" t="s">
        <v>2121</v>
      </c>
      <c r="B726" s="85">
        <f>IF(A726="","",IF(INDEX(EXTRATO!$C$2:$C$3000,MATCH($A726,EXTRATO!$A$2:$A$3000,0))="","",INDEX(EXTRATO!$C$2:$C$3000,MATCH($A726,EXTRATO!$A$2:$A$3000,0))))</f>
        <v>46192</v>
      </c>
      <c r="C726" s="86">
        <f t="shared" si="11"/>
        <v>6</v>
      </c>
      <c r="D726" s="81" t="s">
        <v>1415</v>
      </c>
      <c r="E726" s="79" t="s">
        <v>1416</v>
      </c>
      <c r="F726" s="80">
        <v>800</v>
      </c>
      <c r="G726" s="81" t="s">
        <v>965</v>
      </c>
      <c r="H726" s="86" t="str">
        <f>IF(A726="","",IF(INDEX(EXTRATO!$F$2:$F$3000,MATCH($A726,EXTRATO!$A$2:$A$3000,0))="","",INDEX(EXTRATO!$F$2:$F$3000,MATCH($A726,EXTRATO!$A$2:$A$3000,0))))</f>
        <v>SAÍDA</v>
      </c>
      <c r="I726" s="88" t="str">
        <f>IF(A726="","",IF(INDEX(EXTRATO!$H$2:$H$3000,MATCH($A726,EXTRATO!$A$2:$A$3000,0))="","",INDEX(EXTRATO!$H$2:$H$3000,MATCH($A726,EXTRATO!$A$2:$A$3000,0))))</f>
        <v>I F DA SILVA &amp; CIA LTDA</v>
      </c>
      <c r="J726" s="86" t="s">
        <v>1313</v>
      </c>
      <c r="K726" s="86" t="str">
        <f>IF(AND(A726="",D726="",E726="",F726=""),"",IF(D726="","SEM CATEGORIA",IF(E726="","SEM SUBCATEGORIA",IF(COUNTIFS(CADASTROS!$L$7:$L$93,D726,CADASTROS!$D$7:$D$93,E726)=0,"INCOMPATÍVEL","OK"))))</f>
        <v>OK</v>
      </c>
    </row>
    <row r="727" spans="1:11" ht="30" hidden="1" customHeight="1" x14ac:dyDescent="0.25">
      <c r="A727" s="86" t="s">
        <v>2121</v>
      </c>
      <c r="B727" s="85">
        <f>IF(A727="","",IF(INDEX(EXTRATO!$C$2:$C$3000,MATCH($A727,EXTRATO!$A$2:$A$3000,0))="","",INDEX(EXTRATO!$C$2:$C$3000,MATCH($A727,EXTRATO!$A$2:$A$3000,0))))</f>
        <v>46192</v>
      </c>
      <c r="C727" s="86">
        <f t="shared" si="11"/>
        <v>6</v>
      </c>
      <c r="D727" s="81" t="s">
        <v>1415</v>
      </c>
      <c r="E727" s="79" t="s">
        <v>1422</v>
      </c>
      <c r="F727" s="80">
        <v>3886.36</v>
      </c>
      <c r="G727" s="81" t="s">
        <v>965</v>
      </c>
      <c r="H727" s="86" t="str">
        <f>IF(A727="","",IF(INDEX(EXTRATO!$F$2:$F$3000,MATCH($A727,EXTRATO!$A$2:$A$3000,0))="","",INDEX(EXTRATO!$F$2:$F$3000,MATCH($A727,EXTRATO!$A$2:$A$3000,0))))</f>
        <v>SAÍDA</v>
      </c>
      <c r="I727" s="88" t="str">
        <f>IF(A727="","",IF(INDEX(EXTRATO!$H$2:$H$3000,MATCH($A727,EXTRATO!$A$2:$A$3000,0))="","",INDEX(EXTRATO!$H$2:$H$3000,MATCH($A727,EXTRATO!$A$2:$A$3000,0))))</f>
        <v>I F DA SILVA &amp; CIA LTDA</v>
      </c>
      <c r="J727" s="86" t="s">
        <v>1313</v>
      </c>
      <c r="K727" s="86" t="str">
        <f>IF(AND(A727="",D727="",E727="",F727=""),"",IF(D727="","SEM CATEGORIA",IF(E727="","SEM SUBCATEGORIA",IF(COUNTIFS(CADASTROS!$L$7:$L$93,D727,CADASTROS!$D$7:$D$93,E727)=0,"INCOMPATÍVEL","OK"))))</f>
        <v>OK</v>
      </c>
    </row>
    <row r="728" spans="1:11" ht="30" hidden="1" customHeight="1" x14ac:dyDescent="0.25">
      <c r="A728" s="86" t="s">
        <v>2121</v>
      </c>
      <c r="B728" s="85">
        <f>IF(A728="","",IF(INDEX(EXTRATO!$C$2:$C$3000,MATCH($A728,EXTRATO!$A$2:$A$3000,0))="","",INDEX(EXTRATO!$C$2:$C$3000,MATCH($A728,EXTRATO!$A$2:$A$3000,0))))</f>
        <v>46192</v>
      </c>
      <c r="C728" s="86">
        <f t="shared" si="11"/>
        <v>6</v>
      </c>
      <c r="D728" s="81" t="s">
        <v>1330</v>
      </c>
      <c r="E728" s="79" t="s">
        <v>1333</v>
      </c>
      <c r="F728" s="80">
        <v>917</v>
      </c>
      <c r="G728" s="81" t="s">
        <v>965</v>
      </c>
      <c r="H728" s="86" t="str">
        <f>IF(A728="","",IF(INDEX(EXTRATO!$F$2:$F$3000,MATCH($A728,EXTRATO!$A$2:$A$3000,0))="","",INDEX(EXTRATO!$F$2:$F$3000,MATCH($A728,EXTRATO!$A$2:$A$3000,0))))</f>
        <v>SAÍDA</v>
      </c>
      <c r="I728" s="88" t="str">
        <f>IF(A728="","",IF(INDEX(EXTRATO!$H$2:$H$3000,MATCH($A728,EXTRATO!$A$2:$A$3000,0))="","",INDEX(EXTRATO!$H$2:$H$3000,MATCH($A728,EXTRATO!$A$2:$A$3000,0))))</f>
        <v>I F DA SILVA &amp; CIA LTDA</v>
      </c>
      <c r="J728" s="86" t="s">
        <v>1313</v>
      </c>
      <c r="K728" s="86" t="str">
        <f>IF(AND(A728="",D728="",E728="",F728=""),"",IF(D728="","SEM CATEGORIA",IF(E728="","SEM SUBCATEGORIA",IF(COUNTIFS(CADASTROS!$L$7:$L$93,D728,CADASTROS!$D$7:$D$93,E728)=0,"INCOMPATÍVEL","OK"))))</f>
        <v>OK</v>
      </c>
    </row>
    <row r="729" spans="1:11" ht="30" hidden="1" customHeight="1" x14ac:dyDescent="0.25">
      <c r="A729" s="86" t="s">
        <v>2124</v>
      </c>
      <c r="B729" s="85">
        <f>IF(A729="","",IF(INDEX(EXTRATO!$C$2:$C$3000,MATCH($A729,EXTRATO!$A$2:$A$3000,0))="","",INDEX(EXTRATO!$C$2:$C$3000,MATCH($A729,EXTRATO!$A$2:$A$3000,0))))</f>
        <v>46195</v>
      </c>
      <c r="C729" s="86">
        <f t="shared" si="11"/>
        <v>6</v>
      </c>
      <c r="D729" s="81" t="s">
        <v>1330</v>
      </c>
      <c r="E729" s="79" t="s">
        <v>1379</v>
      </c>
      <c r="F729" s="80">
        <v>300</v>
      </c>
      <c r="G729" s="81" t="s">
        <v>513</v>
      </c>
      <c r="H729" s="86" t="str">
        <f>IF(A729="","",IF(INDEX(EXTRATO!$F$2:$F$3000,MATCH($A729,EXTRATO!$A$2:$A$3000,0))="","",INDEX(EXTRATO!$F$2:$F$3000,MATCH($A729,EXTRATO!$A$2:$A$3000,0))))</f>
        <v>SAÍDA</v>
      </c>
      <c r="I729" s="88" t="str">
        <f>IF(A729="","",IF(INDEX(EXTRATO!$H$2:$H$3000,MATCH($A729,EXTRATO!$A$2:$A$3000,0))="","",INDEX(EXTRATO!$H$2:$H$3000,MATCH($A729,EXTRATO!$A$2:$A$3000,0))))</f>
        <v>CASSIANO &amp; CASSINOS CONTABILIDADE</v>
      </c>
      <c r="J729" s="86" t="s">
        <v>1313</v>
      </c>
      <c r="K729" s="86" t="str">
        <f>IF(AND(A729="",D729="",E729="",F729=""),"",IF(D729="","SEM CATEGORIA",IF(E729="","SEM SUBCATEGORIA",IF(COUNTIFS(CADASTROS!$L$7:$L$93,D729,CADASTROS!$D$7:$D$93,E729)=0,"INCOMPATÍVEL","OK"))))</f>
        <v>OK</v>
      </c>
    </row>
    <row r="730" spans="1:11" ht="30" hidden="1" customHeight="1" x14ac:dyDescent="0.25">
      <c r="A730" s="86" t="s">
        <v>2125</v>
      </c>
      <c r="B730" s="85">
        <f>IF(A730="","",IF(INDEX(EXTRATO!$C$2:$C$3000,MATCH($A730,EXTRATO!$A$2:$A$3000,0))="","",INDEX(EXTRATO!$C$2:$C$3000,MATCH($A730,EXTRATO!$A$2:$A$3000,0))))</f>
        <v>46195</v>
      </c>
      <c r="C730" s="86">
        <f t="shared" si="11"/>
        <v>6</v>
      </c>
      <c r="D730" s="81" t="s">
        <v>1311</v>
      </c>
      <c r="E730" s="79" t="s">
        <v>1404</v>
      </c>
      <c r="F730" s="80">
        <v>16999.599999999999</v>
      </c>
      <c r="G730" s="81" t="s">
        <v>2131</v>
      </c>
      <c r="H730" s="86" t="str">
        <f>IF(A730="","",IF(INDEX(EXTRATO!$F$2:$F$3000,MATCH($A730,EXTRATO!$A$2:$A$3000,0))="","",INDEX(EXTRATO!$F$2:$F$3000,MATCH($A730,EXTRATO!$A$2:$A$3000,0))))</f>
        <v>SAÍDA</v>
      </c>
      <c r="I730" s="88" t="str">
        <f>IF(A730="","",IF(INDEX(EXTRATO!$H$2:$H$3000,MATCH($A730,EXTRATO!$A$2:$A$3000,0))="","",INDEX(EXTRATO!$H$2:$H$3000,MATCH($A730,EXTRATO!$A$2:$A$3000,0))))</f>
        <v>FARMACE</v>
      </c>
      <c r="J730" s="86" t="s">
        <v>1313</v>
      </c>
      <c r="K730" s="86" t="str">
        <f>IF(AND(A730="",D730="",E730="",F730=""),"",IF(D730="","SEM CATEGORIA",IF(E730="","SEM SUBCATEGORIA",IF(COUNTIFS(CADASTROS!$L$7:$L$93,D730,CADASTROS!$D$7:$D$93,E730)=0,"INCOMPATÍVEL","OK"))))</f>
        <v>OK</v>
      </c>
    </row>
    <row r="731" spans="1:11" ht="30" hidden="1" customHeight="1" x14ac:dyDescent="0.25">
      <c r="A731" s="86" t="s">
        <v>2125</v>
      </c>
      <c r="B731" s="85">
        <f>IF(A731="","",IF(INDEX(EXTRATO!$C$2:$C$3000,MATCH($A731,EXTRATO!$A$2:$A$3000,0))="","",INDEX(EXTRATO!$C$2:$C$3000,MATCH($A731,EXTRATO!$A$2:$A$3000,0))))</f>
        <v>46195</v>
      </c>
      <c r="C731" s="86">
        <f t="shared" si="11"/>
        <v>6</v>
      </c>
      <c r="D731" s="81" t="s">
        <v>1311</v>
      </c>
      <c r="E731" s="79" t="s">
        <v>1312</v>
      </c>
      <c r="F731" s="80">
        <v>340</v>
      </c>
      <c r="G731" s="81" t="s">
        <v>2132</v>
      </c>
      <c r="H731" s="86" t="str">
        <f>IF(A731="","",IF(INDEX(EXTRATO!$F$2:$F$3000,MATCH($A731,EXTRATO!$A$2:$A$3000,0))="","",INDEX(EXTRATO!$F$2:$F$3000,MATCH($A731,EXTRATO!$A$2:$A$3000,0))))</f>
        <v>SAÍDA</v>
      </c>
      <c r="I731" s="88" t="str">
        <f>IF(A731="","",IF(INDEX(EXTRATO!$H$2:$H$3000,MATCH($A731,EXTRATO!$A$2:$A$3000,0))="","",INDEX(EXTRATO!$H$2:$H$3000,MATCH($A731,EXTRATO!$A$2:$A$3000,0))))</f>
        <v>FARMACE</v>
      </c>
      <c r="J731" s="86" t="s">
        <v>1313</v>
      </c>
      <c r="K731" s="86" t="str">
        <f>IF(AND(A731="",D731="",E731="",F731=""),"",IF(D731="","SEM CATEGORIA",IF(E731="","SEM SUBCATEGORIA",IF(COUNTIFS(CADASTROS!$L$7:$L$93,D731,CADASTROS!$D$7:$D$93,E731)=0,"INCOMPATÍVEL","OK"))))</f>
        <v>OK</v>
      </c>
    </row>
    <row r="732" spans="1:11" ht="30" hidden="1" customHeight="1" x14ac:dyDescent="0.25">
      <c r="A732" s="86" t="s">
        <v>2126</v>
      </c>
      <c r="B732" s="85">
        <f>IF(A732="","",IF(INDEX(EXTRATO!$C$2:$C$3000,MATCH($A732,EXTRATO!$A$2:$A$3000,0))="","",INDEX(EXTRATO!$C$2:$C$3000,MATCH($A732,EXTRATO!$A$2:$A$3000,0))))</f>
        <v>46195</v>
      </c>
      <c r="C732" s="86">
        <f t="shared" si="11"/>
        <v>6</v>
      </c>
      <c r="D732" s="81" t="s">
        <v>1311</v>
      </c>
      <c r="E732" s="79" t="s">
        <v>1312</v>
      </c>
      <c r="F732" s="80">
        <v>733.33</v>
      </c>
      <c r="G732" s="81" t="s">
        <v>2134</v>
      </c>
      <c r="H732" s="86" t="str">
        <f>IF(A732="","",IF(INDEX(EXTRATO!$F$2:$F$3000,MATCH($A732,EXTRATO!$A$2:$A$3000,0))="","",INDEX(EXTRATO!$F$2:$F$3000,MATCH($A732,EXTRATO!$A$2:$A$3000,0))))</f>
        <v>SAÍDA</v>
      </c>
      <c r="I732" s="88" t="str">
        <f>IF(A732="","",IF(INDEX(EXTRATO!$H$2:$H$3000,MATCH($A732,EXTRATO!$A$2:$A$3000,0))="","",INDEX(EXTRATO!$H$2:$H$3000,MATCH($A732,EXTRATO!$A$2:$A$3000,0))))</f>
        <v>ALLMED PRONEFRO</v>
      </c>
      <c r="J732" s="86" t="s">
        <v>1313</v>
      </c>
      <c r="K732" s="86" t="str">
        <f>IF(AND(A732="",D732="",E732="",F732=""),"",IF(D732="","SEM CATEGORIA",IF(E732="","SEM SUBCATEGORIA",IF(COUNTIFS(CADASTROS!$L$7:$L$93,D732,CADASTROS!$D$7:$D$93,E732)=0,"INCOMPATÍVEL","OK"))))</f>
        <v>OK</v>
      </c>
    </row>
    <row r="733" spans="1:11" ht="30" hidden="1" customHeight="1" x14ac:dyDescent="0.25">
      <c r="A733" s="86" t="s">
        <v>2126</v>
      </c>
      <c r="B733" s="85">
        <f>IF(A733="","",IF(INDEX(EXTRATO!$C$2:$C$3000,MATCH($A733,EXTRATO!$A$2:$A$3000,0))="","",INDEX(EXTRATO!$C$2:$C$3000,MATCH($A733,EXTRATO!$A$2:$A$3000,0))))</f>
        <v>46195</v>
      </c>
      <c r="C733" s="86">
        <f t="shared" si="11"/>
        <v>6</v>
      </c>
      <c r="D733" s="81" t="s">
        <v>1311</v>
      </c>
      <c r="E733" s="79" t="s">
        <v>1315</v>
      </c>
      <c r="F733" s="80">
        <v>1307.24</v>
      </c>
      <c r="G733" s="81" t="s">
        <v>2135</v>
      </c>
      <c r="H733" s="86" t="str">
        <f>IF(A733="","",IF(INDEX(EXTRATO!$F$2:$F$3000,MATCH($A733,EXTRATO!$A$2:$A$3000,0))="","",INDEX(EXTRATO!$F$2:$F$3000,MATCH($A733,EXTRATO!$A$2:$A$3000,0))))</f>
        <v>SAÍDA</v>
      </c>
      <c r="I733" s="88" t="str">
        <f>IF(A733="","",IF(INDEX(EXTRATO!$H$2:$H$3000,MATCH($A733,EXTRATO!$A$2:$A$3000,0))="","",INDEX(EXTRATO!$H$2:$H$3000,MATCH($A733,EXTRATO!$A$2:$A$3000,0))))</f>
        <v>ALLMED PRONEFRO</v>
      </c>
      <c r="J733" s="86" t="s">
        <v>1313</v>
      </c>
      <c r="K733" s="86" t="str">
        <f>IF(AND(A733="",D733="",E733="",F733=""),"",IF(D733="","SEM CATEGORIA",IF(E733="","SEM SUBCATEGORIA",IF(COUNTIFS(CADASTROS!$L$7:$L$93,D733,CADASTROS!$D$7:$D$93,E733)=0,"INCOMPATÍVEL","OK"))))</f>
        <v>OK</v>
      </c>
    </row>
    <row r="734" spans="1:11" ht="30" hidden="1" customHeight="1" x14ac:dyDescent="0.25">
      <c r="A734" s="86" t="s">
        <v>2127</v>
      </c>
      <c r="B734" s="85">
        <f>IF(A734="","",IF(INDEX(EXTRATO!$C$2:$C$3000,MATCH($A734,EXTRATO!$A$2:$A$3000,0))="","",INDEX(EXTRATO!$C$2:$C$3000,MATCH($A734,EXTRATO!$A$2:$A$3000,0))))</f>
        <v>46195</v>
      </c>
      <c r="C734" s="86">
        <f t="shared" si="11"/>
        <v>6</v>
      </c>
      <c r="D734" s="81" t="s">
        <v>1311</v>
      </c>
      <c r="E734" s="79" t="s">
        <v>1404</v>
      </c>
      <c r="F734" s="80">
        <v>3884.4</v>
      </c>
      <c r="G734" s="81" t="s">
        <v>970</v>
      </c>
      <c r="H734" s="86" t="str">
        <f>IF(A734="","",IF(INDEX(EXTRATO!$F$2:$F$3000,MATCH($A734,EXTRATO!$A$2:$A$3000,0))="","",INDEX(EXTRATO!$F$2:$F$3000,MATCH($A734,EXTRATO!$A$2:$A$3000,0))))</f>
        <v>SAÍDA</v>
      </c>
      <c r="I734" s="88" t="str">
        <f>IF(A734="","",IF(INDEX(EXTRATO!$H$2:$H$3000,MATCH($A734,EXTRATO!$A$2:$A$3000,0))="","",INDEX(EXTRATO!$H$2:$H$3000,MATCH($A734,EXTRATO!$A$2:$A$3000,0))))</f>
        <v>FARMACE</v>
      </c>
      <c r="J734" s="86" t="s">
        <v>1313</v>
      </c>
      <c r="K734" s="86" t="str">
        <f>IF(AND(A734="",D734="",E734="",F734=""),"",IF(D734="","SEM CATEGORIA",IF(E734="","SEM SUBCATEGORIA",IF(COUNTIFS(CADASTROS!$L$7:$L$93,D734,CADASTROS!$D$7:$D$93,E734)=0,"INCOMPATÍVEL","OK"))))</f>
        <v>OK</v>
      </c>
    </row>
    <row r="735" spans="1:11" ht="30" hidden="1" customHeight="1" x14ac:dyDescent="0.25">
      <c r="A735" s="86" t="s">
        <v>2128</v>
      </c>
      <c r="B735" s="85">
        <f>IF(A735="","",IF(INDEX(EXTRATO!$C$2:$C$3000,MATCH($A735,EXTRATO!$A$2:$A$3000,0))="","",INDEX(EXTRATO!$C$2:$C$3000,MATCH($A735,EXTRATO!$A$2:$A$3000,0))))</f>
        <v>46196</v>
      </c>
      <c r="C735" s="86">
        <f t="shared" si="11"/>
        <v>6</v>
      </c>
      <c r="D735" s="81" t="s">
        <v>1370</v>
      </c>
      <c r="E735" s="79" t="s">
        <v>1371</v>
      </c>
      <c r="F735" s="80">
        <v>1320</v>
      </c>
      <c r="G735" s="81" t="s">
        <v>971</v>
      </c>
      <c r="H735" s="86" t="str">
        <f>IF(A735="","",IF(INDEX(EXTRATO!$F$2:$F$3000,MATCH($A735,EXTRATO!$A$2:$A$3000,0))="","",INDEX(EXTRATO!$F$2:$F$3000,MATCH($A735,EXTRATO!$A$2:$A$3000,0))))</f>
        <v>SAÍDA</v>
      </c>
      <c r="I735" s="88" t="str">
        <f>IF(A735="","",IF(INDEX(EXTRATO!$H$2:$H$3000,MATCH($A735,EXTRATO!$A$2:$A$3000,0))="","",INDEX(EXTRATO!$H$2:$H$3000,MATCH($A735,EXTRATO!$A$2:$A$3000,0))))</f>
        <v>DMW ELETROMEDICINA LTDA</v>
      </c>
      <c r="J735" s="86" t="s">
        <v>1313</v>
      </c>
      <c r="K735" s="86" t="str">
        <f>IF(AND(A735="",D735="",E735="",F735=""),"",IF(D735="","SEM CATEGORIA",IF(E735="","SEM SUBCATEGORIA",IF(COUNTIFS(CADASTROS!$L$7:$L$93,D735,CADASTROS!$D$7:$D$93,E735)=0,"INCOMPATÍVEL","OK"))))</f>
        <v>OK</v>
      </c>
    </row>
    <row r="736" spans="1:11" ht="30" hidden="1" customHeight="1" x14ac:dyDescent="0.25">
      <c r="A736" s="86" t="s">
        <v>2129</v>
      </c>
      <c r="B736" s="85">
        <f>IF(A736="","",IF(INDEX(EXTRATO!$C$2:$C$3000,MATCH($A736,EXTRATO!$A$2:$A$3000,0))="","",INDEX(EXTRATO!$C$2:$C$3000,MATCH($A736,EXTRATO!$A$2:$A$3000,0))))</f>
        <v>46197</v>
      </c>
      <c r="C736" s="86">
        <f t="shared" si="11"/>
        <v>6</v>
      </c>
      <c r="D736" s="81" t="s">
        <v>1370</v>
      </c>
      <c r="E736" s="79" t="s">
        <v>1494</v>
      </c>
      <c r="F736" s="80">
        <v>407.48</v>
      </c>
      <c r="G736" s="81" t="s">
        <v>972</v>
      </c>
      <c r="H736" s="86" t="str">
        <f>IF(A736="","",IF(INDEX(EXTRATO!$F$2:$F$3000,MATCH($A736,EXTRATO!$A$2:$A$3000,0))="","",INDEX(EXTRATO!$F$2:$F$3000,MATCH($A736,EXTRATO!$A$2:$A$3000,0))))</f>
        <v>SAÍDA</v>
      </c>
      <c r="I736" s="88" t="str">
        <f>IF(A736="","",IF(INDEX(EXTRATO!$H$2:$H$3000,MATCH($A736,EXTRATO!$A$2:$A$3000,0))="","",INDEX(EXTRATO!$H$2:$H$3000,MATCH($A736,EXTRATO!$A$2:$A$3000,0))))</f>
        <v>MARKETPLACE MERCADO LIVRE</v>
      </c>
      <c r="J736" s="86" t="s">
        <v>1313</v>
      </c>
      <c r="K736" s="86" t="str">
        <f>IF(AND(A736="",D736="",E736="",F736=""),"",IF(D736="","SEM CATEGORIA",IF(E736="","SEM SUBCATEGORIA",IF(COUNTIFS(CADASTROS!$L$7:$L$93,D736,CADASTROS!$D$7:$D$93,E736)=0,"INCOMPATÍVEL","OK"))))</f>
        <v>OK</v>
      </c>
    </row>
    <row r="737" spans="1:11" ht="30" hidden="1" customHeight="1" x14ac:dyDescent="0.25">
      <c r="A737" s="86" t="s">
        <v>2130</v>
      </c>
      <c r="B737" s="85">
        <f>IF(A737="","",IF(INDEX(EXTRATO!$C$2:$C$3000,MATCH($A737,EXTRATO!$A$2:$A$3000,0))="","",INDEX(EXTRATO!$C$2:$C$3000,MATCH($A737,EXTRATO!$A$2:$A$3000,0))))</f>
        <v>46198</v>
      </c>
      <c r="C737" s="86">
        <f t="shared" si="11"/>
        <v>6</v>
      </c>
      <c r="D737" s="81" t="s">
        <v>1388</v>
      </c>
      <c r="E737" s="79" t="s">
        <v>179</v>
      </c>
      <c r="F737" s="80">
        <v>2932.01</v>
      </c>
      <c r="G737" s="81" t="s">
        <v>973</v>
      </c>
      <c r="H737" s="86" t="str">
        <f>IF(A737="","",IF(INDEX(EXTRATO!$F$2:$F$3000,MATCH($A737,EXTRATO!$A$2:$A$3000,0))="","",INDEX(EXTRATO!$F$2:$F$3000,MATCH($A737,EXTRATO!$A$2:$A$3000,0))))</f>
        <v>SAÍDA</v>
      </c>
      <c r="I737" s="88" t="str">
        <f>IF(A737="","",IF(INDEX(EXTRATO!$H$2:$H$3000,MATCH($A737,EXTRATO!$A$2:$A$3000,0))="","",INDEX(EXTRATO!$H$2:$H$3000,MATCH($A737,EXTRATO!$A$2:$A$3000,0))))</f>
        <v>PIS</v>
      </c>
      <c r="J737" s="86" t="s">
        <v>1313</v>
      </c>
      <c r="K737" s="86" t="str">
        <f>IF(AND(A737="",D737="",E737="",F737=""),"",IF(D737="","SEM CATEGORIA",IF(E737="","SEM SUBCATEGORIA",IF(COUNTIFS(CADASTROS!$L$7:$L$93,D737,CADASTROS!$D$7:$D$93,E737)=0,"INCOMPATÍVEL","OK"))))</f>
        <v>OK</v>
      </c>
    </row>
    <row r="738" spans="1:11" ht="30" hidden="1" customHeight="1" x14ac:dyDescent="0.25">
      <c r="A738" s="86" t="s">
        <v>2133</v>
      </c>
      <c r="B738" s="85">
        <f>IF(A738="","",IF(INDEX(EXTRATO!$C$2:$C$3000,MATCH($A738,EXTRATO!$A$2:$A$3000,0))="","",INDEX(EXTRATO!$C$2:$C$3000,MATCH($A738,EXTRATO!$A$2:$A$3000,0))))</f>
        <v>46198</v>
      </c>
      <c r="C738" s="86">
        <f t="shared" si="11"/>
        <v>6</v>
      </c>
      <c r="D738" s="81" t="s">
        <v>1388</v>
      </c>
      <c r="E738" s="79" t="s">
        <v>180</v>
      </c>
      <c r="F738" s="80">
        <v>13532.37</v>
      </c>
      <c r="G738" s="81" t="s">
        <v>974</v>
      </c>
      <c r="H738" s="86" t="str">
        <f>IF(A738="","",IF(INDEX(EXTRATO!$F$2:$F$3000,MATCH($A738,EXTRATO!$A$2:$A$3000,0))="","",INDEX(EXTRATO!$F$2:$F$3000,MATCH($A738,EXTRATO!$A$2:$A$3000,0))))</f>
        <v>SAÍDA</v>
      </c>
      <c r="I738" s="88" t="str">
        <f>IF(A738="","",IF(INDEX(EXTRATO!$H$2:$H$3000,MATCH($A738,EXTRATO!$A$2:$A$3000,0))="","",INDEX(EXTRATO!$H$2:$H$3000,MATCH($A738,EXTRATO!$A$2:$A$3000,0))))</f>
        <v>COFINS</v>
      </c>
      <c r="J738" s="86" t="s">
        <v>1313</v>
      </c>
      <c r="K738" s="86" t="str">
        <f>IF(AND(A738="",D738="",E738="",F738=""),"",IF(D738="","SEM CATEGORIA",IF(E738="","SEM SUBCATEGORIA",IF(COUNTIFS(CADASTROS!$L$7:$L$93,D738,CADASTROS!$D$7:$D$93,E738)=0,"INCOMPATÍVEL","OK"))))</f>
        <v>OK</v>
      </c>
    </row>
    <row r="739" spans="1:11" ht="30" hidden="1" customHeight="1" x14ac:dyDescent="0.25">
      <c r="A739" s="86" t="s">
        <v>2136</v>
      </c>
      <c r="B739" s="85">
        <f>IF(A739="","",IF(INDEX(EXTRATO!$C$2:$C$3000,MATCH($A739,EXTRATO!$A$2:$A$3000,0))="","",INDEX(EXTRATO!$C$2:$C$3000,MATCH($A739,EXTRATO!$A$2:$A$3000,0))))</f>
        <v>46198</v>
      </c>
      <c r="C739" s="86">
        <f t="shared" si="11"/>
        <v>6</v>
      </c>
      <c r="D739" s="81" t="s">
        <v>1349</v>
      </c>
      <c r="E739" s="79" t="s">
        <v>1350</v>
      </c>
      <c r="F739" s="80">
        <v>234.77</v>
      </c>
      <c r="G739" s="81" t="s">
        <v>976</v>
      </c>
      <c r="H739" s="86" t="str">
        <f>IF(A739="","",IF(INDEX(EXTRATO!$F$2:$F$3000,MATCH($A739,EXTRATO!$A$2:$A$3000,0))="","",INDEX(EXTRATO!$F$2:$F$3000,MATCH($A739,EXTRATO!$A$2:$A$3000,0))))</f>
        <v>SAÍDA</v>
      </c>
      <c r="I739" s="88" t="str">
        <f>IF(A739="","",IF(INDEX(EXTRATO!$H$2:$H$3000,MATCH($A739,EXTRATO!$A$2:$A$3000,0))="","",INDEX(EXTRATO!$H$2:$H$3000,MATCH($A739,EXTRATO!$A$2:$A$3000,0))))</f>
        <v>SECRETARIA DE ESTADO DA FAZENDA</v>
      </c>
      <c r="J739" s="86" t="s">
        <v>1313</v>
      </c>
      <c r="K739" s="86" t="str">
        <f>IF(AND(A739="",D739="",E739="",F739=""),"",IF(D739="","SEM CATEGORIA",IF(E739="","SEM SUBCATEGORIA",IF(COUNTIFS(CADASTROS!$L$7:$L$93,D739,CADASTROS!$D$7:$D$93,E739)=0,"INCOMPATÍVEL","OK"))))</f>
        <v>OK</v>
      </c>
    </row>
    <row r="740" spans="1:11" ht="30" hidden="1" customHeight="1" x14ac:dyDescent="0.25">
      <c r="A740" s="86" t="s">
        <v>2137</v>
      </c>
      <c r="B740" s="85">
        <f>IF(A740="","",IF(INDEX(EXTRATO!$C$2:$C$3000,MATCH($A740,EXTRATO!$A$2:$A$3000,0))="","",INDEX(EXTRATO!$C$2:$C$3000,MATCH($A740,EXTRATO!$A$2:$A$3000,0))))</f>
        <v>46198</v>
      </c>
      <c r="C740" s="86">
        <f t="shared" si="11"/>
        <v>6</v>
      </c>
      <c r="D740" s="81" t="s">
        <v>1349</v>
      </c>
      <c r="E740" s="79" t="s">
        <v>1350</v>
      </c>
      <c r="F740" s="80">
        <v>234.77</v>
      </c>
      <c r="G740" s="81" t="s">
        <v>978</v>
      </c>
      <c r="H740" s="86" t="str">
        <f>IF(A740="","",IF(INDEX(EXTRATO!$F$2:$F$3000,MATCH($A740,EXTRATO!$A$2:$A$3000,0))="","",INDEX(EXTRATO!$F$2:$F$3000,MATCH($A740,EXTRATO!$A$2:$A$3000,0))))</f>
        <v>SAÍDA</v>
      </c>
      <c r="I740" s="88" t="str">
        <f>IF(A740="","",IF(INDEX(EXTRATO!$H$2:$H$3000,MATCH($A740,EXTRATO!$A$2:$A$3000,0))="","",INDEX(EXTRATO!$H$2:$H$3000,MATCH($A740,EXTRATO!$A$2:$A$3000,0))))</f>
        <v>SECRETARIA DE ESTADO DA FAZENDA</v>
      </c>
      <c r="J740" s="86" t="s">
        <v>1313</v>
      </c>
      <c r="K740" s="86" t="str">
        <f>IF(AND(A740="",D740="",E740="",F740=""),"",IF(D740="","SEM CATEGORIA",IF(E740="","SEM SUBCATEGORIA",IF(COUNTIFS(CADASTROS!$L$7:$L$93,D740,CADASTROS!$D$7:$D$93,E740)=0,"INCOMPATÍVEL","OK"))))</f>
        <v>OK</v>
      </c>
    </row>
    <row r="741" spans="1:11" ht="30" hidden="1" customHeight="1" x14ac:dyDescent="0.25">
      <c r="A741" s="86" t="s">
        <v>2138</v>
      </c>
      <c r="B741" s="85">
        <f>IF(A741="","",IF(INDEX(EXTRATO!$C$2:$C$3000,MATCH($A741,EXTRATO!$A$2:$A$3000,0))="","",INDEX(EXTRATO!$C$2:$C$3000,MATCH($A741,EXTRATO!$A$2:$A$3000,0))))</f>
        <v>46198</v>
      </c>
      <c r="C741" s="86">
        <f t="shared" si="11"/>
        <v>6</v>
      </c>
      <c r="D741" s="81" t="s">
        <v>1330</v>
      </c>
      <c r="E741" s="79" t="s">
        <v>1331</v>
      </c>
      <c r="F741" s="80">
        <v>613.07000000000005</v>
      </c>
      <c r="G741" s="81" t="s">
        <v>979</v>
      </c>
      <c r="H741" s="86" t="str">
        <f>IF(A741="","",IF(INDEX(EXTRATO!$F$2:$F$3000,MATCH($A741,EXTRATO!$A$2:$A$3000,0))="","",INDEX(EXTRATO!$F$2:$F$3000,MATCH($A741,EXTRATO!$A$2:$A$3000,0))))</f>
        <v>SAÍDA</v>
      </c>
      <c r="I741" s="88" t="str">
        <f>IF(A741="","",IF(INDEX(EXTRATO!$H$2:$H$3000,MATCH($A741,EXTRATO!$A$2:$A$3000,0))="","",INDEX(EXTRATO!$H$2:$H$3000,MATCH($A741,EXTRATO!$A$2:$A$3000,0))))</f>
        <v>RICEK INDUSTRIA E COMÉRCIO</v>
      </c>
      <c r="J741" s="86" t="s">
        <v>1313</v>
      </c>
      <c r="K741" s="86" t="str">
        <f>IF(AND(A741="",D741="",E741="",F741=""),"",IF(D741="","SEM CATEGORIA",IF(E741="","SEM SUBCATEGORIA",IF(COUNTIFS(CADASTROS!$L$7:$L$93,D741,CADASTROS!$D$7:$D$93,E741)=0,"INCOMPATÍVEL","OK"))))</f>
        <v>OK</v>
      </c>
    </row>
    <row r="742" spans="1:11" ht="30" hidden="1" customHeight="1" x14ac:dyDescent="0.25">
      <c r="A742" s="86" t="s">
        <v>2139</v>
      </c>
      <c r="B742" s="85">
        <f>IF(A742="","",IF(INDEX(EXTRATO!$C$2:$C$3000,MATCH($A742,EXTRATO!$A$2:$A$3000,0))="","",INDEX(EXTRATO!$C$2:$C$3000,MATCH($A742,EXTRATO!$A$2:$A$3000,0))))</f>
        <v>46198</v>
      </c>
      <c r="C742" s="86">
        <f t="shared" si="11"/>
        <v>6</v>
      </c>
      <c r="D742" s="81" t="s">
        <v>1330</v>
      </c>
      <c r="E742" s="79" t="s">
        <v>1352</v>
      </c>
      <c r="F742" s="80">
        <v>400</v>
      </c>
      <c r="G742" s="81" t="s">
        <v>678</v>
      </c>
      <c r="H742" s="86" t="str">
        <f>IF(A742="","",IF(INDEX(EXTRATO!$F$2:$F$3000,MATCH($A742,EXTRATO!$A$2:$A$3000,0))="","",INDEX(EXTRATO!$F$2:$F$3000,MATCH($A742,EXTRATO!$A$2:$A$3000,0))))</f>
        <v>SAÍDA</v>
      </c>
      <c r="I742" s="88" t="str">
        <f>IF(A742="","",IF(INDEX(EXTRATO!$H$2:$H$3000,MATCH($A742,EXTRATO!$A$2:$A$3000,0))="","",INDEX(EXTRATO!$H$2:$H$3000,MATCH($A742,EXTRATO!$A$2:$A$3000,0))))</f>
        <v>ABCDT</v>
      </c>
      <c r="J742" s="86" t="s">
        <v>1313</v>
      </c>
      <c r="K742" s="86" t="str">
        <f>IF(AND(A742="",D742="",E742="",F742=""),"",IF(D742="","SEM CATEGORIA",IF(E742="","SEM SUBCATEGORIA",IF(COUNTIFS(CADASTROS!$L$7:$L$93,D742,CADASTROS!$D$7:$D$93,E742)=0,"INCOMPATÍVEL","OK"))))</f>
        <v>OK</v>
      </c>
    </row>
    <row r="743" spans="1:11" ht="30" hidden="1" customHeight="1" x14ac:dyDescent="0.25">
      <c r="A743" s="86" t="s">
        <v>2140</v>
      </c>
      <c r="B743" s="85">
        <f>IF(A743="","",IF(INDEX(EXTRATO!$C$2:$C$3000,MATCH($A743,EXTRATO!$A$2:$A$3000,0))="","",INDEX(EXTRATO!$C$2:$C$3000,MATCH($A743,EXTRATO!$A$2:$A$3000,0))))</f>
        <v>46202</v>
      </c>
      <c r="C743" s="86">
        <f t="shared" si="11"/>
        <v>6</v>
      </c>
      <c r="D743" s="81" t="s">
        <v>1330</v>
      </c>
      <c r="E743" s="79" t="s">
        <v>1697</v>
      </c>
      <c r="F743" s="80">
        <v>1600</v>
      </c>
      <c r="G743" s="81" t="s">
        <v>980</v>
      </c>
      <c r="H743" s="86" t="str">
        <f>IF(A743="","",IF(INDEX(EXTRATO!$F$2:$F$3000,MATCH($A743,EXTRATO!$A$2:$A$3000,0))="","",INDEX(EXTRATO!$F$2:$F$3000,MATCH($A743,EXTRATO!$A$2:$A$3000,0))))</f>
        <v>SAÍDA</v>
      </c>
      <c r="I743" s="88" t="str">
        <f>IF(A743="","",IF(INDEX(EXTRATO!$H$2:$H$3000,MATCH($A743,EXTRATO!$A$2:$A$3000,0))="","",INDEX(EXTRATO!$H$2:$H$3000,MATCH($A743,EXTRATO!$A$2:$A$3000,0))))</f>
        <v>L M BITTENCOURT LTDA</v>
      </c>
      <c r="J743" s="86" t="s">
        <v>1313</v>
      </c>
      <c r="K743" s="86" t="str">
        <f>IF(AND(A743="",D743="",E743="",F743=""),"",IF(D743="","SEM CATEGORIA",IF(E743="","SEM SUBCATEGORIA",IF(COUNTIFS(CADASTROS!$L$7:$L$93,D743,CADASTROS!$D$7:$D$93,E743)=0,"INCOMPATÍVEL","OK"))))</f>
        <v>OK</v>
      </c>
    </row>
    <row r="744" spans="1:11" ht="30" hidden="1" customHeight="1" x14ac:dyDescent="0.25">
      <c r="A744" s="86" t="s">
        <v>2141</v>
      </c>
      <c r="B744" s="85">
        <f>IF(A744="","",IF(INDEX(EXTRATO!$C$2:$C$3000,MATCH($A744,EXTRATO!$A$2:$A$3000,0))="","",INDEX(EXTRATO!$C$2:$C$3000,MATCH($A744,EXTRATO!$A$2:$A$3000,0))))</f>
        <v>46202</v>
      </c>
      <c r="C744" s="86">
        <f t="shared" si="11"/>
        <v>6</v>
      </c>
      <c r="D744" s="81" t="s">
        <v>1311</v>
      </c>
      <c r="E744" s="79" t="s">
        <v>1318</v>
      </c>
      <c r="F744" s="80">
        <v>600</v>
      </c>
      <c r="G744" s="81" t="s">
        <v>2147</v>
      </c>
      <c r="H744" s="86" t="str">
        <f>IF(A744="","",IF(INDEX(EXTRATO!$F$2:$F$3000,MATCH($A744,EXTRATO!$A$2:$A$3000,0))="","",INDEX(EXTRATO!$F$2:$F$3000,MATCH($A744,EXTRATO!$A$2:$A$3000,0))))</f>
        <v>SAÍDA</v>
      </c>
      <c r="I744" s="88" t="str">
        <f>IF(A744="","",IF(INDEX(EXTRATO!$H$2:$H$3000,MATCH($A744,EXTRATO!$A$2:$A$3000,0))="","",INDEX(EXTRATO!$H$2:$H$3000,MATCH($A744,EXTRATO!$A$2:$A$3000,0))))</f>
        <v>BIOCOMPANY</v>
      </c>
      <c r="J744" s="86" t="s">
        <v>1313</v>
      </c>
      <c r="K744" s="86" t="str">
        <f>IF(AND(A744="",D744="",E744="",F744=""),"",IF(D744="","SEM CATEGORIA",IF(E744="","SEM SUBCATEGORIA",IF(COUNTIFS(CADASTROS!$L$7:$L$93,D744,CADASTROS!$D$7:$D$93,E744)=0,"INCOMPATÍVEL","OK"))))</f>
        <v>OK</v>
      </c>
    </row>
    <row r="745" spans="1:11" ht="30" hidden="1" customHeight="1" x14ac:dyDescent="0.25">
      <c r="A745" s="86" t="s">
        <v>2141</v>
      </c>
      <c r="B745" s="85">
        <f>IF(A745="","",IF(INDEX(EXTRATO!$C$2:$C$3000,MATCH($A745,EXTRATO!$A$2:$A$3000,0))="","",INDEX(EXTRATO!$C$2:$C$3000,MATCH($A745,EXTRATO!$A$2:$A$3000,0))))</f>
        <v>46202</v>
      </c>
      <c r="C745" s="86">
        <f t="shared" si="11"/>
        <v>6</v>
      </c>
      <c r="D745" s="81" t="s">
        <v>1311</v>
      </c>
      <c r="E745" s="79" t="s">
        <v>1312</v>
      </c>
      <c r="F745" s="80">
        <v>400</v>
      </c>
      <c r="G745" s="81" t="s">
        <v>2148</v>
      </c>
      <c r="H745" s="86" t="str">
        <f>IF(A745="","",IF(INDEX(EXTRATO!$F$2:$F$3000,MATCH($A745,EXTRATO!$A$2:$A$3000,0))="","",INDEX(EXTRATO!$F$2:$F$3000,MATCH($A745,EXTRATO!$A$2:$A$3000,0))))</f>
        <v>SAÍDA</v>
      </c>
      <c r="I745" s="88" t="str">
        <f>IF(A745="","",IF(INDEX(EXTRATO!$H$2:$H$3000,MATCH($A745,EXTRATO!$A$2:$A$3000,0))="","",INDEX(EXTRATO!$H$2:$H$3000,MATCH($A745,EXTRATO!$A$2:$A$3000,0))))</f>
        <v>BIOCOMPANY</v>
      </c>
      <c r="J745" s="86" t="s">
        <v>1313</v>
      </c>
      <c r="K745" s="86" t="str">
        <f>IF(AND(A745="",D745="",E745="",F745=""),"",IF(D745="","SEM CATEGORIA",IF(E745="","SEM SUBCATEGORIA",IF(COUNTIFS(CADASTROS!$L$7:$L$93,D745,CADASTROS!$D$7:$D$93,E745)=0,"INCOMPATÍVEL","OK"))))</f>
        <v>OK</v>
      </c>
    </row>
    <row r="746" spans="1:11" ht="30" hidden="1" customHeight="1" x14ac:dyDescent="0.25">
      <c r="A746" s="86" t="s">
        <v>2142</v>
      </c>
      <c r="B746" s="85">
        <f>IF(A746="","",IF(INDEX(EXTRATO!$C$2:$C$3000,MATCH($A746,EXTRATO!$A$2:$A$3000,0))="","",INDEX(EXTRATO!$C$2:$C$3000,MATCH($A746,EXTRATO!$A$2:$A$3000,0))))</f>
        <v>46202</v>
      </c>
      <c r="C746" s="86">
        <f t="shared" si="11"/>
        <v>6</v>
      </c>
      <c r="D746" s="81" t="s">
        <v>1311</v>
      </c>
      <c r="E746" s="79" t="s">
        <v>1318</v>
      </c>
      <c r="F746" s="80">
        <v>1020</v>
      </c>
      <c r="G746" s="81" t="s">
        <v>984</v>
      </c>
      <c r="H746" s="86" t="str">
        <f>IF(A746="","",IF(INDEX(EXTRATO!$F$2:$F$3000,MATCH($A746,EXTRATO!$A$2:$A$3000,0))="","",INDEX(EXTRATO!$F$2:$F$3000,MATCH($A746,EXTRATO!$A$2:$A$3000,0))))</f>
        <v>SAÍDA</v>
      </c>
      <c r="I746" s="88" t="str">
        <f>IF(A746="","",IF(INDEX(EXTRATO!$H$2:$H$3000,MATCH($A746,EXTRATO!$A$2:$A$3000,0))="","",INDEX(EXTRATO!$H$2:$H$3000,MATCH($A746,EXTRATO!$A$2:$A$3000,0))))</f>
        <v>BIOCOMPANY</v>
      </c>
      <c r="J746" s="86" t="s">
        <v>1313</v>
      </c>
      <c r="K746" s="86" t="str">
        <f>IF(AND(A746="",D746="",E746="",F746=""),"",IF(D746="","SEM CATEGORIA",IF(E746="","SEM SUBCATEGORIA",IF(COUNTIFS(CADASTROS!$L$7:$L$93,D746,CADASTROS!$D$7:$D$93,E746)=0,"INCOMPATÍVEL","OK"))))</f>
        <v>OK</v>
      </c>
    </row>
    <row r="747" spans="1:11" ht="30" hidden="1" customHeight="1" x14ac:dyDescent="0.25">
      <c r="A747" s="86" t="s">
        <v>2143</v>
      </c>
      <c r="B747" s="85">
        <f>IF(A747="","",IF(INDEX(EXTRATO!$C$2:$C$3000,MATCH($A747,EXTRATO!$A$2:$A$3000,0))="","",INDEX(EXTRATO!$C$2:$C$3000,MATCH($A747,EXTRATO!$A$2:$A$3000,0))))</f>
        <v>46202</v>
      </c>
      <c r="C747" s="86">
        <f t="shared" si="11"/>
        <v>6</v>
      </c>
      <c r="D747" s="81" t="s">
        <v>1349</v>
      </c>
      <c r="E747" s="79" t="s">
        <v>1350</v>
      </c>
      <c r="F747" s="80">
        <v>157.33000000000001</v>
      </c>
      <c r="G747" s="81" t="s">
        <v>986</v>
      </c>
      <c r="H747" s="86" t="str">
        <f>IF(A747="","",IF(INDEX(EXTRATO!$F$2:$F$3000,MATCH($A747,EXTRATO!$A$2:$A$3000,0))="","",INDEX(EXTRATO!$F$2:$F$3000,MATCH($A747,EXTRATO!$A$2:$A$3000,0))))</f>
        <v>SAÍDA</v>
      </c>
      <c r="I747" s="88" t="str">
        <f>IF(A747="","",IF(INDEX(EXTRATO!$H$2:$H$3000,MATCH($A747,EXTRATO!$A$2:$A$3000,0))="","",INDEX(EXTRATO!$H$2:$H$3000,MATCH($A747,EXTRATO!$A$2:$A$3000,0))))</f>
        <v>SECRETARIA DE ESTADO DA FAZENDA</v>
      </c>
      <c r="J747" s="86" t="s">
        <v>1313</v>
      </c>
      <c r="K747" s="86" t="str">
        <f>IF(AND(A747="",D747="",E747="",F747=""),"",IF(D747="","SEM CATEGORIA",IF(E747="","SEM SUBCATEGORIA",IF(COUNTIFS(CADASTROS!$L$7:$L$93,D747,CADASTROS!$D$7:$D$93,E747)=0,"INCOMPATÍVEL","OK"))))</f>
        <v>OK</v>
      </c>
    </row>
    <row r="748" spans="1:11" ht="30" hidden="1" customHeight="1" x14ac:dyDescent="0.25">
      <c r="A748" s="86" t="s">
        <v>2144</v>
      </c>
      <c r="B748" s="85">
        <f>IF(A748="","",IF(INDEX(EXTRATO!$C$2:$C$3000,MATCH($A748,EXTRATO!$A$2:$A$3000,0))="","",INDEX(EXTRATO!$C$2:$C$3000,MATCH($A748,EXTRATO!$A$2:$A$3000,0))))</f>
        <v>46202</v>
      </c>
      <c r="C748" s="86">
        <f t="shared" si="11"/>
        <v>6</v>
      </c>
      <c r="D748" s="81" t="s">
        <v>1311</v>
      </c>
      <c r="E748" s="79" t="s">
        <v>1404</v>
      </c>
      <c r="F748" s="80">
        <v>15970</v>
      </c>
      <c r="G748" s="81" t="s">
        <v>987</v>
      </c>
      <c r="H748" s="86" t="str">
        <f>IF(A748="","",IF(INDEX(EXTRATO!$F$2:$F$3000,MATCH($A748,EXTRATO!$A$2:$A$3000,0))="","",INDEX(EXTRATO!$F$2:$F$3000,MATCH($A748,EXTRATO!$A$2:$A$3000,0))))</f>
        <v>SAÍDA</v>
      </c>
      <c r="I748" s="88" t="str">
        <f>IF(A748="","",IF(INDEX(EXTRATO!$H$2:$H$3000,MATCH($A748,EXTRATO!$A$2:$A$3000,0))="","",INDEX(EXTRATO!$H$2:$H$3000,MATCH($A748,EXTRATO!$A$2:$A$3000,0))))</f>
        <v>FARMACE</v>
      </c>
      <c r="J748" s="86" t="s">
        <v>1313</v>
      </c>
      <c r="K748" s="86" t="str">
        <f>IF(AND(A748="",D748="",E748="",F748=""),"",IF(D748="","SEM CATEGORIA",IF(E748="","SEM SUBCATEGORIA",IF(COUNTIFS(CADASTROS!$L$7:$L$93,D748,CADASTROS!$D$7:$D$93,E748)=0,"INCOMPATÍVEL","OK"))))</f>
        <v>OK</v>
      </c>
    </row>
    <row r="749" spans="1:11" ht="30" hidden="1" customHeight="1" x14ac:dyDescent="0.25">
      <c r="A749" s="86" t="s">
        <v>2145</v>
      </c>
      <c r="B749" s="85">
        <f>IF(A749="","",IF(INDEX(EXTRATO!$C$2:$C$3000,MATCH($A749,EXTRATO!$A$2:$A$3000,0))="","",INDEX(EXTRATO!$C$2:$C$3000,MATCH($A749,EXTRATO!$A$2:$A$3000,0))))</f>
        <v>46202</v>
      </c>
      <c r="C749" s="86">
        <f t="shared" si="11"/>
        <v>6</v>
      </c>
      <c r="D749" s="81" t="s">
        <v>1330</v>
      </c>
      <c r="E749" s="79" t="s">
        <v>1379</v>
      </c>
      <c r="F749" s="80">
        <v>2938.4</v>
      </c>
      <c r="G749" s="81" t="s">
        <v>254</v>
      </c>
      <c r="H749" s="86" t="str">
        <f>IF(A749="","",IF(INDEX(EXTRATO!$F$2:$F$3000,MATCH($A749,EXTRATO!$A$2:$A$3000,0))="","",INDEX(EXTRATO!$F$2:$F$3000,MATCH($A749,EXTRATO!$A$2:$A$3000,0))))</f>
        <v>SAÍDA</v>
      </c>
      <c r="I749" s="88" t="str">
        <f>IF(A749="","",IF(INDEX(EXTRATO!$H$2:$H$3000,MATCH($A749,EXTRATO!$A$2:$A$3000,0))="","",INDEX(EXTRATO!$H$2:$H$3000,MATCH($A749,EXTRATO!$A$2:$A$3000,0))))</f>
        <v>NEPHROSYS SUPORTE E MANUTENÇÃO</v>
      </c>
      <c r="J749" s="86" t="s">
        <v>1313</v>
      </c>
      <c r="K749" s="86" t="str">
        <f>IF(AND(A749="",D749="",E749="",F749=""),"",IF(D749="","SEM CATEGORIA",IF(E749="","SEM SUBCATEGORIA",IF(COUNTIFS(CADASTROS!$L$7:$L$93,D749,CADASTROS!$D$7:$D$93,E749)=0,"INCOMPATÍVEL","OK"))))</f>
        <v>OK</v>
      </c>
    </row>
    <row r="750" spans="1:11" ht="30" hidden="1" customHeight="1" x14ac:dyDescent="0.25">
      <c r="A750" s="86" t="s">
        <v>2146</v>
      </c>
      <c r="B750" s="85">
        <f>IF(A750="","",IF(INDEX(EXTRATO!$C$2:$C$3000,MATCH($A750,EXTRATO!$A$2:$A$3000,0))="","",INDEX(EXTRATO!$C$2:$C$3000,MATCH($A750,EXTRATO!$A$2:$A$3000,0))))</f>
        <v>46203</v>
      </c>
      <c r="C750" s="86">
        <f t="shared" si="11"/>
        <v>6</v>
      </c>
      <c r="D750" s="81" t="s">
        <v>1454</v>
      </c>
      <c r="E750" s="79" t="s">
        <v>1473</v>
      </c>
      <c r="F750" s="80">
        <v>48992.160000000003</v>
      </c>
      <c r="G750" s="81" t="s">
        <v>989</v>
      </c>
      <c r="H750" s="86" t="str">
        <f>IF(A750="","",IF(INDEX(EXTRATO!$F$2:$F$3000,MATCH($A750,EXTRATO!$A$2:$A$3000,0))="","",INDEX(EXTRATO!$F$2:$F$3000,MATCH($A750,EXTRATO!$A$2:$A$3000,0))))</f>
        <v>SAÍDA</v>
      </c>
      <c r="I750" s="88" t="str">
        <f>IF(A750="","",IF(INDEX(EXTRATO!$H$2:$H$3000,MATCH($A750,EXTRATO!$A$2:$A$3000,0))="","",INDEX(EXTRATO!$H$2:$H$3000,MATCH($A750,EXTRATO!$A$2:$A$3000,0))))</f>
        <v>NIPRO</v>
      </c>
      <c r="J750" s="86" t="s">
        <v>1313</v>
      </c>
      <c r="K750" s="86" t="str">
        <f>IF(AND(A750="",D750="",E750="",F750=""),"",IF(D750="","SEM CATEGORIA",IF(E750="","SEM SUBCATEGORIA",IF(COUNTIFS(CADASTROS!$L$7:$L$93,D750,CADASTROS!$D$7:$D$93,E750)=0,"INCOMPATÍVEL","OK"))))</f>
        <v>OK</v>
      </c>
    </row>
    <row r="751" spans="1:11" ht="30" hidden="1" customHeight="1" x14ac:dyDescent="0.25">
      <c r="A751" s="86" t="s">
        <v>2149</v>
      </c>
      <c r="B751" s="85">
        <f>IF(A751="","",IF(INDEX(EXTRATO!$C$2:$C$3000,MATCH($A751,EXTRATO!$A$2:$A$3000,0))="","",INDEX(EXTRATO!$C$2:$C$3000,MATCH($A751,EXTRATO!$A$2:$A$3000,0))))</f>
        <v>46203</v>
      </c>
      <c r="C751" s="86">
        <f t="shared" si="11"/>
        <v>6</v>
      </c>
      <c r="D751" s="81" t="s">
        <v>1454</v>
      </c>
      <c r="E751" s="79" t="s">
        <v>1473</v>
      </c>
      <c r="F751" s="80">
        <v>9331.84</v>
      </c>
      <c r="G751" s="81" t="s">
        <v>990</v>
      </c>
      <c r="H751" s="86" t="str">
        <f>IF(A751="","",IF(INDEX(EXTRATO!$F$2:$F$3000,MATCH($A751,EXTRATO!$A$2:$A$3000,0))="","",INDEX(EXTRATO!$F$2:$F$3000,MATCH($A751,EXTRATO!$A$2:$A$3000,0))))</f>
        <v>SAÍDA</v>
      </c>
      <c r="I751" s="88" t="str">
        <f>IF(A751="","",IF(INDEX(EXTRATO!$H$2:$H$3000,MATCH($A751,EXTRATO!$A$2:$A$3000,0))="","",INDEX(EXTRATO!$H$2:$H$3000,MATCH($A751,EXTRATO!$A$2:$A$3000,0))))</f>
        <v>NIPRO</v>
      </c>
      <c r="J751" s="86" t="s">
        <v>1313</v>
      </c>
      <c r="K751" s="86" t="str">
        <f>IF(AND(A751="",D751="",E751="",F751=""),"",IF(D751="","SEM CATEGORIA",IF(E751="","SEM SUBCATEGORIA",IF(COUNTIFS(CADASTROS!$L$7:$L$93,D751,CADASTROS!$D$7:$D$93,E751)=0,"INCOMPATÍVEL","OK"))))</f>
        <v>OK</v>
      </c>
    </row>
    <row r="752" spans="1:11" ht="30" hidden="1" customHeight="1" x14ac:dyDescent="0.25">
      <c r="A752" s="86" t="s">
        <v>2150</v>
      </c>
      <c r="B752" s="85">
        <f>IF(A752="","",IF(INDEX(EXTRATO!$C$2:$C$3000,MATCH($A752,EXTRATO!$A$2:$A$3000,0))="","",INDEX(EXTRATO!$C$2:$C$3000,MATCH($A752,EXTRATO!$A$2:$A$3000,0))))</f>
        <v>46203</v>
      </c>
      <c r="C752" s="86">
        <f t="shared" si="11"/>
        <v>6</v>
      </c>
      <c r="D752" s="81" t="s">
        <v>1311</v>
      </c>
      <c r="E752" s="79" t="s">
        <v>1376</v>
      </c>
      <c r="F752" s="80">
        <v>10173.75</v>
      </c>
      <c r="G752" s="81" t="s">
        <v>991</v>
      </c>
      <c r="H752" s="86" t="str">
        <f>IF(A752="","",IF(INDEX(EXTRATO!$F$2:$F$3000,MATCH($A752,EXTRATO!$A$2:$A$3000,0))="","",INDEX(EXTRATO!$F$2:$F$3000,MATCH($A752,EXTRATO!$A$2:$A$3000,0))))</f>
        <v>SAÍDA</v>
      </c>
      <c r="I752" s="88" t="str">
        <f>IF(A752="","",IF(INDEX(EXTRATO!$H$2:$H$3000,MATCH($A752,EXTRATO!$A$2:$A$3000,0))="","",INDEX(EXTRATO!$H$2:$H$3000,MATCH($A752,EXTRATO!$A$2:$A$3000,0))))</f>
        <v>NIPRO</v>
      </c>
      <c r="J752" s="86" t="s">
        <v>1313</v>
      </c>
      <c r="K752" s="86" t="str">
        <f>IF(AND(A752="",D752="",E752="",F752=""),"",IF(D752="","SEM CATEGORIA",IF(E752="","SEM SUBCATEGORIA",IF(COUNTIFS(CADASTROS!$L$7:$L$93,D752,CADASTROS!$D$7:$D$93,E752)=0,"INCOMPATÍVEL","OK"))))</f>
        <v>OK</v>
      </c>
    </row>
    <row r="753" spans="1:11" ht="30" hidden="1" customHeight="1" x14ac:dyDescent="0.25">
      <c r="A753" s="86" t="s">
        <v>2151</v>
      </c>
      <c r="B753" s="85">
        <f>IF(A753="","",IF(INDEX(EXTRATO!$C$2:$C$3000,MATCH($A753,EXTRATO!$A$2:$A$3000,0))="","",INDEX(EXTRATO!$C$2:$C$3000,MATCH($A753,EXTRATO!$A$2:$A$3000,0))))</f>
        <v>46203</v>
      </c>
      <c r="C753" s="86">
        <f t="shared" si="11"/>
        <v>6</v>
      </c>
      <c r="D753" s="81" t="s">
        <v>1311</v>
      </c>
      <c r="E753" s="79" t="s">
        <v>1312</v>
      </c>
      <c r="F753" s="80">
        <v>2271.6799999999998</v>
      </c>
      <c r="G753" s="81" t="s">
        <v>992</v>
      </c>
      <c r="H753" s="86" t="str">
        <f>IF(A753="","",IF(INDEX(EXTRATO!$F$2:$F$3000,MATCH($A753,EXTRATO!$A$2:$A$3000,0))="","",INDEX(EXTRATO!$F$2:$F$3000,MATCH($A753,EXTRATO!$A$2:$A$3000,0))))</f>
        <v>SAÍDA</v>
      </c>
      <c r="I753" s="88" t="str">
        <f>IF(A753="","",IF(INDEX(EXTRATO!$H$2:$H$3000,MATCH($A753,EXTRATO!$A$2:$A$3000,0))="","",INDEX(EXTRATO!$H$2:$H$3000,MATCH($A753,EXTRATO!$A$2:$A$3000,0))))</f>
        <v>EXCELLENCE DISTRIBUIÇÃO</v>
      </c>
      <c r="J753" s="86" t="s">
        <v>1313</v>
      </c>
      <c r="K753" s="86" t="str">
        <f>IF(AND(A753="",D753="",E753="",F753=""),"",IF(D753="","SEM CATEGORIA",IF(E753="","SEM SUBCATEGORIA",IF(COUNTIFS(CADASTROS!$L$7:$L$93,D753,CADASTROS!$D$7:$D$93,E753)=0,"INCOMPATÍVEL","OK"))))</f>
        <v>OK</v>
      </c>
    </row>
    <row r="754" spans="1:11" ht="30" hidden="1" customHeight="1" x14ac:dyDescent="0.25">
      <c r="A754" s="86" t="s">
        <v>2151</v>
      </c>
      <c r="B754" s="85">
        <f>IF(A754="","",IF(INDEX(EXTRATO!$C$2:$C$3000,MATCH($A754,EXTRATO!$A$2:$A$3000,0))="","",INDEX(EXTRATO!$C$2:$C$3000,MATCH($A754,EXTRATO!$A$2:$A$3000,0))))</f>
        <v>46203</v>
      </c>
      <c r="C754" s="86">
        <f t="shared" si="11"/>
        <v>6</v>
      </c>
      <c r="D754" s="81" t="s">
        <v>1311</v>
      </c>
      <c r="E754" s="79" t="s">
        <v>1342</v>
      </c>
      <c r="F754" s="80">
        <v>5000</v>
      </c>
      <c r="G754" s="81" t="s">
        <v>2157</v>
      </c>
      <c r="H754" s="86" t="str">
        <f>IF(A754="","",IF(INDEX(EXTRATO!$F$2:$F$3000,MATCH($A754,EXTRATO!$A$2:$A$3000,0))="","",INDEX(EXTRATO!$F$2:$F$3000,MATCH($A754,EXTRATO!$A$2:$A$3000,0))))</f>
        <v>SAÍDA</v>
      </c>
      <c r="I754" s="88" t="str">
        <f>IF(A754="","",IF(INDEX(EXTRATO!$H$2:$H$3000,MATCH($A754,EXTRATO!$A$2:$A$3000,0))="","",INDEX(EXTRATO!$H$2:$H$3000,MATCH($A754,EXTRATO!$A$2:$A$3000,0))))</f>
        <v>EXCELLENCE DISTRIBUIÇÃO</v>
      </c>
      <c r="J754" s="86" t="s">
        <v>1313</v>
      </c>
      <c r="K754" s="86" t="str">
        <f>IF(AND(A754="",D754="",E754="",F754=""),"",IF(D754="","SEM CATEGORIA",IF(E754="","SEM SUBCATEGORIA",IF(COUNTIFS(CADASTROS!$L$7:$L$93,D754,CADASTROS!$D$7:$D$93,E754)=0,"INCOMPATÍVEL","OK"))))</f>
        <v>OK</v>
      </c>
    </row>
    <row r="755" spans="1:11" ht="30" hidden="1" customHeight="1" x14ac:dyDescent="0.25">
      <c r="A755" s="86" t="s">
        <v>2152</v>
      </c>
      <c r="B755" s="85">
        <f>IF(A755="","",IF(INDEX(EXTRATO!$C$2:$C$3000,MATCH($A755,EXTRATO!$A$2:$A$3000,0))="","",INDEX(EXTRATO!$C$2:$C$3000,MATCH($A755,EXTRATO!$A$2:$A$3000,0))))</f>
        <v>46204</v>
      </c>
      <c r="C755" s="86">
        <f t="shared" si="11"/>
        <v>7</v>
      </c>
      <c r="D755" s="81" t="s">
        <v>1330</v>
      </c>
      <c r="E755" s="79" t="s">
        <v>1331</v>
      </c>
      <c r="F755" s="80">
        <v>255</v>
      </c>
      <c r="G755" s="81" t="s">
        <v>993</v>
      </c>
      <c r="H755" s="86" t="str">
        <f>IF(A755="","",IF(INDEX(EXTRATO!$F$2:$F$3000,MATCH($A755,EXTRATO!$A$2:$A$3000,0))="","",INDEX(EXTRATO!$F$2:$F$3000,MATCH($A755,EXTRATO!$A$2:$A$3000,0))))</f>
        <v>SAÍDA</v>
      </c>
      <c r="I755" s="88" t="str">
        <f>IF(A755="","",IF(INDEX(EXTRATO!$H$2:$H$3000,MATCH($A755,EXTRATO!$A$2:$A$3000,0))="","",INDEX(EXTRATO!$H$2:$H$3000,MATCH($A755,EXTRATO!$A$2:$A$3000,0))))</f>
        <v>ERONLIMP</v>
      </c>
      <c r="J755" s="86" t="s">
        <v>1360</v>
      </c>
      <c r="K755" s="86" t="str">
        <f>IF(AND(A755="",D755="",E755="",F755=""),"",IF(D755="","SEM CATEGORIA",IF(E755="","SEM SUBCATEGORIA",IF(COUNTIFS(CADASTROS!$L$7:$L$93,D755,CADASTROS!$D$7:$D$93,E755)=0,"INCOMPATÍVEL","OK"))))</f>
        <v>OK</v>
      </c>
    </row>
    <row r="756" spans="1:11" ht="30" hidden="1" customHeight="1" x14ac:dyDescent="0.25">
      <c r="A756" s="86" t="s">
        <v>2153</v>
      </c>
      <c r="B756" s="85">
        <f>IF(A756="","",IF(INDEX(EXTRATO!$C$2:$C$3000,MATCH($A756,EXTRATO!$A$2:$A$3000,0))="","",INDEX(EXTRATO!$C$2:$C$3000,MATCH($A756,EXTRATO!$A$2:$A$3000,0))))</f>
        <v>46204</v>
      </c>
      <c r="C756" s="86">
        <f t="shared" si="11"/>
        <v>7</v>
      </c>
      <c r="D756" s="81" t="s">
        <v>1311</v>
      </c>
      <c r="E756" s="79" t="s">
        <v>1320</v>
      </c>
      <c r="F756" s="80">
        <v>2240</v>
      </c>
      <c r="G756" s="81" t="s">
        <v>2817</v>
      </c>
      <c r="H756" s="86" t="str">
        <f>IF(A756="","",IF(INDEX(EXTRATO!$F$2:$F$3000,MATCH($A756,EXTRATO!$A$2:$A$3000,0))="","",INDEX(EXTRATO!$F$2:$F$3000,MATCH($A756,EXTRATO!$A$2:$A$3000,0))))</f>
        <v>SAÍDA</v>
      </c>
      <c r="I756" s="88" t="str">
        <f>IF(A756="","",IF(INDEX(EXTRATO!$H$2:$H$3000,MATCH($A756,EXTRATO!$A$2:$A$3000,0))="","",INDEX(EXTRATO!$H$2:$H$3000,MATCH($A756,EXTRATO!$A$2:$A$3000,0))))</f>
        <v>DIALISE COMERCIO</v>
      </c>
      <c r="J756" s="86" t="s">
        <v>1313</v>
      </c>
      <c r="K756" s="86" t="str">
        <f>IF(AND(A756="",D756="",E756="",F756=""),"",IF(D756="","SEM CATEGORIA",IF(E756="","SEM SUBCATEGORIA",IF(COUNTIFS(CADASTROS!$L$7:$L$93,D756,CADASTROS!$D$7:$D$93,E756)=0,"INCOMPATÍVEL","OK"))))</f>
        <v>OK</v>
      </c>
    </row>
    <row r="757" spans="1:11" ht="30" hidden="1" customHeight="1" x14ac:dyDescent="0.25">
      <c r="A757" s="86" t="s">
        <v>2153</v>
      </c>
      <c r="B757" s="85">
        <f>IF(A757="","",IF(INDEX(EXTRATO!$C$2:$C$3000,MATCH($A757,EXTRATO!$A$2:$A$3000,0))="","",INDEX(EXTRATO!$C$2:$C$3000,MATCH($A757,EXTRATO!$A$2:$A$3000,0))))</f>
        <v>46204</v>
      </c>
      <c r="C757" s="86">
        <f t="shared" si="11"/>
        <v>7</v>
      </c>
      <c r="D757" s="81" t="s">
        <v>1311</v>
      </c>
      <c r="E757" s="79" t="s">
        <v>1312</v>
      </c>
      <c r="F757" s="80">
        <v>90</v>
      </c>
      <c r="G757" s="81" t="s">
        <v>2088</v>
      </c>
      <c r="H757" s="86" t="str">
        <f>IF(A757="","",IF(INDEX(EXTRATO!$F$2:$F$3000,MATCH($A757,EXTRATO!$A$2:$A$3000,0))="","",INDEX(EXTRATO!$F$2:$F$3000,MATCH($A757,EXTRATO!$A$2:$A$3000,0))))</f>
        <v>SAÍDA</v>
      </c>
      <c r="I757" s="88" t="str">
        <f>IF(A757="","",IF(INDEX(EXTRATO!$H$2:$H$3000,MATCH($A757,EXTRATO!$A$2:$A$3000,0))="","",INDEX(EXTRATO!$H$2:$H$3000,MATCH($A757,EXTRATO!$A$2:$A$3000,0))))</f>
        <v>DIALISE COMERCIO</v>
      </c>
      <c r="J757" s="86" t="s">
        <v>1313</v>
      </c>
      <c r="K757" s="86" t="str">
        <f>IF(AND(A757="",D757="",E757="",F757=""),"",IF(D757="","SEM CATEGORIA",IF(E757="","SEM SUBCATEGORIA",IF(COUNTIFS(CADASTROS!$L$7:$L$93,D757,CADASTROS!$D$7:$D$93,E757)=0,"INCOMPATÍVEL","OK"))))</f>
        <v>OK</v>
      </c>
    </row>
    <row r="758" spans="1:11" ht="30" hidden="1" customHeight="1" x14ac:dyDescent="0.25">
      <c r="A758" s="86" t="s">
        <v>2153</v>
      </c>
      <c r="B758" s="85">
        <f>IF(A758="","",IF(INDEX(EXTRATO!$C$2:$C$3000,MATCH($A758,EXTRATO!$A$2:$A$3000,0))="","",INDEX(EXTRATO!$C$2:$C$3000,MATCH($A758,EXTRATO!$A$2:$A$3000,0))))</f>
        <v>46204</v>
      </c>
      <c r="C758" s="86">
        <f t="shared" si="11"/>
        <v>7</v>
      </c>
      <c r="D758" s="81" t="s">
        <v>1311</v>
      </c>
      <c r="E758" s="79" t="s">
        <v>1376</v>
      </c>
      <c r="F758" s="80">
        <v>792</v>
      </c>
      <c r="G758" s="81" t="s">
        <v>2818</v>
      </c>
      <c r="H758" s="86" t="str">
        <f>IF(A758="","",IF(INDEX(EXTRATO!$F$2:$F$3000,MATCH($A758,EXTRATO!$A$2:$A$3000,0))="","",INDEX(EXTRATO!$F$2:$F$3000,MATCH($A758,EXTRATO!$A$2:$A$3000,0))))</f>
        <v>SAÍDA</v>
      </c>
      <c r="I758" s="88" t="str">
        <f>IF(A758="","",IF(INDEX(EXTRATO!$H$2:$H$3000,MATCH($A758,EXTRATO!$A$2:$A$3000,0))="","",INDEX(EXTRATO!$H$2:$H$3000,MATCH($A758,EXTRATO!$A$2:$A$3000,0))))</f>
        <v>DIALISE COMERCIO</v>
      </c>
      <c r="J758" s="86" t="s">
        <v>1313</v>
      </c>
      <c r="K758" s="86" t="str">
        <f>IF(AND(A758="",D758="",E758="",F758=""),"",IF(D758="","SEM CATEGORIA",IF(E758="","SEM SUBCATEGORIA",IF(COUNTIFS(CADASTROS!$L$7:$L$93,D758,CADASTROS!$D$7:$D$93,E758)=0,"INCOMPATÍVEL","OK"))))</f>
        <v>OK</v>
      </c>
    </row>
    <row r="759" spans="1:11" ht="30" hidden="1" customHeight="1" x14ac:dyDescent="0.25">
      <c r="A759" s="86" t="s">
        <v>2154</v>
      </c>
      <c r="B759" s="85">
        <f>IF(A759="","",IF(INDEX(EXTRATO!$C$2:$C$3000,MATCH($A759,EXTRATO!$A$2:$A$3000,0))="","",INDEX(EXTRATO!$C$2:$C$3000,MATCH($A759,EXTRATO!$A$2:$A$3000,0))))</f>
        <v>46204</v>
      </c>
      <c r="C759" s="86">
        <f t="shared" si="11"/>
        <v>7</v>
      </c>
      <c r="D759" s="81" t="s">
        <v>1311</v>
      </c>
      <c r="E759" s="79" t="s">
        <v>1315</v>
      </c>
      <c r="F759" s="80">
        <v>2372.15</v>
      </c>
      <c r="G759" s="81" t="s">
        <v>998</v>
      </c>
      <c r="H759" s="86" t="str">
        <f>IF(A759="","",IF(INDEX(EXTRATO!$F$2:$F$3000,MATCH($A759,EXTRATO!$A$2:$A$3000,0))="","",INDEX(EXTRATO!$F$2:$F$3000,MATCH($A759,EXTRATO!$A$2:$A$3000,0))))</f>
        <v>SAÍDA</v>
      </c>
      <c r="I759" s="88" t="str">
        <f>IF(A759="","",IF(INDEX(EXTRATO!$H$2:$H$3000,MATCH($A759,EXTRATO!$A$2:$A$3000,0))="","",INDEX(EXTRATO!$H$2:$H$3000,MATCH($A759,EXTRATO!$A$2:$A$3000,0))))</f>
        <v>ALLMED PRONEFRO</v>
      </c>
      <c r="J759" s="86" t="s">
        <v>1565</v>
      </c>
      <c r="K759" s="86" t="str">
        <f>IF(AND(A759="",D759="",E759="",F759=""),"",IF(D759="","SEM CATEGORIA",IF(E759="","SEM SUBCATEGORIA",IF(COUNTIFS(CADASTROS!$L$7:$L$93,D759,CADASTROS!$D$7:$D$93,E759)=0,"INCOMPATÍVEL","OK"))))</f>
        <v>OK</v>
      </c>
    </row>
    <row r="760" spans="1:11" ht="30" hidden="1" customHeight="1" x14ac:dyDescent="0.25">
      <c r="A760" s="86" t="s">
        <v>2155</v>
      </c>
      <c r="B760" s="85">
        <f>IF(A760="","",IF(INDEX(EXTRATO!$C$2:$C$3000,MATCH($A760,EXTRATO!$A$2:$A$3000,0))="","",INDEX(EXTRATO!$C$2:$C$3000,MATCH($A760,EXTRATO!$A$2:$A$3000,0))))</f>
        <v>46204</v>
      </c>
      <c r="C760" s="86">
        <f t="shared" si="11"/>
        <v>7</v>
      </c>
      <c r="D760" s="81" t="s">
        <v>1330</v>
      </c>
      <c r="E760" s="79" t="s">
        <v>1335</v>
      </c>
      <c r="F760" s="80">
        <v>230</v>
      </c>
      <c r="G760" s="81" t="s">
        <v>1000</v>
      </c>
      <c r="H760" s="86" t="str">
        <f>IF(A760="","",IF(INDEX(EXTRATO!$F$2:$F$3000,MATCH($A760,EXTRATO!$A$2:$A$3000,0))="","",INDEX(EXTRATO!$F$2:$F$3000,MATCH($A760,EXTRATO!$A$2:$A$3000,0))))</f>
        <v>SAÍDA</v>
      </c>
      <c r="I760" s="88" t="str">
        <f>IF(A760="","",IF(INDEX(EXTRATO!$H$2:$H$3000,MATCH($A760,EXTRATO!$A$2:$A$3000,0))="","",INDEX(EXTRATO!$H$2:$H$3000,MATCH($A760,EXTRATO!$A$2:$A$3000,0))))</f>
        <v>J. V. L. NOBRE</v>
      </c>
      <c r="J760" s="86" t="s">
        <v>1360</v>
      </c>
      <c r="K760" s="86" t="str">
        <f>IF(AND(A760="",D760="",E760="",F760=""),"",IF(D760="","SEM CATEGORIA",IF(E760="","SEM SUBCATEGORIA",IF(COUNTIFS(CADASTROS!$L$7:$L$93,D760,CADASTROS!$D$7:$D$93,E760)=0,"INCOMPATÍVEL","OK"))))</f>
        <v>OK</v>
      </c>
    </row>
    <row r="761" spans="1:11" ht="30" hidden="1" customHeight="1" x14ac:dyDescent="0.25">
      <c r="A761" s="86" t="s">
        <v>2156</v>
      </c>
      <c r="B761" s="85">
        <f>IF(A761="","",IF(INDEX(EXTRATO!$C$2:$C$3000,MATCH($A761,EXTRATO!$A$2:$A$3000,0))="","",INDEX(EXTRATO!$C$2:$C$3000,MATCH($A761,EXTRATO!$A$2:$A$3000,0))))</f>
        <v>46205</v>
      </c>
      <c r="C761" s="86">
        <f t="shared" si="11"/>
        <v>7</v>
      </c>
      <c r="D761" s="81" t="s">
        <v>1311</v>
      </c>
      <c r="E761" s="79" t="s">
        <v>1320</v>
      </c>
      <c r="F761" s="80">
        <v>1680</v>
      </c>
      <c r="G761" s="81" t="s">
        <v>584</v>
      </c>
      <c r="H761" s="86" t="str">
        <f>IF(A761="","",IF(INDEX(EXTRATO!$F$2:$F$3000,MATCH($A761,EXTRATO!$A$2:$A$3000,0))="","",INDEX(EXTRATO!$F$2:$F$3000,MATCH($A761,EXTRATO!$A$2:$A$3000,0))))</f>
        <v>SAÍDA</v>
      </c>
      <c r="I761" s="88" t="str">
        <f>IF(A761="","",IF(INDEX(EXTRATO!$H$2:$H$3000,MATCH($A761,EXTRATO!$A$2:$A$3000,0))="","",INDEX(EXTRATO!$H$2:$H$3000,MATCH($A761,EXTRATO!$A$2:$A$3000,0))))</f>
        <v>DIALISE COMERCIO</v>
      </c>
      <c r="J761" s="86" t="s">
        <v>1360</v>
      </c>
      <c r="K761" s="86" t="str">
        <f>IF(AND(A761="",D761="",E761="",F761=""),"",IF(D761="","SEM CATEGORIA",IF(E761="","SEM SUBCATEGORIA",IF(COUNTIFS(CADASTROS!$L$7:$L$93,D761,CADASTROS!$D$7:$D$93,E761)=0,"INCOMPATÍVEL","OK"))))</f>
        <v>OK</v>
      </c>
    </row>
    <row r="762" spans="1:11" ht="30" hidden="1" customHeight="1" x14ac:dyDescent="0.25">
      <c r="A762" s="86" t="s">
        <v>2156</v>
      </c>
      <c r="B762" s="85">
        <f>IF(A762="","",IF(INDEX(EXTRATO!$C$2:$C$3000,MATCH($A762,EXTRATO!$A$2:$A$3000,0))="","",INDEX(EXTRATO!$C$2:$C$3000,MATCH($A762,EXTRATO!$A$2:$A$3000,0))))</f>
        <v>46205</v>
      </c>
      <c r="C762" s="86">
        <f t="shared" si="11"/>
        <v>7</v>
      </c>
      <c r="D762" s="81" t="s">
        <v>1311</v>
      </c>
      <c r="E762" s="79" t="s">
        <v>1376</v>
      </c>
      <c r="F762" s="80">
        <v>792</v>
      </c>
      <c r="G762" s="81" t="s">
        <v>2819</v>
      </c>
      <c r="H762" s="86" t="str">
        <f>IF(A762="","",IF(INDEX(EXTRATO!$F$2:$F$3000,MATCH($A762,EXTRATO!$A$2:$A$3000,0))="","",INDEX(EXTRATO!$F$2:$F$3000,MATCH($A762,EXTRATO!$A$2:$A$3000,0))))</f>
        <v>SAÍDA</v>
      </c>
      <c r="I762" s="88" t="str">
        <f>IF(A762="","",IF(INDEX(EXTRATO!$H$2:$H$3000,MATCH($A762,EXTRATO!$A$2:$A$3000,0))="","",INDEX(EXTRATO!$H$2:$H$3000,MATCH($A762,EXTRATO!$A$2:$A$3000,0))))</f>
        <v>DIALISE COMERCIO</v>
      </c>
      <c r="J762" s="86" t="s">
        <v>1360</v>
      </c>
      <c r="K762" s="86" t="str">
        <f>IF(AND(A762="",D762="",E762="",F762=""),"",IF(D762="","SEM CATEGORIA",IF(E762="","SEM SUBCATEGORIA",IF(COUNTIFS(CADASTROS!$L$7:$L$93,D762,CADASTROS!$D$7:$D$93,E762)=0,"INCOMPATÍVEL","OK"))))</f>
        <v>OK</v>
      </c>
    </row>
    <row r="763" spans="1:11" ht="30" hidden="1" customHeight="1" x14ac:dyDescent="0.25">
      <c r="A763" s="86" t="s">
        <v>2156</v>
      </c>
      <c r="B763" s="85">
        <f>IF(A763="","",IF(INDEX(EXTRATO!$C$2:$C$3000,MATCH($A763,EXTRATO!$A$2:$A$3000,0))="","",INDEX(EXTRATO!$C$2:$C$3000,MATCH($A763,EXTRATO!$A$2:$A$3000,0))))</f>
        <v>46205</v>
      </c>
      <c r="C763" s="86">
        <f t="shared" si="11"/>
        <v>7</v>
      </c>
      <c r="D763" s="81" t="s">
        <v>1311</v>
      </c>
      <c r="E763" s="79" t="s">
        <v>1312</v>
      </c>
      <c r="F763" s="80">
        <v>310</v>
      </c>
      <c r="G763" s="81" t="s">
        <v>2820</v>
      </c>
      <c r="H763" s="86" t="str">
        <f>IF(A763="","",IF(INDEX(EXTRATO!$F$2:$F$3000,MATCH($A763,EXTRATO!$A$2:$A$3000,0))="","",INDEX(EXTRATO!$F$2:$F$3000,MATCH($A763,EXTRATO!$A$2:$A$3000,0))))</f>
        <v>SAÍDA</v>
      </c>
      <c r="I763" s="88" t="str">
        <f>IF(A763="","",IF(INDEX(EXTRATO!$H$2:$H$3000,MATCH($A763,EXTRATO!$A$2:$A$3000,0))="","",INDEX(EXTRATO!$H$2:$H$3000,MATCH($A763,EXTRATO!$A$2:$A$3000,0))))</f>
        <v>DIALISE COMERCIO</v>
      </c>
      <c r="J763" s="86" t="s">
        <v>1360</v>
      </c>
      <c r="K763" s="86" t="str">
        <f>IF(AND(A763="",D763="",E763="",F763=""),"",IF(D763="","SEM CATEGORIA",IF(E763="","SEM SUBCATEGORIA",IF(COUNTIFS(CADASTROS!$L$7:$L$93,D763,CADASTROS!$D$7:$D$93,E763)=0,"INCOMPATÍVEL","OK"))))</f>
        <v>OK</v>
      </c>
    </row>
    <row r="764" spans="1:11" ht="30" hidden="1" customHeight="1" x14ac:dyDescent="0.25">
      <c r="A764" s="86" t="s">
        <v>2158</v>
      </c>
      <c r="B764" s="85">
        <f>IF(A764="","",IF(INDEX(EXTRATO!$C$2:$C$3000,MATCH($A764,EXTRATO!$A$2:$A$3000,0))="","",INDEX(EXTRATO!$C$2:$C$3000,MATCH($A764,EXTRATO!$A$2:$A$3000,0))))</f>
        <v>46206</v>
      </c>
      <c r="C764" s="86">
        <f t="shared" si="11"/>
        <v>7</v>
      </c>
      <c r="D764" s="81" t="s">
        <v>1367</v>
      </c>
      <c r="E764" s="79" t="s">
        <v>1560</v>
      </c>
      <c r="F764" s="80">
        <v>1900</v>
      </c>
      <c r="G764" s="81" t="s">
        <v>1004</v>
      </c>
      <c r="H764" s="86" t="str">
        <f>IF(A764="","",IF(INDEX(EXTRATO!$F$2:$F$3000,MATCH($A764,EXTRATO!$A$2:$A$3000,0))="","",INDEX(EXTRATO!$F$2:$F$3000,MATCH($A764,EXTRATO!$A$2:$A$3000,0))))</f>
        <v>SAÍDA</v>
      </c>
      <c r="I764" s="88" t="str">
        <f>IF(A764="","",IF(INDEX(EXTRATO!$H$2:$H$3000,MATCH($A764,EXTRATO!$A$2:$A$3000,0))="","",INDEX(EXTRATO!$H$2:$H$3000,MATCH($A764,EXTRATO!$A$2:$A$3000,0))))</f>
        <v>WILSON DE FREITAS SORIANO</v>
      </c>
      <c r="J764" s="86" t="s">
        <v>1565</v>
      </c>
      <c r="K764" s="86" t="str">
        <f>IF(AND(A764="",D764="",E764="",F764=""),"",IF(D764="","SEM CATEGORIA",IF(E764="","SEM SUBCATEGORIA",IF(COUNTIFS(CADASTROS!$L$7:$L$93,D764,CADASTROS!$D$7:$D$93,E764)=0,"INCOMPATÍVEL","OK"))))</f>
        <v>OK</v>
      </c>
    </row>
    <row r="765" spans="1:11" ht="30" hidden="1" customHeight="1" x14ac:dyDescent="0.25">
      <c r="A765" s="86" t="s">
        <v>2159</v>
      </c>
      <c r="B765" s="85">
        <f>IF(A765="","",IF(INDEX(EXTRATO!$C$2:$C$3000,MATCH($A765,EXTRATO!$A$2:$A$3000,0))="","",INDEX(EXTRATO!$C$2:$C$3000,MATCH($A765,EXTRATO!$A$2:$A$3000,0))))</f>
        <v>46206</v>
      </c>
      <c r="C765" s="86">
        <f t="shared" si="11"/>
        <v>7</v>
      </c>
      <c r="D765" s="81" t="s">
        <v>1370</v>
      </c>
      <c r="E765" s="79" t="s">
        <v>1494</v>
      </c>
      <c r="F765" s="80">
        <v>80.900000000000006</v>
      </c>
      <c r="G765" s="81" t="s">
        <v>1006</v>
      </c>
      <c r="H765" s="86" t="str">
        <f>IF(A765="","",IF(INDEX(EXTRATO!$F$2:$F$3000,MATCH($A765,EXTRATO!$A$2:$A$3000,0))="","",INDEX(EXTRATO!$F$2:$F$3000,MATCH($A765,EXTRATO!$A$2:$A$3000,0))))</f>
        <v>SAÍDA</v>
      </c>
      <c r="I765" s="88" t="str">
        <f>IF(A765="","",IF(INDEX(EXTRATO!$H$2:$H$3000,MATCH($A765,EXTRATO!$A$2:$A$3000,0))="","",INDEX(EXTRATO!$H$2:$H$3000,MATCH($A765,EXTRATO!$A$2:$A$3000,0))))</f>
        <v>CONSTRUNORTE</v>
      </c>
      <c r="J765" s="86" t="s">
        <v>1360</v>
      </c>
      <c r="K765" s="86" t="str">
        <f>IF(AND(A765="",D765="",E765="",F765=""),"",IF(D765="","SEM CATEGORIA",IF(E765="","SEM SUBCATEGORIA",IF(COUNTIFS(CADASTROS!$L$7:$L$93,D765,CADASTROS!$D$7:$D$93,E765)=0,"INCOMPATÍVEL","OK"))))</f>
        <v>OK</v>
      </c>
    </row>
    <row r="766" spans="1:11" ht="30" hidden="1" customHeight="1" x14ac:dyDescent="0.25">
      <c r="A766" s="86" t="s">
        <v>2160</v>
      </c>
      <c r="B766" s="85">
        <f>IF(A766="","",IF(INDEX(EXTRATO!$C$2:$C$3000,MATCH($A766,EXTRATO!$A$2:$A$3000,0))="","",INDEX(EXTRATO!$C$2:$C$3000,MATCH($A766,EXTRATO!$A$2:$A$3000,0))))</f>
        <v>46206</v>
      </c>
      <c r="C766" s="86">
        <f t="shared" si="11"/>
        <v>7</v>
      </c>
      <c r="D766" s="81" t="s">
        <v>1311</v>
      </c>
      <c r="E766" s="79" t="s">
        <v>1404</v>
      </c>
      <c r="F766" s="80">
        <v>21501.200000000001</v>
      </c>
      <c r="G766" s="81" t="s">
        <v>2821</v>
      </c>
      <c r="H766" s="86" t="str">
        <f>IF(A766="","",IF(INDEX(EXTRATO!$F$2:$F$3000,MATCH($A766,EXTRATO!$A$2:$A$3000,0))="","",INDEX(EXTRATO!$F$2:$F$3000,MATCH($A766,EXTRATO!$A$2:$A$3000,0))))</f>
        <v>SAÍDA</v>
      </c>
      <c r="I766" s="88" t="str">
        <f>IF(A766="","",IF(INDEX(EXTRATO!$H$2:$H$3000,MATCH($A766,EXTRATO!$A$2:$A$3000,0))="","",INDEX(EXTRATO!$H$2:$H$3000,MATCH($A766,EXTRATO!$A$2:$A$3000,0))))</f>
        <v>FARMACE</v>
      </c>
      <c r="J766" s="86" t="s">
        <v>1360</v>
      </c>
      <c r="K766" s="86" t="str">
        <f>IF(AND(A766="",D766="",E766="",F766=""),"",IF(D766="","SEM CATEGORIA",IF(E766="","SEM SUBCATEGORIA",IF(COUNTIFS(CADASTROS!$L$7:$L$93,D766,CADASTROS!$D$7:$D$93,E766)=0,"INCOMPATÍVEL","OK"))))</f>
        <v>OK</v>
      </c>
    </row>
    <row r="767" spans="1:11" ht="30" hidden="1" customHeight="1" x14ac:dyDescent="0.25">
      <c r="A767" s="86" t="s">
        <v>2160</v>
      </c>
      <c r="B767" s="85">
        <f>IF(A767="","",IF(INDEX(EXTRATO!$C$2:$C$3000,MATCH($A767,EXTRATO!$A$2:$A$3000,0))="","",INDEX(EXTRATO!$C$2:$C$3000,MATCH($A767,EXTRATO!$A$2:$A$3000,0))))</f>
        <v>46206</v>
      </c>
      <c r="C767" s="86">
        <f t="shared" si="11"/>
        <v>7</v>
      </c>
      <c r="D767" s="81" t="s">
        <v>1311</v>
      </c>
      <c r="E767" s="79" t="s">
        <v>1312</v>
      </c>
      <c r="F767" s="80">
        <v>41</v>
      </c>
      <c r="G767" s="81" t="s">
        <v>2118</v>
      </c>
      <c r="H767" s="86" t="str">
        <f>IF(A767="","",IF(INDEX(EXTRATO!$F$2:$F$3000,MATCH($A767,EXTRATO!$A$2:$A$3000,0))="","",INDEX(EXTRATO!$F$2:$F$3000,MATCH($A767,EXTRATO!$A$2:$A$3000,0))))</f>
        <v>SAÍDA</v>
      </c>
      <c r="I767" s="88" t="str">
        <f>IF(A767="","",IF(INDEX(EXTRATO!$H$2:$H$3000,MATCH($A767,EXTRATO!$A$2:$A$3000,0))="","",INDEX(EXTRATO!$H$2:$H$3000,MATCH($A767,EXTRATO!$A$2:$A$3000,0))))</f>
        <v>FARMACE</v>
      </c>
      <c r="J767" s="86" t="s">
        <v>1360</v>
      </c>
      <c r="K767" s="86" t="str">
        <f>IF(AND(A767="",D767="",E767="",F767=""),"",IF(D767="","SEM CATEGORIA",IF(E767="","SEM SUBCATEGORIA",IF(COUNTIFS(CADASTROS!$L$7:$L$93,D767,CADASTROS!$D$7:$D$93,E767)=0,"INCOMPATÍVEL","OK"))))</f>
        <v>OK</v>
      </c>
    </row>
    <row r="768" spans="1:11" ht="30" hidden="1" customHeight="1" x14ac:dyDescent="0.25">
      <c r="A768" s="86" t="s">
        <v>2161</v>
      </c>
      <c r="B768" s="85">
        <f>IF(A768="","",IF(INDEX(EXTRATO!$C$2:$C$3000,MATCH($A768,EXTRATO!$A$2:$A$3000,0))="","",INDEX(EXTRATO!$C$2:$C$3000,MATCH($A768,EXTRATO!$A$2:$A$3000,0))))</f>
        <v>46209</v>
      </c>
      <c r="C768" s="86">
        <f t="shared" si="11"/>
        <v>7</v>
      </c>
      <c r="D768" s="81" t="s">
        <v>1305</v>
      </c>
      <c r="E768" s="79" t="s">
        <v>1962</v>
      </c>
      <c r="F768" s="80">
        <v>100000</v>
      </c>
      <c r="G768" s="81" t="s">
        <v>808</v>
      </c>
      <c r="H768" s="86" t="str">
        <f>IF(A768="","",IF(INDEX(EXTRATO!$F$2:$F$3000,MATCH($A768,EXTRATO!$A$2:$A$3000,0))="","",INDEX(EXTRATO!$F$2:$F$3000,MATCH($A768,EXTRATO!$A$2:$A$3000,0))))</f>
        <v>ENTRADA</v>
      </c>
      <c r="I768" s="88" t="str">
        <f>IF(A768="","",IF(INDEX(EXTRATO!$H$2:$H$3000,MATCH($A768,EXTRATO!$A$2:$A$3000,0))="","",INDEX(EXTRATO!$H$2:$H$3000,MATCH($A768,EXTRATO!$A$2:$A$3000,0))))</f>
        <v>BIORENAL LTDA</v>
      </c>
      <c r="J768" s="86" t="s">
        <v>1307</v>
      </c>
      <c r="K768" s="86" t="str">
        <f>IF(AND(A768="",D768="",E768="",F768=""),"",IF(D768="","SEM CATEGORIA",IF(E768="","SEM SUBCATEGORIA",IF(COUNTIFS(CADASTROS!$L$7:$L$93,D768,CADASTROS!$D$7:$D$93,E768)=0,"INCOMPATÍVEL","OK"))))</f>
        <v>OK</v>
      </c>
    </row>
    <row r="769" spans="1:11" ht="30" hidden="1" customHeight="1" x14ac:dyDescent="0.25">
      <c r="A769" s="86" t="s">
        <v>2162</v>
      </c>
      <c r="B769" s="85">
        <f>IF(A769="","",IF(INDEX(EXTRATO!$C$2:$C$3000,MATCH($A769,EXTRATO!$A$2:$A$3000,0))="","",INDEX(EXTRATO!$C$2:$C$3000,MATCH($A769,EXTRATO!$A$2:$A$3000,0))))</f>
        <v>46209</v>
      </c>
      <c r="C769" s="86">
        <f t="shared" si="11"/>
        <v>7</v>
      </c>
      <c r="D769" s="81" t="s">
        <v>1330</v>
      </c>
      <c r="E769" s="79" t="s">
        <v>2832</v>
      </c>
      <c r="F769" s="80">
        <v>1500</v>
      </c>
      <c r="G769" s="94" t="s">
        <v>1011</v>
      </c>
      <c r="H769" s="86" t="str">
        <f>IF(A769="","",IF(INDEX(EXTRATO!$F$2:$F$3000,MATCH($A769,EXTRATO!$A$2:$A$3000,0))="","",INDEX(EXTRATO!$F$2:$F$3000,MATCH($A769,EXTRATO!$A$2:$A$3000,0))))</f>
        <v>SAÍDA</v>
      </c>
      <c r="I769" s="88" t="str">
        <f>IF(A769="","",IF(INDEX(EXTRATO!$H$2:$H$3000,MATCH($A769,EXTRATO!$A$2:$A$3000,0))="","",INDEX(EXTRATO!$H$2:$H$3000,MATCH($A769,EXTRATO!$A$2:$A$3000,0))))</f>
        <v>DIEGO FERNANDES BRANDÃO</v>
      </c>
      <c r="J769" s="86" t="s">
        <v>1360</v>
      </c>
      <c r="K769" s="86" t="str">
        <f>IF(AND(A769="",D769="",E769="",F769=""),"",IF(D769="","SEM CATEGORIA",IF(E769="","SEM SUBCATEGORIA",IF(COUNTIFS(CADASTROS!$L$7:$L$93,D769,CADASTROS!$D$7:$D$93,E769)=0,"INCOMPATÍVEL","OK"))))</f>
        <v>OK</v>
      </c>
    </row>
    <row r="770" spans="1:11" ht="30" hidden="1" customHeight="1" x14ac:dyDescent="0.25">
      <c r="A770" s="86" t="s">
        <v>2163</v>
      </c>
      <c r="B770" s="85">
        <f>IF(A770="","",IF(INDEX(EXTRATO!$C$2:$C$3000,MATCH($A770,EXTRATO!$A$2:$A$3000,0))="","",INDEX(EXTRATO!$C$2:$C$3000,MATCH($A770,EXTRATO!$A$2:$A$3000,0))))</f>
        <v>46209</v>
      </c>
      <c r="C770" s="86">
        <f t="shared" ref="C770:C798" si="12">IF(B770="","",MONTH(B770))</f>
        <v>7</v>
      </c>
      <c r="D770" s="81" t="s">
        <v>1311</v>
      </c>
      <c r="E770" s="79" t="s">
        <v>1342</v>
      </c>
      <c r="F770" s="80">
        <v>9332.4</v>
      </c>
      <c r="G770" s="81" t="s">
        <v>273</v>
      </c>
      <c r="H770" s="86" t="str">
        <f>IF(A770="","",IF(INDEX(EXTRATO!$F$2:$F$3000,MATCH($A770,EXTRATO!$A$2:$A$3000,0))="","",INDEX(EXTRATO!$F$2:$F$3000,MATCH($A770,EXTRATO!$A$2:$A$3000,0))))</f>
        <v>SAÍDA</v>
      </c>
      <c r="I770" s="88" t="str">
        <f>IF(A770="","",IF(INDEX(EXTRATO!$H$2:$H$3000,MATCH($A770,EXTRATO!$A$2:$A$3000,0))="","",INDEX(EXTRATO!$H$2:$H$3000,MATCH($A770,EXTRATO!$A$2:$A$3000,0))))</f>
        <v>CRISTALIA PRODUTOS</v>
      </c>
      <c r="J770" s="86" t="s">
        <v>1565</v>
      </c>
      <c r="K770" s="86" t="str">
        <f>IF(AND(A770="",D770="",E770="",F770=""),"",IF(D770="","SEM CATEGORIA",IF(E770="","SEM SUBCATEGORIA",IF(COUNTIFS(CADASTROS!$L$7:$L$93,D770,CADASTROS!$D$7:$D$93,E770)=0,"INCOMPATÍVEL","OK"))))</f>
        <v>OK</v>
      </c>
    </row>
    <row r="771" spans="1:11" ht="30" hidden="1" customHeight="1" x14ac:dyDescent="0.25">
      <c r="A771" s="86" t="s">
        <v>2164</v>
      </c>
      <c r="B771" s="85">
        <f>IF(A771="","",IF(INDEX(EXTRATO!$C$2:$C$3000,MATCH($A771,EXTRATO!$A$2:$A$3000,0))="","",INDEX(EXTRATO!$C$2:$C$3000,MATCH($A771,EXTRATO!$A$2:$A$3000,0))))</f>
        <v>46209</v>
      </c>
      <c r="C771" s="86">
        <f t="shared" si="12"/>
        <v>7</v>
      </c>
      <c r="D771" s="81" t="s">
        <v>1311</v>
      </c>
      <c r="E771" s="79" t="s">
        <v>1312</v>
      </c>
      <c r="F771" s="80">
        <v>3440.76</v>
      </c>
      <c r="G771" s="81" t="s">
        <v>1013</v>
      </c>
      <c r="H771" s="86" t="str">
        <f>IF(A771="","",IF(INDEX(EXTRATO!$F$2:$F$3000,MATCH($A771,EXTRATO!$A$2:$A$3000,0))="","",INDEX(EXTRATO!$F$2:$F$3000,MATCH($A771,EXTRATO!$A$2:$A$3000,0))))</f>
        <v>SAÍDA</v>
      </c>
      <c r="I771" s="88" t="str">
        <f>IF(A771="","",IF(INDEX(EXTRATO!$H$2:$H$3000,MATCH($A771,EXTRATO!$A$2:$A$3000,0))="","",INDEX(EXTRATO!$H$2:$H$3000,MATCH($A771,EXTRATO!$A$2:$A$3000,0))))</f>
        <v>REMORA HOSPITALAR</v>
      </c>
      <c r="J771" s="86" t="s">
        <v>1565</v>
      </c>
      <c r="K771" s="86" t="str">
        <f>IF(AND(A771="",D771="",E771="",F771=""),"",IF(D771="","SEM CATEGORIA",IF(E771="","SEM SUBCATEGORIA",IF(COUNTIFS(CADASTROS!$L$7:$L$93,D771,CADASTROS!$D$7:$D$93,E771)=0,"INCOMPATÍVEL","OK"))))</f>
        <v>OK</v>
      </c>
    </row>
    <row r="772" spans="1:11" ht="30" hidden="1" customHeight="1" x14ac:dyDescent="0.25">
      <c r="A772" s="86" t="s">
        <v>2165</v>
      </c>
      <c r="B772" s="85">
        <f>IF(A772="","",IF(INDEX(EXTRATO!$C$2:$C$3000,MATCH($A772,EXTRATO!$A$2:$A$3000,0))="","",INDEX(EXTRATO!$C$2:$C$3000,MATCH($A772,EXTRATO!$A$2:$A$3000,0))))</f>
        <v>46209</v>
      </c>
      <c r="C772" s="86">
        <f t="shared" si="12"/>
        <v>7</v>
      </c>
      <c r="D772" s="81" t="s">
        <v>1330</v>
      </c>
      <c r="E772" s="79" t="s">
        <v>1333</v>
      </c>
      <c r="F772" s="80">
        <v>2593</v>
      </c>
      <c r="G772" s="81" t="s">
        <v>67</v>
      </c>
      <c r="H772" s="86" t="str">
        <f>IF(A772="","",IF(INDEX(EXTRATO!$F$2:$F$3000,MATCH($A772,EXTRATO!$A$2:$A$3000,0))="","",INDEX(EXTRATO!$F$2:$F$3000,MATCH($A772,EXTRATO!$A$2:$A$3000,0))))</f>
        <v>SAÍDA</v>
      </c>
      <c r="I772" s="88" t="str">
        <f>IF(A772="","",IF(INDEX(EXTRATO!$H$2:$H$3000,MATCH($A772,EXTRATO!$A$2:$A$3000,0))="","",INDEX(EXTRATO!$H$2:$H$3000,MATCH($A772,EXTRATO!$A$2:$A$3000,0))))</f>
        <v>CASSIANO &amp; CASSINOS CONTABILIDADE</v>
      </c>
      <c r="J772" s="86" t="s">
        <v>1565</v>
      </c>
      <c r="K772" s="86" t="str">
        <f>IF(AND(A772="",D772="",E772="",F772=""),"",IF(D772="","SEM CATEGORIA",IF(E772="","SEM SUBCATEGORIA",IF(COUNTIFS(CADASTROS!$L$7:$L$93,D772,CADASTROS!$D$7:$D$93,E772)=0,"INCOMPATÍVEL","OK"))))</f>
        <v>OK</v>
      </c>
    </row>
    <row r="773" spans="1:11" ht="30" hidden="1" customHeight="1" x14ac:dyDescent="0.25">
      <c r="A773" s="86" t="s">
        <v>2166</v>
      </c>
      <c r="B773" s="85">
        <f>IF(A773="","",IF(INDEX(EXTRATO!$C$2:$C$3000,MATCH($A773,EXTRATO!$A$2:$A$3000,0))="","",INDEX(EXTRATO!$C$2:$C$3000,MATCH($A773,EXTRATO!$A$2:$A$3000,0))))</f>
        <v>46209</v>
      </c>
      <c r="C773" s="86">
        <f t="shared" si="12"/>
        <v>7</v>
      </c>
      <c r="D773" s="81" t="s">
        <v>1330</v>
      </c>
      <c r="E773" s="79" t="s">
        <v>1344</v>
      </c>
      <c r="F773" s="80">
        <v>22470.959999999999</v>
      </c>
      <c r="G773" s="81" t="s">
        <v>1014</v>
      </c>
      <c r="H773" s="86" t="str">
        <f>IF(A773="","",IF(INDEX(EXTRATO!$F$2:$F$3000,MATCH($A773,EXTRATO!$A$2:$A$3000,0))="","",INDEX(EXTRATO!$F$2:$F$3000,MATCH($A773,EXTRATO!$A$2:$A$3000,0))))</f>
        <v>SAÍDA</v>
      </c>
      <c r="I773" s="88" t="str">
        <f>IF(A773="","",IF(INDEX(EXTRATO!$H$2:$H$3000,MATCH($A773,EXTRATO!$A$2:$A$3000,0))="","",INDEX(EXTRATO!$H$2:$H$3000,MATCH($A773,EXTRATO!$A$2:$A$3000,0))))</f>
        <v>EQUATORIAL MARANHÃO</v>
      </c>
      <c r="J773" s="86" t="s">
        <v>1565</v>
      </c>
      <c r="K773" s="86" t="str">
        <f>IF(AND(A773="",D773="",E773="",F773=""),"",IF(D773="","SEM CATEGORIA",IF(E773="","SEM SUBCATEGORIA",IF(COUNTIFS(CADASTROS!$L$7:$L$93,D773,CADASTROS!$D$7:$D$93,E773)=0,"INCOMPATÍVEL","OK"))))</f>
        <v>OK</v>
      </c>
    </row>
    <row r="774" spans="1:11" ht="30" hidden="1" customHeight="1" x14ac:dyDescent="0.25">
      <c r="A774" s="86" t="s">
        <v>2167</v>
      </c>
      <c r="B774" s="85">
        <f>IF(A774="","",IF(INDEX(EXTRATO!$C$2:$C$3000,MATCH($A774,EXTRATO!$A$2:$A$3000,0))="","",INDEX(EXTRATO!$C$2:$C$3000,MATCH($A774,EXTRATO!$A$2:$A$3000,0))))</f>
        <v>46209</v>
      </c>
      <c r="C774" s="86">
        <f t="shared" si="12"/>
        <v>7</v>
      </c>
      <c r="D774" s="81" t="s">
        <v>1311</v>
      </c>
      <c r="E774" s="79" t="s">
        <v>1312</v>
      </c>
      <c r="F774" s="80">
        <v>706.76</v>
      </c>
      <c r="G774" s="81" t="s">
        <v>908</v>
      </c>
      <c r="H774" s="86" t="str">
        <f>IF(A774="","",IF(INDEX(EXTRATO!$F$2:$F$3000,MATCH($A774,EXTRATO!$A$2:$A$3000,0))="","",INDEX(EXTRATO!$F$2:$F$3000,MATCH($A774,EXTRATO!$A$2:$A$3000,0))))</f>
        <v>SAÍDA</v>
      </c>
      <c r="I774" s="88" t="str">
        <f>IF(A774="","",IF(INDEX(EXTRATO!$H$2:$H$3000,MATCH($A774,EXTRATO!$A$2:$A$3000,0))="","",INDEX(EXTRATO!$H$2:$H$3000,MATCH($A774,EXTRATO!$A$2:$A$3000,0))))</f>
        <v>ULTRAMEGA DISTRIBUIDORA</v>
      </c>
      <c r="J774" s="86" t="s">
        <v>1565</v>
      </c>
      <c r="K774" s="86" t="str">
        <f>IF(AND(A774="",D774="",E774="",F774=""),"",IF(D774="","SEM CATEGORIA",IF(E774="","SEM SUBCATEGORIA",IF(COUNTIFS(CADASTROS!$L$7:$L$93,D774,CADASTROS!$D$7:$D$93,E774)=0,"INCOMPATÍVEL","OK"))))</f>
        <v>OK</v>
      </c>
    </row>
    <row r="775" spans="1:11" ht="30" hidden="1" customHeight="1" x14ac:dyDescent="0.25">
      <c r="A775" s="86" t="s">
        <v>2168</v>
      </c>
      <c r="B775" s="85">
        <f>IF(A775="","",IF(INDEX(EXTRATO!$C$2:$C$3000,MATCH($A775,EXTRATO!$A$2:$A$3000,0))="","",INDEX(EXTRATO!$C$2:$C$3000,MATCH($A775,EXTRATO!$A$2:$A$3000,0))))</f>
        <v>46209</v>
      </c>
      <c r="C775" s="86">
        <f t="shared" si="12"/>
        <v>7</v>
      </c>
      <c r="D775" s="81" t="s">
        <v>1311</v>
      </c>
      <c r="E775" s="79" t="s">
        <v>1312</v>
      </c>
      <c r="F775" s="80">
        <v>742.96</v>
      </c>
      <c r="G775" s="81" t="s">
        <v>1015</v>
      </c>
      <c r="H775" s="86" t="str">
        <f>IF(A775="","",IF(INDEX(EXTRATO!$F$2:$F$3000,MATCH($A775,EXTRATO!$A$2:$A$3000,0))="","",INDEX(EXTRATO!$F$2:$F$3000,MATCH($A775,EXTRATO!$A$2:$A$3000,0))))</f>
        <v>SAÍDA</v>
      </c>
      <c r="I775" s="88" t="str">
        <f>IF(A775="","",IF(INDEX(EXTRATO!$H$2:$H$3000,MATCH($A775,EXTRATO!$A$2:$A$3000,0))="","",INDEX(EXTRATO!$H$2:$H$3000,MATCH($A775,EXTRATO!$A$2:$A$3000,0))))</f>
        <v>ULTRAMEGA DISTRIBUIDORA</v>
      </c>
      <c r="J775" s="86" t="s">
        <v>1565</v>
      </c>
      <c r="K775" s="86" t="str">
        <f>IF(AND(A775="",D775="",E775="",F775=""),"",IF(D775="","SEM CATEGORIA",IF(E775="","SEM SUBCATEGORIA",IF(COUNTIFS(CADASTROS!$L$7:$L$93,D775,CADASTROS!$D$7:$D$93,E775)=0,"INCOMPATÍVEL","OK"))))</f>
        <v>OK</v>
      </c>
    </row>
    <row r="776" spans="1:11" ht="30" hidden="1" customHeight="1" x14ac:dyDescent="0.25">
      <c r="A776" s="86" t="s">
        <v>2169</v>
      </c>
      <c r="B776" s="85">
        <f>IF(A776="","",IF(INDEX(EXTRATO!$C$2:$C$3000,MATCH($A776,EXTRATO!$A$2:$A$3000,0))="","",INDEX(EXTRATO!$C$2:$C$3000,MATCH($A776,EXTRATO!$A$2:$A$3000,0))))</f>
        <v>46209</v>
      </c>
      <c r="C776" s="86">
        <f t="shared" si="12"/>
        <v>7</v>
      </c>
      <c r="D776" s="81" t="s">
        <v>1311</v>
      </c>
      <c r="E776" s="79" t="s">
        <v>1312</v>
      </c>
      <c r="F776" s="80">
        <v>1790</v>
      </c>
      <c r="G776" s="81" t="s">
        <v>526</v>
      </c>
      <c r="H776" s="86" t="str">
        <f>IF(A776="","",IF(INDEX(EXTRATO!$F$2:$F$3000,MATCH($A776,EXTRATO!$A$2:$A$3000,0))="","",INDEX(EXTRATO!$F$2:$F$3000,MATCH($A776,EXTRATO!$A$2:$A$3000,0))))</f>
        <v>SAÍDA</v>
      </c>
      <c r="I776" s="88" t="str">
        <f>IF(A776="","",IF(INDEX(EXTRATO!$H$2:$H$3000,MATCH($A776,EXTRATO!$A$2:$A$3000,0))="","",INDEX(EXTRATO!$H$2:$H$3000,MATCH($A776,EXTRATO!$A$2:$A$3000,0))))</f>
        <v>COOP. UNIMED</v>
      </c>
      <c r="J776" s="86" t="s">
        <v>1565</v>
      </c>
      <c r="K776" s="86" t="str">
        <f>IF(AND(A776="",D776="",E776="",F776=""),"",IF(D776="","SEM CATEGORIA",IF(E776="","SEM SUBCATEGORIA",IF(COUNTIFS(CADASTROS!$L$7:$L$93,D776,CADASTROS!$D$7:$D$93,E776)=0,"INCOMPATÍVEL","OK"))))</f>
        <v>OK</v>
      </c>
    </row>
    <row r="777" spans="1:11" ht="30" hidden="1" customHeight="1" x14ac:dyDescent="0.25">
      <c r="A777" s="86" t="s">
        <v>2170</v>
      </c>
      <c r="B777" s="85">
        <f>IF(A777="","",IF(INDEX(EXTRATO!$C$2:$C$3000,MATCH($A777,EXTRATO!$A$2:$A$3000,0))="","",INDEX(EXTRATO!$C$2:$C$3000,MATCH($A777,EXTRATO!$A$2:$A$3000,0))))</f>
        <v>46210</v>
      </c>
      <c r="C777" s="86">
        <f t="shared" si="12"/>
        <v>7</v>
      </c>
      <c r="D777" s="81" t="s">
        <v>1367</v>
      </c>
      <c r="E777" s="79" t="s">
        <v>1479</v>
      </c>
      <c r="F777" s="80">
        <v>73787.45</v>
      </c>
      <c r="G777" s="81" t="s">
        <v>1016</v>
      </c>
      <c r="H777" s="86" t="str">
        <f>IF(A777="","",IF(INDEX(EXTRATO!$F$2:$F$3000,MATCH($A777,EXTRATO!$A$2:$A$3000,0))="","",INDEX(EXTRATO!$F$2:$F$3000,MATCH($A777,EXTRATO!$A$2:$A$3000,0))))</f>
        <v>SAÍDA</v>
      </c>
      <c r="I777" s="88" t="str">
        <f>IF(A777="","",IF(INDEX(EXTRATO!$H$2:$H$3000,MATCH($A777,EXTRATO!$A$2:$A$3000,0))="","",INDEX(EXTRATO!$H$2:$H$3000,MATCH($A777,EXTRATO!$A$2:$A$3000,0))))</f>
        <v>FOLHA DE PAGAMENTO</v>
      </c>
      <c r="J777" s="86" t="s">
        <v>1360</v>
      </c>
      <c r="K777" s="86" t="str">
        <f>IF(AND(A777="",D777="",E777="",F777=""),"",IF(D777="","SEM CATEGORIA",IF(E777="","SEM SUBCATEGORIA",IF(COUNTIFS(CADASTROS!$L$7:$L$93,D777,CADASTROS!$D$7:$D$93,E777)=0,"INCOMPATÍVEL","OK"))))</f>
        <v>OK</v>
      </c>
    </row>
    <row r="778" spans="1:11" ht="30" hidden="1" customHeight="1" x14ac:dyDescent="0.25">
      <c r="A778" s="86" t="s">
        <v>2171</v>
      </c>
      <c r="B778" s="85">
        <f>IF(A778="","",IF(INDEX(EXTRATO!$C$2:$C$3000,MATCH($A778,EXTRATO!$A$2:$A$3000,0))="","",INDEX(EXTRATO!$C$2:$C$3000,MATCH($A778,EXTRATO!$A$2:$A$3000,0))))</f>
        <v>46210</v>
      </c>
      <c r="C778" s="86">
        <f t="shared" si="12"/>
        <v>7</v>
      </c>
      <c r="D778" s="81" t="s">
        <v>1330</v>
      </c>
      <c r="E778" s="79" t="s">
        <v>1352</v>
      </c>
      <c r="F778" s="80">
        <v>41.63</v>
      </c>
      <c r="G778" s="81" t="s">
        <v>276</v>
      </c>
      <c r="H778" s="86" t="str">
        <f>IF(A778="","",IF(INDEX(EXTRATO!$F$2:$F$3000,MATCH($A778,EXTRATO!$A$2:$A$3000,0))="","",INDEX(EXTRATO!$F$2:$F$3000,MATCH($A778,EXTRATO!$A$2:$A$3000,0))))</f>
        <v>SAÍDA</v>
      </c>
      <c r="I778" s="88" t="str">
        <f>IF(A778="","",IF(INDEX(EXTRATO!$H$2:$H$3000,MATCH($A778,EXTRATO!$A$2:$A$3000,0))="","",INDEX(EXTRATO!$H$2:$H$3000,MATCH($A778,EXTRATO!$A$2:$A$3000,0))))</f>
        <v>TARIFA BANCÁRIA</v>
      </c>
      <c r="J778" s="86" t="s">
        <v>1565</v>
      </c>
      <c r="K778" s="86" t="str">
        <f>IF(AND(A778="",D778="",E778="",F778=""),"",IF(D778="","SEM CATEGORIA",IF(E778="","SEM SUBCATEGORIA",IF(COUNTIFS(CADASTROS!$L$7:$L$93,D778,CADASTROS!$D$7:$D$93,E778)=0,"INCOMPATÍVEL","OK"))))</f>
        <v>OK</v>
      </c>
    </row>
    <row r="779" spans="1:11" ht="30" hidden="1" customHeight="1" x14ac:dyDescent="0.25">
      <c r="A779" s="86" t="s">
        <v>2172</v>
      </c>
      <c r="B779" s="85">
        <f>IF(A779="","",IF(INDEX(EXTRATO!$C$2:$C$3000,MATCH($A779,EXTRATO!$A$2:$A$3000,0))="","",INDEX(EXTRATO!$C$2:$C$3000,MATCH($A779,EXTRATO!$A$2:$A$3000,0))))</f>
        <v>46211</v>
      </c>
      <c r="C779" s="86">
        <f t="shared" si="12"/>
        <v>7</v>
      </c>
      <c r="D779" s="81" t="s">
        <v>1349</v>
      </c>
      <c r="E779" s="79" t="s">
        <v>1441</v>
      </c>
      <c r="F779" s="80">
        <v>1246</v>
      </c>
      <c r="G779" s="81" t="s">
        <v>1017</v>
      </c>
      <c r="H779" s="86" t="str">
        <f>IF(A779="","",IF(INDEX(EXTRATO!$F$2:$F$3000,MATCH($A779,EXTRATO!$A$2:$A$3000,0))="","",INDEX(EXTRATO!$F$2:$F$3000,MATCH($A779,EXTRATO!$A$2:$A$3000,0))))</f>
        <v>SAÍDA</v>
      </c>
      <c r="I779" s="88" t="str">
        <f>IF(A779="","",IF(INDEX(EXTRATO!$H$2:$H$3000,MATCH($A779,EXTRATO!$A$2:$A$3000,0))="","",INDEX(EXTRATO!$H$2:$H$3000,MATCH($A779,EXTRATO!$A$2:$A$3000,0))))</f>
        <v>CLAUDIANE CARDOSO DA SILVA (CARRO HTI)</v>
      </c>
      <c r="J779" s="86" t="s">
        <v>1565</v>
      </c>
      <c r="K779" s="86" t="str">
        <f>IF(AND(A779="",D779="",E779="",F779=""),"",IF(D779="","SEM CATEGORIA",IF(E779="","SEM SUBCATEGORIA",IF(COUNTIFS(CADASTROS!$L$7:$L$93,D779,CADASTROS!$D$7:$D$93,E779)=0,"INCOMPATÍVEL","OK"))))</f>
        <v>OK</v>
      </c>
    </row>
    <row r="780" spans="1:11" ht="30" hidden="1" customHeight="1" x14ac:dyDescent="0.25">
      <c r="A780" s="86" t="s">
        <v>2173</v>
      </c>
      <c r="B780" s="85">
        <f>IF(A780="","",IF(INDEX(EXTRATO!$C$2:$C$3000,MATCH($A780,EXTRATO!$A$2:$A$3000,0))="","",INDEX(EXTRATO!$C$2:$C$3000,MATCH($A780,EXTRATO!$A$2:$A$3000,0))))</f>
        <v>46211</v>
      </c>
      <c r="C780" s="86">
        <f t="shared" si="12"/>
        <v>7</v>
      </c>
      <c r="D780" s="81" t="s">
        <v>1311</v>
      </c>
      <c r="E780" s="79" t="s">
        <v>1376</v>
      </c>
      <c r="F780" s="80">
        <v>8891.25</v>
      </c>
      <c r="G780" s="81" t="s">
        <v>1019</v>
      </c>
      <c r="H780" s="86" t="str">
        <f>IF(A780="","",IF(INDEX(EXTRATO!$F$2:$F$3000,MATCH($A780,EXTRATO!$A$2:$A$3000,0))="","",INDEX(EXTRATO!$F$2:$F$3000,MATCH($A780,EXTRATO!$A$2:$A$3000,0))))</f>
        <v>SAÍDA</v>
      </c>
      <c r="I780" s="88" t="str">
        <f>IF(A780="","",IF(INDEX(EXTRATO!$H$2:$H$3000,MATCH($A780,EXTRATO!$A$2:$A$3000,0))="","",INDEX(EXTRATO!$H$2:$H$3000,MATCH($A780,EXTRATO!$A$2:$A$3000,0))))</f>
        <v>NIPRO</v>
      </c>
      <c r="J780" s="86" t="s">
        <v>1565</v>
      </c>
      <c r="K780" s="86" t="str">
        <f>IF(AND(A780="",D780="",E780="",F780=""),"",IF(D780="","SEM CATEGORIA",IF(E780="","SEM SUBCATEGORIA",IF(COUNTIFS(CADASTROS!$L$7:$L$93,D780,CADASTROS!$D$7:$D$93,E780)=0,"INCOMPATÍVEL","OK"))))</f>
        <v>OK</v>
      </c>
    </row>
    <row r="781" spans="1:11" ht="30" hidden="1" customHeight="1" x14ac:dyDescent="0.25">
      <c r="A781" s="86" t="s">
        <v>2174</v>
      </c>
      <c r="B781" s="85">
        <f>IF(A781="","",IF(INDEX(EXTRATO!$C$2:$C$3000,MATCH($A781,EXTRATO!$A$2:$A$3000,0))="","",INDEX(EXTRATO!$C$2:$C$3000,MATCH($A781,EXTRATO!$A$2:$A$3000,0))))</f>
        <v>46211</v>
      </c>
      <c r="C781" s="86">
        <f t="shared" si="12"/>
        <v>7</v>
      </c>
      <c r="D781" s="81" t="s">
        <v>1454</v>
      </c>
      <c r="E781" s="79" t="s">
        <v>1521</v>
      </c>
      <c r="F781" s="80">
        <v>1935.4</v>
      </c>
      <c r="G781" s="81" t="s">
        <v>1021</v>
      </c>
      <c r="H781" s="86" t="str">
        <f>IF(A781="","",IF(INDEX(EXTRATO!$F$2:$F$3000,MATCH($A781,EXTRATO!$A$2:$A$3000,0))="","",INDEX(EXTRATO!$F$2:$F$3000,MATCH($A781,EXTRATO!$A$2:$A$3000,0))))</f>
        <v>SAÍDA</v>
      </c>
      <c r="I781" s="88" t="str">
        <f>IF(A781="","",IF(INDEX(EXTRATO!$H$2:$H$3000,MATCH($A781,EXTRATO!$A$2:$A$3000,0))="","",INDEX(EXTRATO!$H$2:$H$3000,MATCH($A781,EXTRATO!$A$2:$A$3000,0))))</f>
        <v>BANCO VOLKSWAGEN</v>
      </c>
      <c r="J781" s="86" t="s">
        <v>1565</v>
      </c>
      <c r="K781" s="86" t="str">
        <f>IF(AND(A781="",D781="",E781="",F781=""),"",IF(D781="","SEM CATEGORIA",IF(E781="","SEM SUBCATEGORIA",IF(COUNTIFS(CADASTROS!$L$7:$L$93,D781,CADASTROS!$D$7:$D$93,E781)=0,"INCOMPATÍVEL","OK"))))</f>
        <v>OK</v>
      </c>
    </row>
    <row r="782" spans="1:11" ht="30" hidden="1" customHeight="1" x14ac:dyDescent="0.25">
      <c r="A782" s="86" t="s">
        <v>2175</v>
      </c>
      <c r="B782" s="85">
        <f>IF(A782="","",IF(INDEX(EXTRATO!$C$2:$C$3000,MATCH($A782,EXTRATO!$A$2:$A$3000,0))="","",INDEX(EXTRATO!$C$2:$C$3000,MATCH($A782,EXTRATO!$A$2:$A$3000,0))))</f>
        <v>46211</v>
      </c>
      <c r="C782" s="86">
        <f t="shared" si="12"/>
        <v>7</v>
      </c>
      <c r="D782" s="81" t="s">
        <v>1311</v>
      </c>
      <c r="E782" s="79" t="s">
        <v>1376</v>
      </c>
      <c r="F782" s="80">
        <v>3266.25</v>
      </c>
      <c r="G782" s="81" t="s">
        <v>1022</v>
      </c>
      <c r="H782" s="86" t="str">
        <f>IF(A782="","",IF(INDEX(EXTRATO!$F$2:$F$3000,MATCH($A782,EXTRATO!$A$2:$A$3000,0))="","",INDEX(EXTRATO!$F$2:$F$3000,MATCH($A782,EXTRATO!$A$2:$A$3000,0))))</f>
        <v>SAÍDA</v>
      </c>
      <c r="I782" s="88" t="str">
        <f>IF(A782="","",IF(INDEX(EXTRATO!$H$2:$H$3000,MATCH($A782,EXTRATO!$A$2:$A$3000,0))="","",INDEX(EXTRATO!$H$2:$H$3000,MATCH($A782,EXTRATO!$A$2:$A$3000,0))))</f>
        <v>NIPRO</v>
      </c>
      <c r="J782" s="86" t="s">
        <v>1565</v>
      </c>
      <c r="K782" s="86" t="str">
        <f>IF(AND(A782="",D782="",E782="",F782=""),"",IF(D782="","SEM CATEGORIA",IF(E782="","SEM SUBCATEGORIA",IF(COUNTIFS(CADASTROS!$L$7:$L$93,D782,CADASTROS!$D$7:$D$93,E782)=0,"INCOMPATÍVEL","OK"))))</f>
        <v>OK</v>
      </c>
    </row>
    <row r="783" spans="1:11" ht="30" hidden="1" customHeight="1" x14ac:dyDescent="0.25">
      <c r="A783" s="86" t="s">
        <v>2176</v>
      </c>
      <c r="B783" s="85">
        <f>IF(A783="","",IF(INDEX(EXTRATO!$C$2:$C$3000,MATCH($A783,EXTRATO!$A$2:$A$3000,0))="","",INDEX(EXTRATO!$C$2:$C$3000,MATCH($A783,EXTRATO!$A$2:$A$3000,0))))</f>
        <v>46213</v>
      </c>
      <c r="C783" s="86">
        <f t="shared" si="12"/>
        <v>7</v>
      </c>
      <c r="D783" s="81" t="s">
        <v>1311</v>
      </c>
      <c r="E783" s="79" t="s">
        <v>1376</v>
      </c>
      <c r="F783" s="80">
        <f>4800/2</f>
        <v>2400</v>
      </c>
      <c r="G783" s="81" t="s">
        <v>2822</v>
      </c>
      <c r="H783" s="86" t="str">
        <f>IF(A783="","",IF(INDEX(EXTRATO!$F$2:$F$3000,MATCH($A783,EXTRATO!$A$2:$A$3000,0))="","",INDEX(EXTRATO!$F$2:$F$3000,MATCH($A783,EXTRATO!$A$2:$A$3000,0))))</f>
        <v>SAÍDA</v>
      </c>
      <c r="I783" s="88" t="str">
        <f>IF(A783="","",IF(INDEX(EXTRATO!$H$2:$H$3000,MATCH($A783,EXTRATO!$A$2:$A$3000,0))="","",INDEX(EXTRATO!$H$2:$H$3000,MATCH($A783,EXTRATO!$A$2:$A$3000,0))))</f>
        <v>DIALISE COMERCIO</v>
      </c>
      <c r="J783" s="86" t="s">
        <v>1360</v>
      </c>
      <c r="K783" s="86" t="str">
        <f>IF(AND(A783="",D783="",E783="",F783=""),"",IF(D783="","SEM CATEGORIA",IF(E783="","SEM SUBCATEGORIA",IF(COUNTIFS(CADASTROS!$L$7:$L$93,D783,CADASTROS!$D$7:$D$93,E783)=0,"INCOMPATÍVEL","OK"))))</f>
        <v>OK</v>
      </c>
    </row>
    <row r="784" spans="1:11" ht="30" hidden="1" customHeight="1" x14ac:dyDescent="0.25">
      <c r="A784" s="86" t="s">
        <v>2176</v>
      </c>
      <c r="B784" s="85">
        <f>IF(A784="","",IF(INDEX(EXTRATO!$C$2:$C$3000,MATCH($A784,EXTRATO!$A$2:$A$3000,0))="","",INDEX(EXTRATO!$C$2:$C$3000,MATCH($A784,EXTRATO!$A$2:$A$3000,0))))</f>
        <v>46213</v>
      </c>
      <c r="C784" s="86">
        <f t="shared" si="12"/>
        <v>7</v>
      </c>
      <c r="D784" s="81" t="s">
        <v>1311</v>
      </c>
      <c r="E784" s="79" t="s">
        <v>1312</v>
      </c>
      <c r="F784" s="80">
        <v>540</v>
      </c>
      <c r="G784" s="81" t="s">
        <v>2823</v>
      </c>
      <c r="H784" s="86" t="str">
        <f>IF(A784="","",IF(INDEX(EXTRATO!$F$2:$F$3000,MATCH($A784,EXTRATO!$A$2:$A$3000,0))="","",INDEX(EXTRATO!$F$2:$F$3000,MATCH($A784,EXTRATO!$A$2:$A$3000,0))))</f>
        <v>SAÍDA</v>
      </c>
      <c r="I784" s="88" t="str">
        <f>IF(A784="","",IF(INDEX(EXTRATO!$H$2:$H$3000,MATCH($A784,EXTRATO!$A$2:$A$3000,0))="","",INDEX(EXTRATO!$H$2:$H$3000,MATCH($A784,EXTRATO!$A$2:$A$3000,0))))</f>
        <v>DIALISE COMERCIO</v>
      </c>
      <c r="J784" s="86" t="s">
        <v>1360</v>
      </c>
      <c r="K784" s="86" t="str">
        <f>IF(AND(A784="",D784="",E784="",F784=""),"",IF(D784="","SEM CATEGORIA",IF(E784="","SEM SUBCATEGORIA",IF(COUNTIFS(CADASTROS!$L$7:$L$93,D784,CADASTROS!$D$7:$D$93,E784)=0,"INCOMPATÍVEL","OK"))))</f>
        <v>OK</v>
      </c>
    </row>
    <row r="785" spans="1:11" ht="30" hidden="1" customHeight="1" x14ac:dyDescent="0.25">
      <c r="A785" s="86" t="s">
        <v>2177</v>
      </c>
      <c r="B785" s="85">
        <f>IF(A785="","",IF(INDEX(EXTRATO!$C$2:$C$3000,MATCH($A785,EXTRATO!$A$2:$A$3000,0))="","",INDEX(EXTRATO!$C$2:$C$3000,MATCH($A785,EXTRATO!$A$2:$A$3000,0))))</f>
        <v>46213</v>
      </c>
      <c r="C785" s="86">
        <f t="shared" si="12"/>
        <v>7</v>
      </c>
      <c r="D785" s="81" t="s">
        <v>1330</v>
      </c>
      <c r="E785" s="79" t="s">
        <v>1379</v>
      </c>
      <c r="F785" s="80">
        <v>149.9</v>
      </c>
      <c r="G785" s="81" t="s">
        <v>119</v>
      </c>
      <c r="H785" s="86" t="str">
        <f>IF(A785="","",IF(INDEX(EXTRATO!$F$2:$F$3000,MATCH($A785,EXTRATO!$A$2:$A$3000,0))="","",INDEX(EXTRATO!$F$2:$F$3000,MATCH($A785,EXTRATO!$A$2:$A$3000,0))))</f>
        <v>SAÍDA</v>
      </c>
      <c r="I785" s="88" t="str">
        <f>IF(A785="","",IF(INDEX(EXTRATO!$H$2:$H$3000,MATCH($A785,EXTRATO!$A$2:$A$3000,0))="","",INDEX(EXTRATO!$H$2:$H$3000,MATCH($A785,EXTRATO!$A$2:$A$3000,0))))</f>
        <v>MARANET TELECOM</v>
      </c>
      <c r="J785" s="86" t="s">
        <v>1565</v>
      </c>
      <c r="K785" s="86" t="str">
        <f>IF(AND(A785="",D785="",E785="",F785=""),"",IF(D785="","SEM CATEGORIA",IF(E785="","SEM SUBCATEGORIA",IF(COUNTIFS(CADASTROS!$L$7:$L$93,D785,CADASTROS!$D$7:$D$93,E785)=0,"INCOMPATÍVEL","OK"))))</f>
        <v>OK</v>
      </c>
    </row>
    <row r="786" spans="1:11" ht="30" hidden="1" customHeight="1" x14ac:dyDescent="0.25">
      <c r="A786" s="86" t="s">
        <v>2178</v>
      </c>
      <c r="B786" s="85">
        <f>IF(A786="","",IF(INDEX(EXTRATO!$C$2:$C$3000,MATCH($A786,EXTRATO!$A$2:$A$3000,0))="","",INDEX(EXTRATO!$C$2:$C$3000,MATCH($A786,EXTRATO!$A$2:$A$3000,0))))</f>
        <v>46213</v>
      </c>
      <c r="C786" s="86">
        <f t="shared" si="12"/>
        <v>7</v>
      </c>
      <c r="D786" s="81" t="s">
        <v>1330</v>
      </c>
      <c r="E786" s="79" t="s">
        <v>1400</v>
      </c>
      <c r="F786" s="80">
        <v>1600</v>
      </c>
      <c r="G786" s="81" t="s">
        <v>1025</v>
      </c>
      <c r="H786" s="86" t="str">
        <f>IF(A786="","",IF(INDEX(EXTRATO!$F$2:$F$3000,MATCH($A786,EXTRATO!$A$2:$A$3000,0))="","",INDEX(EXTRATO!$F$2:$F$3000,MATCH($A786,EXTRATO!$A$2:$A$3000,0))))</f>
        <v>SAÍDA</v>
      </c>
      <c r="I786" s="88" t="str">
        <f>IF(A786="","",IF(INDEX(EXTRATO!$H$2:$H$3000,MATCH($A786,EXTRATO!$A$2:$A$3000,0))="","",INDEX(EXTRATO!$H$2:$H$3000,MATCH($A786,EXTRATO!$A$2:$A$3000,0))))</f>
        <v>BIOGREEN</v>
      </c>
      <c r="J786" s="86" t="s">
        <v>1565</v>
      </c>
      <c r="K786" s="86" t="str">
        <f>IF(AND(A786="",D786="",E786="",F786=""),"",IF(D786="","SEM CATEGORIA",IF(E786="","SEM SUBCATEGORIA",IF(COUNTIFS(CADASTROS!$L$7:$L$93,D786,CADASTROS!$D$7:$D$93,E786)=0,"INCOMPATÍVEL","OK"))))</f>
        <v>OK</v>
      </c>
    </row>
    <row r="787" spans="1:11" ht="30" hidden="1" customHeight="1" x14ac:dyDescent="0.25">
      <c r="A787" s="86" t="s">
        <v>2179</v>
      </c>
      <c r="B787" s="85">
        <f>IF(A787="","",IF(INDEX(EXTRATO!$C$2:$C$3000,MATCH($A787,EXTRATO!$A$2:$A$3000,0))="","",INDEX(EXTRATO!$C$2:$C$3000,MATCH($A787,EXTRATO!$A$2:$A$3000,0))))</f>
        <v>46213</v>
      </c>
      <c r="C787" s="86">
        <f t="shared" si="12"/>
        <v>7</v>
      </c>
      <c r="D787" s="81" t="s">
        <v>1388</v>
      </c>
      <c r="E787" s="79" t="s">
        <v>125</v>
      </c>
      <c r="F787" s="80">
        <v>30275.67</v>
      </c>
      <c r="G787" s="81" t="s">
        <v>1027</v>
      </c>
      <c r="H787" s="86" t="str">
        <f>IF(A787="","",IF(INDEX(EXTRATO!$F$2:$F$3000,MATCH($A787,EXTRATO!$A$2:$A$3000,0))="","",INDEX(EXTRATO!$F$2:$F$3000,MATCH($A787,EXTRATO!$A$2:$A$3000,0))))</f>
        <v>SAÍDA</v>
      </c>
      <c r="I787" s="88" t="str">
        <f>IF(A787="","",IF(INDEX(EXTRATO!$H$2:$H$3000,MATCH($A787,EXTRATO!$A$2:$A$3000,0))="","",INDEX(EXTRATO!$H$2:$H$3000,MATCH($A787,EXTRATO!$A$2:$A$3000,0))))</f>
        <v>ISS</v>
      </c>
      <c r="J787" s="86" t="s">
        <v>1565</v>
      </c>
      <c r="K787" s="86" t="str">
        <f>IF(AND(A787="",D787="",E787="",F787=""),"",IF(D787="","SEM CATEGORIA",IF(E787="","SEM SUBCATEGORIA",IF(COUNTIFS(CADASTROS!$L$7:$L$93,D787,CADASTROS!$D$7:$D$93,E787)=0,"INCOMPATÍVEL","OK"))))</f>
        <v>OK</v>
      </c>
    </row>
    <row r="788" spans="1:11" ht="30" hidden="1" customHeight="1" x14ac:dyDescent="0.25">
      <c r="A788" s="86" t="s">
        <v>2180</v>
      </c>
      <c r="B788" s="85">
        <f>IF(A788="","",IF(INDEX(EXTRATO!$C$2:$C$3000,MATCH($A788,EXTRATO!$A$2:$A$3000,0))="","",INDEX(EXTRATO!$C$2:$C$3000,MATCH($A788,EXTRATO!$A$2:$A$3000,0))))</f>
        <v>46213</v>
      </c>
      <c r="C788" s="86">
        <f t="shared" si="12"/>
        <v>7</v>
      </c>
      <c r="D788" s="81" t="s">
        <v>1349</v>
      </c>
      <c r="E788" s="79" t="s">
        <v>1402</v>
      </c>
      <c r="F788" s="80">
        <v>400</v>
      </c>
      <c r="G788" s="81" t="s">
        <v>136</v>
      </c>
      <c r="H788" s="86" t="str">
        <f>IF(A788="","",IF(INDEX(EXTRATO!$F$2:$F$3000,MATCH($A788,EXTRATO!$A$2:$A$3000,0))="","",INDEX(EXTRATO!$F$2:$F$3000,MATCH($A788,EXTRATO!$A$2:$A$3000,0))))</f>
        <v>SAÍDA</v>
      </c>
      <c r="I788" s="88" t="str">
        <f>IF(A788="","",IF(INDEX(EXTRATO!$H$2:$H$3000,MATCH($A788,EXTRATO!$A$2:$A$3000,0))="","",INDEX(EXTRATO!$H$2:$H$3000,MATCH($A788,EXTRATO!$A$2:$A$3000,0))))</f>
        <v>LEMOS BRANCO &amp; CIA</v>
      </c>
      <c r="J788" s="86" t="s">
        <v>1565</v>
      </c>
      <c r="K788" s="86" t="str">
        <f>IF(AND(A788="",D788="",E788="",F788=""),"",IF(D788="","SEM CATEGORIA",IF(E788="","SEM SUBCATEGORIA",IF(COUNTIFS(CADASTROS!$L$7:$L$93,D788,CADASTROS!$D$7:$D$93,E788)=0,"INCOMPATÍVEL","OK"))))</f>
        <v>OK</v>
      </c>
    </row>
    <row r="789" spans="1:11" ht="30" hidden="1" customHeight="1" x14ac:dyDescent="0.25">
      <c r="A789" s="86" t="s">
        <v>2181</v>
      </c>
      <c r="B789" s="85">
        <f>IF(A789="","",IF(INDEX(EXTRATO!$C$2:$C$3000,MATCH($A789,EXTRATO!$A$2:$A$3000,0))="","",INDEX(EXTRATO!$C$2:$C$3000,MATCH($A789,EXTRATO!$A$2:$A$3000,0))))</f>
        <v>46213</v>
      </c>
      <c r="C789" s="86">
        <f t="shared" si="12"/>
        <v>7</v>
      </c>
      <c r="D789" s="81" t="s">
        <v>1330</v>
      </c>
      <c r="E789" s="79" t="s">
        <v>1352</v>
      </c>
      <c r="F789" s="80">
        <v>275</v>
      </c>
      <c r="G789" s="81" t="s">
        <v>297</v>
      </c>
      <c r="H789" s="86" t="str">
        <f>IF(A789="","",IF(INDEX(EXTRATO!$F$2:$F$3000,MATCH($A789,EXTRATO!$A$2:$A$3000,0))="","",INDEX(EXTRATO!$F$2:$F$3000,MATCH($A789,EXTRATO!$A$2:$A$3000,0))))</f>
        <v>SAÍDA</v>
      </c>
      <c r="I789" s="88" t="str">
        <f>IF(A789="","",IF(INDEX(EXTRATO!$H$2:$H$3000,MATCH($A789,EXTRATO!$A$2:$A$3000,0))="","",INDEX(EXTRATO!$H$2:$H$3000,MATCH($A789,EXTRATO!$A$2:$A$3000,0))))</f>
        <v>TARIFA PACOTE DE SERVIÇOS</v>
      </c>
      <c r="J789" s="86" t="s">
        <v>1565</v>
      </c>
      <c r="K789" s="86" t="str">
        <f>IF(AND(A789="",D789="",E789="",F789=""),"",IF(D789="","SEM CATEGORIA",IF(E789="","SEM SUBCATEGORIA",IF(COUNTIFS(CADASTROS!$L$7:$L$93,D789,CADASTROS!$D$7:$D$93,E789)=0,"INCOMPATÍVEL","OK"))))</f>
        <v>OK</v>
      </c>
    </row>
    <row r="790" spans="1:11" ht="30" hidden="1" customHeight="1" x14ac:dyDescent="0.25">
      <c r="A790" s="86" t="s">
        <v>2182</v>
      </c>
      <c r="B790" s="85">
        <f>IF(A790="","",IF(INDEX(EXTRATO!$C$2:$C$3000,MATCH($A790,EXTRATO!$A$2:$A$3000,0))="","",INDEX(EXTRATO!$C$2:$C$3000,MATCH($A790,EXTRATO!$A$2:$A$3000,0))))</f>
        <v>46216</v>
      </c>
      <c r="C790" s="86">
        <f t="shared" si="12"/>
        <v>7</v>
      </c>
      <c r="D790" s="81" t="s">
        <v>1305</v>
      </c>
      <c r="E790" s="79" t="s">
        <v>1962</v>
      </c>
      <c r="F790" s="80">
        <v>50000</v>
      </c>
      <c r="G790" s="81" t="s">
        <v>808</v>
      </c>
      <c r="H790" s="86" t="str">
        <f>IF(A790="","",IF(INDEX(EXTRATO!$F$2:$F$3000,MATCH($A790,EXTRATO!$A$2:$A$3000,0))="","",INDEX(EXTRATO!$F$2:$F$3000,MATCH($A790,EXTRATO!$A$2:$A$3000,0))))</f>
        <v>ENTRADA</v>
      </c>
      <c r="I790" s="88" t="str">
        <f>IF(A790="","",IF(INDEX(EXTRATO!$H$2:$H$3000,MATCH($A790,EXTRATO!$A$2:$A$3000,0))="","",INDEX(EXTRATO!$H$2:$H$3000,MATCH($A790,EXTRATO!$A$2:$A$3000,0))))</f>
        <v>BIORENAL LTDA</v>
      </c>
      <c r="J790" s="86" t="s">
        <v>1307</v>
      </c>
      <c r="K790" s="86" t="str">
        <f>IF(AND(A790="",D790="",E790="",F790=""),"",IF(D790="","SEM CATEGORIA",IF(E790="","SEM SUBCATEGORIA",IF(COUNTIFS(CADASTROS!$L$7:$L$93,D790,CADASTROS!$D$7:$D$93,E790)=0,"INCOMPATÍVEL","OK"))))</f>
        <v>OK</v>
      </c>
    </row>
    <row r="791" spans="1:11" ht="30" hidden="1" customHeight="1" x14ac:dyDescent="0.25">
      <c r="A791" s="86" t="s">
        <v>2183</v>
      </c>
      <c r="B791" s="85">
        <f>IF(A791="","",IF(INDEX(EXTRATO!$C$2:$C$3000,MATCH($A791,EXTRATO!$A$2:$A$3000,0))="","",INDEX(EXTRATO!$C$2:$C$3000,MATCH($A791,EXTRATO!$A$2:$A$3000,0))))</f>
        <v>46216</v>
      </c>
      <c r="C791" s="86">
        <f t="shared" si="12"/>
        <v>7</v>
      </c>
      <c r="D791" s="81" t="s">
        <v>1305</v>
      </c>
      <c r="E791" s="79" t="s">
        <v>1962</v>
      </c>
      <c r="F791" s="80">
        <v>50000</v>
      </c>
      <c r="G791" s="81" t="s">
        <v>808</v>
      </c>
      <c r="H791" s="86" t="str">
        <f>IF(A791="","",IF(INDEX(EXTRATO!$F$2:$F$3000,MATCH($A791,EXTRATO!$A$2:$A$3000,0))="","",INDEX(EXTRATO!$F$2:$F$3000,MATCH($A791,EXTRATO!$A$2:$A$3000,0))))</f>
        <v>ENTRADA</v>
      </c>
      <c r="I791" s="88" t="str">
        <f>IF(A791="","",IF(INDEX(EXTRATO!$H$2:$H$3000,MATCH($A791,EXTRATO!$A$2:$A$3000,0))="","",INDEX(EXTRATO!$H$2:$H$3000,MATCH($A791,EXTRATO!$A$2:$A$3000,0))))</f>
        <v>BIORENAL LTDA</v>
      </c>
      <c r="J791" s="86" t="s">
        <v>1307</v>
      </c>
      <c r="K791" s="86" t="str">
        <f>IF(AND(A791="",D791="",E791="",F791=""),"",IF(D791="","SEM CATEGORIA",IF(E791="","SEM SUBCATEGORIA",IF(COUNTIFS(CADASTROS!$L$7:$L$93,D791,CADASTROS!$D$7:$D$93,E791)=0,"INCOMPATÍVEL","OK"))))</f>
        <v>OK</v>
      </c>
    </row>
    <row r="792" spans="1:11" ht="30" hidden="1" customHeight="1" x14ac:dyDescent="0.25">
      <c r="A792" s="86" t="s">
        <v>2184</v>
      </c>
      <c r="B792" s="85">
        <f>IF(A792="","",IF(INDEX(EXTRATO!$C$2:$C$3000,MATCH($A792,EXTRATO!$A$2:$A$3000,0))="","",INDEX(EXTRATO!$C$2:$C$3000,MATCH($A792,EXTRATO!$A$2:$A$3000,0))))</f>
        <v>46216</v>
      </c>
      <c r="C792" s="86">
        <f t="shared" si="12"/>
        <v>7</v>
      </c>
      <c r="D792" s="81" t="s">
        <v>1330</v>
      </c>
      <c r="E792" s="79" t="s">
        <v>1358</v>
      </c>
      <c r="F792" s="80">
        <v>4320.74</v>
      </c>
      <c r="G792" s="81" t="s">
        <v>1029</v>
      </c>
      <c r="H792" s="86" t="str">
        <f>IF(A792="","",IF(INDEX(EXTRATO!$F$2:$F$3000,MATCH($A792,EXTRATO!$A$2:$A$3000,0))="","",INDEX(EXTRATO!$F$2:$F$3000,MATCH($A792,EXTRATO!$A$2:$A$3000,0))))</f>
        <v>SAÍDA</v>
      </c>
      <c r="I792" s="88" t="str">
        <f>IF(A792="","",IF(INDEX(EXTRATO!$H$2:$H$3000,MATCH($A792,EXTRATO!$A$2:$A$3000,0))="","",INDEX(EXTRATO!$H$2:$H$3000,MATCH($A792,EXTRATO!$A$2:$A$3000,0))))</f>
        <v>CAMINO</v>
      </c>
      <c r="J792" s="86" t="s">
        <v>1565</v>
      </c>
      <c r="K792" s="86" t="str">
        <f>IF(AND(A792="",D792="",E792="",F792=""),"",IF(D792="","SEM CATEGORIA",IF(E792="","SEM SUBCATEGORIA",IF(COUNTIFS(CADASTROS!$L$7:$L$93,D792,CADASTROS!$D$7:$D$93,E792)=0,"INCOMPATÍVEL","OK"))))</f>
        <v>OK</v>
      </c>
    </row>
    <row r="793" spans="1:11" ht="30" hidden="1" customHeight="1" x14ac:dyDescent="0.25">
      <c r="A793" s="86" t="s">
        <v>2185</v>
      </c>
      <c r="B793" s="85">
        <f>IF(A793="","",IF(INDEX(EXTRATO!$C$2:$C$3000,MATCH($A793,EXTRATO!$A$2:$A$3000,0))="","",INDEX(EXTRATO!$C$2:$C$3000,MATCH($A793,EXTRATO!$A$2:$A$3000,0))))</f>
        <v>46216</v>
      </c>
      <c r="C793" s="86">
        <f t="shared" si="12"/>
        <v>7</v>
      </c>
      <c r="D793" s="81" t="s">
        <v>1311</v>
      </c>
      <c r="E793" s="79" t="s">
        <v>1342</v>
      </c>
      <c r="F793" s="80">
        <v>7251.45</v>
      </c>
      <c r="G793" s="81" t="s">
        <v>80</v>
      </c>
      <c r="H793" s="86" t="str">
        <f>IF(A793="","",IF(INDEX(EXTRATO!$F$2:$F$3000,MATCH($A793,EXTRATO!$A$2:$A$3000,0))="","",INDEX(EXTRATO!$F$2:$F$3000,MATCH($A793,EXTRATO!$A$2:$A$3000,0))))</f>
        <v>SAÍDA</v>
      </c>
      <c r="I793" s="88" t="str">
        <f>IF(A793="","",IF(INDEX(EXTRATO!$H$2:$H$3000,MATCH($A793,EXTRATO!$A$2:$A$3000,0))="","",INDEX(EXTRATO!$H$2:$H$3000,MATCH($A793,EXTRATO!$A$2:$A$3000,0))))</f>
        <v>CRISTALIA PRODUTOS</v>
      </c>
      <c r="J793" s="86" t="s">
        <v>1565</v>
      </c>
      <c r="K793" s="86" t="str">
        <f>IF(AND(A793="",D793="",E793="",F793=""),"",IF(D793="","SEM CATEGORIA",IF(E793="","SEM SUBCATEGORIA",IF(COUNTIFS(CADASTROS!$L$7:$L$93,D793,CADASTROS!$D$7:$D$93,E793)=0,"INCOMPATÍVEL","OK"))))</f>
        <v>OK</v>
      </c>
    </row>
    <row r="794" spans="1:11" ht="30" hidden="1" customHeight="1" x14ac:dyDescent="0.25">
      <c r="A794" s="86" t="s">
        <v>2186</v>
      </c>
      <c r="B794" s="85">
        <f>IF(A794="","",IF(INDEX(EXTRATO!$C$2:$C$3000,MATCH($A794,EXTRATO!$A$2:$A$3000,0))="","",INDEX(EXTRATO!$C$2:$C$3000,MATCH($A794,EXTRATO!$A$2:$A$3000,0))))</f>
        <v>46216</v>
      </c>
      <c r="C794" s="86">
        <f t="shared" si="12"/>
        <v>7</v>
      </c>
      <c r="D794" s="81" t="s">
        <v>1330</v>
      </c>
      <c r="E794" s="79" t="s">
        <v>1331</v>
      </c>
      <c r="F794" s="80">
        <v>617.5</v>
      </c>
      <c r="G794" s="81" t="s">
        <v>1032</v>
      </c>
      <c r="H794" s="86" t="str">
        <f>IF(A794="","",IF(INDEX(EXTRATO!$F$2:$F$3000,MATCH($A794,EXTRATO!$A$2:$A$3000,0))="","",INDEX(EXTRATO!$F$2:$F$3000,MATCH($A794,EXTRATO!$A$2:$A$3000,0))))</f>
        <v>SAÍDA</v>
      </c>
      <c r="I794" s="88" t="str">
        <f>IF(A794="","",IF(INDEX(EXTRATO!$H$2:$H$3000,MATCH($A794,EXTRATO!$A$2:$A$3000,0))="","",INDEX(EXTRATO!$H$2:$H$3000,MATCH($A794,EXTRATO!$A$2:$A$3000,0))))</f>
        <v>BRANDÃO &amp; BRANDÃO</v>
      </c>
      <c r="J794" s="86" t="s">
        <v>1565</v>
      </c>
      <c r="K794" s="86" t="str">
        <f>IF(AND(A794="",D794="",E794="",F794=""),"",IF(D794="","SEM CATEGORIA",IF(E794="","SEM SUBCATEGORIA",IF(COUNTIFS(CADASTROS!$L$7:$L$93,D794,CADASTROS!$D$7:$D$93,E794)=0,"INCOMPATÍVEL","OK"))))</f>
        <v>OK</v>
      </c>
    </row>
    <row r="795" spans="1:11" ht="30" hidden="1" customHeight="1" x14ac:dyDescent="0.25">
      <c r="A795" s="86" t="s">
        <v>2187</v>
      </c>
      <c r="B795" s="85">
        <f>IF(A795="","",IF(INDEX(EXTRATO!$C$2:$C$3000,MATCH($A795,EXTRATO!$A$2:$A$3000,0))="","",INDEX(EXTRATO!$C$2:$C$3000,MATCH($A795,EXTRATO!$A$2:$A$3000,0))))</f>
        <v>46216</v>
      </c>
      <c r="C795" s="86">
        <f t="shared" si="12"/>
        <v>7</v>
      </c>
      <c r="D795" s="81" t="s">
        <v>1311</v>
      </c>
      <c r="E795" s="79" t="s">
        <v>1312</v>
      </c>
      <c r="F795" s="80">
        <v>2135.1</v>
      </c>
      <c r="G795" s="81" t="s">
        <v>1034</v>
      </c>
      <c r="H795" s="86" t="str">
        <f>IF(A795="","",IF(INDEX(EXTRATO!$F$2:$F$3000,MATCH($A795,EXTRATO!$A$2:$A$3000,0))="","",INDEX(EXTRATO!$F$2:$F$3000,MATCH($A795,EXTRATO!$A$2:$A$3000,0))))</f>
        <v>SAÍDA</v>
      </c>
      <c r="I795" s="88" t="str">
        <f>IF(A795="","",IF(INDEX(EXTRATO!$H$2:$H$3000,MATCH($A795,EXTRATO!$A$2:$A$3000,0))="","",INDEX(EXTRATO!$H$2:$H$3000,MATCH($A795,EXTRATO!$A$2:$A$3000,0))))</f>
        <v>SUPERMÉDICA</v>
      </c>
      <c r="J795" s="86" t="s">
        <v>1565</v>
      </c>
      <c r="K795" s="86" t="str">
        <f>IF(AND(A795="",D795="",E795="",F795=""),"",IF(D795="","SEM CATEGORIA",IF(E795="","SEM SUBCATEGORIA",IF(COUNTIFS(CADASTROS!$L$7:$L$93,D795,CADASTROS!$D$7:$D$93,E795)=0,"INCOMPATÍVEL","OK"))))</f>
        <v>OK</v>
      </c>
    </row>
    <row r="796" spans="1:11" ht="30" hidden="1" customHeight="1" x14ac:dyDescent="0.25">
      <c r="A796" s="86" t="s">
        <v>2188</v>
      </c>
      <c r="B796" s="85">
        <f>IF(A796="","",IF(INDEX(EXTRATO!$C$2:$C$3000,MATCH($A796,EXTRATO!$A$2:$A$3000,0))="","",INDEX(EXTRATO!$C$2:$C$3000,MATCH($A796,EXTRATO!$A$2:$A$3000,0))))</f>
        <v>46216</v>
      </c>
      <c r="C796" s="86">
        <f t="shared" si="12"/>
        <v>7</v>
      </c>
      <c r="D796" s="81" t="s">
        <v>1311</v>
      </c>
      <c r="E796" s="79" t="s">
        <v>1312</v>
      </c>
      <c r="F796" s="80">
        <v>3012</v>
      </c>
      <c r="G796" s="81" t="s">
        <v>882</v>
      </c>
      <c r="H796" s="86" t="str">
        <f>IF(A796="","",IF(INDEX(EXTRATO!$F$2:$F$3000,MATCH($A796,EXTRATO!$A$2:$A$3000,0))="","",INDEX(EXTRATO!$F$2:$F$3000,MATCH($A796,EXTRATO!$A$2:$A$3000,0))))</f>
        <v>SAÍDA</v>
      </c>
      <c r="I796" s="88" t="str">
        <f>IF(A796="","",IF(INDEX(EXTRATO!$H$2:$H$3000,MATCH($A796,EXTRATO!$A$2:$A$3000,0))="","",INDEX(EXTRATO!$H$2:$H$3000,MATCH($A796,EXTRATO!$A$2:$A$3000,0))))</f>
        <v>REMORA HOSPITALAR</v>
      </c>
      <c r="J796" s="86" t="s">
        <v>1565</v>
      </c>
      <c r="K796" s="86" t="str">
        <f>IF(AND(A796="",D796="",E796="",F796=""),"",IF(D796="","SEM CATEGORIA",IF(E796="","SEM SUBCATEGORIA",IF(COUNTIFS(CADASTROS!$L$7:$L$93,D796,CADASTROS!$D$7:$D$93,E796)=0,"INCOMPATÍVEL","OK"))))</f>
        <v>OK</v>
      </c>
    </row>
    <row r="797" spans="1:11" ht="30" hidden="1" customHeight="1" x14ac:dyDescent="0.25">
      <c r="A797" s="86" t="s">
        <v>2189</v>
      </c>
      <c r="B797" s="85">
        <f>IF(A797="","",IF(INDEX(EXTRATO!$C$2:$C$3000,MATCH($A797,EXTRATO!$A$2:$A$3000,0))="","",INDEX(EXTRATO!$C$2:$C$3000,MATCH($A797,EXTRATO!$A$2:$A$3000,0))))</f>
        <v>46216</v>
      </c>
      <c r="C797" s="86">
        <f t="shared" si="12"/>
        <v>7</v>
      </c>
      <c r="D797" s="81" t="s">
        <v>1311</v>
      </c>
      <c r="E797" s="79" t="s">
        <v>1312</v>
      </c>
      <c r="F797" s="80">
        <v>1126.52</v>
      </c>
      <c r="G797" s="81" t="s">
        <v>1037</v>
      </c>
      <c r="H797" s="86" t="str">
        <f>IF(A797="","",IF(INDEX(EXTRATO!$F$2:$F$3000,MATCH($A797,EXTRATO!$A$2:$A$3000,0))="","",INDEX(EXTRATO!$F$2:$F$3000,MATCH($A797,EXTRATO!$A$2:$A$3000,0))))</f>
        <v>SAÍDA</v>
      </c>
      <c r="I797" s="88" t="str">
        <f>IF(A797="","",IF(INDEX(EXTRATO!$H$2:$H$3000,MATCH($A797,EXTRATO!$A$2:$A$3000,0))="","",INDEX(EXTRATO!$H$2:$H$3000,MATCH($A797,EXTRATO!$A$2:$A$3000,0))))</f>
        <v>ULTRAMEGA DISTRIBUIDORA</v>
      </c>
      <c r="J797" s="86" t="s">
        <v>1360</v>
      </c>
      <c r="K797" s="86" t="str">
        <f>IF(AND(A797="",D797="",E797="",F797=""),"",IF(D797="","SEM CATEGORIA",IF(E797="","SEM SUBCATEGORIA",IF(COUNTIFS(CADASTROS!$L$7:$L$93,D797,CADASTROS!$D$7:$D$93,E797)=0,"INCOMPATÍVEL","OK"))))</f>
        <v>OK</v>
      </c>
    </row>
    <row r="798" spans="1:11" ht="30" hidden="1" customHeight="1" x14ac:dyDescent="0.25">
      <c r="A798" s="86" t="s">
        <v>2190</v>
      </c>
      <c r="B798" s="85">
        <f>IF(A798="","",IF(INDEX(EXTRATO!$C$2:$C$3000,MATCH($A798,EXTRATO!$A$2:$A$3000,0))="","",INDEX(EXTRATO!$C$2:$C$3000,MATCH($A798,EXTRATO!$A$2:$A$3000,0))))</f>
        <v>46216</v>
      </c>
      <c r="C798" s="86">
        <f t="shared" si="12"/>
        <v>7</v>
      </c>
      <c r="D798" s="81" t="s">
        <v>1311</v>
      </c>
      <c r="E798" s="79" t="s">
        <v>1312</v>
      </c>
      <c r="F798" s="80">
        <v>390.85</v>
      </c>
      <c r="G798" s="81" t="s">
        <v>1040</v>
      </c>
      <c r="H798" s="86" t="str">
        <f>IF(A798="","",IF(INDEX(EXTRATO!$F$2:$F$3000,MATCH($A798,EXTRATO!$A$2:$A$3000,0))="","",INDEX(EXTRATO!$F$2:$F$3000,MATCH($A798,EXTRATO!$A$2:$A$3000,0))))</f>
        <v>SAÍDA</v>
      </c>
      <c r="I798" s="88" t="str">
        <f>IF(A798="","",IF(INDEX(EXTRATO!$H$2:$H$3000,MATCH($A798,EXTRATO!$A$2:$A$3000,0))="","",INDEX(EXTRATO!$H$2:$H$3000,MATCH($A798,EXTRATO!$A$2:$A$3000,0))))</f>
        <v>ULTRAMEGA DISTRIBUIDORA</v>
      </c>
      <c r="J798" s="86" t="s">
        <v>1360</v>
      </c>
      <c r="K798" s="86" t="str">
        <f>IF(AND(A798="",D798="",E798="",F798=""),"",IF(D798="","SEM CATEGORIA",IF(E798="","SEM SUBCATEGORIA",IF(COUNTIFS(CADASTROS!$L$7:$L$93,D798,CADASTROS!$D$7:$D$93,E798)=0,"INCOMPATÍVEL","OK"))))</f>
        <v>OK</v>
      </c>
    </row>
    <row r="799" spans="1:11" ht="30" hidden="1" customHeight="1" x14ac:dyDescent="0.25">
      <c r="A799" s="86"/>
      <c r="B799" s="85"/>
      <c r="C799" s="86"/>
      <c r="D799" s="81"/>
      <c r="E799" s="79"/>
      <c r="F799" s="80"/>
      <c r="G799" s="81"/>
      <c r="H799" s="86"/>
      <c r="I799" s="88"/>
      <c r="J799" s="86"/>
      <c r="K799" s="86"/>
    </row>
    <row r="800" spans="1:11" ht="30" hidden="1" customHeight="1" x14ac:dyDescent="0.25">
      <c r="A800" s="86" t="s">
        <v>2191</v>
      </c>
      <c r="B800" s="85">
        <f>IF(A800="","",IF(INDEX(EXTRATO!$C$2:$C$3000,MATCH($A800,EXTRATO!$A$2:$A$3000,0))="","",INDEX(EXTRATO!$C$2:$C$3000,MATCH($A800,EXTRATO!$A$2:$A$3000,0))))</f>
        <v>46216</v>
      </c>
      <c r="C800" s="86">
        <f t="shared" ref="C800:C831" si="13">IF(B800="","",MONTH(B800))</f>
        <v>7</v>
      </c>
      <c r="D800" s="81" t="s">
        <v>1415</v>
      </c>
      <c r="E800" s="79" t="s">
        <v>2524</v>
      </c>
      <c r="F800" s="80">
        <v>2000</v>
      </c>
      <c r="G800" s="81" t="s">
        <v>1042</v>
      </c>
      <c r="H800" s="86" t="str">
        <f>IF(A800="","",IF(INDEX(EXTRATO!$F$2:$F$3000,MATCH($A800,EXTRATO!$A$2:$A$3000,0))="","",INDEX(EXTRATO!$F$2:$F$3000,MATCH($A800,EXTRATO!$A$2:$A$3000,0))))</f>
        <v>SAÍDA</v>
      </c>
      <c r="I800" s="88" t="str">
        <f>IF(A800="","",IF(INDEX(EXTRATO!$H$2:$H$3000,MATCH($A800,EXTRATO!$A$2:$A$3000,0))="","",INDEX(EXTRATO!$H$2:$H$3000,MATCH($A800,EXTRATO!$A$2:$A$3000,0))))</f>
        <v>I F DA SILVA &amp; CIA LTDA</v>
      </c>
      <c r="J800" s="86" t="s">
        <v>1313</v>
      </c>
      <c r="K800" s="86" t="str">
        <f>IF(AND(A800="",D800="",E800="",F800=""),"",IF(D800="","SEM CATEGORIA",IF(E800="","SEM SUBCATEGORIA",IF(COUNTIFS(CADASTROS!$L$7:$L$93,D800,CADASTROS!$D$7:$D$93,E800)=0,"INCOMPATÍVEL","OK"))))</f>
        <v>OK</v>
      </c>
    </row>
    <row r="801" spans="1:11" ht="30" hidden="1" customHeight="1" x14ac:dyDescent="0.25">
      <c r="A801" s="86" t="s">
        <v>2191</v>
      </c>
      <c r="B801" s="85">
        <f>IF(A801="","",IF(INDEX(EXTRATO!$C$2:$C$3000,MATCH($A801,EXTRATO!$A$2:$A$3000,0))="","",INDEX(EXTRATO!$C$2:$C$3000,MATCH($A801,EXTRATO!$A$2:$A$3000,0))))</f>
        <v>46216</v>
      </c>
      <c r="C801" s="86">
        <f t="shared" si="13"/>
        <v>7</v>
      </c>
      <c r="D801" s="81" t="s">
        <v>1415</v>
      </c>
      <c r="E801" s="79" t="s">
        <v>1422</v>
      </c>
      <c r="F801" s="80">
        <v>3419.97</v>
      </c>
      <c r="G801" s="81" t="s">
        <v>1042</v>
      </c>
      <c r="H801" s="86" t="str">
        <f>IF(A801="","",IF(INDEX(EXTRATO!$F$2:$F$3000,MATCH($A801,EXTRATO!$A$2:$A$3000,0))="","",INDEX(EXTRATO!$F$2:$F$3000,MATCH($A801,EXTRATO!$A$2:$A$3000,0))))</f>
        <v>SAÍDA</v>
      </c>
      <c r="I801" s="88" t="str">
        <f>IF(A801="","",IF(INDEX(EXTRATO!$H$2:$H$3000,MATCH($A801,EXTRATO!$A$2:$A$3000,0))="","",INDEX(EXTRATO!$H$2:$H$3000,MATCH($A801,EXTRATO!$A$2:$A$3000,0))))</f>
        <v>I F DA SILVA &amp; CIA LTDA</v>
      </c>
      <c r="J801" s="86" t="s">
        <v>1313</v>
      </c>
      <c r="K801" s="86" t="str">
        <f>IF(AND(A801="",D801="",E801="",F801=""),"",IF(D801="","SEM CATEGORIA",IF(E801="","SEM SUBCATEGORIA",IF(COUNTIFS(CADASTROS!$L$7:$L$93,D801,CADASTROS!$D$7:$D$93,E801)=0,"INCOMPATÍVEL","OK"))))</f>
        <v>OK</v>
      </c>
    </row>
    <row r="802" spans="1:11" ht="30" hidden="1" customHeight="1" x14ac:dyDescent="0.25">
      <c r="A802" s="86" t="s">
        <v>2191</v>
      </c>
      <c r="B802" s="85">
        <f>IF(A802="","",IF(INDEX(EXTRATO!$C$2:$C$3000,MATCH($A802,EXTRATO!$A$2:$A$3000,0))="","",INDEX(EXTRATO!$C$2:$C$3000,MATCH($A802,EXTRATO!$A$2:$A$3000,0))))</f>
        <v>46216</v>
      </c>
      <c r="C802" s="86">
        <f t="shared" si="13"/>
        <v>7</v>
      </c>
      <c r="D802" s="81" t="s">
        <v>1415</v>
      </c>
      <c r="E802" s="79" t="s">
        <v>1418</v>
      </c>
      <c r="F802" s="80">
        <v>500</v>
      </c>
      <c r="G802" s="81" t="s">
        <v>1042</v>
      </c>
      <c r="H802" s="86" t="str">
        <f>IF(A802="","",IF(INDEX(EXTRATO!$F$2:$F$3000,MATCH($A802,EXTRATO!$A$2:$A$3000,0))="","",INDEX(EXTRATO!$F$2:$F$3000,MATCH($A802,EXTRATO!$A$2:$A$3000,0))))</f>
        <v>SAÍDA</v>
      </c>
      <c r="I802" s="88" t="str">
        <f>IF(A802="","",IF(INDEX(EXTRATO!$H$2:$H$3000,MATCH($A802,EXTRATO!$A$2:$A$3000,0))="","",INDEX(EXTRATO!$H$2:$H$3000,MATCH($A802,EXTRATO!$A$2:$A$3000,0))))</f>
        <v>I F DA SILVA &amp; CIA LTDA</v>
      </c>
      <c r="J802" s="86" t="s">
        <v>1313</v>
      </c>
      <c r="K802" s="86" t="str">
        <f>IF(AND(A802="",D802="",E802="",F802=""),"",IF(D802="","SEM CATEGORIA",IF(E802="","SEM SUBCATEGORIA",IF(COUNTIFS(CADASTROS!$L$7:$L$93,D802,CADASTROS!$D$7:$D$93,E802)=0,"INCOMPATÍVEL","OK"))))</f>
        <v>OK</v>
      </c>
    </row>
    <row r="803" spans="1:11" ht="30" hidden="1" customHeight="1" x14ac:dyDescent="0.25">
      <c r="A803" s="86" t="s">
        <v>2191</v>
      </c>
      <c r="B803" s="85">
        <f>IF(A803="","",IF(INDEX(EXTRATO!$C$2:$C$3000,MATCH($A803,EXTRATO!$A$2:$A$3000,0))="","",INDEX(EXTRATO!$C$2:$C$3000,MATCH($A803,EXTRATO!$A$2:$A$3000,0))))</f>
        <v>46216</v>
      </c>
      <c r="C803" s="86">
        <f t="shared" si="13"/>
        <v>7</v>
      </c>
      <c r="D803" s="81" t="s">
        <v>1415</v>
      </c>
      <c r="E803" s="79" t="s">
        <v>1420</v>
      </c>
      <c r="F803" s="80">
        <v>3886.36</v>
      </c>
      <c r="G803" s="81" t="s">
        <v>1042</v>
      </c>
      <c r="H803" s="86" t="str">
        <f>IF(A803="","",IF(INDEX(EXTRATO!$F$2:$F$3000,MATCH($A803,EXTRATO!$A$2:$A$3000,0))="","",INDEX(EXTRATO!$F$2:$F$3000,MATCH($A803,EXTRATO!$A$2:$A$3000,0))))</f>
        <v>SAÍDA</v>
      </c>
      <c r="I803" s="88" t="str">
        <f>IF(A803="","",IF(INDEX(EXTRATO!$H$2:$H$3000,MATCH($A803,EXTRATO!$A$2:$A$3000,0))="","",INDEX(EXTRATO!$H$2:$H$3000,MATCH($A803,EXTRATO!$A$2:$A$3000,0))))</f>
        <v>I F DA SILVA &amp; CIA LTDA</v>
      </c>
      <c r="J803" s="86" t="s">
        <v>1313</v>
      </c>
      <c r="K803" s="86" t="str">
        <f>IF(AND(A803="",D803="",E803="",F803=""),"",IF(D803="","SEM CATEGORIA",IF(E803="","SEM SUBCATEGORIA",IF(COUNTIFS(CADASTROS!$L$7:$L$93,D803,CADASTROS!$D$7:$D$93,E803)=0,"INCOMPATÍVEL","OK"))))</f>
        <v>OK</v>
      </c>
    </row>
    <row r="804" spans="1:11" ht="30" hidden="1" customHeight="1" x14ac:dyDescent="0.25">
      <c r="A804" s="86" t="s">
        <v>2191</v>
      </c>
      <c r="B804" s="85">
        <f>IF(A804="","",IF(INDEX(EXTRATO!$C$2:$C$3000,MATCH($A804,EXTRATO!$A$2:$A$3000,0))="","",INDEX(EXTRATO!$C$2:$C$3000,MATCH($A804,EXTRATO!$A$2:$A$3000,0))))</f>
        <v>46216</v>
      </c>
      <c r="C804" s="86">
        <f t="shared" si="13"/>
        <v>7</v>
      </c>
      <c r="D804" s="81" t="s">
        <v>1415</v>
      </c>
      <c r="E804" s="79" t="s">
        <v>1416</v>
      </c>
      <c r="F804" s="80">
        <v>800</v>
      </c>
      <c r="G804" s="81" t="s">
        <v>1042</v>
      </c>
      <c r="H804" s="86" t="str">
        <f>IF(A804="","",IF(INDEX(EXTRATO!$F$2:$F$3000,MATCH($A804,EXTRATO!$A$2:$A$3000,0))="","",INDEX(EXTRATO!$F$2:$F$3000,MATCH($A804,EXTRATO!$A$2:$A$3000,0))))</f>
        <v>SAÍDA</v>
      </c>
      <c r="I804" s="88" t="str">
        <f>IF(A804="","",IF(INDEX(EXTRATO!$H$2:$H$3000,MATCH($A804,EXTRATO!$A$2:$A$3000,0))="","",INDEX(EXTRATO!$H$2:$H$3000,MATCH($A804,EXTRATO!$A$2:$A$3000,0))))</f>
        <v>I F DA SILVA &amp; CIA LTDA</v>
      </c>
      <c r="J804" s="86" t="s">
        <v>1313</v>
      </c>
      <c r="K804" s="86" t="str">
        <f>IF(AND(A804="",D804="",E804="",F804=""),"",IF(D804="","SEM CATEGORIA",IF(E804="","SEM SUBCATEGORIA",IF(COUNTIFS(CADASTROS!$L$7:$L$93,D804,CADASTROS!$D$7:$D$93,E804)=0,"INCOMPATÍVEL","OK"))))</f>
        <v>OK</v>
      </c>
    </row>
    <row r="805" spans="1:11" ht="30" hidden="1" customHeight="1" x14ac:dyDescent="0.25">
      <c r="A805" s="86" t="s">
        <v>2191</v>
      </c>
      <c r="B805" s="85">
        <f>IF(A805="","",IF(INDEX(EXTRATO!$C$2:$C$3000,MATCH($A805,EXTRATO!$A$2:$A$3000,0))="","",INDEX(EXTRATO!$C$2:$C$3000,MATCH($A805,EXTRATO!$A$2:$A$3000,0))))</f>
        <v>46216</v>
      </c>
      <c r="C805" s="86">
        <f t="shared" si="13"/>
        <v>7</v>
      </c>
      <c r="D805" s="81" t="s">
        <v>1415</v>
      </c>
      <c r="E805" s="79" t="s">
        <v>1420</v>
      </c>
      <c r="F805" s="80">
        <v>600</v>
      </c>
      <c r="G805" s="81" t="s">
        <v>1042</v>
      </c>
      <c r="H805" s="86" t="str">
        <f>IF(A805="","",IF(INDEX(EXTRATO!$F$2:$F$3000,MATCH($A805,EXTRATO!$A$2:$A$3000,0))="","",INDEX(EXTRATO!$F$2:$F$3000,MATCH($A805,EXTRATO!$A$2:$A$3000,0))))</f>
        <v>SAÍDA</v>
      </c>
      <c r="I805" s="88" t="str">
        <f>IF(A805="","",IF(INDEX(EXTRATO!$H$2:$H$3000,MATCH($A805,EXTRATO!$A$2:$A$3000,0))="","",INDEX(EXTRATO!$H$2:$H$3000,MATCH($A805,EXTRATO!$A$2:$A$3000,0))))</f>
        <v>I F DA SILVA &amp; CIA LTDA</v>
      </c>
      <c r="J805" s="86" t="s">
        <v>1313</v>
      </c>
      <c r="K805" s="86" t="str">
        <f>IF(AND(A805="",D805="",E805="",F805=""),"",IF(D805="","SEM CATEGORIA",IF(E805="","SEM SUBCATEGORIA",IF(COUNTIFS(CADASTROS!$L$7:$L$93,D805,CADASTROS!$D$7:$D$93,E805)=0,"INCOMPATÍVEL","OK"))))</f>
        <v>OK</v>
      </c>
    </row>
    <row r="806" spans="1:11" ht="30" hidden="1" customHeight="1" x14ac:dyDescent="0.25">
      <c r="A806" s="86" t="s">
        <v>2192</v>
      </c>
      <c r="B806" s="85">
        <f>IF(A806="","",IF(INDEX(EXTRATO!$C$2:$C$3000,MATCH($A806,EXTRATO!$A$2:$A$3000,0))="","",INDEX(EXTRATO!$C$2:$C$3000,MATCH($A806,EXTRATO!$A$2:$A$3000,0))))</f>
        <v>46217</v>
      </c>
      <c r="C806" s="86">
        <f t="shared" si="13"/>
        <v>7</v>
      </c>
      <c r="D806" s="81" t="s">
        <v>1305</v>
      </c>
      <c r="E806" s="79" t="s">
        <v>1339</v>
      </c>
      <c r="F806" s="80">
        <v>36168.61</v>
      </c>
      <c r="G806" s="81" t="s">
        <v>1044</v>
      </c>
      <c r="H806" s="86" t="str">
        <f>IF(A806="","",IF(INDEX(EXTRATO!$F$2:$F$3000,MATCH($A806,EXTRATO!$A$2:$A$3000,0))="","",INDEX(EXTRATO!$F$2:$F$3000,MATCH($A806,EXTRATO!$A$2:$A$3000,0))))</f>
        <v>ENTRADA</v>
      </c>
      <c r="I806" s="88" t="str">
        <f>IF(A806="","",IF(INDEX(EXTRATO!$H$2:$H$3000,MATCH($A806,EXTRATO!$A$2:$A$3000,0))="","",INDEX(EXTRATO!$H$2:$H$3000,MATCH($A806,EXTRATO!$A$2:$A$3000,0))))</f>
        <v>PISO DE ENFERMAGEM</v>
      </c>
      <c r="J806" s="86" t="s">
        <v>1307</v>
      </c>
      <c r="K806" s="86" t="str">
        <f>IF(AND(A806="",D806="",E806="",F806=""),"",IF(D806="","SEM CATEGORIA",IF(E806="","SEM SUBCATEGORIA",IF(COUNTIFS(CADASTROS!$L$7:$L$93,D806,CADASTROS!$D$7:$D$93,E806)=0,"INCOMPATÍVEL","OK"))))</f>
        <v>OK</v>
      </c>
    </row>
    <row r="807" spans="1:11" ht="30" hidden="1" customHeight="1" x14ac:dyDescent="0.25">
      <c r="A807" s="86" t="s">
        <v>2193</v>
      </c>
      <c r="B807" s="85">
        <f>IF(A807="","",IF(INDEX(EXTRATO!$C$2:$C$3000,MATCH($A807,EXTRATO!$A$2:$A$3000,0))="","",INDEX(EXTRATO!$C$2:$C$3000,MATCH($A807,EXTRATO!$A$2:$A$3000,0))))</f>
        <v>46218</v>
      </c>
      <c r="C807" s="86">
        <f t="shared" si="13"/>
        <v>7</v>
      </c>
      <c r="D807" s="81" t="s">
        <v>1330</v>
      </c>
      <c r="E807" s="79" t="s">
        <v>1331</v>
      </c>
      <c r="F807" s="80">
        <v>90</v>
      </c>
      <c r="G807" s="81" t="s">
        <v>1045</v>
      </c>
      <c r="H807" s="86" t="str">
        <f>IF(A807="","",IF(INDEX(EXTRATO!$F$2:$F$3000,MATCH($A807,EXTRATO!$A$2:$A$3000,0))="","",INDEX(EXTRATO!$F$2:$F$3000,MATCH($A807,EXTRATO!$A$2:$A$3000,0))))</f>
        <v>SAÍDA</v>
      </c>
      <c r="I807" s="88" t="str">
        <f>IF(A807="","",IF(INDEX(EXTRATO!$H$2:$H$3000,MATCH($A807,EXTRATO!$A$2:$A$3000,0))="","",INDEX(EXTRATO!$H$2:$H$3000,MATCH($A807,EXTRATO!$A$2:$A$3000,0))))</f>
        <v xml:space="preserve">EUREKA LAVANDERIA </v>
      </c>
      <c r="J807" s="86" t="s">
        <v>1565</v>
      </c>
      <c r="K807" s="86" t="str">
        <f>IF(AND(A807="",D807="",E807="",F807=""),"",IF(D807="","SEM CATEGORIA",IF(E807="","SEM SUBCATEGORIA",IF(COUNTIFS(CADASTROS!$L$7:$L$93,D807,CADASTROS!$D$7:$D$93,E807)=0,"INCOMPATÍVEL","OK"))))</f>
        <v>OK</v>
      </c>
    </row>
    <row r="808" spans="1:11" ht="30" hidden="1" customHeight="1" x14ac:dyDescent="0.25">
      <c r="A808" s="86" t="s">
        <v>2194</v>
      </c>
      <c r="B808" s="85">
        <f>IF(A808="","",IF(INDEX(EXTRATO!$C$2:$C$3000,MATCH($A808,EXTRATO!$A$2:$A$3000,0))="","",INDEX(EXTRATO!$C$2:$C$3000,MATCH($A808,EXTRATO!$A$2:$A$3000,0))))</f>
        <v>46218</v>
      </c>
      <c r="C808" s="86">
        <f t="shared" si="13"/>
        <v>7</v>
      </c>
      <c r="D808" s="81" t="s">
        <v>1370</v>
      </c>
      <c r="E808" s="79" t="s">
        <v>2528</v>
      </c>
      <c r="F808" s="80">
        <v>850</v>
      </c>
      <c r="G808" s="81" t="s">
        <v>1047</v>
      </c>
      <c r="H808" s="86" t="str">
        <f>IF(A808="","",IF(INDEX(EXTRATO!$F$2:$F$3000,MATCH($A808,EXTRATO!$A$2:$A$3000,0))="","",INDEX(EXTRATO!$F$2:$F$3000,MATCH($A808,EXTRATO!$A$2:$A$3000,0))))</f>
        <v>SAÍDA</v>
      </c>
      <c r="I808" s="88" t="str">
        <f>IF(A808="","",IF(INDEX(EXTRATO!$H$2:$H$3000,MATCH($A808,EXTRATO!$A$2:$A$3000,0))="","",INDEX(EXTRATO!$H$2:$H$3000,MATCH($A808,EXTRATO!$A$2:$A$3000,0))))</f>
        <v>CL REFRIGERACAO</v>
      </c>
      <c r="J808" s="86" t="s">
        <v>1360</v>
      </c>
      <c r="K808" s="86" t="str">
        <f>IF(AND(A808="",D808="",E808="",F808=""),"",IF(D808="","SEM CATEGORIA",IF(E808="","SEM SUBCATEGORIA",IF(COUNTIFS(CADASTROS!$L$7:$L$93,D808,CADASTROS!$D$7:$D$93,E808)=0,"INCOMPATÍVEL","OK"))))</f>
        <v>OK</v>
      </c>
    </row>
    <row r="809" spans="1:11" ht="30" hidden="1" customHeight="1" x14ac:dyDescent="0.25">
      <c r="A809" s="86" t="s">
        <v>2195</v>
      </c>
      <c r="B809" s="85">
        <f>IF(A809="","",IF(INDEX(EXTRATO!$C$2:$C$3000,MATCH($A809,EXTRATO!$A$2:$A$3000,0))="","",INDEX(EXTRATO!$C$2:$C$3000,MATCH($A809,EXTRATO!$A$2:$A$3000,0))))</f>
        <v>46218</v>
      </c>
      <c r="C809" s="86">
        <f t="shared" si="13"/>
        <v>7</v>
      </c>
      <c r="D809" s="81" t="s">
        <v>1367</v>
      </c>
      <c r="E809" s="79" t="s">
        <v>1383</v>
      </c>
      <c r="F809" s="80">
        <v>36168.61</v>
      </c>
      <c r="G809" s="81" t="s">
        <v>1050</v>
      </c>
      <c r="H809" s="86" t="str">
        <f>IF(A809="","",IF(INDEX(EXTRATO!$F$2:$F$3000,MATCH($A809,EXTRATO!$A$2:$A$3000,0))="","",INDEX(EXTRATO!$F$2:$F$3000,MATCH($A809,EXTRATO!$A$2:$A$3000,0))))</f>
        <v>SAÍDA</v>
      </c>
      <c r="I809" s="88" t="str">
        <f>IF(A809="","",IF(INDEX(EXTRATO!$H$2:$H$3000,MATCH($A809,EXTRATO!$A$2:$A$3000,0))="","",INDEX(EXTRATO!$H$2:$H$3000,MATCH($A809,EXTRATO!$A$2:$A$3000,0))))</f>
        <v>FOLHA DE PAGAMENTO - PISO</v>
      </c>
      <c r="J809" s="86" t="s">
        <v>1360</v>
      </c>
      <c r="K809" s="86" t="str">
        <f>IF(AND(A809="",D809="",E809="",F809=""),"",IF(D809="","SEM CATEGORIA",IF(E809="","SEM SUBCATEGORIA",IF(COUNTIFS(CADASTROS!$L$7:$L$93,D809,CADASTROS!$D$7:$D$93,E809)=0,"INCOMPATÍVEL","OK"))))</f>
        <v>OK</v>
      </c>
    </row>
    <row r="810" spans="1:11" ht="30" hidden="1" customHeight="1" x14ac:dyDescent="0.25">
      <c r="A810" s="86" t="s">
        <v>2196</v>
      </c>
      <c r="B810" s="85">
        <f>IF(A810="","",IF(INDEX(EXTRATO!$C$2:$C$3000,MATCH($A810,EXTRATO!$A$2:$A$3000,0))="","",INDEX(EXTRATO!$C$2:$C$3000,MATCH($A810,EXTRATO!$A$2:$A$3000,0))))</f>
        <v>46218</v>
      </c>
      <c r="C810" s="86">
        <f t="shared" si="13"/>
        <v>7</v>
      </c>
      <c r="D810" s="81" t="s">
        <v>1370</v>
      </c>
      <c r="E810" s="79" t="s">
        <v>1494</v>
      </c>
      <c r="F810" s="80">
        <v>400</v>
      </c>
      <c r="G810" s="81" t="s">
        <v>1051</v>
      </c>
      <c r="H810" s="86" t="str">
        <f>IF(A810="","",IF(INDEX(EXTRATO!$F$2:$F$3000,MATCH($A810,EXTRATO!$A$2:$A$3000,0))="","",INDEX(EXTRATO!$F$2:$F$3000,MATCH($A810,EXTRATO!$A$2:$A$3000,0))))</f>
        <v>SAÍDA</v>
      </c>
      <c r="I810" s="88" t="str">
        <f>IF(A810="","",IF(INDEX(EXTRATO!$H$2:$H$3000,MATCH($A810,EXTRATO!$A$2:$A$3000,0))="","",INDEX(EXTRATO!$H$2:$H$3000,MATCH($A810,EXTRATO!$A$2:$A$3000,0))))</f>
        <v>MANOEL FAGNER DA CONCEIÇÃO</v>
      </c>
      <c r="J810" s="86" t="s">
        <v>1360</v>
      </c>
      <c r="K810" s="86" t="str">
        <f>IF(AND(A810="",D810="",E810="",F810=""),"",IF(D810="","SEM CATEGORIA",IF(E810="","SEM SUBCATEGORIA",IF(COUNTIFS(CADASTROS!$L$7:$L$93,D810,CADASTROS!$D$7:$D$93,E810)=0,"INCOMPATÍVEL","OK"))))</f>
        <v>OK</v>
      </c>
    </row>
    <row r="811" spans="1:11" ht="30" hidden="1" customHeight="1" x14ac:dyDescent="0.25">
      <c r="A811" s="86" t="s">
        <v>2197</v>
      </c>
      <c r="B811" s="85">
        <f>IF(A811="","",IF(INDEX(EXTRATO!$C$2:$C$3000,MATCH($A811,EXTRATO!$A$2:$A$3000,0))="","",INDEX(EXTRATO!$C$2:$C$3000,MATCH($A811,EXTRATO!$A$2:$A$3000,0))))</f>
        <v>46218</v>
      </c>
      <c r="C811" s="86">
        <f t="shared" si="13"/>
        <v>7</v>
      </c>
      <c r="D811" s="81" t="s">
        <v>1370</v>
      </c>
      <c r="E811" s="79" t="s">
        <v>1494</v>
      </c>
      <c r="F811" s="80">
        <v>700</v>
      </c>
      <c r="G811" s="81" t="s">
        <v>1053</v>
      </c>
      <c r="H811" s="86" t="str">
        <f>IF(A811="","",IF(INDEX(EXTRATO!$F$2:$F$3000,MATCH($A811,EXTRATO!$A$2:$A$3000,0))="","",INDEX(EXTRATO!$F$2:$F$3000,MATCH($A811,EXTRATO!$A$2:$A$3000,0))))</f>
        <v>SAÍDA</v>
      </c>
      <c r="I811" s="88" t="str">
        <f>IF(A811="","",IF(INDEX(EXTRATO!$H$2:$H$3000,MATCH($A811,EXTRATO!$A$2:$A$3000,0))="","",INDEX(EXTRATO!$H$2:$H$3000,MATCH($A811,EXTRATO!$A$2:$A$3000,0))))</f>
        <v>A. A . DE L. DA SILVA</v>
      </c>
      <c r="J811" s="86" t="s">
        <v>1360</v>
      </c>
      <c r="K811" s="86" t="str">
        <f>IF(AND(A811="",D811="",E811="",F811=""),"",IF(D811="","SEM CATEGORIA",IF(E811="","SEM SUBCATEGORIA",IF(COUNTIFS(CADASTROS!$L$7:$L$93,D811,CADASTROS!$D$7:$D$93,E811)=0,"INCOMPATÍVEL","OK"))))</f>
        <v>OK</v>
      </c>
    </row>
    <row r="812" spans="1:11" ht="30" hidden="1" customHeight="1" x14ac:dyDescent="0.25">
      <c r="A812" s="86" t="s">
        <v>2198</v>
      </c>
      <c r="B812" s="85">
        <f>IF(A812="","",IF(INDEX(EXTRATO!$C$2:$C$3000,MATCH($A812,EXTRATO!$A$2:$A$3000,0))="","",INDEX(EXTRATO!$C$2:$C$3000,MATCH($A812,EXTRATO!$A$2:$A$3000,0))))</f>
        <v>46218</v>
      </c>
      <c r="C812" s="86">
        <f t="shared" si="13"/>
        <v>7</v>
      </c>
      <c r="D812" s="81" t="s">
        <v>1349</v>
      </c>
      <c r="E812" s="79" t="s">
        <v>1411</v>
      </c>
      <c r="F812" s="80">
        <v>450</v>
      </c>
      <c r="G812" s="81" t="s">
        <v>1055</v>
      </c>
      <c r="H812" s="86" t="str">
        <f>IF(A812="","",IF(INDEX(EXTRATO!$F$2:$F$3000,MATCH($A812,EXTRATO!$A$2:$A$3000,0))="","",INDEX(EXTRATO!$F$2:$F$3000,MATCH($A812,EXTRATO!$A$2:$A$3000,0))))</f>
        <v>SAÍDA</v>
      </c>
      <c r="I812" s="88" t="str">
        <f>IF(A812="","",IF(INDEX(EXTRATO!$H$2:$H$3000,MATCH($A812,EXTRATO!$A$2:$A$3000,0))="","",INDEX(EXTRATO!$H$2:$H$3000,MATCH($A812,EXTRATO!$A$2:$A$3000,0))))</f>
        <v>E G BISPO TRANSPORTES</v>
      </c>
      <c r="J812" s="86" t="s">
        <v>1565</v>
      </c>
      <c r="K812" s="86" t="str">
        <f>IF(AND(A812="",D812="",E812="",F812=""),"",IF(D812="","SEM CATEGORIA",IF(E812="","SEM SUBCATEGORIA",IF(COUNTIFS(CADASTROS!$L$7:$L$93,D812,CADASTROS!$D$7:$D$93,E812)=0,"INCOMPATÍVEL","OK"))))</f>
        <v>OK</v>
      </c>
    </row>
    <row r="813" spans="1:11" ht="30" hidden="1" customHeight="1" x14ac:dyDescent="0.25">
      <c r="A813" s="86" t="s">
        <v>2199</v>
      </c>
      <c r="B813" s="85">
        <f>IF(A813="","",IF(INDEX(EXTRATO!$C$2:$C$3000,MATCH($A813,EXTRATO!$A$2:$A$3000,0))="","",INDEX(EXTRATO!$C$2:$C$3000,MATCH($A813,EXTRATO!$A$2:$A$3000,0))))</f>
        <v>46218</v>
      </c>
      <c r="C813" s="86">
        <f t="shared" si="13"/>
        <v>7</v>
      </c>
      <c r="D813" s="81" t="s">
        <v>1330</v>
      </c>
      <c r="E813" s="79" t="s">
        <v>1413</v>
      </c>
      <c r="F813" s="80">
        <v>1468</v>
      </c>
      <c r="G813" s="81" t="s">
        <v>1056</v>
      </c>
      <c r="H813" s="86" t="str">
        <f>IF(A813="","",IF(INDEX(EXTRATO!$F$2:$F$3000,MATCH($A813,EXTRATO!$A$2:$A$3000,0))="","",INDEX(EXTRATO!$F$2:$F$3000,MATCH($A813,EXTRATO!$A$2:$A$3000,0))))</f>
        <v>SAÍDA</v>
      </c>
      <c r="I813" s="88" t="str">
        <f>IF(A813="","",IF(INDEX(EXTRATO!$H$2:$H$3000,MATCH($A813,EXTRATO!$A$2:$A$3000,0))="","",INDEX(EXTRATO!$H$2:$H$3000,MATCH($A813,EXTRATO!$A$2:$A$3000,0))))</f>
        <v>E M GONÇALVES PADARIA</v>
      </c>
      <c r="J813" s="86" t="s">
        <v>1360</v>
      </c>
      <c r="K813" s="86" t="str">
        <f>IF(AND(A813="",D813="",E813="",F813=""),"",IF(D813="","SEM CATEGORIA",IF(E813="","SEM SUBCATEGORIA",IF(COUNTIFS(CADASTROS!$L$7:$L$93,D813,CADASTROS!$D$7:$D$93,E813)=0,"INCOMPATÍVEL","OK"))))</f>
        <v>OK</v>
      </c>
    </row>
    <row r="814" spans="1:11" ht="30" hidden="1" customHeight="1" x14ac:dyDescent="0.25">
      <c r="A814" s="86" t="s">
        <v>2200</v>
      </c>
      <c r="B814" s="85">
        <f>IF(A814="","",IF(INDEX(EXTRATO!$C$2:$C$3000,MATCH($A814,EXTRATO!$A$2:$A$3000,0))="","",INDEX(EXTRATO!$C$2:$C$3000,MATCH($A814,EXTRATO!$A$2:$A$3000,0))))</f>
        <v>46218</v>
      </c>
      <c r="C814" s="86">
        <f t="shared" si="13"/>
        <v>7</v>
      </c>
      <c r="D814" s="81" t="s">
        <v>1415</v>
      </c>
      <c r="E814" s="79" t="s">
        <v>1657</v>
      </c>
      <c r="F814" s="80">
        <v>2000</v>
      </c>
      <c r="G814" s="81" t="s">
        <v>1059</v>
      </c>
      <c r="H814" s="86" t="str">
        <f>IF(A814="","",IF(INDEX(EXTRATO!$F$2:$F$3000,MATCH($A814,EXTRATO!$A$2:$A$3000,0))="","",INDEX(EXTRATO!$F$2:$F$3000,MATCH($A814,EXTRATO!$A$2:$A$3000,0))))</f>
        <v>SAÍDA</v>
      </c>
      <c r="I814" s="88" t="str">
        <f>IF(A814="","",IF(INDEX(EXTRATO!$H$2:$H$3000,MATCH($A814,EXTRATO!$A$2:$A$3000,0))="","",INDEX(EXTRATO!$H$2:$H$3000,MATCH($A814,EXTRATO!$A$2:$A$3000,0))))</f>
        <v>FARMACÊUTICA GARDÊNIA</v>
      </c>
      <c r="J814" s="86" t="s">
        <v>1565</v>
      </c>
      <c r="K814" s="86" t="str">
        <f>IF(AND(A814="",D814="",E814="",F814=""),"",IF(D814="","SEM CATEGORIA",IF(E814="","SEM SUBCATEGORIA",IF(COUNTIFS(CADASTROS!$L$7:$L$93,D814,CADASTROS!$D$7:$D$93,E814)=0,"INCOMPATÍVEL","OK"))))</f>
        <v>OK</v>
      </c>
    </row>
    <row r="815" spans="1:11" ht="30" hidden="1" customHeight="1" x14ac:dyDescent="0.25">
      <c r="A815" s="86" t="s">
        <v>2201</v>
      </c>
      <c r="B815" s="85">
        <f>IF(A815="","",IF(INDEX(EXTRATO!$C$2:$C$3000,MATCH($A815,EXTRATO!$A$2:$A$3000,0))="","",INDEX(EXTRATO!$C$2:$C$3000,MATCH($A815,EXTRATO!$A$2:$A$3000,0))))</f>
        <v>46218</v>
      </c>
      <c r="C815" s="86">
        <f t="shared" si="13"/>
        <v>7</v>
      </c>
      <c r="D815" s="81" t="s">
        <v>1311</v>
      </c>
      <c r="E815" s="79" t="s">
        <v>1404</v>
      </c>
      <c r="F815" s="80">
        <v>21501.200000000001</v>
      </c>
      <c r="G815" s="81" t="s">
        <v>1060</v>
      </c>
      <c r="H815" s="86" t="str">
        <f>IF(A815="","",IF(INDEX(EXTRATO!$F$2:$F$3000,MATCH($A815,EXTRATO!$A$2:$A$3000,0))="","",INDEX(EXTRATO!$F$2:$F$3000,MATCH($A815,EXTRATO!$A$2:$A$3000,0))))</f>
        <v>SAÍDA</v>
      </c>
      <c r="I815" s="88" t="str">
        <f>IF(A815="","",IF(INDEX(EXTRATO!$H$2:$H$3000,MATCH($A815,EXTRATO!$A$2:$A$3000,0))="","",INDEX(EXTRATO!$H$2:$H$3000,MATCH($A815,EXTRATO!$A$2:$A$3000,0))))</f>
        <v>FARMACE</v>
      </c>
      <c r="J815" s="86" t="s">
        <v>1360</v>
      </c>
      <c r="K815" s="86" t="str">
        <f>IF(AND(A815="",D815="",E815="",F815=""),"",IF(D815="","SEM CATEGORIA",IF(E815="","SEM SUBCATEGORIA",IF(COUNTIFS(CADASTROS!$L$7:$L$93,D815,CADASTROS!$D$7:$D$93,E815)=0,"INCOMPATÍVEL","OK"))))</f>
        <v>OK</v>
      </c>
    </row>
    <row r="816" spans="1:11" ht="30" hidden="1" customHeight="1" x14ac:dyDescent="0.25">
      <c r="A816" s="86" t="s">
        <v>2202</v>
      </c>
      <c r="B816" s="85">
        <f>IF(A816="","",IF(INDEX(EXTRATO!$C$2:$C$3000,MATCH($A816,EXTRATO!$A$2:$A$3000,0))="","",INDEX(EXTRATO!$C$2:$C$3000,MATCH($A816,EXTRATO!$A$2:$A$3000,0))))</f>
        <v>46218</v>
      </c>
      <c r="C816" s="86">
        <f t="shared" si="13"/>
        <v>7</v>
      </c>
      <c r="D816" s="81" t="s">
        <v>1330</v>
      </c>
      <c r="E816" s="79" t="s">
        <v>1379</v>
      </c>
      <c r="F816" s="80">
        <v>95</v>
      </c>
      <c r="G816" s="81" t="s">
        <v>305</v>
      </c>
      <c r="H816" s="86" t="str">
        <f>IF(A816="","",IF(INDEX(EXTRATO!$F$2:$F$3000,MATCH($A816,EXTRATO!$A$2:$A$3000,0))="","",INDEX(EXTRATO!$F$2:$F$3000,MATCH($A816,EXTRATO!$A$2:$A$3000,0))))</f>
        <v>SAÍDA</v>
      </c>
      <c r="I816" s="88" t="str">
        <f>IF(A816="","",IF(INDEX(EXTRATO!$H$2:$H$3000,MATCH($A816,EXTRATO!$A$2:$A$3000,0))="","",INDEX(EXTRATO!$H$2:$H$3000,MATCH($A816,EXTRATO!$A$2:$A$3000,0))))</f>
        <v>FORTES CONECTA - RELÓGIO DE PONTO</v>
      </c>
      <c r="J816" s="86" t="s">
        <v>1565</v>
      </c>
      <c r="K816" s="86" t="str">
        <f>IF(AND(A816="",D816="",E816="",F816=""),"",IF(D816="","SEM CATEGORIA",IF(E816="","SEM SUBCATEGORIA",IF(COUNTIFS(CADASTROS!$L$7:$L$93,D816,CADASTROS!$D$7:$D$93,E816)=0,"INCOMPATÍVEL","OK"))))</f>
        <v>OK</v>
      </c>
    </row>
    <row r="817" spans="1:11" ht="30" hidden="1" customHeight="1" x14ac:dyDescent="0.25">
      <c r="A817" s="86" t="s">
        <v>2203</v>
      </c>
      <c r="B817" s="85">
        <f>IF(A817="","",IF(INDEX(EXTRATO!$C$2:$C$3000,MATCH($A817,EXTRATO!$A$2:$A$3000,0))="","",INDEX(EXTRATO!$C$2:$C$3000,MATCH($A817,EXTRATO!$A$2:$A$3000,0))))</f>
        <v>46218</v>
      </c>
      <c r="C817" s="86">
        <f t="shared" si="13"/>
        <v>7</v>
      </c>
      <c r="D817" s="81" t="s">
        <v>1330</v>
      </c>
      <c r="E817" s="79" t="s">
        <v>1379</v>
      </c>
      <c r="F817" s="80">
        <v>207</v>
      </c>
      <c r="G817" s="81" t="s">
        <v>305</v>
      </c>
      <c r="H817" s="86" t="str">
        <f>IF(A817="","",IF(INDEX(EXTRATO!$F$2:$F$3000,MATCH($A817,EXTRATO!$A$2:$A$3000,0))="","",INDEX(EXTRATO!$F$2:$F$3000,MATCH($A817,EXTRATO!$A$2:$A$3000,0))))</f>
        <v>SAÍDA</v>
      </c>
      <c r="I817" s="88" t="str">
        <f>IF(A817="","",IF(INDEX(EXTRATO!$H$2:$H$3000,MATCH($A817,EXTRATO!$A$2:$A$3000,0))="","",INDEX(EXTRATO!$H$2:$H$3000,MATCH($A817,EXTRATO!$A$2:$A$3000,0))))</f>
        <v>FORTES CONECTA - RELÓGIO DE PONTO</v>
      </c>
      <c r="J817" s="86" t="s">
        <v>1565</v>
      </c>
      <c r="K817" s="86" t="str">
        <f>IF(AND(A817="",D817="",E817="",F817=""),"",IF(D817="","SEM CATEGORIA",IF(E817="","SEM SUBCATEGORIA",IF(COUNTIFS(CADASTROS!$L$7:$L$93,D817,CADASTROS!$D$7:$D$93,E817)=0,"INCOMPATÍVEL","OK"))))</f>
        <v>OK</v>
      </c>
    </row>
    <row r="818" spans="1:11" ht="30" hidden="1" customHeight="1" x14ac:dyDescent="0.25">
      <c r="A818" s="86" t="s">
        <v>2204</v>
      </c>
      <c r="B818" s="85">
        <f>IF(A818="","",IF(INDEX(EXTRATO!$C$2:$C$3000,MATCH($A818,EXTRATO!$A$2:$A$3000,0))="","",INDEX(EXTRATO!$C$2:$C$3000,MATCH($A818,EXTRATO!$A$2:$A$3000,0))))</f>
        <v>46218</v>
      </c>
      <c r="C818" s="86">
        <f t="shared" si="13"/>
        <v>7</v>
      </c>
      <c r="D818" s="81" t="s">
        <v>1330</v>
      </c>
      <c r="E818" s="79" t="s">
        <v>1331</v>
      </c>
      <c r="F818" s="80">
        <v>642.20000000000005</v>
      </c>
      <c r="G818" s="81" t="s">
        <v>1064</v>
      </c>
      <c r="H818" s="86" t="str">
        <f>IF(A818="","",IF(INDEX(EXTRATO!$F$2:$F$3000,MATCH($A818,EXTRATO!$A$2:$A$3000,0))="","",INDEX(EXTRATO!$F$2:$F$3000,MATCH($A818,EXTRATO!$A$2:$A$3000,0))))</f>
        <v>SAÍDA</v>
      </c>
      <c r="I818" s="88" t="str">
        <f>IF(A818="","",IF(INDEX(EXTRATO!$H$2:$H$3000,MATCH($A818,EXTRATO!$A$2:$A$3000,0))="","",INDEX(EXTRATO!$H$2:$H$3000,MATCH($A818,EXTRATO!$A$2:$A$3000,0))))</f>
        <v>ALECRIM INDUSTRIA E COMÉRCIO</v>
      </c>
      <c r="J818" s="86" t="s">
        <v>1360</v>
      </c>
      <c r="K818" s="86" t="str">
        <f>IF(AND(A818="",D818="",E818="",F818=""),"",IF(D818="","SEM CATEGORIA",IF(E818="","SEM SUBCATEGORIA",IF(COUNTIFS(CADASTROS!$L$7:$L$93,D818,CADASTROS!$D$7:$D$93,E818)=0,"INCOMPATÍVEL","OK"))))</f>
        <v>OK</v>
      </c>
    </row>
    <row r="819" spans="1:11" ht="30" hidden="1" customHeight="1" x14ac:dyDescent="0.25">
      <c r="A819" s="86" t="s">
        <v>2205</v>
      </c>
      <c r="B819" s="85">
        <f>IF(A819="","",IF(INDEX(EXTRATO!$C$2:$C$3000,MATCH($A819,EXTRATO!$A$2:$A$3000,0))="","",INDEX(EXTRATO!$C$2:$C$3000,MATCH($A819,EXTRATO!$A$2:$A$3000,0))))</f>
        <v>46218</v>
      </c>
      <c r="C819" s="86">
        <f t="shared" si="13"/>
        <v>7</v>
      </c>
      <c r="D819" s="81" t="s">
        <v>1367</v>
      </c>
      <c r="E819" s="79" t="s">
        <v>1368</v>
      </c>
      <c r="F819" s="80">
        <v>960.75</v>
      </c>
      <c r="G819" s="81" t="s">
        <v>2824</v>
      </c>
      <c r="H819" s="86" t="str">
        <f>IF(A819="","",IF(INDEX(EXTRATO!$F$2:$F$3000,MATCH($A819,EXTRATO!$A$2:$A$3000,0))="","",INDEX(EXTRATO!$F$2:$F$3000,MATCH($A819,EXTRATO!$A$2:$A$3000,0))))</f>
        <v>SAÍDA</v>
      </c>
      <c r="I819" s="88" t="str">
        <f>IF(A819="","",IF(INDEX(EXTRATO!$H$2:$H$3000,MATCH($A819,EXTRATO!$A$2:$A$3000,0))="","",INDEX(EXTRATO!$H$2:$H$3000,MATCH($A819,EXTRATO!$A$2:$A$3000,0))))</f>
        <v>PROTMED</v>
      </c>
      <c r="J819" s="86" t="s">
        <v>1360</v>
      </c>
      <c r="K819" s="86" t="str">
        <f>IF(AND(A819="",D819="",E819="",F819=""),"",IF(D819="","SEM CATEGORIA",IF(E819="","SEM SUBCATEGORIA",IF(COUNTIFS(CADASTROS!$L$7:$L$93,D819,CADASTROS!$D$7:$D$93,E819)=0,"INCOMPATÍVEL","OK"))))</f>
        <v>OK</v>
      </c>
    </row>
    <row r="820" spans="1:11" ht="30" hidden="1" customHeight="1" x14ac:dyDescent="0.25">
      <c r="A820" s="86" t="s">
        <v>2205</v>
      </c>
      <c r="B820" s="85">
        <f>IF(A820="","",IF(INDEX(EXTRATO!$C$2:$C$3000,MATCH($A820,EXTRATO!$A$2:$A$3000,0))="","",INDEX(EXTRATO!$C$2:$C$3000,MATCH($A820,EXTRATO!$A$2:$A$3000,0))))</f>
        <v>46218</v>
      </c>
      <c r="C820" s="86">
        <f t="shared" si="13"/>
        <v>7</v>
      </c>
      <c r="D820" s="81" t="s">
        <v>1311</v>
      </c>
      <c r="E820" s="79" t="s">
        <v>1312</v>
      </c>
      <c r="F820" s="80">
        <v>1680</v>
      </c>
      <c r="G820" s="81" t="s">
        <v>2825</v>
      </c>
      <c r="H820" s="86" t="str">
        <f>IF(A820="","",IF(INDEX(EXTRATO!$F$2:$F$3000,MATCH($A820,EXTRATO!$A$2:$A$3000,0))="","",INDEX(EXTRATO!$F$2:$F$3000,MATCH($A820,EXTRATO!$A$2:$A$3000,0))))</f>
        <v>SAÍDA</v>
      </c>
      <c r="I820" s="88" t="str">
        <f>IF(A820="","",IF(INDEX(EXTRATO!$H$2:$H$3000,MATCH($A820,EXTRATO!$A$2:$A$3000,0))="","",INDEX(EXTRATO!$H$2:$H$3000,MATCH($A820,EXTRATO!$A$2:$A$3000,0))))</f>
        <v>PROTMED</v>
      </c>
      <c r="J820" s="86" t="s">
        <v>1360</v>
      </c>
      <c r="K820" s="86" t="str">
        <f>IF(AND(A820="",D820="",E820="",F820=""),"",IF(D820="","SEM CATEGORIA",IF(E820="","SEM SUBCATEGORIA",IF(COUNTIFS(CADASTROS!$L$7:$L$93,D820,CADASTROS!$D$7:$D$93,E820)=0,"INCOMPATÍVEL","OK"))))</f>
        <v>OK</v>
      </c>
    </row>
    <row r="821" spans="1:11" ht="30" hidden="1" customHeight="1" x14ac:dyDescent="0.25">
      <c r="A821" s="86" t="s">
        <v>2206</v>
      </c>
      <c r="B821" s="85">
        <f>IF(A821="","",IF(INDEX(EXTRATO!$C$2:$C$3000,MATCH($A821,EXTRATO!$A$2:$A$3000,0))="","",INDEX(EXTRATO!$C$2:$C$3000,MATCH($A821,EXTRATO!$A$2:$A$3000,0))))</f>
        <v>46218</v>
      </c>
      <c r="C821" s="86">
        <f t="shared" si="13"/>
        <v>7</v>
      </c>
      <c r="D821" s="81" t="s">
        <v>1330</v>
      </c>
      <c r="E821" s="79" t="s">
        <v>1352</v>
      </c>
      <c r="F821" s="80">
        <v>39.82</v>
      </c>
      <c r="G821" s="81" t="s">
        <v>276</v>
      </c>
      <c r="H821" s="86" t="str">
        <f>IF(A821="","",IF(INDEX(EXTRATO!$F$2:$F$3000,MATCH($A821,EXTRATO!$A$2:$A$3000,0))="","",INDEX(EXTRATO!$F$2:$F$3000,MATCH($A821,EXTRATO!$A$2:$A$3000,0))))</f>
        <v>SAÍDA</v>
      </c>
      <c r="I821" s="88" t="str">
        <f>IF(A821="","",IF(INDEX(EXTRATO!$H$2:$H$3000,MATCH($A821,EXTRATO!$A$2:$A$3000,0))="","",INDEX(EXTRATO!$H$2:$H$3000,MATCH($A821,EXTRATO!$A$2:$A$3000,0))))</f>
        <v>TARIFA BANCÁRIA</v>
      </c>
      <c r="J821" s="86" t="s">
        <v>1565</v>
      </c>
      <c r="K821" s="86" t="str">
        <f>IF(AND(A821="",D821="",E821="",F821=""),"",IF(D821="","SEM CATEGORIA",IF(E821="","SEM SUBCATEGORIA",IF(COUNTIFS(CADASTROS!$L$7:$L$93,D821,CADASTROS!$D$7:$D$93,E821)=0,"INCOMPATÍVEL","OK"))))</f>
        <v>OK</v>
      </c>
    </row>
    <row r="822" spans="1:11" ht="30" hidden="1" customHeight="1" x14ac:dyDescent="0.25">
      <c r="A822" s="86" t="s">
        <v>2207</v>
      </c>
      <c r="B822" s="85">
        <f>IF(A822="","",IF(INDEX(EXTRATO!$C$2:$C$3000,MATCH($A822,EXTRATO!$A$2:$A$3000,0))="","",INDEX(EXTRATO!$C$2:$C$3000,MATCH($A822,EXTRATO!$A$2:$A$3000,0))))</f>
        <v>46220</v>
      </c>
      <c r="C822" s="86">
        <f t="shared" si="13"/>
        <v>7</v>
      </c>
      <c r="D822" s="81" t="s">
        <v>1367</v>
      </c>
      <c r="E822" s="79" t="s">
        <v>1560</v>
      </c>
      <c r="F822" s="80">
        <v>2120</v>
      </c>
      <c r="G822" s="81" t="s">
        <v>1070</v>
      </c>
      <c r="H822" s="86" t="str">
        <f>IF(A822="","",IF(INDEX(EXTRATO!$F$2:$F$3000,MATCH($A822,EXTRATO!$A$2:$A$3000,0))="","",INDEX(EXTRATO!$F$2:$F$3000,MATCH($A822,EXTRATO!$A$2:$A$3000,0))))</f>
        <v>SAÍDA</v>
      </c>
      <c r="I822" s="88" t="str">
        <f>IF(A822="","",IF(INDEX(EXTRATO!$H$2:$H$3000,MATCH($A822,EXTRATO!$A$2:$A$3000,0))="","",INDEX(EXTRATO!$H$2:$H$3000,MATCH($A822,EXTRATO!$A$2:$A$3000,0))))</f>
        <v>WILSON DE FREITAS SORIANO</v>
      </c>
      <c r="J822" s="86" t="s">
        <v>1565</v>
      </c>
      <c r="K822" s="86" t="str">
        <f>IF(AND(A822="",D822="",E822="",F822=""),"",IF(D822="","SEM CATEGORIA",IF(E822="","SEM SUBCATEGORIA",IF(COUNTIFS(CADASTROS!$L$7:$L$93,D822,CADASTROS!$D$7:$D$93,E822)=0,"INCOMPATÍVEL","OK"))))</f>
        <v>OK</v>
      </c>
    </row>
    <row r="823" spans="1:11" ht="30" hidden="1" customHeight="1" x14ac:dyDescent="0.25">
      <c r="A823" s="86" t="s">
        <v>2208</v>
      </c>
      <c r="B823" s="85">
        <f>IF(A823="","",IF(INDEX(EXTRATO!$C$2:$C$3000,MATCH($A823,EXTRATO!$A$2:$A$3000,0))="","",INDEX(EXTRATO!$C$2:$C$3000,MATCH($A823,EXTRATO!$A$2:$A$3000,0))))</f>
        <v>46223</v>
      </c>
      <c r="C823" s="86">
        <f t="shared" si="13"/>
        <v>7</v>
      </c>
      <c r="D823" s="81" t="s">
        <v>1305</v>
      </c>
      <c r="E823" s="79" t="s">
        <v>1962</v>
      </c>
      <c r="F823" s="80">
        <v>100000</v>
      </c>
      <c r="G823" s="81" t="s">
        <v>808</v>
      </c>
      <c r="H823" s="86" t="str">
        <f>IF(A823="","",IF(INDEX(EXTRATO!$F$2:$F$3000,MATCH($A823,EXTRATO!$A$2:$A$3000,0))="","",INDEX(EXTRATO!$F$2:$F$3000,MATCH($A823,EXTRATO!$A$2:$A$3000,0))))</f>
        <v>ENTRADA</v>
      </c>
      <c r="I823" s="88" t="str">
        <f>IF(A823="","",IF(INDEX(EXTRATO!$H$2:$H$3000,MATCH($A823,EXTRATO!$A$2:$A$3000,0))="","",INDEX(EXTRATO!$H$2:$H$3000,MATCH($A823,EXTRATO!$A$2:$A$3000,0))))</f>
        <v>BIORENAL LTDA</v>
      </c>
      <c r="J823" s="86" t="s">
        <v>1307</v>
      </c>
      <c r="K823" s="86" t="str">
        <f>IF(AND(A823="",D823="",E823="",F823=""),"",IF(D823="","SEM CATEGORIA",IF(E823="","SEM SUBCATEGORIA",IF(COUNTIFS(CADASTROS!$L$7:$L$93,D823,CADASTROS!$D$7:$D$93,E823)=0,"INCOMPATÍVEL","OK"))))</f>
        <v>OK</v>
      </c>
    </row>
    <row r="824" spans="1:11" ht="30" hidden="1" customHeight="1" x14ac:dyDescent="0.25">
      <c r="A824" s="86" t="s">
        <v>2209</v>
      </c>
      <c r="B824" s="85">
        <f>IF(A824="","",IF(INDEX(EXTRATO!$C$2:$C$3000,MATCH($A824,EXTRATO!$A$2:$A$3000,0))="","",INDEX(EXTRATO!$C$2:$C$3000,MATCH($A824,EXTRATO!$A$2:$A$3000,0))))</f>
        <v>46223</v>
      </c>
      <c r="C824" s="86">
        <f t="shared" si="13"/>
        <v>7</v>
      </c>
      <c r="D824" s="81" t="s">
        <v>1367</v>
      </c>
      <c r="E824" s="79" t="s">
        <v>164</v>
      </c>
      <c r="F824" s="80">
        <v>8768.02</v>
      </c>
      <c r="G824" s="81" t="s">
        <v>1072</v>
      </c>
      <c r="H824" s="86" t="str">
        <f>IF(A824="","",IF(INDEX(EXTRATO!$F$2:$F$3000,MATCH($A824,EXTRATO!$A$2:$A$3000,0))="","",INDEX(EXTRATO!$F$2:$F$3000,MATCH($A824,EXTRATO!$A$2:$A$3000,0))))</f>
        <v>SAÍDA</v>
      </c>
      <c r="I824" s="88" t="str">
        <f>IF(A824="","",IF(INDEX(EXTRATO!$H$2:$H$3000,MATCH($A824,EXTRATO!$A$2:$A$3000,0))="","",INDEX(EXTRATO!$H$2:$H$3000,MATCH($A824,EXTRATO!$A$2:$A$3000,0))))</f>
        <v>FGTS</v>
      </c>
      <c r="J824" s="86" t="s">
        <v>1565</v>
      </c>
      <c r="K824" s="86" t="str">
        <f>IF(AND(A824="",D824="",E824="",F824=""),"",IF(D824="","SEM CATEGORIA",IF(E824="","SEM SUBCATEGORIA",IF(COUNTIFS(CADASTROS!$L$7:$L$93,D824,CADASTROS!$D$7:$D$93,E824)=0,"INCOMPATÍVEL","OK"))))</f>
        <v>OK</v>
      </c>
    </row>
    <row r="825" spans="1:11" ht="30" hidden="1" customHeight="1" x14ac:dyDescent="0.25">
      <c r="A825" s="86" t="s">
        <v>2210</v>
      </c>
      <c r="B825" s="85">
        <f>IF(A825="","",IF(INDEX(EXTRATO!$C$2:$C$3000,MATCH($A825,EXTRATO!$A$2:$A$3000,0))="","",INDEX(EXTRATO!$C$2:$C$3000,MATCH($A825,EXTRATO!$A$2:$A$3000,0))))</f>
        <v>46223</v>
      </c>
      <c r="C825" s="86">
        <f t="shared" si="13"/>
        <v>7</v>
      </c>
      <c r="D825" s="81" t="s">
        <v>1311</v>
      </c>
      <c r="E825" s="79" t="s">
        <v>1312</v>
      </c>
      <c r="F825" s="80">
        <v>3176</v>
      </c>
      <c r="G825" s="81" t="s">
        <v>1073</v>
      </c>
      <c r="H825" s="86" t="str">
        <f>IF(A825="","",IF(INDEX(EXTRATO!$F$2:$F$3000,MATCH($A825,EXTRATO!$A$2:$A$3000,0))="","",INDEX(EXTRATO!$F$2:$F$3000,MATCH($A825,EXTRATO!$A$2:$A$3000,0))))</f>
        <v>SAÍDA</v>
      </c>
      <c r="I825" s="88" t="str">
        <f>IF(A825="","",IF(INDEX(EXTRATO!$H$2:$H$3000,MATCH($A825,EXTRATO!$A$2:$A$3000,0))="","",INDEX(EXTRATO!$H$2:$H$3000,MATCH($A825,EXTRATO!$A$2:$A$3000,0))))</f>
        <v>BIOPAR</v>
      </c>
      <c r="J825" s="86" t="s">
        <v>1565</v>
      </c>
      <c r="K825" s="86" t="str">
        <f>IF(AND(A825="",D825="",E825="",F825=""),"",IF(D825="","SEM CATEGORIA",IF(E825="","SEM SUBCATEGORIA",IF(COUNTIFS(CADASTROS!$L$7:$L$93,D825,CADASTROS!$D$7:$D$93,E825)=0,"INCOMPATÍVEL","OK"))))</f>
        <v>OK</v>
      </c>
    </row>
    <row r="826" spans="1:11" ht="30" hidden="1" customHeight="1" x14ac:dyDescent="0.25">
      <c r="A826" s="86" t="s">
        <v>2211</v>
      </c>
      <c r="B826" s="85">
        <f>IF(A826="","",IF(INDEX(EXTRATO!$C$2:$C$3000,MATCH($A826,EXTRATO!$A$2:$A$3000,0))="","",INDEX(EXTRATO!$C$2:$C$3000,MATCH($A826,EXTRATO!$A$2:$A$3000,0))))</f>
        <v>46223</v>
      </c>
      <c r="C826" s="86">
        <f t="shared" si="13"/>
        <v>7</v>
      </c>
      <c r="D826" s="81" t="s">
        <v>1311</v>
      </c>
      <c r="E826" s="79" t="s">
        <v>1312</v>
      </c>
      <c r="F826" s="80">
        <v>41</v>
      </c>
      <c r="G826" s="81" t="s">
        <v>2826</v>
      </c>
      <c r="H826" s="86" t="str">
        <f>IF(A826="","",IF(INDEX(EXTRATO!$F$2:$F$3000,MATCH($A826,EXTRATO!$A$2:$A$3000,0))="","",INDEX(EXTRATO!$F$2:$F$3000,MATCH($A826,EXTRATO!$A$2:$A$3000,0))))</f>
        <v>SAÍDA</v>
      </c>
      <c r="I826" s="88" t="str">
        <f>IF(A826="","",IF(INDEX(EXTRATO!$H$2:$H$3000,MATCH($A826,EXTRATO!$A$2:$A$3000,0))="","",INDEX(EXTRATO!$H$2:$H$3000,MATCH($A826,EXTRATO!$A$2:$A$3000,0))))</f>
        <v>FARMACE</v>
      </c>
      <c r="J826" s="86" t="s">
        <v>1360</v>
      </c>
      <c r="K826" s="86" t="str">
        <f>IF(AND(A826="",D826="",E826="",F826=""),"",IF(D826="","SEM CATEGORIA",IF(E826="","SEM SUBCATEGORIA",IF(COUNTIFS(CADASTROS!$L$7:$L$93,D826,CADASTROS!$D$7:$D$93,E826)=0,"INCOMPATÍVEL","OK"))))</f>
        <v>OK</v>
      </c>
    </row>
    <row r="827" spans="1:11" ht="30" hidden="1" customHeight="1" x14ac:dyDescent="0.25">
      <c r="A827" s="86" t="s">
        <v>2211</v>
      </c>
      <c r="B827" s="85">
        <f>IF(A827="","",IF(INDEX(EXTRATO!$C$2:$C$3000,MATCH($A827,EXTRATO!$A$2:$A$3000,0))="","",INDEX(EXTRATO!$C$2:$C$3000,MATCH($A827,EXTRATO!$A$2:$A$3000,0))))</f>
        <v>46223</v>
      </c>
      <c r="C827" s="86">
        <f t="shared" si="13"/>
        <v>7</v>
      </c>
      <c r="D827" s="81" t="s">
        <v>1311</v>
      </c>
      <c r="E827" s="79" t="s">
        <v>1404</v>
      </c>
      <c r="F827" s="80">
        <v>18927.2</v>
      </c>
      <c r="G827" s="81" t="s">
        <v>2827</v>
      </c>
      <c r="H827" s="86" t="str">
        <f>IF(A827="","",IF(INDEX(EXTRATO!$F$2:$F$3000,MATCH($A827,EXTRATO!$A$2:$A$3000,0))="","",INDEX(EXTRATO!$F$2:$F$3000,MATCH($A827,EXTRATO!$A$2:$A$3000,0))))</f>
        <v>SAÍDA</v>
      </c>
      <c r="I827" s="88" t="str">
        <f>IF(A827="","",IF(INDEX(EXTRATO!$H$2:$H$3000,MATCH($A827,EXTRATO!$A$2:$A$3000,0))="","",INDEX(EXTRATO!$H$2:$H$3000,MATCH($A827,EXTRATO!$A$2:$A$3000,0))))</f>
        <v>FARMACE</v>
      </c>
      <c r="J827" s="86" t="s">
        <v>1360</v>
      </c>
      <c r="K827" s="86" t="str">
        <f>IF(AND(A827="",D827="",E827="",F827=""),"",IF(D827="","SEM CATEGORIA",IF(E827="","SEM SUBCATEGORIA",IF(COUNTIFS(CADASTROS!$L$7:$L$93,D827,CADASTROS!$D$7:$D$93,E827)=0,"INCOMPATÍVEL","OK"))))</f>
        <v>OK</v>
      </c>
    </row>
    <row r="828" spans="1:11" ht="30" hidden="1" customHeight="1" x14ac:dyDescent="0.25">
      <c r="A828" s="86" t="s">
        <v>2212</v>
      </c>
      <c r="B828" s="85">
        <f>IF(A828="","",IF(INDEX(EXTRATO!$C$2:$C$3000,MATCH($A828,EXTRATO!$A$2:$A$3000,0))="","",INDEX(EXTRATO!$C$2:$C$3000,MATCH($A828,EXTRATO!$A$2:$A$3000,0))))</f>
        <v>46223</v>
      </c>
      <c r="C828" s="86">
        <f t="shared" si="13"/>
        <v>7</v>
      </c>
      <c r="D828" s="81" t="s">
        <v>1330</v>
      </c>
      <c r="E828" s="79" t="s">
        <v>1379</v>
      </c>
      <c r="F828" s="80">
        <v>300</v>
      </c>
      <c r="G828" s="81" t="s">
        <v>513</v>
      </c>
      <c r="H828" s="86" t="str">
        <f>IF(A828="","",IF(INDEX(EXTRATO!$F$2:$F$3000,MATCH($A828,EXTRATO!$A$2:$A$3000,0))="","",INDEX(EXTRATO!$F$2:$F$3000,MATCH($A828,EXTRATO!$A$2:$A$3000,0))))</f>
        <v>SAÍDA</v>
      </c>
      <c r="I828" s="88" t="str">
        <f>IF(A828="","",IF(INDEX(EXTRATO!$H$2:$H$3000,MATCH($A828,EXTRATO!$A$2:$A$3000,0))="","",INDEX(EXTRATO!$H$2:$H$3000,MATCH($A828,EXTRATO!$A$2:$A$3000,0))))</f>
        <v>CASSIANO &amp; CASSINOS CONTABILIDADE</v>
      </c>
      <c r="J828" s="86" t="s">
        <v>1565</v>
      </c>
      <c r="K828" s="86" t="str">
        <f>IF(AND(A828="",D828="",E828="",F828=""),"",IF(D828="","SEM CATEGORIA",IF(E828="","SEM SUBCATEGORIA",IF(COUNTIFS(CADASTROS!$L$7:$L$93,D828,CADASTROS!$D$7:$D$93,E828)=0,"INCOMPATÍVEL","OK"))))</f>
        <v>OK</v>
      </c>
    </row>
    <row r="829" spans="1:11" ht="30" hidden="1" customHeight="1" x14ac:dyDescent="0.25">
      <c r="A829" s="86" t="s">
        <v>2213</v>
      </c>
      <c r="B829" s="85">
        <f>IF(A829="","",IF(INDEX(EXTRATO!$C$2:$C$3000,MATCH($A829,EXTRATO!$A$2:$A$3000,0))="","",INDEX(EXTRATO!$C$2:$C$3000,MATCH($A829,EXTRATO!$A$2:$A$3000,0))))</f>
        <v>46223</v>
      </c>
      <c r="C829" s="86">
        <f t="shared" si="13"/>
        <v>7</v>
      </c>
      <c r="D829" s="81" t="s">
        <v>1367</v>
      </c>
      <c r="E829" s="79" t="s">
        <v>167</v>
      </c>
      <c r="F829" s="80">
        <v>29473.35</v>
      </c>
      <c r="G829" s="81" t="s">
        <v>1077</v>
      </c>
      <c r="H829" s="86" t="str">
        <f>IF(A829="","",IF(INDEX(EXTRATO!$F$2:$F$3000,MATCH($A829,EXTRATO!$A$2:$A$3000,0))="","",INDEX(EXTRATO!$F$2:$F$3000,MATCH($A829,EXTRATO!$A$2:$A$3000,0))))</f>
        <v>SAÍDA</v>
      </c>
      <c r="I829" s="88" t="str">
        <f>IF(A829="","",IF(INDEX(EXTRATO!$H$2:$H$3000,MATCH($A829,EXTRATO!$A$2:$A$3000,0))="","",INDEX(EXTRATO!$H$2:$H$3000,MATCH($A829,EXTRATO!$A$2:$A$3000,0))))</f>
        <v>INSS</v>
      </c>
      <c r="J829" s="86" t="s">
        <v>1565</v>
      </c>
      <c r="K829" s="86" t="str">
        <f>IF(AND(A829="",D829="",E829="",F829=""),"",IF(D829="","SEM CATEGORIA",IF(E829="","SEM SUBCATEGORIA",IF(COUNTIFS(CADASTROS!$L$7:$L$93,D829,CADASTROS!$D$7:$D$93,E829)=0,"INCOMPATÍVEL","OK"))))</f>
        <v>OK</v>
      </c>
    </row>
    <row r="830" spans="1:11" ht="30" hidden="1" customHeight="1" x14ac:dyDescent="0.25">
      <c r="A830" s="86" t="s">
        <v>2214</v>
      </c>
      <c r="B830" s="85">
        <f>IF(A830="","",IF(INDEX(EXTRATO!$C$2:$C$3000,MATCH($A830,EXTRATO!$A$2:$A$3000,0))="","",INDEX(EXTRATO!$C$2:$C$3000,MATCH($A830,EXTRATO!$A$2:$A$3000,0))))</f>
        <v>46223</v>
      </c>
      <c r="C830" s="86">
        <f t="shared" si="13"/>
        <v>7</v>
      </c>
      <c r="D830" s="81" t="s">
        <v>1388</v>
      </c>
      <c r="E830" s="79" t="s">
        <v>168</v>
      </c>
      <c r="F830" s="80">
        <v>57.77</v>
      </c>
      <c r="G830" s="81" t="s">
        <v>168</v>
      </c>
      <c r="H830" s="86" t="str">
        <f>IF(A830="","",IF(INDEX(EXTRATO!$F$2:$F$3000,MATCH($A830,EXTRATO!$A$2:$A$3000,0))="","",INDEX(EXTRATO!$F$2:$F$3000,MATCH($A830,EXTRATO!$A$2:$A$3000,0))))</f>
        <v>SAÍDA</v>
      </c>
      <c r="I830" s="88" t="str">
        <f>IF(A830="","",IF(INDEX(EXTRATO!$H$2:$H$3000,MATCH($A830,EXTRATO!$A$2:$A$3000,0))="","",INDEX(EXTRATO!$H$2:$H$3000,MATCH($A830,EXTRATO!$A$2:$A$3000,0))))</f>
        <v>TRIBUTOS FEDEREIAS MENSAIS</v>
      </c>
      <c r="J830" s="86" t="s">
        <v>1360</v>
      </c>
      <c r="K830" s="86" t="str">
        <f>IF(AND(A830="",D830="",E830="",F830=""),"",IF(D830="","SEM CATEGORIA",IF(E830="","SEM SUBCATEGORIA",IF(COUNTIFS(CADASTROS!$L$7:$L$93,D830,CADASTROS!$D$7:$D$93,E830)=0,"INCOMPATÍVEL","OK"))))</f>
        <v>OK</v>
      </c>
    </row>
    <row r="831" spans="1:11" ht="30" hidden="1" customHeight="1" x14ac:dyDescent="0.25">
      <c r="A831" s="86" t="s">
        <v>2215</v>
      </c>
      <c r="B831" s="85">
        <f>IF(A831="","",IF(INDEX(EXTRATO!$C$2:$C$3000,MATCH($A831,EXTRATO!$A$2:$A$3000,0))="","",INDEX(EXTRATO!$C$2:$C$3000,MATCH($A831,EXTRATO!$A$2:$A$3000,0))))</f>
        <v>46223</v>
      </c>
      <c r="C831" s="86">
        <f t="shared" si="13"/>
        <v>7</v>
      </c>
      <c r="D831" s="81" t="s">
        <v>1388</v>
      </c>
      <c r="E831" s="79" t="s">
        <v>170</v>
      </c>
      <c r="F831" s="80">
        <v>18.64</v>
      </c>
      <c r="G831" s="81" t="s">
        <v>170</v>
      </c>
      <c r="H831" s="86" t="str">
        <f>IF(A831="","",IF(INDEX(EXTRATO!$F$2:$F$3000,MATCH($A831,EXTRATO!$A$2:$A$3000,0))="","",INDEX(EXTRATO!$F$2:$F$3000,MATCH($A831,EXTRATO!$A$2:$A$3000,0))))</f>
        <v>SAÍDA</v>
      </c>
      <c r="I831" s="88" t="str">
        <f>IF(A831="","",IF(INDEX(EXTRATO!$H$2:$H$3000,MATCH($A831,EXTRATO!$A$2:$A$3000,0))="","",INDEX(EXTRATO!$H$2:$H$3000,MATCH($A831,EXTRATO!$A$2:$A$3000,0))))</f>
        <v>TRIBUTOS FEDEREIAS MENSAIS</v>
      </c>
      <c r="J831" s="86" t="s">
        <v>1360</v>
      </c>
      <c r="K831" s="86" t="str">
        <f>IF(AND(A831="",D831="",E831="",F831=""),"",IF(D831="","SEM CATEGORIA",IF(E831="","SEM SUBCATEGORIA",IF(COUNTIFS(CADASTROS!$L$7:$L$93,D831,CADASTROS!$D$7:$D$93,E831)=0,"INCOMPATÍVEL","OK"))))</f>
        <v>OK</v>
      </c>
    </row>
    <row r="832" spans="1:11" ht="36" hidden="1" x14ac:dyDescent="0.25">
      <c r="A832" s="86" t="s">
        <v>2216</v>
      </c>
      <c r="B832" s="85">
        <f>IF(A832="","",IF(INDEX(EXTRATO!$C$2:$C$3000,MATCH($A832,EXTRATO!$A$2:$A$3000,0))="","",INDEX(EXTRATO!$C$2:$C$3000,MATCH($A832,EXTRATO!$A$2:$A$3000,0))))</f>
        <v>46224</v>
      </c>
      <c r="C832" s="86">
        <f t="shared" ref="C832:C863" si="14">IF(B832="","",MONTH(B832))</f>
        <v>7</v>
      </c>
      <c r="D832" s="81" t="s">
        <v>1454</v>
      </c>
      <c r="E832" s="79" t="s">
        <v>2760</v>
      </c>
      <c r="F832" s="80">
        <v>377.04</v>
      </c>
      <c r="G832" s="81" t="s">
        <v>1078</v>
      </c>
      <c r="H832" s="86" t="str">
        <f>IF(A832="","",IF(INDEX(EXTRATO!$F$2:$F$3000,MATCH($A832,EXTRATO!$A$2:$A$3000,0))="","",INDEX(EXTRATO!$F$2:$F$3000,MATCH($A832,EXTRATO!$A$2:$A$3000,0))))</f>
        <v>SAÍDA</v>
      </c>
      <c r="I832" s="88" t="str">
        <f>IF(A832="","",IF(INDEX(EXTRATO!$H$2:$H$3000,MATCH($A832,EXTRATO!$A$2:$A$3000,0))="","",INDEX(EXTRATO!$H$2:$H$3000,MATCH($A832,EXTRATO!$A$2:$A$3000,0))))</f>
        <v>MARKETPLACE MERCADO LIVRE</v>
      </c>
      <c r="J832" s="86" t="s">
        <v>1360</v>
      </c>
      <c r="K832" s="86" t="str">
        <f>IF(AND(A832="",D832="",E832="",F832=""),"",IF(D832="","SEM CATEGORIA",IF(E832="","SEM SUBCATEGORIA",IF(COUNTIFS(CADASTROS!$L$7:$L$93,D832,CADASTROS!$D$7:$D$93,E832)=0,"INCOMPATÍVEL","OK"))))</f>
        <v>OK</v>
      </c>
    </row>
    <row r="833" spans="1:11" ht="30" hidden="1" customHeight="1" x14ac:dyDescent="0.25">
      <c r="A833" s="86" t="s">
        <v>2217</v>
      </c>
      <c r="B833" s="85">
        <f>IF(A833="","",IF(INDEX(EXTRATO!$C$2:$C$3000,MATCH($A833,EXTRATO!$A$2:$A$3000,0))="","",INDEX(EXTRATO!$C$2:$C$3000,MATCH($A833,EXTRATO!$A$2:$A$3000,0))))</f>
        <v>46225</v>
      </c>
      <c r="C833" s="86">
        <f t="shared" si="14"/>
        <v>7</v>
      </c>
      <c r="D833" s="81" t="s">
        <v>1311</v>
      </c>
      <c r="E833" s="79" t="s">
        <v>1315</v>
      </c>
      <c r="F833" s="80">
        <v>2040.57</v>
      </c>
      <c r="G833" s="81" t="s">
        <v>1081</v>
      </c>
      <c r="H833" s="86" t="str">
        <f>IF(A833="","",IF(INDEX(EXTRATO!$F$2:$F$3000,MATCH($A833,EXTRATO!$A$2:$A$3000,0))="","",INDEX(EXTRATO!$F$2:$F$3000,MATCH($A833,EXTRATO!$A$2:$A$3000,0))))</f>
        <v>SAÍDA</v>
      </c>
      <c r="I833" s="88" t="str">
        <f>IF(A833="","",IF(INDEX(EXTRATO!$H$2:$H$3000,MATCH($A833,EXTRATO!$A$2:$A$3000,0))="","",INDEX(EXTRATO!$H$2:$H$3000,MATCH($A833,EXTRATO!$A$2:$A$3000,0))))</f>
        <v>ALLMED PRONEFRO</v>
      </c>
      <c r="J833" s="86" t="s">
        <v>1565</v>
      </c>
      <c r="K833" s="86" t="str">
        <f>IF(AND(A833="",D833="",E833="",F833=""),"",IF(D833="","SEM CATEGORIA",IF(E833="","SEM SUBCATEGORIA",IF(COUNTIFS(CADASTROS!$L$7:$L$93,D833,CADASTROS!$D$7:$D$93,E833)=0,"INCOMPATÍVEL","OK"))))</f>
        <v>OK</v>
      </c>
    </row>
    <row r="834" spans="1:11" ht="30" hidden="1" customHeight="1" x14ac:dyDescent="0.25">
      <c r="A834" s="86" t="s">
        <v>2218</v>
      </c>
      <c r="B834" s="85">
        <f>IF(A834="","",IF(INDEX(EXTRATO!$C$2:$C$3000,MATCH($A834,EXTRATO!$A$2:$A$3000,0))="","",INDEX(EXTRATO!$C$2:$C$3000,MATCH($A834,EXTRATO!$A$2:$A$3000,0))))</f>
        <v>46227</v>
      </c>
      <c r="C834" s="86">
        <f t="shared" si="14"/>
        <v>7</v>
      </c>
      <c r="D834" s="81" t="s">
        <v>1311</v>
      </c>
      <c r="E834" s="79" t="s">
        <v>1470</v>
      </c>
      <c r="F834" s="80">
        <v>1257.5899999999999</v>
      </c>
      <c r="G834" s="81" t="s">
        <v>1082</v>
      </c>
      <c r="H834" s="86" t="str">
        <f>IF(A834="","",IF(INDEX(EXTRATO!$F$2:$F$3000,MATCH($A834,EXTRATO!$A$2:$A$3000,0))="","",INDEX(EXTRATO!$F$2:$F$3000,MATCH($A834,EXTRATO!$A$2:$A$3000,0))))</f>
        <v>SAÍDA</v>
      </c>
      <c r="I834" s="88" t="str">
        <f>IF(A834="","",IF(INDEX(EXTRATO!$H$2:$H$3000,MATCH($A834,EXTRATO!$A$2:$A$3000,0))="","",INDEX(EXTRATO!$H$2:$H$3000,MATCH($A834,EXTRATO!$A$2:$A$3000,0))))</f>
        <v>QUALIÁGUA</v>
      </c>
      <c r="J834" s="86" t="s">
        <v>1565</v>
      </c>
      <c r="K834" s="86" t="str">
        <f>IF(AND(A834="",D834="",E834="",F834=""),"",IF(D834="","SEM CATEGORIA",IF(E834="","SEM SUBCATEGORIA",IF(COUNTIFS(CADASTROS!$L$7:$L$93,D834,CADASTROS!$D$7:$D$93,E834)=0,"INCOMPATÍVEL","OK"))))</f>
        <v>OK</v>
      </c>
    </row>
    <row r="835" spans="1:11" ht="30" hidden="1" customHeight="1" x14ac:dyDescent="0.25">
      <c r="A835" s="86" t="s">
        <v>2219</v>
      </c>
      <c r="B835" s="85">
        <f>IF(A835="","",IF(INDEX(EXTRATO!$C$2:$C$3000,MATCH($A835,EXTRATO!$A$2:$A$3000,0))="","",INDEX(EXTRATO!$C$2:$C$3000,MATCH($A835,EXTRATO!$A$2:$A$3000,0))))</f>
        <v>46227</v>
      </c>
      <c r="C835" s="86">
        <f t="shared" si="14"/>
        <v>7</v>
      </c>
      <c r="D835" s="81" t="s">
        <v>1311</v>
      </c>
      <c r="E835" s="79" t="s">
        <v>1470</v>
      </c>
      <c r="F835" s="80">
        <v>1165.98</v>
      </c>
      <c r="G835" s="81" t="s">
        <v>218</v>
      </c>
      <c r="H835" s="86" t="str">
        <f>IF(A835="","",IF(INDEX(EXTRATO!$F$2:$F$3000,MATCH($A835,EXTRATO!$A$2:$A$3000,0))="","",INDEX(EXTRATO!$F$2:$F$3000,MATCH($A835,EXTRATO!$A$2:$A$3000,0))))</f>
        <v>SAÍDA</v>
      </c>
      <c r="I835" s="88" t="str">
        <f>IF(A835="","",IF(INDEX(EXTRATO!$H$2:$H$3000,MATCH($A835,EXTRATO!$A$2:$A$3000,0))="","",INDEX(EXTRATO!$H$2:$H$3000,MATCH($A835,EXTRATO!$A$2:$A$3000,0))))</f>
        <v>QUALIÁGUA</v>
      </c>
      <c r="J835" s="86" t="s">
        <v>1565</v>
      </c>
      <c r="K835" s="86" t="str">
        <f>IF(AND(A835="",D835="",E835="",F835=""),"",IF(D835="","SEM CATEGORIA",IF(E835="","SEM SUBCATEGORIA",IF(COUNTIFS(CADASTROS!$L$7:$L$93,D835,CADASTROS!$D$7:$D$93,E835)=0,"INCOMPATÍVEL","OK"))))</f>
        <v>OK</v>
      </c>
    </row>
    <row r="836" spans="1:11" ht="30" hidden="1" customHeight="1" x14ac:dyDescent="0.25">
      <c r="A836" s="86" t="s">
        <v>2220</v>
      </c>
      <c r="B836" s="85">
        <f>IF(A836="","",IF(INDEX(EXTRATO!$C$2:$C$3000,MATCH($A836,EXTRATO!$A$2:$A$3000,0))="","",INDEX(EXTRATO!$C$2:$C$3000,MATCH($A836,EXTRATO!$A$2:$A$3000,0))))</f>
        <v>46227</v>
      </c>
      <c r="C836" s="86">
        <f t="shared" si="14"/>
        <v>7</v>
      </c>
      <c r="D836" s="81" t="s">
        <v>1388</v>
      </c>
      <c r="E836" s="79" t="s">
        <v>179</v>
      </c>
      <c r="F836" s="80">
        <v>3458.46</v>
      </c>
      <c r="G836" s="81" t="s">
        <v>1085</v>
      </c>
      <c r="H836" s="86" t="str">
        <f>IF(A836="","",IF(INDEX(EXTRATO!$F$2:$F$3000,MATCH($A836,EXTRATO!$A$2:$A$3000,0))="","",INDEX(EXTRATO!$F$2:$F$3000,MATCH($A836,EXTRATO!$A$2:$A$3000,0))))</f>
        <v>SAÍDA</v>
      </c>
      <c r="I836" s="88" t="str">
        <f>IF(A836="","",IF(INDEX(EXTRATO!$H$2:$H$3000,MATCH($A836,EXTRATO!$A$2:$A$3000,0))="","",INDEX(EXTRATO!$H$2:$H$3000,MATCH($A836,EXTRATO!$A$2:$A$3000,0))))</f>
        <v>PIS</v>
      </c>
      <c r="J836" s="86" t="s">
        <v>1565</v>
      </c>
      <c r="K836" s="86" t="str">
        <f>IF(AND(A836="",D836="",E836="",F836=""),"",IF(D836="","SEM CATEGORIA",IF(E836="","SEM SUBCATEGORIA",IF(COUNTIFS(CADASTROS!$L$7:$L$93,D836,CADASTROS!$D$7:$D$93,E836)=0,"INCOMPATÍVEL","OK"))))</f>
        <v>OK</v>
      </c>
    </row>
    <row r="837" spans="1:11" ht="30" hidden="1" customHeight="1" x14ac:dyDescent="0.25">
      <c r="A837" s="86" t="s">
        <v>2221</v>
      </c>
      <c r="B837" s="85">
        <f>IF(A837="","",IF(INDEX(EXTRATO!$C$2:$C$3000,MATCH($A837,EXTRATO!$A$2:$A$3000,0))="","",INDEX(EXTRATO!$C$2:$C$3000,MATCH($A837,EXTRATO!$A$2:$A$3000,0))))</f>
        <v>46227</v>
      </c>
      <c r="C837" s="86">
        <f t="shared" si="14"/>
        <v>7</v>
      </c>
      <c r="D837" s="81" t="s">
        <v>1388</v>
      </c>
      <c r="E837" s="79" t="s">
        <v>180</v>
      </c>
      <c r="F837" s="80">
        <v>15962.14</v>
      </c>
      <c r="G837" s="81" t="s">
        <v>1086</v>
      </c>
      <c r="H837" s="86" t="str">
        <f>IF(A837="","",IF(INDEX(EXTRATO!$F$2:$F$3000,MATCH($A837,EXTRATO!$A$2:$A$3000,0))="","",INDEX(EXTRATO!$F$2:$F$3000,MATCH($A837,EXTRATO!$A$2:$A$3000,0))))</f>
        <v>SAÍDA</v>
      </c>
      <c r="I837" s="88" t="str">
        <f>IF(A837="","",IF(INDEX(EXTRATO!$H$2:$H$3000,MATCH($A837,EXTRATO!$A$2:$A$3000,0))="","",INDEX(EXTRATO!$H$2:$H$3000,MATCH($A837,EXTRATO!$A$2:$A$3000,0))))</f>
        <v>COFINS</v>
      </c>
      <c r="J837" s="86" t="s">
        <v>1565</v>
      </c>
      <c r="K837" s="86" t="str">
        <f>IF(AND(A837="",D837="",E837="",F837=""),"",IF(D837="","SEM CATEGORIA",IF(E837="","SEM SUBCATEGORIA",IF(COUNTIFS(CADASTROS!$L$7:$L$93,D837,CADASTROS!$D$7:$D$93,E837)=0,"INCOMPATÍVEL","OK"))))</f>
        <v>OK</v>
      </c>
    </row>
    <row r="838" spans="1:11" ht="30" hidden="1" customHeight="1" x14ac:dyDescent="0.25">
      <c r="A838" s="86" t="s">
        <v>2222</v>
      </c>
      <c r="B838" s="85">
        <f>IF(A838="","",IF(INDEX(EXTRATO!$C$2:$C$3000,MATCH($A838,EXTRATO!$A$2:$A$3000,0))="","",INDEX(EXTRATO!$C$2:$C$3000,MATCH($A838,EXTRATO!$A$2:$A$3000,0))))</f>
        <v>46230</v>
      </c>
      <c r="C838" s="86">
        <f t="shared" si="14"/>
        <v>7</v>
      </c>
      <c r="D838" s="81" t="s">
        <v>1311</v>
      </c>
      <c r="E838" s="79" t="s">
        <v>1312</v>
      </c>
      <c r="F838" s="80">
        <v>400</v>
      </c>
      <c r="G838" s="81" t="s">
        <v>2829</v>
      </c>
      <c r="H838" s="86" t="str">
        <f>IF(A838="","",IF(INDEX(EXTRATO!$F$2:$F$3000,MATCH($A838,EXTRATO!$A$2:$A$3000,0))="","",INDEX(EXTRATO!$F$2:$F$3000,MATCH($A838,EXTRATO!$A$2:$A$3000,0))))</f>
        <v>SAÍDA</v>
      </c>
      <c r="I838" s="88" t="str">
        <f>IF(A838="","",IF(INDEX(EXTRATO!$H$2:$H$3000,MATCH($A838,EXTRATO!$A$2:$A$3000,0))="","",INDEX(EXTRATO!$H$2:$H$3000,MATCH($A838,EXTRATO!$A$2:$A$3000,0))))</f>
        <v>BIOCOMPANY</v>
      </c>
      <c r="J838" s="86" t="s">
        <v>1360</v>
      </c>
      <c r="K838" s="86" t="str">
        <f>IF(AND(A838="",D838="",E838="",F838=""),"",IF(D838="","SEM CATEGORIA",IF(E838="","SEM SUBCATEGORIA",IF(COUNTIFS(CADASTROS!$L$7:$L$93,D838,CADASTROS!$D$7:$D$93,E838)=0,"INCOMPATÍVEL","OK"))))</f>
        <v>OK</v>
      </c>
    </row>
    <row r="839" spans="1:11" ht="30" hidden="1" customHeight="1" x14ac:dyDescent="0.25">
      <c r="A839" s="86" t="s">
        <v>2222</v>
      </c>
      <c r="B839" s="85">
        <f>IF(A839="","",IF(INDEX(EXTRATO!$C$2:$C$3000,MATCH($A839,EXTRATO!$A$2:$A$3000,0))="","",INDEX(EXTRATO!$C$2:$C$3000,MATCH($A839,EXTRATO!$A$2:$A$3000,0))))</f>
        <v>46230</v>
      </c>
      <c r="C839" s="86">
        <f t="shared" si="14"/>
        <v>7</v>
      </c>
      <c r="D839" s="81" t="s">
        <v>1311</v>
      </c>
      <c r="E839" s="79" t="s">
        <v>1318</v>
      </c>
      <c r="F839" s="80">
        <v>600</v>
      </c>
      <c r="G839" s="81" t="s">
        <v>2830</v>
      </c>
      <c r="H839" s="86" t="str">
        <f>IF(A839="","",IF(INDEX(EXTRATO!$F$2:$F$3000,MATCH($A839,EXTRATO!$A$2:$A$3000,0))="","",INDEX(EXTRATO!$F$2:$F$3000,MATCH($A839,EXTRATO!$A$2:$A$3000,0))))</f>
        <v>SAÍDA</v>
      </c>
      <c r="I839" s="88" t="str">
        <f>IF(A839="","",IF(INDEX(EXTRATO!$H$2:$H$3000,MATCH($A839,EXTRATO!$A$2:$A$3000,0))="","",INDEX(EXTRATO!$H$2:$H$3000,MATCH($A839,EXTRATO!$A$2:$A$3000,0))))</f>
        <v>BIOCOMPANY</v>
      </c>
      <c r="J839" s="86" t="s">
        <v>1360</v>
      </c>
      <c r="K839" s="86" t="str">
        <f>IF(AND(A839="",D839="",E839="",F839=""),"",IF(D839="","SEM CATEGORIA",IF(E839="","SEM SUBCATEGORIA",IF(COUNTIFS(CADASTROS!$L$7:$L$93,D839,CADASTROS!$D$7:$D$93,E839)=0,"INCOMPATÍVEL","OK"))))</f>
        <v>OK</v>
      </c>
    </row>
    <row r="840" spans="1:11" ht="30" hidden="1" customHeight="1" x14ac:dyDescent="0.25">
      <c r="A840" s="86" t="s">
        <v>2223</v>
      </c>
      <c r="B840" s="85">
        <f>IF(A840="","",IF(INDEX(EXTRATO!$C$2:$C$3000,MATCH($A840,EXTRATO!$A$2:$A$3000,0))="","",INDEX(EXTRATO!$C$2:$C$3000,MATCH($A840,EXTRATO!$A$2:$A$3000,0))))</f>
        <v>46230</v>
      </c>
      <c r="C840" s="86">
        <f t="shared" si="14"/>
        <v>7</v>
      </c>
      <c r="D840" s="81" t="s">
        <v>1330</v>
      </c>
      <c r="E840" s="79" t="s">
        <v>1352</v>
      </c>
      <c r="F840" s="80">
        <v>400</v>
      </c>
      <c r="G840" s="81" t="s">
        <v>678</v>
      </c>
      <c r="H840" s="86" t="str">
        <f>IF(A840="","",IF(INDEX(EXTRATO!$F$2:$F$3000,MATCH($A840,EXTRATO!$A$2:$A$3000,0))="","",INDEX(EXTRATO!$F$2:$F$3000,MATCH($A840,EXTRATO!$A$2:$A$3000,0))))</f>
        <v>SAÍDA</v>
      </c>
      <c r="I840" s="88" t="str">
        <f>IF(A840="","",IF(INDEX(EXTRATO!$H$2:$H$3000,MATCH($A840,EXTRATO!$A$2:$A$3000,0))="","",INDEX(EXTRATO!$H$2:$H$3000,MATCH($A840,EXTRATO!$A$2:$A$3000,0))))</f>
        <v>ABCDT</v>
      </c>
      <c r="J840" s="86" t="s">
        <v>1565</v>
      </c>
      <c r="K840" s="86" t="str">
        <f>IF(AND(A840="",D840="",E840="",F840=""),"",IF(D840="","SEM CATEGORIA",IF(E840="","SEM SUBCATEGORIA",IF(COUNTIFS(CADASTROS!$L$7:$L$93,D840,CADASTROS!$D$7:$D$93,E840)=0,"INCOMPATÍVEL","OK"))))</f>
        <v>OK</v>
      </c>
    </row>
    <row r="841" spans="1:11" ht="30" hidden="1" customHeight="1" x14ac:dyDescent="0.25">
      <c r="A841" s="86" t="s">
        <v>2224</v>
      </c>
      <c r="B841" s="85">
        <f>IF(A841="","",IF(INDEX(EXTRATO!$C$2:$C$3000,MATCH($A841,EXTRATO!$A$2:$A$3000,0))="","",INDEX(EXTRATO!$C$2:$C$3000,MATCH($A841,EXTRATO!$A$2:$A$3000,0))))</f>
        <v>46231</v>
      </c>
      <c r="C841" s="86">
        <f t="shared" si="14"/>
        <v>7</v>
      </c>
      <c r="D841" s="81" t="s">
        <v>1311</v>
      </c>
      <c r="E841" s="79" t="s">
        <v>1318</v>
      </c>
      <c r="F841" s="80">
        <v>1020</v>
      </c>
      <c r="G841" s="81" t="s">
        <v>1088</v>
      </c>
      <c r="H841" s="86" t="str">
        <f>IF(A841="","",IF(INDEX(EXTRATO!$F$2:$F$3000,MATCH($A841,EXTRATO!$A$2:$A$3000,0))="","",INDEX(EXTRATO!$F$2:$F$3000,MATCH($A841,EXTRATO!$A$2:$A$3000,0))))</f>
        <v>SAÍDA</v>
      </c>
      <c r="I841" s="88" t="str">
        <f>IF(A841="","",IF(INDEX(EXTRATO!$H$2:$H$3000,MATCH($A841,EXTRATO!$A$2:$A$3000,0))="","",INDEX(EXTRATO!$H$2:$H$3000,MATCH($A841,EXTRATO!$A$2:$A$3000,0))))</f>
        <v>BIOCOMPANY</v>
      </c>
      <c r="J841" s="86" t="s">
        <v>1360</v>
      </c>
      <c r="K841" s="86" t="str">
        <f>IF(AND(A841="",D841="",E841="",F841=""),"",IF(D841="","SEM CATEGORIA",IF(E841="","SEM SUBCATEGORIA",IF(COUNTIFS(CADASTROS!$L$7:$L$93,D841,CADASTROS!$D$7:$D$93,E841)=0,"INCOMPATÍVEL","OK"))))</f>
        <v>OK</v>
      </c>
    </row>
    <row r="842" spans="1:11" ht="30" hidden="1" customHeight="1" x14ac:dyDescent="0.25">
      <c r="A842" s="86" t="s">
        <v>2225</v>
      </c>
      <c r="B842" s="85">
        <f>IF(A842="","",IF(INDEX(EXTRATO!$C$2:$C$3000,MATCH($A842,EXTRATO!$A$2:$A$3000,0))="","",INDEX(EXTRATO!$C$2:$C$3000,MATCH($A842,EXTRATO!$A$2:$A$3000,0))))</f>
        <v>46232</v>
      </c>
      <c r="C842" s="86">
        <f t="shared" si="14"/>
        <v>7</v>
      </c>
      <c r="D842" s="81" t="s">
        <v>1330</v>
      </c>
      <c r="E842" s="79" t="s">
        <v>1379</v>
      </c>
      <c r="F842" s="80">
        <v>2938.4</v>
      </c>
      <c r="G842" s="81" t="s">
        <v>254</v>
      </c>
      <c r="H842" s="86" t="str">
        <f>IF(A842="","",IF(INDEX(EXTRATO!$F$2:$F$3000,MATCH($A842,EXTRATO!$A$2:$A$3000,0))="","",INDEX(EXTRATO!$F$2:$F$3000,MATCH($A842,EXTRATO!$A$2:$A$3000,0))))</f>
        <v>SAÍDA</v>
      </c>
      <c r="I842" s="88" t="str">
        <f>IF(A842="","",IF(INDEX(EXTRATO!$H$2:$H$3000,MATCH($A842,EXTRATO!$A$2:$A$3000,0))="","",INDEX(EXTRATO!$H$2:$H$3000,MATCH($A842,EXTRATO!$A$2:$A$3000,0))))</f>
        <v>NEPHROSYS SUPORTE E MANUTENÇÃO</v>
      </c>
      <c r="J842" s="86" t="s">
        <v>1565</v>
      </c>
      <c r="K842" s="86" t="str">
        <f>IF(AND(A842="",D842="",E842="",F842=""),"",IF(D842="","SEM CATEGORIA",IF(E842="","SEM SUBCATEGORIA",IF(COUNTIFS(CADASTROS!$L$7:$L$93,D842,CADASTROS!$D$7:$D$93,E842)=0,"INCOMPATÍVEL","OK"))))</f>
        <v>OK</v>
      </c>
    </row>
    <row r="843" spans="1:11" ht="30" hidden="1" customHeight="1" x14ac:dyDescent="0.25">
      <c r="A843" s="86" t="s">
        <v>2226</v>
      </c>
      <c r="B843" s="85">
        <f>IF(A843="","",IF(INDEX(EXTRATO!$C$2:$C$3000,MATCH($A843,EXTRATO!$A$2:$A$3000,0))="","",INDEX(EXTRATO!$C$2:$C$3000,MATCH($A843,EXTRATO!$A$2:$A$3000,0))))</f>
        <v>46233</v>
      </c>
      <c r="C843" s="86">
        <f t="shared" si="14"/>
        <v>7</v>
      </c>
      <c r="D843" s="81" t="s">
        <v>1454</v>
      </c>
      <c r="E843" s="79" t="s">
        <v>1473</v>
      </c>
      <c r="F843" s="80">
        <v>48992.160000000003</v>
      </c>
      <c r="G843" s="81" t="s">
        <v>989</v>
      </c>
      <c r="H843" s="86" t="str">
        <f>IF(A843="","",IF(INDEX(EXTRATO!$F$2:$F$3000,MATCH($A843,EXTRATO!$A$2:$A$3000,0))="","",INDEX(EXTRATO!$F$2:$F$3000,MATCH($A843,EXTRATO!$A$2:$A$3000,0))))</f>
        <v>SAÍDA</v>
      </c>
      <c r="I843" s="88" t="str">
        <f>IF(A843="","",IF(INDEX(EXTRATO!$H$2:$H$3000,MATCH($A843,EXTRATO!$A$2:$A$3000,0))="","",INDEX(EXTRATO!$H$2:$H$3000,MATCH($A843,EXTRATO!$A$2:$A$3000,0))))</f>
        <v>NIPRO</v>
      </c>
      <c r="J843" s="86" t="s">
        <v>1565</v>
      </c>
      <c r="K843" s="86" t="str">
        <f>IF(AND(A843="",D843="",E843="",F843=""),"",IF(D843="","SEM CATEGORIA",IF(E843="","SEM SUBCATEGORIA",IF(COUNTIFS(CADASTROS!$L$7:$L$93,D843,CADASTROS!$D$7:$D$93,E843)=0,"INCOMPATÍVEL","OK"))))</f>
        <v>OK</v>
      </c>
    </row>
    <row r="844" spans="1:11" ht="30" hidden="1" customHeight="1" x14ac:dyDescent="0.25">
      <c r="A844" s="86" t="s">
        <v>2227</v>
      </c>
      <c r="B844" s="85">
        <f>IF(A844="","",IF(INDEX(EXTRATO!$C$2:$C$3000,MATCH($A844,EXTRATO!$A$2:$A$3000,0))="","",INDEX(EXTRATO!$C$2:$C$3000,MATCH($A844,EXTRATO!$A$2:$A$3000,0))))</f>
        <v>46233</v>
      </c>
      <c r="C844" s="86">
        <f t="shared" si="14"/>
        <v>7</v>
      </c>
      <c r="D844" s="81" t="s">
        <v>1305</v>
      </c>
      <c r="E844" s="79" t="s">
        <v>1306</v>
      </c>
      <c r="F844" s="80">
        <v>1500</v>
      </c>
      <c r="G844" s="81" t="s">
        <v>45</v>
      </c>
      <c r="H844" s="86" t="str">
        <f>IF(A844="","",IF(INDEX(EXTRATO!$F$2:$F$3000,MATCH($A844,EXTRATO!$A$2:$A$3000,0))="","",INDEX(EXTRATO!$F$2:$F$3000,MATCH($A844,EXTRATO!$A$2:$A$3000,0))))</f>
        <v>RESGATE</v>
      </c>
      <c r="I844" s="88" t="str">
        <f>IF(A844="","",IF(INDEX(EXTRATO!$H$2:$H$3000,MATCH($A844,EXTRATO!$A$2:$A$3000,0))="","",INDEX(EXTRATO!$H$2:$H$3000,MATCH($A844,EXTRATO!$A$2:$A$3000,0))))</f>
        <v>BANCO DO BRASIL - CDB DI</v>
      </c>
      <c r="J844" s="86" t="s">
        <v>1307</v>
      </c>
      <c r="K844" s="86" t="str">
        <f>IF(AND(A844="",D844="",E844="",F844=""),"",IF(D844="","SEM CATEGORIA",IF(E844="","SEM SUBCATEGORIA",IF(COUNTIFS(CADASTROS!$L$7:$L$93,D844,CADASTROS!$D$7:$D$93,E844)=0,"INCOMPATÍVEL","OK"))))</f>
        <v>OK</v>
      </c>
    </row>
    <row r="845" spans="1:11" ht="30" hidden="1" customHeight="1" x14ac:dyDescent="0.25">
      <c r="A845" s="86" t="s">
        <v>2228</v>
      </c>
      <c r="B845" s="85">
        <f>IF(A845="","",IF(INDEX(EXTRATO!$C$2:$C$3000,MATCH($A845,EXTRATO!$A$2:$A$3000,0))="","",INDEX(EXTRATO!$C$2:$C$3000,MATCH($A845,EXTRATO!$A$2:$A$3000,0))))</f>
        <v>46234</v>
      </c>
      <c r="C845" s="86">
        <f t="shared" si="14"/>
        <v>7</v>
      </c>
      <c r="D845" s="81" t="s">
        <v>1305</v>
      </c>
      <c r="E845" s="79" t="s">
        <v>1306</v>
      </c>
      <c r="F845" s="80">
        <v>94.74</v>
      </c>
      <c r="G845" s="81" t="s">
        <v>104</v>
      </c>
      <c r="H845" s="86" t="str">
        <f>IF(A845="","",IF(INDEX(EXTRATO!$F$2:$F$3000,MATCH($A845,EXTRATO!$A$2:$A$3000,0))="","",INDEX(EXTRATO!$F$2:$F$3000,MATCH($A845,EXTRATO!$A$2:$A$3000,0))))</f>
        <v>RESGATE</v>
      </c>
      <c r="I845" s="88" t="str">
        <f>IF(A845="","",IF(INDEX(EXTRATO!$H$2:$H$3000,MATCH($A845,EXTRATO!$A$2:$A$3000,0))="","",INDEX(EXTRATO!$H$2:$H$3000,MATCH($A845,EXTRATO!$A$2:$A$3000,0))))</f>
        <v>BANCO DO BRASIL - CDB DI</v>
      </c>
      <c r="J845" s="86" t="s">
        <v>1307</v>
      </c>
      <c r="K845" s="86" t="str">
        <f>IF(AND(A845="",D845="",E845="",F845=""),"",IF(D845="","SEM CATEGORIA",IF(E845="","SEM SUBCATEGORIA",IF(COUNTIFS(CADASTROS!$L$7:$L$93,D845,CADASTROS!$D$7:$D$93,E845)=0,"INCOMPATÍVEL","OK"))))</f>
        <v>OK</v>
      </c>
    </row>
    <row r="846" spans="1:11" ht="30" hidden="1" customHeight="1" x14ac:dyDescent="0.25">
      <c r="A846" s="86" t="s">
        <v>2229</v>
      </c>
      <c r="B846" s="85">
        <f>IF(A846="","",IF(INDEX(EXTRATO!$C$2:$C$3000,MATCH($A846,EXTRATO!$A$2:$A$3000,0))="","",INDEX(EXTRATO!$C$2:$C$3000,MATCH($A846,EXTRATO!$A$2:$A$3000,0))))</f>
        <v>46234</v>
      </c>
      <c r="C846" s="86">
        <f t="shared" si="14"/>
        <v>7</v>
      </c>
      <c r="D846" s="81" t="s">
        <v>1305</v>
      </c>
      <c r="E846" s="79" t="s">
        <v>1615</v>
      </c>
      <c r="F846" s="80">
        <v>598247.21</v>
      </c>
      <c r="G846" s="81" t="s">
        <v>1090</v>
      </c>
      <c r="H846" s="86" t="str">
        <f>IF(A846="","",IF(INDEX(EXTRATO!$F$2:$F$3000,MATCH($A846,EXTRATO!$A$2:$A$3000,0))="","",INDEX(EXTRATO!$F$2:$F$3000,MATCH($A846,EXTRATO!$A$2:$A$3000,0))))</f>
        <v>ENTRADA</v>
      </c>
      <c r="I846" s="88" t="str">
        <f>IF(A846="","",IF(INDEX(EXTRATO!$H$2:$H$3000,MATCH($A846,EXTRATO!$A$2:$A$3000,0))="","",INDEX(EXTRATO!$H$2:$H$3000,MATCH($A846,EXTRATO!$A$2:$A$3000,0))))</f>
        <v>REPASSE DO CONTRATO</v>
      </c>
      <c r="J846" s="86" t="s">
        <v>1307</v>
      </c>
      <c r="K846" s="86" t="str">
        <f>IF(AND(A846="",D846="",E846="",F846=""),"",IF(D846="","SEM CATEGORIA",IF(E846="","SEM SUBCATEGORIA",IF(COUNTIFS(CADASTROS!$L$7:$L$93,D846,CADASTROS!$D$7:$D$93,E846)=0,"INCOMPATÍVEL","OK"))))</f>
        <v>OK</v>
      </c>
    </row>
    <row r="847" spans="1:11" ht="30" hidden="1" customHeight="1" x14ac:dyDescent="0.25">
      <c r="A847" s="86" t="s">
        <v>2230</v>
      </c>
      <c r="B847" s="85">
        <f>IF(A847="","",IF(INDEX(EXTRATO!$C$2:$C$3000,MATCH($A847,EXTRATO!$A$2:$A$3000,0))="","",INDEX(EXTRATO!$C$2:$C$3000,MATCH($A847,EXTRATO!$A$2:$A$3000,0))))</f>
        <v>46234</v>
      </c>
      <c r="C847" s="86">
        <f t="shared" si="14"/>
        <v>7</v>
      </c>
      <c r="D847" s="81" t="s">
        <v>1454</v>
      </c>
      <c r="E847" s="79" t="s">
        <v>1473</v>
      </c>
      <c r="F847" s="80">
        <v>9331.84</v>
      </c>
      <c r="G847" s="81" t="s">
        <v>990</v>
      </c>
      <c r="H847" s="86" t="str">
        <f>IF(A847="","",IF(INDEX(EXTRATO!$F$2:$F$3000,MATCH($A847,EXTRATO!$A$2:$A$3000,0))="","",INDEX(EXTRATO!$F$2:$F$3000,MATCH($A847,EXTRATO!$A$2:$A$3000,0))))</f>
        <v>SAÍDA</v>
      </c>
      <c r="I847" s="88" t="str">
        <f>IF(A847="","",IF(INDEX(EXTRATO!$H$2:$H$3000,MATCH($A847,EXTRATO!$A$2:$A$3000,0))="","",INDEX(EXTRATO!$H$2:$H$3000,MATCH($A847,EXTRATO!$A$2:$A$3000,0))))</f>
        <v>NIPRO</v>
      </c>
      <c r="J847" s="86" t="s">
        <v>1565</v>
      </c>
      <c r="K847" s="86" t="str">
        <f>IF(AND(A847="",D847="",E847="",F847=""),"",IF(D847="","SEM CATEGORIA",IF(E847="","SEM SUBCATEGORIA",IF(COUNTIFS(CADASTROS!$L$7:$L$93,D847,CADASTROS!$D$7:$D$93,E847)=0,"INCOMPATÍVEL","OK"))))</f>
        <v>OK</v>
      </c>
    </row>
    <row r="848" spans="1:11" ht="30" hidden="1" customHeight="1" x14ac:dyDescent="0.25">
      <c r="A848" s="86" t="s">
        <v>2231</v>
      </c>
      <c r="B848" s="85">
        <f>IF(A848="","",IF(INDEX(EXTRATO!$C$2:$C$3000,MATCH($A848,EXTRATO!$A$2:$A$3000,0))="","",INDEX(EXTRATO!$C$2:$C$3000,MATCH($A848,EXTRATO!$A$2:$A$3000,0))))</f>
        <v>46234</v>
      </c>
      <c r="C848" s="86">
        <f t="shared" si="14"/>
        <v>7</v>
      </c>
      <c r="D848" s="81" t="s">
        <v>1388</v>
      </c>
      <c r="E848" s="79" t="s">
        <v>1466</v>
      </c>
      <c r="F848" s="80">
        <v>2800.22</v>
      </c>
      <c r="G848" s="81" t="s">
        <v>1091</v>
      </c>
      <c r="H848" s="86" t="str">
        <f>IF(A848="","",IF(INDEX(EXTRATO!$F$2:$F$3000,MATCH($A848,EXTRATO!$A$2:$A$3000,0))="","",INDEX(EXTRATO!$F$2:$F$3000,MATCH($A848,EXTRATO!$A$2:$A$3000,0))))</f>
        <v>SAÍDA</v>
      </c>
      <c r="I848" s="88" t="str">
        <f>IF(A848="","",IF(INDEX(EXTRATO!$H$2:$H$3000,MATCH($A848,EXTRATO!$A$2:$A$3000,0))="","",INDEX(EXTRATO!$H$2:$H$3000,MATCH($A848,EXTRATO!$A$2:$A$3000,0))))</f>
        <v>IRPJ</v>
      </c>
      <c r="J848" s="86" t="s">
        <v>1565</v>
      </c>
      <c r="K848" s="86" t="str">
        <f>IF(AND(A848="",D848="",E848="",F848=""),"",IF(D848="","SEM CATEGORIA",IF(E848="","SEM SUBCATEGORIA",IF(COUNTIFS(CADASTROS!$L$7:$L$93,D848,CADASTROS!$D$7:$D$93,E848)=0,"INCOMPATÍVEL","OK"))))</f>
        <v>OK</v>
      </c>
    </row>
    <row r="849" spans="1:11" ht="30" hidden="1" customHeight="1" x14ac:dyDescent="0.25">
      <c r="A849" s="86" t="s">
        <v>2232</v>
      </c>
      <c r="B849" s="85">
        <f>IF(A849="","",IF(INDEX(EXTRATO!$C$2:$C$3000,MATCH($A849,EXTRATO!$A$2:$A$3000,0))="","",INDEX(EXTRATO!$C$2:$C$3000,MATCH($A849,EXTRATO!$A$2:$A$3000,0))))</f>
        <v>46234</v>
      </c>
      <c r="C849" s="86">
        <f t="shared" si="14"/>
        <v>7</v>
      </c>
      <c r="D849" s="81" t="s">
        <v>1388</v>
      </c>
      <c r="E849" s="79" t="s">
        <v>1468</v>
      </c>
      <c r="F849" s="80">
        <v>11119.94</v>
      </c>
      <c r="G849" s="81" t="s">
        <v>1092</v>
      </c>
      <c r="H849" s="86" t="str">
        <f>IF(A849="","",IF(INDEX(EXTRATO!$F$2:$F$3000,MATCH($A849,EXTRATO!$A$2:$A$3000,0))="","",INDEX(EXTRATO!$F$2:$F$3000,MATCH($A849,EXTRATO!$A$2:$A$3000,0))))</f>
        <v>SAÍDA</v>
      </c>
      <c r="I849" s="88" t="str">
        <f>IF(A849="","",IF(INDEX(EXTRATO!$H$2:$H$3000,MATCH($A849,EXTRATO!$A$2:$A$3000,0))="","",INDEX(EXTRATO!$H$2:$H$3000,MATCH($A849,EXTRATO!$A$2:$A$3000,0))))</f>
        <v>CSLL</v>
      </c>
      <c r="J849" s="86" t="s">
        <v>1565</v>
      </c>
      <c r="K849" s="86" t="str">
        <f>IF(AND(A849="",D849="",E849="",F849=""),"",IF(D849="","SEM CATEGORIA",IF(E849="","SEM SUBCATEGORIA",IF(COUNTIFS(CADASTROS!$L$7:$L$93,D849,CADASTROS!$D$7:$D$93,E849)=0,"INCOMPATÍVEL","OK"))))</f>
        <v>OK</v>
      </c>
    </row>
    <row r="850" spans="1:11" ht="30" hidden="1" customHeight="1" x14ac:dyDescent="0.25">
      <c r="A850" s="86" t="s">
        <v>2233</v>
      </c>
      <c r="B850" s="85">
        <f>IF(A850="","",IF(INDEX(EXTRATO!$C$2:$C$3000,MATCH($A850,EXTRATO!$A$2:$A$3000,0))="","",INDEX(EXTRATO!$C$2:$C$3000,MATCH($A850,EXTRATO!$A$2:$A$3000,0))))</f>
        <v>46234</v>
      </c>
      <c r="C850" s="86">
        <f t="shared" si="14"/>
        <v>7</v>
      </c>
      <c r="D850" s="81" t="s">
        <v>1311</v>
      </c>
      <c r="E850" s="79" t="s">
        <v>1312</v>
      </c>
      <c r="F850" s="80">
        <v>43.5</v>
      </c>
      <c r="G850" s="81" t="s">
        <v>1810</v>
      </c>
      <c r="H850" s="86" t="str">
        <f>IF(A850="","",IF(INDEX(EXTRATO!$F$2:$F$3000,MATCH($A850,EXTRATO!$A$2:$A$3000,0))="","",INDEX(EXTRATO!$F$2:$F$3000,MATCH($A850,EXTRATO!$A$2:$A$3000,0))))</f>
        <v>SAÍDA</v>
      </c>
      <c r="I850" s="88" t="str">
        <f>IF(A850="","",IF(INDEX(EXTRATO!$H$2:$H$3000,MATCH($A850,EXTRATO!$A$2:$A$3000,0))="","",INDEX(EXTRATO!$H$2:$H$3000,MATCH($A850,EXTRATO!$A$2:$A$3000,0))))</f>
        <v>FARMACE</v>
      </c>
      <c r="J850" s="86" t="s">
        <v>1360</v>
      </c>
      <c r="K850" s="86" t="str">
        <f>IF(AND(A850="",D850="",E850="",F850=""),"",IF(D850="","SEM CATEGORIA",IF(E850="","SEM SUBCATEGORIA",IF(COUNTIFS(CADASTROS!$L$7:$L$93,D850,CADASTROS!$D$7:$D$93,E850)=0,"INCOMPATÍVEL","OK"))))</f>
        <v>OK</v>
      </c>
    </row>
    <row r="851" spans="1:11" ht="30" hidden="1" customHeight="1" x14ac:dyDescent="0.25">
      <c r="A851" s="86" t="s">
        <v>2233</v>
      </c>
      <c r="B851" s="85">
        <f>IF(A851="","",IF(INDEX(EXTRATO!$C$2:$C$3000,MATCH($A851,EXTRATO!$A$2:$A$3000,0))="","",INDEX(EXTRATO!$C$2:$C$3000,MATCH($A851,EXTRATO!$A$2:$A$3000,0))))</f>
        <v>46234</v>
      </c>
      <c r="C851" s="86">
        <f t="shared" si="14"/>
        <v>7</v>
      </c>
      <c r="D851" s="81" t="s">
        <v>1311</v>
      </c>
      <c r="E851" s="79" t="s">
        <v>1404</v>
      </c>
      <c r="F851" s="80">
        <v>19910</v>
      </c>
      <c r="G851" s="81" t="s">
        <v>2828</v>
      </c>
      <c r="H851" s="86" t="str">
        <f>IF(A851="","",IF(INDEX(EXTRATO!$F$2:$F$3000,MATCH($A851,EXTRATO!$A$2:$A$3000,0))="","",INDEX(EXTRATO!$F$2:$F$3000,MATCH($A851,EXTRATO!$A$2:$A$3000,0))))</f>
        <v>SAÍDA</v>
      </c>
      <c r="I851" s="88" t="str">
        <f>IF(A851="","",IF(INDEX(EXTRATO!$H$2:$H$3000,MATCH($A851,EXTRATO!$A$2:$A$3000,0))="","",INDEX(EXTRATO!$H$2:$H$3000,MATCH($A851,EXTRATO!$A$2:$A$3000,0))))</f>
        <v>FARMACE</v>
      </c>
      <c r="J851" s="86" t="s">
        <v>1360</v>
      </c>
      <c r="K851" s="86" t="str">
        <f>IF(AND(A851="",D851="",E851="",F851=""),"",IF(D851="","SEM CATEGORIA",IF(E851="","SEM SUBCATEGORIA",IF(COUNTIFS(CADASTROS!$L$7:$L$93,D851,CADASTROS!$D$7:$D$93,E851)=0,"INCOMPATÍVEL","OK"))))</f>
        <v>OK</v>
      </c>
    </row>
    <row r="852" spans="1:11" ht="30" hidden="1" customHeight="1" x14ac:dyDescent="0.25">
      <c r="A852" s="86" t="s">
        <v>2234</v>
      </c>
      <c r="B852" s="85">
        <f>IF(A852="","",IF(INDEX(EXTRATO!$C$2:$C$3000,MATCH($A852,EXTRATO!$A$2:$A$3000,0))="","",INDEX(EXTRATO!$C$2:$C$3000,MATCH($A852,EXTRATO!$A$2:$A$3000,0))))</f>
        <v>46234</v>
      </c>
      <c r="C852" s="86">
        <f t="shared" si="14"/>
        <v>7</v>
      </c>
      <c r="D852" s="81" t="s">
        <v>1330</v>
      </c>
      <c r="E852" s="79" t="s">
        <v>1344</v>
      </c>
      <c r="F852" s="80">
        <v>18945.71</v>
      </c>
      <c r="G852" s="81" t="s">
        <v>1095</v>
      </c>
      <c r="H852" s="86" t="str">
        <f>IF(A852="","",IF(INDEX(EXTRATO!$F$2:$F$3000,MATCH($A852,EXTRATO!$A$2:$A$3000,0))="","",INDEX(EXTRATO!$F$2:$F$3000,MATCH($A852,EXTRATO!$A$2:$A$3000,0))))</f>
        <v>SAÍDA</v>
      </c>
      <c r="I852" s="88" t="str">
        <f>IF(A852="","",IF(INDEX(EXTRATO!$H$2:$H$3000,MATCH($A852,EXTRATO!$A$2:$A$3000,0))="","",INDEX(EXTRATO!$H$2:$H$3000,MATCH($A852,EXTRATO!$A$2:$A$3000,0))))</f>
        <v>EQUATORIAL MARANHÃO</v>
      </c>
      <c r="J852" s="86" t="s">
        <v>1565</v>
      </c>
      <c r="K852" s="86" t="str">
        <f>IF(AND(A852="",D852="",E852="",F852=""),"",IF(D852="","SEM CATEGORIA",IF(E852="","SEM SUBCATEGORIA",IF(COUNTIFS(CADASTROS!$L$7:$L$93,D852,CADASTROS!$D$7:$D$93,E852)=0,"INCOMPATÍVEL","OK"))))</f>
        <v>OK</v>
      </c>
    </row>
    <row r="853" spans="1:11" ht="30" hidden="1" customHeight="1" x14ac:dyDescent="0.25">
      <c r="A853" s="86" t="s">
        <v>2235</v>
      </c>
      <c r="B853" s="85">
        <f>IF(A853="","",IF(INDEX(EXTRATO!$C$2:$C$3000,MATCH($A853,EXTRATO!$A$2:$A$3000,0))="","",INDEX(EXTRATO!$C$2:$C$3000,MATCH($A853,EXTRATO!$A$2:$A$3000,0))))</f>
        <v>46237</v>
      </c>
      <c r="C853" s="86">
        <f t="shared" si="14"/>
        <v>8</v>
      </c>
      <c r="D853" s="81" t="s">
        <v>1330</v>
      </c>
      <c r="E853" s="79" t="s">
        <v>1697</v>
      </c>
      <c r="F853" s="80">
        <v>5200</v>
      </c>
      <c r="G853" s="81" t="s">
        <v>1096</v>
      </c>
      <c r="H853" s="86" t="str">
        <f>IF(A853="","",IF(INDEX(EXTRATO!$F$2:$F$3000,MATCH($A853,EXTRATO!$A$2:$A$3000,0))="","",INDEX(EXTRATO!$F$2:$F$3000,MATCH($A853,EXTRATO!$A$2:$A$3000,0))))</f>
        <v>SAÍDA</v>
      </c>
      <c r="I853" s="88" t="str">
        <f>IF(A853="","",IF(INDEX(EXTRATO!$H$2:$H$3000,MATCH($A853,EXTRATO!$A$2:$A$3000,0))="","",INDEX(EXTRATO!$H$2:$H$3000,MATCH($A853,EXTRATO!$A$2:$A$3000,0))))</f>
        <v>ASSESSORIA ADMINISTRATIVA</v>
      </c>
      <c r="J853" s="86" t="s">
        <v>1360</v>
      </c>
      <c r="K853" s="86" t="str">
        <f>IF(AND(A853="",D853="",E853="",F853=""),"",IF(D853="","SEM CATEGORIA",IF(E853="","SEM SUBCATEGORIA",IF(COUNTIFS(CADASTROS!$L$7:$L$93,D853,CADASTROS!$D$7:$D$93,E853)=0,"INCOMPATÍVEL","OK"))))</f>
        <v>OK</v>
      </c>
    </row>
    <row r="854" spans="1:11" ht="30" hidden="1" customHeight="1" x14ac:dyDescent="0.25">
      <c r="A854" s="86" t="s">
        <v>2236</v>
      </c>
      <c r="B854" s="85">
        <f>IF(A854="","",IF(INDEX(EXTRATO!$C$2:$C$3000,MATCH($A854,EXTRATO!$A$2:$A$3000,0))="","",INDEX(EXTRATO!$C$2:$C$3000,MATCH($A854,EXTRATO!$A$2:$A$3000,0))))</f>
        <v>46237</v>
      </c>
      <c r="C854" s="86">
        <f t="shared" si="14"/>
        <v>8</v>
      </c>
      <c r="D854" s="81" t="s">
        <v>1904</v>
      </c>
      <c r="E854" s="79" t="s">
        <v>1905</v>
      </c>
      <c r="F854" s="80">
        <v>8000</v>
      </c>
      <c r="G854" s="81" t="s">
        <v>895</v>
      </c>
      <c r="H854" s="86" t="str">
        <f>IF(A854="","",IF(INDEX(EXTRATO!$F$2:$F$3000,MATCH($A854,EXTRATO!$A$2:$A$3000,0))="","",INDEX(EXTRATO!$F$2:$F$3000,MATCH($A854,EXTRATO!$A$2:$A$3000,0))))</f>
        <v>SAÍDA</v>
      </c>
      <c r="I854" s="88" t="str">
        <f>IF(A854="","",IF(INDEX(EXTRATO!$H$2:$H$3000,MATCH($A854,EXTRATO!$A$2:$A$3000,0))="","",INDEX(EXTRATO!$H$2:$H$3000,MATCH($A854,EXTRATO!$A$2:$A$3000,0))))</f>
        <v>CELINA TCBC DE MIRANDA</v>
      </c>
      <c r="J854" s="86" t="s">
        <v>1565</v>
      </c>
      <c r="K854" s="86" t="str">
        <f>IF(AND(A854="",D854="",E854="",F854=""),"",IF(D854="","SEM CATEGORIA",IF(E854="","SEM SUBCATEGORIA",IF(COUNTIFS(CADASTROS!$L$7:$L$93,D854,CADASTROS!$D$7:$D$93,E854)=0,"INCOMPATÍVEL","OK"))))</f>
        <v>OK</v>
      </c>
    </row>
    <row r="855" spans="1:11" ht="30" hidden="1" customHeight="1" x14ac:dyDescent="0.25">
      <c r="A855" s="86" t="s">
        <v>2237</v>
      </c>
      <c r="B855" s="85">
        <f>IF(A855="","",IF(INDEX(EXTRATO!$C$2:$C$3000,MATCH($A855,EXTRATO!$A$2:$A$3000,0))="","",INDEX(EXTRATO!$C$2:$C$3000,MATCH($A855,EXTRATO!$A$2:$A$3000,0))))</f>
        <v>46237</v>
      </c>
      <c r="C855" s="86">
        <f t="shared" si="14"/>
        <v>8</v>
      </c>
      <c r="D855" s="81" t="s">
        <v>1637</v>
      </c>
      <c r="E855" s="79" t="s">
        <v>2047</v>
      </c>
      <c r="F855" s="80">
        <v>1621</v>
      </c>
      <c r="G855" s="81" t="s">
        <v>2048</v>
      </c>
      <c r="H855" s="86" t="str">
        <f>IF(A855="","",IF(INDEX(EXTRATO!$F$2:$F$3000,MATCH($A855,EXTRATO!$A$2:$A$3000,0))="","",INDEX(EXTRATO!$F$2:$F$3000,MATCH($A855,EXTRATO!$A$2:$A$3000,0))))</f>
        <v>SAÍDA</v>
      </c>
      <c r="I855" s="88" t="str">
        <f>IF(A855="","",IF(INDEX(EXTRATO!$H$2:$H$3000,MATCH($A855,EXTRATO!$A$2:$A$3000,0))="","",INDEX(EXTRATO!$H$2:$H$3000,MATCH($A855,EXTRATO!$A$2:$A$3000,0))))</f>
        <v>AFONSO PAULO COSTA FERRO</v>
      </c>
      <c r="J855" s="86" t="s">
        <v>1360</v>
      </c>
      <c r="K855" s="86" t="str">
        <f>IF(AND(A855="",D855="",E855="",F855=""),"",IF(D855="","SEM CATEGORIA",IF(E855="","SEM SUBCATEGORIA",IF(COUNTIFS(CADASTROS!$L$7:$L$93,D855,CADASTROS!$D$7:$D$93,E855)=0,"INCOMPATÍVEL","OK"))))</f>
        <v>OK</v>
      </c>
    </row>
    <row r="856" spans="1:11" ht="30" hidden="1" customHeight="1" x14ac:dyDescent="0.25">
      <c r="A856" s="86" t="s">
        <v>2237</v>
      </c>
      <c r="B856" s="85">
        <f>IF(A856="","",IF(INDEX(EXTRATO!$C$2:$C$3000,MATCH($A856,EXTRATO!$A$2:$A$3000,0))="","",INDEX(EXTRATO!$C$2:$C$3000,MATCH($A856,EXTRATO!$A$2:$A$3000,0))))</f>
        <v>46237</v>
      </c>
      <c r="C856" s="86">
        <f t="shared" si="14"/>
        <v>8</v>
      </c>
      <c r="D856" s="81" t="s">
        <v>1904</v>
      </c>
      <c r="E856" s="79" t="s">
        <v>1905</v>
      </c>
      <c r="F856" s="80">
        <v>8000</v>
      </c>
      <c r="G856" s="81" t="s">
        <v>2046</v>
      </c>
      <c r="H856" s="86" t="str">
        <f>IF(A856="","",IF(INDEX(EXTRATO!$F$2:$F$3000,MATCH($A856,EXTRATO!$A$2:$A$3000,0))="","",INDEX(EXTRATO!$F$2:$F$3000,MATCH($A856,EXTRATO!$A$2:$A$3000,0))))</f>
        <v>SAÍDA</v>
      </c>
      <c r="I856" s="88" t="str">
        <f>IF(A856="","",IF(INDEX(EXTRATO!$H$2:$H$3000,MATCH($A856,EXTRATO!$A$2:$A$3000,0))="","",INDEX(EXTRATO!$H$2:$H$3000,MATCH($A856,EXTRATO!$A$2:$A$3000,0))))</f>
        <v>AFONSO PAULO COSTA FERRO</v>
      </c>
      <c r="J856" s="86" t="s">
        <v>1360</v>
      </c>
      <c r="K856" s="86" t="str">
        <f>IF(AND(A856="",D856="",E856="",F856=""),"",IF(D856="","SEM CATEGORIA",IF(E856="","SEM SUBCATEGORIA",IF(COUNTIFS(CADASTROS!$L$7:$L$93,D856,CADASTROS!$D$7:$D$93,E856)=0,"INCOMPATÍVEL","OK"))))</f>
        <v>OK</v>
      </c>
    </row>
    <row r="857" spans="1:11" ht="30" hidden="1" customHeight="1" x14ac:dyDescent="0.25">
      <c r="A857" s="86" t="s">
        <v>2238</v>
      </c>
      <c r="B857" s="85">
        <f>IF(A857="","",IF(INDEX(EXTRATO!$C$2:$C$3000,MATCH($A857,EXTRATO!$A$2:$A$3000,0))="","",INDEX(EXTRATO!$C$2:$C$3000,MATCH($A857,EXTRATO!$A$2:$A$3000,0))))</f>
        <v>46237</v>
      </c>
      <c r="C857" s="86">
        <f t="shared" si="14"/>
        <v>8</v>
      </c>
      <c r="D857" s="81" t="s">
        <v>1637</v>
      </c>
      <c r="E857" s="79" t="s">
        <v>1638</v>
      </c>
      <c r="F857" s="80">
        <v>10000</v>
      </c>
      <c r="G857" s="81" t="s">
        <v>2849</v>
      </c>
      <c r="H857" s="86" t="str">
        <f>IF(A857="","",IF(INDEX(EXTRATO!$F$2:$F$3000,MATCH($A857,EXTRATO!$A$2:$A$3000,0))="","",INDEX(EXTRATO!$F$2:$F$3000,MATCH($A857,EXTRATO!$A$2:$A$3000,0))))</f>
        <v>SAÍDA</v>
      </c>
      <c r="I857" s="88" t="str">
        <f>IF(A857="","",IF(INDEX(EXTRATO!$H$2:$H$3000,MATCH($A857,EXTRATO!$A$2:$A$3000,0))="","",INDEX(EXTRATO!$H$2:$H$3000,MATCH($A857,EXTRATO!$A$2:$A$3000,0))))</f>
        <v>FABIANA CRISTINA</v>
      </c>
      <c r="J857" s="86" t="s">
        <v>1565</v>
      </c>
      <c r="K857" s="86" t="str">
        <f>IF(AND(A857="",D857="",E857="",F857=""),"",IF(D857="","SEM CATEGORIA",IF(E857="","SEM SUBCATEGORIA",IF(COUNTIFS(CADASTROS!$L$7:$L$93,D857,CADASTROS!$D$7:$D$93,E857)=0,"INCOMPATÍVEL","OK"))))</f>
        <v>OK</v>
      </c>
    </row>
    <row r="858" spans="1:11" ht="30" hidden="1" customHeight="1" x14ac:dyDescent="0.25">
      <c r="A858" s="86" t="s">
        <v>2238</v>
      </c>
      <c r="B858" s="85">
        <f>IF(A858="","",IF(INDEX(EXTRATO!$C$2:$C$3000,MATCH($A858,EXTRATO!$A$2:$A$3000,0))="","",INDEX(EXTRATO!$C$2:$C$3000,MATCH($A858,EXTRATO!$A$2:$A$3000,0))))</f>
        <v>46237</v>
      </c>
      <c r="C858" s="86">
        <f t="shared" si="14"/>
        <v>8</v>
      </c>
      <c r="D858" s="81" t="s">
        <v>1904</v>
      </c>
      <c r="E858" s="79" t="s">
        <v>1905</v>
      </c>
      <c r="F858" s="80">
        <v>8000</v>
      </c>
      <c r="G858" s="81" t="s">
        <v>2050</v>
      </c>
      <c r="H858" s="86" t="str">
        <f>IF(A858="","",IF(INDEX(EXTRATO!$F$2:$F$3000,MATCH($A858,EXTRATO!$A$2:$A$3000,0))="","",INDEX(EXTRATO!$F$2:$F$3000,MATCH($A858,EXTRATO!$A$2:$A$3000,0))))</f>
        <v>SAÍDA</v>
      </c>
      <c r="I858" s="88" t="str">
        <f>IF(A858="","",IF(INDEX(EXTRATO!$H$2:$H$3000,MATCH($A858,EXTRATO!$A$2:$A$3000,0))="","",INDEX(EXTRATO!$H$2:$H$3000,MATCH($A858,EXTRATO!$A$2:$A$3000,0))))</f>
        <v>FABIANA CRISTINA</v>
      </c>
      <c r="J858" s="86" t="s">
        <v>1565</v>
      </c>
      <c r="K858" s="86" t="str">
        <f>IF(AND(A858="",D858="",E858="",F858=""),"",IF(D858="","SEM CATEGORIA",IF(E858="","SEM SUBCATEGORIA",IF(COUNTIFS(CADASTROS!$L$7:$L$93,D858,CADASTROS!$D$7:$D$93,E858)=0,"INCOMPATÍVEL","OK"))))</f>
        <v>OK</v>
      </c>
    </row>
    <row r="859" spans="1:11" ht="30" hidden="1" customHeight="1" x14ac:dyDescent="0.25">
      <c r="A859" s="86" t="s">
        <v>2239</v>
      </c>
      <c r="B859" s="85">
        <f>IF(A859="","",IF(INDEX(EXTRATO!$C$2:$C$3000,MATCH($A859,EXTRATO!$A$2:$A$3000,0))="","",INDEX(EXTRATO!$C$2:$C$3000,MATCH($A859,EXTRATO!$A$2:$A$3000,0))))</f>
        <v>46237</v>
      </c>
      <c r="C859" s="86">
        <f t="shared" si="14"/>
        <v>8</v>
      </c>
      <c r="D859" s="81" t="s">
        <v>1637</v>
      </c>
      <c r="E859" s="79" t="s">
        <v>1638</v>
      </c>
      <c r="F859" s="80">
        <v>10000</v>
      </c>
      <c r="G859" s="81" t="s">
        <v>2850</v>
      </c>
      <c r="H859" s="86" t="str">
        <f>IF(A859="","",IF(INDEX(EXTRATO!$F$2:$F$3000,MATCH($A859,EXTRATO!$A$2:$A$3000,0))="","",INDEX(EXTRATO!$F$2:$F$3000,MATCH($A859,EXTRATO!$A$2:$A$3000,0))))</f>
        <v>SAÍDA</v>
      </c>
      <c r="I859" s="88" t="str">
        <f>IF(A859="","",IF(INDEX(EXTRATO!$H$2:$H$3000,MATCH($A859,EXTRATO!$A$2:$A$3000,0))="","",INDEX(EXTRATO!$H$2:$H$3000,MATCH($A859,EXTRATO!$A$2:$A$3000,0))))</f>
        <v>PATRICK DULFF</v>
      </c>
      <c r="J859" s="86" t="s">
        <v>1565</v>
      </c>
      <c r="K859" s="86" t="str">
        <f>IF(AND(A859="",D859="",E859="",F859=""),"",IF(D859="","SEM CATEGORIA",IF(E859="","SEM SUBCATEGORIA",IF(COUNTIFS(CADASTROS!$L$7:$L$93,D859,CADASTROS!$D$7:$D$93,E859)=0,"INCOMPATÍVEL","OK"))))</f>
        <v>OK</v>
      </c>
    </row>
    <row r="860" spans="1:11" ht="30" hidden="1" customHeight="1" x14ac:dyDescent="0.25">
      <c r="A860" s="86" t="s">
        <v>2239</v>
      </c>
      <c r="B860" s="85">
        <f>IF(A860="","",IF(INDEX(EXTRATO!$C$2:$C$3000,MATCH($A860,EXTRATO!$A$2:$A$3000,0))="","",INDEX(EXTRATO!$C$2:$C$3000,MATCH($A860,EXTRATO!$A$2:$A$3000,0))))</f>
        <v>46237</v>
      </c>
      <c r="C860" s="86">
        <f t="shared" si="14"/>
        <v>8</v>
      </c>
      <c r="D860" s="81" t="s">
        <v>1904</v>
      </c>
      <c r="E860" s="79" t="s">
        <v>1905</v>
      </c>
      <c r="F860" s="80">
        <v>2000</v>
      </c>
      <c r="G860" s="81" t="s">
        <v>2053</v>
      </c>
      <c r="H860" s="86" t="str">
        <f>IF(A860="","",IF(INDEX(EXTRATO!$F$2:$F$3000,MATCH($A860,EXTRATO!$A$2:$A$3000,0))="","",INDEX(EXTRATO!$F$2:$F$3000,MATCH($A860,EXTRATO!$A$2:$A$3000,0))))</f>
        <v>SAÍDA</v>
      </c>
      <c r="I860" s="88" t="str">
        <f>IF(A860="","",IF(INDEX(EXTRATO!$H$2:$H$3000,MATCH($A860,EXTRATO!$A$2:$A$3000,0))="","",INDEX(EXTRATO!$H$2:$H$3000,MATCH($A860,EXTRATO!$A$2:$A$3000,0))))</f>
        <v>PATRICK DULFF</v>
      </c>
      <c r="J860" s="86" t="s">
        <v>1565</v>
      </c>
      <c r="K860" s="86" t="str">
        <f>IF(AND(A860="",D860="",E860="",F860=""),"",IF(D860="","SEM CATEGORIA",IF(E860="","SEM SUBCATEGORIA",IF(COUNTIFS(CADASTROS!$L$7:$L$93,D860,CADASTROS!$D$7:$D$93,E860)=0,"INCOMPATÍVEL","OK"))))</f>
        <v>OK</v>
      </c>
    </row>
    <row r="861" spans="1:11" ht="30" hidden="1" customHeight="1" x14ac:dyDescent="0.25">
      <c r="A861" s="86" t="s">
        <v>2240</v>
      </c>
      <c r="B861" s="85">
        <f>IF(A861="","",IF(INDEX(EXTRATO!$C$2:$C$3000,MATCH($A861,EXTRATO!$A$2:$A$3000,0))="","",INDEX(EXTRATO!$C$2:$C$3000,MATCH($A861,EXTRATO!$A$2:$A$3000,0))))</f>
        <v>46237</v>
      </c>
      <c r="C861" s="86">
        <f t="shared" si="14"/>
        <v>8</v>
      </c>
      <c r="D861" s="81" t="s">
        <v>1904</v>
      </c>
      <c r="E861" s="79" t="s">
        <v>1905</v>
      </c>
      <c r="F861" s="80">
        <v>4000</v>
      </c>
      <c r="G861" s="81" t="s">
        <v>900</v>
      </c>
      <c r="H861" s="86" t="str">
        <f>IF(A861="","",IF(INDEX(EXTRATO!$F$2:$F$3000,MATCH($A861,EXTRATO!$A$2:$A$3000,0))="","",INDEX(EXTRATO!$F$2:$F$3000,MATCH($A861,EXTRATO!$A$2:$A$3000,0))))</f>
        <v>SAÍDA</v>
      </c>
      <c r="I861" s="88" t="str">
        <f>IF(A861="","",IF(INDEX(EXTRATO!$H$2:$H$3000,MATCH($A861,EXTRATO!$A$2:$A$3000,0))="","",INDEX(EXTRATO!$H$2:$H$3000,MATCH($A861,EXTRATO!$A$2:$A$3000,0))))</f>
        <v>ADELIA DALVA DA SILVA OLIVEIRA</v>
      </c>
      <c r="J861" s="86" t="s">
        <v>1565</v>
      </c>
      <c r="K861" s="86" t="str">
        <f>IF(AND(A861="",D861="",E861="",F861=""),"",IF(D861="","SEM CATEGORIA",IF(E861="","SEM SUBCATEGORIA",IF(COUNTIFS(CADASTROS!$L$7:$L$93,D861,CADASTROS!$D$7:$D$93,E861)=0,"INCOMPATÍVEL","OK"))))</f>
        <v>OK</v>
      </c>
    </row>
    <row r="862" spans="1:11" ht="30" hidden="1" customHeight="1" x14ac:dyDescent="0.25">
      <c r="A862" s="86" t="s">
        <v>2241</v>
      </c>
      <c r="B862" s="85">
        <f>IF(A862="","",IF(INDEX(EXTRATO!$C$2:$C$3000,MATCH($A862,EXTRATO!$A$2:$A$3000,0))="","",INDEX(EXTRATO!$C$2:$C$3000,MATCH($A862,EXTRATO!$A$2:$A$3000,0))))</f>
        <v>46237</v>
      </c>
      <c r="C862" s="86">
        <f t="shared" si="14"/>
        <v>8</v>
      </c>
      <c r="D862" s="81" t="s">
        <v>1637</v>
      </c>
      <c r="E862" s="79" t="s">
        <v>1638</v>
      </c>
      <c r="F862" s="80">
        <v>2500</v>
      </c>
      <c r="G862" s="81" t="s">
        <v>2852</v>
      </c>
      <c r="H862" s="86" t="str">
        <f>IF(A862="","",IF(INDEX(EXTRATO!$F$2:$F$3000,MATCH($A862,EXTRATO!$A$2:$A$3000,0))="","",INDEX(EXTRATO!$F$2:$F$3000,MATCH($A862,EXTRATO!$A$2:$A$3000,0))))</f>
        <v>SAÍDA</v>
      </c>
      <c r="I862" s="88" t="str">
        <f>IF(A862="","",IF(INDEX(EXTRATO!$H$2:$H$3000,MATCH($A862,EXTRATO!$A$2:$A$3000,0))="","",INDEX(EXTRATO!$H$2:$H$3000,MATCH($A862,EXTRATO!$A$2:$A$3000,0))))</f>
        <v>MOISES S OLIVEIRA</v>
      </c>
      <c r="J862" s="86" t="s">
        <v>1565</v>
      </c>
      <c r="K862" s="86" t="str">
        <f>IF(AND(A862="",D862="",E862="",F862=""),"",IF(D862="","SEM CATEGORIA",IF(E862="","SEM SUBCATEGORIA",IF(COUNTIFS(CADASTROS!$L$7:$L$93,D862,CADASTROS!$D$7:$D$93,E862)=0,"INCOMPATÍVEL","OK"))))</f>
        <v>OK</v>
      </c>
    </row>
    <row r="863" spans="1:11" ht="30" hidden="1" customHeight="1" x14ac:dyDescent="0.25">
      <c r="A863" s="86" t="s">
        <v>2241</v>
      </c>
      <c r="B863" s="85">
        <f>IF(A863="","",IF(INDEX(EXTRATO!$C$2:$C$3000,MATCH($A863,EXTRATO!$A$2:$A$3000,0))="","",INDEX(EXTRATO!$C$2:$C$3000,MATCH($A863,EXTRATO!$A$2:$A$3000,0))))</f>
        <v>46237</v>
      </c>
      <c r="C863" s="86">
        <f t="shared" si="14"/>
        <v>8</v>
      </c>
      <c r="D863" s="81" t="s">
        <v>1904</v>
      </c>
      <c r="E863" s="79" t="s">
        <v>1905</v>
      </c>
      <c r="F863" s="80">
        <v>4000</v>
      </c>
      <c r="G863" s="81" t="s">
        <v>2057</v>
      </c>
      <c r="H863" s="86" t="str">
        <f>IF(A863="","",IF(INDEX(EXTRATO!$F$2:$F$3000,MATCH($A863,EXTRATO!$A$2:$A$3000,0))="","",INDEX(EXTRATO!$F$2:$F$3000,MATCH($A863,EXTRATO!$A$2:$A$3000,0))))</f>
        <v>SAÍDA</v>
      </c>
      <c r="I863" s="88" t="str">
        <f>IF(A863="","",IF(INDEX(EXTRATO!$H$2:$H$3000,MATCH($A863,EXTRATO!$A$2:$A$3000,0))="","",INDEX(EXTRATO!$H$2:$H$3000,MATCH($A863,EXTRATO!$A$2:$A$3000,0))))</f>
        <v>MOISES S OLIVEIRA</v>
      </c>
      <c r="J863" s="86" t="s">
        <v>1565</v>
      </c>
      <c r="K863" s="86" t="str">
        <f>IF(AND(A863="",D863="",E863="",F863=""),"",IF(D863="","SEM CATEGORIA",IF(E863="","SEM SUBCATEGORIA",IF(COUNTIFS(CADASTROS!$L$7:$L$93,D863,CADASTROS!$D$7:$D$93,E863)=0,"INCOMPATÍVEL","OK"))))</f>
        <v>OK</v>
      </c>
    </row>
    <row r="864" spans="1:11" ht="30" hidden="1" customHeight="1" x14ac:dyDescent="0.25">
      <c r="A864" s="86" t="s">
        <v>2242</v>
      </c>
      <c r="B864" s="85">
        <f>IF(A864="","",IF(INDEX(EXTRATO!$C$2:$C$3000,MATCH($A864,EXTRATO!$A$2:$A$3000,0))="","",INDEX(EXTRATO!$C$2:$C$3000,MATCH($A864,EXTRATO!$A$2:$A$3000,0))))</f>
        <v>46237</v>
      </c>
      <c r="C864" s="86">
        <f t="shared" ref="C864:C895" si="15">IF(B864="","",MONTH(B864))</f>
        <v>8</v>
      </c>
      <c r="D864" s="81" t="s">
        <v>1904</v>
      </c>
      <c r="E864" s="79" t="s">
        <v>1905</v>
      </c>
      <c r="F864" s="80">
        <v>4000</v>
      </c>
      <c r="G864" s="81" t="s">
        <v>2060</v>
      </c>
      <c r="H864" s="86" t="str">
        <f>IF(A864="","",IF(INDEX(EXTRATO!$F$2:$F$3000,MATCH($A864,EXTRATO!$A$2:$A$3000,0))="","",INDEX(EXTRATO!$F$2:$F$3000,MATCH($A864,EXTRATO!$A$2:$A$3000,0))))</f>
        <v>SAÍDA</v>
      </c>
      <c r="I864" s="88" t="str">
        <f>IF(A864="","",IF(INDEX(EXTRATO!$H$2:$H$3000,MATCH($A864,EXTRATO!$A$2:$A$3000,0))="","",INDEX(EXTRATO!$H$2:$H$3000,MATCH($A864,EXTRATO!$A$2:$A$3000,0))))</f>
        <v>GLADSTONE SANTOS SILVA</v>
      </c>
      <c r="J864" s="86" t="s">
        <v>1565</v>
      </c>
      <c r="K864" s="86" t="str">
        <f>IF(AND(A864="",D864="",E864="",F864=""),"",IF(D864="","SEM CATEGORIA",IF(E864="","SEM SUBCATEGORIA",IF(COUNTIFS(CADASTROS!$L$7:$L$93,D864,CADASTROS!$D$7:$D$93,E864)=0,"INCOMPATÍVEL","OK"))))</f>
        <v>OK</v>
      </c>
    </row>
    <row r="865" spans="1:11" ht="30" hidden="1" customHeight="1" x14ac:dyDescent="0.25">
      <c r="A865" s="86" t="s">
        <v>2242</v>
      </c>
      <c r="B865" s="85">
        <f>IF(A865="","",IF(INDEX(EXTRATO!$C$2:$C$3000,MATCH($A865,EXTRATO!$A$2:$A$3000,0))="","",INDEX(EXTRATO!$C$2:$C$3000,MATCH($A865,EXTRATO!$A$2:$A$3000,0))))</f>
        <v>46237</v>
      </c>
      <c r="C865" s="86">
        <f t="shared" si="15"/>
        <v>8</v>
      </c>
      <c r="D865" s="81" t="s">
        <v>1637</v>
      </c>
      <c r="E865" s="79" t="s">
        <v>1638</v>
      </c>
      <c r="F865" s="80">
        <v>5000</v>
      </c>
      <c r="G865" s="81" t="s">
        <v>2851</v>
      </c>
      <c r="H865" s="86" t="str">
        <f>IF(A865="","",IF(INDEX(EXTRATO!$F$2:$F$3000,MATCH($A865,EXTRATO!$A$2:$A$3000,0))="","",INDEX(EXTRATO!$F$2:$F$3000,MATCH($A865,EXTRATO!$A$2:$A$3000,0))))</f>
        <v>SAÍDA</v>
      </c>
      <c r="I865" s="88" t="str">
        <f>IF(A865="","",IF(INDEX(EXTRATO!$H$2:$H$3000,MATCH($A865,EXTRATO!$A$2:$A$3000,0))="","",INDEX(EXTRATO!$H$2:$H$3000,MATCH($A865,EXTRATO!$A$2:$A$3000,0))))</f>
        <v>GLADSTONE SANTOS SILVA</v>
      </c>
      <c r="J865" s="86" t="s">
        <v>1565</v>
      </c>
      <c r="K865" s="86" t="str">
        <f>IF(AND(A865="",D865="",E865="",F865=""),"",IF(D865="","SEM CATEGORIA",IF(E865="","SEM SUBCATEGORIA",IF(COUNTIFS(CADASTROS!$L$7:$L$93,D865,CADASTROS!$D$7:$D$93,E865)=0,"INCOMPATÍVEL","OK"))))</f>
        <v>OK</v>
      </c>
    </row>
    <row r="866" spans="1:11" ht="30" hidden="1" customHeight="1" x14ac:dyDescent="0.25">
      <c r="A866" s="86" t="s">
        <v>2243</v>
      </c>
      <c r="B866" s="85">
        <f>IF(A866="","",IF(INDEX(EXTRATO!$C$2:$C$3000,MATCH($A866,EXTRATO!$A$2:$A$3000,0))="","",INDEX(EXTRATO!$C$2:$C$3000,MATCH($A866,EXTRATO!$A$2:$A$3000,0))))</f>
        <v>46237</v>
      </c>
      <c r="C866" s="86">
        <f t="shared" si="15"/>
        <v>8</v>
      </c>
      <c r="D866" s="81" t="s">
        <v>1637</v>
      </c>
      <c r="E866" s="79" t="s">
        <v>1638</v>
      </c>
      <c r="F866" s="80">
        <v>10000</v>
      </c>
      <c r="G866" s="81" t="s">
        <v>2833</v>
      </c>
      <c r="H866" s="86" t="str">
        <f>IF(A866="","",IF(INDEX(EXTRATO!$F$2:$F$3000,MATCH($A866,EXTRATO!$A$2:$A$3000,0))="","",INDEX(EXTRATO!$F$2:$F$3000,MATCH($A866,EXTRATO!$A$2:$A$3000,0))))</f>
        <v>SAÍDA</v>
      </c>
      <c r="I866" s="88" t="str">
        <f>IF(A866="","",IF(INDEX(EXTRATO!$H$2:$H$3000,MATCH($A866,EXTRATO!$A$2:$A$3000,0))="","",INDEX(EXTRATO!$H$2:$H$3000,MATCH($A866,EXTRATO!$A$2:$A$3000,0))))</f>
        <v>ANDERSON RAFAEL SALVIANO</v>
      </c>
      <c r="J866" s="86" t="s">
        <v>1360</v>
      </c>
      <c r="K866" s="86" t="str">
        <f>IF(AND(A866="",D866="",E866="",F866=""),"",IF(D866="","SEM CATEGORIA",IF(E866="","SEM SUBCATEGORIA",IF(COUNTIFS(CADASTROS!$L$7:$L$93,D866,CADASTROS!$D$7:$D$93,E866)=0,"INCOMPATÍVEL","OK"))))</f>
        <v>OK</v>
      </c>
    </row>
    <row r="867" spans="1:11" ht="30" hidden="1" customHeight="1" x14ac:dyDescent="0.25">
      <c r="A867" s="86" t="s">
        <v>2243</v>
      </c>
      <c r="B867" s="85">
        <f>IF(A867="","",IF(INDEX(EXTRATO!$C$2:$C$3000,MATCH($A867,EXTRATO!$A$2:$A$3000,0))="","",INDEX(EXTRATO!$C$2:$C$3000,MATCH($A867,EXTRATO!$A$2:$A$3000,0))))</f>
        <v>46237</v>
      </c>
      <c r="C867" s="86">
        <f t="shared" si="15"/>
        <v>8</v>
      </c>
      <c r="D867" s="81" t="s">
        <v>1637</v>
      </c>
      <c r="E867" s="79" t="s">
        <v>2047</v>
      </c>
      <c r="F867" s="80">
        <v>1621</v>
      </c>
      <c r="G867" s="81" t="s">
        <v>2834</v>
      </c>
      <c r="H867" s="86" t="str">
        <f>IF(A867="","",IF(INDEX(EXTRATO!$F$2:$F$3000,MATCH($A867,EXTRATO!$A$2:$A$3000,0))="","",INDEX(EXTRATO!$F$2:$F$3000,MATCH($A867,EXTRATO!$A$2:$A$3000,0))))</f>
        <v>SAÍDA</v>
      </c>
      <c r="I867" s="88" t="str">
        <f>IF(A867="","",IF(INDEX(EXTRATO!$H$2:$H$3000,MATCH($A867,EXTRATO!$A$2:$A$3000,0))="","",INDEX(EXTRATO!$H$2:$H$3000,MATCH($A867,EXTRATO!$A$2:$A$3000,0))))</f>
        <v>ANDERSON RAFAEL SALVIANO</v>
      </c>
      <c r="J867" s="86" t="s">
        <v>1360</v>
      </c>
      <c r="K867" s="86" t="str">
        <f>IF(AND(A867="",D867="",E867="",F867=""),"",IF(D867="","SEM CATEGORIA",IF(E867="","SEM SUBCATEGORIA",IF(COUNTIFS(CADASTROS!$L$7:$L$93,D867,CADASTROS!$D$7:$D$93,E867)=0,"INCOMPATÍVEL","OK"))))</f>
        <v>OK</v>
      </c>
    </row>
    <row r="868" spans="1:11" ht="30" hidden="1" customHeight="1" x14ac:dyDescent="0.25">
      <c r="A868" s="86" t="s">
        <v>2243</v>
      </c>
      <c r="B868" s="85">
        <f>IF(A868="","",IF(INDEX(EXTRATO!$C$2:$C$3000,MATCH($A868,EXTRATO!$A$2:$A$3000,0))="","",INDEX(EXTRATO!$C$2:$C$3000,MATCH($A868,EXTRATO!$A$2:$A$3000,0))))</f>
        <v>46237</v>
      </c>
      <c r="C868" s="86">
        <f t="shared" si="15"/>
        <v>8</v>
      </c>
      <c r="D868" s="81" t="s">
        <v>1637</v>
      </c>
      <c r="E868" s="79" t="s">
        <v>2065</v>
      </c>
      <c r="F868" s="80">
        <v>1621</v>
      </c>
      <c r="G868" s="81" t="s">
        <v>2835</v>
      </c>
      <c r="H868" s="86" t="str">
        <f>IF(A868="","",IF(INDEX(EXTRATO!$F$2:$F$3000,MATCH($A868,EXTRATO!$A$2:$A$3000,0))="","",INDEX(EXTRATO!$F$2:$F$3000,MATCH($A868,EXTRATO!$A$2:$A$3000,0))))</f>
        <v>SAÍDA</v>
      </c>
      <c r="I868" s="88" t="str">
        <f>IF(A868="","",IF(INDEX(EXTRATO!$H$2:$H$3000,MATCH($A868,EXTRATO!$A$2:$A$3000,0))="","",INDEX(EXTRATO!$H$2:$H$3000,MATCH($A868,EXTRATO!$A$2:$A$3000,0))))</f>
        <v>ANDERSON RAFAEL SALVIANO</v>
      </c>
      <c r="J868" s="86" t="s">
        <v>1360</v>
      </c>
      <c r="K868" s="86" t="str">
        <f>IF(AND(A868="",D868="",E868="",F868=""),"",IF(D868="","SEM CATEGORIA",IF(E868="","SEM SUBCATEGORIA",IF(COUNTIFS(CADASTROS!$L$7:$L$93,D868,CADASTROS!$D$7:$D$93,E868)=0,"INCOMPATÍVEL","OK"))))</f>
        <v>OK</v>
      </c>
    </row>
    <row r="869" spans="1:11" ht="30" hidden="1" customHeight="1" x14ac:dyDescent="0.25">
      <c r="A869" s="86" t="s">
        <v>2243</v>
      </c>
      <c r="B869" s="85">
        <f>IF(A869="","",IF(INDEX(EXTRATO!$C$2:$C$3000,MATCH($A869,EXTRATO!$A$2:$A$3000,0))="","",INDEX(EXTRATO!$C$2:$C$3000,MATCH($A869,EXTRATO!$A$2:$A$3000,0))))</f>
        <v>46237</v>
      </c>
      <c r="C869" s="86">
        <f t="shared" si="15"/>
        <v>8</v>
      </c>
      <c r="D869" s="81" t="s">
        <v>1904</v>
      </c>
      <c r="E869" s="79" t="s">
        <v>1905</v>
      </c>
      <c r="F869" s="80">
        <v>8000</v>
      </c>
      <c r="G869" s="81" t="s">
        <v>2067</v>
      </c>
      <c r="H869" s="86" t="str">
        <f>IF(A869="","",IF(INDEX(EXTRATO!$F$2:$F$3000,MATCH($A869,EXTRATO!$A$2:$A$3000,0))="","",INDEX(EXTRATO!$F$2:$F$3000,MATCH($A869,EXTRATO!$A$2:$A$3000,0))))</f>
        <v>SAÍDA</v>
      </c>
      <c r="I869" s="88" t="str">
        <f>IF(A869="","",IF(INDEX(EXTRATO!$H$2:$H$3000,MATCH($A869,EXTRATO!$A$2:$A$3000,0))="","",INDEX(EXTRATO!$H$2:$H$3000,MATCH($A869,EXTRATO!$A$2:$A$3000,0))))</f>
        <v>ANDERSON RAFAEL SALVIANO</v>
      </c>
      <c r="J869" s="86" t="s">
        <v>1360</v>
      </c>
      <c r="K869" s="86" t="str">
        <f>IF(AND(A869="",D869="",E869="",F869=""),"",IF(D869="","SEM CATEGORIA",IF(E869="","SEM SUBCATEGORIA",IF(COUNTIFS(CADASTROS!$L$7:$L$93,D869,CADASTROS!$D$7:$D$93,E869)=0,"INCOMPATÍVEL","OK"))))</f>
        <v>OK</v>
      </c>
    </row>
    <row r="870" spans="1:11" ht="30" hidden="1" customHeight="1" x14ac:dyDescent="0.25">
      <c r="A870" s="86" t="s">
        <v>2244</v>
      </c>
      <c r="B870" s="85">
        <f>IF(A870="","",IF(INDEX(EXTRATO!$C$2:$C$3000,MATCH($A870,EXTRATO!$A$2:$A$3000,0))="","",INDEX(EXTRATO!$C$2:$C$3000,MATCH($A870,EXTRATO!$A$2:$A$3000,0))))</f>
        <v>46237</v>
      </c>
      <c r="C870" s="86">
        <f t="shared" si="15"/>
        <v>8</v>
      </c>
      <c r="D870" s="81" t="s">
        <v>1904</v>
      </c>
      <c r="E870" s="79" t="s">
        <v>1905</v>
      </c>
      <c r="F870" s="80">
        <v>4000</v>
      </c>
      <c r="G870" s="81" t="s">
        <v>904</v>
      </c>
      <c r="H870" s="86" t="str">
        <f>IF(A870="","",IF(INDEX(EXTRATO!$F$2:$F$3000,MATCH($A870,EXTRATO!$A$2:$A$3000,0))="","",INDEX(EXTRATO!$F$2:$F$3000,MATCH($A870,EXTRATO!$A$2:$A$3000,0))))</f>
        <v>SAÍDA</v>
      </c>
      <c r="I870" s="88" t="str">
        <f>IF(A870="","",IF(INDEX(EXTRATO!$H$2:$H$3000,MATCH($A870,EXTRATO!$A$2:$A$3000,0))="","",INDEX(EXTRATO!$H$2:$H$3000,MATCH($A870,EXTRATO!$A$2:$A$3000,0))))</f>
        <v>FRANCISCO H SOUSA</v>
      </c>
      <c r="J870" s="86" t="s">
        <v>1565</v>
      </c>
      <c r="K870" s="86" t="str">
        <f>IF(AND(A870="",D870="",E870="",F870=""),"",IF(D870="","SEM CATEGORIA",IF(E870="","SEM SUBCATEGORIA",IF(COUNTIFS(CADASTROS!$L$7:$L$93,D870,CADASTROS!$D$7:$D$93,E870)=0,"INCOMPATÍVEL","OK"))))</f>
        <v>OK</v>
      </c>
    </row>
    <row r="871" spans="1:11" ht="30" hidden="1" customHeight="1" x14ac:dyDescent="0.25">
      <c r="A871" s="86" t="s">
        <v>2245</v>
      </c>
      <c r="B871" s="85">
        <f>IF(A871="","",IF(INDEX(EXTRATO!$C$2:$C$3000,MATCH($A871,EXTRATO!$A$2:$A$3000,0))="","",INDEX(EXTRATO!$C$2:$C$3000,MATCH($A871,EXTRATO!$A$2:$A$3000,0))))</f>
        <v>46237</v>
      </c>
      <c r="C871" s="86">
        <f t="shared" si="15"/>
        <v>8</v>
      </c>
      <c r="D871" s="81" t="s">
        <v>1415</v>
      </c>
      <c r="E871" s="79" t="s">
        <v>1425</v>
      </c>
      <c r="F871" s="80">
        <v>5600</v>
      </c>
      <c r="G871" s="81" t="s">
        <v>1111</v>
      </c>
      <c r="H871" s="86" t="str">
        <f>IF(A871="","",IF(INDEX(EXTRATO!$F$2:$F$3000,MATCH($A871,EXTRATO!$A$2:$A$3000,0))="","",INDEX(EXTRATO!$F$2:$F$3000,MATCH($A871,EXTRATO!$A$2:$A$3000,0))))</f>
        <v>SAÍDA</v>
      </c>
      <c r="I871" s="88" t="str">
        <f>IF(A871="","",IF(INDEX(EXTRATO!$H$2:$H$3000,MATCH($A871,EXTRATO!$A$2:$A$3000,0))="","",INDEX(EXTRATO!$H$2:$H$3000,MATCH($A871,EXTRATO!$A$2:$A$3000,0))))</f>
        <v>CASAMATER</v>
      </c>
      <c r="J871" s="86" t="s">
        <v>1565</v>
      </c>
      <c r="K871" s="86" t="str">
        <f>IF(AND(A871="",D871="",E871="",F871=""),"",IF(D871="","SEM CATEGORIA",IF(E871="","SEM SUBCATEGORIA",IF(COUNTIFS(CADASTROS!$L$7:$L$93,D871,CADASTROS!$D$7:$D$93,E871)=0,"INCOMPATÍVEL","OK"))))</f>
        <v>OK</v>
      </c>
    </row>
    <row r="872" spans="1:11" ht="30" hidden="1" customHeight="1" x14ac:dyDescent="0.25">
      <c r="A872" s="86" t="s">
        <v>2246</v>
      </c>
      <c r="B872" s="85">
        <f>IF(A872="","",IF(INDEX(EXTRATO!$C$2:$C$3000,MATCH($A872,EXTRATO!$A$2:$A$3000,0))="","",INDEX(EXTRATO!$C$2:$C$3000,MATCH($A872,EXTRATO!$A$2:$A$3000,0))))</f>
        <v>46237</v>
      </c>
      <c r="C872" s="86">
        <f t="shared" si="15"/>
        <v>8</v>
      </c>
      <c r="D872" s="81" t="s">
        <v>1330</v>
      </c>
      <c r="E872" s="79" t="s">
        <v>1413</v>
      </c>
      <c r="F872" s="80">
        <v>860</v>
      </c>
      <c r="G872" s="81" t="s">
        <v>1113</v>
      </c>
      <c r="H872" s="86" t="str">
        <f>IF(A872="","",IF(INDEX(EXTRATO!$F$2:$F$3000,MATCH($A872,EXTRATO!$A$2:$A$3000,0))="","",INDEX(EXTRATO!$F$2:$F$3000,MATCH($A872,EXTRATO!$A$2:$A$3000,0))))</f>
        <v>SAÍDA</v>
      </c>
      <c r="I872" s="88" t="str">
        <f>IF(A872="","",IF(INDEX(EXTRATO!$H$2:$H$3000,MATCH($A872,EXTRATO!$A$2:$A$3000,0))="","",INDEX(EXTRATO!$H$2:$H$3000,MATCH($A872,EXTRATO!$A$2:$A$3000,0))))</f>
        <v>DONA MARINALVA</v>
      </c>
      <c r="J872" s="86" t="s">
        <v>1565</v>
      </c>
      <c r="K872" s="86" t="str">
        <f>IF(AND(A872="",D872="",E872="",F872=""),"",IF(D872="","SEM CATEGORIA",IF(E872="","SEM SUBCATEGORIA",IF(COUNTIFS(CADASTROS!$L$7:$L$93,D872,CADASTROS!$D$7:$D$93,E872)=0,"INCOMPATÍVEL","OK"))))</f>
        <v>OK</v>
      </c>
    </row>
    <row r="873" spans="1:11" ht="30" hidden="1" customHeight="1" x14ac:dyDescent="0.25">
      <c r="A873" s="86" t="s">
        <v>2247</v>
      </c>
      <c r="B873" s="85">
        <f>IF(A873="","",IF(INDEX(EXTRATO!$C$2:$C$3000,MATCH($A873,EXTRATO!$A$2:$A$3000,0))="","",INDEX(EXTRATO!$C$2:$C$3000,MATCH($A873,EXTRATO!$A$2:$A$3000,0))))</f>
        <v>46237</v>
      </c>
      <c r="C873" s="86">
        <f t="shared" si="15"/>
        <v>8</v>
      </c>
      <c r="D873" s="81" t="s">
        <v>1415</v>
      </c>
      <c r="E873" s="79" t="s">
        <v>1669</v>
      </c>
      <c r="F873" s="80">
        <v>56</v>
      </c>
      <c r="G873" s="81" t="s">
        <v>1114</v>
      </c>
      <c r="H873" s="86" t="str">
        <f>IF(A873="","",IF(INDEX(EXTRATO!$F$2:$F$3000,MATCH($A873,EXTRATO!$A$2:$A$3000,0))="","",INDEX(EXTRATO!$F$2:$F$3000,MATCH($A873,EXTRATO!$A$2:$A$3000,0))))</f>
        <v>SAÍDA</v>
      </c>
      <c r="I873" s="88" t="str">
        <f>IF(A873="","",IF(INDEX(EXTRATO!$H$2:$H$3000,MATCH($A873,EXTRATO!$A$2:$A$3000,0))="","",INDEX(EXTRATO!$H$2:$H$3000,MATCH($A873,EXTRATO!$A$2:$A$3000,0))))</f>
        <v>UNICLINICA</v>
      </c>
      <c r="J873" s="86" t="s">
        <v>1360</v>
      </c>
      <c r="K873" s="86" t="str">
        <f>IF(AND(A873="",D873="",E873="",F873=""),"",IF(D873="","SEM CATEGORIA",IF(E873="","SEM SUBCATEGORIA",IF(COUNTIFS(CADASTROS!$L$7:$L$93,D873,CADASTROS!$D$7:$D$93,E873)=0,"INCOMPATÍVEL","OK"))))</f>
        <v>OK</v>
      </c>
    </row>
    <row r="874" spans="1:11" ht="30" hidden="1" customHeight="1" x14ac:dyDescent="0.25">
      <c r="A874" s="86" t="s">
        <v>2248</v>
      </c>
      <c r="B874" s="85">
        <f>IF(A874="","",IF(INDEX(EXTRATO!$C$2:$C$3000,MATCH($A874,EXTRATO!$A$2:$A$3000,0))="","",INDEX(EXTRATO!$C$2:$C$3000,MATCH($A874,EXTRATO!$A$2:$A$3000,0))))</f>
        <v>46237</v>
      </c>
      <c r="C874" s="86">
        <f t="shared" si="15"/>
        <v>8</v>
      </c>
      <c r="D874" s="81" t="s">
        <v>1415</v>
      </c>
      <c r="E874" s="79" t="s">
        <v>1640</v>
      </c>
      <c r="F874" s="80">
        <v>14196.55</v>
      </c>
      <c r="G874" s="81" t="s">
        <v>1116</v>
      </c>
      <c r="H874" s="86" t="str">
        <f>IF(A874="","",IF(INDEX(EXTRATO!$F$2:$F$3000,MATCH($A874,EXTRATO!$A$2:$A$3000,0))="","",INDEX(EXTRATO!$F$2:$F$3000,MATCH($A874,EXTRATO!$A$2:$A$3000,0))))</f>
        <v>SAÍDA</v>
      </c>
      <c r="I874" s="88" t="str">
        <f>IF(A874="","",IF(INDEX(EXTRATO!$H$2:$H$3000,MATCH($A874,EXTRATO!$A$2:$A$3000,0))="","",INDEX(EXTRATO!$H$2:$H$3000,MATCH($A874,EXTRATO!$A$2:$A$3000,0))))</f>
        <v>UNICLINICA</v>
      </c>
      <c r="J874" s="86" t="s">
        <v>1360</v>
      </c>
      <c r="K874" s="86" t="str">
        <f>IF(AND(A874="",D874="",E874="",F874=""),"",IF(D874="","SEM CATEGORIA",IF(E874="","SEM SUBCATEGORIA",IF(COUNTIFS(CADASTROS!$L$7:$L$93,D874,CADASTROS!$D$7:$D$93,E874)=0,"INCOMPATÍVEL","OK"))))</f>
        <v>OK</v>
      </c>
    </row>
    <row r="875" spans="1:11" ht="30" hidden="1" customHeight="1" x14ac:dyDescent="0.25">
      <c r="A875" s="86" t="s">
        <v>2249</v>
      </c>
      <c r="B875" s="85">
        <f>IF(A875="","",IF(INDEX(EXTRATO!$C$2:$C$3000,MATCH($A875,EXTRATO!$A$2:$A$3000,0))="","",INDEX(EXTRATO!$C$2:$C$3000,MATCH($A875,EXTRATO!$A$2:$A$3000,0))))</f>
        <v>46237</v>
      </c>
      <c r="C875" s="86">
        <f t="shared" si="15"/>
        <v>8</v>
      </c>
      <c r="D875" s="81" t="s">
        <v>1311</v>
      </c>
      <c r="E875" s="79" t="s">
        <v>1374</v>
      </c>
      <c r="F875" s="80">
        <v>150</v>
      </c>
      <c r="G875" s="81" t="s">
        <v>1118</v>
      </c>
      <c r="H875" s="86" t="str">
        <f>IF(A875="","",IF(INDEX(EXTRATO!$F$2:$F$3000,MATCH($A875,EXTRATO!$A$2:$A$3000,0))="","",INDEX(EXTRATO!$F$2:$F$3000,MATCH($A875,EXTRATO!$A$2:$A$3000,0))))</f>
        <v>SAÍDA</v>
      </c>
      <c r="I875" s="88" t="str">
        <f>IF(A875="","",IF(INDEX(EXTRATO!$H$2:$H$3000,MATCH($A875,EXTRATO!$A$2:$A$3000,0))="","",INDEX(EXTRATO!$H$2:$H$3000,MATCH($A875,EXTRATO!$A$2:$A$3000,0))))</f>
        <v>M E S XAVIER LTDA</v>
      </c>
      <c r="J875" s="86" t="s">
        <v>1360</v>
      </c>
      <c r="K875" s="86" t="str">
        <f>IF(AND(A875="",D875="",E875="",F875=""),"",IF(D875="","SEM CATEGORIA",IF(E875="","SEM SUBCATEGORIA",IF(COUNTIFS(CADASTROS!$L$7:$L$93,D875,CADASTROS!$D$7:$D$93,E875)=0,"INCOMPATÍVEL","OK"))))</f>
        <v>OK</v>
      </c>
    </row>
    <row r="876" spans="1:11" ht="30" hidden="1" customHeight="1" x14ac:dyDescent="0.25">
      <c r="A876" s="86" t="s">
        <v>2250</v>
      </c>
      <c r="B876" s="85">
        <f>IF(A876="","",IF(INDEX(EXTRATO!$C$2:$C$3000,MATCH($A876,EXTRATO!$A$2:$A$3000,0))="","",INDEX(EXTRATO!$C$2:$C$3000,MATCH($A876,EXTRATO!$A$2:$A$3000,0))))</f>
        <v>46237</v>
      </c>
      <c r="C876" s="86">
        <f t="shared" si="15"/>
        <v>8</v>
      </c>
      <c r="D876" s="81" t="s">
        <v>1349</v>
      </c>
      <c r="E876" s="79" t="s">
        <v>1441</v>
      </c>
      <c r="F876" s="80">
        <v>1246</v>
      </c>
      <c r="G876" s="81" t="s">
        <v>1121</v>
      </c>
      <c r="H876" s="86" t="str">
        <f>IF(A876="","",IF(INDEX(EXTRATO!$F$2:$F$3000,MATCH($A876,EXTRATO!$A$2:$A$3000,0))="","",INDEX(EXTRATO!$F$2:$F$3000,MATCH($A876,EXTRATO!$A$2:$A$3000,0))))</f>
        <v>SAÍDA</v>
      </c>
      <c r="I876" s="88" t="str">
        <f>IF(A876="","",IF(INDEX(EXTRATO!$H$2:$H$3000,MATCH($A876,EXTRATO!$A$2:$A$3000,0))="","",INDEX(EXTRATO!$H$2:$H$3000,MATCH($A876,EXTRATO!$A$2:$A$3000,0))))</f>
        <v>CLAUDIANE CARDOSO DA SILVA (CARRO HTI)</v>
      </c>
      <c r="J876" s="86" t="s">
        <v>1360</v>
      </c>
      <c r="K876" s="86" t="str">
        <f>IF(AND(A876="",D876="",E876="",F876=""),"",IF(D876="","SEM CATEGORIA",IF(E876="","SEM SUBCATEGORIA",IF(COUNTIFS(CADASTROS!$L$7:$L$93,D876,CADASTROS!$D$7:$D$93,E876)=0,"INCOMPATÍVEL","OK"))))</f>
        <v>OK</v>
      </c>
    </row>
    <row r="877" spans="1:11" ht="30" hidden="1" customHeight="1" x14ac:dyDescent="0.25">
      <c r="A877" s="86" t="s">
        <v>2251</v>
      </c>
      <c r="B877" s="85">
        <f>IF(A877="","",IF(INDEX(EXTRATO!$C$2:$C$3000,MATCH($A877,EXTRATO!$A$2:$A$3000,0))="","",INDEX(EXTRATO!$C$2:$C$3000,MATCH($A877,EXTRATO!$A$2:$A$3000,0))))</f>
        <v>46237</v>
      </c>
      <c r="C877" s="86">
        <f t="shared" si="15"/>
        <v>8</v>
      </c>
      <c r="D877" s="81" t="s">
        <v>1415</v>
      </c>
      <c r="E877" s="79" t="s">
        <v>1661</v>
      </c>
      <c r="F877" s="80">
        <v>980</v>
      </c>
      <c r="G877" s="81" t="s">
        <v>1124</v>
      </c>
      <c r="H877" s="86" t="str">
        <f>IF(A877="","",IF(INDEX(EXTRATO!$F$2:$F$3000,MATCH($A877,EXTRATO!$A$2:$A$3000,0))="","",INDEX(EXTRATO!$F$2:$F$3000,MATCH($A877,EXTRATO!$A$2:$A$3000,0))))</f>
        <v>SAÍDA</v>
      </c>
      <c r="I877" s="88" t="str">
        <f>IF(A877="","",IF(INDEX(EXTRATO!$H$2:$H$3000,MATCH($A877,EXTRATO!$A$2:$A$3000,0))="","",INDEX(EXTRATO!$H$2:$H$3000,MATCH($A877,EXTRATO!$A$2:$A$3000,0))))</f>
        <v>DR. RENATO</v>
      </c>
      <c r="J877" s="86" t="s">
        <v>1565</v>
      </c>
      <c r="K877" s="86" t="str">
        <f>IF(AND(A877="",D877="",E877="",F877=""),"",IF(D877="","SEM CATEGORIA",IF(E877="","SEM SUBCATEGORIA",IF(COUNTIFS(CADASTROS!$L$7:$L$93,D877,CADASTROS!$D$7:$D$93,E877)=0,"INCOMPATÍVEL","OK"))))</f>
        <v>OK</v>
      </c>
    </row>
    <row r="878" spans="1:11" ht="30" hidden="1" customHeight="1" x14ac:dyDescent="0.25">
      <c r="A878" s="86" t="s">
        <v>2252</v>
      </c>
      <c r="B878" s="85">
        <f>IF(A878="","",IF(INDEX(EXTRATO!$C$2:$C$3000,MATCH($A878,EXTRATO!$A$2:$A$3000,0))="","",INDEX(EXTRATO!$C$2:$C$3000,MATCH($A878,EXTRATO!$A$2:$A$3000,0))))</f>
        <v>46237</v>
      </c>
      <c r="C878" s="86">
        <f t="shared" si="15"/>
        <v>8</v>
      </c>
      <c r="D878" s="81" t="s">
        <v>1415</v>
      </c>
      <c r="E878" s="79" t="s">
        <v>1643</v>
      </c>
      <c r="F878" s="80">
        <v>10000</v>
      </c>
      <c r="G878" s="81" t="s">
        <v>1125</v>
      </c>
      <c r="H878" s="86" t="str">
        <f>IF(A878="","",IF(INDEX(EXTRATO!$F$2:$F$3000,MATCH($A878,EXTRATO!$A$2:$A$3000,0))="","",INDEX(EXTRATO!$F$2:$F$3000,MATCH($A878,EXTRATO!$A$2:$A$3000,0))))</f>
        <v>SAÍDA</v>
      </c>
      <c r="I878" s="88" t="str">
        <f>IF(A878="","",IF(INDEX(EXTRATO!$H$2:$H$3000,MATCH($A878,EXTRATO!$A$2:$A$3000,0))="","",INDEX(EXTRATO!$H$2:$H$3000,MATCH($A878,EXTRATO!$A$2:$A$3000,0))))</f>
        <v>CLINICA DR. LUCAS ALBUQUERQUE</v>
      </c>
      <c r="J878" s="86" t="s">
        <v>1360</v>
      </c>
      <c r="K878" s="86" t="str">
        <f>IF(AND(A878="",D878="",E878="",F878=""),"",IF(D878="","SEM CATEGORIA",IF(E878="","SEM SUBCATEGORIA",IF(COUNTIFS(CADASTROS!$L$7:$L$93,D878,CADASTROS!$D$7:$D$93,E878)=0,"INCOMPATÍVEL","OK"))))</f>
        <v>OK</v>
      </c>
    </row>
    <row r="879" spans="1:11" ht="30" hidden="1" customHeight="1" x14ac:dyDescent="0.25">
      <c r="A879" s="86" t="s">
        <v>2253</v>
      </c>
      <c r="B879" s="85">
        <f>IF(A879="","",IF(INDEX(EXTRATO!$C$2:$C$3000,MATCH($A879,EXTRATO!$A$2:$A$3000,0))="","",INDEX(EXTRATO!$C$2:$C$3000,MATCH($A879,EXTRATO!$A$2:$A$3000,0))))</f>
        <v>46237</v>
      </c>
      <c r="C879" s="86">
        <f t="shared" si="15"/>
        <v>8</v>
      </c>
      <c r="D879" s="81" t="s">
        <v>1415</v>
      </c>
      <c r="E879" s="79" t="s">
        <v>1648</v>
      </c>
      <c r="F879" s="80">
        <v>12000</v>
      </c>
      <c r="G879" s="81" t="s">
        <v>1129</v>
      </c>
      <c r="H879" s="86" t="str">
        <f>IF(A879="","",IF(INDEX(EXTRATO!$F$2:$F$3000,MATCH($A879,EXTRATO!$A$2:$A$3000,0))="","",INDEX(EXTRATO!$F$2:$F$3000,MATCH($A879,EXTRATO!$A$2:$A$3000,0))))</f>
        <v>SAÍDA</v>
      </c>
      <c r="I879" s="88" t="str">
        <f>IF(A879="","",IF(INDEX(EXTRATO!$H$2:$H$3000,MATCH($A879,EXTRATO!$A$2:$A$3000,0))="","",INDEX(EXTRATO!$H$2:$H$3000,MATCH($A879,EXTRATO!$A$2:$A$3000,0))))</f>
        <v>MARTINS MACHADO SAUDE E E</v>
      </c>
      <c r="J879" s="86" t="s">
        <v>1565</v>
      </c>
      <c r="K879" s="86" t="str">
        <f>IF(AND(A879="",D879="",E879="",F879=""),"",IF(D879="","SEM CATEGORIA",IF(E879="","SEM SUBCATEGORIA",IF(COUNTIFS(CADASTROS!$L$7:$L$93,D879,CADASTROS!$D$7:$D$93,E879)=0,"INCOMPATÍVEL","OK"))))</f>
        <v>OK</v>
      </c>
    </row>
    <row r="880" spans="1:11" ht="30" hidden="1" customHeight="1" x14ac:dyDescent="0.25">
      <c r="A880" s="86" t="s">
        <v>2254</v>
      </c>
      <c r="B880" s="85">
        <f>IF(A880="","",IF(INDEX(EXTRATO!$C$2:$C$3000,MATCH($A880,EXTRATO!$A$2:$A$3000,0))="","",INDEX(EXTRATO!$C$2:$C$3000,MATCH($A880,EXTRATO!$A$2:$A$3000,0))))</f>
        <v>46237</v>
      </c>
      <c r="C880" s="86">
        <f t="shared" si="15"/>
        <v>8</v>
      </c>
      <c r="D880" s="81" t="s">
        <v>1330</v>
      </c>
      <c r="E880" s="79" t="s">
        <v>1697</v>
      </c>
      <c r="F880" s="80">
        <v>2200</v>
      </c>
      <c r="G880" s="81" t="s">
        <v>1131</v>
      </c>
      <c r="H880" s="86" t="str">
        <f>IF(A880="","",IF(INDEX(EXTRATO!$F$2:$F$3000,MATCH($A880,EXTRATO!$A$2:$A$3000,0))="","",INDEX(EXTRATO!$F$2:$F$3000,MATCH($A880,EXTRATO!$A$2:$A$3000,0))))</f>
        <v>SAÍDA</v>
      </c>
      <c r="I880" s="88" t="str">
        <f>IF(A880="","",IF(INDEX(EXTRATO!$H$2:$H$3000,MATCH($A880,EXTRATO!$A$2:$A$3000,0))="","",INDEX(EXTRATO!$H$2:$H$3000,MATCH($A880,EXTRATO!$A$2:$A$3000,0))))</f>
        <v>LUANA MELO VIEGAS</v>
      </c>
      <c r="J880" s="86" t="s">
        <v>1565</v>
      </c>
      <c r="K880" s="86" t="str">
        <f>IF(AND(A880="",D880="",E880="",F880=""),"",IF(D880="","SEM CATEGORIA",IF(E880="","SEM SUBCATEGORIA",IF(COUNTIFS(CADASTROS!$L$7:$L$93,D880,CADASTROS!$D$7:$D$93,E880)=0,"INCOMPATÍVEL","OK"))))</f>
        <v>OK</v>
      </c>
    </row>
    <row r="881" spans="1:11" ht="30" hidden="1" customHeight="1" x14ac:dyDescent="0.25">
      <c r="A881" s="86" t="s">
        <v>2255</v>
      </c>
      <c r="B881" s="85">
        <f>IF(A881="","",IF(INDEX(EXTRATO!$C$2:$C$3000,MATCH($A881,EXTRATO!$A$2:$A$3000,0))="","",INDEX(EXTRATO!$C$2:$C$3000,MATCH($A881,EXTRATO!$A$2:$A$3000,0))))</f>
        <v>46237</v>
      </c>
      <c r="C881" s="86">
        <f t="shared" si="15"/>
        <v>8</v>
      </c>
      <c r="D881" s="81" t="s">
        <v>1415</v>
      </c>
      <c r="E881" s="79" t="s">
        <v>1664</v>
      </c>
      <c r="F881" s="80">
        <v>2450</v>
      </c>
      <c r="G881" s="81" t="s">
        <v>1132</v>
      </c>
      <c r="H881" s="86" t="str">
        <f>IF(A881="","",IF(INDEX(EXTRATO!$F$2:$F$3000,MATCH($A881,EXTRATO!$A$2:$A$3000,0))="","",INDEX(EXTRATO!$F$2:$F$3000,MATCH($A881,EXTRATO!$A$2:$A$3000,0))))</f>
        <v>SAÍDA</v>
      </c>
      <c r="I881" s="88" t="str">
        <f>IF(A881="","",IF(INDEX(EXTRATO!$H$2:$H$3000,MATCH($A881,EXTRATO!$A$2:$A$3000,0))="","",INDEX(EXTRATO!$H$2:$H$3000,MATCH($A881,EXTRATO!$A$2:$A$3000,0))))</f>
        <v>DR. WILSON</v>
      </c>
      <c r="J881" s="86" t="s">
        <v>1565</v>
      </c>
      <c r="K881" s="86" t="str">
        <f>IF(AND(A881="",D881="",E881="",F881=""),"",IF(D881="","SEM CATEGORIA",IF(E881="","SEM SUBCATEGORIA",IF(COUNTIFS(CADASTROS!$L$7:$L$93,D881,CADASTROS!$D$7:$D$93,E881)=0,"INCOMPATÍVEL","OK"))))</f>
        <v>OK</v>
      </c>
    </row>
    <row r="882" spans="1:11" ht="30" hidden="1" customHeight="1" x14ac:dyDescent="0.25">
      <c r="A882" s="86" t="s">
        <v>2256</v>
      </c>
      <c r="B882" s="85">
        <f>IF(A882="","",IF(INDEX(EXTRATO!$C$2:$C$3000,MATCH($A882,EXTRATO!$A$2:$A$3000,0))="","",INDEX(EXTRATO!$C$2:$C$3000,MATCH($A882,EXTRATO!$A$2:$A$3000,0))))</f>
        <v>46237</v>
      </c>
      <c r="C882" s="86">
        <f t="shared" si="15"/>
        <v>8</v>
      </c>
      <c r="D882" s="81" t="s">
        <v>1330</v>
      </c>
      <c r="E882" s="79" t="s">
        <v>2525</v>
      </c>
      <c r="F882" s="80">
        <v>160</v>
      </c>
      <c r="G882" s="81" t="s">
        <v>1134</v>
      </c>
      <c r="H882" s="86" t="str">
        <f>IF(A882="","",IF(INDEX(EXTRATO!$F$2:$F$3000,MATCH($A882,EXTRATO!$A$2:$A$3000,0))="","",INDEX(EXTRATO!$F$2:$F$3000,MATCH($A882,EXTRATO!$A$2:$A$3000,0))))</f>
        <v>SAÍDA</v>
      </c>
      <c r="I882" s="88" t="str">
        <f>IF(A882="","",IF(INDEX(EXTRATO!$H$2:$H$3000,MATCH($A882,EXTRATO!$A$2:$A$3000,0))="","",INDEX(EXTRATO!$H$2:$H$3000,MATCH($A882,EXTRATO!$A$2:$A$3000,0))))</f>
        <v>MASTER GRAFICA DIGITAL</v>
      </c>
      <c r="J882" s="86" t="s">
        <v>1360</v>
      </c>
      <c r="K882" s="86" t="str">
        <f>IF(AND(A882="",D882="",E882="",F882=""),"",IF(D882="","SEM CATEGORIA",IF(E882="","SEM SUBCATEGORIA",IF(COUNTIFS(CADASTROS!$L$7:$L$93,D882,CADASTROS!$D$7:$D$93,E882)=0,"INCOMPATÍVEL","OK"))))</f>
        <v>OK</v>
      </c>
    </row>
    <row r="883" spans="1:11" ht="30" hidden="1" customHeight="1" x14ac:dyDescent="0.25">
      <c r="A883" s="86" t="s">
        <v>2257</v>
      </c>
      <c r="B883" s="85">
        <f>IF(A883="","",IF(INDEX(EXTRATO!$C$2:$C$3000,MATCH($A883,EXTRATO!$A$2:$A$3000,0))="","",INDEX(EXTRATO!$C$2:$C$3000,MATCH($A883,EXTRATO!$A$2:$A$3000,0))))</f>
        <v>46237</v>
      </c>
      <c r="C883" s="86">
        <f t="shared" si="15"/>
        <v>8</v>
      </c>
      <c r="D883" s="81" t="s">
        <v>1370</v>
      </c>
      <c r="E883" s="79" t="s">
        <v>1371</v>
      </c>
      <c r="F883" s="80">
        <v>4500</v>
      </c>
      <c r="G883" s="81" t="s">
        <v>1137</v>
      </c>
      <c r="H883" s="86" t="str">
        <f>IF(A883="","",IF(INDEX(EXTRATO!$F$2:$F$3000,MATCH($A883,EXTRATO!$A$2:$A$3000,0))="","",INDEX(EXTRATO!$F$2:$F$3000,MATCH($A883,EXTRATO!$A$2:$A$3000,0))))</f>
        <v>SAÍDA</v>
      </c>
      <c r="I883" s="88" t="str">
        <f>IF(A883="","",IF(INDEX(EXTRATO!$H$2:$H$3000,MATCH($A883,EXTRATO!$A$2:$A$3000,0))="","",INDEX(EXTRATO!$H$2:$H$3000,MATCH($A883,EXTRATO!$A$2:$A$3000,0))))</f>
        <v>HR MANUTENCAO HOSPITALAR</v>
      </c>
      <c r="J883" s="86" t="s">
        <v>1360</v>
      </c>
      <c r="K883" s="86" t="str">
        <f>IF(AND(A883="",D883="",E883="",F883=""),"",IF(D883="","SEM CATEGORIA",IF(E883="","SEM SUBCATEGORIA",IF(COUNTIFS(CADASTROS!$L$7:$L$93,D883,CADASTROS!$D$7:$D$93,E883)=0,"INCOMPATÍVEL","OK"))))</f>
        <v>OK</v>
      </c>
    </row>
    <row r="884" spans="1:11" ht="30" hidden="1" customHeight="1" x14ac:dyDescent="0.25">
      <c r="A884" s="86" t="s">
        <v>2258</v>
      </c>
      <c r="B884" s="85">
        <f>IF(A884="","",IF(INDEX(EXTRATO!$C$2:$C$3000,MATCH($A884,EXTRATO!$A$2:$A$3000,0))="","",INDEX(EXTRATO!$C$2:$C$3000,MATCH($A884,EXTRATO!$A$2:$A$3000,0))))</f>
        <v>46237</v>
      </c>
      <c r="C884" s="86">
        <f t="shared" si="15"/>
        <v>8</v>
      </c>
      <c r="D884" s="81" t="s">
        <v>1367</v>
      </c>
      <c r="E884" s="79" t="s">
        <v>1560</v>
      </c>
      <c r="F884" s="80">
        <v>2400</v>
      </c>
      <c r="G884" s="81" t="s">
        <v>1138</v>
      </c>
      <c r="H884" s="86" t="str">
        <f>IF(A884="","",IF(INDEX(EXTRATO!$F$2:$F$3000,MATCH($A884,EXTRATO!$A$2:$A$3000,0))="","",INDEX(EXTRATO!$F$2:$F$3000,MATCH($A884,EXTRATO!$A$2:$A$3000,0))))</f>
        <v>SAÍDA</v>
      </c>
      <c r="I884" s="88" t="str">
        <f>IF(A884="","",IF(INDEX(EXTRATO!$H$2:$H$3000,MATCH($A884,EXTRATO!$A$2:$A$3000,0))="","",INDEX(EXTRATO!$H$2:$H$3000,MATCH($A884,EXTRATO!$A$2:$A$3000,0))))</f>
        <v>WILSON DE FREITAS SORIANO</v>
      </c>
      <c r="J884" s="86" t="s">
        <v>1565</v>
      </c>
      <c r="K884" s="86" t="str">
        <f>IF(AND(A884="",D884="",E884="",F884=""),"",IF(D884="","SEM CATEGORIA",IF(E884="","SEM SUBCATEGORIA",IF(COUNTIFS(CADASTROS!$L$7:$L$93,D884,CADASTROS!$D$7:$D$93,E884)=0,"INCOMPATÍVEL","OK"))))</f>
        <v>OK</v>
      </c>
    </row>
    <row r="885" spans="1:11" ht="30" hidden="1" customHeight="1" x14ac:dyDescent="0.25">
      <c r="A885" s="86" t="s">
        <v>2259</v>
      </c>
      <c r="B885" s="85">
        <f>IF(A885="","",IF(INDEX(EXTRATO!$C$2:$C$3000,MATCH($A885,EXTRATO!$A$2:$A$3000,0))="","",INDEX(EXTRATO!$C$2:$C$3000,MATCH($A885,EXTRATO!$A$2:$A$3000,0))))</f>
        <v>46237</v>
      </c>
      <c r="C885" s="86">
        <f t="shared" si="15"/>
        <v>8</v>
      </c>
      <c r="D885" s="81" t="s">
        <v>1311</v>
      </c>
      <c r="E885" s="79" t="s">
        <v>1320</v>
      </c>
      <c r="F885" s="80">
        <v>2240</v>
      </c>
      <c r="G885" s="81" t="s">
        <v>2839</v>
      </c>
      <c r="H885" s="86" t="str">
        <f>IF(A885="","",IF(INDEX(EXTRATO!$F$2:$F$3000,MATCH($A885,EXTRATO!$A$2:$A$3000,0))="","",INDEX(EXTRATO!$F$2:$F$3000,MATCH($A885,EXTRATO!$A$2:$A$3000,0))))</f>
        <v>SAÍDA</v>
      </c>
      <c r="I885" s="88" t="str">
        <f>IF(A885="","",IF(INDEX(EXTRATO!$H$2:$H$3000,MATCH($A885,EXTRATO!$A$2:$A$3000,0))="","",INDEX(EXTRATO!$H$2:$H$3000,MATCH($A885,EXTRATO!$A$2:$A$3000,0))))</f>
        <v>DIALISE COMERCIO</v>
      </c>
      <c r="J885" s="86" t="s">
        <v>1360</v>
      </c>
      <c r="K885" s="86" t="str">
        <f>IF(AND(A885="",D885="",E885="",F885=""),"",IF(D885="","SEM CATEGORIA",IF(E885="","SEM SUBCATEGORIA",IF(COUNTIFS(CADASTROS!$L$7:$L$93,D885,CADASTROS!$D$7:$D$93,E885)=0,"INCOMPATÍVEL","OK"))))</f>
        <v>OK</v>
      </c>
    </row>
    <row r="886" spans="1:11" ht="30" hidden="1" customHeight="1" x14ac:dyDescent="0.25">
      <c r="A886" s="86" t="s">
        <v>2259</v>
      </c>
      <c r="B886" s="85">
        <f>IF(A886="","",IF(INDEX(EXTRATO!$C$2:$C$3000,MATCH($A886,EXTRATO!$A$2:$A$3000,0))="","",INDEX(EXTRATO!$C$2:$C$3000,MATCH($A886,EXTRATO!$A$2:$A$3000,0))))</f>
        <v>46237</v>
      </c>
      <c r="C886" s="86">
        <f t="shared" si="15"/>
        <v>8</v>
      </c>
      <c r="D886" s="81" t="s">
        <v>1311</v>
      </c>
      <c r="E886" s="79" t="s">
        <v>1312</v>
      </c>
      <c r="F886" s="80">
        <v>90</v>
      </c>
      <c r="G886" s="81" t="s">
        <v>2823</v>
      </c>
      <c r="H886" s="86" t="str">
        <f>IF(A886="","",IF(INDEX(EXTRATO!$F$2:$F$3000,MATCH($A886,EXTRATO!$A$2:$A$3000,0))="","",INDEX(EXTRATO!$F$2:$F$3000,MATCH($A886,EXTRATO!$A$2:$A$3000,0))))</f>
        <v>SAÍDA</v>
      </c>
      <c r="I886" s="88" t="str">
        <f>IF(A886="","",IF(INDEX(EXTRATO!$H$2:$H$3000,MATCH($A886,EXTRATO!$A$2:$A$3000,0))="","",INDEX(EXTRATO!$H$2:$H$3000,MATCH($A886,EXTRATO!$A$2:$A$3000,0))))</f>
        <v>DIALISE COMERCIO</v>
      </c>
      <c r="J886" s="86" t="s">
        <v>1360</v>
      </c>
      <c r="K886" s="86" t="str">
        <f>IF(AND(A886="",D886="",E886="",F886=""),"",IF(D886="","SEM CATEGORIA",IF(E886="","SEM SUBCATEGORIA",IF(COUNTIFS(CADASTROS!$L$7:$L$93,D886,CADASTROS!$D$7:$D$93,E886)=0,"INCOMPATÍVEL","OK"))))</f>
        <v>OK</v>
      </c>
    </row>
    <row r="887" spans="1:11" ht="30" hidden="1" customHeight="1" x14ac:dyDescent="0.25">
      <c r="A887" s="86" t="s">
        <v>2259</v>
      </c>
      <c r="B887" s="85">
        <f>IF(A887="","",IF(INDEX(EXTRATO!$C$2:$C$3000,MATCH($A887,EXTRATO!$A$2:$A$3000,0))="","",INDEX(EXTRATO!$C$2:$C$3000,MATCH($A887,EXTRATO!$A$2:$A$3000,0))))</f>
        <v>46237</v>
      </c>
      <c r="C887" s="86">
        <f t="shared" si="15"/>
        <v>8</v>
      </c>
      <c r="D887" s="81" t="s">
        <v>1311</v>
      </c>
      <c r="E887" s="79" t="s">
        <v>1376</v>
      </c>
      <c r="F887" s="80">
        <v>792</v>
      </c>
      <c r="G887" s="81" t="s">
        <v>2822</v>
      </c>
      <c r="H887" s="86" t="str">
        <f>IF(A887="","",IF(INDEX(EXTRATO!$F$2:$F$3000,MATCH($A887,EXTRATO!$A$2:$A$3000,0))="","",INDEX(EXTRATO!$F$2:$F$3000,MATCH($A887,EXTRATO!$A$2:$A$3000,0))))</f>
        <v>SAÍDA</v>
      </c>
      <c r="I887" s="88" t="str">
        <f>IF(A887="","",IF(INDEX(EXTRATO!$H$2:$H$3000,MATCH($A887,EXTRATO!$A$2:$A$3000,0))="","",INDEX(EXTRATO!$H$2:$H$3000,MATCH($A887,EXTRATO!$A$2:$A$3000,0))))</f>
        <v>DIALISE COMERCIO</v>
      </c>
      <c r="J887" s="86" t="s">
        <v>1360</v>
      </c>
      <c r="K887" s="86" t="str">
        <f>IF(AND(A887="",D887="",E887="",F887=""),"",IF(D887="","SEM CATEGORIA",IF(E887="","SEM SUBCATEGORIA",IF(COUNTIFS(CADASTROS!$L$7:$L$93,D887,CADASTROS!$D$7:$D$93,E887)=0,"INCOMPATÍVEL","OK"))))</f>
        <v>OK</v>
      </c>
    </row>
    <row r="888" spans="1:11" ht="30" hidden="1" customHeight="1" x14ac:dyDescent="0.25">
      <c r="A888" s="86" t="s">
        <v>2260</v>
      </c>
      <c r="B888" s="85">
        <f>IF(A888="","",IF(INDEX(EXTRATO!$C$2:$C$3000,MATCH($A888,EXTRATO!$A$2:$A$3000,0))="","",INDEX(EXTRATO!$C$2:$C$3000,MATCH($A888,EXTRATO!$A$2:$A$3000,0))))</f>
        <v>46237</v>
      </c>
      <c r="C888" s="86">
        <f t="shared" si="15"/>
        <v>8</v>
      </c>
      <c r="D888" s="81" t="s">
        <v>1311</v>
      </c>
      <c r="E888" s="79" t="s">
        <v>1376</v>
      </c>
      <c r="F888" s="80">
        <v>792</v>
      </c>
      <c r="G888" s="81" t="s">
        <v>1141</v>
      </c>
      <c r="H888" s="86" t="str">
        <f>IF(A888="","",IF(INDEX(EXTRATO!$F$2:$F$3000,MATCH($A888,EXTRATO!$A$2:$A$3000,0))="","",INDEX(EXTRATO!$F$2:$F$3000,MATCH($A888,EXTRATO!$A$2:$A$3000,0))))</f>
        <v>SAÍDA</v>
      </c>
      <c r="I888" s="88" t="str">
        <f>IF(A888="","",IF(INDEX(EXTRATO!$H$2:$H$3000,MATCH($A888,EXTRATO!$A$2:$A$3000,0))="","",INDEX(EXTRATO!$H$2:$H$3000,MATCH($A888,EXTRATO!$A$2:$A$3000,0))))</f>
        <v>DIALISE COMERCIO</v>
      </c>
      <c r="J888" s="86" t="s">
        <v>1360</v>
      </c>
      <c r="K888" s="86" t="str">
        <f>IF(AND(A888="",D888="",E888="",F888=""),"",IF(D888="","SEM CATEGORIA",IF(E888="","SEM SUBCATEGORIA",IF(COUNTIFS(CADASTROS!$L$7:$L$93,D888,CADASTROS!$D$7:$D$93,E888)=0,"INCOMPATÍVEL","OK"))))</f>
        <v>OK</v>
      </c>
    </row>
    <row r="889" spans="1:11" ht="30" hidden="1" customHeight="1" x14ac:dyDescent="0.25">
      <c r="A889" s="86" t="s">
        <v>2261</v>
      </c>
      <c r="B889" s="85">
        <f>IF(A889="","",IF(INDEX(EXTRATO!$C$2:$C$3000,MATCH($A889,EXTRATO!$A$2:$A$3000,0))="","",INDEX(EXTRATO!$C$2:$C$3000,MATCH($A889,EXTRATO!$A$2:$A$3000,0))))</f>
        <v>46237</v>
      </c>
      <c r="C889" s="86">
        <f t="shared" si="15"/>
        <v>8</v>
      </c>
      <c r="D889" s="81" t="s">
        <v>1311</v>
      </c>
      <c r="E889" s="79" t="s">
        <v>1320</v>
      </c>
      <c r="F889" s="80">
        <v>1680</v>
      </c>
      <c r="G889" s="81" t="s">
        <v>2817</v>
      </c>
      <c r="H889" s="86" t="str">
        <f>IF(A889="","",IF(INDEX(EXTRATO!$F$2:$F$3000,MATCH($A889,EXTRATO!$A$2:$A$3000,0))="","",INDEX(EXTRATO!$F$2:$F$3000,MATCH($A889,EXTRATO!$A$2:$A$3000,0))))</f>
        <v>SAÍDA</v>
      </c>
      <c r="I889" s="88" t="str">
        <f>IF(A889="","",IF(INDEX(EXTRATO!$H$2:$H$3000,MATCH($A889,EXTRATO!$A$2:$A$3000,0))="","",INDEX(EXTRATO!$H$2:$H$3000,MATCH($A889,EXTRATO!$A$2:$A$3000,0))))</f>
        <v>DIALISE COMERCIO</v>
      </c>
      <c r="J889" s="86" t="s">
        <v>1360</v>
      </c>
      <c r="K889" s="86" t="str">
        <f>IF(AND(A889="",D889="",E889="",F889=""),"",IF(D889="","SEM CATEGORIA",IF(E889="","SEM SUBCATEGORIA",IF(COUNTIFS(CADASTROS!$L$7:$L$93,D889,CADASTROS!$D$7:$D$93,E889)=0,"INCOMPATÍVEL","OK"))))</f>
        <v>OK</v>
      </c>
    </row>
    <row r="890" spans="1:11" ht="30" hidden="1" customHeight="1" x14ac:dyDescent="0.25">
      <c r="A890" s="86" t="s">
        <v>2261</v>
      </c>
      <c r="B890" s="85">
        <f>IF(A890="","",IF(INDEX(EXTRATO!$C$2:$C$3000,MATCH($A890,EXTRATO!$A$2:$A$3000,0))="","",INDEX(EXTRATO!$C$2:$C$3000,MATCH($A890,EXTRATO!$A$2:$A$3000,0))))</f>
        <v>46237</v>
      </c>
      <c r="C890" s="86">
        <f t="shared" si="15"/>
        <v>8</v>
      </c>
      <c r="D890" s="81" t="s">
        <v>1311</v>
      </c>
      <c r="E890" s="79" t="s">
        <v>1312</v>
      </c>
      <c r="F890" s="80">
        <v>120</v>
      </c>
      <c r="G890" s="81" t="s">
        <v>2840</v>
      </c>
      <c r="H890" s="86" t="str">
        <f>IF(A890="","",IF(INDEX(EXTRATO!$F$2:$F$3000,MATCH($A890,EXTRATO!$A$2:$A$3000,0))="","",INDEX(EXTRATO!$F$2:$F$3000,MATCH($A890,EXTRATO!$A$2:$A$3000,0))))</f>
        <v>SAÍDA</v>
      </c>
      <c r="I890" s="88" t="str">
        <f>IF(A890="","",IF(INDEX(EXTRATO!$H$2:$H$3000,MATCH($A890,EXTRATO!$A$2:$A$3000,0))="","",INDEX(EXTRATO!$H$2:$H$3000,MATCH($A890,EXTRATO!$A$2:$A$3000,0))))</f>
        <v>DIALISE COMERCIO</v>
      </c>
      <c r="J890" s="86" t="s">
        <v>1360</v>
      </c>
      <c r="K890" s="86" t="str">
        <f>IF(AND(A890="",D890="",E890="",F890=""),"",IF(D890="","SEM CATEGORIA",IF(E890="","SEM SUBCATEGORIA",IF(COUNTIFS(CADASTROS!$L$7:$L$93,D890,CADASTROS!$D$7:$D$93,E890)=0,"INCOMPATÍVEL","OK"))))</f>
        <v>OK</v>
      </c>
    </row>
    <row r="891" spans="1:11" ht="30" hidden="1" customHeight="1" x14ac:dyDescent="0.25">
      <c r="A891" s="86" t="s">
        <v>2261</v>
      </c>
      <c r="B891" s="85">
        <f>IF(A891="","",IF(INDEX(EXTRATO!$C$2:$C$3000,MATCH($A891,EXTRATO!$A$2:$A$3000,0))="","",INDEX(EXTRATO!$C$2:$C$3000,MATCH($A891,EXTRATO!$A$2:$A$3000,0))))</f>
        <v>46237</v>
      </c>
      <c r="C891" s="86">
        <f t="shared" si="15"/>
        <v>8</v>
      </c>
      <c r="D891" s="81" t="s">
        <v>1311</v>
      </c>
      <c r="E891" s="79" t="s">
        <v>1312</v>
      </c>
      <c r="F891" s="80">
        <v>345</v>
      </c>
      <c r="G891" s="81" t="s">
        <v>2841</v>
      </c>
      <c r="H891" s="86" t="str">
        <f>IF(A891="","",IF(INDEX(EXTRATO!$F$2:$F$3000,MATCH($A891,EXTRATO!$A$2:$A$3000,0))="","",INDEX(EXTRATO!$F$2:$F$3000,MATCH($A891,EXTRATO!$A$2:$A$3000,0))))</f>
        <v>SAÍDA</v>
      </c>
      <c r="I891" s="88" t="str">
        <f>IF(A891="","",IF(INDEX(EXTRATO!$H$2:$H$3000,MATCH($A891,EXTRATO!$A$2:$A$3000,0))="","",INDEX(EXTRATO!$H$2:$H$3000,MATCH($A891,EXTRATO!$A$2:$A$3000,0))))</f>
        <v>DIALISE COMERCIO</v>
      </c>
      <c r="J891" s="86" t="s">
        <v>1360</v>
      </c>
      <c r="K891" s="86" t="str">
        <f>IF(AND(A891="",D891="",E891="",F891=""),"",IF(D891="","SEM CATEGORIA",IF(E891="","SEM SUBCATEGORIA",IF(COUNTIFS(CADASTROS!$L$7:$L$93,D891,CADASTROS!$D$7:$D$93,E891)=0,"INCOMPATÍVEL","OK"))))</f>
        <v>OK</v>
      </c>
    </row>
    <row r="892" spans="1:11" ht="30" hidden="1" customHeight="1" x14ac:dyDescent="0.25">
      <c r="A892" s="86" t="s">
        <v>2262</v>
      </c>
      <c r="B892" s="85">
        <f>IF(A892="","",IF(INDEX(EXTRATO!$C$2:$C$3000,MATCH($A892,EXTRATO!$A$2:$A$3000,0))="","",INDEX(EXTRATO!$C$2:$C$3000,MATCH($A892,EXTRATO!$A$2:$A$3000,0))))</f>
        <v>46237</v>
      </c>
      <c r="C892" s="86">
        <f t="shared" si="15"/>
        <v>8</v>
      </c>
      <c r="D892" s="81" t="s">
        <v>1311</v>
      </c>
      <c r="E892" s="79" t="s">
        <v>1312</v>
      </c>
      <c r="F892" s="80">
        <v>41</v>
      </c>
      <c r="G892" s="81" t="s">
        <v>2826</v>
      </c>
      <c r="H892" s="86" t="str">
        <f>IF(A892="","",IF(INDEX(EXTRATO!$F$2:$F$3000,MATCH($A892,EXTRATO!$A$2:$A$3000,0))="","",INDEX(EXTRATO!$F$2:$F$3000,MATCH($A892,EXTRATO!$A$2:$A$3000,0))))</f>
        <v>SAÍDA</v>
      </c>
      <c r="I892" s="88" t="str">
        <f>IF(A892="","",IF(INDEX(EXTRATO!$H$2:$H$3000,MATCH($A892,EXTRATO!$A$2:$A$3000,0))="","",INDEX(EXTRATO!$H$2:$H$3000,MATCH($A892,EXTRATO!$A$2:$A$3000,0))))</f>
        <v>FARMACE</v>
      </c>
      <c r="J892" s="86" t="s">
        <v>1360</v>
      </c>
      <c r="K892" s="86" t="str">
        <f>IF(AND(A892="",D892="",E892="",F892=""),"",IF(D892="","SEM CATEGORIA",IF(E892="","SEM SUBCATEGORIA",IF(COUNTIFS(CADASTROS!$L$7:$L$93,D892,CADASTROS!$D$7:$D$93,E892)=0,"INCOMPATÍVEL","OK"))))</f>
        <v>OK</v>
      </c>
    </row>
    <row r="893" spans="1:11" ht="30" hidden="1" customHeight="1" x14ac:dyDescent="0.25">
      <c r="A893" s="86" t="s">
        <v>2262</v>
      </c>
      <c r="B893" s="85">
        <f>IF(A893="","",IF(INDEX(EXTRATO!$C$2:$C$3000,MATCH($A893,EXTRATO!$A$2:$A$3000,0))="","",INDEX(EXTRATO!$C$2:$C$3000,MATCH($A893,EXTRATO!$A$2:$A$3000,0))))</f>
        <v>46237</v>
      </c>
      <c r="C893" s="86">
        <f t="shared" si="15"/>
        <v>8</v>
      </c>
      <c r="D893" s="81" t="s">
        <v>1311</v>
      </c>
      <c r="E893" s="79" t="s">
        <v>1404</v>
      </c>
      <c r="F893" s="80">
        <v>21501.200000000001</v>
      </c>
      <c r="G893" s="81" t="s">
        <v>2716</v>
      </c>
      <c r="H893" s="86" t="str">
        <f>IF(A893="","",IF(INDEX(EXTRATO!$F$2:$F$3000,MATCH($A893,EXTRATO!$A$2:$A$3000,0))="","",INDEX(EXTRATO!$F$2:$F$3000,MATCH($A893,EXTRATO!$A$2:$A$3000,0))))</f>
        <v>SAÍDA</v>
      </c>
      <c r="I893" s="88" t="str">
        <f>IF(A893="","",IF(INDEX(EXTRATO!$H$2:$H$3000,MATCH($A893,EXTRATO!$A$2:$A$3000,0))="","",INDEX(EXTRATO!$H$2:$H$3000,MATCH($A893,EXTRATO!$A$2:$A$3000,0))))</f>
        <v>FARMACE</v>
      </c>
      <c r="J893" s="86" t="s">
        <v>1360</v>
      </c>
      <c r="K893" s="86" t="str">
        <f>IF(AND(A893="",D893="",E893="",F893=""),"",IF(D893="","SEM CATEGORIA",IF(E893="","SEM SUBCATEGORIA",IF(COUNTIFS(CADASTROS!$L$7:$L$93,D893,CADASTROS!$D$7:$D$93,E893)=0,"INCOMPATÍVEL","OK"))))</f>
        <v>OK</v>
      </c>
    </row>
    <row r="894" spans="1:11" ht="30" hidden="1" customHeight="1" x14ac:dyDescent="0.25">
      <c r="A894" s="86" t="s">
        <v>2263</v>
      </c>
      <c r="B894" s="85">
        <f>IF(A894="","",IF(INDEX(EXTRATO!$C$2:$C$3000,MATCH($A894,EXTRATO!$A$2:$A$3000,0))="","",INDEX(EXTRATO!$C$2:$C$3000,MATCH($A894,EXTRATO!$A$2:$A$3000,0))))</f>
        <v>46237</v>
      </c>
      <c r="C894" s="86">
        <f t="shared" si="15"/>
        <v>8</v>
      </c>
      <c r="D894" s="81" t="s">
        <v>1311</v>
      </c>
      <c r="E894" s="79" t="s">
        <v>1315</v>
      </c>
      <c r="F894" s="80">
        <v>1301.81</v>
      </c>
      <c r="G894" s="81" t="s">
        <v>1147</v>
      </c>
      <c r="H894" s="86" t="str">
        <f>IF(A894="","",IF(INDEX(EXTRATO!$F$2:$F$3000,MATCH($A894,EXTRATO!$A$2:$A$3000,0))="","",INDEX(EXTRATO!$F$2:$F$3000,MATCH($A894,EXTRATO!$A$2:$A$3000,0))))</f>
        <v>SAÍDA</v>
      </c>
      <c r="I894" s="88" t="str">
        <f>IF(A894="","",IF(INDEX(EXTRATO!$H$2:$H$3000,MATCH($A894,EXTRATO!$A$2:$A$3000,0))="","",INDEX(EXTRATO!$H$2:$H$3000,MATCH($A894,EXTRATO!$A$2:$A$3000,0))))</f>
        <v>ALLMED PRONEFRO</v>
      </c>
      <c r="J894" s="86" t="s">
        <v>1565</v>
      </c>
      <c r="K894" s="86" t="str">
        <f>IF(AND(A894="",D894="",E894="",F894=""),"",IF(D894="","SEM CATEGORIA",IF(E894="","SEM SUBCATEGORIA",IF(COUNTIFS(CADASTROS!$L$7:$L$93,D894,CADASTROS!$D$7:$D$93,E894)=0,"INCOMPATÍVEL","OK"))))</f>
        <v>OK</v>
      </c>
    </row>
    <row r="895" spans="1:11" ht="30" hidden="1" customHeight="1" x14ac:dyDescent="0.25">
      <c r="A895" s="86" t="s">
        <v>2264</v>
      </c>
      <c r="B895" s="85">
        <f>IF(A895="","",IF(INDEX(EXTRATO!$C$2:$C$3000,MATCH($A895,EXTRATO!$A$2:$A$3000,0))="","",INDEX(EXTRATO!$C$2:$C$3000,MATCH($A895,EXTRATO!$A$2:$A$3000,0))))</f>
        <v>46237</v>
      </c>
      <c r="C895" s="86">
        <f t="shared" si="15"/>
        <v>8</v>
      </c>
      <c r="D895" s="81" t="s">
        <v>1311</v>
      </c>
      <c r="E895" s="79" t="s">
        <v>1315</v>
      </c>
      <c r="F895" s="80">
        <v>2372.15</v>
      </c>
      <c r="G895" s="81" t="s">
        <v>1148</v>
      </c>
      <c r="H895" s="86" t="str">
        <f>IF(A895="","",IF(INDEX(EXTRATO!$F$2:$F$3000,MATCH($A895,EXTRATO!$A$2:$A$3000,0))="","",INDEX(EXTRATO!$F$2:$F$3000,MATCH($A895,EXTRATO!$A$2:$A$3000,0))))</f>
        <v>SAÍDA</v>
      </c>
      <c r="I895" s="88" t="str">
        <f>IF(A895="","",IF(INDEX(EXTRATO!$H$2:$H$3000,MATCH($A895,EXTRATO!$A$2:$A$3000,0))="","",INDEX(EXTRATO!$H$2:$H$3000,MATCH($A895,EXTRATO!$A$2:$A$3000,0))))</f>
        <v>ALLMED PRONEFRO</v>
      </c>
      <c r="J895" s="86" t="s">
        <v>1565</v>
      </c>
      <c r="K895" s="86" t="str">
        <f>IF(AND(A895="",D895="",E895="",F895=""),"",IF(D895="","SEM CATEGORIA",IF(E895="","SEM SUBCATEGORIA",IF(COUNTIFS(CADASTROS!$L$7:$L$93,D895,CADASTROS!$D$7:$D$93,E895)=0,"INCOMPATÍVEL","OK"))))</f>
        <v>OK</v>
      </c>
    </row>
    <row r="896" spans="1:11" ht="30" hidden="1" customHeight="1" x14ac:dyDescent="0.25">
      <c r="A896" s="86" t="s">
        <v>2265</v>
      </c>
      <c r="B896" s="85">
        <f>IF(A896="","",IF(INDEX(EXTRATO!$C$2:$C$3000,MATCH($A896,EXTRATO!$A$2:$A$3000,0))="","",INDEX(EXTRATO!$C$2:$C$3000,MATCH($A896,EXTRATO!$A$2:$A$3000,0))))</f>
        <v>46237</v>
      </c>
      <c r="C896" s="86">
        <f t="shared" ref="C896:C927" si="16">IF(B896="","",MONTH(B896))</f>
        <v>8</v>
      </c>
      <c r="D896" s="81" t="s">
        <v>1311</v>
      </c>
      <c r="E896" s="79" t="s">
        <v>1312</v>
      </c>
      <c r="F896" s="80">
        <v>3440.76</v>
      </c>
      <c r="G896" s="81" t="s">
        <v>1149</v>
      </c>
      <c r="H896" s="86" t="str">
        <f>IF(A896="","",IF(INDEX(EXTRATO!$F$2:$F$3000,MATCH($A896,EXTRATO!$A$2:$A$3000,0))="","",INDEX(EXTRATO!$F$2:$F$3000,MATCH($A896,EXTRATO!$A$2:$A$3000,0))))</f>
        <v>SAÍDA</v>
      </c>
      <c r="I896" s="88" t="str">
        <f>IF(A896="","",IF(INDEX(EXTRATO!$H$2:$H$3000,MATCH($A896,EXTRATO!$A$2:$A$3000,0))="","",INDEX(EXTRATO!$H$2:$H$3000,MATCH($A896,EXTRATO!$A$2:$A$3000,0))))</f>
        <v>REMORA HOSPITALAR</v>
      </c>
      <c r="J896" s="86" t="s">
        <v>1565</v>
      </c>
      <c r="K896" s="86" t="str">
        <f>IF(AND(A896="",D896="",E896="",F896=""),"",IF(D896="","SEM CATEGORIA",IF(E896="","SEM SUBCATEGORIA",IF(COUNTIFS(CADASTROS!$L$7:$L$93,D896,CADASTROS!$D$7:$D$93,E896)=0,"INCOMPATÍVEL","OK"))))</f>
        <v>OK</v>
      </c>
    </row>
    <row r="897" spans="1:11" ht="30" hidden="1" customHeight="1" x14ac:dyDescent="0.25">
      <c r="A897" s="86" t="s">
        <v>2266</v>
      </c>
      <c r="B897" s="85">
        <f>IF(A897="","",IF(INDEX(EXTRATO!$C$2:$C$3000,MATCH($A897,EXTRATO!$A$2:$A$3000,0))="","",INDEX(EXTRATO!$C$2:$C$3000,MATCH($A897,EXTRATO!$A$2:$A$3000,0))))</f>
        <v>46237</v>
      </c>
      <c r="C897" s="86">
        <f t="shared" si="16"/>
        <v>8</v>
      </c>
      <c r="D897" s="81" t="s">
        <v>1311</v>
      </c>
      <c r="E897" s="79" t="s">
        <v>1342</v>
      </c>
      <c r="F897" s="80">
        <v>9332.4</v>
      </c>
      <c r="G897" s="81" t="s">
        <v>161</v>
      </c>
      <c r="H897" s="86" t="str">
        <f>IF(A897="","",IF(INDEX(EXTRATO!$F$2:$F$3000,MATCH($A897,EXTRATO!$A$2:$A$3000,0))="","",INDEX(EXTRATO!$F$2:$F$3000,MATCH($A897,EXTRATO!$A$2:$A$3000,0))))</f>
        <v>SAÍDA</v>
      </c>
      <c r="I897" s="88" t="str">
        <f>IF(A897="","",IF(INDEX(EXTRATO!$H$2:$H$3000,MATCH($A897,EXTRATO!$A$2:$A$3000,0))="","",INDEX(EXTRATO!$H$2:$H$3000,MATCH($A897,EXTRATO!$A$2:$A$3000,0))))</f>
        <v>CRISTALIA PRODUTOS</v>
      </c>
      <c r="J897" s="86" t="s">
        <v>1565</v>
      </c>
      <c r="K897" s="86" t="str">
        <f>IF(AND(A897="",D897="",E897="",F897=""),"",IF(D897="","SEM CATEGORIA",IF(E897="","SEM SUBCATEGORIA",IF(COUNTIFS(CADASTROS!$L$7:$L$93,D897,CADASTROS!$D$7:$D$93,E897)=0,"INCOMPATÍVEL","OK"))))</f>
        <v>OK</v>
      </c>
    </row>
    <row r="898" spans="1:11" ht="30" hidden="1" customHeight="1" x14ac:dyDescent="0.25">
      <c r="A898" s="86" t="s">
        <v>2267</v>
      </c>
      <c r="B898" s="85">
        <f>IF(A898="","",IF(INDEX(EXTRATO!$C$2:$C$3000,MATCH($A898,EXTRATO!$A$2:$A$3000,0))="","",INDEX(EXTRATO!$C$2:$C$3000,MATCH($A898,EXTRATO!$A$2:$A$3000,0))))</f>
        <v>46237</v>
      </c>
      <c r="C898" s="86">
        <f t="shared" si="16"/>
        <v>8</v>
      </c>
      <c r="D898" s="81" t="s">
        <v>1330</v>
      </c>
      <c r="E898" s="79" t="s">
        <v>1352</v>
      </c>
      <c r="F898" s="80">
        <v>21.8</v>
      </c>
      <c r="G898" s="81" t="s">
        <v>517</v>
      </c>
      <c r="H898" s="86" t="str">
        <f>IF(A898="","",IF(INDEX(EXTRATO!$F$2:$F$3000,MATCH($A898,EXTRATO!$A$2:$A$3000,0))="","",INDEX(EXTRATO!$F$2:$F$3000,MATCH($A898,EXTRATO!$A$2:$A$3000,0))))</f>
        <v>SAÍDA</v>
      </c>
      <c r="I898" s="88" t="str">
        <f>IF(A898="","",IF(INDEX(EXTRATO!$H$2:$H$3000,MATCH($A898,EXTRATO!$A$2:$A$3000,0))="","",INDEX(EXTRATO!$H$2:$H$3000,MATCH($A898,EXTRATO!$A$2:$A$3000,0))))</f>
        <v>TAXA DE PROCESSAMENTO DE CHEQUE</v>
      </c>
      <c r="J898" s="86" t="s">
        <v>1565</v>
      </c>
      <c r="K898" s="86" t="str">
        <f>IF(AND(A898="",D898="",E898="",F898=""),"",IF(D898="","SEM CATEGORIA",IF(E898="","SEM SUBCATEGORIA",IF(COUNTIFS(CADASTROS!$L$7:$L$93,D898,CADASTROS!$D$7:$D$93,E898)=0,"INCOMPATÍVEL","OK"))))</f>
        <v>OK</v>
      </c>
    </row>
    <row r="899" spans="1:11" ht="30" hidden="1" customHeight="1" x14ac:dyDescent="0.25">
      <c r="A899" s="86" t="s">
        <v>2268</v>
      </c>
      <c r="B899" s="85">
        <f>IF(A899="","",IF(INDEX(EXTRATO!$C$2:$C$3000,MATCH($A899,EXTRATO!$A$2:$A$3000,0))="","",INDEX(EXTRATO!$C$2:$C$3000,MATCH($A899,EXTRATO!$A$2:$A$3000,0))))</f>
        <v>46238</v>
      </c>
      <c r="C899" s="86">
        <f t="shared" si="16"/>
        <v>8</v>
      </c>
      <c r="D899" s="81" t="s">
        <v>1454</v>
      </c>
      <c r="E899" s="79" t="s">
        <v>1473</v>
      </c>
      <c r="F899" s="80">
        <v>2530.88</v>
      </c>
      <c r="G899" s="81" t="s">
        <v>1150</v>
      </c>
      <c r="H899" s="86" t="str">
        <f>IF(A899="","",IF(INDEX(EXTRATO!$F$2:$F$3000,MATCH($A899,EXTRATO!$A$2:$A$3000,0))="","",INDEX(EXTRATO!$F$2:$F$3000,MATCH($A899,EXTRATO!$A$2:$A$3000,0))))</f>
        <v>SAÍDA</v>
      </c>
      <c r="I899" s="88" t="str">
        <f>IF(A899="","",IF(INDEX(EXTRATO!$H$2:$H$3000,MATCH($A899,EXTRATO!$A$2:$A$3000,0))="","",INDEX(EXTRATO!$H$2:$H$3000,MATCH($A899,EXTRATO!$A$2:$A$3000,0))))</f>
        <v>NIPRO</v>
      </c>
      <c r="J899" s="86" t="s">
        <v>1565</v>
      </c>
      <c r="K899" s="86" t="str">
        <f>IF(AND(A899="",D899="",E899="",F899=""),"",IF(D899="","SEM CATEGORIA",IF(E899="","SEM SUBCATEGORIA",IF(COUNTIFS(CADASTROS!$L$7:$L$93,D899,CADASTROS!$D$7:$D$93,E899)=0,"INCOMPATÍVEL","OK"))))</f>
        <v>OK</v>
      </c>
    </row>
    <row r="900" spans="1:11" ht="30" hidden="1" customHeight="1" x14ac:dyDescent="0.25">
      <c r="A900" s="86" t="s">
        <v>2269</v>
      </c>
      <c r="B900" s="85">
        <f>IF(A900="","",IF(INDEX(EXTRATO!$C$2:$C$3000,MATCH($A900,EXTRATO!$A$2:$A$3000,0))="","",INDEX(EXTRATO!$C$2:$C$3000,MATCH($A900,EXTRATO!$A$2:$A$3000,0))))</f>
        <v>46238</v>
      </c>
      <c r="C900" s="86">
        <f t="shared" si="16"/>
        <v>8</v>
      </c>
      <c r="D900" s="81" t="s">
        <v>1330</v>
      </c>
      <c r="E900" s="79" t="s">
        <v>1331</v>
      </c>
      <c r="F900" s="80">
        <v>642.20000000000005</v>
      </c>
      <c r="G900" s="81" t="s">
        <v>1152</v>
      </c>
      <c r="H900" s="86" t="str">
        <f>IF(A900="","",IF(INDEX(EXTRATO!$F$2:$F$3000,MATCH($A900,EXTRATO!$A$2:$A$3000,0))="","",INDEX(EXTRATO!$F$2:$F$3000,MATCH($A900,EXTRATO!$A$2:$A$3000,0))))</f>
        <v>SAÍDA</v>
      </c>
      <c r="I900" s="88" t="str">
        <f>IF(A900="","",IF(INDEX(EXTRATO!$H$2:$H$3000,MATCH($A900,EXTRATO!$A$2:$A$3000,0))="","",INDEX(EXTRATO!$H$2:$H$3000,MATCH($A900,EXTRATO!$A$2:$A$3000,0))))</f>
        <v>ALECRIM INDUSTRIA E COMÉRCIO</v>
      </c>
      <c r="J900" s="86" t="s">
        <v>1360</v>
      </c>
      <c r="K900" s="86" t="str">
        <f>IF(AND(A900="",D900="",E900="",F900=""),"",IF(D900="","SEM CATEGORIA",IF(E900="","SEM SUBCATEGORIA",IF(COUNTIFS(CADASTROS!$L$7:$L$93,D900,CADASTROS!$D$7:$D$93,E900)=0,"INCOMPATÍVEL","OK"))))</f>
        <v>OK</v>
      </c>
    </row>
    <row r="901" spans="1:11" ht="30" hidden="1" customHeight="1" x14ac:dyDescent="0.25">
      <c r="A901" s="86" t="s">
        <v>2270</v>
      </c>
      <c r="B901" s="85">
        <f>IF(A901="","",IF(INDEX(EXTRATO!$C$2:$C$3000,MATCH($A901,EXTRATO!$A$2:$A$3000,0))="","",INDEX(EXTRATO!$C$2:$C$3000,MATCH($A901,EXTRATO!$A$2:$A$3000,0))))</f>
        <v>46239</v>
      </c>
      <c r="C901" s="86">
        <f t="shared" si="16"/>
        <v>8</v>
      </c>
      <c r="D901" s="81" t="s">
        <v>1367</v>
      </c>
      <c r="E901" s="79" t="s">
        <v>2522</v>
      </c>
      <c r="F901" s="80">
        <v>2526.2199999999998</v>
      </c>
      <c r="G901" s="81" t="s">
        <v>1153</v>
      </c>
      <c r="H901" s="86" t="str">
        <f>IF(A901="","",IF(INDEX(EXTRATO!$F$2:$F$3000,MATCH($A901,EXTRATO!$A$2:$A$3000,0))="","",INDEX(EXTRATO!$F$2:$F$3000,MATCH($A901,EXTRATO!$A$2:$A$3000,0))))</f>
        <v>SAÍDA</v>
      </c>
      <c r="I901" s="88" t="str">
        <f>IF(A901="","",IF(INDEX(EXTRATO!$H$2:$H$3000,MATCH($A901,EXTRATO!$A$2:$A$3000,0))="","",INDEX(EXTRATO!$H$2:$H$3000,MATCH($A901,EXTRATO!$A$2:$A$3000,0))))</f>
        <v>PAGAMENTO DE FÉRIAS AGO/2026</v>
      </c>
      <c r="J901" s="86" t="s">
        <v>1360</v>
      </c>
      <c r="K901" s="86" t="str">
        <f>IF(AND(A901="",D901="",E901="",F901=""),"",IF(D901="","SEM CATEGORIA",IF(E901="","SEM SUBCATEGORIA",IF(COUNTIFS(CADASTROS!$L$7:$L$93,D901,CADASTROS!$D$7:$D$93,E901)=0,"INCOMPATÍVEL","OK"))))</f>
        <v>OK</v>
      </c>
    </row>
    <row r="902" spans="1:11" ht="30" hidden="1" customHeight="1" x14ac:dyDescent="0.25">
      <c r="A902" s="86" t="s">
        <v>2271</v>
      </c>
      <c r="B902" s="85">
        <f>IF(A902="","",IF(INDEX(EXTRATO!$C$2:$C$3000,MATCH($A902,EXTRATO!$A$2:$A$3000,0))="","",INDEX(EXTRATO!$C$2:$C$3000,MATCH($A902,EXTRATO!$A$2:$A$3000,0))))</f>
        <v>46239</v>
      </c>
      <c r="C902" s="86">
        <f t="shared" si="16"/>
        <v>8</v>
      </c>
      <c r="D902" s="81" t="s">
        <v>1367</v>
      </c>
      <c r="E902" s="79" t="s">
        <v>2522</v>
      </c>
      <c r="F902" s="80">
        <v>2778.73</v>
      </c>
      <c r="G902" s="81" t="s">
        <v>1155</v>
      </c>
      <c r="H902" s="86" t="str">
        <f>IF(A902="","",IF(INDEX(EXTRATO!$F$2:$F$3000,MATCH($A902,EXTRATO!$A$2:$A$3000,0))="","",INDEX(EXTRATO!$F$2:$F$3000,MATCH($A902,EXTRATO!$A$2:$A$3000,0))))</f>
        <v>SAÍDA</v>
      </c>
      <c r="I902" s="88" t="str">
        <f>IF(A902="","",IF(INDEX(EXTRATO!$H$2:$H$3000,MATCH($A902,EXTRATO!$A$2:$A$3000,0))="","",INDEX(EXTRATO!$H$2:$H$3000,MATCH($A902,EXTRATO!$A$2:$A$3000,0))))</f>
        <v>PAGAMENTO DE FÉRIAS AGO/2026</v>
      </c>
      <c r="J902" s="86" t="s">
        <v>1360</v>
      </c>
      <c r="K902" s="86" t="str">
        <f>IF(AND(A902="",D902="",E902="",F902=""),"",IF(D902="","SEM CATEGORIA",IF(E902="","SEM SUBCATEGORIA",IF(COUNTIFS(CADASTROS!$L$7:$L$93,D902,CADASTROS!$D$7:$D$93,E902)=0,"INCOMPATÍVEL","OK"))))</f>
        <v>OK</v>
      </c>
    </row>
    <row r="903" spans="1:11" hidden="1" x14ac:dyDescent="0.25">
      <c r="A903" s="86" t="s">
        <v>2272</v>
      </c>
      <c r="B903" s="85">
        <f>IF(A903="","",IF(INDEX(EXTRATO!$C$2:$C$3000,MATCH($A903,EXTRATO!$A$2:$A$3000,0))="","",INDEX(EXTRATO!$C$2:$C$3000,MATCH($A903,EXTRATO!$A$2:$A$3000,0))))</f>
        <v>46239</v>
      </c>
      <c r="C903" s="86">
        <f t="shared" si="16"/>
        <v>8</v>
      </c>
      <c r="D903" s="81" t="s">
        <v>1330</v>
      </c>
      <c r="E903" s="79" t="s">
        <v>1337</v>
      </c>
      <c r="F903" s="80">
        <v>167.54</v>
      </c>
      <c r="G903" s="81" t="s">
        <v>2845</v>
      </c>
      <c r="H903" s="86" t="str">
        <f>IF(A903="","",IF(INDEX(EXTRATO!$F$2:$F$3000,MATCH($A903,EXTRATO!$A$2:$A$3000,0))="","",INDEX(EXTRATO!$F$2:$F$3000,MATCH($A903,EXTRATO!$A$2:$A$3000,0))))</f>
        <v>SAÍDA</v>
      </c>
      <c r="I903" s="88" t="str">
        <f>IF(A903="","",IF(INDEX(EXTRATO!$H$2:$H$3000,MATCH($A903,EXTRATO!$A$2:$A$3000,0))="","",INDEX(EXTRATO!$H$2:$H$3000,MATCH($A903,EXTRATO!$A$2:$A$3000,0))))</f>
        <v>MARKETPLACE MERCADO LIVRE</v>
      </c>
      <c r="J903" s="86" t="s">
        <v>1360</v>
      </c>
      <c r="K903" s="86" t="str">
        <f>IF(AND(A903="",D903="",E903="",F903=""),"",IF(D903="","SEM CATEGORIA",IF(E903="","SEM SUBCATEGORIA",IF(COUNTIFS(CADASTROS!$L$7:$L$93,D903,CADASTROS!$D$7:$D$93,E903)=0,"INCOMPATÍVEL","OK"))))</f>
        <v>OK</v>
      </c>
    </row>
    <row r="904" spans="1:11" hidden="1" x14ac:dyDescent="0.25">
      <c r="A904" s="86" t="s">
        <v>2272</v>
      </c>
      <c r="B904" s="85">
        <f>IF(A904="","",IF(INDEX(EXTRATO!$C$2:$C$3000,MATCH($A904,EXTRATO!$A$2:$A$3000,0))="","",INDEX(EXTRATO!$C$2:$C$3000,MATCH($A904,EXTRATO!$A$2:$A$3000,0))))</f>
        <v>46239</v>
      </c>
      <c r="C904" s="86">
        <f t="shared" si="16"/>
        <v>8</v>
      </c>
      <c r="D904" s="81" t="s">
        <v>1454</v>
      </c>
      <c r="E904" s="79" t="s">
        <v>2760</v>
      </c>
      <c r="F904" s="80">
        <v>38</v>
      </c>
      <c r="G904" s="81" t="s">
        <v>2846</v>
      </c>
      <c r="H904" s="86" t="str">
        <f>IF(A904="","",IF(INDEX(EXTRATO!$F$2:$F$3000,MATCH($A904,EXTRATO!$A$2:$A$3000,0))="","",INDEX(EXTRATO!$F$2:$F$3000,MATCH($A904,EXTRATO!$A$2:$A$3000,0))))</f>
        <v>SAÍDA</v>
      </c>
      <c r="I904" s="88" t="str">
        <f>IF(A904="","",IF(INDEX(EXTRATO!$H$2:$H$3000,MATCH($A904,EXTRATO!$A$2:$A$3000,0))="","",INDEX(EXTRATO!$H$2:$H$3000,MATCH($A904,EXTRATO!$A$2:$A$3000,0))))</f>
        <v>MARKETPLACE MERCADO LIVRE</v>
      </c>
      <c r="J904" s="86" t="s">
        <v>1360</v>
      </c>
      <c r="K904" s="86" t="str">
        <f>IF(AND(A904="",D904="",E904="",F904=""),"",IF(D904="","SEM CATEGORIA",IF(E904="","SEM SUBCATEGORIA",IF(COUNTIFS(CADASTROS!$L$7:$L$93,D904,CADASTROS!$D$7:$D$93,E904)=0,"INCOMPATÍVEL","OK"))))</f>
        <v>OK</v>
      </c>
    </row>
    <row r="905" spans="1:11" hidden="1" x14ac:dyDescent="0.25">
      <c r="A905" s="86" t="s">
        <v>2272</v>
      </c>
      <c r="B905" s="85">
        <f>IF(A905="","",IF(INDEX(EXTRATO!$C$2:$C$3000,MATCH($A905,EXTRATO!$A$2:$A$3000,0))="","",INDEX(EXTRATO!$C$2:$C$3000,MATCH($A905,EXTRATO!$A$2:$A$3000,0))))</f>
        <v>46239</v>
      </c>
      <c r="C905" s="86">
        <f t="shared" si="16"/>
        <v>8</v>
      </c>
      <c r="D905" s="81" t="s">
        <v>1370</v>
      </c>
      <c r="E905" s="79" t="s">
        <v>1494</v>
      </c>
      <c r="F905" s="80">
        <v>76.900000000000006</v>
      </c>
      <c r="G905" s="81" t="s">
        <v>2847</v>
      </c>
      <c r="H905" s="86" t="str">
        <f>IF(A905="","",IF(INDEX(EXTRATO!$F$2:$F$3000,MATCH($A905,EXTRATO!$A$2:$A$3000,0))="","",INDEX(EXTRATO!$F$2:$F$3000,MATCH($A905,EXTRATO!$A$2:$A$3000,0))))</f>
        <v>SAÍDA</v>
      </c>
      <c r="I905" s="88" t="str">
        <f>IF(A905="","",IF(INDEX(EXTRATO!$H$2:$H$3000,MATCH($A905,EXTRATO!$A$2:$A$3000,0))="","",INDEX(EXTRATO!$H$2:$H$3000,MATCH($A905,EXTRATO!$A$2:$A$3000,0))))</f>
        <v>MARKETPLACE MERCADO LIVRE</v>
      </c>
      <c r="J905" s="86" t="s">
        <v>1360</v>
      </c>
      <c r="K905" s="86" t="str">
        <f>IF(AND(A905="",D905="",E905="",F905=""),"",IF(D905="","SEM CATEGORIA",IF(E905="","SEM SUBCATEGORIA",IF(COUNTIFS(CADASTROS!$L$7:$L$93,D905,CADASTROS!$D$7:$D$93,E905)=0,"INCOMPATÍVEL","OK"))))</f>
        <v>OK</v>
      </c>
    </row>
    <row r="906" spans="1:11" hidden="1" x14ac:dyDescent="0.25">
      <c r="A906" s="86" t="s">
        <v>2272</v>
      </c>
      <c r="B906" s="85">
        <f>IF(A906="","",IF(INDEX(EXTRATO!$C$2:$C$3000,MATCH($A906,EXTRATO!$A$2:$A$3000,0))="","",INDEX(EXTRATO!$C$2:$C$3000,MATCH($A906,EXTRATO!$A$2:$A$3000,0))))</f>
        <v>46239</v>
      </c>
      <c r="C906" s="86">
        <f t="shared" si="16"/>
        <v>8</v>
      </c>
      <c r="D906" s="81" t="s">
        <v>1370</v>
      </c>
      <c r="E906" s="79" t="s">
        <v>1371</v>
      </c>
      <c r="F906" s="80">
        <v>105.2</v>
      </c>
      <c r="G906" s="81" t="s">
        <v>2848</v>
      </c>
      <c r="H906" s="86" t="str">
        <f>IF(A906="","",IF(INDEX(EXTRATO!$F$2:$F$3000,MATCH($A906,EXTRATO!$A$2:$A$3000,0))="","",INDEX(EXTRATO!$F$2:$F$3000,MATCH($A906,EXTRATO!$A$2:$A$3000,0))))</f>
        <v>SAÍDA</v>
      </c>
      <c r="I906" s="88" t="str">
        <f>IF(A906="","",IF(INDEX(EXTRATO!$H$2:$H$3000,MATCH($A906,EXTRATO!$A$2:$A$3000,0))="","",INDEX(EXTRATO!$H$2:$H$3000,MATCH($A906,EXTRATO!$A$2:$A$3000,0))))</f>
        <v>MARKETPLACE MERCADO LIVRE</v>
      </c>
      <c r="J906" s="86" t="s">
        <v>1360</v>
      </c>
      <c r="K906" s="86" t="str">
        <f>IF(AND(A906="",D906="",E906="",F906=""),"",IF(D906="","SEM CATEGORIA",IF(E906="","SEM SUBCATEGORIA",IF(COUNTIFS(CADASTROS!$L$7:$L$93,D906,CADASTROS!$D$7:$D$93,E906)=0,"INCOMPATÍVEL","OK"))))</f>
        <v>OK</v>
      </c>
    </row>
    <row r="907" spans="1:11" ht="30" hidden="1" customHeight="1" x14ac:dyDescent="0.25">
      <c r="A907" s="86" t="s">
        <v>2273</v>
      </c>
      <c r="B907" s="85">
        <f>IF(A907="","",IF(INDEX(EXTRATO!$C$2:$C$3000,MATCH($A907,EXTRATO!$A$2:$A$3000,0))="","",INDEX(EXTRATO!$C$2:$C$3000,MATCH($A907,EXTRATO!$A$2:$A$3000,0))))</f>
        <v>46239</v>
      </c>
      <c r="C907" s="86">
        <f t="shared" si="16"/>
        <v>8</v>
      </c>
      <c r="D907" s="81" t="s">
        <v>1311</v>
      </c>
      <c r="E907" s="79" t="s">
        <v>1376</v>
      </c>
      <c r="F907" s="80">
        <v>8891.25</v>
      </c>
      <c r="G907" s="81" t="s">
        <v>1157</v>
      </c>
      <c r="H907" s="86" t="str">
        <f>IF(A907="","",IF(INDEX(EXTRATO!$F$2:$F$3000,MATCH($A907,EXTRATO!$A$2:$A$3000,0))="","",INDEX(EXTRATO!$F$2:$F$3000,MATCH($A907,EXTRATO!$A$2:$A$3000,0))))</f>
        <v>SAÍDA</v>
      </c>
      <c r="I907" s="88" t="str">
        <f>IF(A907="","",IF(INDEX(EXTRATO!$H$2:$H$3000,MATCH($A907,EXTRATO!$A$2:$A$3000,0))="","",INDEX(EXTRATO!$H$2:$H$3000,MATCH($A907,EXTRATO!$A$2:$A$3000,0))))</f>
        <v>NIPRO</v>
      </c>
      <c r="J907" s="86" t="s">
        <v>1565</v>
      </c>
      <c r="K907" s="86" t="str">
        <f>IF(AND(A907="",D907="",E907="",F907=""),"",IF(D907="","SEM CATEGORIA",IF(E907="","SEM SUBCATEGORIA",IF(COUNTIFS(CADASTROS!$L$7:$L$93,D907,CADASTROS!$D$7:$D$93,E907)=0,"INCOMPATÍVEL","OK"))))</f>
        <v>OK</v>
      </c>
    </row>
    <row r="908" spans="1:11" ht="30" hidden="1" customHeight="1" x14ac:dyDescent="0.25">
      <c r="A908" s="86" t="s">
        <v>2274</v>
      </c>
      <c r="B908" s="85">
        <f>IF(A908="","",IF(INDEX(EXTRATO!$C$2:$C$3000,MATCH($A908,EXTRATO!$A$2:$A$3000,0))="","",INDEX(EXTRATO!$C$2:$C$3000,MATCH($A908,EXTRATO!$A$2:$A$3000,0))))</f>
        <v>46239</v>
      </c>
      <c r="C908" s="86">
        <f t="shared" si="16"/>
        <v>8</v>
      </c>
      <c r="D908" s="81" t="s">
        <v>1330</v>
      </c>
      <c r="E908" s="79" t="s">
        <v>1333</v>
      </c>
      <c r="F908" s="80">
        <v>2593</v>
      </c>
      <c r="G908" s="81" t="s">
        <v>67</v>
      </c>
      <c r="H908" s="86" t="str">
        <f>IF(A908="","",IF(INDEX(EXTRATO!$F$2:$F$3000,MATCH($A908,EXTRATO!$A$2:$A$3000,0))="","",INDEX(EXTRATO!$F$2:$F$3000,MATCH($A908,EXTRATO!$A$2:$A$3000,0))))</f>
        <v>SAÍDA</v>
      </c>
      <c r="I908" s="88" t="str">
        <f>IF(A908="","",IF(INDEX(EXTRATO!$H$2:$H$3000,MATCH($A908,EXTRATO!$A$2:$A$3000,0))="","",INDEX(EXTRATO!$H$2:$H$3000,MATCH($A908,EXTRATO!$A$2:$A$3000,0))))</f>
        <v>CASSIANO &amp; CASSINOS CONTABILIDADE</v>
      </c>
      <c r="J908" s="86" t="s">
        <v>1565</v>
      </c>
      <c r="K908" s="86" t="str">
        <f>IF(AND(A908="",D908="",E908="",F908=""),"",IF(D908="","SEM CATEGORIA",IF(E908="","SEM SUBCATEGORIA",IF(COUNTIFS(CADASTROS!$L$7:$L$93,D908,CADASTROS!$D$7:$D$93,E908)=0,"INCOMPATÍVEL","OK"))))</f>
        <v>OK</v>
      </c>
    </row>
    <row r="909" spans="1:11" ht="30" hidden="1" customHeight="1" x14ac:dyDescent="0.25">
      <c r="A909" s="86" t="s">
        <v>2275</v>
      </c>
      <c r="B909" s="85">
        <f>IF(A909="","",IF(INDEX(EXTRATO!$C$2:$C$3000,MATCH($A909,EXTRATO!$A$2:$A$3000,0))="","",INDEX(EXTRATO!$C$2:$C$3000,MATCH($A909,EXTRATO!$A$2:$A$3000,0))))</f>
        <v>46240</v>
      </c>
      <c r="C909" s="86">
        <f t="shared" si="16"/>
        <v>8</v>
      </c>
      <c r="D909" s="81"/>
      <c r="E909" s="79"/>
      <c r="F909" s="80">
        <v>61.99</v>
      </c>
      <c r="G909" s="81" t="s">
        <v>1159</v>
      </c>
      <c r="H909" s="86" t="str">
        <f>IF(A909="","",IF(INDEX(EXTRATO!$F$2:$F$3000,MATCH($A909,EXTRATO!$A$2:$A$3000,0))="","",INDEX(EXTRATO!$F$2:$F$3000,MATCH($A909,EXTRATO!$A$2:$A$3000,0))))</f>
        <v>ENTRADA</v>
      </c>
      <c r="I909" s="88" t="str">
        <f>IF(A909="","",IF(INDEX(EXTRATO!$H$2:$H$3000,MATCH($A909,EXTRATO!$A$2:$A$3000,0))="","",INDEX(EXTRATO!$H$2:$H$3000,MATCH($A909,EXTRATO!$A$2:$A$3000,0))))</f>
        <v>PIX</v>
      </c>
      <c r="J909" s="86" t="s">
        <v>1360</v>
      </c>
      <c r="K909" s="86" t="str">
        <f>IF(AND(A909="",D909="",E909="",F909=""),"",IF(D909="","SEM CATEGORIA",IF(E909="","SEM SUBCATEGORIA",IF(COUNTIFS(CADASTROS!$L$7:$L$93,D909,CADASTROS!$D$7:$D$93,E909)=0,"INCOMPATÍVEL","OK"))))</f>
        <v>SEM CATEGORIA</v>
      </c>
    </row>
    <row r="910" spans="1:11" ht="30" hidden="1" customHeight="1" x14ac:dyDescent="0.25">
      <c r="A910" s="86" t="s">
        <v>2276</v>
      </c>
      <c r="B910" s="85">
        <f>IF(A910="","",IF(INDEX(EXTRATO!$C$2:$C$3000,MATCH($A910,EXTRATO!$A$2:$A$3000,0))="","",INDEX(EXTRATO!$C$2:$C$3000,MATCH($A910,EXTRATO!$A$2:$A$3000,0))))</f>
        <v>46240</v>
      </c>
      <c r="C910" s="86">
        <f t="shared" si="16"/>
        <v>8</v>
      </c>
      <c r="D910" s="81"/>
      <c r="E910" s="79"/>
      <c r="F910" s="80">
        <v>61.99</v>
      </c>
      <c r="G910" s="81" t="s">
        <v>1156</v>
      </c>
      <c r="H910" s="86" t="str">
        <f>IF(A910="","",IF(INDEX(EXTRATO!$F$2:$F$3000,MATCH($A910,EXTRATO!$A$2:$A$3000,0))="","",INDEX(EXTRATO!$F$2:$F$3000,MATCH($A910,EXTRATO!$A$2:$A$3000,0))))</f>
        <v>SAÍDA</v>
      </c>
      <c r="I910" s="88" t="str">
        <f>IF(A910="","",IF(INDEX(EXTRATO!$H$2:$H$3000,MATCH($A910,EXTRATO!$A$2:$A$3000,0))="","",INDEX(EXTRATO!$H$2:$H$3000,MATCH($A910,EXTRATO!$A$2:$A$3000,0))))</f>
        <v>MARKETPLACE MERCADO LIVRE</v>
      </c>
      <c r="J910" s="86" t="s">
        <v>1360</v>
      </c>
      <c r="K910" s="86" t="str">
        <f>IF(AND(A910="",D910="",E910="",F910=""),"",IF(D910="","SEM CATEGORIA",IF(E910="","SEM SUBCATEGORIA",IF(COUNTIFS(CADASTROS!$L$7:$L$93,D910,CADASTROS!$D$7:$D$93,E910)=0,"INCOMPATÍVEL","OK"))))</f>
        <v>SEM CATEGORIA</v>
      </c>
    </row>
    <row r="911" spans="1:11" ht="30" hidden="1" customHeight="1" x14ac:dyDescent="0.25">
      <c r="A911" s="86" t="s">
        <v>2277</v>
      </c>
      <c r="B911" s="85">
        <f>IF(A911="","",IF(INDEX(EXTRATO!$C$2:$C$3000,MATCH($A911,EXTRATO!$A$2:$A$3000,0))="","",INDEX(EXTRATO!$C$2:$C$3000,MATCH($A911,EXTRATO!$A$2:$A$3000,0))))</f>
        <v>46240</v>
      </c>
      <c r="C911" s="86">
        <f t="shared" si="16"/>
        <v>8</v>
      </c>
      <c r="D911" s="81" t="s">
        <v>1311</v>
      </c>
      <c r="E911" s="79" t="s">
        <v>1376</v>
      </c>
      <c r="F911" s="80">
        <v>3266.25</v>
      </c>
      <c r="G911" s="81" t="s">
        <v>1161</v>
      </c>
      <c r="H911" s="86" t="str">
        <f>IF(A911="","",IF(INDEX(EXTRATO!$F$2:$F$3000,MATCH($A911,EXTRATO!$A$2:$A$3000,0))="","",INDEX(EXTRATO!$F$2:$F$3000,MATCH($A911,EXTRATO!$A$2:$A$3000,0))))</f>
        <v>SAÍDA</v>
      </c>
      <c r="I911" s="88" t="str">
        <f>IF(A911="","",IF(INDEX(EXTRATO!$H$2:$H$3000,MATCH($A911,EXTRATO!$A$2:$A$3000,0))="","",INDEX(EXTRATO!$H$2:$H$3000,MATCH($A911,EXTRATO!$A$2:$A$3000,0))))</f>
        <v>NIPRO</v>
      </c>
      <c r="J911" s="86" t="s">
        <v>1565</v>
      </c>
      <c r="K911" s="86" t="str">
        <f>IF(AND(A911="",D911="",E911="",F911=""),"",IF(D911="","SEM CATEGORIA",IF(E911="","SEM SUBCATEGORIA",IF(COUNTIFS(CADASTROS!$L$7:$L$93,D911,CADASTROS!$D$7:$D$93,E911)=0,"INCOMPATÍVEL","OK"))))</f>
        <v>OK</v>
      </c>
    </row>
    <row r="912" spans="1:11" ht="30" hidden="1" customHeight="1" x14ac:dyDescent="0.25">
      <c r="A912" s="86" t="s">
        <v>2278</v>
      </c>
      <c r="B912" s="85">
        <f>IF(A912="","",IF(INDEX(EXTRATO!$C$2:$C$3000,MATCH($A912,EXTRATO!$A$2:$A$3000,0))="","",INDEX(EXTRATO!$C$2:$C$3000,MATCH($A912,EXTRATO!$A$2:$A$3000,0))))</f>
        <v>46240</v>
      </c>
      <c r="C912" s="86">
        <f t="shared" si="16"/>
        <v>8</v>
      </c>
      <c r="D912" s="81" t="s">
        <v>1311</v>
      </c>
      <c r="E912" s="79" t="s">
        <v>1312</v>
      </c>
      <c r="F912" s="80">
        <v>340</v>
      </c>
      <c r="G912" s="81" t="s">
        <v>2148</v>
      </c>
      <c r="H912" s="86" t="str">
        <f>IF(A912="","",IF(INDEX(EXTRATO!$F$2:$F$3000,MATCH($A912,EXTRATO!$A$2:$A$3000,0))="","",INDEX(EXTRATO!$F$2:$F$3000,MATCH($A912,EXTRATO!$A$2:$A$3000,0))))</f>
        <v>SAÍDA</v>
      </c>
      <c r="I912" s="88" t="str">
        <f>IF(A912="","",IF(INDEX(EXTRATO!$H$2:$H$3000,MATCH($A912,EXTRATO!$A$2:$A$3000,0))="","",INDEX(EXTRATO!$H$2:$H$3000,MATCH($A912,EXTRATO!$A$2:$A$3000,0))))</f>
        <v>BIOCOMPANY</v>
      </c>
      <c r="J912" s="86" t="s">
        <v>1360</v>
      </c>
      <c r="K912" s="86" t="str">
        <f>IF(AND(A912="",D912="",E912="",F912=""),"",IF(D912="","SEM CATEGORIA",IF(E912="","SEM SUBCATEGORIA",IF(COUNTIFS(CADASTROS!$L$7:$L$93,D912,CADASTROS!$D$7:$D$93,E912)=0,"INCOMPATÍVEL","OK"))))</f>
        <v>OK</v>
      </c>
    </row>
    <row r="913" spans="1:11" ht="30" hidden="1" customHeight="1" x14ac:dyDescent="0.25">
      <c r="A913" s="86" t="s">
        <v>2278</v>
      </c>
      <c r="B913" s="85">
        <f>IF(A913="","",IF(INDEX(EXTRATO!$C$2:$C$3000,MATCH($A913,EXTRATO!$A$2:$A$3000,0))="","",INDEX(EXTRATO!$C$2:$C$3000,MATCH($A913,EXTRATO!$A$2:$A$3000,0))))</f>
        <v>46240</v>
      </c>
      <c r="C913" s="86">
        <f t="shared" si="16"/>
        <v>8</v>
      </c>
      <c r="D913" s="81" t="s">
        <v>1311</v>
      </c>
      <c r="E913" s="79" t="s">
        <v>1318</v>
      </c>
      <c r="F913" s="80">
        <v>2220</v>
      </c>
      <c r="G913" s="81" t="s">
        <v>2838</v>
      </c>
      <c r="H913" s="86" t="str">
        <f>IF(A913="","",IF(INDEX(EXTRATO!$F$2:$F$3000,MATCH($A913,EXTRATO!$A$2:$A$3000,0))="","",INDEX(EXTRATO!$F$2:$F$3000,MATCH($A913,EXTRATO!$A$2:$A$3000,0))))</f>
        <v>SAÍDA</v>
      </c>
      <c r="I913" s="88" t="str">
        <f>IF(A913="","",IF(INDEX(EXTRATO!$H$2:$H$3000,MATCH($A913,EXTRATO!$A$2:$A$3000,0))="","",INDEX(EXTRATO!$H$2:$H$3000,MATCH($A913,EXTRATO!$A$2:$A$3000,0))))</f>
        <v>BIOCOMPANY</v>
      </c>
      <c r="J913" s="86" t="s">
        <v>1360</v>
      </c>
      <c r="K913" s="86" t="str">
        <f>IF(AND(A913="",D913="",E913="",F913=""),"",IF(D913="","SEM CATEGORIA",IF(E913="","SEM SUBCATEGORIA",IF(COUNTIFS(CADASTROS!$L$7:$L$93,D913,CADASTROS!$D$7:$D$93,E913)=0,"INCOMPATÍVEL","OK"))))</f>
        <v>OK</v>
      </c>
    </row>
    <row r="914" spans="1:11" ht="30" hidden="1" customHeight="1" x14ac:dyDescent="0.25">
      <c r="A914" s="86" t="s">
        <v>2279</v>
      </c>
      <c r="B914" s="85">
        <f>IF(A914="","",IF(INDEX(EXTRATO!$C$2:$C$3000,MATCH($A914,EXTRATO!$A$2:$A$3000,0))="","",INDEX(EXTRATO!$C$2:$C$3000,MATCH($A914,EXTRATO!$A$2:$A$3000,0))))</f>
        <v>46241</v>
      </c>
      <c r="C914" s="86">
        <f t="shared" si="16"/>
        <v>8</v>
      </c>
      <c r="D914" s="81" t="s">
        <v>1367</v>
      </c>
      <c r="E914" s="79" t="s">
        <v>1479</v>
      </c>
      <c r="F914" s="80">
        <v>72727.03</v>
      </c>
      <c r="G914" s="81" t="s">
        <v>1164</v>
      </c>
      <c r="H914" s="86" t="str">
        <f>IF(A914="","",IF(INDEX(EXTRATO!$F$2:$F$3000,MATCH($A914,EXTRATO!$A$2:$A$3000,0))="","",INDEX(EXTRATO!$F$2:$F$3000,MATCH($A914,EXTRATO!$A$2:$A$3000,0))))</f>
        <v>SAÍDA</v>
      </c>
      <c r="I914" s="88" t="str">
        <f>IF(A914="","",IF(INDEX(EXTRATO!$H$2:$H$3000,MATCH($A914,EXTRATO!$A$2:$A$3000,0))="","",INDEX(EXTRATO!$H$2:$H$3000,MATCH($A914,EXTRATO!$A$2:$A$3000,0))))</f>
        <v>FOLHA DE PAGAMENTO</v>
      </c>
      <c r="J914" s="86" t="s">
        <v>1360</v>
      </c>
      <c r="K914" s="86" t="str">
        <f>IF(AND(A914="",D914="",E914="",F914=""),"",IF(D914="","SEM CATEGORIA",IF(E914="","SEM SUBCATEGORIA",IF(COUNTIFS(CADASTROS!$L$7:$L$93,D914,CADASTROS!$D$7:$D$93,E914)=0,"INCOMPATÍVEL","OK"))))</f>
        <v>OK</v>
      </c>
    </row>
    <row r="915" spans="1:11" ht="30" hidden="1" customHeight="1" x14ac:dyDescent="0.25">
      <c r="A915" s="86" t="s">
        <v>2280</v>
      </c>
      <c r="B915" s="85">
        <f>IF(A915="","",IF(INDEX(EXTRATO!$C$2:$C$3000,MATCH($A915,EXTRATO!$A$2:$A$3000,0))="","",INDEX(EXTRATO!$C$2:$C$3000,MATCH($A915,EXTRATO!$A$2:$A$3000,0))))</f>
        <v>46241</v>
      </c>
      <c r="C915" s="86">
        <f t="shared" si="16"/>
        <v>8</v>
      </c>
      <c r="D915" s="81" t="s">
        <v>1454</v>
      </c>
      <c r="E915" s="79" t="s">
        <v>2760</v>
      </c>
      <c r="F915" s="80">
        <v>219.9</v>
      </c>
      <c r="G915" s="81" t="s">
        <v>1165</v>
      </c>
      <c r="H915" s="86" t="str">
        <f>IF(A915="","",IF(INDEX(EXTRATO!$F$2:$F$3000,MATCH($A915,EXTRATO!$A$2:$A$3000,0))="","",INDEX(EXTRATO!$F$2:$F$3000,MATCH($A915,EXTRATO!$A$2:$A$3000,0))))</f>
        <v>SAÍDA</v>
      </c>
      <c r="I915" s="88" t="str">
        <f>IF(A915="","",IF(INDEX(EXTRATO!$H$2:$H$3000,MATCH($A915,EXTRATO!$A$2:$A$3000,0))="","",INDEX(EXTRATO!$H$2:$H$3000,MATCH($A915,EXTRATO!$A$2:$A$3000,0))))</f>
        <v>A POTIGUAR</v>
      </c>
      <c r="J915" s="86" t="s">
        <v>1360</v>
      </c>
      <c r="K915" s="86" t="str">
        <f>IF(AND(A915="",D915="",E915="",F915=""),"",IF(D915="","SEM CATEGORIA",IF(E915="","SEM SUBCATEGORIA",IF(COUNTIFS(CADASTROS!$L$7:$L$93,D915,CADASTROS!$D$7:$D$93,E915)=0,"INCOMPATÍVEL","OK"))))</f>
        <v>OK</v>
      </c>
    </row>
    <row r="916" spans="1:11" ht="30" hidden="1" customHeight="1" x14ac:dyDescent="0.25">
      <c r="A916" s="86" t="s">
        <v>2281</v>
      </c>
      <c r="B916" s="85">
        <f>IF(A916="","",IF(INDEX(EXTRATO!$C$2:$C$3000,MATCH($A916,EXTRATO!$A$2:$A$3000,0))="","",INDEX(EXTRATO!$C$2:$C$3000,MATCH($A916,EXTRATO!$A$2:$A$3000,0))))</f>
        <v>46241</v>
      </c>
      <c r="C916" s="86">
        <f t="shared" si="16"/>
        <v>8</v>
      </c>
      <c r="D916" s="81" t="s">
        <v>1330</v>
      </c>
      <c r="E916" s="79" t="s">
        <v>1352</v>
      </c>
      <c r="F916" s="80">
        <v>41.63</v>
      </c>
      <c r="G916" s="81" t="s">
        <v>276</v>
      </c>
      <c r="H916" s="86" t="str">
        <f>IF(A916="","",IF(INDEX(EXTRATO!$F$2:$F$3000,MATCH($A916,EXTRATO!$A$2:$A$3000,0))="","",INDEX(EXTRATO!$F$2:$F$3000,MATCH($A916,EXTRATO!$A$2:$A$3000,0))))</f>
        <v>SAÍDA</v>
      </c>
      <c r="I916" s="88" t="str">
        <f>IF(A916="","",IF(INDEX(EXTRATO!$H$2:$H$3000,MATCH($A916,EXTRATO!$A$2:$A$3000,0))="","",INDEX(EXTRATO!$H$2:$H$3000,MATCH($A916,EXTRATO!$A$2:$A$3000,0))))</f>
        <v>TARIFA BANCÁRIA</v>
      </c>
      <c r="J916" s="86" t="s">
        <v>1565</v>
      </c>
      <c r="K916" s="86" t="str">
        <f>IF(AND(A916="",D916="",E916="",F916=""),"",IF(D916="","SEM CATEGORIA",IF(E916="","SEM SUBCATEGORIA",IF(COUNTIFS(CADASTROS!$L$7:$L$93,D916,CADASTROS!$D$7:$D$93,E916)=0,"INCOMPATÍVEL","OK"))))</f>
        <v>OK</v>
      </c>
    </row>
    <row r="917" spans="1:11" ht="30" hidden="1" customHeight="1" x14ac:dyDescent="0.25">
      <c r="A917" s="86" t="s">
        <v>2282</v>
      </c>
      <c r="B917" s="85">
        <f>IF(A917="","",IF(INDEX(EXTRATO!$C$2:$C$3000,MATCH($A917,EXTRATO!$A$2:$A$3000,0))="","",INDEX(EXTRATO!$C$2:$C$3000,MATCH($A917,EXTRATO!$A$2:$A$3000,0))))</f>
        <v>46241</v>
      </c>
      <c r="C917" s="86">
        <f t="shared" si="16"/>
        <v>8</v>
      </c>
      <c r="D917" s="81" t="s">
        <v>1330</v>
      </c>
      <c r="E917" s="79" t="s">
        <v>1331</v>
      </c>
      <c r="F917" s="80">
        <v>1030.94</v>
      </c>
      <c r="G917" s="81" t="s">
        <v>1168</v>
      </c>
      <c r="H917" s="86" t="str">
        <f>IF(A917="","",IF(INDEX(EXTRATO!$F$2:$F$3000,MATCH($A917,EXTRATO!$A$2:$A$3000,0))="","",INDEX(EXTRATO!$F$2:$F$3000,MATCH($A917,EXTRATO!$A$2:$A$3000,0))))</f>
        <v>SAÍDA</v>
      </c>
      <c r="I917" s="88" t="str">
        <f>IF(A917="","",IF(INDEX(EXTRATO!$H$2:$H$3000,MATCH($A917,EXTRATO!$A$2:$A$3000,0))="","",INDEX(EXTRATO!$H$2:$H$3000,MATCH($A917,EXTRATO!$A$2:$A$3000,0))))</f>
        <v>RICEK</v>
      </c>
      <c r="J917" s="86" t="s">
        <v>1360</v>
      </c>
      <c r="K917" s="86" t="str">
        <f>IF(AND(A917="",D917="",E917="",F917=""),"",IF(D917="","SEM CATEGORIA",IF(E917="","SEM SUBCATEGORIA",IF(COUNTIFS(CADASTROS!$L$7:$L$93,D917,CADASTROS!$D$7:$D$93,E917)=0,"INCOMPATÍVEL","OK"))))</f>
        <v>OK</v>
      </c>
    </row>
    <row r="918" spans="1:11" ht="30" hidden="1" customHeight="1" x14ac:dyDescent="0.25">
      <c r="A918" s="86" t="s">
        <v>2283</v>
      </c>
      <c r="B918" s="85">
        <f>IF(A918="","",IF(INDEX(EXTRATO!$C$2:$C$3000,MATCH($A918,EXTRATO!$A$2:$A$3000,0))="","",INDEX(EXTRATO!$C$2:$C$3000,MATCH($A918,EXTRATO!$A$2:$A$3000,0))))</f>
        <v>46244</v>
      </c>
      <c r="C918" s="86">
        <f t="shared" si="16"/>
        <v>8</v>
      </c>
      <c r="D918" s="81" t="s">
        <v>1454</v>
      </c>
      <c r="E918" s="79" t="s">
        <v>1521</v>
      </c>
      <c r="F918" s="80">
        <v>1935.4</v>
      </c>
      <c r="G918" s="81" t="s">
        <v>1171</v>
      </c>
      <c r="H918" s="86" t="str">
        <f>IF(A918="","",IF(INDEX(EXTRATO!$F$2:$F$3000,MATCH($A918,EXTRATO!$A$2:$A$3000,0))="","",INDEX(EXTRATO!$F$2:$F$3000,MATCH($A918,EXTRATO!$A$2:$A$3000,0))))</f>
        <v>SAÍDA</v>
      </c>
      <c r="I918" s="88" t="str">
        <f>IF(A918="","",IF(INDEX(EXTRATO!$H$2:$H$3000,MATCH($A918,EXTRATO!$A$2:$A$3000,0))="","",INDEX(EXTRATO!$H$2:$H$3000,MATCH($A918,EXTRATO!$A$2:$A$3000,0))))</f>
        <v>BANCO VOLKSWAGEN</v>
      </c>
      <c r="J918" s="86" t="s">
        <v>1565</v>
      </c>
      <c r="K918" s="86" t="str">
        <f>IF(AND(A918="",D918="",E918="",F918=""),"",IF(D918="","SEM CATEGORIA",IF(E918="","SEM SUBCATEGORIA",IF(COUNTIFS(CADASTROS!$L$7:$L$93,D918,CADASTROS!$D$7:$D$93,E918)=0,"INCOMPATÍVEL","OK"))))</f>
        <v>OK</v>
      </c>
    </row>
    <row r="919" spans="1:11" ht="30" hidden="1" customHeight="1" x14ac:dyDescent="0.25">
      <c r="A919" s="86" t="s">
        <v>2284</v>
      </c>
      <c r="B919" s="85">
        <f>IF(A919="","",IF(INDEX(EXTRATO!$C$2:$C$3000,MATCH($A919,EXTRATO!$A$2:$A$3000,0))="","",INDEX(EXTRATO!$C$2:$C$3000,MATCH($A919,EXTRATO!$A$2:$A$3000,0))))</f>
        <v>46244</v>
      </c>
      <c r="C919" s="86">
        <f t="shared" si="16"/>
        <v>8</v>
      </c>
      <c r="D919" s="81" t="s">
        <v>1311</v>
      </c>
      <c r="E919" s="79" t="s">
        <v>1342</v>
      </c>
      <c r="F919" s="80">
        <v>7251.45</v>
      </c>
      <c r="G919" s="81" t="s">
        <v>80</v>
      </c>
      <c r="H919" s="86" t="str">
        <f>IF(A919="","",IF(INDEX(EXTRATO!$F$2:$F$3000,MATCH($A919,EXTRATO!$A$2:$A$3000,0))="","",INDEX(EXTRATO!$F$2:$F$3000,MATCH($A919,EXTRATO!$A$2:$A$3000,0))))</f>
        <v>SAÍDA</v>
      </c>
      <c r="I919" s="88" t="str">
        <f>IF(A919="","",IF(INDEX(EXTRATO!$H$2:$H$3000,MATCH($A919,EXTRATO!$A$2:$A$3000,0))="","",INDEX(EXTRATO!$H$2:$H$3000,MATCH($A919,EXTRATO!$A$2:$A$3000,0))))</f>
        <v>CRISTALIA PRODUTOS</v>
      </c>
      <c r="J919" s="86" t="s">
        <v>1565</v>
      </c>
      <c r="K919" s="86" t="str">
        <f>IF(AND(A919="",D919="",E919="",F919=""),"",IF(D919="","SEM CATEGORIA",IF(E919="","SEM SUBCATEGORIA",IF(COUNTIFS(CADASTROS!$L$7:$L$93,D919,CADASTROS!$D$7:$D$93,E919)=0,"INCOMPATÍVEL","OK"))))</f>
        <v>OK</v>
      </c>
    </row>
    <row r="920" spans="1:11" ht="30" hidden="1" customHeight="1" x14ac:dyDescent="0.25">
      <c r="A920" s="86" t="s">
        <v>2285</v>
      </c>
      <c r="B920" s="85">
        <f>IF(A920="","",IF(INDEX(EXTRATO!$C$2:$C$3000,MATCH($A920,EXTRATO!$A$2:$A$3000,0))="","",INDEX(EXTRATO!$C$2:$C$3000,MATCH($A920,EXTRATO!$A$2:$A$3000,0))))</f>
        <v>46244</v>
      </c>
      <c r="C920" s="86">
        <f t="shared" si="16"/>
        <v>8</v>
      </c>
      <c r="D920" s="81" t="s">
        <v>1311</v>
      </c>
      <c r="E920" s="79" t="s">
        <v>1312</v>
      </c>
      <c r="F920" s="80">
        <v>1909.4</v>
      </c>
      <c r="G920" s="81" t="s">
        <v>398</v>
      </c>
      <c r="H920" s="86" t="str">
        <f>IF(A920="","",IF(INDEX(EXTRATO!$F$2:$F$3000,MATCH($A920,EXTRATO!$A$2:$A$3000,0))="","",INDEX(EXTRATO!$F$2:$F$3000,MATCH($A920,EXTRATO!$A$2:$A$3000,0))))</f>
        <v>SAÍDA</v>
      </c>
      <c r="I920" s="88" t="str">
        <f>IF(A920="","",IF(INDEX(EXTRATO!$H$2:$H$3000,MATCH($A920,EXTRATO!$A$2:$A$3000,0))="","",INDEX(EXTRATO!$H$2:$H$3000,MATCH($A920,EXTRATO!$A$2:$A$3000,0))))</f>
        <v>REMORA HOSPITALAR</v>
      </c>
      <c r="J920" s="86" t="s">
        <v>1565</v>
      </c>
      <c r="K920" s="86" t="str">
        <f>IF(AND(A920="",D920="",E920="",F920=""),"",IF(D920="","SEM CATEGORIA",IF(E920="","SEM SUBCATEGORIA",IF(COUNTIFS(CADASTROS!$L$7:$L$93,D920,CADASTROS!$D$7:$D$93,E920)=0,"INCOMPATÍVEL","OK"))))</f>
        <v>OK</v>
      </c>
    </row>
    <row r="921" spans="1:11" ht="30" hidden="1" customHeight="1" x14ac:dyDescent="0.25">
      <c r="A921" s="86" t="s">
        <v>2286</v>
      </c>
      <c r="B921" s="85">
        <f>IF(A921="","",IF(INDEX(EXTRATO!$C$2:$C$3000,MATCH($A921,EXTRATO!$A$2:$A$3000,0))="","",INDEX(EXTRATO!$C$2:$C$3000,MATCH($A921,EXTRATO!$A$2:$A$3000,0))))</f>
        <v>46244</v>
      </c>
      <c r="C921" s="86">
        <f t="shared" si="16"/>
        <v>8</v>
      </c>
      <c r="D921" s="81" t="s">
        <v>1454</v>
      </c>
      <c r="E921" s="79" t="s">
        <v>1473</v>
      </c>
      <c r="F921" s="80">
        <v>8208.5</v>
      </c>
      <c r="G921" s="81" t="s">
        <v>1174</v>
      </c>
      <c r="H921" s="86" t="str">
        <f>IF(A921="","",IF(INDEX(EXTRATO!$F$2:$F$3000,MATCH($A921,EXTRATO!$A$2:$A$3000,0))="","",INDEX(EXTRATO!$F$2:$F$3000,MATCH($A921,EXTRATO!$A$2:$A$3000,0))))</f>
        <v>SAÍDA</v>
      </c>
      <c r="I921" s="88" t="str">
        <f>IF(A921="","",IF(INDEX(EXTRATO!$H$2:$H$3000,MATCH($A921,EXTRATO!$A$2:$A$3000,0))="","",INDEX(EXTRATO!$H$2:$H$3000,MATCH($A921,EXTRATO!$A$2:$A$3000,0))))</f>
        <v>NIPRO</v>
      </c>
      <c r="J921" s="86" t="s">
        <v>1565</v>
      </c>
      <c r="K921" s="86" t="str">
        <f>IF(AND(A921="",D921="",E921="",F921=""),"",IF(D921="","SEM CATEGORIA",IF(E921="","SEM SUBCATEGORIA",IF(COUNTIFS(CADASTROS!$L$7:$L$93,D921,CADASTROS!$D$7:$D$93,E921)=0,"INCOMPATÍVEL","OK"))))</f>
        <v>OK</v>
      </c>
    </row>
    <row r="922" spans="1:11" ht="30" hidden="1" customHeight="1" x14ac:dyDescent="0.25">
      <c r="A922" s="86" t="s">
        <v>2287</v>
      </c>
      <c r="B922" s="85">
        <f>IF(A922="","",IF(INDEX(EXTRATO!$C$2:$C$3000,MATCH($A922,EXTRATO!$A$2:$A$3000,0))="","",INDEX(EXTRATO!$C$2:$C$3000,MATCH($A922,EXTRATO!$A$2:$A$3000,0))))</f>
        <v>46244</v>
      </c>
      <c r="C922" s="86">
        <f t="shared" si="16"/>
        <v>8</v>
      </c>
      <c r="D922" s="81" t="s">
        <v>1330</v>
      </c>
      <c r="E922" s="79" t="s">
        <v>1379</v>
      </c>
      <c r="F922" s="80">
        <v>149.9</v>
      </c>
      <c r="G922" s="81" t="s">
        <v>119</v>
      </c>
      <c r="H922" s="86" t="str">
        <f>IF(A922="","",IF(INDEX(EXTRATO!$F$2:$F$3000,MATCH($A922,EXTRATO!$A$2:$A$3000,0))="","",INDEX(EXTRATO!$F$2:$F$3000,MATCH($A922,EXTRATO!$A$2:$A$3000,0))))</f>
        <v>SAÍDA</v>
      </c>
      <c r="I922" s="88" t="str">
        <f>IF(A922="","",IF(INDEX(EXTRATO!$H$2:$H$3000,MATCH($A922,EXTRATO!$A$2:$A$3000,0))="","",INDEX(EXTRATO!$H$2:$H$3000,MATCH($A922,EXTRATO!$A$2:$A$3000,0))))</f>
        <v>MARANET TELECOM</v>
      </c>
      <c r="J922" s="86" t="s">
        <v>1565</v>
      </c>
      <c r="K922" s="86" t="str">
        <f>IF(AND(A922="",D922="",E922="",F922=""),"",IF(D922="","SEM CATEGORIA",IF(E922="","SEM SUBCATEGORIA",IF(COUNTIFS(CADASTROS!$L$7:$L$93,D922,CADASTROS!$D$7:$D$93,E922)=0,"INCOMPATÍVEL","OK"))))</f>
        <v>OK</v>
      </c>
    </row>
    <row r="923" spans="1:11" ht="30" hidden="1" customHeight="1" x14ac:dyDescent="0.25">
      <c r="A923" s="86" t="s">
        <v>2288</v>
      </c>
      <c r="B923" s="85">
        <f>IF(A923="","",IF(INDEX(EXTRATO!$C$2:$C$3000,MATCH($A923,EXTRATO!$A$2:$A$3000,0))="","",INDEX(EXTRATO!$C$2:$C$3000,MATCH($A923,EXTRATO!$A$2:$A$3000,0))))</f>
        <v>46244</v>
      </c>
      <c r="C923" s="86">
        <f t="shared" si="16"/>
        <v>8</v>
      </c>
      <c r="D923" s="81" t="s">
        <v>1311</v>
      </c>
      <c r="E923" s="79" t="s">
        <v>1312</v>
      </c>
      <c r="F923" s="80">
        <v>390.84</v>
      </c>
      <c r="G923" s="81" t="s">
        <v>1176</v>
      </c>
      <c r="H923" s="86" t="str">
        <f>IF(A923="","",IF(INDEX(EXTRATO!$F$2:$F$3000,MATCH($A923,EXTRATO!$A$2:$A$3000,0))="","",INDEX(EXTRATO!$F$2:$F$3000,MATCH($A923,EXTRATO!$A$2:$A$3000,0))))</f>
        <v>SAÍDA</v>
      </c>
      <c r="I923" s="88" t="str">
        <f>IF(A923="","",IF(INDEX(EXTRATO!$H$2:$H$3000,MATCH($A923,EXTRATO!$A$2:$A$3000,0))="","",INDEX(EXTRATO!$H$2:$H$3000,MATCH($A923,EXTRATO!$A$2:$A$3000,0))))</f>
        <v>ULTRAMEGA DISTRIBUIDORA</v>
      </c>
      <c r="J923" s="86" t="s">
        <v>1360</v>
      </c>
      <c r="K923" s="86" t="str">
        <f>IF(AND(A923="",D923="",E923="",F923=""),"",IF(D923="","SEM CATEGORIA",IF(E923="","SEM SUBCATEGORIA",IF(COUNTIFS(CADASTROS!$L$7:$L$93,D923,CADASTROS!$D$7:$D$93,E923)=0,"INCOMPATÍVEL","OK"))))</f>
        <v>OK</v>
      </c>
    </row>
    <row r="924" spans="1:11" ht="30" hidden="1" customHeight="1" x14ac:dyDescent="0.25">
      <c r="A924" s="86" t="s">
        <v>2289</v>
      </c>
      <c r="B924" s="85">
        <f>IF(A924="","",IF(INDEX(EXTRATO!$C$2:$C$3000,MATCH($A924,EXTRATO!$A$2:$A$3000,0))="","",INDEX(EXTRATO!$C$2:$C$3000,MATCH($A924,EXTRATO!$A$2:$A$3000,0))))</f>
        <v>46244</v>
      </c>
      <c r="C924" s="86">
        <f t="shared" si="16"/>
        <v>8</v>
      </c>
      <c r="D924" s="81" t="s">
        <v>1311</v>
      </c>
      <c r="E924" s="79" t="s">
        <v>1312</v>
      </c>
      <c r="F924" s="80">
        <v>1126.52</v>
      </c>
      <c r="G924" s="81" t="s">
        <v>1177</v>
      </c>
      <c r="H924" s="86" t="str">
        <f>IF(A924="","",IF(INDEX(EXTRATO!$F$2:$F$3000,MATCH($A924,EXTRATO!$A$2:$A$3000,0))="","",INDEX(EXTRATO!$F$2:$F$3000,MATCH($A924,EXTRATO!$A$2:$A$3000,0))))</f>
        <v>SAÍDA</v>
      </c>
      <c r="I924" s="88" t="str">
        <f>IF(A924="","",IF(INDEX(EXTRATO!$H$2:$H$3000,MATCH($A924,EXTRATO!$A$2:$A$3000,0))="","",INDEX(EXTRATO!$H$2:$H$3000,MATCH($A924,EXTRATO!$A$2:$A$3000,0))))</f>
        <v>ULTRAMEGA DISTRIBUIDORA</v>
      </c>
      <c r="J924" s="86" t="s">
        <v>1360</v>
      </c>
      <c r="K924" s="86" t="str">
        <f>IF(AND(A924="",D924="",E924="",F924=""),"",IF(D924="","SEM CATEGORIA",IF(E924="","SEM SUBCATEGORIA",IF(COUNTIFS(CADASTROS!$L$7:$L$93,D924,CADASTROS!$D$7:$D$93,E924)=0,"INCOMPATÍVEL","OK"))))</f>
        <v>OK</v>
      </c>
    </row>
    <row r="925" spans="1:11" ht="30" hidden="1" customHeight="1" x14ac:dyDescent="0.25">
      <c r="A925" s="86" t="s">
        <v>2290</v>
      </c>
      <c r="B925" s="85">
        <f>IF(A925="","",IF(INDEX(EXTRATO!$C$2:$C$3000,MATCH($A925,EXTRATO!$A$2:$A$3000,0))="","",INDEX(EXTRATO!$C$2:$C$3000,MATCH($A925,EXTRATO!$A$2:$A$3000,0))))</f>
        <v>46244</v>
      </c>
      <c r="C925" s="86">
        <f t="shared" si="16"/>
        <v>8</v>
      </c>
      <c r="D925" s="81" t="s">
        <v>1330</v>
      </c>
      <c r="E925" s="79" t="s">
        <v>1400</v>
      </c>
      <c r="F925" s="80">
        <v>1600</v>
      </c>
      <c r="G925" s="81" t="s">
        <v>1178</v>
      </c>
      <c r="H925" s="86" t="str">
        <f>IF(A925="","",IF(INDEX(EXTRATO!$F$2:$F$3000,MATCH($A925,EXTRATO!$A$2:$A$3000,0))="","",INDEX(EXTRATO!$F$2:$F$3000,MATCH($A925,EXTRATO!$A$2:$A$3000,0))))</f>
        <v>SAÍDA</v>
      </c>
      <c r="I925" s="88" t="str">
        <f>IF(A925="","",IF(INDEX(EXTRATO!$H$2:$H$3000,MATCH($A925,EXTRATO!$A$2:$A$3000,0))="","",INDEX(EXTRATO!$H$2:$H$3000,MATCH($A925,EXTRATO!$A$2:$A$3000,0))))</f>
        <v>BIOGREEN</v>
      </c>
      <c r="J925" s="86" t="s">
        <v>1565</v>
      </c>
      <c r="K925" s="86" t="str">
        <f>IF(AND(A925="",D925="",E925="",F925=""),"",IF(D925="","SEM CATEGORIA",IF(E925="","SEM SUBCATEGORIA",IF(COUNTIFS(CADASTROS!$L$7:$L$93,D925,CADASTROS!$D$7:$D$93,E925)=0,"INCOMPATÍVEL","OK"))))</f>
        <v>OK</v>
      </c>
    </row>
    <row r="926" spans="1:11" ht="30" hidden="1" customHeight="1" x14ac:dyDescent="0.25">
      <c r="A926" s="86" t="s">
        <v>2291</v>
      </c>
      <c r="B926" s="85">
        <f>IF(A926="","",IF(INDEX(EXTRATO!$C$2:$C$3000,MATCH($A926,EXTRATO!$A$2:$A$3000,0))="","",INDEX(EXTRATO!$C$2:$C$3000,MATCH($A926,EXTRATO!$A$2:$A$3000,0))))</f>
        <v>46244</v>
      </c>
      <c r="C926" s="86">
        <f t="shared" si="16"/>
        <v>8</v>
      </c>
      <c r="D926" s="81" t="s">
        <v>1330</v>
      </c>
      <c r="E926" s="79" t="s">
        <v>1352</v>
      </c>
      <c r="F926" s="80">
        <v>275</v>
      </c>
      <c r="G926" s="81" t="s">
        <v>297</v>
      </c>
      <c r="H926" s="86" t="str">
        <f>IF(A926="","",IF(INDEX(EXTRATO!$F$2:$F$3000,MATCH($A926,EXTRATO!$A$2:$A$3000,0))="","",INDEX(EXTRATO!$F$2:$F$3000,MATCH($A926,EXTRATO!$A$2:$A$3000,0))))</f>
        <v>SAÍDA</v>
      </c>
      <c r="I926" s="88" t="str">
        <f>IF(A926="","",IF(INDEX(EXTRATO!$H$2:$H$3000,MATCH($A926,EXTRATO!$A$2:$A$3000,0))="","",INDEX(EXTRATO!$H$2:$H$3000,MATCH($A926,EXTRATO!$A$2:$A$3000,0))))</f>
        <v>TARIFA PACOTE DE SERVIÇOS</v>
      </c>
      <c r="J926" s="86" t="s">
        <v>1565</v>
      </c>
      <c r="K926" s="86" t="str">
        <f>IF(AND(A926="",D926="",E926="",F926=""),"",IF(D926="","SEM CATEGORIA",IF(E926="","SEM SUBCATEGORIA",IF(COUNTIFS(CADASTROS!$L$7:$L$93,D926,CADASTROS!$D$7:$D$93,E926)=0,"INCOMPATÍVEL","OK"))))</f>
        <v>OK</v>
      </c>
    </row>
    <row r="927" spans="1:11" ht="30" hidden="1" customHeight="1" x14ac:dyDescent="0.25">
      <c r="A927" s="86" t="s">
        <v>2292</v>
      </c>
      <c r="B927" s="85">
        <f>IF(A927="","",IF(INDEX(EXTRATO!$C$2:$C$3000,MATCH($A927,EXTRATO!$A$2:$A$3000,0))="","",INDEX(EXTRATO!$C$2:$C$3000,MATCH($A927,EXTRATO!$A$2:$A$3000,0))))</f>
        <v>46245</v>
      </c>
      <c r="C927" s="86">
        <f t="shared" si="16"/>
        <v>8</v>
      </c>
      <c r="D927" s="81" t="s">
        <v>1305</v>
      </c>
      <c r="E927" s="79" t="s">
        <v>1339</v>
      </c>
      <c r="F927" s="80">
        <v>36168.61</v>
      </c>
      <c r="G927" s="81" t="s">
        <v>1180</v>
      </c>
      <c r="H927" s="86" t="str">
        <f>IF(A927="","",IF(INDEX(EXTRATO!$F$2:$F$3000,MATCH($A927,EXTRATO!$A$2:$A$3000,0))="","",INDEX(EXTRATO!$F$2:$F$3000,MATCH($A927,EXTRATO!$A$2:$A$3000,0))))</f>
        <v>ENTRADA</v>
      </c>
      <c r="I927" s="88" t="str">
        <f>IF(A927="","",IF(INDEX(EXTRATO!$H$2:$H$3000,MATCH($A927,EXTRATO!$A$2:$A$3000,0))="","",INDEX(EXTRATO!$H$2:$H$3000,MATCH($A927,EXTRATO!$A$2:$A$3000,0))))</f>
        <v>PISO DE ENFERMAGEM</v>
      </c>
      <c r="J927" s="86" t="s">
        <v>1307</v>
      </c>
      <c r="K927" s="86" t="str">
        <f>IF(AND(A927="",D927="",E927="",F927=""),"",IF(D927="","SEM CATEGORIA",IF(E927="","SEM SUBCATEGORIA",IF(COUNTIFS(CADASTROS!$L$7:$L$93,D927,CADASTROS!$D$7:$D$93,E927)=0,"INCOMPATÍVEL","OK"))))</f>
        <v>OK</v>
      </c>
    </row>
    <row r="928" spans="1:11" ht="30" hidden="1" customHeight="1" x14ac:dyDescent="0.25">
      <c r="A928" s="86" t="s">
        <v>2293</v>
      </c>
      <c r="B928" s="85">
        <f>IF(A928="","",IF(INDEX(EXTRATO!$C$2:$C$3000,MATCH($A928,EXTRATO!$A$2:$A$3000,0))="","",INDEX(EXTRATO!$C$2:$C$3000,MATCH($A928,EXTRATO!$A$2:$A$3000,0))))</f>
        <v>46245</v>
      </c>
      <c r="C928" s="86">
        <f t="shared" ref="C928:C959" si="17">IF(B928="","",MONTH(B928))</f>
        <v>8</v>
      </c>
      <c r="D928" s="81" t="s">
        <v>1388</v>
      </c>
      <c r="E928" s="79" t="s">
        <v>125</v>
      </c>
      <c r="F928" s="80">
        <v>31352.61</v>
      </c>
      <c r="G928" s="81" t="s">
        <v>1181</v>
      </c>
      <c r="H928" s="86" t="str">
        <f>IF(A928="","",IF(INDEX(EXTRATO!$F$2:$F$3000,MATCH($A928,EXTRATO!$A$2:$A$3000,0))="","",INDEX(EXTRATO!$F$2:$F$3000,MATCH($A928,EXTRATO!$A$2:$A$3000,0))))</f>
        <v>SAÍDA</v>
      </c>
      <c r="I928" s="88" t="str">
        <f>IF(A928="","",IF(INDEX(EXTRATO!$H$2:$H$3000,MATCH($A928,EXTRATO!$A$2:$A$3000,0))="","",INDEX(EXTRATO!$H$2:$H$3000,MATCH($A928,EXTRATO!$A$2:$A$3000,0))))</f>
        <v>ISS</v>
      </c>
      <c r="J928" s="86" t="s">
        <v>1565</v>
      </c>
      <c r="K928" s="86" t="str">
        <f>IF(AND(A928="",D928="",E928="",F928=""),"",IF(D928="","SEM CATEGORIA",IF(E928="","SEM SUBCATEGORIA",IF(COUNTIFS(CADASTROS!$L$7:$L$93,D928,CADASTROS!$D$7:$D$93,E928)=0,"INCOMPATÍVEL","OK"))))</f>
        <v>OK</v>
      </c>
    </row>
    <row r="929" spans="1:11" ht="30" hidden="1" customHeight="1" x14ac:dyDescent="0.25">
      <c r="A929" s="86" t="s">
        <v>2294</v>
      </c>
      <c r="B929" s="85">
        <f>IF(A929="","",IF(INDEX(EXTRATO!$C$2:$C$3000,MATCH($A929,EXTRATO!$A$2:$A$3000,0))="","",INDEX(EXTRATO!$C$2:$C$3000,MATCH($A929,EXTRATO!$A$2:$A$3000,0))))</f>
        <v>46245</v>
      </c>
      <c r="C929" s="86">
        <f t="shared" si="17"/>
        <v>8</v>
      </c>
      <c r="D929" s="81" t="s">
        <v>1330</v>
      </c>
      <c r="E929" s="79" t="s">
        <v>1335</v>
      </c>
      <c r="F929" s="80">
        <v>230</v>
      </c>
      <c r="G929" s="81" t="s">
        <v>1182</v>
      </c>
      <c r="H929" s="86" t="str">
        <f>IF(A929="","",IF(INDEX(EXTRATO!$F$2:$F$3000,MATCH($A929,EXTRATO!$A$2:$A$3000,0))="","",INDEX(EXTRATO!$F$2:$F$3000,MATCH($A929,EXTRATO!$A$2:$A$3000,0))))</f>
        <v>SAÍDA</v>
      </c>
      <c r="I929" s="88" t="str">
        <f>IF(A929="","",IF(INDEX(EXTRATO!$H$2:$H$3000,MATCH($A929,EXTRATO!$A$2:$A$3000,0))="","",INDEX(EXTRATO!$H$2:$H$3000,MATCH($A929,EXTRATO!$A$2:$A$3000,0))))</f>
        <v>J. V. L. NOBRE</v>
      </c>
      <c r="J929" s="86" t="s">
        <v>1360</v>
      </c>
      <c r="K929" s="86" t="str">
        <f>IF(AND(A929="",D929="",E929="",F929=""),"",IF(D929="","SEM CATEGORIA",IF(E929="","SEM SUBCATEGORIA",IF(COUNTIFS(CADASTROS!$L$7:$L$93,D929,CADASTROS!$D$7:$D$93,E929)=0,"INCOMPATÍVEL","OK"))))</f>
        <v>OK</v>
      </c>
    </row>
    <row r="930" spans="1:11" ht="30" hidden="1" customHeight="1" x14ac:dyDescent="0.25">
      <c r="A930" s="86" t="s">
        <v>2295</v>
      </c>
      <c r="B930" s="85">
        <f>IF(A930="","",IF(INDEX(EXTRATO!$C$2:$C$3000,MATCH($A930,EXTRATO!$A$2:$A$3000,0))="","",INDEX(EXTRATO!$C$2:$C$3000,MATCH($A930,EXTRATO!$A$2:$A$3000,0))))</f>
        <v>46245</v>
      </c>
      <c r="C930" s="86">
        <f t="shared" si="17"/>
        <v>8</v>
      </c>
      <c r="D930" s="81" t="s">
        <v>1311</v>
      </c>
      <c r="E930" s="79" t="s">
        <v>1342</v>
      </c>
      <c r="F930" s="80">
        <v>7249.28</v>
      </c>
      <c r="G930" s="81" t="s">
        <v>273</v>
      </c>
      <c r="H930" s="86" t="str">
        <f>IF(A930="","",IF(INDEX(EXTRATO!$F$2:$F$3000,MATCH($A930,EXTRATO!$A$2:$A$3000,0))="","",INDEX(EXTRATO!$F$2:$F$3000,MATCH($A930,EXTRATO!$A$2:$A$3000,0))))</f>
        <v>SAÍDA</v>
      </c>
      <c r="I930" s="88" t="str">
        <f>IF(A930="","",IF(INDEX(EXTRATO!$H$2:$H$3000,MATCH($A930,EXTRATO!$A$2:$A$3000,0))="","",INDEX(EXTRATO!$H$2:$H$3000,MATCH($A930,EXTRATO!$A$2:$A$3000,0))))</f>
        <v>CRISTALIA PRODUTOS</v>
      </c>
      <c r="J930" s="86" t="s">
        <v>1565</v>
      </c>
      <c r="K930" s="86" t="str">
        <f>IF(AND(A930="",D930="",E930="",F930=""),"",IF(D930="","SEM CATEGORIA",IF(E930="","SEM SUBCATEGORIA",IF(COUNTIFS(CADASTROS!$L$7:$L$93,D930,CADASTROS!$D$7:$D$93,E930)=0,"INCOMPATÍVEL","OK"))))</f>
        <v>OK</v>
      </c>
    </row>
    <row r="931" spans="1:11" ht="30" hidden="1" customHeight="1" x14ac:dyDescent="0.25">
      <c r="A931" s="86" t="s">
        <v>2296</v>
      </c>
      <c r="B931" s="85">
        <f>IF(A931="","",IF(INDEX(EXTRATO!$C$2:$C$3000,MATCH($A931,EXTRATO!$A$2:$A$3000,0))="","",INDEX(EXTRATO!$C$2:$C$3000,MATCH($A931,EXTRATO!$A$2:$A$3000,0))))</f>
        <v>46245</v>
      </c>
      <c r="C931" s="86">
        <f t="shared" si="17"/>
        <v>8</v>
      </c>
      <c r="D931" s="81" t="s">
        <v>1311</v>
      </c>
      <c r="E931" s="79" t="s">
        <v>1312</v>
      </c>
      <c r="F931" s="80">
        <v>2135.11</v>
      </c>
      <c r="G931" s="81" t="s">
        <v>1034</v>
      </c>
      <c r="H931" s="86" t="str">
        <f>IF(A931="","",IF(INDEX(EXTRATO!$F$2:$F$3000,MATCH($A931,EXTRATO!$A$2:$A$3000,0))="","",INDEX(EXTRATO!$F$2:$F$3000,MATCH($A931,EXTRATO!$A$2:$A$3000,0))))</f>
        <v>SAÍDA</v>
      </c>
      <c r="I931" s="88" t="str">
        <f>IF(A931="","",IF(INDEX(EXTRATO!$H$2:$H$3000,MATCH($A931,EXTRATO!$A$2:$A$3000,0))="","",INDEX(EXTRATO!$H$2:$H$3000,MATCH($A931,EXTRATO!$A$2:$A$3000,0))))</f>
        <v>SUPERMÉDICA</v>
      </c>
      <c r="J931" s="86" t="s">
        <v>1565</v>
      </c>
      <c r="K931" s="86" t="str">
        <f>IF(AND(A931="",D931="",E931="",F931=""),"",IF(D931="","SEM CATEGORIA",IF(E931="","SEM SUBCATEGORIA",IF(COUNTIFS(CADASTROS!$L$7:$L$93,D931,CADASTROS!$D$7:$D$93,E931)=0,"INCOMPATÍVEL","OK"))))</f>
        <v>OK</v>
      </c>
    </row>
    <row r="932" spans="1:11" ht="30" hidden="1" customHeight="1" x14ac:dyDescent="0.25">
      <c r="A932" s="86" t="s">
        <v>2297</v>
      </c>
      <c r="B932" s="85">
        <f>IF(A932="","",IF(INDEX(EXTRATO!$C$2:$C$3000,MATCH($A932,EXTRATO!$A$2:$A$3000,0))="","",INDEX(EXTRATO!$C$2:$C$3000,MATCH($A932,EXTRATO!$A$2:$A$3000,0))))</f>
        <v>46245</v>
      </c>
      <c r="C932" s="86">
        <f t="shared" si="17"/>
        <v>8</v>
      </c>
      <c r="D932" s="81" t="s">
        <v>1311</v>
      </c>
      <c r="E932" s="79" t="s">
        <v>1312</v>
      </c>
      <c r="F932" s="80">
        <v>3012</v>
      </c>
      <c r="G932" s="81" t="s">
        <v>1013</v>
      </c>
      <c r="H932" s="86" t="str">
        <f>IF(A932="","",IF(INDEX(EXTRATO!$F$2:$F$3000,MATCH($A932,EXTRATO!$A$2:$A$3000,0))="","",INDEX(EXTRATO!$F$2:$F$3000,MATCH($A932,EXTRATO!$A$2:$A$3000,0))))</f>
        <v>SAÍDA</v>
      </c>
      <c r="I932" s="88" t="str">
        <f>IF(A932="","",IF(INDEX(EXTRATO!$H$2:$H$3000,MATCH($A932,EXTRATO!$A$2:$A$3000,0))="","",INDEX(EXTRATO!$H$2:$H$3000,MATCH($A932,EXTRATO!$A$2:$A$3000,0))))</f>
        <v>REMORA HOSPITALAR</v>
      </c>
      <c r="J932" s="86" t="s">
        <v>1565</v>
      </c>
      <c r="K932" s="86" t="str">
        <f>IF(AND(A932="",D932="",E932="",F932=""),"",IF(D932="","SEM CATEGORIA",IF(E932="","SEM SUBCATEGORIA",IF(COUNTIFS(CADASTROS!$L$7:$L$93,D932,CADASTROS!$D$7:$D$93,E932)=0,"INCOMPATÍVEL","OK"))))</f>
        <v>OK</v>
      </c>
    </row>
    <row r="933" spans="1:11" ht="30" hidden="1" customHeight="1" x14ac:dyDescent="0.25">
      <c r="A933" s="86" t="s">
        <v>2298</v>
      </c>
      <c r="B933" s="85">
        <f>IF(A933="","",IF(INDEX(EXTRATO!$C$2:$C$3000,MATCH($A933,EXTRATO!$A$2:$A$3000,0))="","",INDEX(EXTRATO!$C$2:$C$3000,MATCH($A933,EXTRATO!$A$2:$A$3000,0))))</f>
        <v>46246</v>
      </c>
      <c r="C933" s="86">
        <f t="shared" si="17"/>
        <v>8</v>
      </c>
      <c r="D933" s="81" t="s">
        <v>1311</v>
      </c>
      <c r="E933" s="79" t="s">
        <v>1312</v>
      </c>
      <c r="F933" s="80">
        <v>6082.67</v>
      </c>
      <c r="G933" s="81" t="s">
        <v>1184</v>
      </c>
      <c r="H933" s="86" t="str">
        <f>IF(A933="","",IF(INDEX(EXTRATO!$F$2:$F$3000,MATCH($A933,EXTRATO!$A$2:$A$3000,0))="","",INDEX(EXTRATO!$F$2:$F$3000,MATCH($A933,EXTRATO!$A$2:$A$3000,0))))</f>
        <v>SAÍDA</v>
      </c>
      <c r="I933" s="88" t="str">
        <f>IF(A933="","",IF(INDEX(EXTRATO!$H$2:$H$3000,MATCH($A933,EXTRATO!$A$2:$A$3000,0))="","",INDEX(EXTRATO!$H$2:$H$3000,MATCH($A933,EXTRATO!$A$2:$A$3000,0))))</f>
        <v>SUPERMÉDICA</v>
      </c>
      <c r="J933" s="86" t="s">
        <v>1565</v>
      </c>
      <c r="K933" s="86" t="str">
        <f>IF(AND(A933="",D933="",E933="",F933=""),"",IF(D933="","SEM CATEGORIA",IF(E933="","SEM SUBCATEGORIA",IF(COUNTIFS(CADASTROS!$L$7:$L$93,D933,CADASTROS!$D$7:$D$93,E933)=0,"INCOMPATÍVEL","OK"))))</f>
        <v>OK</v>
      </c>
    </row>
    <row r="934" spans="1:11" ht="30" hidden="1" customHeight="1" x14ac:dyDescent="0.25">
      <c r="A934" s="86" t="s">
        <v>2299</v>
      </c>
      <c r="B934" s="85">
        <f>IF(A934="","",IF(INDEX(EXTRATO!$C$2:$C$3000,MATCH($A934,EXTRATO!$A$2:$A$3000,0))="","",INDEX(EXTRATO!$C$2:$C$3000,MATCH($A934,EXTRATO!$A$2:$A$3000,0))))</f>
        <v>46246</v>
      </c>
      <c r="C934" s="86">
        <f t="shared" si="17"/>
        <v>8</v>
      </c>
      <c r="D934" s="81" t="s">
        <v>1311</v>
      </c>
      <c r="E934" s="79" t="s">
        <v>1312</v>
      </c>
      <c r="F934" s="80">
        <v>76.23</v>
      </c>
      <c r="G934" s="81" t="s">
        <v>1186</v>
      </c>
      <c r="H934" s="86" t="str">
        <f>IF(A934="","",IF(INDEX(EXTRATO!$F$2:$F$3000,MATCH($A934,EXTRATO!$A$2:$A$3000,0))="","",INDEX(EXTRATO!$F$2:$F$3000,MATCH($A934,EXTRATO!$A$2:$A$3000,0))))</f>
        <v>SAÍDA</v>
      </c>
      <c r="I934" s="88" t="str">
        <f>IF(A934="","",IF(INDEX(EXTRATO!$H$2:$H$3000,MATCH($A934,EXTRATO!$A$2:$A$3000,0))="","",INDEX(EXTRATO!$H$2:$H$3000,MATCH($A934,EXTRATO!$A$2:$A$3000,0))))</f>
        <v>ULTRAMEGA DISTRIBUIDORA</v>
      </c>
      <c r="J934" s="86" t="s">
        <v>1360</v>
      </c>
      <c r="K934" s="86" t="str">
        <f>IF(AND(A934="",D934="",E934="",F934=""),"",IF(D934="","SEM CATEGORIA",IF(E934="","SEM SUBCATEGORIA",IF(COUNTIFS(CADASTROS!$L$7:$L$93,D934,CADASTROS!$D$7:$D$93,E934)=0,"INCOMPATÍVEL","OK"))))</f>
        <v>OK</v>
      </c>
    </row>
    <row r="935" spans="1:11" ht="30" hidden="1" customHeight="1" x14ac:dyDescent="0.25">
      <c r="A935" s="86" t="s">
        <v>2300</v>
      </c>
      <c r="B935" s="85">
        <f>IF(A935="","",IF(INDEX(EXTRATO!$C$2:$C$3000,MATCH($A935,EXTRATO!$A$2:$A$3000,0))="","",INDEX(EXTRATO!$C$2:$C$3000,MATCH($A935,EXTRATO!$A$2:$A$3000,0))))</f>
        <v>46246</v>
      </c>
      <c r="C935" s="86">
        <f t="shared" si="17"/>
        <v>8</v>
      </c>
      <c r="D935" s="81" t="s">
        <v>1330</v>
      </c>
      <c r="E935" s="79" t="s">
        <v>1331</v>
      </c>
      <c r="F935" s="80">
        <v>617.5</v>
      </c>
      <c r="G935" s="81" t="s">
        <v>400</v>
      </c>
      <c r="H935" s="86" t="str">
        <f>IF(A935="","",IF(INDEX(EXTRATO!$F$2:$F$3000,MATCH($A935,EXTRATO!$A$2:$A$3000,0))="","",INDEX(EXTRATO!$F$2:$F$3000,MATCH($A935,EXTRATO!$A$2:$A$3000,0))))</f>
        <v>SAÍDA</v>
      </c>
      <c r="I935" s="88" t="str">
        <f>IF(A935="","",IF(INDEX(EXTRATO!$H$2:$H$3000,MATCH($A935,EXTRATO!$A$2:$A$3000,0))="","",INDEX(EXTRATO!$H$2:$H$3000,MATCH($A935,EXTRATO!$A$2:$A$3000,0))))</f>
        <v>BRANDÃO &amp; BRANDÃO</v>
      </c>
      <c r="J935" s="86" t="s">
        <v>1565</v>
      </c>
      <c r="K935" s="86" t="str">
        <f>IF(AND(A935="",D935="",E935="",F935=""),"",IF(D935="","SEM CATEGORIA",IF(E935="","SEM SUBCATEGORIA",IF(COUNTIFS(CADASTROS!$L$7:$L$93,D935,CADASTROS!$D$7:$D$93,E935)=0,"INCOMPATÍVEL","OK"))))</f>
        <v>OK</v>
      </c>
    </row>
    <row r="936" spans="1:11" ht="30" hidden="1" customHeight="1" x14ac:dyDescent="0.25">
      <c r="A936" s="86" t="s">
        <v>2301</v>
      </c>
      <c r="B936" s="85">
        <f>IF(A936="","",IF(INDEX(EXTRATO!$C$2:$C$3000,MATCH($A936,EXTRATO!$A$2:$A$3000,0))="","",INDEX(EXTRATO!$C$2:$C$3000,MATCH($A936,EXTRATO!$A$2:$A$3000,0))))</f>
        <v>46246</v>
      </c>
      <c r="C936" s="86">
        <f t="shared" si="17"/>
        <v>8</v>
      </c>
      <c r="D936" s="81" t="s">
        <v>1311</v>
      </c>
      <c r="E936" s="79" t="s">
        <v>1312</v>
      </c>
      <c r="F936" s="80">
        <v>1548.51</v>
      </c>
      <c r="G936" s="81" t="s">
        <v>1188</v>
      </c>
      <c r="H936" s="86" t="str">
        <f>IF(A936="","",IF(INDEX(EXTRATO!$F$2:$F$3000,MATCH($A936,EXTRATO!$A$2:$A$3000,0))="","",INDEX(EXTRATO!$F$2:$F$3000,MATCH($A936,EXTRATO!$A$2:$A$3000,0))))</f>
        <v>SAÍDA</v>
      </c>
      <c r="I936" s="88" t="str">
        <f>IF(A936="","",IF(INDEX(EXTRATO!$H$2:$H$3000,MATCH($A936,EXTRATO!$A$2:$A$3000,0))="","",INDEX(EXTRATO!$H$2:$H$3000,MATCH($A936,EXTRATO!$A$2:$A$3000,0))))</f>
        <v>ULTRAMEGA DISTRIBUIDORA</v>
      </c>
      <c r="J936" s="86" t="s">
        <v>1360</v>
      </c>
      <c r="K936" s="86" t="str">
        <f>IF(AND(A936="",D936="",E936="",F936=""),"",IF(D936="","SEM CATEGORIA",IF(E936="","SEM SUBCATEGORIA",IF(COUNTIFS(CADASTROS!$L$7:$L$93,D936,CADASTROS!$D$7:$D$93,E936)=0,"INCOMPATÍVEL","OK"))))</f>
        <v>OK</v>
      </c>
    </row>
    <row r="937" spans="1:11" ht="30" hidden="1" customHeight="1" x14ac:dyDescent="0.25">
      <c r="A937" s="86" t="s">
        <v>2302</v>
      </c>
      <c r="B937" s="85">
        <f>IF(A937="","",IF(INDEX(EXTRATO!$C$2:$C$3000,MATCH($A937,EXTRATO!$A$2:$A$3000,0))="","",INDEX(EXTRATO!$C$2:$C$3000,MATCH($A937,EXTRATO!$A$2:$A$3000,0))))</f>
        <v>46247</v>
      </c>
      <c r="C937" s="86">
        <f t="shared" si="17"/>
        <v>8</v>
      </c>
      <c r="D937" s="81" t="s">
        <v>1367</v>
      </c>
      <c r="E937" s="79" t="s">
        <v>1383</v>
      </c>
      <c r="F937" s="80">
        <v>36168.61</v>
      </c>
      <c r="G937" s="81" t="s">
        <v>1190</v>
      </c>
      <c r="H937" s="86" t="str">
        <f>IF(A937="","",IF(INDEX(EXTRATO!$F$2:$F$3000,MATCH($A937,EXTRATO!$A$2:$A$3000,0))="","",INDEX(EXTRATO!$F$2:$F$3000,MATCH($A937,EXTRATO!$A$2:$A$3000,0))))</f>
        <v>SAÍDA</v>
      </c>
      <c r="I937" s="88" t="str">
        <f>IF(A937="","",IF(INDEX(EXTRATO!$H$2:$H$3000,MATCH($A937,EXTRATO!$A$2:$A$3000,0))="","",INDEX(EXTRATO!$H$2:$H$3000,MATCH($A937,EXTRATO!$A$2:$A$3000,0))))</f>
        <v>FOLHA DE PAGAMENTO - PISO</v>
      </c>
      <c r="J937" s="86" t="s">
        <v>1360</v>
      </c>
      <c r="K937" s="86" t="str">
        <f>IF(AND(A937="",D937="",E937="",F937=""),"",IF(D937="","SEM CATEGORIA",IF(E937="","SEM SUBCATEGORIA",IF(COUNTIFS(CADASTROS!$L$7:$L$93,D937,CADASTROS!$D$7:$D$93,E937)=0,"INCOMPATÍVEL","OK"))))</f>
        <v>OK</v>
      </c>
    </row>
    <row r="938" spans="1:11" ht="30" hidden="1" customHeight="1" x14ac:dyDescent="0.25">
      <c r="A938" s="86" t="s">
        <v>2303</v>
      </c>
      <c r="B938" s="85">
        <f>IF(A938="","",IF(INDEX(EXTRATO!$C$2:$C$3000,MATCH($A938,EXTRATO!$A$2:$A$3000,0))="","",INDEX(EXTRATO!$C$2:$C$3000,MATCH($A938,EXTRATO!$A$2:$A$3000,0))))</f>
        <v>46247</v>
      </c>
      <c r="C938" s="86">
        <f t="shared" si="17"/>
        <v>8</v>
      </c>
      <c r="D938" s="81" t="s">
        <v>1330</v>
      </c>
      <c r="E938" s="79" t="s">
        <v>1352</v>
      </c>
      <c r="F938" s="80">
        <v>39.82</v>
      </c>
      <c r="G938" s="81" t="s">
        <v>276</v>
      </c>
      <c r="H938" s="86" t="str">
        <f>IF(A938="","",IF(INDEX(EXTRATO!$F$2:$F$3000,MATCH($A938,EXTRATO!$A$2:$A$3000,0))="","",INDEX(EXTRATO!$F$2:$F$3000,MATCH($A938,EXTRATO!$A$2:$A$3000,0))))</f>
        <v>SAÍDA</v>
      </c>
      <c r="I938" s="88" t="str">
        <f>IF(A938="","",IF(INDEX(EXTRATO!$H$2:$H$3000,MATCH($A938,EXTRATO!$A$2:$A$3000,0))="","",INDEX(EXTRATO!$H$2:$H$3000,MATCH($A938,EXTRATO!$A$2:$A$3000,0))))</f>
        <v>TARIFA BANCÁRIA</v>
      </c>
      <c r="J938" s="86" t="s">
        <v>1565</v>
      </c>
      <c r="K938" s="86" t="str">
        <f>IF(AND(A938="",D938="",E938="",F938=""),"",IF(D938="","SEM CATEGORIA",IF(E938="","SEM SUBCATEGORIA",IF(COUNTIFS(CADASTROS!$L$7:$L$93,D938,CADASTROS!$D$7:$D$93,E938)=0,"INCOMPATÍVEL","OK"))))</f>
        <v>OK</v>
      </c>
    </row>
    <row r="939" spans="1:11" ht="30" hidden="1" customHeight="1" x14ac:dyDescent="0.25">
      <c r="A939" s="86" t="s">
        <v>2304</v>
      </c>
      <c r="B939" s="85">
        <f>IF(A939="","",IF(INDEX(EXTRATO!$C$2:$C$3000,MATCH($A939,EXTRATO!$A$2:$A$3000,0))="","",INDEX(EXTRATO!$C$2:$C$3000,MATCH($A939,EXTRATO!$A$2:$A$3000,0))))</f>
        <v>46248</v>
      </c>
      <c r="C939" s="86">
        <f t="shared" si="17"/>
        <v>8</v>
      </c>
      <c r="D939" s="81" t="s">
        <v>1330</v>
      </c>
      <c r="E939" s="79" t="s">
        <v>1358</v>
      </c>
      <c r="F939" s="80">
        <v>5030.84</v>
      </c>
      <c r="G939" s="81" t="s">
        <v>1191</v>
      </c>
      <c r="H939" s="86" t="str">
        <f>IF(A939="","",IF(INDEX(EXTRATO!$F$2:$F$3000,MATCH($A939,EXTRATO!$A$2:$A$3000,0))="","",INDEX(EXTRATO!$F$2:$F$3000,MATCH($A939,EXTRATO!$A$2:$A$3000,0))))</f>
        <v>SAÍDA</v>
      </c>
      <c r="I939" s="88" t="str">
        <f>IF(A939="","",IF(INDEX(EXTRATO!$H$2:$H$3000,MATCH($A939,EXTRATO!$A$2:$A$3000,0))="","",INDEX(EXTRATO!$H$2:$H$3000,MATCH($A939,EXTRATO!$A$2:$A$3000,0))))</f>
        <v>CAMINO</v>
      </c>
      <c r="J939" s="86" t="s">
        <v>1565</v>
      </c>
      <c r="K939" s="86" t="str">
        <f>IF(AND(A939="",D939="",E939="",F939=""),"",IF(D939="","SEM CATEGORIA",IF(E939="","SEM SUBCATEGORIA",IF(COUNTIFS(CADASTROS!$L$7:$L$93,D939,CADASTROS!$D$7:$D$93,E939)=0,"INCOMPATÍVEL","OK"))))</f>
        <v>OK</v>
      </c>
    </row>
    <row r="940" spans="1:11" ht="30" hidden="1" customHeight="1" x14ac:dyDescent="0.25">
      <c r="A940" s="86" t="s">
        <v>2305</v>
      </c>
      <c r="B940" s="85">
        <f>IF(A940="","",IF(INDEX(EXTRATO!$C$2:$C$3000,MATCH($A940,EXTRATO!$A$2:$A$3000,0))="","",INDEX(EXTRATO!$C$2:$C$3000,MATCH($A940,EXTRATO!$A$2:$A$3000,0))))</f>
        <v>46248</v>
      </c>
      <c r="C940" s="86">
        <f t="shared" si="17"/>
        <v>8</v>
      </c>
      <c r="D940" s="81" t="s">
        <v>1330</v>
      </c>
      <c r="E940" s="79" t="s">
        <v>1413</v>
      </c>
      <c r="F940" s="80">
        <v>1568</v>
      </c>
      <c r="G940" s="81" t="s">
        <v>1193</v>
      </c>
      <c r="H940" s="86" t="str">
        <f>IF(A940="","",IF(INDEX(EXTRATO!$F$2:$F$3000,MATCH($A940,EXTRATO!$A$2:$A$3000,0))="","",INDEX(EXTRATO!$F$2:$F$3000,MATCH($A940,EXTRATO!$A$2:$A$3000,0))))</f>
        <v>SAÍDA</v>
      </c>
      <c r="I940" s="88" t="str">
        <f>IF(A940="","",IF(INDEX(EXTRATO!$H$2:$H$3000,MATCH($A940,EXTRATO!$A$2:$A$3000,0))="","",INDEX(EXTRATO!$H$2:$H$3000,MATCH($A940,EXTRATO!$A$2:$A$3000,0))))</f>
        <v>E M GONÇALVES PADARIA</v>
      </c>
      <c r="J940" s="86" t="s">
        <v>1565</v>
      </c>
      <c r="K940" s="86" t="str">
        <f>IF(AND(A940="",D940="",E940="",F940=""),"",IF(D940="","SEM CATEGORIA",IF(E940="","SEM SUBCATEGORIA",IF(COUNTIFS(CADASTROS!$L$7:$L$93,D940,CADASTROS!$D$7:$D$93,E940)=0,"INCOMPATÍVEL","OK"))))</f>
        <v>OK</v>
      </c>
    </row>
    <row r="941" spans="1:11" ht="30" hidden="1" customHeight="1" x14ac:dyDescent="0.25">
      <c r="A941" s="86" t="s">
        <v>2306</v>
      </c>
      <c r="B941" s="85">
        <f>IF(A941="","",IF(INDEX(EXTRATO!$C$2:$C$3000,MATCH($A941,EXTRATO!$A$2:$A$3000,0))="","",INDEX(EXTRATO!$C$2:$C$3000,MATCH($A941,EXTRATO!$A$2:$A$3000,0))))</f>
        <v>46248</v>
      </c>
      <c r="C941" s="86">
        <f t="shared" si="17"/>
        <v>8</v>
      </c>
      <c r="D941" s="81" t="s">
        <v>1415</v>
      </c>
      <c r="E941" s="79" t="s">
        <v>1657</v>
      </c>
      <c r="F941" s="80">
        <v>2000</v>
      </c>
      <c r="G941" s="81" t="s">
        <v>1195</v>
      </c>
      <c r="H941" s="86" t="str">
        <f>IF(A941="","",IF(INDEX(EXTRATO!$F$2:$F$3000,MATCH($A941,EXTRATO!$A$2:$A$3000,0))="","",INDEX(EXTRATO!$F$2:$F$3000,MATCH($A941,EXTRATO!$A$2:$A$3000,0))))</f>
        <v>SAÍDA</v>
      </c>
      <c r="I941" s="88" t="str">
        <f>IF(A941="","",IF(INDEX(EXTRATO!$H$2:$H$3000,MATCH($A941,EXTRATO!$A$2:$A$3000,0))="","",INDEX(EXTRATO!$H$2:$H$3000,MATCH($A941,EXTRATO!$A$2:$A$3000,0))))</f>
        <v>FARMACÊUTICA GARDÊNIA</v>
      </c>
      <c r="J941" s="86" t="s">
        <v>1565</v>
      </c>
      <c r="K941" s="86" t="str">
        <f>IF(AND(A941="",D941="",E941="",F941=""),"",IF(D941="","SEM CATEGORIA",IF(E941="","SEM SUBCATEGORIA",IF(COUNTIFS(CADASTROS!$L$7:$L$93,D941,CADASTROS!$D$7:$D$93,E941)=0,"INCOMPATÍVEL","OK"))))</f>
        <v>OK</v>
      </c>
    </row>
    <row r="942" spans="1:11" ht="30" hidden="1" customHeight="1" x14ac:dyDescent="0.25">
      <c r="A942" s="86" t="s">
        <v>2307</v>
      </c>
      <c r="B942" s="85">
        <f>IF(A942="","",IF(INDEX(EXTRATO!$C$2:$C$3000,MATCH($A942,EXTRATO!$A$2:$A$3000,0))="","",INDEX(EXTRATO!$C$2:$C$3000,MATCH($A942,EXTRATO!$A$2:$A$3000,0))))</f>
        <v>46248</v>
      </c>
      <c r="C942" s="86">
        <f t="shared" si="17"/>
        <v>8</v>
      </c>
      <c r="D942" s="81" t="s">
        <v>1415</v>
      </c>
      <c r="E942" s="79" t="s">
        <v>1422</v>
      </c>
      <c r="F942" s="80">
        <v>3419.97</v>
      </c>
      <c r="G942" s="81" t="s">
        <v>1196</v>
      </c>
      <c r="H942" s="86" t="str">
        <f>IF(A942="","",IF(INDEX(EXTRATO!$F$2:$F$3000,MATCH($A942,EXTRATO!$A$2:$A$3000,0))="","",INDEX(EXTRATO!$F$2:$F$3000,MATCH($A942,EXTRATO!$A$2:$A$3000,0))))</f>
        <v>SAÍDA</v>
      </c>
      <c r="I942" s="88" t="str">
        <f>IF(A942="","",IF(INDEX(EXTRATO!$H$2:$H$3000,MATCH($A942,EXTRATO!$A$2:$A$3000,0))="","",INDEX(EXTRATO!$H$2:$H$3000,MATCH($A942,EXTRATO!$A$2:$A$3000,0))))</f>
        <v>I F DA SILVA &amp; CIA LTDA</v>
      </c>
      <c r="J942" s="86" t="s">
        <v>1360</v>
      </c>
      <c r="K942" s="86" t="str">
        <f>IF(AND(A942="",D942="",E942="",F942=""),"",IF(D942="","SEM CATEGORIA",IF(E942="","SEM SUBCATEGORIA",IF(COUNTIFS(CADASTROS!$L$7:$L$93,D942,CADASTROS!$D$7:$D$93,E942)=0,"INCOMPATÍVEL","OK"))))</f>
        <v>OK</v>
      </c>
    </row>
    <row r="943" spans="1:11" ht="30" hidden="1" customHeight="1" x14ac:dyDescent="0.25">
      <c r="A943" s="86" t="s">
        <v>2307</v>
      </c>
      <c r="B943" s="85">
        <f>IF(A943="","",IF(INDEX(EXTRATO!$C$2:$C$3000,MATCH($A943,EXTRATO!$A$2:$A$3000,0))="","",INDEX(EXTRATO!$C$2:$C$3000,MATCH($A943,EXTRATO!$A$2:$A$3000,0))))</f>
        <v>46248</v>
      </c>
      <c r="C943" s="86">
        <f t="shared" si="17"/>
        <v>8</v>
      </c>
      <c r="D943" s="81" t="s">
        <v>1415</v>
      </c>
      <c r="E943" s="79" t="s">
        <v>1420</v>
      </c>
      <c r="F943" s="80">
        <v>3886.36</v>
      </c>
      <c r="G943" s="81" t="s">
        <v>1196</v>
      </c>
      <c r="H943" s="86" t="str">
        <f>IF(A943="","",IF(INDEX(EXTRATO!$F$2:$F$3000,MATCH($A943,EXTRATO!$A$2:$A$3000,0))="","",INDEX(EXTRATO!$F$2:$F$3000,MATCH($A943,EXTRATO!$A$2:$A$3000,0))))</f>
        <v>SAÍDA</v>
      </c>
      <c r="I943" s="88" t="str">
        <f>IF(A943="","",IF(INDEX(EXTRATO!$H$2:$H$3000,MATCH($A943,EXTRATO!$A$2:$A$3000,0))="","",INDEX(EXTRATO!$H$2:$H$3000,MATCH($A943,EXTRATO!$A$2:$A$3000,0))))</f>
        <v>I F DA SILVA &amp; CIA LTDA</v>
      </c>
      <c r="J943" s="86" t="s">
        <v>1360</v>
      </c>
      <c r="K943" s="86" t="str">
        <f>IF(AND(A943="",D943="",E943="",F943=""),"",IF(D943="","SEM CATEGORIA",IF(E943="","SEM SUBCATEGORIA",IF(COUNTIFS(CADASTROS!$L$7:$L$93,D943,CADASTROS!$D$7:$D$93,E943)=0,"INCOMPATÍVEL","OK"))))</f>
        <v>OK</v>
      </c>
    </row>
    <row r="944" spans="1:11" ht="30" hidden="1" customHeight="1" x14ac:dyDescent="0.25">
      <c r="A944" s="86" t="s">
        <v>2307</v>
      </c>
      <c r="B944" s="85">
        <f>IF(A944="","",IF(INDEX(EXTRATO!$C$2:$C$3000,MATCH($A944,EXTRATO!$A$2:$A$3000,0))="","",INDEX(EXTRATO!$C$2:$C$3000,MATCH($A944,EXTRATO!$A$2:$A$3000,0))))</f>
        <v>46248</v>
      </c>
      <c r="C944" s="86">
        <f t="shared" si="17"/>
        <v>8</v>
      </c>
      <c r="D944" s="81" t="s">
        <v>1415</v>
      </c>
      <c r="E944" s="79" t="s">
        <v>1418</v>
      </c>
      <c r="F944" s="80">
        <v>500</v>
      </c>
      <c r="G944" s="81" t="s">
        <v>1196</v>
      </c>
      <c r="H944" s="86" t="str">
        <f>IF(A944="","",IF(INDEX(EXTRATO!$F$2:$F$3000,MATCH($A944,EXTRATO!$A$2:$A$3000,0))="","",INDEX(EXTRATO!$F$2:$F$3000,MATCH($A944,EXTRATO!$A$2:$A$3000,0))))</f>
        <v>SAÍDA</v>
      </c>
      <c r="I944" s="88" t="str">
        <f>IF(A944="","",IF(INDEX(EXTRATO!$H$2:$H$3000,MATCH($A944,EXTRATO!$A$2:$A$3000,0))="","",INDEX(EXTRATO!$H$2:$H$3000,MATCH($A944,EXTRATO!$A$2:$A$3000,0))))</f>
        <v>I F DA SILVA &amp; CIA LTDA</v>
      </c>
      <c r="J944" s="86" t="s">
        <v>1360</v>
      </c>
      <c r="K944" s="86" t="str">
        <f>IF(AND(A944="",D944="",E944="",F944=""),"",IF(D944="","SEM CATEGORIA",IF(E944="","SEM SUBCATEGORIA",IF(COUNTIFS(CADASTROS!$L$7:$L$93,D944,CADASTROS!$D$7:$D$93,E944)=0,"INCOMPATÍVEL","OK"))))</f>
        <v>OK</v>
      </c>
    </row>
    <row r="945" spans="1:11" ht="30" hidden="1" customHeight="1" x14ac:dyDescent="0.25">
      <c r="A945" s="86" t="s">
        <v>2307</v>
      </c>
      <c r="B945" s="85">
        <f>IF(A945="","",IF(INDEX(EXTRATO!$C$2:$C$3000,MATCH($A945,EXTRATO!$A$2:$A$3000,0))="","",INDEX(EXTRATO!$C$2:$C$3000,MATCH($A945,EXTRATO!$A$2:$A$3000,0))))</f>
        <v>46248</v>
      </c>
      <c r="C945" s="86">
        <f t="shared" si="17"/>
        <v>8</v>
      </c>
      <c r="D945" s="81" t="s">
        <v>1415</v>
      </c>
      <c r="E945" s="79" t="s">
        <v>1416</v>
      </c>
      <c r="F945" s="80">
        <v>800</v>
      </c>
      <c r="G945" s="81" t="s">
        <v>1196</v>
      </c>
      <c r="H945" s="86" t="str">
        <f>IF(A945="","",IF(INDEX(EXTRATO!$F$2:$F$3000,MATCH($A945,EXTRATO!$A$2:$A$3000,0))="","",INDEX(EXTRATO!$F$2:$F$3000,MATCH($A945,EXTRATO!$A$2:$A$3000,0))))</f>
        <v>SAÍDA</v>
      </c>
      <c r="I945" s="88" t="str">
        <f>IF(A945="","",IF(INDEX(EXTRATO!$H$2:$H$3000,MATCH($A945,EXTRATO!$A$2:$A$3000,0))="","",INDEX(EXTRATO!$H$2:$H$3000,MATCH($A945,EXTRATO!$A$2:$A$3000,0))))</f>
        <v>I F DA SILVA &amp; CIA LTDA</v>
      </c>
      <c r="J945" s="86" t="s">
        <v>1360</v>
      </c>
      <c r="K945" s="86" t="str">
        <f>IF(AND(A945="",D945="",E945="",F945=""),"",IF(D945="","SEM CATEGORIA",IF(E945="","SEM SUBCATEGORIA",IF(COUNTIFS(CADASTROS!$L$7:$L$93,D945,CADASTROS!$D$7:$D$93,E945)=0,"INCOMPATÍVEL","OK"))))</f>
        <v>OK</v>
      </c>
    </row>
    <row r="946" spans="1:11" ht="30" hidden="1" customHeight="1" x14ac:dyDescent="0.25">
      <c r="A946" s="86" t="s">
        <v>2307</v>
      </c>
      <c r="B946" s="85">
        <f>IF(A946="","",IF(INDEX(EXTRATO!$C$2:$C$3000,MATCH($A946,EXTRATO!$A$2:$A$3000,0))="","",INDEX(EXTRATO!$C$2:$C$3000,MATCH($A946,EXTRATO!$A$2:$A$3000,0))))</f>
        <v>46248</v>
      </c>
      <c r="C946" s="86">
        <f t="shared" si="17"/>
        <v>8</v>
      </c>
      <c r="D946" s="81" t="s">
        <v>1415</v>
      </c>
      <c r="E946" s="79" t="s">
        <v>2524</v>
      </c>
      <c r="F946" s="80">
        <v>2000</v>
      </c>
      <c r="G946" s="81" t="s">
        <v>1196</v>
      </c>
      <c r="H946" s="86" t="str">
        <f>IF(A946="","",IF(INDEX(EXTRATO!$F$2:$F$3000,MATCH($A946,EXTRATO!$A$2:$A$3000,0))="","",INDEX(EXTRATO!$F$2:$F$3000,MATCH($A946,EXTRATO!$A$2:$A$3000,0))))</f>
        <v>SAÍDA</v>
      </c>
      <c r="I946" s="88" t="str">
        <f>IF(A946="","",IF(INDEX(EXTRATO!$H$2:$H$3000,MATCH($A946,EXTRATO!$A$2:$A$3000,0))="","",INDEX(EXTRATO!$H$2:$H$3000,MATCH($A946,EXTRATO!$A$2:$A$3000,0))))</f>
        <v>I F DA SILVA &amp; CIA LTDA</v>
      </c>
      <c r="J946" s="86" t="s">
        <v>1360</v>
      </c>
      <c r="K946" s="86" t="str">
        <f>IF(AND(A946="",D946="",E946="",F946=""),"",IF(D946="","SEM CATEGORIA",IF(E946="","SEM SUBCATEGORIA",IF(COUNTIFS(CADASTROS!$L$7:$L$93,D946,CADASTROS!$D$7:$D$93,E946)=0,"INCOMPATÍVEL","OK"))))</f>
        <v>OK</v>
      </c>
    </row>
    <row r="947" spans="1:11" ht="30" hidden="1" customHeight="1" x14ac:dyDescent="0.25">
      <c r="A947" s="86" t="s">
        <v>2308</v>
      </c>
      <c r="B947" s="85">
        <f>IF(A947="","",IF(INDEX(EXTRATO!$C$2:$C$3000,MATCH($A947,EXTRATO!$A$2:$A$3000,0))="","",INDEX(EXTRATO!$C$2:$C$3000,MATCH($A947,EXTRATO!$A$2:$A$3000,0))))</f>
        <v>46248</v>
      </c>
      <c r="C947" s="86">
        <f t="shared" si="17"/>
        <v>8</v>
      </c>
      <c r="D947" s="81" t="s">
        <v>1311</v>
      </c>
      <c r="E947" s="79" t="s">
        <v>1404</v>
      </c>
      <c r="F947" s="80">
        <v>21501.200000000001</v>
      </c>
      <c r="G947" s="81" t="s">
        <v>1197</v>
      </c>
      <c r="H947" s="86" t="str">
        <f>IF(A947="","",IF(INDEX(EXTRATO!$F$2:$F$3000,MATCH($A947,EXTRATO!$A$2:$A$3000,0))="","",INDEX(EXTRATO!$F$2:$F$3000,MATCH($A947,EXTRATO!$A$2:$A$3000,0))))</f>
        <v>SAÍDA</v>
      </c>
      <c r="I947" s="88" t="str">
        <f>IF(A947="","",IF(INDEX(EXTRATO!$H$2:$H$3000,MATCH($A947,EXTRATO!$A$2:$A$3000,0))="","",INDEX(EXTRATO!$H$2:$H$3000,MATCH($A947,EXTRATO!$A$2:$A$3000,0))))</f>
        <v>FARMACE</v>
      </c>
      <c r="J947" s="86" t="s">
        <v>1360</v>
      </c>
      <c r="K947" s="86" t="str">
        <f>IF(AND(A947="",D947="",E947="",F947=""),"",IF(D947="","SEM CATEGORIA",IF(E947="","SEM SUBCATEGORIA",IF(COUNTIFS(CADASTROS!$L$7:$L$93,D947,CADASTROS!$D$7:$D$93,E947)=0,"INCOMPATÍVEL","OK"))))</f>
        <v>OK</v>
      </c>
    </row>
    <row r="948" spans="1:11" ht="30" hidden="1" customHeight="1" x14ac:dyDescent="0.25">
      <c r="A948" s="86" t="s">
        <v>2309</v>
      </c>
      <c r="B948" s="85">
        <f>IF(A948="","",IF(INDEX(EXTRATO!$C$2:$C$3000,MATCH($A948,EXTRATO!$A$2:$A$3000,0))="","",INDEX(EXTRATO!$C$2:$C$3000,MATCH($A948,EXTRATO!$A$2:$A$3000,0))))</f>
        <v>46248</v>
      </c>
      <c r="C948" s="86">
        <f t="shared" si="17"/>
        <v>8</v>
      </c>
      <c r="D948" s="81" t="s">
        <v>1349</v>
      </c>
      <c r="E948" s="79" t="s">
        <v>1402</v>
      </c>
      <c r="F948" s="80">
        <v>456.16</v>
      </c>
      <c r="G948" s="81" t="s">
        <v>136</v>
      </c>
      <c r="H948" s="86" t="str">
        <f>IF(A948="","",IF(INDEX(EXTRATO!$F$2:$F$3000,MATCH($A948,EXTRATO!$A$2:$A$3000,0))="","",INDEX(EXTRATO!$F$2:$F$3000,MATCH($A948,EXTRATO!$A$2:$A$3000,0))))</f>
        <v>SAÍDA</v>
      </c>
      <c r="I948" s="88" t="str">
        <f>IF(A948="","",IF(INDEX(EXTRATO!$H$2:$H$3000,MATCH($A948,EXTRATO!$A$2:$A$3000,0))="","",INDEX(EXTRATO!$H$2:$H$3000,MATCH($A948,EXTRATO!$A$2:$A$3000,0))))</f>
        <v>LEMOS BRANCO &amp; CIA</v>
      </c>
      <c r="J948" s="86" t="s">
        <v>1565</v>
      </c>
      <c r="K948" s="86" t="str">
        <f>IF(AND(A948="",D948="",E948="",F948=""),"",IF(D948="","SEM CATEGORIA",IF(E948="","SEM SUBCATEGORIA",IF(COUNTIFS(CADASTROS!$L$7:$L$93,D948,CADASTROS!$D$7:$D$93,E948)=0,"INCOMPATÍVEL","OK"))))</f>
        <v>OK</v>
      </c>
    </row>
    <row r="949" spans="1:11" ht="30" hidden="1" customHeight="1" x14ac:dyDescent="0.25">
      <c r="A949" s="86" t="s">
        <v>2310</v>
      </c>
      <c r="B949" s="85">
        <f>IF(A949="","",IF(INDEX(EXTRATO!$C$2:$C$3000,MATCH($A949,EXTRATO!$A$2:$A$3000,0))="","",INDEX(EXTRATO!$C$2:$C$3000,MATCH($A949,EXTRATO!$A$2:$A$3000,0))))</f>
        <v>46248</v>
      </c>
      <c r="C949" s="86">
        <f t="shared" si="17"/>
        <v>8</v>
      </c>
      <c r="D949" s="81" t="s">
        <v>1311</v>
      </c>
      <c r="E949" s="79" t="s">
        <v>1404</v>
      </c>
      <c r="F949" s="80">
        <v>18974</v>
      </c>
      <c r="G949" s="81" t="s">
        <v>1199</v>
      </c>
      <c r="H949" s="86" t="str">
        <f>IF(A949="","",IF(INDEX(EXTRATO!$F$2:$F$3000,MATCH($A949,EXTRATO!$A$2:$A$3000,0))="","",INDEX(EXTRATO!$F$2:$F$3000,MATCH($A949,EXTRATO!$A$2:$A$3000,0))))</f>
        <v>SAÍDA</v>
      </c>
      <c r="I949" s="88" t="str">
        <f>IF(A949="","",IF(INDEX(EXTRATO!$H$2:$H$3000,MATCH($A949,EXTRATO!$A$2:$A$3000,0))="","",INDEX(EXTRATO!$H$2:$H$3000,MATCH($A949,EXTRATO!$A$2:$A$3000,0))))</f>
        <v>FARMACE</v>
      </c>
      <c r="J949" s="86" t="s">
        <v>1360</v>
      </c>
      <c r="K949" s="86" t="str">
        <f>IF(AND(A949="",D949="",E949="",F949=""),"",IF(D949="","SEM CATEGORIA",IF(E949="","SEM SUBCATEGORIA",IF(COUNTIFS(CADASTROS!$L$7:$L$93,D949,CADASTROS!$D$7:$D$93,E949)=0,"INCOMPATÍVEL","OK"))))</f>
        <v>OK</v>
      </c>
    </row>
    <row r="950" spans="1:11" ht="30" hidden="1" customHeight="1" x14ac:dyDescent="0.25">
      <c r="A950" s="86" t="s">
        <v>2311</v>
      </c>
      <c r="B950" s="85">
        <f>IF(A950="","",IF(INDEX(EXTRATO!$C$2:$C$3000,MATCH($A950,EXTRATO!$A$2:$A$3000,0))="","",INDEX(EXTRATO!$C$2:$C$3000,MATCH($A950,EXTRATO!$A$2:$A$3000,0))))</f>
        <v>46251</v>
      </c>
      <c r="C950" s="86">
        <f t="shared" si="17"/>
        <v>8</v>
      </c>
      <c r="D950" s="81" t="s">
        <v>1330</v>
      </c>
      <c r="E950" s="79" t="s">
        <v>1379</v>
      </c>
      <c r="F950" s="80">
        <v>207</v>
      </c>
      <c r="G950" s="81" t="s">
        <v>305</v>
      </c>
      <c r="H950" s="86" t="str">
        <f>IF(A950="","",IF(INDEX(EXTRATO!$F$2:$F$3000,MATCH($A950,EXTRATO!$A$2:$A$3000,0))="","",INDEX(EXTRATO!$F$2:$F$3000,MATCH($A950,EXTRATO!$A$2:$A$3000,0))))</f>
        <v>SAÍDA</v>
      </c>
      <c r="I950" s="88" t="str">
        <f>IF(A950="","",IF(INDEX(EXTRATO!$H$2:$H$3000,MATCH($A950,EXTRATO!$A$2:$A$3000,0))="","",INDEX(EXTRATO!$H$2:$H$3000,MATCH($A950,EXTRATO!$A$2:$A$3000,0))))</f>
        <v>FORTES CONECTA - RELÓGIO DE PONTO</v>
      </c>
      <c r="J950" s="86" t="s">
        <v>1565</v>
      </c>
      <c r="K950" s="86" t="str">
        <f>IF(AND(A950="",D950="",E950="",F950=""),"",IF(D950="","SEM CATEGORIA",IF(E950="","SEM SUBCATEGORIA",IF(COUNTIFS(CADASTROS!$L$7:$L$93,D950,CADASTROS!$D$7:$D$93,E950)=0,"INCOMPATÍVEL","OK"))))</f>
        <v>OK</v>
      </c>
    </row>
    <row r="951" spans="1:11" ht="30" hidden="1" customHeight="1" x14ac:dyDescent="0.25">
      <c r="A951" s="86" t="s">
        <v>2312</v>
      </c>
      <c r="B951" s="85">
        <f>IF(A951="","",IF(INDEX(EXTRATO!$C$2:$C$3000,MATCH($A951,EXTRATO!$A$2:$A$3000,0))="","",INDEX(EXTRATO!$C$2:$C$3000,MATCH($A951,EXTRATO!$A$2:$A$3000,0))))</f>
        <v>46251</v>
      </c>
      <c r="C951" s="86">
        <f t="shared" si="17"/>
        <v>8</v>
      </c>
      <c r="D951" s="81" t="s">
        <v>1330</v>
      </c>
      <c r="E951" s="79" t="s">
        <v>1331</v>
      </c>
      <c r="F951" s="80">
        <v>838</v>
      </c>
      <c r="G951" s="81" t="s">
        <v>1202</v>
      </c>
      <c r="H951" s="86" t="str">
        <f>IF(A951="","",IF(INDEX(EXTRATO!$F$2:$F$3000,MATCH($A951,EXTRATO!$A$2:$A$3000,0))="","",INDEX(EXTRATO!$F$2:$F$3000,MATCH($A951,EXTRATO!$A$2:$A$3000,0))))</f>
        <v>SAÍDA</v>
      </c>
      <c r="I951" s="88" t="str">
        <f>IF(A951="","",IF(INDEX(EXTRATO!$H$2:$H$3000,MATCH($A951,EXTRATO!$A$2:$A$3000,0))="","",INDEX(EXTRATO!$H$2:$H$3000,MATCH($A951,EXTRATO!$A$2:$A$3000,0))))</f>
        <v>ERONLIMP</v>
      </c>
      <c r="J951" s="86" t="s">
        <v>1360</v>
      </c>
      <c r="K951" s="86" t="str">
        <f>IF(AND(A951="",D951="",E951="",F951=""),"",IF(D951="","SEM CATEGORIA",IF(E951="","SEM SUBCATEGORIA",IF(COUNTIFS(CADASTROS!$L$7:$L$93,D951,CADASTROS!$D$7:$D$93,E951)=0,"INCOMPATÍVEL","OK"))))</f>
        <v>OK</v>
      </c>
    </row>
    <row r="952" spans="1:11" ht="30" hidden="1" customHeight="1" x14ac:dyDescent="0.25">
      <c r="A952" s="86" t="s">
        <v>2313</v>
      </c>
      <c r="B952" s="85">
        <f>IF(A952="","",IF(INDEX(EXTRATO!$C$2:$C$3000,MATCH($A952,EXTRATO!$A$2:$A$3000,0))="","",INDEX(EXTRATO!$C$2:$C$3000,MATCH($A952,EXTRATO!$A$2:$A$3000,0))))</f>
        <v>46251</v>
      </c>
      <c r="C952" s="86">
        <f t="shared" si="17"/>
        <v>8</v>
      </c>
      <c r="D952" s="81" t="s">
        <v>1330</v>
      </c>
      <c r="E952" s="79" t="s">
        <v>1379</v>
      </c>
      <c r="F952" s="80">
        <v>95</v>
      </c>
      <c r="G952" s="81" t="s">
        <v>305</v>
      </c>
      <c r="H952" s="86" t="str">
        <f>IF(A952="","",IF(INDEX(EXTRATO!$F$2:$F$3000,MATCH($A952,EXTRATO!$A$2:$A$3000,0))="","",INDEX(EXTRATO!$F$2:$F$3000,MATCH($A952,EXTRATO!$A$2:$A$3000,0))))</f>
        <v>SAÍDA</v>
      </c>
      <c r="I952" s="88" t="str">
        <f>IF(A952="","",IF(INDEX(EXTRATO!$H$2:$H$3000,MATCH($A952,EXTRATO!$A$2:$A$3000,0))="","",INDEX(EXTRATO!$H$2:$H$3000,MATCH($A952,EXTRATO!$A$2:$A$3000,0))))</f>
        <v>FORTES CONECTA - RELÓGIO DE PONTO</v>
      </c>
      <c r="J952" s="86" t="s">
        <v>1565</v>
      </c>
      <c r="K952" s="86" t="str">
        <f>IF(AND(A952="",D952="",E952="",F952=""),"",IF(D952="","SEM CATEGORIA",IF(E952="","SEM SUBCATEGORIA",IF(COUNTIFS(CADASTROS!$L$7:$L$93,D952,CADASTROS!$D$7:$D$93,E952)=0,"INCOMPATÍVEL","OK"))))</f>
        <v>OK</v>
      </c>
    </row>
    <row r="953" spans="1:11" ht="30" hidden="1" customHeight="1" x14ac:dyDescent="0.25">
      <c r="A953" s="86" t="s">
        <v>2314</v>
      </c>
      <c r="B953" s="85">
        <f>IF(A953="","",IF(INDEX(EXTRATO!$C$2:$C$3000,MATCH($A953,EXTRATO!$A$2:$A$3000,0))="","",INDEX(EXTRATO!$C$2:$C$3000,MATCH($A953,EXTRATO!$A$2:$A$3000,0))))</f>
        <v>46252</v>
      </c>
      <c r="C953" s="86">
        <f t="shared" si="17"/>
        <v>8</v>
      </c>
      <c r="D953" s="81" t="s">
        <v>1311</v>
      </c>
      <c r="E953" s="79" t="s">
        <v>1376</v>
      </c>
      <c r="F953" s="80">
        <v>2411.25</v>
      </c>
      <c r="G953" s="81" t="s">
        <v>1205</v>
      </c>
      <c r="H953" s="86" t="str">
        <f>IF(A953="","",IF(INDEX(EXTRATO!$F$2:$F$3000,MATCH($A953,EXTRATO!$A$2:$A$3000,0))="","",INDEX(EXTRATO!$F$2:$F$3000,MATCH($A953,EXTRATO!$A$2:$A$3000,0))))</f>
        <v>SAÍDA</v>
      </c>
      <c r="I953" s="88" t="str">
        <f>IF(A953="","",IF(INDEX(EXTRATO!$H$2:$H$3000,MATCH($A953,EXTRATO!$A$2:$A$3000,0))="","",INDEX(EXTRATO!$H$2:$H$3000,MATCH($A953,EXTRATO!$A$2:$A$3000,0))))</f>
        <v>NIPRO</v>
      </c>
      <c r="J953" s="86" t="s">
        <v>1565</v>
      </c>
      <c r="K953" s="86" t="str">
        <f>IF(AND(A953="",D953="",E953="",F953=""),"",IF(D953="","SEM CATEGORIA",IF(E953="","SEM SUBCATEGORIA",IF(COUNTIFS(CADASTROS!$L$7:$L$93,D953,CADASTROS!$D$7:$D$93,E953)=0,"INCOMPATÍVEL","OK"))))</f>
        <v>OK</v>
      </c>
    </row>
    <row r="954" spans="1:11" ht="30" hidden="1" customHeight="1" x14ac:dyDescent="0.25">
      <c r="A954" s="86" t="s">
        <v>2315</v>
      </c>
      <c r="B954" s="85">
        <f>IF(A954="","",IF(INDEX(EXTRATO!$C$2:$C$3000,MATCH($A954,EXTRATO!$A$2:$A$3000,0))="","",INDEX(EXTRATO!$C$2:$C$3000,MATCH($A954,EXTRATO!$A$2:$A$3000,0))))</f>
        <v>46253</v>
      </c>
      <c r="C954" s="86">
        <f t="shared" si="17"/>
        <v>8</v>
      </c>
      <c r="D954" s="81" t="s">
        <v>1367</v>
      </c>
      <c r="E954" s="79" t="s">
        <v>1560</v>
      </c>
      <c r="F954" s="80">
        <v>2600</v>
      </c>
      <c r="G954" s="81" t="s">
        <v>1207</v>
      </c>
      <c r="H954" s="86" t="str">
        <f>IF(A954="","",IF(INDEX(EXTRATO!$F$2:$F$3000,MATCH($A954,EXTRATO!$A$2:$A$3000,0))="","",INDEX(EXTRATO!$F$2:$F$3000,MATCH($A954,EXTRATO!$A$2:$A$3000,0))))</f>
        <v>SAÍDA</v>
      </c>
      <c r="I954" s="88" t="str">
        <f>IF(A954="","",IF(INDEX(EXTRATO!$H$2:$H$3000,MATCH($A954,EXTRATO!$A$2:$A$3000,0))="","",INDEX(EXTRATO!$H$2:$H$3000,MATCH($A954,EXTRATO!$A$2:$A$3000,0))))</f>
        <v>WILSON DE FREITAS SORIANO</v>
      </c>
      <c r="J954" s="86" t="s">
        <v>1565</v>
      </c>
      <c r="K954" s="86" t="str">
        <f>IF(AND(A954="",D954="",E954="",F954=""),"",IF(D954="","SEM CATEGORIA",IF(E954="","SEM SUBCATEGORIA",IF(COUNTIFS(CADASTROS!$L$7:$L$93,D954,CADASTROS!$D$7:$D$93,E954)=0,"INCOMPATÍVEL","OK"))))</f>
        <v>OK</v>
      </c>
    </row>
    <row r="955" spans="1:11" ht="30" hidden="1" customHeight="1" x14ac:dyDescent="0.25">
      <c r="A955" s="86" t="s">
        <v>2316</v>
      </c>
      <c r="B955" s="85">
        <f>IF(A955="","",IF(INDEX(EXTRATO!$C$2:$C$3000,MATCH($A955,EXTRATO!$A$2:$A$3000,0))="","",INDEX(EXTRATO!$C$2:$C$3000,MATCH($A955,EXTRATO!$A$2:$A$3000,0))))</f>
        <v>46254</v>
      </c>
      <c r="C955" s="86">
        <f t="shared" si="17"/>
        <v>8</v>
      </c>
      <c r="D955" s="81" t="s">
        <v>1367</v>
      </c>
      <c r="E955" s="79" t="s">
        <v>164</v>
      </c>
      <c r="F955" s="80">
        <v>9501.08</v>
      </c>
      <c r="G955" s="81" t="s">
        <v>1209</v>
      </c>
      <c r="H955" s="86" t="str">
        <f>IF(A955="","",IF(INDEX(EXTRATO!$F$2:$F$3000,MATCH($A955,EXTRATO!$A$2:$A$3000,0))="","",INDEX(EXTRATO!$F$2:$F$3000,MATCH($A955,EXTRATO!$A$2:$A$3000,0))))</f>
        <v>SAÍDA</v>
      </c>
      <c r="I955" s="88" t="str">
        <f>IF(A955="","",IF(INDEX(EXTRATO!$H$2:$H$3000,MATCH($A955,EXTRATO!$A$2:$A$3000,0))="","",INDEX(EXTRATO!$H$2:$H$3000,MATCH($A955,EXTRATO!$A$2:$A$3000,0))))</f>
        <v>FGTS</v>
      </c>
      <c r="J955" s="86" t="s">
        <v>1565</v>
      </c>
      <c r="K955" s="86" t="str">
        <f>IF(AND(A955="",D955="",E955="",F955=""),"",IF(D955="","SEM CATEGORIA",IF(E955="","SEM SUBCATEGORIA",IF(COUNTIFS(CADASTROS!$L$7:$L$93,D955,CADASTROS!$D$7:$D$93,E955)=0,"INCOMPATÍVEL","OK"))))</f>
        <v>OK</v>
      </c>
    </row>
    <row r="956" spans="1:11" ht="30" hidden="1" customHeight="1" x14ac:dyDescent="0.25">
      <c r="A956" s="86" t="s">
        <v>2317</v>
      </c>
      <c r="B956" s="85">
        <f>IF(A956="","",IF(INDEX(EXTRATO!$C$2:$C$3000,MATCH($A956,EXTRATO!$A$2:$A$3000,0))="","",INDEX(EXTRATO!$C$2:$C$3000,MATCH($A956,EXTRATO!$A$2:$A$3000,0))))</f>
        <v>46254</v>
      </c>
      <c r="C956" s="86">
        <f t="shared" si="17"/>
        <v>8</v>
      </c>
      <c r="D956" s="81" t="s">
        <v>1367</v>
      </c>
      <c r="E956" s="79" t="s">
        <v>167</v>
      </c>
      <c r="F956" s="80">
        <v>28117.68</v>
      </c>
      <c r="G956" s="81" t="s">
        <v>1210</v>
      </c>
      <c r="H956" s="86" t="str">
        <f>IF(A956="","",IF(INDEX(EXTRATO!$F$2:$F$3000,MATCH($A956,EXTRATO!$A$2:$A$3000,0))="","",INDEX(EXTRATO!$F$2:$F$3000,MATCH($A956,EXTRATO!$A$2:$A$3000,0))))</f>
        <v>SAÍDA</v>
      </c>
      <c r="I956" s="88" t="str">
        <f>IF(A956="","",IF(INDEX(EXTRATO!$H$2:$H$3000,MATCH($A956,EXTRATO!$A$2:$A$3000,0))="","",INDEX(EXTRATO!$H$2:$H$3000,MATCH($A956,EXTRATO!$A$2:$A$3000,0))))</f>
        <v>INSS</v>
      </c>
      <c r="J956" s="86" t="s">
        <v>1565</v>
      </c>
      <c r="K956" s="86" t="str">
        <f>IF(AND(A956="",D956="",E956="",F956=""),"",IF(D956="","SEM CATEGORIA",IF(E956="","SEM SUBCATEGORIA",IF(COUNTIFS(CADASTROS!$L$7:$L$93,D956,CADASTROS!$D$7:$D$93,E956)=0,"INCOMPATÍVEL","OK"))))</f>
        <v>OK</v>
      </c>
    </row>
    <row r="957" spans="1:11" ht="30" hidden="1" customHeight="1" x14ac:dyDescent="0.25">
      <c r="A957" s="86" t="s">
        <v>2318</v>
      </c>
      <c r="B957" s="85">
        <f>IF(A957="","",IF(INDEX(EXTRATO!$C$2:$C$3000,MATCH($A957,EXTRATO!$A$2:$A$3000,0))="","",INDEX(EXTRATO!$C$2:$C$3000,MATCH($A957,EXTRATO!$A$2:$A$3000,0))))</f>
        <v>46254</v>
      </c>
      <c r="C957" s="86">
        <f t="shared" si="17"/>
        <v>8</v>
      </c>
      <c r="D957" s="81" t="s">
        <v>1388</v>
      </c>
      <c r="E957" s="79" t="s">
        <v>168</v>
      </c>
      <c r="F957" s="80">
        <v>120.08</v>
      </c>
      <c r="G957" s="81" t="s">
        <v>168</v>
      </c>
      <c r="H957" s="86" t="str">
        <f>IF(A957="","",IF(INDEX(EXTRATO!$F$2:$F$3000,MATCH($A957,EXTRATO!$A$2:$A$3000,0))="","",INDEX(EXTRATO!$F$2:$F$3000,MATCH($A957,EXTRATO!$A$2:$A$3000,0))))</f>
        <v>SAÍDA</v>
      </c>
      <c r="I957" s="88" t="str">
        <f>IF(A957="","",IF(INDEX(EXTRATO!$H$2:$H$3000,MATCH($A957,EXTRATO!$A$2:$A$3000,0))="","",INDEX(EXTRATO!$H$2:$H$3000,MATCH($A957,EXTRATO!$A$2:$A$3000,0))))</f>
        <v>TRIBUTOS FEDEREIAS MENSAIS</v>
      </c>
      <c r="J957" s="86" t="s">
        <v>1360</v>
      </c>
      <c r="K957" s="86" t="str">
        <f>IF(AND(A957="",D957="",E957="",F957=""),"",IF(D957="","SEM CATEGORIA",IF(E957="","SEM SUBCATEGORIA",IF(COUNTIFS(CADASTROS!$L$7:$L$93,D957,CADASTROS!$D$7:$D$93,E957)=0,"INCOMPATÍVEL","OK"))))</f>
        <v>OK</v>
      </c>
    </row>
    <row r="958" spans="1:11" ht="30" hidden="1" customHeight="1" x14ac:dyDescent="0.25">
      <c r="A958" s="86" t="s">
        <v>2319</v>
      </c>
      <c r="B958" s="85">
        <f>IF(A958="","",IF(INDEX(EXTRATO!$C$2:$C$3000,MATCH($A958,EXTRATO!$A$2:$A$3000,0))="","",INDEX(EXTRATO!$C$2:$C$3000,MATCH($A958,EXTRATO!$A$2:$A$3000,0))))</f>
        <v>46254</v>
      </c>
      <c r="C958" s="86">
        <f t="shared" si="17"/>
        <v>8</v>
      </c>
      <c r="D958" s="81" t="s">
        <v>1388</v>
      </c>
      <c r="E958" s="79" t="s">
        <v>170</v>
      </c>
      <c r="F958" s="80">
        <v>38.74</v>
      </c>
      <c r="G958" s="81" t="s">
        <v>170</v>
      </c>
      <c r="H958" s="86" t="str">
        <f>IF(A958="","",IF(INDEX(EXTRATO!$F$2:$F$3000,MATCH($A958,EXTRATO!$A$2:$A$3000,0))="","",INDEX(EXTRATO!$F$2:$F$3000,MATCH($A958,EXTRATO!$A$2:$A$3000,0))))</f>
        <v>SAÍDA</v>
      </c>
      <c r="I958" s="88" t="str">
        <f>IF(A958="","",IF(INDEX(EXTRATO!$H$2:$H$3000,MATCH($A958,EXTRATO!$A$2:$A$3000,0))="","",INDEX(EXTRATO!$H$2:$H$3000,MATCH($A958,EXTRATO!$A$2:$A$3000,0))))</f>
        <v>TRIBUTOS FEDEREIAS MENSAIS</v>
      </c>
      <c r="J958" s="86" t="s">
        <v>1360</v>
      </c>
      <c r="K958" s="86" t="str">
        <f>IF(AND(A958="",D958="",E958="",F958=""),"",IF(D958="","SEM CATEGORIA",IF(E958="","SEM SUBCATEGORIA",IF(COUNTIFS(CADASTROS!$L$7:$L$93,D958,CADASTROS!$D$7:$D$93,E958)=0,"INCOMPATÍVEL","OK"))))</f>
        <v>OK</v>
      </c>
    </row>
    <row r="959" spans="1:11" ht="30" hidden="1" customHeight="1" x14ac:dyDescent="0.25">
      <c r="A959" s="86" t="s">
        <v>2320</v>
      </c>
      <c r="B959" s="85">
        <f>IF(A959="","",IF(INDEX(EXTRATO!$C$2:$C$3000,MATCH($A959,EXTRATO!$A$2:$A$3000,0))="","",INDEX(EXTRATO!$C$2:$C$3000,MATCH($A959,EXTRATO!$A$2:$A$3000,0))))</f>
        <v>46254</v>
      </c>
      <c r="C959" s="86">
        <f t="shared" si="17"/>
        <v>8</v>
      </c>
      <c r="D959" s="81" t="s">
        <v>1330</v>
      </c>
      <c r="E959" s="79" t="s">
        <v>1379</v>
      </c>
      <c r="F959" s="80">
        <v>300</v>
      </c>
      <c r="G959" s="81" t="s">
        <v>513</v>
      </c>
      <c r="H959" s="86" t="str">
        <f>IF(A959="","",IF(INDEX(EXTRATO!$F$2:$F$3000,MATCH($A959,EXTRATO!$A$2:$A$3000,0))="","",INDEX(EXTRATO!$F$2:$F$3000,MATCH($A959,EXTRATO!$A$2:$A$3000,0))))</f>
        <v>SAÍDA</v>
      </c>
      <c r="I959" s="88" t="str">
        <f>IF(A959="","",IF(INDEX(EXTRATO!$H$2:$H$3000,MATCH($A959,EXTRATO!$A$2:$A$3000,0))="","",INDEX(EXTRATO!$H$2:$H$3000,MATCH($A959,EXTRATO!$A$2:$A$3000,0))))</f>
        <v>CASSIANO &amp; CASSINOS CONTABILIDADE</v>
      </c>
      <c r="J959" s="86" t="s">
        <v>1565</v>
      </c>
      <c r="K959" s="86" t="str">
        <f>IF(AND(A959="",D959="",E959="",F959=""),"",IF(D959="","SEM CATEGORIA",IF(E959="","SEM SUBCATEGORIA",IF(COUNTIFS(CADASTROS!$L$7:$L$93,D959,CADASTROS!$D$7:$D$93,E959)=0,"INCOMPATÍVEL","OK"))))</f>
        <v>OK</v>
      </c>
    </row>
    <row r="960" spans="1:11" ht="30" hidden="1" customHeight="1" x14ac:dyDescent="0.25">
      <c r="A960" s="86" t="s">
        <v>2321</v>
      </c>
      <c r="B960" s="85">
        <f>IF(A960="","",IF(INDEX(EXTRATO!$C$2:$C$3000,MATCH($A960,EXTRATO!$A$2:$A$3000,0))="","",INDEX(EXTRATO!$C$2:$C$3000,MATCH($A960,EXTRATO!$A$2:$A$3000,0))))</f>
        <v>46254</v>
      </c>
      <c r="C960" s="86">
        <f t="shared" ref="C960:C979" si="18">IF(B960="","",MONTH(B960))</f>
        <v>8</v>
      </c>
      <c r="D960" s="81" t="s">
        <v>1349</v>
      </c>
      <c r="E960" s="79" t="s">
        <v>1350</v>
      </c>
      <c r="F960" s="80">
        <v>532.65</v>
      </c>
      <c r="G960" s="81" t="s">
        <v>1212</v>
      </c>
      <c r="H960" s="86" t="str">
        <f>IF(A960="","",IF(INDEX(EXTRATO!$F$2:$F$3000,MATCH($A960,EXTRATO!$A$2:$A$3000,0))="","",INDEX(EXTRATO!$F$2:$F$3000,MATCH($A960,EXTRATO!$A$2:$A$3000,0))))</f>
        <v>SAÍDA</v>
      </c>
      <c r="I960" s="88" t="str">
        <f>IF(A960="","",IF(INDEX(EXTRATO!$H$2:$H$3000,MATCH($A960,EXTRATO!$A$2:$A$3000,0))="","",INDEX(EXTRATO!$H$2:$H$3000,MATCH($A960,EXTRATO!$A$2:$A$3000,0))))</f>
        <v>TOKIO MARINE SEGURADORA S.A</v>
      </c>
      <c r="J960" s="86" t="s">
        <v>1360</v>
      </c>
      <c r="K960" s="86" t="str">
        <f>IF(AND(A960="",D960="",E960="",F960=""),"",IF(D960="","SEM CATEGORIA",IF(E960="","SEM SUBCATEGORIA",IF(COUNTIFS(CADASTROS!$L$7:$L$93,D960,CADASTROS!$D$7:$D$93,E960)=0,"INCOMPATÍVEL","OK"))))</f>
        <v>OK</v>
      </c>
    </row>
    <row r="961" spans="1:11" ht="30" hidden="1" customHeight="1" x14ac:dyDescent="0.25">
      <c r="A961" s="86" t="s">
        <v>2322</v>
      </c>
      <c r="B961" s="85">
        <f>IF(A961="","",IF(INDEX(EXTRATO!$C$2:$C$3000,MATCH($A961,EXTRATO!$A$2:$A$3000,0))="","",INDEX(EXTRATO!$C$2:$C$3000,MATCH($A961,EXTRATO!$A$2:$A$3000,0))))</f>
        <v>46254</v>
      </c>
      <c r="C961" s="86">
        <f t="shared" si="18"/>
        <v>8</v>
      </c>
      <c r="D961" s="81" t="s">
        <v>1311</v>
      </c>
      <c r="E961" s="79" t="s">
        <v>1470</v>
      </c>
      <c r="F961" s="80">
        <v>1165.98</v>
      </c>
      <c r="G961" s="81" t="s">
        <v>218</v>
      </c>
      <c r="H961" s="86" t="str">
        <f>IF(A961="","",IF(INDEX(EXTRATO!$F$2:$F$3000,MATCH($A961,EXTRATO!$A$2:$A$3000,0))="","",INDEX(EXTRATO!$F$2:$F$3000,MATCH($A961,EXTRATO!$A$2:$A$3000,0))))</f>
        <v>SAÍDA</v>
      </c>
      <c r="I961" s="88" t="str">
        <f>IF(A961="","",IF(INDEX(EXTRATO!$H$2:$H$3000,MATCH($A961,EXTRATO!$A$2:$A$3000,0))="","",INDEX(EXTRATO!$H$2:$H$3000,MATCH($A961,EXTRATO!$A$2:$A$3000,0))))</f>
        <v>QUALIÁGUA</v>
      </c>
      <c r="J961" s="86" t="s">
        <v>1565</v>
      </c>
      <c r="K961" s="86" t="str">
        <f>IF(AND(A961="",D961="",E961="",F961=""),"",IF(D961="","SEM CATEGORIA",IF(E961="","SEM SUBCATEGORIA",IF(COUNTIFS(CADASTROS!$L$7:$L$93,D961,CADASTROS!$D$7:$D$93,E961)=0,"INCOMPATÍVEL","OK"))))</f>
        <v>OK</v>
      </c>
    </row>
    <row r="962" spans="1:11" ht="30" hidden="1" customHeight="1" x14ac:dyDescent="0.25">
      <c r="A962" s="86" t="s">
        <v>2323</v>
      </c>
      <c r="B962" s="85">
        <f>IF(A962="","",IF(INDEX(EXTRATO!$C$2:$C$3000,MATCH($A962,EXTRATO!$A$2:$A$3000,0))="","",INDEX(EXTRATO!$C$2:$C$3000,MATCH($A962,EXTRATO!$A$2:$A$3000,0))))</f>
        <v>46258</v>
      </c>
      <c r="C962" s="86">
        <f t="shared" si="18"/>
        <v>8</v>
      </c>
      <c r="D962" s="81" t="s">
        <v>1367</v>
      </c>
      <c r="E962" s="79" t="s">
        <v>1779</v>
      </c>
      <c r="F962" s="80">
        <v>830.68</v>
      </c>
      <c r="G962" s="81" t="s">
        <v>1215</v>
      </c>
      <c r="H962" s="86" t="str">
        <f>IF(A962="","",IF(INDEX(EXTRATO!$F$2:$F$3000,MATCH($A962,EXTRATO!$A$2:$A$3000,0))="","",INDEX(EXTRATO!$F$2:$F$3000,MATCH($A962,EXTRATO!$A$2:$A$3000,0))))</f>
        <v>SAÍDA</v>
      </c>
      <c r="I962" s="88" t="str">
        <f>IF(A962="","",IF(INDEX(EXTRATO!$H$2:$H$3000,MATCH($A962,EXTRATO!$A$2:$A$3000,0))="","",INDEX(EXTRATO!$H$2:$H$3000,MATCH($A962,EXTRATO!$A$2:$A$3000,0))))</f>
        <v>FGTS RESCISÓRIO</v>
      </c>
      <c r="J962" s="86" t="s">
        <v>1360</v>
      </c>
      <c r="K962" s="86" t="str">
        <f>IF(AND(A962="",D962="",E962="",F962=""),"",IF(D962="","SEM CATEGORIA",IF(E962="","SEM SUBCATEGORIA",IF(COUNTIFS(CADASTROS!$L$7:$L$93,D962,CADASTROS!$D$7:$D$93,E962)=0,"INCOMPATÍVEL","OK"))))</f>
        <v>OK</v>
      </c>
    </row>
    <row r="963" spans="1:11" ht="30" hidden="1" customHeight="1" x14ac:dyDescent="0.25">
      <c r="A963" s="86" t="s">
        <v>2324</v>
      </c>
      <c r="B963" s="85">
        <f>IF(A963="","",IF(INDEX(EXTRATO!$C$2:$C$3000,MATCH($A963,EXTRATO!$A$2:$A$3000,0))="","",INDEX(EXTRATO!$C$2:$C$3000,MATCH($A963,EXTRATO!$A$2:$A$3000,0))))</f>
        <v>46258</v>
      </c>
      <c r="C963" s="86">
        <f t="shared" si="18"/>
        <v>8</v>
      </c>
      <c r="D963" s="81" t="s">
        <v>1311</v>
      </c>
      <c r="E963" s="79" t="s">
        <v>1315</v>
      </c>
      <c r="F963" s="80">
        <v>2040.58</v>
      </c>
      <c r="G963" s="81" t="s">
        <v>1217</v>
      </c>
      <c r="H963" s="86" t="str">
        <f>IF(A963="","",IF(INDEX(EXTRATO!$F$2:$F$3000,MATCH($A963,EXTRATO!$A$2:$A$3000,0))="","",INDEX(EXTRATO!$F$2:$F$3000,MATCH($A963,EXTRATO!$A$2:$A$3000,0))))</f>
        <v>SAÍDA</v>
      </c>
      <c r="I963" s="88" t="str">
        <f>IF(A963="","",IF(INDEX(EXTRATO!$H$2:$H$3000,MATCH($A963,EXTRATO!$A$2:$A$3000,0))="","",INDEX(EXTRATO!$H$2:$H$3000,MATCH($A963,EXTRATO!$A$2:$A$3000,0))))</f>
        <v>ALLMED PRONEFRO</v>
      </c>
      <c r="J963" s="86" t="s">
        <v>1565</v>
      </c>
      <c r="K963" s="86" t="str">
        <f>IF(AND(A963="",D963="",E963="",F963=""),"",IF(D963="","SEM CATEGORIA",IF(E963="","SEM SUBCATEGORIA",IF(COUNTIFS(CADASTROS!$L$7:$L$93,D963,CADASTROS!$D$7:$D$93,E963)=0,"INCOMPATÍVEL","OK"))))</f>
        <v>OK</v>
      </c>
    </row>
    <row r="964" spans="1:11" ht="30" hidden="1" customHeight="1" x14ac:dyDescent="0.25">
      <c r="A964" s="86" t="s">
        <v>2325</v>
      </c>
      <c r="B964" s="85">
        <f>IF(A964="","",IF(INDEX(EXTRATO!$C$2:$C$3000,MATCH($A964,EXTRATO!$A$2:$A$3000,0))="","",INDEX(EXTRATO!$C$2:$C$3000,MATCH($A964,EXTRATO!$A$2:$A$3000,0))))</f>
        <v>46259</v>
      </c>
      <c r="C964" s="86">
        <f t="shared" si="18"/>
        <v>8</v>
      </c>
      <c r="D964" s="81" t="s">
        <v>1367</v>
      </c>
      <c r="E964" s="79" t="s">
        <v>1779</v>
      </c>
      <c r="F964" s="80">
        <v>3104.29</v>
      </c>
      <c r="G964" s="81" t="s">
        <v>1218</v>
      </c>
      <c r="H964" s="86" t="str">
        <f>IF(A964="","",IF(INDEX(EXTRATO!$F$2:$F$3000,MATCH($A964,EXTRATO!$A$2:$A$3000,0))="","",INDEX(EXTRATO!$F$2:$F$3000,MATCH($A964,EXTRATO!$A$2:$A$3000,0))))</f>
        <v>SAÍDA</v>
      </c>
      <c r="I964" s="88" t="str">
        <f>IF(A964="","",IF(INDEX(EXTRATO!$H$2:$H$3000,MATCH($A964,EXTRATO!$A$2:$A$3000,0))="","",INDEX(EXTRATO!$H$2:$H$3000,MATCH($A964,EXTRATO!$A$2:$A$3000,0))))</f>
        <v>RESCISÃO DE CONTRATO</v>
      </c>
      <c r="J964" s="86" t="s">
        <v>1360</v>
      </c>
      <c r="K964" s="86" t="str">
        <f>IF(AND(A964="",D964="",E964="",F964=""),"",IF(D964="","SEM CATEGORIA",IF(E964="","SEM SUBCATEGORIA",IF(COUNTIFS(CADASTROS!$L$7:$L$93,D964,CADASTROS!$D$7:$D$93,E964)=0,"INCOMPATÍVEL","OK"))))</f>
        <v>OK</v>
      </c>
    </row>
    <row r="965" spans="1:11" ht="30" hidden="1" customHeight="1" x14ac:dyDescent="0.25">
      <c r="A965" s="86" t="s">
        <v>2326</v>
      </c>
      <c r="B965" s="85">
        <f>IF(A965="","",IF(INDEX(EXTRATO!$C$2:$C$3000,MATCH($A965,EXTRATO!$A$2:$A$3000,0))="","",INDEX(EXTRATO!$C$2:$C$3000,MATCH($A965,EXTRATO!$A$2:$A$3000,0))))</f>
        <v>46259</v>
      </c>
      <c r="C965" s="86">
        <f t="shared" si="18"/>
        <v>8</v>
      </c>
      <c r="D965" s="81" t="s">
        <v>1388</v>
      </c>
      <c r="E965" s="79" t="s">
        <v>179</v>
      </c>
      <c r="F965" s="80">
        <v>3935.84</v>
      </c>
      <c r="G965" s="81" t="s">
        <v>1219</v>
      </c>
      <c r="H965" s="86" t="str">
        <f>IF(A965="","",IF(INDEX(EXTRATO!$F$2:$F$3000,MATCH($A965,EXTRATO!$A$2:$A$3000,0))="","",INDEX(EXTRATO!$F$2:$F$3000,MATCH($A965,EXTRATO!$A$2:$A$3000,0))))</f>
        <v>SAÍDA</v>
      </c>
      <c r="I965" s="88" t="str">
        <f>IF(A965="","",IF(INDEX(EXTRATO!$H$2:$H$3000,MATCH($A965,EXTRATO!$A$2:$A$3000,0))="","",INDEX(EXTRATO!$H$2:$H$3000,MATCH($A965,EXTRATO!$A$2:$A$3000,0))))</f>
        <v>PIS</v>
      </c>
      <c r="J965" s="86" t="s">
        <v>1565</v>
      </c>
      <c r="K965" s="86" t="str">
        <f>IF(AND(A965="",D965="",E965="",F965=""),"",IF(D965="","SEM CATEGORIA",IF(E965="","SEM SUBCATEGORIA",IF(COUNTIFS(CADASTROS!$L$7:$L$93,D965,CADASTROS!$D$7:$D$93,E965)=0,"INCOMPATÍVEL","OK"))))</f>
        <v>OK</v>
      </c>
    </row>
    <row r="966" spans="1:11" ht="30" hidden="1" customHeight="1" x14ac:dyDescent="0.25">
      <c r="A966" s="86" t="s">
        <v>2327</v>
      </c>
      <c r="B966" s="85">
        <f>IF(A966="","",IF(INDEX(EXTRATO!$C$2:$C$3000,MATCH($A966,EXTRATO!$A$2:$A$3000,0))="","",INDEX(EXTRATO!$C$2:$C$3000,MATCH($A966,EXTRATO!$A$2:$A$3000,0))))</f>
        <v>46259</v>
      </c>
      <c r="C966" s="86">
        <f t="shared" si="18"/>
        <v>8</v>
      </c>
      <c r="D966" s="81" t="s">
        <v>1388</v>
      </c>
      <c r="E966" s="79" t="s">
        <v>180</v>
      </c>
      <c r="F966" s="80">
        <v>18165.400000000001</v>
      </c>
      <c r="G966" s="81" t="s">
        <v>1220</v>
      </c>
      <c r="H966" s="86" t="str">
        <f>IF(A966="","",IF(INDEX(EXTRATO!$F$2:$F$3000,MATCH($A966,EXTRATO!$A$2:$A$3000,0))="","",INDEX(EXTRATO!$F$2:$F$3000,MATCH($A966,EXTRATO!$A$2:$A$3000,0))))</f>
        <v>SAÍDA</v>
      </c>
      <c r="I966" s="88" t="str">
        <f>IF(A966="","",IF(INDEX(EXTRATO!$H$2:$H$3000,MATCH($A966,EXTRATO!$A$2:$A$3000,0))="","",INDEX(EXTRATO!$H$2:$H$3000,MATCH($A966,EXTRATO!$A$2:$A$3000,0))))</f>
        <v>COFINS</v>
      </c>
      <c r="J966" s="86" t="s">
        <v>1565</v>
      </c>
      <c r="K966" s="86" t="str">
        <f>IF(AND(A966="",D966="",E966="",F966=""),"",IF(D966="","SEM CATEGORIA",IF(E966="","SEM SUBCATEGORIA",IF(COUNTIFS(CADASTROS!$L$7:$L$93,D966,CADASTROS!$D$7:$D$93,E966)=0,"INCOMPATÍVEL","OK"))))</f>
        <v>OK</v>
      </c>
    </row>
    <row r="967" spans="1:11" ht="30" hidden="1" customHeight="1" x14ac:dyDescent="0.25">
      <c r="A967" s="86" t="s">
        <v>2328</v>
      </c>
      <c r="B967" s="85">
        <f>IF(A967="","",IF(INDEX(EXTRATO!$C$2:$C$3000,MATCH($A967,EXTRATO!$A$2:$A$3000,0))="","",INDEX(EXTRATO!$C$2:$C$3000,MATCH($A967,EXTRATO!$A$2:$A$3000,0))))</f>
        <v>46259</v>
      </c>
      <c r="C967" s="86">
        <f t="shared" si="18"/>
        <v>8</v>
      </c>
      <c r="D967" s="81" t="s">
        <v>1330</v>
      </c>
      <c r="E967" s="79" t="s">
        <v>1352</v>
      </c>
      <c r="F967" s="80">
        <v>400</v>
      </c>
      <c r="G967" s="81" t="s">
        <v>678</v>
      </c>
      <c r="H967" s="86" t="str">
        <f>IF(A967="","",IF(INDEX(EXTRATO!$F$2:$F$3000,MATCH($A967,EXTRATO!$A$2:$A$3000,0))="","",INDEX(EXTRATO!$F$2:$F$3000,MATCH($A967,EXTRATO!$A$2:$A$3000,0))))</f>
        <v>SAÍDA</v>
      </c>
      <c r="I967" s="88" t="str">
        <f>IF(A967="","",IF(INDEX(EXTRATO!$H$2:$H$3000,MATCH($A967,EXTRATO!$A$2:$A$3000,0))="","",INDEX(EXTRATO!$H$2:$H$3000,MATCH($A967,EXTRATO!$A$2:$A$3000,0))))</f>
        <v>ABCDT</v>
      </c>
      <c r="J967" s="86" t="s">
        <v>1565</v>
      </c>
      <c r="K967" s="86" t="str">
        <f>IF(AND(A967="",D967="",E967="",F967=""),"",IF(D967="","SEM CATEGORIA",IF(E967="","SEM SUBCATEGORIA",IF(COUNTIFS(CADASTROS!$L$7:$L$93,D967,CADASTROS!$D$7:$D$93,E967)=0,"INCOMPATÍVEL","OK"))))</f>
        <v>OK</v>
      </c>
    </row>
    <row r="968" spans="1:11" ht="30" hidden="1" customHeight="1" x14ac:dyDescent="0.25">
      <c r="A968" s="86" t="s">
        <v>2329</v>
      </c>
      <c r="B968" s="85">
        <f>IF(A968="","",IF(INDEX(EXTRATO!$C$2:$C$3000,MATCH($A968,EXTRATO!$A$2:$A$3000,0))="","",INDEX(EXTRATO!$C$2:$C$3000,MATCH($A968,EXTRATO!$A$2:$A$3000,0))))</f>
        <v>46260</v>
      </c>
      <c r="C968" s="86">
        <f t="shared" si="18"/>
        <v>8</v>
      </c>
      <c r="D968" s="81" t="s">
        <v>1305</v>
      </c>
      <c r="E968" s="79" t="s">
        <v>1615</v>
      </c>
      <c r="F968" s="80">
        <v>15213.04</v>
      </c>
      <c r="G968" s="81" t="s">
        <v>1221</v>
      </c>
      <c r="H968" s="86" t="str">
        <f>IF(A968="","",IF(INDEX(EXTRATO!$F$2:$F$3000,MATCH($A968,EXTRATO!$A$2:$A$3000,0))="","",INDEX(EXTRATO!$F$2:$F$3000,MATCH($A968,EXTRATO!$A$2:$A$3000,0))))</f>
        <v>ENTRADA</v>
      </c>
      <c r="I968" s="88" t="str">
        <f>IF(A968="","",IF(INDEX(EXTRATO!$H$2:$H$3000,MATCH($A968,EXTRATO!$A$2:$A$3000,0))="","",INDEX(EXTRATO!$H$2:$H$3000,MATCH($A968,EXTRATO!$A$2:$A$3000,0))))</f>
        <v>REPASSE DO CONTRATO</v>
      </c>
      <c r="J968" s="86" t="s">
        <v>1307</v>
      </c>
      <c r="K968" s="86" t="str">
        <f>IF(AND(A968="",D968="",E968="",F968=""),"",IF(D968="","SEM CATEGORIA",IF(E968="","SEM SUBCATEGORIA",IF(COUNTIFS(CADASTROS!$L$7:$L$93,D968,CADASTROS!$D$7:$D$93,E968)=0,"INCOMPATÍVEL","OK"))))</f>
        <v>OK</v>
      </c>
    </row>
    <row r="969" spans="1:11" ht="30" hidden="1" customHeight="1" x14ac:dyDescent="0.25">
      <c r="A969" s="86" t="s">
        <v>2330</v>
      </c>
      <c r="B969" s="85">
        <f>IF(A969="","",IF(INDEX(EXTRATO!$C$2:$C$3000,MATCH($A969,EXTRATO!$A$2:$A$3000,0))="","",INDEX(EXTRATO!$C$2:$C$3000,MATCH($A969,EXTRATO!$A$2:$A$3000,0))))</f>
        <v>46260</v>
      </c>
      <c r="C969" s="86">
        <f t="shared" si="18"/>
        <v>8</v>
      </c>
      <c r="D969" s="81" t="s">
        <v>1305</v>
      </c>
      <c r="E969" s="79" t="s">
        <v>1615</v>
      </c>
      <c r="F969" s="80">
        <v>598887.53</v>
      </c>
      <c r="G969" s="81" t="s">
        <v>1222</v>
      </c>
      <c r="H969" s="86" t="str">
        <f>IF(A969="","",IF(INDEX(EXTRATO!$F$2:$F$3000,MATCH($A969,EXTRATO!$A$2:$A$3000,0))="","",INDEX(EXTRATO!$F$2:$F$3000,MATCH($A969,EXTRATO!$A$2:$A$3000,0))))</f>
        <v>ENTRADA</v>
      </c>
      <c r="I969" s="88" t="str">
        <f>IF(A969="","",IF(INDEX(EXTRATO!$H$2:$H$3000,MATCH($A969,EXTRATO!$A$2:$A$3000,0))="","",INDEX(EXTRATO!$H$2:$H$3000,MATCH($A969,EXTRATO!$A$2:$A$3000,0))))</f>
        <v>REPASSE DO CONTRATO</v>
      </c>
      <c r="J969" s="86" t="s">
        <v>1307</v>
      </c>
      <c r="K969" s="86" t="str">
        <f>IF(AND(A969="",D969="",E969="",F969=""),"",IF(D969="","SEM CATEGORIA",IF(E969="","SEM SUBCATEGORIA",IF(COUNTIFS(CADASTROS!$L$7:$L$93,D969,CADASTROS!$D$7:$D$93,E969)=0,"INCOMPATÍVEL","OK"))))</f>
        <v>OK</v>
      </c>
    </row>
    <row r="970" spans="1:11" ht="30" hidden="1" customHeight="1" x14ac:dyDescent="0.25">
      <c r="A970" s="86" t="s">
        <v>2331</v>
      </c>
      <c r="B970" s="85">
        <f>IF(A970="","",IF(INDEX(EXTRATO!$C$2:$C$3000,MATCH($A970,EXTRATO!$A$2:$A$3000,0))="","",INDEX(EXTRATO!$C$2:$C$3000,MATCH($A970,EXTRATO!$A$2:$A$3000,0))))</f>
        <v>46260</v>
      </c>
      <c r="C970" s="86">
        <f t="shared" si="18"/>
        <v>8</v>
      </c>
      <c r="D970" s="81" t="s">
        <v>1904</v>
      </c>
      <c r="E970" s="79" t="s">
        <v>1905</v>
      </c>
      <c r="F970" s="80">
        <v>8000</v>
      </c>
      <c r="G970" s="81" t="s">
        <v>895</v>
      </c>
      <c r="H970" s="86" t="str">
        <f>IF(A970="","",IF(INDEX(EXTRATO!$F$2:$F$3000,MATCH($A970,EXTRATO!$A$2:$A$3000,0))="","",INDEX(EXTRATO!$F$2:$F$3000,MATCH($A970,EXTRATO!$A$2:$A$3000,0))))</f>
        <v>SAÍDA</v>
      </c>
      <c r="I970" s="88" t="str">
        <f>IF(A970="","",IF(INDEX(EXTRATO!$H$2:$H$3000,MATCH($A970,EXTRATO!$A$2:$A$3000,0))="","",INDEX(EXTRATO!$H$2:$H$3000,MATCH($A970,EXTRATO!$A$2:$A$3000,0))))</f>
        <v>CELINA TCBC DE MIRANDA</v>
      </c>
      <c r="J970" s="86" t="s">
        <v>1565</v>
      </c>
      <c r="K970" s="86" t="str">
        <f>IF(AND(A970="",D970="",E970="",F970=""),"",IF(D970="","SEM CATEGORIA",IF(E970="","SEM SUBCATEGORIA",IF(COUNTIFS(CADASTROS!$L$7:$L$93,D970,CADASTROS!$D$7:$D$93,E970)=0,"INCOMPATÍVEL","OK"))))</f>
        <v>OK</v>
      </c>
    </row>
    <row r="971" spans="1:11" ht="30" hidden="1" customHeight="1" x14ac:dyDescent="0.25">
      <c r="A971" s="86" t="s">
        <v>2332</v>
      </c>
      <c r="B971" s="85">
        <f>IF(A971="","",IF(INDEX(EXTRATO!$C$2:$C$3000,MATCH($A971,EXTRATO!$A$2:$A$3000,0))="","",INDEX(EXTRATO!$C$2:$C$3000,MATCH($A971,EXTRATO!$A$2:$A$3000,0))))</f>
        <v>46260</v>
      </c>
      <c r="C971" s="86">
        <f t="shared" si="18"/>
        <v>8</v>
      </c>
      <c r="D971" s="81" t="s">
        <v>1637</v>
      </c>
      <c r="E971" s="79" t="s">
        <v>2047</v>
      </c>
      <c r="F971" s="80">
        <v>1621</v>
      </c>
      <c r="G971" s="81" t="s">
        <v>2048</v>
      </c>
      <c r="H971" s="86" t="str">
        <f>IF(A971="","",IF(INDEX(EXTRATO!$F$2:$F$3000,MATCH($A971,EXTRATO!$A$2:$A$3000,0))="","",INDEX(EXTRATO!$F$2:$F$3000,MATCH($A971,EXTRATO!$A$2:$A$3000,0))))</f>
        <v>SAÍDA</v>
      </c>
      <c r="I971" s="88" t="str">
        <f>IF(A971="","",IF(INDEX(EXTRATO!$H$2:$H$3000,MATCH($A971,EXTRATO!$A$2:$A$3000,0))="","",INDEX(EXTRATO!$H$2:$H$3000,MATCH($A971,EXTRATO!$A$2:$A$3000,0))))</f>
        <v>AFONSO PAULO COSTA FERRO</v>
      </c>
      <c r="J971" s="86" t="s">
        <v>1360</v>
      </c>
      <c r="K971" s="86" t="str">
        <f>IF(AND(A971="",D971="",E971="",F971=""),"",IF(D971="","SEM CATEGORIA",IF(E971="","SEM SUBCATEGORIA",IF(COUNTIFS(CADASTROS!$L$7:$L$93,D971,CADASTROS!$D$7:$D$93,E971)=0,"INCOMPATÍVEL","OK"))))</f>
        <v>OK</v>
      </c>
    </row>
    <row r="972" spans="1:11" ht="30" hidden="1" customHeight="1" x14ac:dyDescent="0.25">
      <c r="A972" s="86" t="s">
        <v>2332</v>
      </c>
      <c r="B972" s="85">
        <f>IF(A972="","",IF(INDEX(EXTRATO!$C$2:$C$3000,MATCH($A972,EXTRATO!$A$2:$A$3000,0))="","",INDEX(EXTRATO!$C$2:$C$3000,MATCH($A972,EXTRATO!$A$2:$A$3000,0))))</f>
        <v>46260</v>
      </c>
      <c r="C972" s="86">
        <f t="shared" si="18"/>
        <v>8</v>
      </c>
      <c r="D972" s="81" t="s">
        <v>1904</v>
      </c>
      <c r="E972" s="79" t="s">
        <v>1905</v>
      </c>
      <c r="F972" s="80">
        <v>8000</v>
      </c>
      <c r="G972" s="81" t="s">
        <v>2046</v>
      </c>
      <c r="H972" s="86" t="str">
        <f>IF(A972="","",IF(INDEX(EXTRATO!$F$2:$F$3000,MATCH($A972,EXTRATO!$A$2:$A$3000,0))="","",INDEX(EXTRATO!$F$2:$F$3000,MATCH($A972,EXTRATO!$A$2:$A$3000,0))))</f>
        <v>SAÍDA</v>
      </c>
      <c r="I972" s="88" t="str">
        <f>IF(A972="","",IF(INDEX(EXTRATO!$H$2:$H$3000,MATCH($A972,EXTRATO!$A$2:$A$3000,0))="","",INDEX(EXTRATO!$H$2:$H$3000,MATCH($A972,EXTRATO!$A$2:$A$3000,0))))</f>
        <v>AFONSO PAULO COSTA FERRO</v>
      </c>
      <c r="J972" s="86" t="s">
        <v>1360</v>
      </c>
      <c r="K972" s="86" t="str">
        <f>IF(AND(A972="",D972="",E972="",F972=""),"",IF(D972="","SEM CATEGORIA",IF(E972="","SEM SUBCATEGORIA",IF(COUNTIFS(CADASTROS!$L$7:$L$93,D972,CADASTROS!$D$7:$D$93,E972)=0,"INCOMPATÍVEL","OK"))))</f>
        <v>OK</v>
      </c>
    </row>
    <row r="973" spans="1:11" ht="30" hidden="1" customHeight="1" x14ac:dyDescent="0.25">
      <c r="A973" s="86" t="s">
        <v>2333</v>
      </c>
      <c r="B973" s="85">
        <f>IF(A973="","",IF(INDEX(EXTRATO!$C$2:$C$3000,MATCH($A973,EXTRATO!$A$2:$A$3000,0))="","",INDEX(EXTRATO!$C$2:$C$3000,MATCH($A973,EXTRATO!$A$2:$A$3000,0))))</f>
        <v>46260</v>
      </c>
      <c r="C973" s="86">
        <f t="shared" si="18"/>
        <v>8</v>
      </c>
      <c r="D973" s="81" t="s">
        <v>1637</v>
      </c>
      <c r="E973" s="79" t="s">
        <v>1638</v>
      </c>
      <c r="F973" s="80">
        <v>10000</v>
      </c>
      <c r="G973" s="81" t="s">
        <v>2854</v>
      </c>
      <c r="H973" s="86" t="str">
        <f>IF(A973="","",IF(INDEX(EXTRATO!$F$2:$F$3000,MATCH($A973,EXTRATO!$A$2:$A$3000,0))="","",INDEX(EXTRATO!$F$2:$F$3000,MATCH($A973,EXTRATO!$A$2:$A$3000,0))))</f>
        <v>SAÍDA</v>
      </c>
      <c r="I973" s="88" t="str">
        <f>IF(A973="","",IF(INDEX(EXTRATO!$H$2:$H$3000,MATCH($A973,EXTRATO!$A$2:$A$3000,0))="","",INDEX(EXTRATO!$H$2:$H$3000,MATCH($A973,EXTRATO!$A$2:$A$3000,0))))</f>
        <v>FABIANA CRISTINA</v>
      </c>
      <c r="J973" s="86" t="s">
        <v>1565</v>
      </c>
      <c r="K973" s="86" t="str">
        <f>IF(AND(A973="",D973="",E973="",F973=""),"",IF(D973="","SEM CATEGORIA",IF(E973="","SEM SUBCATEGORIA",IF(COUNTIFS(CADASTROS!$L$7:$L$93,D973,CADASTROS!$D$7:$D$93,E973)=0,"INCOMPATÍVEL","OK"))))</f>
        <v>OK</v>
      </c>
    </row>
    <row r="974" spans="1:11" ht="30" hidden="1" customHeight="1" x14ac:dyDescent="0.25">
      <c r="A974" s="86" t="s">
        <v>2333</v>
      </c>
      <c r="B974" s="85">
        <f>IF(A974="","",IF(INDEX(EXTRATO!$C$2:$C$3000,MATCH($A974,EXTRATO!$A$2:$A$3000,0))="","",INDEX(EXTRATO!$C$2:$C$3000,MATCH($A974,EXTRATO!$A$2:$A$3000,0))))</f>
        <v>46260</v>
      </c>
      <c r="C974" s="86">
        <f t="shared" si="18"/>
        <v>8</v>
      </c>
      <c r="D974" s="81" t="s">
        <v>1904</v>
      </c>
      <c r="E974" s="79" t="s">
        <v>1905</v>
      </c>
      <c r="F974" s="80">
        <v>8000</v>
      </c>
      <c r="G974" s="81" t="s">
        <v>2050</v>
      </c>
      <c r="H974" s="86" t="str">
        <f>IF(A974="","",IF(INDEX(EXTRATO!$F$2:$F$3000,MATCH($A974,EXTRATO!$A$2:$A$3000,0))="","",INDEX(EXTRATO!$F$2:$F$3000,MATCH($A974,EXTRATO!$A$2:$A$3000,0))))</f>
        <v>SAÍDA</v>
      </c>
      <c r="I974" s="88" t="str">
        <f>IF(A974="","",IF(INDEX(EXTRATO!$H$2:$H$3000,MATCH($A974,EXTRATO!$A$2:$A$3000,0))="","",INDEX(EXTRATO!$H$2:$H$3000,MATCH($A974,EXTRATO!$A$2:$A$3000,0))))</f>
        <v>FABIANA CRISTINA</v>
      </c>
      <c r="J974" s="86" t="s">
        <v>1565</v>
      </c>
      <c r="K974" s="86" t="str">
        <f>IF(AND(A974="",D974="",E974="",F974=""),"",IF(D974="","SEM CATEGORIA",IF(E974="","SEM SUBCATEGORIA",IF(COUNTIFS(CADASTROS!$L$7:$L$93,D974,CADASTROS!$D$7:$D$93,E974)=0,"INCOMPATÍVEL","OK"))))</f>
        <v>OK</v>
      </c>
    </row>
    <row r="975" spans="1:11" ht="30" hidden="1" customHeight="1" x14ac:dyDescent="0.25">
      <c r="A975" s="86" t="s">
        <v>2334</v>
      </c>
      <c r="B975" s="85">
        <f>IF(A975="","",IF(INDEX(EXTRATO!$C$2:$C$3000,MATCH($A975,EXTRATO!$A$2:$A$3000,0))="","",INDEX(EXTRATO!$C$2:$C$3000,MATCH($A975,EXTRATO!$A$2:$A$3000,0))))</f>
        <v>46260</v>
      </c>
      <c r="C975" s="86">
        <f t="shared" si="18"/>
        <v>8</v>
      </c>
      <c r="D975" s="81" t="s">
        <v>1637</v>
      </c>
      <c r="E975" s="79" t="s">
        <v>1638</v>
      </c>
      <c r="F975" s="80">
        <v>12500</v>
      </c>
      <c r="G975" s="81" t="s">
        <v>2855</v>
      </c>
      <c r="H975" s="86" t="str">
        <f>IF(A975="","",IF(INDEX(EXTRATO!$F$2:$F$3000,MATCH($A975,EXTRATO!$A$2:$A$3000,0))="","",INDEX(EXTRATO!$F$2:$F$3000,MATCH($A975,EXTRATO!$A$2:$A$3000,0))))</f>
        <v>SAÍDA</v>
      </c>
      <c r="I975" s="88" t="str">
        <f>IF(A975="","",IF(INDEX(EXTRATO!$H$2:$H$3000,MATCH($A975,EXTRATO!$A$2:$A$3000,0))="","",INDEX(EXTRATO!$H$2:$H$3000,MATCH($A975,EXTRATO!$A$2:$A$3000,0))))</f>
        <v>PATRICK DULFF</v>
      </c>
      <c r="J975" s="86" t="s">
        <v>1565</v>
      </c>
      <c r="K975" s="86" t="str">
        <f>IF(AND(A975="",D975="",E975="",F975=""),"",IF(D975="","SEM CATEGORIA",IF(E975="","SEM SUBCATEGORIA",IF(COUNTIFS(CADASTROS!$L$7:$L$93,D975,CADASTROS!$D$7:$D$93,E975)=0,"INCOMPATÍVEL","OK"))))</f>
        <v>OK</v>
      </c>
    </row>
    <row r="976" spans="1:11" ht="30" hidden="1" customHeight="1" x14ac:dyDescent="0.25">
      <c r="A976" s="86" t="s">
        <v>2334</v>
      </c>
      <c r="B976" s="85">
        <f>IF(A976="","",IF(INDEX(EXTRATO!$C$2:$C$3000,MATCH($A976,EXTRATO!$A$2:$A$3000,0))="","",INDEX(EXTRATO!$C$2:$C$3000,MATCH($A976,EXTRATO!$A$2:$A$3000,0))))</f>
        <v>46260</v>
      </c>
      <c r="C976" s="86">
        <f t="shared" si="18"/>
        <v>8</v>
      </c>
      <c r="D976" s="81" t="s">
        <v>1904</v>
      </c>
      <c r="E976" s="79" t="s">
        <v>1905</v>
      </c>
      <c r="F976" s="80">
        <v>2000</v>
      </c>
      <c r="G976" s="81" t="s">
        <v>2053</v>
      </c>
      <c r="H976" s="86" t="str">
        <f>IF(A976="","",IF(INDEX(EXTRATO!$F$2:$F$3000,MATCH($A976,EXTRATO!$A$2:$A$3000,0))="","",INDEX(EXTRATO!$F$2:$F$3000,MATCH($A976,EXTRATO!$A$2:$A$3000,0))))</f>
        <v>SAÍDA</v>
      </c>
      <c r="I976" s="88" t="str">
        <f>IF(A976="","",IF(INDEX(EXTRATO!$H$2:$H$3000,MATCH($A976,EXTRATO!$A$2:$A$3000,0))="","",INDEX(EXTRATO!$H$2:$H$3000,MATCH($A976,EXTRATO!$A$2:$A$3000,0))))</f>
        <v>PATRICK DULFF</v>
      </c>
      <c r="J976" s="86" t="s">
        <v>1565</v>
      </c>
      <c r="K976" s="86" t="str">
        <f>IF(AND(A976="",D976="",E976="",F976=""),"",IF(D976="","SEM CATEGORIA",IF(E976="","SEM SUBCATEGORIA",IF(COUNTIFS(CADASTROS!$L$7:$L$93,D976,CADASTROS!$D$7:$D$93,E976)=0,"INCOMPATÍVEL","OK"))))</f>
        <v>OK</v>
      </c>
    </row>
    <row r="977" spans="1:11" ht="30" hidden="1" customHeight="1" x14ac:dyDescent="0.25">
      <c r="A977" s="86" t="s">
        <v>2335</v>
      </c>
      <c r="B977" s="85">
        <f>IF(A977="","",IF(INDEX(EXTRATO!$C$2:$C$3000,MATCH($A977,EXTRATO!$A$2:$A$3000,0))="","",INDEX(EXTRATO!$C$2:$C$3000,MATCH($A977,EXTRATO!$A$2:$A$3000,0))))</f>
        <v>46260</v>
      </c>
      <c r="C977" s="86">
        <f t="shared" si="18"/>
        <v>8</v>
      </c>
      <c r="D977" s="81" t="s">
        <v>1904</v>
      </c>
      <c r="E977" s="79" t="s">
        <v>1905</v>
      </c>
      <c r="F977" s="80">
        <v>4000</v>
      </c>
      <c r="G977" s="81" t="s">
        <v>900</v>
      </c>
      <c r="H977" s="86" t="str">
        <f>IF(A977="","",IF(INDEX(EXTRATO!$F$2:$F$3000,MATCH($A977,EXTRATO!$A$2:$A$3000,0))="","",INDEX(EXTRATO!$F$2:$F$3000,MATCH($A977,EXTRATO!$A$2:$A$3000,0))))</f>
        <v>SAÍDA</v>
      </c>
      <c r="I977" s="88" t="str">
        <f>IF(A977="","",IF(INDEX(EXTRATO!$H$2:$H$3000,MATCH($A977,EXTRATO!$A$2:$A$3000,0))="","",INDEX(EXTRATO!$H$2:$H$3000,MATCH($A977,EXTRATO!$A$2:$A$3000,0))))</f>
        <v>ADELIA DALVA DA SILVA OLIVEIRA</v>
      </c>
      <c r="J977" s="86" t="s">
        <v>1565</v>
      </c>
      <c r="K977" s="86" t="str">
        <f>IF(AND(A977="",D977="",E977="",F977=""),"",IF(D977="","SEM CATEGORIA",IF(E977="","SEM SUBCATEGORIA",IF(COUNTIFS(CADASTROS!$L$7:$L$93,D977,CADASTROS!$D$7:$D$93,E977)=0,"INCOMPATÍVEL","OK"))))</f>
        <v>OK</v>
      </c>
    </row>
    <row r="978" spans="1:11" ht="30" hidden="1" customHeight="1" x14ac:dyDescent="0.25">
      <c r="A978" s="86" t="s">
        <v>2336</v>
      </c>
      <c r="B978" s="85">
        <f>IF(A978="","",IF(INDEX(EXTRATO!$C$2:$C$3000,MATCH($A978,EXTRATO!$A$2:$A$3000,0))="","",INDEX(EXTRATO!$C$2:$C$3000,MATCH($A978,EXTRATO!$A$2:$A$3000,0))))</f>
        <v>46260</v>
      </c>
      <c r="C978" s="86">
        <f t="shared" si="18"/>
        <v>8</v>
      </c>
      <c r="D978" s="81" t="s">
        <v>1637</v>
      </c>
      <c r="E978" s="79" t="s">
        <v>1638</v>
      </c>
      <c r="F978" s="80">
        <v>2500</v>
      </c>
      <c r="G978" s="81" t="s">
        <v>2853</v>
      </c>
      <c r="H978" s="86" t="str">
        <f>IF(A978="","",IF(INDEX(EXTRATO!$F$2:$F$3000,MATCH($A978,EXTRATO!$A$2:$A$3000,0))="","",INDEX(EXTRATO!$F$2:$F$3000,MATCH($A978,EXTRATO!$A$2:$A$3000,0))))</f>
        <v>SAÍDA</v>
      </c>
      <c r="I978" s="88" t="str">
        <f>IF(A978="","",IF(INDEX(EXTRATO!$H$2:$H$3000,MATCH($A978,EXTRATO!$A$2:$A$3000,0))="","",INDEX(EXTRATO!$H$2:$H$3000,MATCH($A978,EXTRATO!$A$2:$A$3000,0))))</f>
        <v>MOISES S OLIVEIRA</v>
      </c>
      <c r="J978" s="86" t="s">
        <v>1565</v>
      </c>
      <c r="K978" s="86" t="str">
        <f>IF(AND(A978="",D978="",E978="",F978=""),"",IF(D978="","SEM CATEGORIA",IF(E978="","SEM SUBCATEGORIA",IF(COUNTIFS(CADASTROS!$L$7:$L$93,D978,CADASTROS!$D$7:$D$93,E978)=0,"INCOMPATÍVEL","OK"))))</f>
        <v>OK</v>
      </c>
    </row>
    <row r="979" spans="1:11" ht="30" hidden="1" customHeight="1" x14ac:dyDescent="0.25">
      <c r="A979" s="86" t="s">
        <v>2336</v>
      </c>
      <c r="B979" s="85">
        <f>IF(A979="","",IF(INDEX(EXTRATO!$C$2:$C$3000,MATCH($A979,EXTRATO!$A$2:$A$3000,0))="","",INDEX(EXTRATO!$C$2:$C$3000,MATCH($A979,EXTRATO!$A$2:$A$3000,0))))</f>
        <v>46260</v>
      </c>
      <c r="C979" s="86">
        <f t="shared" si="18"/>
        <v>8</v>
      </c>
      <c r="D979" s="81" t="s">
        <v>1904</v>
      </c>
      <c r="E979" s="79" t="s">
        <v>1905</v>
      </c>
      <c r="F979" s="80">
        <v>4000</v>
      </c>
      <c r="G979" s="81" t="s">
        <v>2057</v>
      </c>
      <c r="H979" s="86" t="str">
        <f>IF(A979="","",IF(INDEX(EXTRATO!$F$2:$F$3000,MATCH($A979,EXTRATO!$A$2:$A$3000,0))="","",INDEX(EXTRATO!$F$2:$F$3000,MATCH($A979,EXTRATO!$A$2:$A$3000,0))))</f>
        <v>SAÍDA</v>
      </c>
      <c r="I979" s="88" t="str">
        <f>IF(A979="","",IF(INDEX(EXTRATO!$H$2:$H$3000,MATCH($A979,EXTRATO!$A$2:$A$3000,0))="","",INDEX(EXTRATO!$H$2:$H$3000,MATCH($A979,EXTRATO!$A$2:$A$3000,0))))</f>
        <v>MOISES S OLIVEIRA</v>
      </c>
      <c r="J979" s="86" t="s">
        <v>1565</v>
      </c>
      <c r="K979" s="86" t="str">
        <f>IF(AND(A979="",D979="",E979="",F979=""),"",IF(D979="","SEM CATEGORIA",IF(E979="","SEM SUBCATEGORIA",IF(COUNTIFS(CADASTROS!$L$7:$L$93,D979,CADASTROS!$D$7:$D$93,E979)=0,"INCOMPATÍVEL","OK"))))</f>
        <v>OK</v>
      </c>
    </row>
    <row r="980" spans="1:11" ht="30" hidden="1" customHeight="1" x14ac:dyDescent="0.25">
      <c r="A980" s="86"/>
      <c r="B980" s="85"/>
      <c r="C980" s="86"/>
      <c r="D980" s="81"/>
      <c r="E980" s="79"/>
      <c r="F980" s="80"/>
      <c r="G980" s="81"/>
      <c r="H980" s="86"/>
      <c r="I980" s="88"/>
      <c r="J980" s="86"/>
      <c r="K980" s="86"/>
    </row>
    <row r="981" spans="1:11" ht="30" hidden="1" customHeight="1" x14ac:dyDescent="0.25">
      <c r="A981" s="86" t="s">
        <v>2337</v>
      </c>
      <c r="B981" s="85">
        <f>IF(A981="","",IF(INDEX(EXTRATO!$C$2:$C$3000,MATCH($A981,EXTRATO!$A$2:$A$3000,0))="","",INDEX(EXTRATO!$C$2:$C$3000,MATCH($A981,EXTRATO!$A$2:$A$3000,0))))</f>
        <v>46260</v>
      </c>
      <c r="C981" s="86">
        <f t="shared" ref="C981:C1044" si="19">IF(B981="","",MONTH(B981))</f>
        <v>8</v>
      </c>
      <c r="D981" s="81" t="s">
        <v>1904</v>
      </c>
      <c r="E981" s="79" t="s">
        <v>1905</v>
      </c>
      <c r="F981" s="80">
        <v>4000</v>
      </c>
      <c r="G981" s="81" t="s">
        <v>2060</v>
      </c>
      <c r="H981" s="86" t="str">
        <f>IF(A981="","",IF(INDEX(EXTRATO!$F$2:$F$3000,MATCH($A981,EXTRATO!$A$2:$A$3000,0))="","",INDEX(EXTRATO!$F$2:$F$3000,MATCH($A981,EXTRATO!$A$2:$A$3000,0))))</f>
        <v>SAÍDA</v>
      </c>
      <c r="I981" s="88" t="str">
        <f>IF(A981="","",IF(INDEX(EXTRATO!$H$2:$H$3000,MATCH($A981,EXTRATO!$A$2:$A$3000,0))="","",INDEX(EXTRATO!$H$2:$H$3000,MATCH($A981,EXTRATO!$A$2:$A$3000,0))))</f>
        <v>GLADSTONE SANTOS SILVA</v>
      </c>
      <c r="J981" s="86" t="s">
        <v>1565</v>
      </c>
      <c r="K981" s="86" t="str">
        <f>IF(AND(A981="",D981="",E981="",F981=""),"",IF(D981="","SEM CATEGORIA",IF(E981="","SEM SUBCATEGORIA",IF(COUNTIFS(CADASTROS!$L$7:$L$93,D981,CADASTROS!$D$7:$D$93,E981)=0,"INCOMPATÍVEL","OK"))))</f>
        <v>OK</v>
      </c>
    </row>
    <row r="982" spans="1:11" ht="30" hidden="1" customHeight="1" x14ac:dyDescent="0.25">
      <c r="A982" s="86" t="s">
        <v>2337</v>
      </c>
      <c r="B982" s="85">
        <f>IF(A982="","",IF(INDEX(EXTRATO!$C$2:$C$3000,MATCH($A982,EXTRATO!$A$2:$A$3000,0))="","",INDEX(EXTRATO!$C$2:$C$3000,MATCH($A982,EXTRATO!$A$2:$A$3000,0))))</f>
        <v>46260</v>
      </c>
      <c r="C982" s="86">
        <f t="shared" si="19"/>
        <v>8</v>
      </c>
      <c r="D982" s="81" t="s">
        <v>1637</v>
      </c>
      <c r="E982" s="79" t="s">
        <v>1638</v>
      </c>
      <c r="F982" s="80">
        <v>5000</v>
      </c>
      <c r="G982" s="81" t="s">
        <v>2856</v>
      </c>
      <c r="H982" s="86" t="str">
        <f>IF(A982="","",IF(INDEX(EXTRATO!$F$2:$F$3000,MATCH($A982,EXTRATO!$A$2:$A$3000,0))="","",INDEX(EXTRATO!$F$2:$F$3000,MATCH($A982,EXTRATO!$A$2:$A$3000,0))))</f>
        <v>SAÍDA</v>
      </c>
      <c r="I982" s="88" t="str">
        <f>IF(A982="","",IF(INDEX(EXTRATO!$H$2:$H$3000,MATCH($A982,EXTRATO!$A$2:$A$3000,0))="","",INDEX(EXTRATO!$H$2:$H$3000,MATCH($A982,EXTRATO!$A$2:$A$3000,0))))</f>
        <v>GLADSTONE SANTOS SILVA</v>
      </c>
      <c r="J982" s="86" t="s">
        <v>1565</v>
      </c>
      <c r="K982" s="86" t="str">
        <f>IF(AND(A982="",D982="",E982="",F982=""),"",IF(D982="","SEM CATEGORIA",IF(E982="","SEM SUBCATEGORIA",IF(COUNTIFS(CADASTROS!$L$7:$L$93,D982,CADASTROS!$D$7:$D$93,E982)=0,"INCOMPATÍVEL","OK"))))</f>
        <v>OK</v>
      </c>
    </row>
    <row r="983" spans="1:11" ht="30" hidden="1" customHeight="1" x14ac:dyDescent="0.25">
      <c r="A983" s="86" t="s">
        <v>2338</v>
      </c>
      <c r="B983" s="85">
        <f>IF(A983="","",IF(INDEX(EXTRATO!$C$2:$C$3000,MATCH($A983,EXTRATO!$A$2:$A$3000,0))="","",INDEX(EXTRATO!$C$2:$C$3000,MATCH($A983,EXTRATO!$A$2:$A$3000,0))))</f>
        <v>46260</v>
      </c>
      <c r="C983" s="86">
        <f t="shared" si="19"/>
        <v>8</v>
      </c>
      <c r="D983" s="81" t="s">
        <v>1637</v>
      </c>
      <c r="E983" s="79" t="s">
        <v>1638</v>
      </c>
      <c r="F983" s="80">
        <v>10000</v>
      </c>
      <c r="G983" s="81" t="s">
        <v>2836</v>
      </c>
      <c r="H983" s="86" t="str">
        <f>IF(A983="","",IF(INDEX(EXTRATO!$F$2:$F$3000,MATCH($A983,EXTRATO!$A$2:$A$3000,0))="","",INDEX(EXTRATO!$F$2:$F$3000,MATCH($A983,EXTRATO!$A$2:$A$3000,0))))</f>
        <v>SAÍDA</v>
      </c>
      <c r="I983" s="88" t="str">
        <f>IF(A983="","",IF(INDEX(EXTRATO!$H$2:$H$3000,MATCH($A983,EXTRATO!$A$2:$A$3000,0))="","",INDEX(EXTRATO!$H$2:$H$3000,MATCH($A983,EXTRATO!$A$2:$A$3000,0))))</f>
        <v>ANDERSON RAFAEL SALVIANO</v>
      </c>
      <c r="J983" s="86" t="s">
        <v>1360</v>
      </c>
      <c r="K983" s="86" t="str">
        <f>IF(AND(A983="",D983="",E983="",F983=""),"",IF(D983="","SEM CATEGORIA",IF(E983="","SEM SUBCATEGORIA",IF(COUNTIFS(CADASTROS!$L$7:$L$93,D983,CADASTROS!$D$7:$D$93,E983)=0,"INCOMPATÍVEL","OK"))))</f>
        <v>OK</v>
      </c>
    </row>
    <row r="984" spans="1:11" ht="30" hidden="1" customHeight="1" x14ac:dyDescent="0.25">
      <c r="A984" s="86" t="s">
        <v>2338</v>
      </c>
      <c r="B984" s="85">
        <f>IF(A984="","",IF(INDEX(EXTRATO!$C$2:$C$3000,MATCH($A984,EXTRATO!$A$2:$A$3000,0))="","",INDEX(EXTRATO!$C$2:$C$3000,MATCH($A984,EXTRATO!$A$2:$A$3000,0))))</f>
        <v>46260</v>
      </c>
      <c r="C984" s="86">
        <f t="shared" si="19"/>
        <v>8</v>
      </c>
      <c r="D984" s="81" t="s">
        <v>1637</v>
      </c>
      <c r="E984" s="79" t="s">
        <v>2047</v>
      </c>
      <c r="F984" s="80">
        <v>1621</v>
      </c>
      <c r="G984" s="81" t="s">
        <v>2834</v>
      </c>
      <c r="H984" s="86" t="str">
        <f>IF(A984="","",IF(INDEX(EXTRATO!$F$2:$F$3000,MATCH($A984,EXTRATO!$A$2:$A$3000,0))="","",INDEX(EXTRATO!$F$2:$F$3000,MATCH($A984,EXTRATO!$A$2:$A$3000,0))))</f>
        <v>SAÍDA</v>
      </c>
      <c r="I984" s="88" t="str">
        <f>IF(A984="","",IF(INDEX(EXTRATO!$H$2:$H$3000,MATCH($A984,EXTRATO!$A$2:$A$3000,0))="","",INDEX(EXTRATO!$H$2:$H$3000,MATCH($A984,EXTRATO!$A$2:$A$3000,0))))</f>
        <v>ANDERSON RAFAEL SALVIANO</v>
      </c>
      <c r="J984" s="86" t="s">
        <v>1360</v>
      </c>
      <c r="K984" s="86" t="str">
        <f>IF(AND(A984="",D984="",E984="",F984=""),"",IF(D984="","SEM CATEGORIA",IF(E984="","SEM SUBCATEGORIA",IF(COUNTIFS(CADASTROS!$L$7:$L$93,D984,CADASTROS!$D$7:$D$93,E984)=0,"INCOMPATÍVEL","OK"))))</f>
        <v>OK</v>
      </c>
    </row>
    <row r="985" spans="1:11" ht="30" hidden="1" customHeight="1" x14ac:dyDescent="0.25">
      <c r="A985" s="86" t="s">
        <v>2338</v>
      </c>
      <c r="B985" s="85">
        <f>IF(A985="","",IF(INDEX(EXTRATO!$C$2:$C$3000,MATCH($A985,EXTRATO!$A$2:$A$3000,0))="","",INDEX(EXTRATO!$C$2:$C$3000,MATCH($A985,EXTRATO!$A$2:$A$3000,0))))</f>
        <v>46260</v>
      </c>
      <c r="C985" s="86">
        <f t="shared" si="19"/>
        <v>8</v>
      </c>
      <c r="D985" s="81" t="s">
        <v>1637</v>
      </c>
      <c r="E985" s="79" t="s">
        <v>2065</v>
      </c>
      <c r="F985" s="80">
        <v>1621</v>
      </c>
      <c r="G985" s="81" t="s">
        <v>2835</v>
      </c>
      <c r="H985" s="86" t="str">
        <f>IF(A985="","",IF(INDEX(EXTRATO!$F$2:$F$3000,MATCH($A985,EXTRATO!$A$2:$A$3000,0))="","",INDEX(EXTRATO!$F$2:$F$3000,MATCH($A985,EXTRATO!$A$2:$A$3000,0))))</f>
        <v>SAÍDA</v>
      </c>
      <c r="I985" s="88" t="str">
        <f>IF(A985="","",IF(INDEX(EXTRATO!$H$2:$H$3000,MATCH($A985,EXTRATO!$A$2:$A$3000,0))="","",INDEX(EXTRATO!$H$2:$H$3000,MATCH($A985,EXTRATO!$A$2:$A$3000,0))))</f>
        <v>ANDERSON RAFAEL SALVIANO</v>
      </c>
      <c r="J985" s="86" t="s">
        <v>1360</v>
      </c>
      <c r="K985" s="86" t="str">
        <f>IF(AND(A985="",D985="",E985="",F985=""),"",IF(D985="","SEM CATEGORIA",IF(E985="","SEM SUBCATEGORIA",IF(COUNTIFS(CADASTROS!$L$7:$L$93,D985,CADASTROS!$D$7:$D$93,E985)=0,"INCOMPATÍVEL","OK"))))</f>
        <v>OK</v>
      </c>
    </row>
    <row r="986" spans="1:11" ht="30" hidden="1" customHeight="1" x14ac:dyDescent="0.25">
      <c r="A986" s="86" t="s">
        <v>2338</v>
      </c>
      <c r="B986" s="85">
        <f>IF(A986="","",IF(INDEX(EXTRATO!$C$2:$C$3000,MATCH($A986,EXTRATO!$A$2:$A$3000,0))="","",INDEX(EXTRATO!$C$2:$C$3000,MATCH($A986,EXTRATO!$A$2:$A$3000,0))))</f>
        <v>46260</v>
      </c>
      <c r="C986" s="86">
        <f t="shared" si="19"/>
        <v>8</v>
      </c>
      <c r="D986" s="81" t="s">
        <v>1904</v>
      </c>
      <c r="E986" s="79" t="s">
        <v>1905</v>
      </c>
      <c r="F986" s="80">
        <v>8000</v>
      </c>
      <c r="G986" s="81" t="s">
        <v>2067</v>
      </c>
      <c r="H986" s="86" t="str">
        <f>IF(A986="","",IF(INDEX(EXTRATO!$F$2:$F$3000,MATCH($A986,EXTRATO!$A$2:$A$3000,0))="","",INDEX(EXTRATO!$F$2:$F$3000,MATCH($A986,EXTRATO!$A$2:$A$3000,0))))</f>
        <v>SAÍDA</v>
      </c>
      <c r="I986" s="88" t="str">
        <f>IF(A986="","",IF(INDEX(EXTRATO!$H$2:$H$3000,MATCH($A986,EXTRATO!$A$2:$A$3000,0))="","",INDEX(EXTRATO!$H$2:$H$3000,MATCH($A986,EXTRATO!$A$2:$A$3000,0))))</f>
        <v>ANDERSON RAFAEL SALVIANO</v>
      </c>
      <c r="J986" s="86" t="s">
        <v>1360</v>
      </c>
      <c r="K986" s="86" t="str">
        <f>IF(AND(A986="",D986="",E986="",F986=""),"",IF(D986="","SEM CATEGORIA",IF(E986="","SEM SUBCATEGORIA",IF(COUNTIFS(CADASTROS!$L$7:$L$93,D986,CADASTROS!$D$7:$D$93,E986)=0,"INCOMPATÍVEL","OK"))))</f>
        <v>OK</v>
      </c>
    </row>
    <row r="987" spans="1:11" ht="30" hidden="1" customHeight="1" x14ac:dyDescent="0.25">
      <c r="A987" s="86" t="s">
        <v>2339</v>
      </c>
      <c r="B987" s="85">
        <f>IF(A987="","",IF(INDEX(EXTRATO!$C$2:$C$3000,MATCH($A987,EXTRATO!$A$2:$A$3000,0))="","",INDEX(EXTRATO!$C$2:$C$3000,MATCH($A987,EXTRATO!$A$2:$A$3000,0))))</f>
        <v>46260</v>
      </c>
      <c r="C987" s="86">
        <f t="shared" si="19"/>
        <v>8</v>
      </c>
      <c r="D987" s="81" t="s">
        <v>1904</v>
      </c>
      <c r="E987" s="79" t="s">
        <v>1905</v>
      </c>
      <c r="F987" s="80">
        <v>4000</v>
      </c>
      <c r="G987" s="81" t="s">
        <v>904</v>
      </c>
      <c r="H987" s="86" t="str">
        <f>IF(A987="","",IF(INDEX(EXTRATO!$F$2:$F$3000,MATCH($A987,EXTRATO!$A$2:$A$3000,0))="","",INDEX(EXTRATO!$F$2:$F$3000,MATCH($A987,EXTRATO!$A$2:$A$3000,0))))</f>
        <v>SAÍDA</v>
      </c>
      <c r="I987" s="88" t="str">
        <f>IF(A987="","",IF(INDEX(EXTRATO!$H$2:$H$3000,MATCH($A987,EXTRATO!$A$2:$A$3000,0))="","",INDEX(EXTRATO!$H$2:$H$3000,MATCH($A987,EXTRATO!$A$2:$A$3000,0))))</f>
        <v>FRANCISCO H SOUSA</v>
      </c>
      <c r="J987" s="86" t="s">
        <v>1565</v>
      </c>
      <c r="K987" s="86" t="str">
        <f>IF(AND(A987="",D987="",E987="",F987=""),"",IF(D987="","SEM CATEGORIA",IF(E987="","SEM SUBCATEGORIA",IF(COUNTIFS(CADASTROS!$L$7:$L$93,D987,CADASTROS!$D$7:$D$93,E987)=0,"INCOMPATÍVEL","OK"))))</f>
        <v>OK</v>
      </c>
    </row>
    <row r="988" spans="1:11" ht="30" hidden="1" customHeight="1" x14ac:dyDescent="0.25">
      <c r="A988" s="86" t="s">
        <v>2340</v>
      </c>
      <c r="B988" s="85">
        <f>IF(A988="","",IF(INDEX(EXTRATO!$C$2:$C$3000,MATCH($A988,EXTRATO!$A$2:$A$3000,0))="","",INDEX(EXTRATO!$C$2:$C$3000,MATCH($A988,EXTRATO!$A$2:$A$3000,0))))</f>
        <v>46261</v>
      </c>
      <c r="C988" s="86">
        <f t="shared" si="19"/>
        <v>8</v>
      </c>
      <c r="D988" s="81" t="s">
        <v>1305</v>
      </c>
      <c r="E988" s="79" t="s">
        <v>1615</v>
      </c>
      <c r="F988" s="80">
        <v>14601.01</v>
      </c>
      <c r="G988" s="81" t="s">
        <v>1228</v>
      </c>
      <c r="H988" s="86" t="str">
        <f>IF(A988="","",IF(INDEX(EXTRATO!$F$2:$F$3000,MATCH($A988,EXTRATO!$A$2:$A$3000,0))="","",INDEX(EXTRATO!$F$2:$F$3000,MATCH($A988,EXTRATO!$A$2:$A$3000,0))))</f>
        <v>ENTRADA</v>
      </c>
      <c r="I988" s="88" t="str">
        <f>IF(A988="","",IF(INDEX(EXTRATO!$H$2:$H$3000,MATCH($A988,EXTRATO!$A$2:$A$3000,0))="","",INDEX(EXTRATO!$H$2:$H$3000,MATCH($A988,EXTRATO!$A$2:$A$3000,0))))</f>
        <v>REPASSE DO CONTRATO</v>
      </c>
      <c r="J988" s="86" t="s">
        <v>1307</v>
      </c>
      <c r="K988" s="86" t="str">
        <f>IF(AND(A988="",D988="",E988="",F988=""),"",IF(D988="","SEM CATEGORIA",IF(E988="","SEM SUBCATEGORIA",IF(COUNTIFS(CADASTROS!$L$7:$L$93,D988,CADASTROS!$D$7:$D$93,E988)=0,"INCOMPATÍVEL","OK"))))</f>
        <v>OK</v>
      </c>
    </row>
    <row r="989" spans="1:11" ht="30" hidden="1" customHeight="1" x14ac:dyDescent="0.25">
      <c r="A989" s="86" t="s">
        <v>2341</v>
      </c>
      <c r="B989" s="85">
        <f>IF(A989="","",IF(INDEX(EXTRATO!$C$2:$C$3000,MATCH($A989,EXTRATO!$A$2:$A$3000,0))="","",INDEX(EXTRATO!$C$2:$C$3000,MATCH($A989,EXTRATO!$A$2:$A$3000,0))))</f>
        <v>46261</v>
      </c>
      <c r="C989" s="86">
        <f t="shared" si="19"/>
        <v>8</v>
      </c>
      <c r="D989" s="81" t="s">
        <v>1305</v>
      </c>
      <c r="E989" s="79" t="s">
        <v>1615</v>
      </c>
      <c r="F989" s="80">
        <v>604926.56999999995</v>
      </c>
      <c r="G989" s="81" t="s">
        <v>1229</v>
      </c>
      <c r="H989" s="86" t="str">
        <f>IF(A989="","",IF(INDEX(EXTRATO!$F$2:$F$3000,MATCH($A989,EXTRATO!$A$2:$A$3000,0))="","",INDEX(EXTRATO!$F$2:$F$3000,MATCH($A989,EXTRATO!$A$2:$A$3000,0))))</f>
        <v>ENTRADA</v>
      </c>
      <c r="I989" s="88" t="str">
        <f>IF(A989="","",IF(INDEX(EXTRATO!$H$2:$H$3000,MATCH($A989,EXTRATO!$A$2:$A$3000,0))="","",INDEX(EXTRATO!$H$2:$H$3000,MATCH($A989,EXTRATO!$A$2:$A$3000,0))))</f>
        <v>REPASSE DO CONTRATO</v>
      </c>
      <c r="J989" s="86" t="s">
        <v>1307</v>
      </c>
      <c r="K989" s="86" t="str">
        <f>IF(AND(A989="",D989="",E989="",F989=""),"",IF(D989="","SEM CATEGORIA",IF(E989="","SEM SUBCATEGORIA",IF(COUNTIFS(CADASTROS!$L$7:$L$93,D989,CADASTROS!$D$7:$D$93,E989)=0,"INCOMPATÍVEL","OK"))))</f>
        <v>OK</v>
      </c>
    </row>
    <row r="990" spans="1:11" ht="30" hidden="1" customHeight="1" x14ac:dyDescent="0.25">
      <c r="A990" s="86" t="s">
        <v>2342</v>
      </c>
      <c r="B990" s="85">
        <f>IF(A990="","",IF(INDEX(EXTRATO!$C$2:$C$3000,MATCH($A990,EXTRATO!$A$2:$A$3000,0))="","",INDEX(EXTRATO!$C$2:$C$3000,MATCH($A990,EXTRATO!$A$2:$A$3000,0))))</f>
        <v>46261</v>
      </c>
      <c r="C990" s="86">
        <f t="shared" si="19"/>
        <v>8</v>
      </c>
      <c r="D990" s="81" t="s">
        <v>1330</v>
      </c>
      <c r="E990" s="79" t="s">
        <v>1331</v>
      </c>
      <c r="F990" s="80">
        <v>1030.93</v>
      </c>
      <c r="G990" s="81" t="s">
        <v>1230</v>
      </c>
      <c r="H990" s="86" t="str">
        <f>IF(A990="","",IF(INDEX(EXTRATO!$F$2:$F$3000,MATCH($A990,EXTRATO!$A$2:$A$3000,0))="","",INDEX(EXTRATO!$F$2:$F$3000,MATCH($A990,EXTRATO!$A$2:$A$3000,0))))</f>
        <v>SAÍDA</v>
      </c>
      <c r="I990" s="88" t="str">
        <f>IF(A990="","",IF(INDEX(EXTRATO!$H$2:$H$3000,MATCH($A990,EXTRATO!$A$2:$A$3000,0))="","",INDEX(EXTRATO!$H$2:$H$3000,MATCH($A990,EXTRATO!$A$2:$A$3000,0))))</f>
        <v>RICEK</v>
      </c>
      <c r="J990" s="86" t="s">
        <v>1360</v>
      </c>
      <c r="K990" s="86" t="str">
        <f>IF(AND(A990="",D990="",E990="",F990=""),"",IF(D990="","SEM CATEGORIA",IF(E990="","SEM SUBCATEGORIA",IF(COUNTIFS(CADASTROS!$L$7:$L$93,D990,CADASTROS!$D$7:$D$93,E990)=0,"INCOMPATÍVEL","OK"))))</f>
        <v>OK</v>
      </c>
    </row>
    <row r="991" spans="1:11" ht="30" hidden="1" customHeight="1" x14ac:dyDescent="0.25">
      <c r="A991" s="86" t="s">
        <v>2343</v>
      </c>
      <c r="B991" s="85">
        <f>IF(A991="","",IF(INDEX(EXTRATO!$C$2:$C$3000,MATCH($A991,EXTRATO!$A$2:$A$3000,0))="","",INDEX(EXTRATO!$C$2:$C$3000,MATCH($A991,EXTRATO!$A$2:$A$3000,0))))</f>
        <v>46265</v>
      </c>
      <c r="C991" s="86">
        <f t="shared" si="19"/>
        <v>8</v>
      </c>
      <c r="D991" s="81" t="s">
        <v>1305</v>
      </c>
      <c r="E991" s="79" t="s">
        <v>2349</v>
      </c>
      <c r="F991" s="80">
        <v>500000</v>
      </c>
      <c r="G991" s="81" t="s">
        <v>1231</v>
      </c>
      <c r="H991" s="86" t="str">
        <f>IF(A991="","",IF(INDEX(EXTRATO!$F$2:$F$3000,MATCH($A991,EXTRATO!$A$2:$A$3000,0))="","",INDEX(EXTRATO!$F$2:$F$3000,MATCH($A991,EXTRATO!$A$2:$A$3000,0))))</f>
        <v>APLICAÇÃO</v>
      </c>
      <c r="I991" s="88" t="str">
        <f>IF(A991="","",IF(INDEX(EXTRATO!$H$2:$H$3000,MATCH($A991,EXTRATO!$A$2:$A$3000,0))="","",INDEX(EXTRATO!$H$2:$H$3000,MATCH($A991,EXTRATO!$A$2:$A$3000,0))))</f>
        <v>APLICAÇÃO</v>
      </c>
      <c r="J991" s="86" t="s">
        <v>1307</v>
      </c>
      <c r="K991" s="86" t="str">
        <f>IF(AND(A991="",D991="",E991="",F991=""),"",IF(D991="","SEM CATEGORIA",IF(E991="","SEM SUBCATEGORIA",IF(COUNTIFS(CADASTROS!$L$7:$L$93,D991,CADASTROS!$D$7:$D$93,E991)=0,"INCOMPATÍVEL","OK"))))</f>
        <v>OK</v>
      </c>
    </row>
    <row r="992" spans="1:11" ht="30" hidden="1" customHeight="1" x14ac:dyDescent="0.25">
      <c r="A992" s="86" t="s">
        <v>2344</v>
      </c>
      <c r="B992" s="85">
        <f>IF(A992="","",IF(INDEX(EXTRATO!$C$2:$C$3000,MATCH($A992,EXTRATO!$A$2:$A$3000,0))="","",INDEX(EXTRATO!$C$2:$C$3000,MATCH($A992,EXTRATO!$A$2:$A$3000,0))))</f>
        <v>46265</v>
      </c>
      <c r="C992" s="86">
        <f t="shared" si="19"/>
        <v>8</v>
      </c>
      <c r="D992" s="81" t="s">
        <v>1454</v>
      </c>
      <c r="E992" s="79" t="s">
        <v>1473</v>
      </c>
      <c r="F992" s="80">
        <v>9331.84</v>
      </c>
      <c r="G992" s="81" t="s">
        <v>1232</v>
      </c>
      <c r="H992" s="86" t="str">
        <f>IF(A992="","",IF(INDEX(EXTRATO!$F$2:$F$3000,MATCH($A992,EXTRATO!$A$2:$A$3000,0))="","",INDEX(EXTRATO!$F$2:$F$3000,MATCH($A992,EXTRATO!$A$2:$A$3000,0))))</f>
        <v>SAÍDA</v>
      </c>
      <c r="I992" s="88" t="str">
        <f>IF(A992="","",IF(INDEX(EXTRATO!$H$2:$H$3000,MATCH($A992,EXTRATO!$A$2:$A$3000,0))="","",INDEX(EXTRATO!$H$2:$H$3000,MATCH($A992,EXTRATO!$A$2:$A$3000,0))))</f>
        <v>NIPRO</v>
      </c>
      <c r="J992" s="86" t="s">
        <v>1565</v>
      </c>
      <c r="K992" s="86" t="str">
        <f>IF(AND(A992="",D992="",E992="",F992=""),"",IF(D992="","SEM CATEGORIA",IF(E992="","SEM SUBCATEGORIA",IF(COUNTIFS(CADASTROS!$L$7:$L$93,D992,CADASTROS!$D$7:$D$93,E992)=0,"INCOMPATÍVEL","OK"))))</f>
        <v>OK</v>
      </c>
    </row>
    <row r="993" spans="1:11" ht="30" hidden="1" customHeight="1" x14ac:dyDescent="0.25">
      <c r="A993" s="86" t="s">
        <v>2345</v>
      </c>
      <c r="B993" s="85">
        <f>IF(A993="","",IF(INDEX(EXTRATO!$C$2:$C$3000,MATCH($A993,EXTRATO!$A$2:$A$3000,0))="","",INDEX(EXTRATO!$C$2:$C$3000,MATCH($A993,EXTRATO!$A$2:$A$3000,0))))</f>
        <v>46265</v>
      </c>
      <c r="C993" s="86">
        <f t="shared" si="19"/>
        <v>8</v>
      </c>
      <c r="D993" s="81" t="s">
        <v>1454</v>
      </c>
      <c r="E993" s="79" t="s">
        <v>1473</v>
      </c>
      <c r="F993" s="80">
        <v>48992.160000000003</v>
      </c>
      <c r="G993" s="81" t="s">
        <v>1233</v>
      </c>
      <c r="H993" s="86" t="str">
        <f>IF(A993="","",IF(INDEX(EXTRATO!$F$2:$F$3000,MATCH($A993,EXTRATO!$A$2:$A$3000,0))="","",INDEX(EXTRATO!$F$2:$F$3000,MATCH($A993,EXTRATO!$A$2:$A$3000,0))))</f>
        <v>SAÍDA</v>
      </c>
      <c r="I993" s="88" t="str">
        <f>IF(A993="","",IF(INDEX(EXTRATO!$H$2:$H$3000,MATCH($A993,EXTRATO!$A$2:$A$3000,0))="","",INDEX(EXTRATO!$H$2:$H$3000,MATCH($A993,EXTRATO!$A$2:$A$3000,0))))</f>
        <v>NIPRO</v>
      </c>
      <c r="J993" s="86" t="s">
        <v>1565</v>
      </c>
      <c r="K993" s="86" t="str">
        <f>IF(AND(A993="",D993="",E993="",F993=""),"",IF(D993="","SEM CATEGORIA",IF(E993="","SEM SUBCATEGORIA",IF(COUNTIFS(CADASTROS!$L$7:$L$93,D993,CADASTROS!$D$7:$D$93,E993)=0,"INCOMPATÍVEL","OK"))))</f>
        <v>OK</v>
      </c>
    </row>
    <row r="994" spans="1:11" ht="30" hidden="1" customHeight="1" x14ac:dyDescent="0.25">
      <c r="A994" s="86" t="s">
        <v>2346</v>
      </c>
      <c r="B994" s="85">
        <f>IF(A994="","",IF(INDEX(EXTRATO!$C$2:$C$3000,MATCH($A994,EXTRATO!$A$2:$A$3000,0))="","",INDEX(EXTRATO!$C$2:$C$3000,MATCH($A994,EXTRATO!$A$2:$A$3000,0))))</f>
        <v>46265</v>
      </c>
      <c r="C994" s="86">
        <f t="shared" si="19"/>
        <v>8</v>
      </c>
      <c r="D994" s="81" t="s">
        <v>1311</v>
      </c>
      <c r="E994" s="79" t="s">
        <v>1404</v>
      </c>
      <c r="F994" s="80">
        <v>19910</v>
      </c>
      <c r="G994" s="81" t="s">
        <v>2716</v>
      </c>
      <c r="H994" s="86" t="str">
        <f>IF(A994="","",IF(INDEX(EXTRATO!$F$2:$F$3000,MATCH($A994,EXTRATO!$A$2:$A$3000,0))="","",INDEX(EXTRATO!$F$2:$F$3000,MATCH($A994,EXTRATO!$A$2:$A$3000,0))))</f>
        <v>SAÍDA</v>
      </c>
      <c r="I994" s="88" t="str">
        <f>IF(A994="","",IF(INDEX(EXTRATO!$H$2:$H$3000,MATCH($A994,EXTRATO!$A$2:$A$3000,0))="","",INDEX(EXTRATO!$H$2:$H$3000,MATCH($A994,EXTRATO!$A$2:$A$3000,0))))</f>
        <v>FARMACE</v>
      </c>
      <c r="J994" s="86" t="s">
        <v>1360</v>
      </c>
      <c r="K994" s="86" t="str">
        <f>IF(AND(A994="",D994="",E994="",F994=""),"",IF(D994="","SEM CATEGORIA",IF(E994="","SEM SUBCATEGORIA",IF(COUNTIFS(CADASTROS!$L$7:$L$93,D994,CADASTROS!$D$7:$D$93,E994)=0,"INCOMPATÍVEL","OK"))))</f>
        <v>OK</v>
      </c>
    </row>
    <row r="995" spans="1:11" ht="30" hidden="1" customHeight="1" x14ac:dyDescent="0.25">
      <c r="A995" s="86" t="s">
        <v>2346</v>
      </c>
      <c r="B995" s="85">
        <f>IF(A995="","",IF(INDEX(EXTRATO!$C$2:$C$3000,MATCH($A995,EXTRATO!$A$2:$A$3000,0))="","",INDEX(EXTRATO!$C$2:$C$3000,MATCH($A995,EXTRATO!$A$2:$A$3000,0))))</f>
        <v>46265</v>
      </c>
      <c r="C995" s="86">
        <f t="shared" si="19"/>
        <v>8</v>
      </c>
      <c r="D995" s="81" t="s">
        <v>1311</v>
      </c>
      <c r="E995" s="79" t="s">
        <v>1312</v>
      </c>
      <c r="F995" s="80">
        <v>43.5</v>
      </c>
      <c r="G995" s="81" t="s">
        <v>1983</v>
      </c>
      <c r="H995" s="86" t="str">
        <f>IF(A995="","",IF(INDEX(EXTRATO!$F$2:$F$3000,MATCH($A995,EXTRATO!$A$2:$A$3000,0))="","",INDEX(EXTRATO!$F$2:$F$3000,MATCH($A995,EXTRATO!$A$2:$A$3000,0))))</f>
        <v>SAÍDA</v>
      </c>
      <c r="I995" s="88" t="str">
        <f>IF(A995="","",IF(INDEX(EXTRATO!$H$2:$H$3000,MATCH($A995,EXTRATO!$A$2:$A$3000,0))="","",INDEX(EXTRATO!$H$2:$H$3000,MATCH($A995,EXTRATO!$A$2:$A$3000,0))))</f>
        <v>FARMACE</v>
      </c>
      <c r="J995" s="86" t="s">
        <v>1360</v>
      </c>
      <c r="K995" s="86" t="str">
        <f>IF(AND(A995="",D995="",E995="",F995=""),"",IF(D995="","SEM CATEGORIA",IF(E995="","SEM SUBCATEGORIA",IF(COUNTIFS(CADASTROS!$L$7:$L$93,D995,CADASTROS!$D$7:$D$93,E995)=0,"INCOMPATÍVEL","OK"))))</f>
        <v>OK</v>
      </c>
    </row>
    <row r="996" spans="1:11" ht="30" customHeight="1" x14ac:dyDescent="0.25">
      <c r="A996" s="86" t="s">
        <v>2347</v>
      </c>
      <c r="B996" s="85">
        <f>IF(A996="","",IF(INDEX(EXTRATO!$C$2:$C$3000,MATCH($A996,EXTRATO!$A$2:$A$3000,0))="","",INDEX(EXTRATO!$C$2:$C$3000,MATCH($A996,EXTRATO!$A$2:$A$3000,0))))</f>
        <v>46266</v>
      </c>
      <c r="C996" s="86">
        <f t="shared" si="19"/>
        <v>9</v>
      </c>
      <c r="D996" s="81"/>
      <c r="E996" s="79"/>
      <c r="F996" s="80">
        <v>2145</v>
      </c>
      <c r="G996" s="81" t="str">
        <f>IF(A996="","",IF(INDEX(EXTRATO!$G$2:$G$3000,MATCH($A996,EXTRATO!$A$2:$A$3000,0))="","",INDEX(EXTRATO!$G$2:$G$3000,MATCH($A996,EXTRATO!$A$2:$A$3000,0))))</f>
        <v>DIÁLISE COMÉRCIO (REF. PEROXIDE 50%, INDICADOR DE ÁCIDO PERACÉTICO E ISOLADOR DE PRESSÃO) 2/2</v>
      </c>
      <c r="H996" s="86" t="str">
        <f>IF(A996="","",IF(INDEX(EXTRATO!$F$2:$F$3000,MATCH($A996,EXTRATO!$A$2:$A$3000,0))="","",INDEX(EXTRATO!$F$2:$F$3000,MATCH($A996,EXTRATO!$A$2:$A$3000,0))))</f>
        <v>SAÍDA</v>
      </c>
      <c r="I996" s="88" t="str">
        <f>IF(A996="","",IF(INDEX(EXTRATO!$H$2:$H$3000,MATCH($A996,EXTRATO!$A$2:$A$3000,0))="","",INDEX(EXTRATO!$H$2:$H$3000,MATCH($A996,EXTRATO!$A$2:$A$3000,0))))</f>
        <v>DIALISE COMERCIO</v>
      </c>
      <c r="J996" s="86" t="s">
        <v>1360</v>
      </c>
      <c r="K996" s="86" t="str">
        <f>IF(AND(A996="",D996="",E996="",F996=""),"",IF(D996="","SEM CATEGORIA",IF(E996="","SEM SUBCATEGORIA",IF(COUNTIFS(CADASTROS!$L$7:$L$93,D996,CADASTROS!$D$7:$D$93,E996)=0,"INCOMPATÍVEL","OK"))))</f>
        <v>SEM CATEGORIA</v>
      </c>
    </row>
    <row r="997" spans="1:11" ht="30" customHeight="1" x14ac:dyDescent="0.25">
      <c r="A997" s="86" t="s">
        <v>2348</v>
      </c>
      <c r="B997" s="85">
        <f>IF(A997="","",IF(INDEX(EXTRATO!$C$2:$C$3000,MATCH($A997,EXTRATO!$A$2:$A$3000,0))="","",INDEX(EXTRATO!$C$2:$C$3000,MATCH($A997,EXTRATO!$A$2:$A$3000,0))))</f>
        <v>46266</v>
      </c>
      <c r="C997" s="86">
        <f t="shared" si="19"/>
        <v>9</v>
      </c>
      <c r="D997" s="81"/>
      <c r="E997" s="79"/>
      <c r="F997" s="80">
        <v>792</v>
      </c>
      <c r="G997" s="81" t="str">
        <f>IF(A997="","",IF(INDEX(EXTRATO!$G$2:$G$3000,MATCH($A997,EXTRATO!$A$2:$A$3000,0))="","",INDEX(EXTRATO!$G$2:$G$3000,MATCH($A997,EXTRATO!$A$2:$A$3000,0))))</f>
        <v>DIÁLISE COMÉRCIO (REF. CAPILAR B-20HF) - 2/2</v>
      </c>
      <c r="H997" s="86" t="str">
        <f>IF(A997="","",IF(INDEX(EXTRATO!$F$2:$F$3000,MATCH($A997,EXTRATO!$A$2:$A$3000,0))="","",INDEX(EXTRATO!$F$2:$F$3000,MATCH($A997,EXTRATO!$A$2:$A$3000,0))))</f>
        <v>SAÍDA</v>
      </c>
      <c r="I997" s="88" t="str">
        <f>IF(A997="","",IF(INDEX(EXTRATO!$H$2:$H$3000,MATCH($A997,EXTRATO!$A$2:$A$3000,0))="","",INDEX(EXTRATO!$H$2:$H$3000,MATCH($A997,EXTRATO!$A$2:$A$3000,0))))</f>
        <v>DIALISE COMERCIO</v>
      </c>
      <c r="J997" s="86" t="s">
        <v>1360</v>
      </c>
      <c r="K997" s="86" t="str">
        <f>IF(AND(A997="",D997="",E997="",F997=""),"",IF(D997="","SEM CATEGORIA",IF(E997="","SEM SUBCATEGORIA",IF(COUNTIFS(CADASTROS!$L$7:$L$93,D997,CADASTROS!$D$7:$D$93,E997)=0,"INCOMPATÍVEL","OK"))))</f>
        <v>SEM CATEGORIA</v>
      </c>
    </row>
    <row r="998" spans="1:11" ht="30" customHeight="1" x14ac:dyDescent="0.25">
      <c r="A998" s="86" t="s">
        <v>2350</v>
      </c>
      <c r="B998" s="85">
        <f>IF(A998="","",IF(INDEX(EXTRATO!$C$2:$C$3000,MATCH($A998,EXTRATO!$A$2:$A$3000,0))="","",INDEX(EXTRATO!$C$2:$C$3000,MATCH($A998,EXTRATO!$A$2:$A$3000,0))))</f>
        <v>46266</v>
      </c>
      <c r="C998" s="86">
        <f t="shared" si="19"/>
        <v>9</v>
      </c>
      <c r="D998" s="81" t="s">
        <v>1311</v>
      </c>
      <c r="E998" s="79" t="s">
        <v>1315</v>
      </c>
      <c r="F998" s="80">
        <v>1041.6500000000001</v>
      </c>
      <c r="G998" s="81" t="str">
        <f>IF(A998="","",IF(INDEX(EXTRATO!$G$2:$G$3000,MATCH($A998,EXTRATO!$A$2:$A$3000,0))="","",INDEX(EXTRATO!$G$2:$G$3000,MATCH($A998,EXTRATO!$A$2:$A$3000,0))))</f>
        <v>ALLMED PRONEFRO (REF. LINHA ARTERIAL, LINHA VENOSA E CONJUNTO) 1/3</v>
      </c>
      <c r="H998" s="86" t="str">
        <f>IF(A998="","",IF(INDEX(EXTRATO!$F$2:$F$3000,MATCH($A998,EXTRATO!$A$2:$A$3000,0))="","",INDEX(EXTRATO!$F$2:$F$3000,MATCH($A998,EXTRATO!$A$2:$A$3000,0))))</f>
        <v>SAÍDA</v>
      </c>
      <c r="I998" s="88" t="str">
        <f>IF(A998="","",IF(INDEX(EXTRATO!$H$2:$H$3000,MATCH($A998,EXTRATO!$A$2:$A$3000,0))="","",INDEX(EXTRATO!$H$2:$H$3000,MATCH($A998,EXTRATO!$A$2:$A$3000,0))))</f>
        <v>ALLMED PRONEFRO</v>
      </c>
      <c r="J998" s="86" t="s">
        <v>1565</v>
      </c>
      <c r="K998" s="86" t="str">
        <f>IF(AND(A998="",D998="",E998="",F998=""),"",IF(D998="","SEM CATEGORIA",IF(E998="","SEM SUBCATEGORIA",IF(COUNTIFS(CADASTROS!$L$7:$L$93,D998,CADASTROS!$D$7:$D$93,E998)=0,"INCOMPATÍVEL","OK"))))</f>
        <v>OK</v>
      </c>
    </row>
    <row r="999" spans="1:11" ht="30" customHeight="1" x14ac:dyDescent="0.25">
      <c r="A999" s="86" t="s">
        <v>2351</v>
      </c>
      <c r="B999" s="85">
        <f>IF(A999="","",IF(INDEX(EXTRATO!$C$2:$C$3000,MATCH($A999,EXTRATO!$A$2:$A$3000,0))="","",INDEX(EXTRATO!$C$2:$C$3000,MATCH($A999,EXTRATO!$A$2:$A$3000,0))))</f>
        <v>46266</v>
      </c>
      <c r="C999" s="86">
        <f t="shared" si="19"/>
        <v>9</v>
      </c>
      <c r="D999" s="81" t="s">
        <v>1311</v>
      </c>
      <c r="E999" s="79" t="s">
        <v>1315</v>
      </c>
      <c r="F999" s="80">
        <v>1301.81</v>
      </c>
      <c r="G999" s="81" t="str">
        <f>IF(A999="","",IF(INDEX(EXTRATO!$G$2:$G$3000,MATCH($A999,EXTRATO!$A$2:$A$3000,0))="","",INDEX(EXTRATO!$G$2:$G$3000,MATCH($A999,EXTRATO!$A$2:$A$3000,0))))</f>
        <v>ALLMED PRONEFRO (REF. LINHA ARTERIAL, LINHA VENOSA E CONJUNTO) 2/3</v>
      </c>
      <c r="H999" s="86" t="str">
        <f>IF(A999="","",IF(INDEX(EXTRATO!$F$2:$F$3000,MATCH($A999,EXTRATO!$A$2:$A$3000,0))="","",INDEX(EXTRATO!$F$2:$F$3000,MATCH($A999,EXTRATO!$A$2:$A$3000,0))))</f>
        <v>SAÍDA</v>
      </c>
      <c r="I999" s="88" t="str">
        <f>IF(A999="","",IF(INDEX(EXTRATO!$H$2:$H$3000,MATCH($A999,EXTRATO!$A$2:$A$3000,0))="","",INDEX(EXTRATO!$H$2:$H$3000,MATCH($A999,EXTRATO!$A$2:$A$3000,0))))</f>
        <v>ALLMED PRONEFRO</v>
      </c>
      <c r="J999" s="86" t="s">
        <v>1565</v>
      </c>
      <c r="K999" s="86" t="str">
        <f>IF(AND(A999="",D999="",E999="",F999=""),"",IF(D999="","SEM CATEGORIA",IF(E999="","SEM SUBCATEGORIA",IF(COUNTIFS(CADASTROS!$L$7:$L$93,D999,CADASTROS!$D$7:$D$93,E999)=0,"INCOMPATÍVEL","OK"))))</f>
        <v>OK</v>
      </c>
    </row>
    <row r="1000" spans="1:11" ht="30" customHeight="1" x14ac:dyDescent="0.25">
      <c r="A1000" s="86" t="s">
        <v>2352</v>
      </c>
      <c r="B1000" s="85">
        <f>IF(A1000="","",IF(INDEX(EXTRATO!$C$2:$C$3000,MATCH($A1000,EXTRATO!$A$2:$A$3000,0))="","",INDEX(EXTRATO!$C$2:$C$3000,MATCH($A1000,EXTRATO!$A$2:$A$3000,0))))</f>
        <v>46266</v>
      </c>
      <c r="C1000" s="86">
        <f t="shared" si="19"/>
        <v>9</v>
      </c>
      <c r="D1000" s="81"/>
      <c r="E1000" s="79"/>
      <c r="F1000" s="80">
        <v>1584</v>
      </c>
      <c r="G1000" s="81" t="str">
        <f>IF(A1000="","",IF(INDEX(EXTRATO!$G$2:$G$3000,MATCH($A1000,EXTRATO!$A$2:$A$3000,0))="","",INDEX(EXTRATO!$G$2:$G$3000,MATCH($A1000,EXTRATO!$A$2:$A$3000,0))))</f>
        <v>DIÁLISE COMÉRCIO (REF. CAPILAR 2.0 B20-HF DORA) 1/1</v>
      </c>
      <c r="H1000" s="86" t="str">
        <f>IF(A1000="","",IF(INDEX(EXTRATO!$F$2:$F$3000,MATCH($A1000,EXTRATO!$A$2:$A$3000,0))="","",INDEX(EXTRATO!$F$2:$F$3000,MATCH($A1000,EXTRATO!$A$2:$A$3000,0))))</f>
        <v>SAÍDA</v>
      </c>
      <c r="I1000" s="88" t="str">
        <f>IF(A1000="","",IF(INDEX(EXTRATO!$H$2:$H$3000,MATCH($A1000,EXTRATO!$A$2:$A$3000,0))="","",INDEX(EXTRATO!$H$2:$H$3000,MATCH($A1000,EXTRATO!$A$2:$A$3000,0))))</f>
        <v>DIALISE COMERCIO</v>
      </c>
      <c r="J1000" s="86" t="s">
        <v>1360</v>
      </c>
      <c r="K1000" s="86" t="str">
        <f>IF(AND(A1000="",D1000="",E1000="",F1000=""),"",IF(D1000="","SEM CATEGORIA",IF(E1000="","SEM SUBCATEGORIA",IF(COUNTIFS(CADASTROS!$L$7:$L$93,D1000,CADASTROS!$D$7:$D$93,E1000)=0,"INCOMPATÍVEL","OK"))))</f>
        <v>SEM CATEGORIA</v>
      </c>
    </row>
    <row r="1001" spans="1:11" ht="30" customHeight="1" x14ac:dyDescent="0.25">
      <c r="A1001" s="86" t="s">
        <v>2353</v>
      </c>
      <c r="B1001" s="85">
        <f>IF(A1001="","",IF(INDEX(EXTRATO!$C$2:$C$3000,MATCH($A1001,EXTRATO!$A$2:$A$3000,0))="","",INDEX(EXTRATO!$C$2:$C$3000,MATCH($A1001,EXTRATO!$A$2:$A$3000,0))))</f>
        <v>46266</v>
      </c>
      <c r="C1001" s="86">
        <f t="shared" si="19"/>
        <v>9</v>
      </c>
      <c r="D1001" s="81" t="s">
        <v>1330</v>
      </c>
      <c r="E1001" s="79" t="s">
        <v>1344</v>
      </c>
      <c r="F1001" s="80">
        <v>24010.69</v>
      </c>
      <c r="G1001" s="81" t="str">
        <f>IF(A1001="","",IF(INDEX(EXTRATO!$G$2:$G$3000,MATCH($A1001,EXTRATO!$A$2:$A$3000,0))="","",INDEX(EXTRATO!$G$2:$G$3000,MATCH($A1001,EXTRATO!$A$2:$A$3000,0))))</f>
        <v>EQUATORIAL MARANHÃO (REF. ENERGIA ELÉTRICA DA CLÍNICA) - REF. 08/2026</v>
      </c>
      <c r="H1001" s="86" t="str">
        <f>IF(A1001="","",IF(INDEX(EXTRATO!$F$2:$F$3000,MATCH($A1001,EXTRATO!$A$2:$A$3000,0))="","",INDEX(EXTRATO!$F$2:$F$3000,MATCH($A1001,EXTRATO!$A$2:$A$3000,0))))</f>
        <v>SAÍDA</v>
      </c>
      <c r="I1001" s="88" t="str">
        <f>IF(A1001="","",IF(INDEX(EXTRATO!$H$2:$H$3000,MATCH($A1001,EXTRATO!$A$2:$A$3000,0))="","",INDEX(EXTRATO!$H$2:$H$3000,MATCH($A1001,EXTRATO!$A$2:$A$3000,0))))</f>
        <v>EQUATORIAL MARANHÃO</v>
      </c>
      <c r="J1001" s="86" t="s">
        <v>1565</v>
      </c>
      <c r="K1001" s="86" t="str">
        <f>IF(AND(A1001="",D1001="",E1001="",F1001=""),"",IF(D1001="","SEM CATEGORIA",IF(E1001="","SEM SUBCATEGORIA",IF(COUNTIFS(CADASTROS!$L$7:$L$93,D1001,CADASTROS!$D$7:$D$93,E1001)=0,"INCOMPATÍVEL","OK"))))</f>
        <v>OK</v>
      </c>
    </row>
    <row r="1002" spans="1:11" ht="30" customHeight="1" x14ac:dyDescent="0.25">
      <c r="A1002" s="86" t="s">
        <v>2354</v>
      </c>
      <c r="B1002" s="85">
        <f>IF(A1002="","",IF(INDEX(EXTRATO!$C$2:$C$3000,MATCH($A1002,EXTRATO!$A$2:$A$3000,0))="","",INDEX(EXTRATO!$C$2:$C$3000,MATCH($A1002,EXTRATO!$A$2:$A$3000,0))))</f>
        <v>46266</v>
      </c>
      <c r="C1002" s="86">
        <f t="shared" si="19"/>
        <v>9</v>
      </c>
      <c r="D1002" s="81" t="s">
        <v>1311</v>
      </c>
      <c r="E1002" s="79" t="s">
        <v>1315</v>
      </c>
      <c r="F1002" s="80">
        <v>2372.14</v>
      </c>
      <c r="G1002" s="81" t="str">
        <f>IF(A1002="","",IF(INDEX(EXTRATO!$G$2:$G$3000,MATCH($A1002,EXTRATO!$A$2:$A$3000,0))="","",INDEX(EXTRATO!$G$2:$G$3000,MATCH($A1002,EXTRATO!$A$2:$A$3000,0))))</f>
        <v>ALLMED PRONEFRO (REF. LINHA DUPLA, LINHA ARTERIAL, LINHA VENOSA E ISOLADOR DE PRESSÃO) 3/3</v>
      </c>
      <c r="H1002" s="86" t="str">
        <f>IF(A1002="","",IF(INDEX(EXTRATO!$F$2:$F$3000,MATCH($A1002,EXTRATO!$A$2:$A$3000,0))="","",INDEX(EXTRATO!$F$2:$F$3000,MATCH($A1002,EXTRATO!$A$2:$A$3000,0))))</f>
        <v>SAÍDA</v>
      </c>
      <c r="I1002" s="88" t="str">
        <f>IF(A1002="","",IF(INDEX(EXTRATO!$H$2:$H$3000,MATCH($A1002,EXTRATO!$A$2:$A$3000,0))="","",INDEX(EXTRATO!$H$2:$H$3000,MATCH($A1002,EXTRATO!$A$2:$A$3000,0))))</f>
        <v>ALLMED PRONEFRO</v>
      </c>
      <c r="J1002" s="86" t="s">
        <v>1565</v>
      </c>
      <c r="K1002" s="86" t="str">
        <f>IF(AND(A1002="",D1002="",E1002="",F1002=""),"",IF(D1002="","SEM CATEGORIA",IF(E1002="","SEM SUBCATEGORIA",IF(COUNTIFS(CADASTROS!$L$7:$L$93,D1002,CADASTROS!$D$7:$D$93,E1002)=0,"INCOMPATÍVEL","OK"))))</f>
        <v>OK</v>
      </c>
    </row>
    <row r="1003" spans="1:11" ht="30" customHeight="1" x14ac:dyDescent="0.25">
      <c r="A1003" s="86" t="s">
        <v>2355</v>
      </c>
      <c r="B1003" s="85">
        <f>IF(A1003="","",IF(INDEX(EXTRATO!$C$2:$C$3000,MATCH($A1003,EXTRATO!$A$2:$A$3000,0))="","",INDEX(EXTRATO!$C$2:$C$3000,MATCH($A1003,EXTRATO!$A$2:$A$3000,0))))</f>
        <v>46266</v>
      </c>
      <c r="C1003" s="86">
        <f t="shared" si="19"/>
        <v>9</v>
      </c>
      <c r="D1003" s="81" t="s">
        <v>1454</v>
      </c>
      <c r="E1003" s="79" t="s">
        <v>1473</v>
      </c>
      <c r="F1003" s="80">
        <v>2530.88</v>
      </c>
      <c r="G1003" s="81" t="str">
        <f>IF(A1003="","",IF(INDEX(EXTRATO!$G$2:$G$3000,MATCH($A1003,EXTRATO!$A$2:$A$3000,0))="","",INDEX(EXTRATO!$G$2:$G$3000,MATCH($A1003,EXTRATO!$A$2:$A$3000,0))))</f>
        <v>NIPRO (REF. CONJUNTO REGULADOR DE PRESSÃO) 2/2</v>
      </c>
      <c r="H1003" s="86" t="str">
        <f>IF(A1003="","",IF(INDEX(EXTRATO!$F$2:$F$3000,MATCH($A1003,EXTRATO!$A$2:$A$3000,0))="","",INDEX(EXTRATO!$F$2:$F$3000,MATCH($A1003,EXTRATO!$A$2:$A$3000,0))))</f>
        <v>SAÍDA</v>
      </c>
      <c r="I1003" s="88" t="str">
        <f>IF(A1003="","",IF(INDEX(EXTRATO!$H$2:$H$3000,MATCH($A1003,EXTRATO!$A$2:$A$3000,0))="","",INDEX(EXTRATO!$H$2:$H$3000,MATCH($A1003,EXTRATO!$A$2:$A$3000,0))))</f>
        <v>NIPRO</v>
      </c>
      <c r="J1003" s="86" t="s">
        <v>1565</v>
      </c>
      <c r="K1003" s="86" t="str">
        <f>IF(AND(A1003="",D1003="",E1003="",F1003=""),"",IF(D1003="","SEM CATEGORIA",IF(E1003="","SEM SUBCATEGORIA",IF(COUNTIFS(CADASTROS!$L$7:$L$93,D1003,CADASTROS!$D$7:$D$93,E1003)=0,"INCOMPATÍVEL","OK"))))</f>
        <v>OK</v>
      </c>
    </row>
    <row r="1004" spans="1:11" ht="30" customHeight="1" x14ac:dyDescent="0.25">
      <c r="A1004" s="86" t="s">
        <v>2356</v>
      </c>
      <c r="B1004" s="85">
        <f>IF(A1004="","",IF(INDEX(EXTRATO!$C$2:$C$3000,MATCH($A1004,EXTRATO!$A$2:$A$3000,0))="","",INDEX(EXTRATO!$C$2:$C$3000,MATCH($A1004,EXTRATO!$A$2:$A$3000,0))))</f>
        <v>46266</v>
      </c>
      <c r="C1004" s="86">
        <f t="shared" si="19"/>
        <v>9</v>
      </c>
      <c r="D1004" s="81"/>
      <c r="E1004" s="79"/>
      <c r="F1004" s="80">
        <v>3670</v>
      </c>
      <c r="G1004" s="81" t="str">
        <f>IF(A1004="","",IF(INDEX(EXTRATO!$G$2:$G$3000,MATCH($A1004,EXTRATO!$A$2:$A$3000,0))="","",INDEX(EXTRATO!$G$2:$G$3000,MATCH($A1004,EXTRATO!$A$2:$A$3000,0))))</f>
        <v>DIÁLISE COMÉRCIO (REF. ÁCIDO CÍTRICO, PEROXIDE, INDICADOR DE ÁCIDO PERACETICO E ISOLADOR DE PRESSÃO) 1/2</v>
      </c>
      <c r="H1004" s="86" t="str">
        <f>IF(A1004="","",IF(INDEX(EXTRATO!$F$2:$F$3000,MATCH($A1004,EXTRATO!$A$2:$A$3000,0))="","",INDEX(EXTRATO!$F$2:$F$3000,MATCH($A1004,EXTRATO!$A$2:$A$3000,0))))</f>
        <v>SAÍDA</v>
      </c>
      <c r="I1004" s="88" t="str">
        <f>IF(A1004="","",IF(INDEX(EXTRATO!$H$2:$H$3000,MATCH($A1004,EXTRATO!$A$2:$A$3000,0))="","",INDEX(EXTRATO!$H$2:$H$3000,MATCH($A1004,EXTRATO!$A$2:$A$3000,0))))</f>
        <v>DIALISE COMERCIO</v>
      </c>
      <c r="J1004" s="86" t="s">
        <v>1360</v>
      </c>
      <c r="K1004" s="86" t="str">
        <f>IF(AND(A1004="",D1004="",E1004="",F1004=""),"",IF(D1004="","SEM CATEGORIA",IF(E1004="","SEM SUBCATEGORIA",IF(COUNTIFS(CADASTROS!$L$7:$L$93,D1004,CADASTROS!$D$7:$D$93,E1004)=0,"INCOMPATÍVEL","OK"))))</f>
        <v>SEM CATEGORIA</v>
      </c>
    </row>
    <row r="1005" spans="1:11" ht="30" customHeight="1" x14ac:dyDescent="0.25">
      <c r="A1005" s="86" t="s">
        <v>2357</v>
      </c>
      <c r="B1005" s="85">
        <f>IF(A1005="","",IF(INDEX(EXTRATO!$C$2:$C$3000,MATCH($A1005,EXTRATO!$A$2:$A$3000,0))="","",INDEX(EXTRATO!$C$2:$C$3000,MATCH($A1005,EXTRATO!$A$2:$A$3000,0))))</f>
        <v>46266</v>
      </c>
      <c r="C1005" s="86">
        <f t="shared" si="19"/>
        <v>9</v>
      </c>
      <c r="D1005" s="81"/>
      <c r="E1005" s="79"/>
      <c r="F1005" s="80">
        <v>17570</v>
      </c>
      <c r="G1005" s="81" t="str">
        <f>IF(A1005="","",IF(INDEX(EXTRATO!$G$2:$G$3000,MATCH($A1005,EXTRATO!$A$2:$A$3000,0))="","",INDEX(EXTRATO!$G$2:$G$3000,MATCH($A1005,EXTRATO!$A$2:$A$3000,0))))</f>
        <v>FARMACE (REF. SOLUÇÕES ÁCIDAS E BÁSICAS) 1/2</v>
      </c>
      <c r="H1005" s="86" t="str">
        <f>IF(A1005="","",IF(INDEX(EXTRATO!$F$2:$F$3000,MATCH($A1005,EXTRATO!$A$2:$A$3000,0))="","",INDEX(EXTRATO!$F$2:$F$3000,MATCH($A1005,EXTRATO!$A$2:$A$3000,0))))</f>
        <v>SAÍDA</v>
      </c>
      <c r="I1005" s="88" t="str">
        <f>IF(A1005="","",IF(INDEX(EXTRATO!$H$2:$H$3000,MATCH($A1005,EXTRATO!$A$2:$A$3000,0))="","",INDEX(EXTRATO!$H$2:$H$3000,MATCH($A1005,EXTRATO!$A$2:$A$3000,0))))</f>
        <v>FARMACE</v>
      </c>
      <c r="J1005" s="86" t="s">
        <v>1360</v>
      </c>
      <c r="K1005" s="86" t="str">
        <f>IF(AND(A1005="",D1005="",E1005="",F1005=""),"",IF(D1005="","SEM CATEGORIA",IF(E1005="","SEM SUBCATEGORIA",IF(COUNTIFS(CADASTROS!$L$7:$L$93,D1005,CADASTROS!$D$7:$D$93,E1005)=0,"INCOMPATÍVEL","OK"))))</f>
        <v>SEM CATEGORIA</v>
      </c>
    </row>
    <row r="1006" spans="1:11" ht="30" customHeight="1" x14ac:dyDescent="0.25">
      <c r="A1006" s="86" t="s">
        <v>2358</v>
      </c>
      <c r="B1006" s="85">
        <f>IF(A1006="","",IF(INDEX(EXTRATO!$C$2:$C$3000,MATCH($A1006,EXTRATO!$A$2:$A$3000,0))="","",INDEX(EXTRATO!$C$2:$C$3000,MATCH($A1006,EXTRATO!$A$2:$A$3000,0))))</f>
        <v>46267</v>
      </c>
      <c r="C1006" s="86">
        <f t="shared" si="19"/>
        <v>9</v>
      </c>
      <c r="D1006" s="81" t="s">
        <v>1415</v>
      </c>
      <c r="E1006" s="79" t="s">
        <v>1425</v>
      </c>
      <c r="F1006" s="80">
        <v>5400</v>
      </c>
      <c r="G1006" s="81" t="str">
        <f>IF(A1006="","",IF(INDEX(EXTRATO!$G$2:$G$3000,MATCH($A1006,EXTRATO!$A$2:$A$3000,0))="","",INDEX(EXTRATO!$G$2:$G$3000,MATCH($A1006,EXTRATO!$A$2:$A$3000,0))))</f>
        <v>CASAMATER (REF. JUN/2026)</v>
      </c>
      <c r="H1006" s="86" t="str">
        <f>IF(A1006="","",IF(INDEX(EXTRATO!$F$2:$F$3000,MATCH($A1006,EXTRATO!$A$2:$A$3000,0))="","",INDEX(EXTRATO!$F$2:$F$3000,MATCH($A1006,EXTRATO!$A$2:$A$3000,0))))</f>
        <v>SAÍDA</v>
      </c>
      <c r="I1006" s="88" t="str">
        <f>IF(A1006="","",IF(INDEX(EXTRATO!$H$2:$H$3000,MATCH($A1006,EXTRATO!$A$2:$A$3000,0))="","",INDEX(EXTRATO!$H$2:$H$3000,MATCH($A1006,EXTRATO!$A$2:$A$3000,0))))</f>
        <v>CASAMATER</v>
      </c>
      <c r="J1006" s="86" t="s">
        <v>1565</v>
      </c>
      <c r="K1006" s="86" t="str">
        <f>IF(AND(A1006="",D1006="",E1006="",F1006=""),"",IF(D1006="","SEM CATEGORIA",IF(E1006="","SEM SUBCATEGORIA",IF(COUNTIFS(CADASTROS!$L$7:$L$93,D1006,CADASTROS!$D$7:$D$93,E1006)=0,"INCOMPATÍVEL","OK"))))</f>
        <v>OK</v>
      </c>
    </row>
    <row r="1007" spans="1:11" ht="30" customHeight="1" x14ac:dyDescent="0.25">
      <c r="A1007" s="86" t="s">
        <v>2359</v>
      </c>
      <c r="B1007" s="85">
        <f>IF(A1007="","",IF(INDEX(EXTRATO!$C$2:$C$3000,MATCH($A1007,EXTRATO!$A$2:$A$3000,0))="","",INDEX(EXTRATO!$C$2:$C$3000,MATCH($A1007,EXTRATO!$A$2:$A$3000,0))))</f>
        <v>46267</v>
      </c>
      <c r="C1007" s="86">
        <f t="shared" si="19"/>
        <v>9</v>
      </c>
      <c r="D1007" s="81"/>
      <c r="E1007" s="79"/>
      <c r="F1007" s="80">
        <v>13877.69</v>
      </c>
      <c r="G1007" s="81" t="str">
        <f>IF(A1007="","",IF(INDEX(EXTRATO!$G$2:$G$3000,MATCH($A1007,EXTRATO!$A$2:$A$3000,0))="","",INDEX(EXTRATO!$G$2:$G$3000,MATCH($A1007,EXTRATO!$A$2:$A$3000,0))))</f>
        <v>UNICLINICA (REF. EXAMES DE PACIENTES) - JUN/26</v>
      </c>
      <c r="H1007" s="86" t="str">
        <f>IF(A1007="","",IF(INDEX(EXTRATO!$F$2:$F$3000,MATCH($A1007,EXTRATO!$A$2:$A$3000,0))="","",INDEX(EXTRATO!$F$2:$F$3000,MATCH($A1007,EXTRATO!$A$2:$A$3000,0))))</f>
        <v>SAÍDA</v>
      </c>
      <c r="I1007" s="88" t="str">
        <f>IF(A1007="","",IF(INDEX(EXTRATO!$H$2:$H$3000,MATCH($A1007,EXTRATO!$A$2:$A$3000,0))="","",INDEX(EXTRATO!$H$2:$H$3000,MATCH($A1007,EXTRATO!$A$2:$A$3000,0))))</f>
        <v>UNICLINICA</v>
      </c>
      <c r="J1007" s="86" t="s">
        <v>1360</v>
      </c>
      <c r="K1007" s="86" t="str">
        <f>IF(AND(A1007="",D1007="",E1007="",F1007=""),"",IF(D1007="","SEM CATEGORIA",IF(E1007="","SEM SUBCATEGORIA",IF(COUNTIFS(CADASTROS!$L$7:$L$93,D1007,CADASTROS!$D$7:$D$93,E1007)=0,"INCOMPATÍVEL","OK"))))</f>
        <v>SEM CATEGORIA</v>
      </c>
    </row>
    <row r="1008" spans="1:11" ht="30" customHeight="1" x14ac:dyDescent="0.25">
      <c r="A1008" s="86" t="s">
        <v>2360</v>
      </c>
      <c r="B1008" s="85">
        <f>IF(A1008="","",IF(INDEX(EXTRATO!$C$2:$C$3000,MATCH($A1008,EXTRATO!$A$2:$A$3000,0))="","",INDEX(EXTRATO!$C$2:$C$3000,MATCH($A1008,EXTRATO!$A$2:$A$3000,0))))</f>
        <v>46267</v>
      </c>
      <c r="C1008" s="86">
        <f t="shared" si="19"/>
        <v>9</v>
      </c>
      <c r="D1008" s="81" t="s">
        <v>1415</v>
      </c>
      <c r="E1008" s="79" t="s">
        <v>1661</v>
      </c>
      <c r="F1008" s="80">
        <v>1470</v>
      </c>
      <c r="G1008" s="81" t="str">
        <f>IF(A1008="","",IF(INDEX(EXTRATO!$G$2:$G$3000,MATCH($A1008,EXTRATO!$A$2:$A$3000,0))="","",INDEX(EXTRATO!$G$2:$G$3000,MATCH($A1008,EXTRATO!$A$2:$A$3000,0))))</f>
        <v>DR. RENATO (CIRURGIÃO VASCULAR) - S M D MATOS ASSOC. - (REF. JUN/26) - Ref. 03 confecção de fistula</v>
      </c>
      <c r="H1008" s="86" t="str">
        <f>IF(A1008="","",IF(INDEX(EXTRATO!$F$2:$F$3000,MATCH($A1008,EXTRATO!$A$2:$A$3000,0))="","",INDEX(EXTRATO!$F$2:$F$3000,MATCH($A1008,EXTRATO!$A$2:$A$3000,0))))</f>
        <v>SAÍDA</v>
      </c>
      <c r="I1008" s="88" t="str">
        <f>IF(A1008="","",IF(INDEX(EXTRATO!$H$2:$H$3000,MATCH($A1008,EXTRATO!$A$2:$A$3000,0))="","",INDEX(EXTRATO!$H$2:$H$3000,MATCH($A1008,EXTRATO!$A$2:$A$3000,0))))</f>
        <v>DR. RENATO</v>
      </c>
      <c r="J1008" s="86" t="s">
        <v>1565</v>
      </c>
      <c r="K1008" s="86" t="str">
        <f>IF(AND(A1008="",D1008="",E1008="",F1008=""),"",IF(D1008="","SEM CATEGORIA",IF(E1008="","SEM SUBCATEGORIA",IF(COUNTIFS(CADASTROS!$L$7:$L$93,D1008,CADASTROS!$D$7:$D$93,E1008)=0,"INCOMPATÍVEL","OK"))))</f>
        <v>OK</v>
      </c>
    </row>
    <row r="1009" spans="1:11" ht="30" customHeight="1" x14ac:dyDescent="0.25">
      <c r="A1009" s="86" t="s">
        <v>2361</v>
      </c>
      <c r="B1009" s="85">
        <f>IF(A1009="","",IF(INDEX(EXTRATO!$C$2:$C$3000,MATCH($A1009,EXTRATO!$A$2:$A$3000,0))="","",INDEX(EXTRATO!$C$2:$C$3000,MATCH($A1009,EXTRATO!$A$2:$A$3000,0))))</f>
        <v>46267</v>
      </c>
      <c r="C1009" s="86">
        <f t="shared" si="19"/>
        <v>9</v>
      </c>
      <c r="D1009" s="81"/>
      <c r="E1009" s="79"/>
      <c r="F1009" s="80">
        <v>4912.07</v>
      </c>
      <c r="G1009" s="81" t="str">
        <f>IF(A1009="","",IF(INDEX(EXTRATO!$G$2:$G$3000,MATCH($A1009,EXTRATO!$A$2:$A$3000,0))="","",INDEX(EXTRATO!$G$2:$G$3000,MATCH($A1009,EXTRATO!$A$2:$A$3000,0))))</f>
        <v>FOLHA DE PAGAMENTO (REF. FÉRIAS DE SET/26 - MURILO E LOHANNY)</v>
      </c>
      <c r="H1009" s="86" t="str">
        <f>IF(A1009="","",IF(INDEX(EXTRATO!$F$2:$F$3000,MATCH($A1009,EXTRATO!$A$2:$A$3000,0))="","",INDEX(EXTRATO!$F$2:$F$3000,MATCH($A1009,EXTRATO!$A$2:$A$3000,0))))</f>
        <v>SAÍDA</v>
      </c>
      <c r="I1009" s="88" t="str">
        <f>IF(A1009="","",IF(INDEX(EXTRATO!$H$2:$H$3000,MATCH($A1009,EXTRATO!$A$2:$A$3000,0))="","",INDEX(EXTRATO!$H$2:$H$3000,MATCH($A1009,EXTRATO!$A$2:$A$3000,0))))</f>
        <v>FOLHA DE PAGAMENTO - FÉRIAS</v>
      </c>
      <c r="J1009" s="86" t="s">
        <v>1360</v>
      </c>
      <c r="K1009" s="86" t="str">
        <f>IF(AND(A1009="",D1009="",E1009="",F1009=""),"",IF(D1009="","SEM CATEGORIA",IF(E1009="","SEM SUBCATEGORIA",IF(COUNTIFS(CADASTROS!$L$7:$L$93,D1009,CADASTROS!$D$7:$D$93,E1009)=0,"INCOMPATÍVEL","OK"))))</f>
        <v>SEM CATEGORIA</v>
      </c>
    </row>
    <row r="1010" spans="1:11" ht="30" customHeight="1" x14ac:dyDescent="0.25">
      <c r="A1010" s="86" t="s">
        <v>2362</v>
      </c>
      <c r="B1010" s="85">
        <f>IF(A1010="","",IF(INDEX(EXTRATO!$C$2:$C$3000,MATCH($A1010,EXTRATO!$A$2:$A$3000,0))="","",INDEX(EXTRATO!$C$2:$C$3000,MATCH($A1010,EXTRATO!$A$2:$A$3000,0))))</f>
        <v>46267</v>
      </c>
      <c r="C1010" s="86">
        <f t="shared" si="19"/>
        <v>9</v>
      </c>
      <c r="D1010" s="81" t="s">
        <v>1415</v>
      </c>
      <c r="E1010" s="79" t="s">
        <v>1664</v>
      </c>
      <c r="F1010" s="80">
        <v>1470</v>
      </c>
      <c r="G1010" s="81" t="str">
        <f>IF(A1010="","",IF(INDEX(EXTRATO!$G$2:$G$3000,MATCH($A1010,EXTRATO!$A$2:$A$3000,0))="","",INDEX(EXTRATO!$G$2:$G$3000,MATCH($A1010,EXTRATO!$A$2:$A$3000,0))))</f>
        <v>DR. WILSON (CIRURGIÃO VASCULAR) - COELHO E OLIVEIRA SERV. MÉDICOS - JUN/26 - Ref. 03 implante de perm.</v>
      </c>
      <c r="H1010" s="86" t="str">
        <f>IF(A1010="","",IF(INDEX(EXTRATO!$F$2:$F$3000,MATCH($A1010,EXTRATO!$A$2:$A$3000,0))="","",INDEX(EXTRATO!$F$2:$F$3000,MATCH($A1010,EXTRATO!$A$2:$A$3000,0))))</f>
        <v>SAÍDA</v>
      </c>
      <c r="I1010" s="88" t="str">
        <f>IF(A1010="","",IF(INDEX(EXTRATO!$H$2:$H$3000,MATCH($A1010,EXTRATO!$A$2:$A$3000,0))="","",INDEX(EXTRATO!$H$2:$H$3000,MATCH($A1010,EXTRATO!$A$2:$A$3000,0))))</f>
        <v>DR. WILSON</v>
      </c>
      <c r="J1010" s="86" t="s">
        <v>1565</v>
      </c>
      <c r="K1010" s="86" t="str">
        <f>IF(AND(A1010="",D1010="",E1010="",F1010=""),"",IF(D1010="","SEM CATEGORIA",IF(E1010="","SEM SUBCATEGORIA",IF(COUNTIFS(CADASTROS!$L$7:$L$93,D1010,CADASTROS!$D$7:$D$93,E1010)=0,"INCOMPATÍVEL","OK"))))</f>
        <v>OK</v>
      </c>
    </row>
    <row r="1011" spans="1:11" ht="30" customHeight="1" x14ac:dyDescent="0.25">
      <c r="A1011" s="86" t="s">
        <v>2363</v>
      </c>
      <c r="B1011" s="85">
        <f>IF(A1011="","",IF(INDEX(EXTRATO!$C$2:$C$3000,MATCH($A1011,EXTRATO!$A$2:$A$3000,0))="","",INDEX(EXTRATO!$C$2:$C$3000,MATCH($A1011,EXTRATO!$A$2:$A$3000,0))))</f>
        <v>46267</v>
      </c>
      <c r="C1011" s="86">
        <f t="shared" si="19"/>
        <v>9</v>
      </c>
      <c r="D1011" s="81"/>
      <c r="E1011" s="79"/>
      <c r="F1011" s="80">
        <v>4500</v>
      </c>
      <c r="G1011" s="81" t="str">
        <f>IF(A1011="","",IF(INDEX(EXTRATO!$G$2:$G$3000,MATCH($A1011,EXTRATO!$A$2:$A$3000,0))="","",INDEX(EXTRATO!$G$2:$G$3000,MATCH($A1011,EXTRATO!$A$2:$A$3000,0))))</f>
        <v>HR MANUTENÇÃO HOSPITALAR E TRAT. DE ÁGUA ( REF. PREST. DE SERV. HUGO RAMON) - JUN/26</v>
      </c>
      <c r="H1011" s="86" t="str">
        <f>IF(A1011="","",IF(INDEX(EXTRATO!$F$2:$F$3000,MATCH($A1011,EXTRATO!$A$2:$A$3000,0))="","",INDEX(EXTRATO!$F$2:$F$3000,MATCH($A1011,EXTRATO!$A$2:$A$3000,0))))</f>
        <v>SAÍDA</v>
      </c>
      <c r="I1011" s="88" t="str">
        <f>IF(A1011="","",IF(INDEX(EXTRATO!$H$2:$H$3000,MATCH($A1011,EXTRATO!$A$2:$A$3000,0))="","",INDEX(EXTRATO!$H$2:$H$3000,MATCH($A1011,EXTRATO!$A$2:$A$3000,0))))</f>
        <v>HR MANUTENCAO HOSPITALAR</v>
      </c>
      <c r="J1011" s="86" t="s">
        <v>1360</v>
      </c>
      <c r="K1011" s="86" t="str">
        <f>IF(AND(A1011="",D1011="",E1011="",F1011=""),"",IF(D1011="","SEM CATEGORIA",IF(E1011="","SEM SUBCATEGORIA",IF(COUNTIFS(CADASTROS!$L$7:$L$93,D1011,CADASTROS!$D$7:$D$93,E1011)=0,"INCOMPATÍVEL","OK"))))</f>
        <v>SEM CATEGORIA</v>
      </c>
    </row>
    <row r="1012" spans="1:11" ht="30" customHeight="1" x14ac:dyDescent="0.25">
      <c r="A1012" s="86" t="s">
        <v>2364</v>
      </c>
      <c r="B1012" s="85">
        <f>IF(A1012="","",IF(INDEX(EXTRATO!$C$2:$C$3000,MATCH($A1012,EXTRATO!$A$2:$A$3000,0))="","",INDEX(EXTRATO!$C$2:$C$3000,MATCH($A1012,EXTRATO!$A$2:$A$3000,0))))</f>
        <v>46267</v>
      </c>
      <c r="C1012" s="86">
        <f t="shared" si="19"/>
        <v>9</v>
      </c>
      <c r="D1012" s="81"/>
      <c r="E1012" s="79"/>
      <c r="F1012" s="80">
        <v>5200</v>
      </c>
      <c r="G1012" s="81" t="str">
        <f>IF(A1012="","",IF(INDEX(EXTRATO!$G$2:$G$3000,MATCH($A1012,EXTRATO!$A$2:$A$3000,0))="","",INDEX(EXTRATO!$G$2:$G$3000,MATCH($A1012,EXTRATO!$A$2:$A$3000,0))))</f>
        <v>ENCAPADORA E VULCANIZADOR (REF. PRESTAÇÃO DE SERVIÇOS ADMINISTRATIVOS (EMANUELLE ARAÚJO / LÍVIA CRISTINA / LAURA LOHANA) - JUN/26)</v>
      </c>
      <c r="H1012" s="86" t="str">
        <f>IF(A1012="","",IF(INDEX(EXTRATO!$F$2:$F$3000,MATCH($A1012,EXTRATO!$A$2:$A$3000,0))="","",INDEX(EXTRATO!$F$2:$F$3000,MATCH($A1012,EXTRATO!$A$2:$A$3000,0))))</f>
        <v>SAÍDA</v>
      </c>
      <c r="I1012" s="88" t="str">
        <f>IF(A1012="","",IF(INDEX(EXTRATO!$H$2:$H$3000,MATCH($A1012,EXTRATO!$A$2:$A$3000,0))="","",INDEX(EXTRATO!$H$2:$H$3000,MATCH($A1012,EXTRATO!$A$2:$A$3000,0))))</f>
        <v>ASSESSORIA ADMINISTRATIVA</v>
      </c>
      <c r="J1012" s="86" t="s">
        <v>1360</v>
      </c>
      <c r="K1012" s="86" t="str">
        <f>IF(AND(A1012="",D1012="",E1012="",F1012=""),"",IF(D1012="","SEM CATEGORIA",IF(E1012="","SEM SUBCATEGORIA",IF(COUNTIFS(CADASTROS!$L$7:$L$93,D1012,CADASTROS!$D$7:$D$93,E1012)=0,"INCOMPATÍVEL","OK"))))</f>
        <v>SEM CATEGORIA</v>
      </c>
    </row>
    <row r="1013" spans="1:11" ht="30" customHeight="1" x14ac:dyDescent="0.25">
      <c r="A1013" s="86" t="s">
        <v>2365</v>
      </c>
      <c r="B1013" s="85">
        <f>IF(A1013="","",IF(INDEX(EXTRATO!$C$2:$C$3000,MATCH($A1013,EXTRATO!$A$2:$A$3000,0))="","",INDEX(EXTRATO!$C$2:$C$3000,MATCH($A1013,EXTRATO!$A$2:$A$3000,0))))</f>
        <v>46267</v>
      </c>
      <c r="C1013" s="86">
        <f t="shared" si="19"/>
        <v>9</v>
      </c>
      <c r="D1013" s="81" t="s">
        <v>1330</v>
      </c>
      <c r="E1013" s="79" t="s">
        <v>1697</v>
      </c>
      <c r="F1013" s="80">
        <v>2200</v>
      </c>
      <c r="G1013" s="81" t="str">
        <f>IF(A1013="","",IF(INDEX(EXTRATO!$G$2:$G$3000,MATCH($A1013,EXTRATO!$A$2:$A$3000,0))="","",INDEX(EXTRATO!$G$2:$G$3000,MATCH($A1013,EXTRATO!$A$2:$A$3000,0))))</f>
        <v>LUANA MELO VIEGAS (REF. ASSSESORIA ADMINISTRATIVA - REF. JUN/26)</v>
      </c>
      <c r="H1013" s="86" t="str">
        <f>IF(A1013="","",IF(INDEX(EXTRATO!$F$2:$F$3000,MATCH($A1013,EXTRATO!$A$2:$A$3000,0))="","",INDEX(EXTRATO!$F$2:$F$3000,MATCH($A1013,EXTRATO!$A$2:$A$3000,0))))</f>
        <v>SAÍDA</v>
      </c>
      <c r="I1013" s="88" t="str">
        <f>IF(A1013="","",IF(INDEX(EXTRATO!$H$2:$H$3000,MATCH($A1013,EXTRATO!$A$2:$A$3000,0))="","",INDEX(EXTRATO!$H$2:$H$3000,MATCH($A1013,EXTRATO!$A$2:$A$3000,0))))</f>
        <v>LUANA MELO VIEGAS</v>
      </c>
      <c r="J1013" s="86" t="s">
        <v>1565</v>
      </c>
      <c r="K1013" s="86" t="str">
        <f>IF(AND(A1013="",D1013="",E1013="",F1013=""),"",IF(D1013="","SEM CATEGORIA",IF(E1013="","SEM SUBCATEGORIA",IF(COUNTIFS(CADASTROS!$L$7:$L$93,D1013,CADASTROS!$D$7:$D$93,E1013)=0,"INCOMPATÍVEL","OK"))))</f>
        <v>OK</v>
      </c>
    </row>
    <row r="1014" spans="1:11" ht="30" customHeight="1" x14ac:dyDescent="0.25">
      <c r="A1014" s="86" t="s">
        <v>2366</v>
      </c>
      <c r="B1014" s="85">
        <f>IF(A1014="","",IF(INDEX(EXTRATO!$C$2:$C$3000,MATCH($A1014,EXTRATO!$A$2:$A$3000,0))="","",INDEX(EXTRATO!$C$2:$C$3000,MATCH($A1014,EXTRATO!$A$2:$A$3000,0))))</f>
        <v>46267</v>
      </c>
      <c r="C1014" s="86">
        <f t="shared" si="19"/>
        <v>9</v>
      </c>
      <c r="D1014" s="81"/>
      <c r="E1014" s="79"/>
      <c r="F1014" s="80">
        <v>12000</v>
      </c>
      <c r="G1014" s="81" t="str">
        <f>IF(A1014="","",IF(INDEX(EXTRATO!$G$2:$G$3000,MATCH($A1014,EXTRATO!$A$2:$A$3000,0))="","",INDEX(EXTRATO!$G$2:$G$3000,MATCH($A1014,EXTRATO!$A$2:$A$3000,0))))</f>
        <v>CLINICA DR. LUCAS ALBUQUERQUE (DR. LUCAS - REF. PLANTÕES MÉDICOS EM JUN/26)</v>
      </c>
      <c r="H1014" s="86" t="str">
        <f>IF(A1014="","",IF(INDEX(EXTRATO!$F$2:$F$3000,MATCH($A1014,EXTRATO!$A$2:$A$3000,0))="","",INDEX(EXTRATO!$F$2:$F$3000,MATCH($A1014,EXTRATO!$A$2:$A$3000,0))))</f>
        <v>SAÍDA</v>
      </c>
      <c r="I1014" s="88" t="str">
        <f>IF(A1014="","",IF(INDEX(EXTRATO!$H$2:$H$3000,MATCH($A1014,EXTRATO!$A$2:$A$3000,0))="","",INDEX(EXTRATO!$H$2:$H$3000,MATCH($A1014,EXTRATO!$A$2:$A$3000,0))))</f>
        <v>CLINICA DR. LUCAS ALBUQUERQUE</v>
      </c>
      <c r="J1014" s="86" t="s">
        <v>1360</v>
      </c>
      <c r="K1014" s="86" t="str">
        <f>IF(AND(A1014="",D1014="",E1014="",F1014=""),"",IF(D1014="","SEM CATEGORIA",IF(E1014="","SEM SUBCATEGORIA",IF(COUNTIFS(CADASTROS!$L$7:$L$93,D1014,CADASTROS!$D$7:$D$93,E1014)=0,"INCOMPATÍVEL","OK"))))</f>
        <v>SEM CATEGORIA</v>
      </c>
    </row>
    <row r="1015" spans="1:11" ht="30" customHeight="1" x14ac:dyDescent="0.25">
      <c r="A1015" s="86" t="s">
        <v>2367</v>
      </c>
      <c r="B1015" s="85">
        <f>IF(A1015="","",IF(INDEX(EXTRATO!$C$2:$C$3000,MATCH($A1015,EXTRATO!$A$2:$A$3000,0))="","",INDEX(EXTRATO!$C$2:$C$3000,MATCH($A1015,EXTRATO!$A$2:$A$3000,0))))</f>
        <v>46267</v>
      </c>
      <c r="C1015" s="86">
        <f t="shared" si="19"/>
        <v>9</v>
      </c>
      <c r="D1015" s="81" t="s">
        <v>1415</v>
      </c>
      <c r="E1015" s="79" t="s">
        <v>1648</v>
      </c>
      <c r="F1015" s="80">
        <v>8000</v>
      </c>
      <c r="G1015" s="81" t="str">
        <f>IF(A1015="","",IF(INDEX(EXTRATO!$G$2:$G$3000,MATCH($A1015,EXTRATO!$A$2:$A$3000,0))="","",INDEX(EXTRATO!$G$2:$G$3000,MATCH($A1015,EXTRATO!$A$2:$A$3000,0))))</f>
        <v>MARTINS MACHADO SAUDE E E (DR. HOZANO - REF. PLANTÕES MÉDICOS EM JUN/26)</v>
      </c>
      <c r="H1015" s="86" t="str">
        <f>IF(A1015="","",IF(INDEX(EXTRATO!$F$2:$F$3000,MATCH($A1015,EXTRATO!$A$2:$A$3000,0))="","",INDEX(EXTRATO!$F$2:$F$3000,MATCH($A1015,EXTRATO!$A$2:$A$3000,0))))</f>
        <v>SAÍDA</v>
      </c>
      <c r="I1015" s="88" t="str">
        <f>IF(A1015="","",IF(INDEX(EXTRATO!$H$2:$H$3000,MATCH($A1015,EXTRATO!$A$2:$A$3000,0))="","",INDEX(EXTRATO!$H$2:$H$3000,MATCH($A1015,EXTRATO!$A$2:$A$3000,0))))</f>
        <v>MARTINS MACHADO SAUDE E E</v>
      </c>
      <c r="J1015" s="86" t="s">
        <v>1565</v>
      </c>
      <c r="K1015" s="86" t="str">
        <f>IF(AND(A1015="",D1015="",E1015="",F1015=""),"",IF(D1015="","SEM CATEGORIA",IF(E1015="","SEM SUBCATEGORIA",IF(COUNTIFS(CADASTROS!$L$7:$L$93,D1015,CADASTROS!$D$7:$D$93,E1015)=0,"INCOMPATÍVEL","OK"))))</f>
        <v>OK</v>
      </c>
    </row>
    <row r="1016" spans="1:11" ht="30" customHeight="1" x14ac:dyDescent="0.25">
      <c r="A1016" s="86" t="s">
        <v>2368</v>
      </c>
      <c r="B1016" s="85">
        <f>IF(A1016="","",IF(INDEX(EXTRATO!$C$2:$C$3000,MATCH($A1016,EXTRATO!$A$2:$A$3000,0))="","",INDEX(EXTRATO!$C$2:$C$3000,MATCH($A1016,EXTRATO!$A$2:$A$3000,0))))</f>
        <v>46268</v>
      </c>
      <c r="C1016" s="86">
        <f t="shared" si="19"/>
        <v>9</v>
      </c>
      <c r="D1016" s="81" t="s">
        <v>1370</v>
      </c>
      <c r="E1016" s="79" t="s">
        <v>1371</v>
      </c>
      <c r="F1016" s="80">
        <v>4000</v>
      </c>
      <c r="G1016" s="81" t="str">
        <f>IF(A1016="","",IF(INDEX(EXTRATO!$G$2:$G$3000,MATCH($A1016,EXTRATO!$A$2:$A$3000,0))="","",INDEX(EXTRATO!$G$2:$G$3000,MATCH($A1016,EXTRATO!$A$2:$A$3000,0))))</f>
        <v>J PAULINO DA SILVA - REF. A MANUTENÇÃO ELÉTRICA E REVISÃO ELÉTRICA E MECÂNICA,TROCA DE ÓLEO E FILTROS</v>
      </c>
      <c r="H1016" s="86" t="str">
        <f>IF(A1016="","",IF(INDEX(EXTRATO!$F$2:$F$3000,MATCH($A1016,EXTRATO!$A$2:$A$3000,0))="","",INDEX(EXTRATO!$F$2:$F$3000,MATCH($A1016,EXTRATO!$A$2:$A$3000,0))))</f>
        <v>SAÍDA</v>
      </c>
      <c r="I1016" s="88" t="str">
        <f>IF(A1016="","",IF(INDEX(EXTRATO!$H$2:$H$3000,MATCH($A1016,EXTRATO!$A$2:$A$3000,0))="","",INDEX(EXTRATO!$H$2:$H$3000,MATCH($A1016,EXTRATO!$A$2:$A$3000,0))))</f>
        <v>J PAULINO DA SILVA</v>
      </c>
      <c r="J1016" s="86" t="s">
        <v>1565</v>
      </c>
      <c r="K1016" s="86" t="str">
        <f>IF(AND(A1016="",D1016="",E1016="",F1016=""),"",IF(D1016="","SEM CATEGORIA",IF(E1016="","SEM SUBCATEGORIA",IF(COUNTIFS(CADASTROS!$L$7:$L$93,D1016,CADASTROS!$D$7:$D$93,E1016)=0,"INCOMPATÍVEL","OK"))))</f>
        <v>OK</v>
      </c>
    </row>
    <row r="1017" spans="1:11" ht="30" customHeight="1" x14ac:dyDescent="0.25">
      <c r="A1017" s="86" t="s">
        <v>2369</v>
      </c>
      <c r="B1017" s="85">
        <f>IF(A1017="","",IF(INDEX(EXTRATO!$C$2:$C$3000,MATCH($A1017,EXTRATO!$A$2:$A$3000,0))="","",INDEX(EXTRATO!$C$2:$C$3000,MATCH($A1017,EXTRATO!$A$2:$A$3000,0))))</f>
        <v>46268</v>
      </c>
      <c r="C1017" s="86">
        <f t="shared" si="19"/>
        <v>9</v>
      </c>
      <c r="D1017" s="81"/>
      <c r="E1017" s="79"/>
      <c r="F1017" s="80">
        <v>3176</v>
      </c>
      <c r="G1017" s="81" t="str">
        <f>IF(A1017="","",IF(INDEX(EXTRATO!$G$2:$G$3000,MATCH($A1017,EXTRATO!$A$2:$A$3000,0))="","",INDEX(EXTRATO!$G$2:$G$3000,MATCH($A1017,EXTRATO!$A$2:$A$3000,0))))</f>
        <v>BIOPAR CONFECÇÕES (REF. CAMPO CIRURGICO FENESTRADO) - FAVORECIDO: BANCO SOFISA S/A.1/1</v>
      </c>
      <c r="H1017" s="86" t="str">
        <f>IF(A1017="","",IF(INDEX(EXTRATO!$F$2:$F$3000,MATCH($A1017,EXTRATO!$A$2:$A$3000,0))="","",INDEX(EXTRATO!$F$2:$F$3000,MATCH($A1017,EXTRATO!$A$2:$A$3000,0))))</f>
        <v>SAÍDA</v>
      </c>
      <c r="I1017" s="88" t="str">
        <f>IF(A1017="","",IF(INDEX(EXTRATO!$H$2:$H$3000,MATCH($A1017,EXTRATO!$A$2:$A$3000,0))="","",INDEX(EXTRATO!$H$2:$H$3000,MATCH($A1017,EXTRATO!$A$2:$A$3000,0))))</f>
        <v>BIOPAR CONFECÇÕES</v>
      </c>
      <c r="J1017" s="86" t="s">
        <v>1360</v>
      </c>
      <c r="K1017" s="86" t="str">
        <f>IF(AND(A1017="",D1017="",E1017="",F1017=""),"",IF(D1017="","SEM CATEGORIA",IF(E1017="","SEM SUBCATEGORIA",IF(COUNTIFS(CADASTROS!$L$7:$L$93,D1017,CADASTROS!$D$7:$D$93,E1017)=0,"INCOMPATÍVEL","OK"))))</f>
        <v>SEM CATEGORIA</v>
      </c>
    </row>
    <row r="1018" spans="1:11" ht="30" customHeight="1" x14ac:dyDescent="0.25">
      <c r="A1018" s="86" t="s">
        <v>2370</v>
      </c>
      <c r="B1018" s="85">
        <f>IF(A1018="","",IF(INDEX(EXTRATO!$C$2:$C$3000,MATCH($A1018,EXTRATO!$A$2:$A$3000,0))="","",INDEX(EXTRATO!$C$2:$C$3000,MATCH($A1018,EXTRATO!$A$2:$A$3000,0))))</f>
        <v>46269</v>
      </c>
      <c r="C1018" s="86">
        <f t="shared" si="19"/>
        <v>9</v>
      </c>
      <c r="D1018" s="81"/>
      <c r="E1018" s="79"/>
      <c r="F1018" s="80">
        <v>1246</v>
      </c>
      <c r="G1018" s="81" t="str">
        <f>IF(A1018="","",IF(INDEX(EXTRATO!$G$2:$G$3000,MATCH($A1018,EXTRATO!$A$2:$A$3000,0))="","",INDEX(EXTRATO!$G$2:$G$3000,MATCH($A1018,EXTRATO!$A$2:$A$3000,0))))</f>
        <v>CLAUDIANE CARDOSO DA SILVA (REF. TRANSPORTE DE PACIENTES AO HTI EM AGOSTO/26)</v>
      </c>
      <c r="H1018" s="86" t="str">
        <f>IF(A1018="","",IF(INDEX(EXTRATO!$F$2:$F$3000,MATCH($A1018,EXTRATO!$A$2:$A$3000,0))="","",INDEX(EXTRATO!$F$2:$F$3000,MATCH($A1018,EXTRATO!$A$2:$A$3000,0))))</f>
        <v>SAÍDA</v>
      </c>
      <c r="I1018" s="88" t="str">
        <f>IF(A1018="","",IF(INDEX(EXTRATO!$H$2:$H$3000,MATCH($A1018,EXTRATO!$A$2:$A$3000,0))="","",INDEX(EXTRATO!$H$2:$H$3000,MATCH($A1018,EXTRATO!$A$2:$A$3000,0))))</f>
        <v>CLAUDIANE CARDOSO DA SILVA (CARRO HTI)</v>
      </c>
      <c r="J1018" s="86" t="s">
        <v>1360</v>
      </c>
      <c r="K1018" s="86" t="str">
        <f>IF(AND(A1018="",D1018="",E1018="",F1018=""),"",IF(D1018="","SEM CATEGORIA",IF(E1018="","SEM SUBCATEGORIA",IF(COUNTIFS(CADASTROS!$L$7:$L$93,D1018,CADASTROS!$D$7:$D$93,E1018)=0,"INCOMPATÍVEL","OK"))))</f>
        <v>SEM CATEGORIA</v>
      </c>
    </row>
    <row r="1019" spans="1:11" ht="30" customHeight="1" x14ac:dyDescent="0.25">
      <c r="A1019" s="86" t="s">
        <v>2371</v>
      </c>
      <c r="B1019" s="85">
        <f>IF(A1019="","",IF(INDEX(EXTRATO!$C$2:$C$3000,MATCH($A1019,EXTRATO!$A$2:$A$3000,0))="","",INDEX(EXTRATO!$C$2:$C$3000,MATCH($A1019,EXTRATO!$A$2:$A$3000,0))))</f>
        <v>46269</v>
      </c>
      <c r="C1019" s="86">
        <f t="shared" si="19"/>
        <v>9</v>
      </c>
      <c r="D1019" s="81"/>
      <c r="E1019" s="79"/>
      <c r="F1019" s="80">
        <v>66607.48</v>
      </c>
      <c r="G1019" s="81" t="str">
        <f>IF(A1019="","",IF(INDEX(EXTRATO!$G$2:$G$3000,MATCH($A1019,EXTRATO!$A$2:$A$3000,0))="","",INDEX(EXTRATO!$G$2:$G$3000,MATCH($A1019,EXTRATO!$A$2:$A$3000,0))))</f>
        <v>FOLHA DE PAGAMENTO (REF. PAGAMENTO DE SALÁRIO - COMP. 08/2026)</v>
      </c>
      <c r="H1019" s="86" t="str">
        <f>IF(A1019="","",IF(INDEX(EXTRATO!$F$2:$F$3000,MATCH($A1019,EXTRATO!$A$2:$A$3000,0))="","",INDEX(EXTRATO!$F$2:$F$3000,MATCH($A1019,EXTRATO!$A$2:$A$3000,0))))</f>
        <v>SAÍDA</v>
      </c>
      <c r="I1019" s="88" t="str">
        <f>IF(A1019="","",IF(INDEX(EXTRATO!$H$2:$H$3000,MATCH($A1019,EXTRATO!$A$2:$A$3000,0))="","",INDEX(EXTRATO!$H$2:$H$3000,MATCH($A1019,EXTRATO!$A$2:$A$3000,0))))</f>
        <v>FOLHA DE PAGAMENTO</v>
      </c>
      <c r="J1019" s="86" t="s">
        <v>1360</v>
      </c>
      <c r="K1019" s="86" t="str">
        <f>IF(AND(A1019="",D1019="",E1019="",F1019=""),"",IF(D1019="","SEM CATEGORIA",IF(E1019="","SEM SUBCATEGORIA",IF(COUNTIFS(CADASTROS!$L$7:$L$93,D1019,CADASTROS!$D$7:$D$93,E1019)=0,"INCOMPATÍVEL","OK"))))</f>
        <v>SEM CATEGORIA</v>
      </c>
    </row>
    <row r="1020" spans="1:11" ht="30" customHeight="1" x14ac:dyDescent="0.25">
      <c r="A1020" s="86" t="s">
        <v>2372</v>
      </c>
      <c r="B1020" s="85">
        <f>IF(A1020="","",IF(INDEX(EXTRATO!$C$2:$C$3000,MATCH($A1020,EXTRATO!$A$2:$A$3000,0))="","",INDEX(EXTRATO!$C$2:$C$3000,MATCH($A1020,EXTRATO!$A$2:$A$3000,0))))</f>
        <v>46269</v>
      </c>
      <c r="C1020" s="86">
        <f t="shared" si="19"/>
        <v>9</v>
      </c>
      <c r="D1020" s="81" t="s">
        <v>1367</v>
      </c>
      <c r="E1020" s="79" t="s">
        <v>1560</v>
      </c>
      <c r="F1020" s="80">
        <v>2560</v>
      </c>
      <c r="G1020" s="81" t="str">
        <f>IF(A1020="","",IF(INDEX(EXTRATO!$G$2:$G$3000,MATCH($A1020,EXTRATO!$A$2:$A$3000,0))="","",INDEX(EXTRATO!$G$2:$G$3000,MATCH($A1020,EXTRATO!$A$2:$A$3000,0))))</f>
        <v>WILSON DE FREITAS SORIANO (BOTECO DO TARCISIO) - REF. QUENTINHAS TÉCNICOS SEGUNDA QUINZENA DE AGOSTO (16/08 A 31/08)</v>
      </c>
      <c r="H1020" s="86" t="str">
        <f>IF(A1020="","",IF(INDEX(EXTRATO!$F$2:$F$3000,MATCH($A1020,EXTRATO!$A$2:$A$3000,0))="","",INDEX(EXTRATO!$F$2:$F$3000,MATCH($A1020,EXTRATO!$A$2:$A$3000,0))))</f>
        <v>SAÍDA</v>
      </c>
      <c r="I1020" s="88" t="str">
        <f>IF(A1020="","",IF(INDEX(EXTRATO!$H$2:$H$3000,MATCH($A1020,EXTRATO!$A$2:$A$3000,0))="","",INDEX(EXTRATO!$H$2:$H$3000,MATCH($A1020,EXTRATO!$A$2:$A$3000,0))))</f>
        <v>WILSON DE FREITAS SORIANO</v>
      </c>
      <c r="J1020" s="86" t="s">
        <v>1565</v>
      </c>
      <c r="K1020" s="86" t="str">
        <f>IF(AND(A1020="",D1020="",E1020="",F1020=""),"",IF(D1020="","SEM CATEGORIA",IF(E1020="","SEM SUBCATEGORIA",IF(COUNTIFS(CADASTROS!$L$7:$L$93,D1020,CADASTROS!$D$7:$D$93,E1020)=0,"INCOMPATÍVEL","OK"))))</f>
        <v>OK</v>
      </c>
    </row>
    <row r="1021" spans="1:11" ht="30" customHeight="1" x14ac:dyDescent="0.25">
      <c r="A1021" s="86" t="s">
        <v>2373</v>
      </c>
      <c r="B1021" s="85">
        <f>IF(A1021="","",IF(INDEX(EXTRATO!$C$2:$C$3000,MATCH($A1021,EXTRATO!$A$2:$A$3000,0))="","",INDEX(EXTRATO!$C$2:$C$3000,MATCH($A1021,EXTRATO!$A$2:$A$3000,0))))</f>
        <v>46269</v>
      </c>
      <c r="C1021" s="86">
        <f t="shared" si="19"/>
        <v>9</v>
      </c>
      <c r="D1021" s="81" t="s">
        <v>1311</v>
      </c>
      <c r="E1021" s="79" t="s">
        <v>1376</v>
      </c>
      <c r="F1021" s="80">
        <v>7951.25</v>
      </c>
      <c r="G1021" s="81" t="str">
        <f>IF(A1021="","",IF(INDEX(EXTRATO!$G$2:$G$3000,MATCH($A1021,EXTRATO!$A$2:$A$3000,0))="","",INDEX(EXTRATO!$G$2:$G$3000,MATCH($A1021,EXTRATO!$A$2:$A$3000,0))))</f>
        <v>NIPRO MEDICAL (REF. CAPILAR 21H, CAPILAR 19H E FILTRO DE ENDOTOXINA) 1/2</v>
      </c>
      <c r="H1021" s="86" t="str">
        <f>IF(A1021="","",IF(INDEX(EXTRATO!$F$2:$F$3000,MATCH($A1021,EXTRATO!$A$2:$A$3000,0))="","",INDEX(EXTRATO!$F$2:$F$3000,MATCH($A1021,EXTRATO!$A$2:$A$3000,0))))</f>
        <v>SAÍDA</v>
      </c>
      <c r="I1021" s="88" t="str">
        <f>IF(A1021="","",IF(INDEX(EXTRATO!$H$2:$H$3000,MATCH($A1021,EXTRATO!$A$2:$A$3000,0))="","",INDEX(EXTRATO!$H$2:$H$3000,MATCH($A1021,EXTRATO!$A$2:$A$3000,0))))</f>
        <v>NIPRO</v>
      </c>
      <c r="J1021" s="86" t="s">
        <v>1565</v>
      </c>
      <c r="K1021" s="86" t="str">
        <f>IF(AND(A1021="",D1021="",E1021="",F1021=""),"",IF(D1021="","SEM CATEGORIA",IF(E1021="","SEM SUBCATEGORIA",IF(COUNTIFS(CADASTROS!$L$7:$L$93,D1021,CADASTROS!$D$7:$D$93,E1021)=0,"INCOMPATÍVEL","OK"))))</f>
        <v>OK</v>
      </c>
    </row>
    <row r="1022" spans="1:11" ht="30" customHeight="1" x14ac:dyDescent="0.25">
      <c r="A1022" s="86" t="s">
        <v>2374</v>
      </c>
      <c r="B1022" s="85">
        <f>IF(A1022="","",IF(INDEX(EXTRATO!$C$2:$C$3000,MATCH($A1022,EXTRATO!$A$2:$A$3000,0))="","",INDEX(EXTRATO!$C$2:$C$3000,MATCH($A1022,EXTRATO!$A$2:$A$3000,0))))</f>
        <v>46269</v>
      </c>
      <c r="C1022" s="86">
        <f t="shared" si="19"/>
        <v>9</v>
      </c>
      <c r="D1022" s="81"/>
      <c r="E1022" s="79"/>
      <c r="F1022" s="80">
        <v>1607.5</v>
      </c>
      <c r="G1022" s="81" t="str">
        <f>IF(A1022="","",IF(INDEX(EXTRATO!$G$2:$G$3000,MATCH($A1022,EXTRATO!$A$2:$A$3000,0))="","",INDEX(EXTRATO!$G$2:$G$3000,MATCH($A1022,EXTRATO!$A$2:$A$3000,0))))</f>
        <v>BIOCOMPANY (REF. CATETER DE 15CM E 28CM, PERMCATCH 28CM E CURATIVOS) 1/2</v>
      </c>
      <c r="H1022" s="86" t="str">
        <f>IF(A1022="","",IF(INDEX(EXTRATO!$F$2:$F$3000,MATCH($A1022,EXTRATO!$A$2:$A$3000,0))="","",INDEX(EXTRATO!$F$2:$F$3000,MATCH($A1022,EXTRATO!$A$2:$A$3000,0))))</f>
        <v>SAÍDA</v>
      </c>
      <c r="I1022" s="88" t="str">
        <f>IF(A1022="","",IF(INDEX(EXTRATO!$H$2:$H$3000,MATCH($A1022,EXTRATO!$A$2:$A$3000,0))="","",INDEX(EXTRATO!$H$2:$H$3000,MATCH($A1022,EXTRATO!$A$2:$A$3000,0))))</f>
        <v>BIOCOMPANY</v>
      </c>
      <c r="J1022" s="86" t="s">
        <v>1360</v>
      </c>
      <c r="K1022" s="86" t="str">
        <f>IF(AND(A1022="",D1022="",E1022="",F1022=""),"",IF(D1022="","SEM CATEGORIA",IF(E1022="","SEM SUBCATEGORIA",IF(COUNTIFS(CADASTROS!$L$7:$L$93,D1022,CADASTROS!$D$7:$D$93,E1022)=0,"INCOMPATÍVEL","OK"))))</f>
        <v>SEM CATEGORIA</v>
      </c>
    </row>
    <row r="1023" spans="1:11" ht="30" customHeight="1" x14ac:dyDescent="0.25">
      <c r="A1023" s="86" t="s">
        <v>2375</v>
      </c>
      <c r="B1023" s="85">
        <f>IF(A1023="","",IF(INDEX(EXTRATO!$C$2:$C$3000,MATCH($A1023,EXTRATO!$A$2:$A$3000,0))="","",INDEX(EXTRATO!$C$2:$C$3000,MATCH($A1023,EXTRATO!$A$2:$A$3000,0))))</f>
        <v>46269</v>
      </c>
      <c r="C1023" s="86">
        <f t="shared" si="19"/>
        <v>9</v>
      </c>
      <c r="D1023" s="81" t="s">
        <v>1311</v>
      </c>
      <c r="E1023" s="79" t="s">
        <v>1376</v>
      </c>
      <c r="F1023" s="80">
        <v>2505</v>
      </c>
      <c r="G1023" s="81" t="str">
        <f>IF(A1023="","",IF(INDEX(EXTRATO!$G$2:$G$3000,MATCH($A1023,EXTRATO!$A$2:$A$3000,0))="","",INDEX(EXTRATO!$G$2:$G$3000,MATCH($A1023,EXTRATO!$A$2:$A$3000,0))))</f>
        <v>NIPRO MEDICAL (REF. AGULHA 16G) 1/2</v>
      </c>
      <c r="H1023" s="86" t="str">
        <f>IF(A1023="","",IF(INDEX(EXTRATO!$F$2:$F$3000,MATCH($A1023,EXTRATO!$A$2:$A$3000,0))="","",INDEX(EXTRATO!$F$2:$F$3000,MATCH($A1023,EXTRATO!$A$2:$A$3000,0))))</f>
        <v>SAÍDA</v>
      </c>
      <c r="I1023" s="88" t="str">
        <f>IF(A1023="","",IF(INDEX(EXTRATO!$H$2:$H$3000,MATCH($A1023,EXTRATO!$A$2:$A$3000,0))="","",INDEX(EXTRATO!$H$2:$H$3000,MATCH($A1023,EXTRATO!$A$2:$A$3000,0))))</f>
        <v>NIPRO</v>
      </c>
      <c r="J1023" s="86" t="s">
        <v>1565</v>
      </c>
      <c r="K1023" s="86" t="str">
        <f>IF(AND(A1023="",D1023="",E1023="",F1023=""),"",IF(D1023="","SEM CATEGORIA",IF(E1023="","SEM SUBCATEGORIA",IF(COUNTIFS(CADASTROS!$L$7:$L$93,D1023,CADASTROS!$D$7:$D$93,E1023)=0,"INCOMPATÍVEL","OK"))))</f>
        <v>OK</v>
      </c>
    </row>
    <row r="1024" spans="1:11" ht="30" customHeight="1" x14ac:dyDescent="0.25">
      <c r="A1024" s="86" t="s">
        <v>2376</v>
      </c>
      <c r="B1024" s="85">
        <f>IF(A1024="","",IF(INDEX(EXTRATO!$C$2:$C$3000,MATCH($A1024,EXTRATO!$A$2:$A$3000,0))="","",INDEX(EXTRATO!$C$2:$C$3000,MATCH($A1024,EXTRATO!$A$2:$A$3000,0))))</f>
        <v>46269</v>
      </c>
      <c r="C1024" s="86">
        <f t="shared" si="19"/>
        <v>9</v>
      </c>
      <c r="D1024" s="81" t="s">
        <v>1330</v>
      </c>
      <c r="E1024" s="79" t="s">
        <v>1379</v>
      </c>
      <c r="F1024" s="80">
        <v>2938.4</v>
      </c>
      <c r="G1024" s="81" t="str">
        <f>IF(A1024="","",IF(INDEX(EXTRATO!$G$2:$G$3000,MATCH($A1024,EXTRATO!$A$2:$A$3000,0))="","",INDEX(EXTRATO!$G$2:$G$3000,MATCH($A1024,EXTRATO!$A$2:$A$3000,0))))</f>
        <v>NEPHROSYS SUPORTE E MANUTENÇÃO (REF. SISTEMA - MENSALIDADE) 1/1</v>
      </c>
      <c r="H1024" s="86" t="str">
        <f>IF(A1024="","",IF(INDEX(EXTRATO!$F$2:$F$3000,MATCH($A1024,EXTRATO!$A$2:$A$3000,0))="","",INDEX(EXTRATO!$F$2:$F$3000,MATCH($A1024,EXTRATO!$A$2:$A$3000,0))))</f>
        <v>SAÍDA</v>
      </c>
      <c r="I1024" s="88" t="str">
        <f>IF(A1024="","",IF(INDEX(EXTRATO!$H$2:$H$3000,MATCH($A1024,EXTRATO!$A$2:$A$3000,0))="","",INDEX(EXTRATO!$H$2:$H$3000,MATCH($A1024,EXTRATO!$A$2:$A$3000,0))))</f>
        <v>NEPHROSYS SUPORTE E MANUTENÇÃO</v>
      </c>
      <c r="J1024" s="86" t="s">
        <v>1565</v>
      </c>
      <c r="K1024" s="86" t="str">
        <f>IF(AND(A1024="",D1024="",E1024="",F1024=""),"",IF(D1024="","SEM CATEGORIA",IF(E1024="","SEM SUBCATEGORIA",IF(COUNTIFS(CADASTROS!$L$7:$L$93,D1024,CADASTROS!$D$7:$D$93,E1024)=0,"INCOMPATÍVEL","OK"))))</f>
        <v>OK</v>
      </c>
    </row>
    <row r="1025" spans="1:11" ht="30" customHeight="1" x14ac:dyDescent="0.25">
      <c r="A1025" s="86" t="s">
        <v>2377</v>
      </c>
      <c r="B1025" s="85">
        <f>IF(A1025="","",IF(INDEX(EXTRATO!$C$2:$C$3000,MATCH($A1025,EXTRATO!$A$2:$A$3000,0))="","",INDEX(EXTRATO!$C$2:$C$3000,MATCH($A1025,EXTRATO!$A$2:$A$3000,0))))</f>
        <v>46269</v>
      </c>
      <c r="C1025" s="86">
        <f t="shared" si="19"/>
        <v>9</v>
      </c>
      <c r="D1025" s="81" t="s">
        <v>1330</v>
      </c>
      <c r="E1025" s="79" t="s">
        <v>1352</v>
      </c>
      <c r="F1025" s="80">
        <v>45.25</v>
      </c>
      <c r="G1025" s="81" t="str">
        <f>IF(A1025="","",IF(INDEX(EXTRATO!$G$2:$G$3000,MATCH($A1025,EXTRATO!$A$2:$A$3000,0))="","",INDEX(EXTRATO!$G$2:$G$3000,MATCH($A1025,EXTRATO!$A$2:$A$3000,0))))</f>
        <v>TARIFA BANCÁRIA (SALÁRIO CRÉD. CONTA)</v>
      </c>
      <c r="H1025" s="86" t="str">
        <f>IF(A1025="","",IF(INDEX(EXTRATO!$F$2:$F$3000,MATCH($A1025,EXTRATO!$A$2:$A$3000,0))="","",INDEX(EXTRATO!$F$2:$F$3000,MATCH($A1025,EXTRATO!$A$2:$A$3000,0))))</f>
        <v>SAÍDA</v>
      </c>
      <c r="I1025" s="88" t="str">
        <f>IF(A1025="","",IF(INDEX(EXTRATO!$H$2:$H$3000,MATCH($A1025,EXTRATO!$A$2:$A$3000,0))="","",INDEX(EXTRATO!$H$2:$H$3000,MATCH($A1025,EXTRATO!$A$2:$A$3000,0))))</f>
        <v>TARIFA BANCÁRIA</v>
      </c>
      <c r="J1025" s="86" t="s">
        <v>1565</v>
      </c>
      <c r="K1025" s="86" t="str">
        <f>IF(AND(A1025="",D1025="",E1025="",F1025=""),"",IF(D1025="","SEM CATEGORIA",IF(E1025="","SEM SUBCATEGORIA",IF(COUNTIFS(CADASTROS!$L$7:$L$93,D1025,CADASTROS!$D$7:$D$93,E1025)=0,"INCOMPATÍVEL","OK"))))</f>
        <v>OK</v>
      </c>
    </row>
    <row r="1026" spans="1:11" ht="30" customHeight="1" x14ac:dyDescent="0.25">
      <c r="A1026" s="86" t="s">
        <v>2378</v>
      </c>
      <c r="B1026" s="85">
        <f>IF(A1026="","",IF(INDEX(EXTRATO!$C$2:$C$3000,MATCH($A1026,EXTRATO!$A$2:$A$3000,0))="","",INDEX(EXTRATO!$C$2:$C$3000,MATCH($A1026,EXTRATO!$A$2:$A$3000,0))))</f>
        <v>46273</v>
      </c>
      <c r="C1026" s="86">
        <f t="shared" si="19"/>
        <v>9</v>
      </c>
      <c r="D1026" s="81" t="s">
        <v>1904</v>
      </c>
      <c r="E1026" s="79" t="s">
        <v>1905</v>
      </c>
      <c r="F1026" s="80">
        <v>8000</v>
      </c>
      <c r="G1026" s="81" t="str">
        <f>IF(A1026="","",IF(INDEX(EXTRATO!$G$2:$G$3000,MATCH($A1026,EXTRATO!$A$2:$A$3000,0))="","",INDEX(EXTRATO!$G$2:$G$3000,MATCH($A1026,EXTRATO!$A$2:$A$3000,0))))</f>
        <v>CELINA TCBC DE MIRANDA (REF. DISTRIBUIÇÃO DE LUCROS)</v>
      </c>
      <c r="H1026" s="86" t="str">
        <f>IF(A1026="","",IF(INDEX(EXTRATO!$F$2:$F$3000,MATCH($A1026,EXTRATO!$A$2:$A$3000,0))="","",INDEX(EXTRATO!$F$2:$F$3000,MATCH($A1026,EXTRATO!$A$2:$A$3000,0))))</f>
        <v>SAÍDA</v>
      </c>
      <c r="I1026" s="88" t="str">
        <f>IF(A1026="","",IF(INDEX(EXTRATO!$H$2:$H$3000,MATCH($A1026,EXTRATO!$A$2:$A$3000,0))="","",INDEX(EXTRATO!$H$2:$H$3000,MATCH($A1026,EXTRATO!$A$2:$A$3000,0))))</f>
        <v>CELINA TCBC DE MIRANDA</v>
      </c>
      <c r="J1026" s="86" t="s">
        <v>1565</v>
      </c>
      <c r="K1026" s="86" t="str">
        <f>IF(AND(A1026="",D1026="",E1026="",F1026=""),"",IF(D1026="","SEM CATEGORIA",IF(E1026="","SEM SUBCATEGORIA",IF(COUNTIFS(CADASTROS!$L$7:$L$93,D1026,CADASTROS!$D$7:$D$93,E1026)=0,"INCOMPATÍVEL","OK"))))</f>
        <v>OK</v>
      </c>
    </row>
    <row r="1027" spans="1:11" ht="30" customHeight="1" x14ac:dyDescent="0.25">
      <c r="A1027" s="86" t="s">
        <v>2379</v>
      </c>
      <c r="B1027" s="85">
        <f>IF(A1027="","",IF(INDEX(EXTRATO!$C$2:$C$3000,MATCH($A1027,EXTRATO!$A$2:$A$3000,0))="","",INDEX(EXTRATO!$C$2:$C$3000,MATCH($A1027,EXTRATO!$A$2:$A$3000,0))))</f>
        <v>46273</v>
      </c>
      <c r="C1027" s="86">
        <f t="shared" si="19"/>
        <v>9</v>
      </c>
      <c r="D1027" s="81"/>
      <c r="E1027" s="79"/>
      <c r="F1027" s="80">
        <v>9621</v>
      </c>
      <c r="G1027" s="81" t="str">
        <f>IF(A1027="","",IF(INDEX(EXTRATO!$G$2:$G$3000,MATCH($A1027,EXTRATO!$A$2:$A$3000,0))="","",INDEX(EXTRATO!$G$2:$G$3000,MATCH($A1027,EXTRATO!$A$2:$A$3000,0))))</f>
        <v>AFONSO PAULO COSTA FERRO (REF. DISTRIBUIÇÃO DE LUCROS + PRÓ-LABORE COMO SÓCIO ADMINISTRADOR)</v>
      </c>
      <c r="H1027" s="86" t="str">
        <f>IF(A1027="","",IF(INDEX(EXTRATO!$F$2:$F$3000,MATCH($A1027,EXTRATO!$A$2:$A$3000,0))="","",INDEX(EXTRATO!$F$2:$F$3000,MATCH($A1027,EXTRATO!$A$2:$A$3000,0))))</f>
        <v>SAÍDA</v>
      </c>
      <c r="I1027" s="88" t="str">
        <f>IF(A1027="","",IF(INDEX(EXTRATO!$H$2:$H$3000,MATCH($A1027,EXTRATO!$A$2:$A$3000,0))="","",INDEX(EXTRATO!$H$2:$H$3000,MATCH($A1027,EXTRATO!$A$2:$A$3000,0))))</f>
        <v>AFONSO PAULO COSTA FERRO</v>
      </c>
      <c r="J1027" s="86" t="s">
        <v>1360</v>
      </c>
      <c r="K1027" s="86" t="str">
        <f>IF(AND(A1027="",D1027="",E1027="",F1027=""),"",IF(D1027="","SEM CATEGORIA",IF(E1027="","SEM SUBCATEGORIA",IF(COUNTIFS(CADASTROS!$L$7:$L$93,D1027,CADASTROS!$D$7:$D$93,E1027)=0,"INCOMPATÍVEL","OK"))))</f>
        <v>SEM CATEGORIA</v>
      </c>
    </row>
    <row r="1028" spans="1:11" ht="30" customHeight="1" x14ac:dyDescent="0.25">
      <c r="A1028" s="86" t="s">
        <v>2380</v>
      </c>
      <c r="B1028" s="85">
        <f>IF(A1028="","",IF(INDEX(EXTRATO!$C$2:$C$3000,MATCH($A1028,EXTRATO!$A$2:$A$3000,0))="","",INDEX(EXTRATO!$C$2:$C$3000,MATCH($A1028,EXTRATO!$A$2:$A$3000,0))))</f>
        <v>46273</v>
      </c>
      <c r="C1028" s="86">
        <f t="shared" si="19"/>
        <v>9</v>
      </c>
      <c r="D1028" s="81" t="s">
        <v>1637</v>
      </c>
      <c r="E1028" s="79" t="s">
        <v>1638</v>
      </c>
      <c r="F1028" s="80">
        <v>18000</v>
      </c>
      <c r="G1028" s="81" t="str">
        <f>IF(A1028="","",IF(INDEX(EXTRATO!$G$2:$G$3000,MATCH($A1028,EXTRATO!$A$2:$A$3000,0))="","",INDEX(EXTRATO!$G$2:$G$3000,MATCH($A1028,EXTRATO!$A$2:$A$3000,0))))</f>
        <v>FABIANA CRISTINA BARROS (REF. PLANTÕES MÉDICOS DE JUL/26 + DISTRIBUIÇÃO DE LUCROS)</v>
      </c>
      <c r="H1028" s="86" t="str">
        <f>IF(A1028="","",IF(INDEX(EXTRATO!$F$2:$F$3000,MATCH($A1028,EXTRATO!$A$2:$A$3000,0))="","",INDEX(EXTRATO!$F$2:$F$3000,MATCH($A1028,EXTRATO!$A$2:$A$3000,0))))</f>
        <v>SAÍDA</v>
      </c>
      <c r="I1028" s="88" t="str">
        <f>IF(A1028="","",IF(INDEX(EXTRATO!$H$2:$H$3000,MATCH($A1028,EXTRATO!$A$2:$A$3000,0))="","",INDEX(EXTRATO!$H$2:$H$3000,MATCH($A1028,EXTRATO!$A$2:$A$3000,0))))</f>
        <v>FABIANA CRISTINA</v>
      </c>
      <c r="J1028" s="86" t="s">
        <v>1565</v>
      </c>
      <c r="K1028" s="86" t="str">
        <f>IF(AND(A1028="",D1028="",E1028="",F1028=""),"",IF(D1028="","SEM CATEGORIA",IF(E1028="","SEM SUBCATEGORIA",IF(COUNTIFS(CADASTROS!$L$7:$L$93,D1028,CADASTROS!$D$7:$D$93,E1028)=0,"INCOMPATÍVEL","OK"))))</f>
        <v>OK</v>
      </c>
    </row>
    <row r="1029" spans="1:11" ht="30" customHeight="1" x14ac:dyDescent="0.25">
      <c r="A1029" s="86" t="s">
        <v>2381</v>
      </c>
      <c r="B1029" s="85">
        <f>IF(A1029="","",IF(INDEX(EXTRATO!$C$2:$C$3000,MATCH($A1029,EXTRATO!$A$2:$A$3000,0))="","",INDEX(EXTRATO!$C$2:$C$3000,MATCH($A1029,EXTRATO!$A$2:$A$3000,0))))</f>
        <v>46273</v>
      </c>
      <c r="C1029" s="86">
        <f t="shared" si="19"/>
        <v>9</v>
      </c>
      <c r="D1029" s="81" t="s">
        <v>1637</v>
      </c>
      <c r="E1029" s="79" t="s">
        <v>1638</v>
      </c>
      <c r="F1029" s="80">
        <v>12000</v>
      </c>
      <c r="G1029" s="81" t="str">
        <f>IF(A1029="","",IF(INDEX(EXTRATO!$G$2:$G$3000,MATCH($A1029,EXTRATO!$A$2:$A$3000,0))="","",INDEX(EXTRATO!$G$2:$G$3000,MATCH($A1029,EXTRATO!$A$2:$A$3000,0))))</f>
        <v>PATRICK DULFF LOBO ARAUJO (REF. PLANTÕES MÉDICOS DE JUL/26 + DISTRIBUIÇÃO DE LUCROS)</v>
      </c>
      <c r="H1029" s="86" t="str">
        <f>IF(A1029="","",IF(INDEX(EXTRATO!$F$2:$F$3000,MATCH($A1029,EXTRATO!$A$2:$A$3000,0))="","",INDEX(EXTRATO!$F$2:$F$3000,MATCH($A1029,EXTRATO!$A$2:$A$3000,0))))</f>
        <v>SAÍDA</v>
      </c>
      <c r="I1029" s="88" t="str">
        <f>IF(A1029="","",IF(INDEX(EXTRATO!$H$2:$H$3000,MATCH($A1029,EXTRATO!$A$2:$A$3000,0))="","",INDEX(EXTRATO!$H$2:$H$3000,MATCH($A1029,EXTRATO!$A$2:$A$3000,0))))</f>
        <v>PATRICK DULFF</v>
      </c>
      <c r="J1029" s="86" t="s">
        <v>1565</v>
      </c>
      <c r="K1029" s="86" t="str">
        <f>IF(AND(A1029="",D1029="",E1029="",F1029=""),"",IF(D1029="","SEM CATEGORIA",IF(E1029="","SEM SUBCATEGORIA",IF(COUNTIFS(CADASTROS!$L$7:$L$93,D1029,CADASTROS!$D$7:$D$93,E1029)=0,"INCOMPATÍVEL","OK"))))</f>
        <v>OK</v>
      </c>
    </row>
    <row r="1030" spans="1:11" ht="30" customHeight="1" x14ac:dyDescent="0.25">
      <c r="A1030" s="86" t="s">
        <v>2382</v>
      </c>
      <c r="B1030" s="85">
        <f>IF(A1030="","",IF(INDEX(EXTRATO!$C$2:$C$3000,MATCH($A1030,EXTRATO!$A$2:$A$3000,0))="","",INDEX(EXTRATO!$C$2:$C$3000,MATCH($A1030,EXTRATO!$A$2:$A$3000,0))))</f>
        <v>46273</v>
      </c>
      <c r="C1030" s="86">
        <f t="shared" si="19"/>
        <v>9</v>
      </c>
      <c r="D1030" s="81" t="s">
        <v>1904</v>
      </c>
      <c r="E1030" s="79" t="s">
        <v>1905</v>
      </c>
      <c r="F1030" s="80">
        <v>4000</v>
      </c>
      <c r="G1030" s="81" t="str">
        <f>IF(A1030="","",IF(INDEX(EXTRATO!$G$2:$G$3000,MATCH($A1030,EXTRATO!$A$2:$A$3000,0))="","",INDEX(EXTRATO!$G$2:$G$3000,MATCH($A1030,EXTRATO!$A$2:$A$3000,0))))</f>
        <v>ADELIA DALVA DA SILVA OLIVEIRA (REF. DISTRIBUIÇÃO DE LUCROS)</v>
      </c>
      <c r="H1030" s="86" t="str">
        <f>IF(A1030="","",IF(INDEX(EXTRATO!$F$2:$F$3000,MATCH($A1030,EXTRATO!$A$2:$A$3000,0))="","",INDEX(EXTRATO!$F$2:$F$3000,MATCH($A1030,EXTRATO!$A$2:$A$3000,0))))</f>
        <v>SAÍDA</v>
      </c>
      <c r="I1030" s="88" t="str">
        <f>IF(A1030="","",IF(INDEX(EXTRATO!$H$2:$H$3000,MATCH($A1030,EXTRATO!$A$2:$A$3000,0))="","",INDEX(EXTRATO!$H$2:$H$3000,MATCH($A1030,EXTRATO!$A$2:$A$3000,0))))</f>
        <v>ADELIA DALVA DA SILVA OLIVEIRA</v>
      </c>
      <c r="J1030" s="86" t="s">
        <v>1565</v>
      </c>
      <c r="K1030" s="86" t="str">
        <f>IF(AND(A1030="",D1030="",E1030="",F1030=""),"",IF(D1030="","SEM CATEGORIA",IF(E1030="","SEM SUBCATEGORIA",IF(COUNTIFS(CADASTROS!$L$7:$L$93,D1030,CADASTROS!$D$7:$D$93,E1030)=0,"INCOMPATÍVEL","OK"))))</f>
        <v>OK</v>
      </c>
    </row>
    <row r="1031" spans="1:11" ht="30" customHeight="1" x14ac:dyDescent="0.25">
      <c r="A1031" s="86" t="s">
        <v>2383</v>
      </c>
      <c r="B1031" s="85">
        <f>IF(A1031="","",IF(INDEX(EXTRATO!$C$2:$C$3000,MATCH($A1031,EXTRATO!$A$2:$A$3000,0))="","",INDEX(EXTRATO!$C$2:$C$3000,MATCH($A1031,EXTRATO!$A$2:$A$3000,0))))</f>
        <v>46273</v>
      </c>
      <c r="C1031" s="86">
        <f t="shared" si="19"/>
        <v>9</v>
      </c>
      <c r="D1031" s="81" t="s">
        <v>1637</v>
      </c>
      <c r="E1031" s="79" t="s">
        <v>1638</v>
      </c>
      <c r="F1031" s="80">
        <v>9000</v>
      </c>
      <c r="G1031" s="81" t="str">
        <f>IF(A1031="","",IF(INDEX(EXTRATO!$G$2:$G$3000,MATCH($A1031,EXTRATO!$A$2:$A$3000,0))="","",INDEX(EXTRATO!$G$2:$G$3000,MATCH($A1031,EXTRATO!$A$2:$A$3000,0))))</f>
        <v>MOISES S OLIVEIRA (REF. PLANTÕES MÉDICOS DE JUL/26 + DISTRIBUIÇÃO DE LUCROS)</v>
      </c>
      <c r="H1031" s="86" t="str">
        <f>IF(A1031="","",IF(INDEX(EXTRATO!$F$2:$F$3000,MATCH($A1031,EXTRATO!$A$2:$A$3000,0))="","",INDEX(EXTRATO!$F$2:$F$3000,MATCH($A1031,EXTRATO!$A$2:$A$3000,0))))</f>
        <v>SAÍDA</v>
      </c>
      <c r="I1031" s="88" t="str">
        <f>IF(A1031="","",IF(INDEX(EXTRATO!$H$2:$H$3000,MATCH($A1031,EXTRATO!$A$2:$A$3000,0))="","",INDEX(EXTRATO!$H$2:$H$3000,MATCH($A1031,EXTRATO!$A$2:$A$3000,0))))</f>
        <v>MOISES S OLIVEIRA</v>
      </c>
      <c r="J1031" s="86" t="s">
        <v>1565</v>
      </c>
      <c r="K1031" s="86" t="str">
        <f>IF(AND(A1031="",D1031="",E1031="",F1031=""),"",IF(D1031="","SEM CATEGORIA",IF(E1031="","SEM SUBCATEGORIA",IF(COUNTIFS(CADASTROS!$L$7:$L$93,D1031,CADASTROS!$D$7:$D$93,E1031)=0,"INCOMPATÍVEL","OK"))))</f>
        <v>OK</v>
      </c>
    </row>
    <row r="1032" spans="1:11" ht="30" customHeight="1" x14ac:dyDescent="0.25">
      <c r="A1032" s="86" t="s">
        <v>2384</v>
      </c>
      <c r="B1032" s="85">
        <f>IF(A1032="","",IF(INDEX(EXTRATO!$C$2:$C$3000,MATCH($A1032,EXTRATO!$A$2:$A$3000,0))="","",INDEX(EXTRATO!$C$2:$C$3000,MATCH($A1032,EXTRATO!$A$2:$A$3000,0))))</f>
        <v>46273</v>
      </c>
      <c r="C1032" s="86">
        <f t="shared" si="19"/>
        <v>9</v>
      </c>
      <c r="D1032" s="81" t="s">
        <v>1637</v>
      </c>
      <c r="E1032" s="79" t="s">
        <v>1638</v>
      </c>
      <c r="F1032" s="80">
        <v>9000</v>
      </c>
      <c r="G1032" s="81" t="str">
        <f>IF(A1032="","",IF(INDEX(EXTRATO!$G$2:$G$3000,MATCH($A1032,EXTRATO!$A$2:$A$3000,0))="","",INDEX(EXTRATO!$G$2:$G$3000,MATCH($A1032,EXTRATO!$A$2:$A$3000,0))))</f>
        <v>GLADSTONE SANTOS SILVA (REF. PLANTÕES MÉDICOS DE JUL/26 + DISTRIBUIÇÃO DE LUCROS)</v>
      </c>
      <c r="H1032" s="86" t="str">
        <f>IF(A1032="","",IF(INDEX(EXTRATO!$F$2:$F$3000,MATCH($A1032,EXTRATO!$A$2:$A$3000,0))="","",INDEX(EXTRATO!$F$2:$F$3000,MATCH($A1032,EXTRATO!$A$2:$A$3000,0))))</f>
        <v>SAÍDA</v>
      </c>
      <c r="I1032" s="88" t="str">
        <f>IF(A1032="","",IF(INDEX(EXTRATO!$H$2:$H$3000,MATCH($A1032,EXTRATO!$A$2:$A$3000,0))="","",INDEX(EXTRATO!$H$2:$H$3000,MATCH($A1032,EXTRATO!$A$2:$A$3000,0))))</f>
        <v>GLADSTONE SANTOS SILVA</v>
      </c>
      <c r="J1032" s="86" t="s">
        <v>1565</v>
      </c>
      <c r="K1032" s="86" t="str">
        <f>IF(AND(A1032="",D1032="",E1032="",F1032=""),"",IF(D1032="","SEM CATEGORIA",IF(E1032="","SEM SUBCATEGORIA",IF(COUNTIFS(CADASTROS!$L$7:$L$93,D1032,CADASTROS!$D$7:$D$93,E1032)=0,"INCOMPATÍVEL","OK"))))</f>
        <v>OK</v>
      </c>
    </row>
    <row r="1033" spans="1:11" ht="30" customHeight="1" x14ac:dyDescent="0.25">
      <c r="A1033" s="86" t="s">
        <v>2385</v>
      </c>
      <c r="B1033" s="85">
        <f>IF(A1033="","",IF(INDEX(EXTRATO!$C$2:$C$3000,MATCH($A1033,EXTRATO!$A$2:$A$3000,0))="","",INDEX(EXTRATO!$C$2:$C$3000,MATCH($A1033,EXTRATO!$A$2:$A$3000,0))))</f>
        <v>46273</v>
      </c>
      <c r="C1033" s="86">
        <f t="shared" si="19"/>
        <v>9</v>
      </c>
      <c r="D1033" s="81"/>
      <c r="E1033" s="79"/>
      <c r="F1033" s="80">
        <v>18742</v>
      </c>
      <c r="G1033" s="81" t="str">
        <f>IF(A1033="","",IF(INDEX(EXTRATO!$G$2:$G$3000,MATCH($A1033,EXTRATO!$A$2:$A$3000,0))="","",INDEX(EXTRATO!$G$2:$G$3000,MATCH($A1033,EXTRATO!$A$2:$A$3000,0))))</f>
        <v>ANDERSON RAFAEL SALVIANO (REF. PLANTÕES MÉDICOS DE JUL/26 + PRÓ-LABORE COMO SÓCIO ADMINISTRADOR + RESPONSABILIDADE TÉCNICA + DISTRIBUIÇÃO DE LUCROS)</v>
      </c>
      <c r="H1033" s="86" t="str">
        <f>IF(A1033="","",IF(INDEX(EXTRATO!$F$2:$F$3000,MATCH($A1033,EXTRATO!$A$2:$A$3000,0))="","",INDEX(EXTRATO!$F$2:$F$3000,MATCH($A1033,EXTRATO!$A$2:$A$3000,0))))</f>
        <v>SAÍDA</v>
      </c>
      <c r="I1033" s="88" t="str">
        <f>IF(A1033="","",IF(INDEX(EXTRATO!$H$2:$H$3000,MATCH($A1033,EXTRATO!$A$2:$A$3000,0))="","",INDEX(EXTRATO!$H$2:$H$3000,MATCH($A1033,EXTRATO!$A$2:$A$3000,0))))</f>
        <v>ANDERSON RAFAEL SALVIANO</v>
      </c>
      <c r="J1033" s="86" t="s">
        <v>1360</v>
      </c>
      <c r="K1033" s="86" t="str">
        <f>IF(AND(A1033="",D1033="",E1033="",F1033=""),"",IF(D1033="","SEM CATEGORIA",IF(E1033="","SEM SUBCATEGORIA",IF(COUNTIFS(CADASTROS!$L$7:$L$93,D1033,CADASTROS!$D$7:$D$93,E1033)=0,"INCOMPATÍVEL","OK"))))</f>
        <v>SEM CATEGORIA</v>
      </c>
    </row>
    <row r="1034" spans="1:11" ht="30" customHeight="1" x14ac:dyDescent="0.25">
      <c r="A1034" s="86" t="s">
        <v>2386</v>
      </c>
      <c r="B1034" s="85">
        <f>IF(A1034="","",IF(INDEX(EXTRATO!$C$2:$C$3000,MATCH($A1034,EXTRATO!$A$2:$A$3000,0))="","",INDEX(EXTRATO!$C$2:$C$3000,MATCH($A1034,EXTRATO!$A$2:$A$3000,0))))</f>
        <v>46273</v>
      </c>
      <c r="C1034" s="86">
        <f t="shared" si="19"/>
        <v>9</v>
      </c>
      <c r="D1034" s="81" t="s">
        <v>1904</v>
      </c>
      <c r="E1034" s="79" t="s">
        <v>1905</v>
      </c>
      <c r="F1034" s="80">
        <v>4000</v>
      </c>
      <c r="G1034" s="81" t="str">
        <f>IF(A1034="","",IF(INDEX(EXTRATO!$G$2:$G$3000,MATCH($A1034,EXTRATO!$A$2:$A$3000,0))="","",INDEX(EXTRATO!$G$2:$G$3000,MATCH($A1034,EXTRATO!$A$2:$A$3000,0))))</f>
        <v>FRANCISCO H SOUSA (REF. DISTRIBUIÇÃO DE LUCROS)</v>
      </c>
      <c r="H1034" s="86" t="str">
        <f>IF(A1034="","",IF(INDEX(EXTRATO!$F$2:$F$3000,MATCH($A1034,EXTRATO!$A$2:$A$3000,0))="","",INDEX(EXTRATO!$F$2:$F$3000,MATCH($A1034,EXTRATO!$A$2:$A$3000,0))))</f>
        <v>SAÍDA</v>
      </c>
      <c r="I1034" s="88" t="str">
        <f>IF(A1034="","",IF(INDEX(EXTRATO!$H$2:$H$3000,MATCH($A1034,EXTRATO!$A$2:$A$3000,0))="","",INDEX(EXTRATO!$H$2:$H$3000,MATCH($A1034,EXTRATO!$A$2:$A$3000,0))))</f>
        <v>FRANCISCO H SOUSA</v>
      </c>
      <c r="J1034" s="86" t="s">
        <v>1565</v>
      </c>
      <c r="K1034" s="86" t="str">
        <f>IF(AND(A1034="",D1034="",E1034="",F1034=""),"",IF(D1034="","SEM CATEGORIA",IF(E1034="","SEM SUBCATEGORIA",IF(COUNTIFS(CADASTROS!$L$7:$L$93,D1034,CADASTROS!$D$7:$D$93,E1034)=0,"INCOMPATÍVEL","OK"))))</f>
        <v>OK</v>
      </c>
    </row>
    <row r="1035" spans="1:11" ht="30" customHeight="1" x14ac:dyDescent="0.25">
      <c r="A1035" s="86" t="s">
        <v>2387</v>
      </c>
      <c r="B1035" s="85">
        <f>IF(A1035="","",IF(INDEX(EXTRATO!$C$2:$C$3000,MATCH($A1035,EXTRATO!$A$2:$A$3000,0))="","",INDEX(EXTRATO!$C$2:$C$3000,MATCH($A1035,EXTRATO!$A$2:$A$3000,0))))</f>
        <v>46273</v>
      </c>
      <c r="C1035" s="86">
        <f t="shared" si="19"/>
        <v>9</v>
      </c>
      <c r="D1035" s="81" t="s">
        <v>1330</v>
      </c>
      <c r="E1035" s="79" t="s">
        <v>1344</v>
      </c>
      <c r="F1035" s="80">
        <v>20.260000000000002</v>
      </c>
      <c r="G1035" s="81" t="str">
        <f>IF(A1035="","",IF(INDEX(EXTRATO!$G$2:$G$3000,MATCH($A1035,EXTRATO!$A$2:$A$3000,0))="","",INDEX(EXTRATO!$G$2:$G$3000,MATCH($A1035,EXTRATO!$A$2:$A$3000,0))))</f>
        <v>EQUATORIAL MARANHÃO (REF. CASA DE APOIO) - REF. 07/2026</v>
      </c>
      <c r="H1035" s="86" t="str">
        <f>IF(A1035="","",IF(INDEX(EXTRATO!$F$2:$F$3000,MATCH($A1035,EXTRATO!$A$2:$A$3000,0))="","",INDEX(EXTRATO!$F$2:$F$3000,MATCH($A1035,EXTRATO!$A$2:$A$3000,0))))</f>
        <v>SAÍDA</v>
      </c>
      <c r="I1035" s="88" t="str">
        <f>IF(A1035="","",IF(INDEX(EXTRATO!$H$2:$H$3000,MATCH($A1035,EXTRATO!$A$2:$A$3000,0))="","",INDEX(EXTRATO!$H$2:$H$3000,MATCH($A1035,EXTRATO!$A$2:$A$3000,0))))</f>
        <v>EQUATORIAL MARANHÃO</v>
      </c>
      <c r="J1035" s="86" t="s">
        <v>1565</v>
      </c>
      <c r="K1035" s="86" t="str">
        <f>IF(AND(A1035="",D1035="",E1035="",F1035=""),"",IF(D1035="","SEM CATEGORIA",IF(E1035="","SEM SUBCATEGORIA",IF(COUNTIFS(CADASTROS!$L$7:$L$93,D1035,CADASTROS!$D$7:$D$93,E1035)=0,"INCOMPATÍVEL","OK"))))</f>
        <v>OK</v>
      </c>
    </row>
    <row r="1036" spans="1:11" ht="30" customHeight="1" x14ac:dyDescent="0.25">
      <c r="A1036" s="86" t="s">
        <v>2388</v>
      </c>
      <c r="B1036" s="85">
        <f>IF(A1036="","",IF(INDEX(EXTRATO!$C$2:$C$3000,MATCH($A1036,EXTRATO!$A$2:$A$3000,0))="","",INDEX(EXTRATO!$C$2:$C$3000,MATCH($A1036,EXTRATO!$A$2:$A$3000,0))))</f>
        <v>46273</v>
      </c>
      <c r="C1036" s="86">
        <f t="shared" si="19"/>
        <v>9</v>
      </c>
      <c r="D1036" s="81" t="s">
        <v>1330</v>
      </c>
      <c r="E1036" s="79" t="s">
        <v>1344</v>
      </c>
      <c r="F1036" s="80">
        <v>26.72</v>
      </c>
      <c r="G1036" s="81" t="str">
        <f>IF(A1036="","",IF(INDEX(EXTRATO!$G$2:$G$3000,MATCH($A1036,EXTRATO!$A$2:$A$3000,0))="","",INDEX(EXTRATO!$G$2:$G$3000,MATCH($A1036,EXTRATO!$A$2:$A$3000,0))))</f>
        <v>EQUATORIAL MARANHÃO (REF. CASA DE APOIO) - REF. 08/2026</v>
      </c>
      <c r="H1036" s="86" t="str">
        <f>IF(A1036="","",IF(INDEX(EXTRATO!$F$2:$F$3000,MATCH($A1036,EXTRATO!$A$2:$A$3000,0))="","",INDEX(EXTRATO!$F$2:$F$3000,MATCH($A1036,EXTRATO!$A$2:$A$3000,0))))</f>
        <v>SAÍDA</v>
      </c>
      <c r="I1036" s="88" t="str">
        <f>IF(A1036="","",IF(INDEX(EXTRATO!$H$2:$H$3000,MATCH($A1036,EXTRATO!$A$2:$A$3000,0))="","",INDEX(EXTRATO!$H$2:$H$3000,MATCH($A1036,EXTRATO!$A$2:$A$3000,0))))</f>
        <v>EQUATORIAL MARANHÃO</v>
      </c>
      <c r="J1036" s="86" t="s">
        <v>1565</v>
      </c>
      <c r="K1036" s="86" t="str">
        <f>IF(AND(A1036="",D1036="",E1036="",F1036=""),"",IF(D1036="","SEM CATEGORIA",IF(E1036="","SEM SUBCATEGORIA",IF(COUNTIFS(CADASTROS!$L$7:$L$93,D1036,CADASTROS!$D$7:$D$93,E1036)=0,"INCOMPATÍVEL","OK"))))</f>
        <v>OK</v>
      </c>
    </row>
    <row r="1037" spans="1:11" ht="30" customHeight="1" x14ac:dyDescent="0.25">
      <c r="A1037" s="86" t="s">
        <v>2389</v>
      </c>
      <c r="B1037" s="85">
        <f>IF(A1037="","",IF(INDEX(EXTRATO!$C$2:$C$3000,MATCH($A1037,EXTRATO!$A$2:$A$3000,0))="","",INDEX(EXTRATO!$C$2:$C$3000,MATCH($A1037,EXTRATO!$A$2:$A$3000,0))))</f>
        <v>46273</v>
      </c>
      <c r="C1037" s="86">
        <f t="shared" si="19"/>
        <v>9</v>
      </c>
      <c r="D1037" s="81"/>
      <c r="E1037" s="79"/>
      <c r="F1037" s="80">
        <v>580</v>
      </c>
      <c r="G1037" s="81" t="str">
        <f>IF(A1037="","",IF(INDEX(EXTRATO!$G$2:$G$3000,MATCH($A1037,EXTRATO!$A$2:$A$3000,0))="","",INDEX(EXTRATO!$G$2:$G$3000,MATCH($A1037,EXTRATO!$A$2:$A$3000,0))))</f>
        <v>ERONLIMP (REF. SABONETEIRAS E RODOS)</v>
      </c>
      <c r="H1037" s="86" t="str">
        <f>IF(A1037="","",IF(INDEX(EXTRATO!$F$2:$F$3000,MATCH($A1037,EXTRATO!$A$2:$A$3000,0))="","",INDEX(EXTRATO!$F$2:$F$3000,MATCH($A1037,EXTRATO!$A$2:$A$3000,0))))</f>
        <v>SAÍDA</v>
      </c>
      <c r="I1037" s="88" t="str">
        <f>IF(A1037="","",IF(INDEX(EXTRATO!$H$2:$H$3000,MATCH($A1037,EXTRATO!$A$2:$A$3000,0))="","",INDEX(EXTRATO!$H$2:$H$3000,MATCH($A1037,EXTRATO!$A$2:$A$3000,0))))</f>
        <v>ERONLIMP</v>
      </c>
      <c r="J1037" s="86" t="s">
        <v>1360</v>
      </c>
      <c r="K1037" s="86" t="str">
        <f>IF(AND(A1037="",D1037="",E1037="",F1037=""),"",IF(D1037="","SEM CATEGORIA",IF(E1037="","SEM SUBCATEGORIA",IF(COUNTIFS(CADASTROS!$L$7:$L$93,D1037,CADASTROS!$D$7:$D$93,E1037)=0,"INCOMPATÍVEL","OK"))))</f>
        <v>SEM CATEGORIA</v>
      </c>
    </row>
    <row r="1038" spans="1:11" ht="30" customHeight="1" x14ac:dyDescent="0.25">
      <c r="A1038" s="86" t="s">
        <v>2390</v>
      </c>
      <c r="B1038" s="85">
        <f>IF(A1038="","",IF(INDEX(EXTRATO!$C$2:$C$3000,MATCH($A1038,EXTRATO!$A$2:$A$3000,0))="","",INDEX(EXTRATO!$C$2:$C$3000,MATCH($A1038,EXTRATO!$A$2:$A$3000,0))))</f>
        <v>46273</v>
      </c>
      <c r="C1038" s="86">
        <f t="shared" si="19"/>
        <v>9</v>
      </c>
      <c r="D1038" s="81"/>
      <c r="E1038" s="79"/>
      <c r="F1038" s="80">
        <v>9418.7999999999993</v>
      </c>
      <c r="G1038" s="81" t="str">
        <f>IF(A1038="","",IF(INDEX(EXTRATO!$G$2:$G$3000,MATCH($A1038,EXTRATO!$A$2:$A$3000,0))="","",INDEX(EXTRATO!$G$2:$G$3000,MATCH($A1038,EXTRATO!$A$2:$A$3000,0))))</f>
        <v>EXCELLENCE DISTRIBUIDORA (REF. INSUMOS E HEPARINAS) 1/3</v>
      </c>
      <c r="H1038" s="86" t="str">
        <f>IF(A1038="","",IF(INDEX(EXTRATO!$F$2:$F$3000,MATCH($A1038,EXTRATO!$A$2:$A$3000,0))="","",INDEX(EXTRATO!$F$2:$F$3000,MATCH($A1038,EXTRATO!$A$2:$A$3000,0))))</f>
        <v>SAÍDA</v>
      </c>
      <c r="I1038" s="88" t="str">
        <f>IF(A1038="","",IF(INDEX(EXTRATO!$H$2:$H$3000,MATCH($A1038,EXTRATO!$A$2:$A$3000,0))="","",INDEX(EXTRATO!$H$2:$H$3000,MATCH($A1038,EXTRATO!$A$2:$A$3000,0))))</f>
        <v>EXCELLENCE DISTRIBUIDORA</v>
      </c>
      <c r="J1038" s="86" t="s">
        <v>1360</v>
      </c>
      <c r="K1038" s="86" t="str">
        <f>IF(AND(A1038="",D1038="",E1038="",F1038=""),"",IF(D1038="","SEM CATEGORIA",IF(E1038="","SEM SUBCATEGORIA",IF(COUNTIFS(CADASTROS!$L$7:$L$93,D1038,CADASTROS!$D$7:$D$93,E1038)=0,"INCOMPATÍVEL","OK"))))</f>
        <v>SEM CATEGORIA</v>
      </c>
    </row>
    <row r="1039" spans="1:11" ht="30" customHeight="1" x14ac:dyDescent="0.25">
      <c r="A1039" s="86" t="s">
        <v>2391</v>
      </c>
      <c r="B1039" s="85">
        <f>IF(A1039="","",IF(INDEX(EXTRATO!$C$2:$C$3000,MATCH($A1039,EXTRATO!$A$2:$A$3000,0))="","",INDEX(EXTRATO!$C$2:$C$3000,MATCH($A1039,EXTRATO!$A$2:$A$3000,0))))</f>
        <v>46273</v>
      </c>
      <c r="C1039" s="86">
        <f t="shared" si="19"/>
        <v>9</v>
      </c>
      <c r="D1039" s="81"/>
      <c r="E1039" s="79"/>
      <c r="F1039" s="80">
        <v>2560</v>
      </c>
      <c r="G1039" s="81" t="str">
        <f>IF(A1039="","",IF(INDEX(EXTRATO!$G$2:$G$3000,MATCH($A1039,EXTRATO!$A$2:$A$3000,0))="","",INDEX(EXTRATO!$G$2:$G$3000,MATCH($A1039,EXTRATO!$A$2:$A$3000,0))))</f>
        <v>BIOCOMPANY (REF. CATETER DE 15CM E 28CM, PERMCATCH 28CM, CURATIVOS E TAMPA PARA CATETER) 2/2</v>
      </c>
      <c r="H1039" s="86" t="str">
        <f>IF(A1039="","",IF(INDEX(EXTRATO!$F$2:$F$3000,MATCH($A1039,EXTRATO!$A$2:$A$3000,0))="","",INDEX(EXTRATO!$F$2:$F$3000,MATCH($A1039,EXTRATO!$A$2:$A$3000,0))))</f>
        <v>SAÍDA</v>
      </c>
      <c r="I1039" s="88" t="str">
        <f>IF(A1039="","",IF(INDEX(EXTRATO!$H$2:$H$3000,MATCH($A1039,EXTRATO!$A$2:$A$3000,0))="","",INDEX(EXTRATO!$H$2:$H$3000,MATCH($A1039,EXTRATO!$A$2:$A$3000,0))))</f>
        <v>BIOCOMPANY</v>
      </c>
      <c r="J1039" s="86" t="s">
        <v>1360</v>
      </c>
      <c r="K1039" s="86" t="str">
        <f>IF(AND(A1039="",D1039="",E1039="",F1039=""),"",IF(D1039="","SEM CATEGORIA",IF(E1039="","SEM SUBCATEGORIA",IF(COUNTIFS(CADASTROS!$L$7:$L$93,D1039,CADASTROS!$D$7:$D$93,E1039)=0,"INCOMPATÍVEL","OK"))))</f>
        <v>SEM CATEGORIA</v>
      </c>
    </row>
    <row r="1040" spans="1:11" ht="30" customHeight="1" x14ac:dyDescent="0.25">
      <c r="A1040" s="86" t="s">
        <v>2392</v>
      </c>
      <c r="B1040" s="85">
        <f>IF(A1040="","",IF(INDEX(EXTRATO!$C$2:$C$3000,MATCH($A1040,EXTRATO!$A$2:$A$3000,0))="","",INDEX(EXTRATO!$C$2:$C$3000,MATCH($A1040,EXTRATO!$A$2:$A$3000,0))))</f>
        <v>46273</v>
      </c>
      <c r="C1040" s="86">
        <f t="shared" si="19"/>
        <v>9</v>
      </c>
      <c r="D1040" s="81" t="s">
        <v>1330</v>
      </c>
      <c r="E1040" s="79" t="s">
        <v>1333</v>
      </c>
      <c r="F1040" s="80">
        <v>2593</v>
      </c>
      <c r="G1040" s="81" t="str">
        <f>IF(A1040="","",IF(INDEX(EXTRATO!$G$2:$G$3000,MATCH($A1040,EXTRATO!$A$2:$A$3000,0))="","",INDEX(EXTRATO!$G$2:$G$3000,MATCH($A1040,EXTRATO!$A$2:$A$3000,0))))</f>
        <v>CASSIANO &amp; CASSINOS CONTABILIDADE</v>
      </c>
      <c r="H1040" s="86" t="str">
        <f>IF(A1040="","",IF(INDEX(EXTRATO!$F$2:$F$3000,MATCH($A1040,EXTRATO!$A$2:$A$3000,0))="","",INDEX(EXTRATO!$F$2:$F$3000,MATCH($A1040,EXTRATO!$A$2:$A$3000,0))))</f>
        <v>SAÍDA</v>
      </c>
      <c r="I1040" s="88" t="str">
        <f>IF(A1040="","",IF(INDEX(EXTRATO!$H$2:$H$3000,MATCH($A1040,EXTRATO!$A$2:$A$3000,0))="","",INDEX(EXTRATO!$H$2:$H$3000,MATCH($A1040,EXTRATO!$A$2:$A$3000,0))))</f>
        <v>CASSIANO &amp; CASSINOS CONTABILIDADE</v>
      </c>
      <c r="J1040" s="86" t="s">
        <v>1565</v>
      </c>
      <c r="K1040" s="86" t="str">
        <f>IF(AND(A1040="",D1040="",E1040="",F1040=""),"",IF(D1040="","SEM CATEGORIA",IF(E1040="","SEM SUBCATEGORIA",IF(COUNTIFS(CADASTROS!$L$7:$L$93,D1040,CADASTROS!$D$7:$D$93,E1040)=0,"INCOMPATÍVEL","OK"))))</f>
        <v>OK</v>
      </c>
    </row>
    <row r="1041" spans="1:11" ht="30" customHeight="1" x14ac:dyDescent="0.25">
      <c r="A1041" s="86" t="s">
        <v>2393</v>
      </c>
      <c r="B1041" s="85">
        <f>IF(A1041="","",IF(INDEX(EXTRATO!$C$2:$C$3000,MATCH($A1041,EXTRATO!$A$2:$A$3000,0))="","",INDEX(EXTRATO!$C$2:$C$3000,MATCH($A1041,EXTRATO!$A$2:$A$3000,0))))</f>
        <v>46273</v>
      </c>
      <c r="C1041" s="86">
        <f t="shared" si="19"/>
        <v>9</v>
      </c>
      <c r="D1041" s="81" t="s">
        <v>1311</v>
      </c>
      <c r="E1041" s="79" t="s">
        <v>1376</v>
      </c>
      <c r="F1041" s="80">
        <v>8208.5</v>
      </c>
      <c r="G1041" s="81" t="str">
        <f>IF(A1041="","",IF(INDEX(EXTRATO!$G$2:$G$3000,MATCH($A1041,EXTRATO!$A$2:$A$3000,0))="","",INDEX(EXTRATO!$G$2:$G$3000,MATCH($A1041,EXTRATO!$A$2:$A$3000,0))))</f>
        <v>NIPRO MEDICAL (REF. CAPILAR 21H, AGULHA 16G E FILTRO DE ENDOTOXINA) 2/2</v>
      </c>
      <c r="H1041" s="86" t="str">
        <f>IF(A1041="","",IF(INDEX(EXTRATO!$F$2:$F$3000,MATCH($A1041,EXTRATO!$A$2:$A$3000,0))="","",INDEX(EXTRATO!$F$2:$F$3000,MATCH($A1041,EXTRATO!$A$2:$A$3000,0))))</f>
        <v>SAÍDA</v>
      </c>
      <c r="I1041" s="88" t="str">
        <f>IF(A1041="","",IF(INDEX(EXTRATO!$H$2:$H$3000,MATCH($A1041,EXTRATO!$A$2:$A$3000,0))="","",INDEX(EXTRATO!$H$2:$H$3000,MATCH($A1041,EXTRATO!$A$2:$A$3000,0))))</f>
        <v>NIPRO</v>
      </c>
      <c r="J1041" s="86" t="s">
        <v>1565</v>
      </c>
      <c r="K1041" s="86" t="str">
        <f>IF(AND(A1041="",D1041="",E1041="",F1041=""),"",IF(D1041="","SEM CATEGORIA",IF(E1041="","SEM SUBCATEGORIA",IF(COUNTIFS(CADASTROS!$L$7:$L$93,D1041,CADASTROS!$D$7:$D$93,E1041)=0,"INCOMPATÍVEL","OK"))))</f>
        <v>OK</v>
      </c>
    </row>
    <row r="1042" spans="1:11" ht="30" customHeight="1" x14ac:dyDescent="0.25">
      <c r="A1042" s="86" t="s">
        <v>2394</v>
      </c>
      <c r="B1042" s="85">
        <f>IF(A1042="","",IF(INDEX(EXTRATO!$C$2:$C$3000,MATCH($A1042,EXTRATO!$A$2:$A$3000,0))="","",INDEX(EXTRATO!$C$2:$C$3000,MATCH($A1042,EXTRATO!$A$2:$A$3000,0))))</f>
        <v>46273</v>
      </c>
      <c r="C1042" s="86">
        <f t="shared" si="19"/>
        <v>9</v>
      </c>
      <c r="D1042" s="81" t="s">
        <v>1311</v>
      </c>
      <c r="E1042" s="79" t="s">
        <v>1342</v>
      </c>
      <c r="F1042" s="80">
        <v>7249.28</v>
      </c>
      <c r="G1042" s="81" t="str">
        <f>IF(A1042="","",IF(INDEX(EXTRATO!$G$2:$G$3000,MATCH($A1042,EXTRATO!$A$2:$A$3000,0))="","",INDEX(EXTRATO!$G$2:$G$3000,MATCH($A1042,EXTRATO!$A$2:$A$3000,0))))</f>
        <v>CRISTALIA PRODUTOS (REF. HEPARINAS) 2/3</v>
      </c>
      <c r="H1042" s="86" t="str">
        <f>IF(A1042="","",IF(INDEX(EXTRATO!$F$2:$F$3000,MATCH($A1042,EXTRATO!$A$2:$A$3000,0))="","",INDEX(EXTRATO!$F$2:$F$3000,MATCH($A1042,EXTRATO!$A$2:$A$3000,0))))</f>
        <v>SAÍDA</v>
      </c>
      <c r="I1042" s="88" t="str">
        <f>IF(A1042="","",IF(INDEX(EXTRATO!$H$2:$H$3000,MATCH($A1042,EXTRATO!$A$2:$A$3000,0))="","",INDEX(EXTRATO!$H$2:$H$3000,MATCH($A1042,EXTRATO!$A$2:$A$3000,0))))</f>
        <v>CRISTALIA PRODUTOS</v>
      </c>
      <c r="J1042" s="86" t="s">
        <v>1565</v>
      </c>
      <c r="K1042" s="86" t="str">
        <f>IF(AND(A1042="",D1042="",E1042="",F1042=""),"",IF(D1042="","SEM CATEGORIA",IF(E1042="","SEM SUBCATEGORIA",IF(COUNTIFS(CADASTROS!$L$7:$L$93,D1042,CADASTROS!$D$7:$D$93,E1042)=0,"INCOMPATÍVEL","OK"))))</f>
        <v>OK</v>
      </c>
    </row>
    <row r="1043" spans="1:11" ht="30" customHeight="1" x14ac:dyDescent="0.25">
      <c r="A1043" s="86" t="s">
        <v>2395</v>
      </c>
      <c r="B1043" s="85">
        <f>IF(A1043="","",IF(INDEX(EXTRATO!$C$2:$C$3000,MATCH($A1043,EXTRATO!$A$2:$A$3000,0))="","",INDEX(EXTRATO!$C$2:$C$3000,MATCH($A1043,EXTRATO!$A$2:$A$3000,0))))</f>
        <v>46273</v>
      </c>
      <c r="C1043" s="86">
        <f t="shared" si="19"/>
        <v>9</v>
      </c>
      <c r="D1043" s="81" t="s">
        <v>1311</v>
      </c>
      <c r="E1043" s="79" t="s">
        <v>1312</v>
      </c>
      <c r="F1043" s="80">
        <v>1909.4</v>
      </c>
      <c r="G1043" s="81" t="str">
        <f>IF(A1043="","",IF(INDEX(EXTRATO!$G$2:$G$3000,MATCH($A1043,EXTRATO!$A$2:$A$3000,0))="","",INDEX(EXTRATO!$G$2:$G$3000,MATCH($A1043,EXTRATO!$A$2:$A$3000,0))))</f>
        <v>REMORA HOSPITALAR (REF. MATERIAIS E MEDICAMENTOS) 2/2</v>
      </c>
      <c r="H1043" s="86" t="str">
        <f>IF(A1043="","",IF(INDEX(EXTRATO!$F$2:$F$3000,MATCH($A1043,EXTRATO!$A$2:$A$3000,0))="","",INDEX(EXTRATO!$F$2:$F$3000,MATCH($A1043,EXTRATO!$A$2:$A$3000,0))))</f>
        <v>SAÍDA</v>
      </c>
      <c r="I1043" s="88" t="str">
        <f>IF(A1043="","",IF(INDEX(EXTRATO!$H$2:$H$3000,MATCH($A1043,EXTRATO!$A$2:$A$3000,0))="","",INDEX(EXTRATO!$H$2:$H$3000,MATCH($A1043,EXTRATO!$A$2:$A$3000,0))))</f>
        <v>REMORA HOSPITALAR</v>
      </c>
      <c r="J1043" s="86" t="s">
        <v>1565</v>
      </c>
      <c r="K1043" s="86" t="str">
        <f>IF(AND(A1043="",D1043="",E1043="",F1043=""),"",IF(D1043="","SEM CATEGORIA",IF(E1043="","SEM SUBCATEGORIA",IF(COUNTIFS(CADASTROS!$L$7:$L$93,D1043,CADASTROS!$D$7:$D$93,E1043)=0,"INCOMPATÍVEL","OK"))))</f>
        <v>OK</v>
      </c>
    </row>
    <row r="1044" spans="1:11" ht="30" customHeight="1" x14ac:dyDescent="0.25">
      <c r="A1044" s="86" t="s">
        <v>2396</v>
      </c>
      <c r="B1044" s="85">
        <f>IF(A1044="","",IF(INDEX(EXTRATO!$C$2:$C$3000,MATCH($A1044,EXTRATO!$A$2:$A$3000,0))="","",INDEX(EXTRATO!$C$2:$C$3000,MATCH($A1044,EXTRATO!$A$2:$A$3000,0))))</f>
        <v>46273</v>
      </c>
      <c r="C1044" s="86">
        <f t="shared" si="19"/>
        <v>9</v>
      </c>
      <c r="D1044" s="81" t="s">
        <v>1454</v>
      </c>
      <c r="E1044" s="79" t="s">
        <v>1521</v>
      </c>
      <c r="F1044" s="80">
        <v>1935.4</v>
      </c>
      <c r="G1044" s="81" t="str">
        <f>IF(A1044="","",IF(INDEX(EXTRATO!$G$2:$G$3000,MATCH($A1044,EXTRATO!$A$2:$A$3000,0))="","",INDEX(EXTRATO!$G$2:$G$3000,MATCH($A1044,EXTRATO!$A$2:$A$3000,0))))</f>
        <v>BANCO VOLKSWAGEN (NF - CAVEPEL - REF. PRESTAÇÃO CARRO) 13/48</v>
      </c>
      <c r="H1044" s="86" t="str">
        <f>IF(A1044="","",IF(INDEX(EXTRATO!$F$2:$F$3000,MATCH($A1044,EXTRATO!$A$2:$A$3000,0))="","",INDEX(EXTRATO!$F$2:$F$3000,MATCH($A1044,EXTRATO!$A$2:$A$3000,0))))</f>
        <v>SAÍDA</v>
      </c>
      <c r="I1044" s="88" t="str">
        <f>IF(A1044="","",IF(INDEX(EXTRATO!$H$2:$H$3000,MATCH($A1044,EXTRATO!$A$2:$A$3000,0))="","",INDEX(EXTRATO!$H$2:$H$3000,MATCH($A1044,EXTRATO!$A$2:$A$3000,0))))</f>
        <v>BANCO VOLKSWAGEN</v>
      </c>
      <c r="J1044" s="86" t="s">
        <v>1565</v>
      </c>
      <c r="K1044" s="86" t="str">
        <f>IF(AND(A1044="",D1044="",E1044="",F1044=""),"",IF(D1044="","SEM CATEGORIA",IF(E1044="","SEM SUBCATEGORIA",IF(COUNTIFS(CADASTROS!$L$7:$L$93,D1044,CADASTROS!$D$7:$D$93,E1044)=0,"INCOMPATÍVEL","OK"))))</f>
        <v>OK</v>
      </c>
    </row>
    <row r="1045" spans="1:11" ht="30" customHeight="1" x14ac:dyDescent="0.25">
      <c r="A1045" s="86" t="s">
        <v>2397</v>
      </c>
      <c r="B1045" s="85">
        <f>IF(A1045="","",IF(INDEX(EXTRATO!$C$2:$C$3000,MATCH($A1045,EXTRATO!$A$2:$A$3000,0))="","",INDEX(EXTRATO!$C$2:$C$3000,MATCH($A1045,EXTRATO!$A$2:$A$3000,0))))</f>
        <v>46274</v>
      </c>
      <c r="C1045" s="86">
        <f t="shared" ref="C1045:C1108" si="20">IF(B1045="","",MONTH(B1045))</f>
        <v>9</v>
      </c>
      <c r="D1045" s="81"/>
      <c r="E1045" s="79"/>
      <c r="F1045" s="80">
        <v>1007.78</v>
      </c>
      <c r="G1045" s="81" t="str">
        <f>IF(A1045="","",IF(INDEX(EXTRATO!$G$2:$G$3000,MATCH($A1045,EXTRATO!$A$2:$A$3000,0))="","",INDEX(EXTRATO!$G$2:$G$3000,MATCH($A1045,EXTRATO!$A$2:$A$3000,0))))</f>
        <v>RICEK INDUSTRIA E COMÉRCIO(REF. PAPEL TOALHA, HIGIÊNICO E HIPOCLORITO) 1/2</v>
      </c>
      <c r="H1045" s="86" t="str">
        <f>IF(A1045="","",IF(INDEX(EXTRATO!$F$2:$F$3000,MATCH($A1045,EXTRATO!$A$2:$A$3000,0))="","",INDEX(EXTRATO!$F$2:$F$3000,MATCH($A1045,EXTRATO!$A$2:$A$3000,0))))</f>
        <v>SAÍDA</v>
      </c>
      <c r="I1045" s="88" t="str">
        <f>IF(A1045="","",IF(INDEX(EXTRATO!$H$2:$H$3000,MATCH($A1045,EXTRATO!$A$2:$A$3000,0))="","",INDEX(EXTRATO!$H$2:$H$3000,MATCH($A1045,EXTRATO!$A$2:$A$3000,0))))</f>
        <v>RICEK</v>
      </c>
      <c r="J1045" s="86" t="s">
        <v>1360</v>
      </c>
      <c r="K1045" s="86" t="str">
        <f>IF(AND(A1045="",D1045="",E1045="",F1045=""),"",IF(D1045="","SEM CATEGORIA",IF(E1045="","SEM SUBCATEGORIA",IF(COUNTIFS(CADASTROS!$L$7:$L$93,D1045,CADASTROS!$D$7:$D$93,E1045)=0,"INCOMPATÍVEL","OK"))))</f>
        <v>SEM CATEGORIA</v>
      </c>
    </row>
    <row r="1046" spans="1:11" ht="30" customHeight="1" x14ac:dyDescent="0.25">
      <c r="A1046" s="86" t="s">
        <v>2398</v>
      </c>
      <c r="B1046" s="85">
        <f>IF(A1046="","",IF(INDEX(EXTRATO!$C$2:$C$3000,MATCH($A1046,EXTRATO!$A$2:$A$3000,0))="","",INDEX(EXTRATO!$C$2:$C$3000,MATCH($A1046,EXTRATO!$A$2:$A$3000,0))))</f>
        <v>46275</v>
      </c>
      <c r="C1046" s="86">
        <f t="shared" si="20"/>
        <v>9</v>
      </c>
      <c r="D1046" s="81" t="s">
        <v>1388</v>
      </c>
      <c r="E1046" s="79" t="s">
        <v>125</v>
      </c>
      <c r="F1046" s="80">
        <v>31077.96</v>
      </c>
      <c r="G1046" s="81" t="str">
        <f>IF(A1046="","",IF(INDEX(EXTRATO!$G$2:$G$3000,MATCH($A1046,EXTRATO!$A$2:$A$3000,0))="","",INDEX(EXTRATO!$G$2:$G$3000,MATCH($A1046,EXTRATO!$A$2:$A$3000,0))))</f>
        <v>ISS (MUNICIPIO DE SANTA INÊS) - NF 202600000000007 (REF. COMP. JUN/26 - EMITIDA EM 03/08/2026)</v>
      </c>
      <c r="H1046" s="86" t="str">
        <f>IF(A1046="","",IF(INDEX(EXTRATO!$F$2:$F$3000,MATCH($A1046,EXTRATO!$A$2:$A$3000,0))="","",INDEX(EXTRATO!$F$2:$F$3000,MATCH($A1046,EXTRATO!$A$2:$A$3000,0))))</f>
        <v>SAÍDA</v>
      </c>
      <c r="I1046" s="88" t="str">
        <f>IF(A1046="","",IF(INDEX(EXTRATO!$H$2:$H$3000,MATCH($A1046,EXTRATO!$A$2:$A$3000,0))="","",INDEX(EXTRATO!$H$2:$H$3000,MATCH($A1046,EXTRATO!$A$2:$A$3000,0))))</f>
        <v>ISS</v>
      </c>
      <c r="J1046" s="86" t="s">
        <v>1565</v>
      </c>
      <c r="K1046" s="86" t="str">
        <f>IF(AND(A1046="",D1046="",E1046="",F1046=""),"",IF(D1046="","SEM CATEGORIA",IF(E1046="","SEM SUBCATEGORIA",IF(COUNTIFS(CADASTROS!$L$7:$L$93,D1046,CADASTROS!$D$7:$D$93,E1046)=0,"INCOMPATÍVEL","OK"))))</f>
        <v>OK</v>
      </c>
    </row>
    <row r="1047" spans="1:11" ht="30" customHeight="1" x14ac:dyDescent="0.25">
      <c r="A1047" s="86" t="s">
        <v>2399</v>
      </c>
      <c r="B1047" s="85">
        <f>IF(A1047="","",IF(INDEX(EXTRATO!$C$2:$C$3000,MATCH($A1047,EXTRATO!$A$2:$A$3000,0))="","",INDEX(EXTRATO!$C$2:$C$3000,MATCH($A1047,EXTRATO!$A$2:$A$3000,0))))</f>
        <v>46275</v>
      </c>
      <c r="C1047" s="86">
        <f t="shared" si="20"/>
        <v>9</v>
      </c>
      <c r="D1047" s="81" t="s">
        <v>1330</v>
      </c>
      <c r="E1047" s="79" t="s">
        <v>1379</v>
      </c>
      <c r="F1047" s="80">
        <v>149.9</v>
      </c>
      <c r="G1047" s="81" t="str">
        <f>IF(A1047="","",IF(INDEX(EXTRATO!$G$2:$G$3000,MATCH($A1047,EXTRATO!$A$2:$A$3000,0))="","",INDEX(EXTRATO!$G$2:$G$3000,MATCH($A1047,EXTRATO!$A$2:$A$3000,0))))</f>
        <v>MARANET TELECOM (REF. INTERNET)</v>
      </c>
      <c r="H1047" s="86" t="str">
        <f>IF(A1047="","",IF(INDEX(EXTRATO!$F$2:$F$3000,MATCH($A1047,EXTRATO!$A$2:$A$3000,0))="","",INDEX(EXTRATO!$F$2:$F$3000,MATCH($A1047,EXTRATO!$A$2:$A$3000,0))))</f>
        <v>SAÍDA</v>
      </c>
      <c r="I1047" s="88" t="str">
        <f>IF(A1047="","",IF(INDEX(EXTRATO!$H$2:$H$3000,MATCH($A1047,EXTRATO!$A$2:$A$3000,0))="","",INDEX(EXTRATO!$H$2:$H$3000,MATCH($A1047,EXTRATO!$A$2:$A$3000,0))))</f>
        <v>MARANET TELECOM</v>
      </c>
      <c r="J1047" s="86" t="s">
        <v>1565</v>
      </c>
      <c r="K1047" s="86" t="str">
        <f>IF(AND(A1047="",D1047="",E1047="",F1047=""),"",IF(D1047="","SEM CATEGORIA",IF(E1047="","SEM SUBCATEGORIA",IF(COUNTIFS(CADASTROS!$L$7:$L$93,D1047,CADASTROS!$D$7:$D$93,E1047)=0,"INCOMPATÍVEL","OK"))))</f>
        <v>OK</v>
      </c>
    </row>
    <row r="1048" spans="1:11" ht="30" customHeight="1" x14ac:dyDescent="0.25">
      <c r="A1048" s="86" t="s">
        <v>2400</v>
      </c>
      <c r="B1048" s="85">
        <f>IF(A1048="","",IF(INDEX(EXTRATO!$C$2:$C$3000,MATCH($A1048,EXTRATO!$A$2:$A$3000,0))="","",INDEX(EXTRATO!$C$2:$C$3000,MATCH($A1048,EXTRATO!$A$2:$A$3000,0))))</f>
        <v>46275</v>
      </c>
      <c r="C1048" s="86">
        <f t="shared" si="20"/>
        <v>9</v>
      </c>
      <c r="D1048" s="81" t="s">
        <v>1311</v>
      </c>
      <c r="E1048" s="79" t="s">
        <v>1312</v>
      </c>
      <c r="F1048" s="80">
        <v>1259.9000000000001</v>
      </c>
      <c r="G1048" s="81" t="str">
        <f>IF(A1048="","",IF(INDEX(EXTRATO!$G$2:$G$3000,MATCH($A1048,EXTRATO!$A$2:$A$3000,0))="","",INDEX(EXTRATO!$G$2:$G$3000,MATCH($A1048,EXTRATO!$A$2:$A$3000,0))))</f>
        <v>REMORA HOSPITALAR (REF. CLOREXIDINAS, EQUIPOS E LANCETAS) 1/2</v>
      </c>
      <c r="H1048" s="86" t="str">
        <f>IF(A1048="","",IF(INDEX(EXTRATO!$F$2:$F$3000,MATCH($A1048,EXTRATO!$A$2:$A$3000,0))="","",INDEX(EXTRATO!$F$2:$F$3000,MATCH($A1048,EXTRATO!$A$2:$A$3000,0))))</f>
        <v>SAÍDA</v>
      </c>
      <c r="I1048" s="88" t="str">
        <f>IF(A1048="","",IF(INDEX(EXTRATO!$H$2:$H$3000,MATCH($A1048,EXTRATO!$A$2:$A$3000,0))="","",INDEX(EXTRATO!$H$2:$H$3000,MATCH($A1048,EXTRATO!$A$2:$A$3000,0))))</f>
        <v>REMORA HOSPITALAR</v>
      </c>
      <c r="J1048" s="86" t="s">
        <v>1565</v>
      </c>
      <c r="K1048" s="86" t="str">
        <f>IF(AND(A1048="",D1048="",E1048="",F1048=""),"",IF(D1048="","SEM CATEGORIA",IF(E1048="","SEM SUBCATEGORIA",IF(COUNTIFS(CADASTROS!$L$7:$L$93,D1048,CADASTROS!$D$7:$D$93,E1048)=0,"INCOMPATÍVEL","OK"))))</f>
        <v>OK</v>
      </c>
    </row>
    <row r="1049" spans="1:11" ht="30" customHeight="1" x14ac:dyDescent="0.25">
      <c r="A1049" s="86" t="s">
        <v>2401</v>
      </c>
      <c r="B1049" s="85">
        <f>IF(A1049="","",IF(INDEX(EXTRATO!$C$2:$C$3000,MATCH($A1049,EXTRATO!$A$2:$A$3000,0))="","",INDEX(EXTRATO!$C$2:$C$3000,MATCH($A1049,EXTRATO!$A$2:$A$3000,0))))</f>
        <v>46275</v>
      </c>
      <c r="C1049" s="86">
        <f t="shared" si="20"/>
        <v>9</v>
      </c>
      <c r="D1049" s="81" t="s">
        <v>1311</v>
      </c>
      <c r="E1049" s="79" t="s">
        <v>1312</v>
      </c>
      <c r="F1049" s="80">
        <v>3012</v>
      </c>
      <c r="G1049" s="81" t="str">
        <f>IF(A1049="","",IF(INDEX(EXTRATO!$G$2:$G$3000,MATCH($A1049,EXTRATO!$A$2:$A$3000,0))="","",INDEX(EXTRATO!$G$2:$G$3000,MATCH($A1049,EXTRATO!$A$2:$A$3000,0))))</f>
        <v>REMORA HOSPITALAR (REF. MATERIAIS E MEDICAMENTOS) 3/3</v>
      </c>
      <c r="H1049" s="86" t="str">
        <f>IF(A1049="","",IF(INDEX(EXTRATO!$F$2:$F$3000,MATCH($A1049,EXTRATO!$A$2:$A$3000,0))="","",INDEX(EXTRATO!$F$2:$F$3000,MATCH($A1049,EXTRATO!$A$2:$A$3000,0))))</f>
        <v>SAÍDA</v>
      </c>
      <c r="I1049" s="88" t="str">
        <f>IF(A1049="","",IF(INDEX(EXTRATO!$H$2:$H$3000,MATCH($A1049,EXTRATO!$A$2:$A$3000,0))="","",INDEX(EXTRATO!$H$2:$H$3000,MATCH($A1049,EXTRATO!$A$2:$A$3000,0))))</f>
        <v>REMORA HOSPITALAR</v>
      </c>
      <c r="J1049" s="86" t="s">
        <v>1565</v>
      </c>
      <c r="K1049" s="86" t="str">
        <f>IF(AND(A1049="",D1049="",E1049="",F1049=""),"",IF(D1049="","SEM CATEGORIA",IF(E1049="","SEM SUBCATEGORIA",IF(COUNTIFS(CADASTROS!$L$7:$L$93,D1049,CADASTROS!$D$7:$D$93,E1049)=0,"INCOMPATÍVEL","OK"))))</f>
        <v>OK</v>
      </c>
    </row>
    <row r="1050" spans="1:11" ht="30" customHeight="1" x14ac:dyDescent="0.25">
      <c r="A1050" s="86" t="s">
        <v>2402</v>
      </c>
      <c r="B1050" s="85">
        <f>IF(A1050="","",IF(INDEX(EXTRATO!$C$2:$C$3000,MATCH($A1050,EXTRATO!$A$2:$A$3000,0))="","",INDEX(EXTRATO!$C$2:$C$3000,MATCH($A1050,EXTRATO!$A$2:$A$3000,0))))</f>
        <v>46275</v>
      </c>
      <c r="C1050" s="86">
        <f t="shared" si="20"/>
        <v>9</v>
      </c>
      <c r="D1050" s="81" t="s">
        <v>1311</v>
      </c>
      <c r="E1050" s="79" t="s">
        <v>1342</v>
      </c>
      <c r="F1050" s="80">
        <v>7249.27</v>
      </c>
      <c r="G1050" s="81" t="str">
        <f>IF(A1050="","",IF(INDEX(EXTRATO!$G$2:$G$3000,MATCH($A1050,EXTRATO!$A$2:$A$3000,0))="","",INDEX(EXTRATO!$G$2:$G$3000,MATCH($A1050,EXTRATO!$A$2:$A$3000,0))))</f>
        <v>CRISTALIA PRODUTOS (REF. HEPARINAS) 3/3</v>
      </c>
      <c r="H1050" s="86" t="str">
        <f>IF(A1050="","",IF(INDEX(EXTRATO!$F$2:$F$3000,MATCH($A1050,EXTRATO!$A$2:$A$3000,0))="","",INDEX(EXTRATO!$F$2:$F$3000,MATCH($A1050,EXTRATO!$A$2:$A$3000,0))))</f>
        <v>SAÍDA</v>
      </c>
      <c r="I1050" s="88" t="str">
        <f>IF(A1050="","",IF(INDEX(EXTRATO!$H$2:$H$3000,MATCH($A1050,EXTRATO!$A$2:$A$3000,0))="","",INDEX(EXTRATO!$H$2:$H$3000,MATCH($A1050,EXTRATO!$A$2:$A$3000,0))))</f>
        <v>CRISTALIA PRODUTOS</v>
      </c>
      <c r="J1050" s="86" t="s">
        <v>1565</v>
      </c>
      <c r="K1050" s="86" t="str">
        <f>IF(AND(A1050="",D1050="",E1050="",F1050=""),"",IF(D1050="","SEM CATEGORIA",IF(E1050="","SEM SUBCATEGORIA",IF(COUNTIFS(CADASTROS!$L$7:$L$93,D1050,CADASTROS!$D$7:$D$93,E1050)=0,"INCOMPATÍVEL","OK"))))</f>
        <v>OK</v>
      </c>
    </row>
    <row r="1051" spans="1:11" ht="30" customHeight="1" x14ac:dyDescent="0.25">
      <c r="A1051" s="86" t="s">
        <v>2696</v>
      </c>
      <c r="B1051" s="85">
        <f>IF(A1051="","",IF(INDEX(EXTRATO!$C$2:$C$3000,MATCH($A1051,EXTRATO!$A$2:$A$3000,0))="","",INDEX(EXTRATO!$C$2:$C$3000,MATCH($A1051,EXTRATO!$A$2:$A$3000,0))))</f>
        <v>46275</v>
      </c>
      <c r="C1051" s="86">
        <f t="shared" si="20"/>
        <v>9</v>
      </c>
      <c r="D1051" s="81" t="s">
        <v>1330</v>
      </c>
      <c r="E1051" s="79" t="s">
        <v>1352</v>
      </c>
      <c r="F1051" s="80">
        <v>275</v>
      </c>
      <c r="G1051" s="81" t="str">
        <f>IF(A1051="","",IF(INDEX(EXTRATO!$G$2:$G$3000,MATCH($A1051,EXTRATO!$A$2:$A$3000,0))="","",INDEX(EXTRATO!$G$2:$G$3000,MATCH($A1051,EXTRATO!$A$2:$A$3000,0))))</f>
        <v>TARIFA BANCÁRIA (PACOTE DE SERVIÇOS)</v>
      </c>
      <c r="H1051" s="86" t="str">
        <f>IF(A1051="","",IF(INDEX(EXTRATO!$F$2:$F$3000,MATCH($A1051,EXTRATO!$A$2:$A$3000,0))="","",INDEX(EXTRATO!$F$2:$F$3000,MATCH($A1051,EXTRATO!$A$2:$A$3000,0))))</f>
        <v>SAÍDA</v>
      </c>
      <c r="I1051" s="88" t="str">
        <f>IF(A1051="","",IF(INDEX(EXTRATO!$H$2:$H$3000,MATCH($A1051,EXTRATO!$A$2:$A$3000,0))="","",INDEX(EXTRATO!$H$2:$H$3000,MATCH($A1051,EXTRATO!$A$2:$A$3000,0))))</f>
        <v>TARIFA PACOTE DE SERVIÇOS</v>
      </c>
      <c r="J1051" s="86" t="s">
        <v>1565</v>
      </c>
      <c r="K1051" s="86" t="str">
        <f>IF(AND(A1051="",D1051="",E1051="",F1051=""),"",IF(D1051="","SEM CATEGORIA",IF(E1051="","SEM SUBCATEGORIA",IF(COUNTIFS(CADASTROS!$L$7:$L$93,D1051,CADASTROS!$D$7:$D$93,E1051)=0,"INCOMPATÍVEL","OK"))))</f>
        <v>OK</v>
      </c>
    </row>
    <row r="1052" spans="1:11" ht="30" customHeight="1" x14ac:dyDescent="0.25">
      <c r="A1052" s="86" t="s">
        <v>2697</v>
      </c>
      <c r="B1052" s="85">
        <f>IF(A1052="","",IF(INDEX(EXTRATO!$C$2:$C$3000,MATCH($A1052,EXTRATO!$A$2:$A$3000,0))="","",INDEX(EXTRATO!$C$2:$C$3000,MATCH($A1052,EXTRATO!$A$2:$A$3000,0))))</f>
        <v>46276</v>
      </c>
      <c r="C1052" s="86">
        <f t="shared" si="20"/>
        <v>9</v>
      </c>
      <c r="D1052" s="81" t="s">
        <v>1311</v>
      </c>
      <c r="E1052" s="79" t="s">
        <v>1312</v>
      </c>
      <c r="F1052" s="80">
        <v>6082.67</v>
      </c>
      <c r="G1052" s="81" t="str">
        <f>IF(A1052="","",IF(INDEX(EXTRATO!$G$2:$G$3000,MATCH($A1052,EXTRATO!$A$2:$A$3000,0))="","",INDEX(EXTRATO!$G$2:$G$3000,MATCH($A1052,EXTRATO!$A$2:$A$3000,0))))</f>
        <v>SUPERMÉDICA (REF. MEDICAMENTO, INSUMOS E SACOS DE LIXO HOSPITALAR) 2/2</v>
      </c>
      <c r="H1052" s="86" t="str">
        <f>IF(A1052="","",IF(INDEX(EXTRATO!$F$2:$F$3000,MATCH($A1052,EXTRATO!$A$2:$A$3000,0))="","",INDEX(EXTRATO!$F$2:$F$3000,MATCH($A1052,EXTRATO!$A$2:$A$3000,0))))</f>
        <v>SAÍDA</v>
      </c>
      <c r="I1052" s="88" t="str">
        <f>IF(A1052="","",IF(INDEX(EXTRATO!$H$2:$H$3000,MATCH($A1052,EXTRATO!$A$2:$A$3000,0))="","",INDEX(EXTRATO!$H$2:$H$3000,MATCH($A1052,EXTRATO!$A$2:$A$3000,0))))</f>
        <v>SUPERMÉDICA</v>
      </c>
      <c r="J1052" s="86" t="s">
        <v>1565</v>
      </c>
      <c r="K1052" s="86" t="str">
        <f>IF(AND(A1052="",D1052="",E1052="",F1052=""),"",IF(D1052="","SEM CATEGORIA",IF(E1052="","SEM SUBCATEGORIA",IF(COUNTIFS(CADASTROS!$L$7:$L$93,D1052,CADASTROS!$D$7:$D$93,E1052)=0,"INCOMPATÍVEL","OK"))))</f>
        <v>OK</v>
      </c>
    </row>
    <row r="1053" spans="1:11" ht="30" customHeight="1" x14ac:dyDescent="0.25">
      <c r="A1053" s="86" t="s">
        <v>2699</v>
      </c>
      <c r="B1053" s="85">
        <f>IF(A1053="","",IF(INDEX(EXTRATO!$C$2:$C$3000,MATCH($A1053,EXTRATO!$A$2:$A$3000,0))="","",INDEX(EXTRATO!$C$2:$C$3000,MATCH($A1053,EXTRATO!$A$2:$A$3000,0))))</f>
        <v>46276</v>
      </c>
      <c r="C1053" s="86">
        <f t="shared" si="20"/>
        <v>9</v>
      </c>
      <c r="D1053" s="81" t="s">
        <v>1311</v>
      </c>
      <c r="E1053" s="79" t="s">
        <v>1312</v>
      </c>
      <c r="F1053" s="80">
        <v>1858.59</v>
      </c>
      <c r="G1053" s="81" t="str">
        <f>IF(A1053="","",IF(INDEX(EXTRATO!$G$2:$G$3000,MATCH($A1053,EXTRATO!$A$2:$A$3000,0))="","",INDEX(EXTRATO!$G$2:$G$3000,MATCH($A1053,EXTRATO!$A$2:$A$3000,0))))</f>
        <v>UPERMÉDICA DISTRIBUIDORA (REF. MEDICAMENTOS E INSUMOS) 1/2</v>
      </c>
      <c r="H1053" s="86" t="str">
        <f>IF(A1053="","",IF(INDEX(EXTRATO!$F$2:$F$3000,MATCH($A1053,EXTRATO!$A$2:$A$3000,0))="","",INDEX(EXTRATO!$F$2:$F$3000,MATCH($A1053,EXTRATO!$A$2:$A$3000,0))))</f>
        <v>SAÍDA</v>
      </c>
      <c r="I1053" s="88" t="str">
        <f>IF(A1053="","",IF(INDEX(EXTRATO!$H$2:$H$3000,MATCH($A1053,EXTRATO!$A$2:$A$3000,0))="","",INDEX(EXTRATO!$H$2:$H$3000,MATCH($A1053,EXTRATO!$A$2:$A$3000,0))))</f>
        <v>SUPERMÉDICA</v>
      </c>
      <c r="J1053" s="86" t="s">
        <v>1565</v>
      </c>
      <c r="K1053" s="86" t="str">
        <f>IF(AND(A1053="",D1053="",E1053="",F1053=""),"",IF(D1053="","SEM CATEGORIA",IF(E1053="","SEM SUBCATEGORIA",IF(COUNTIFS(CADASTROS!$L$7:$L$93,D1053,CADASTROS!$D$7:$D$93,E1053)=0,"INCOMPATÍVEL","OK"))))</f>
        <v>OK</v>
      </c>
    </row>
    <row r="1054" spans="1:11" ht="30" customHeight="1" x14ac:dyDescent="0.25">
      <c r="A1054" s="86" t="s">
        <v>2700</v>
      </c>
      <c r="B1054" s="85">
        <f>IF(A1054="","",IF(INDEX(EXTRATO!$C$2:$C$3000,MATCH($A1054,EXTRATO!$A$2:$A$3000,0))="","",INDEX(EXTRATO!$C$2:$C$3000,MATCH($A1054,EXTRATO!$A$2:$A$3000,0))))</f>
        <v>46279</v>
      </c>
      <c r="C1054" s="86">
        <f t="shared" si="20"/>
        <v>9</v>
      </c>
      <c r="D1054" s="81" t="s">
        <v>1330</v>
      </c>
      <c r="E1054" s="79" t="s">
        <v>1358</v>
      </c>
      <c r="F1054" s="80">
        <v>4990.25</v>
      </c>
      <c r="G1054" s="81" t="str">
        <f>IF(A1054="","",IF(INDEX(EXTRATO!$G$2:$G$3000,MATCH($A1054,EXTRATO!$A$2:$A$3000,0))="","",INDEX(EXTRATO!$G$2:$G$3000,MATCH($A1054,EXTRATO!$A$2:$A$3000,0))))</f>
        <v>A C R DA SILVA E CIA (SUPERMERCADO CAMINO - REF. COMPRAS QUINZENAIS DE AGO/26 - DATAS 04/08 E 19/08)</v>
      </c>
      <c r="H1054" s="86" t="str">
        <f>IF(A1054="","",IF(INDEX(EXTRATO!$F$2:$F$3000,MATCH($A1054,EXTRATO!$A$2:$A$3000,0))="","",INDEX(EXTRATO!$F$2:$F$3000,MATCH($A1054,EXTRATO!$A$2:$A$3000,0))))</f>
        <v>SAÍDA</v>
      </c>
      <c r="I1054" s="88" t="str">
        <f>IF(A1054="","",IF(INDEX(EXTRATO!$H$2:$H$3000,MATCH($A1054,EXTRATO!$A$2:$A$3000,0))="","",INDEX(EXTRATO!$H$2:$H$3000,MATCH($A1054,EXTRATO!$A$2:$A$3000,0))))</f>
        <v>CAMINO</v>
      </c>
      <c r="J1054" s="86" t="s">
        <v>1565</v>
      </c>
      <c r="K1054" s="86" t="str">
        <f>IF(AND(A1054="",D1054="",E1054="",F1054=""),"",IF(D1054="","SEM CATEGORIA",IF(E1054="","SEM SUBCATEGORIA",IF(COUNTIFS(CADASTROS!$L$7:$L$93,D1054,CADASTROS!$D$7:$D$93,E1054)=0,"INCOMPATÍVEL","OK"))))</f>
        <v>OK</v>
      </c>
    </row>
    <row r="1055" spans="1:11" ht="30" customHeight="1" x14ac:dyDescent="0.25">
      <c r="A1055" s="86" t="s">
        <v>2702</v>
      </c>
      <c r="B1055" s="85">
        <f>IF(A1055="","",IF(INDEX(EXTRATO!$C$2:$C$3000,MATCH($A1055,EXTRATO!$A$2:$A$3000,0))="","",INDEX(EXTRATO!$C$2:$C$3000,MATCH($A1055,EXTRATO!$A$2:$A$3000,0))))</f>
        <v>46279</v>
      </c>
      <c r="C1055" s="86">
        <f t="shared" si="20"/>
        <v>9</v>
      </c>
      <c r="D1055" s="81" t="s">
        <v>1330</v>
      </c>
      <c r="E1055" s="79" t="s">
        <v>1413</v>
      </c>
      <c r="F1055" s="80">
        <v>1490</v>
      </c>
      <c r="G1055" s="81" t="str">
        <f>IF(A1055="","",IF(INDEX(EXTRATO!$G$2:$G$3000,MATCH($A1055,EXTRATO!$A$2:$A$3000,0))="","",INDEX(EXTRATO!$G$2:$G$3000,MATCH($A1055,EXTRATO!$A$2:$A$3000,0))))</f>
        <v>E M GONÇALVES PADARIA (REF. FORNEC. DE PÃES E BOLOS - AGO/26) - FAVORECIDO: EDILBERTO M. GONÇALVES</v>
      </c>
      <c r="H1055" s="86" t="str">
        <f>IF(A1055="","",IF(INDEX(EXTRATO!$F$2:$F$3000,MATCH($A1055,EXTRATO!$A$2:$A$3000,0))="","",INDEX(EXTRATO!$F$2:$F$3000,MATCH($A1055,EXTRATO!$A$2:$A$3000,0))))</f>
        <v>SAÍDA</v>
      </c>
      <c r="I1055" s="88" t="str">
        <f>IF(A1055="","",IF(INDEX(EXTRATO!$H$2:$H$3000,MATCH($A1055,EXTRATO!$A$2:$A$3000,0))="","",INDEX(EXTRATO!$H$2:$H$3000,MATCH($A1055,EXTRATO!$A$2:$A$3000,0))))</f>
        <v>E M GONÇALVES PADARIA</v>
      </c>
      <c r="J1055" s="86" t="s">
        <v>1565</v>
      </c>
      <c r="K1055" s="86" t="str">
        <f>IF(AND(A1055="",D1055="",E1055="",F1055=""),"",IF(D1055="","SEM CATEGORIA",IF(E1055="","SEM SUBCATEGORIA",IF(COUNTIFS(CADASTROS!$L$7:$L$93,D1055,CADASTROS!$D$7:$D$93,E1055)=0,"INCOMPATÍVEL","OK"))))</f>
        <v>OK</v>
      </c>
    </row>
    <row r="1056" spans="1:11" ht="30" customHeight="1" x14ac:dyDescent="0.25">
      <c r="A1056" s="86" t="s">
        <v>2704</v>
      </c>
      <c r="B1056" s="85">
        <f>IF(A1056="","",IF(INDEX(EXTRATO!$C$2:$C$3000,MATCH($A1056,EXTRATO!$A$2:$A$3000,0))="","",INDEX(EXTRATO!$C$2:$C$3000,MATCH($A1056,EXTRATO!$A$2:$A$3000,0))))</f>
        <v>46279</v>
      </c>
      <c r="C1056" s="86">
        <f t="shared" si="20"/>
        <v>9</v>
      </c>
      <c r="D1056" s="81" t="s">
        <v>1415</v>
      </c>
      <c r="E1056" s="79" t="s">
        <v>1657</v>
      </c>
      <c r="F1056" s="80">
        <v>2000</v>
      </c>
      <c r="G1056" s="81" t="str">
        <f>IF(A1056="","",IF(INDEX(EXTRATO!$G$2:$G$3000,MATCH($A1056,EXTRATO!$A$2:$A$3000,0))="","",INDEX(EXTRATO!$G$2:$G$3000,MATCH($A1056,EXTRATO!$A$2:$A$3000,0))))</f>
        <v>L F ALBUQUERQUE DA SILVA - (FARMACÊUTICA GARDÊNIA) - REF. PRESTAÇÃO DE SERV. FARMACÊUTICOS - AGO/2026</v>
      </c>
      <c r="H1056" s="86" t="str">
        <f>IF(A1056="","",IF(INDEX(EXTRATO!$F$2:$F$3000,MATCH($A1056,EXTRATO!$A$2:$A$3000,0))="","",INDEX(EXTRATO!$F$2:$F$3000,MATCH($A1056,EXTRATO!$A$2:$A$3000,0))))</f>
        <v>SAÍDA</v>
      </c>
      <c r="I1056" s="88" t="str">
        <f>IF(A1056="","",IF(INDEX(EXTRATO!$H$2:$H$3000,MATCH($A1056,EXTRATO!$A$2:$A$3000,0))="","",INDEX(EXTRATO!$H$2:$H$3000,MATCH($A1056,EXTRATO!$A$2:$A$3000,0))))</f>
        <v>FARMACÊUTICA GARDÊNIA</v>
      </c>
      <c r="J1056" s="86" t="s">
        <v>1565</v>
      </c>
      <c r="K1056" s="86" t="str">
        <f>IF(AND(A1056="",D1056="",E1056="",F1056=""),"",IF(D1056="","SEM CATEGORIA",IF(E1056="","SEM SUBCATEGORIA",IF(COUNTIFS(CADASTROS!$L$7:$L$93,D1056,CADASTROS!$D$7:$D$93,E1056)=0,"INCOMPATÍVEL","OK"))))</f>
        <v>OK</v>
      </c>
    </row>
    <row r="1057" spans="1:11" ht="30" customHeight="1" x14ac:dyDescent="0.25">
      <c r="A1057" s="86" t="s">
        <v>2705</v>
      </c>
      <c r="B1057" s="85">
        <f>IF(A1057="","",IF(INDEX(EXTRATO!$C$2:$C$3000,MATCH($A1057,EXTRATO!$A$2:$A$3000,0))="","",INDEX(EXTRATO!$C$2:$C$3000,MATCH($A1057,EXTRATO!$A$2:$A$3000,0))))</f>
        <v>46279</v>
      </c>
      <c r="C1057" s="86">
        <f t="shared" si="20"/>
        <v>9</v>
      </c>
      <c r="D1057" s="81" t="s">
        <v>1415</v>
      </c>
      <c r="E1057" s="79" t="s">
        <v>1648</v>
      </c>
      <c r="F1057" s="80">
        <v>14000</v>
      </c>
      <c r="G1057" s="81" t="str">
        <f>IF(A1057="","",IF(INDEX(EXTRATO!$G$2:$G$3000,MATCH($A1057,EXTRATO!$A$2:$A$3000,0))="","",INDEX(EXTRATO!$G$2:$G$3000,MATCH($A1057,EXTRATO!$A$2:$A$3000,0))))</f>
        <v>PLANTÕES MÉDICOS (REF. JUL/2026) - HOZANO MACHADO (07 PLANTÕES)</v>
      </c>
      <c r="H1057" s="86" t="str">
        <f>IF(A1057="","",IF(INDEX(EXTRATO!$F$2:$F$3000,MATCH($A1057,EXTRATO!$A$2:$A$3000,0))="","",INDEX(EXTRATO!$F$2:$F$3000,MATCH($A1057,EXTRATO!$A$2:$A$3000,0))))</f>
        <v>SAÍDA</v>
      </c>
      <c r="I1057" s="88" t="str">
        <f>IF(A1057="","",IF(INDEX(EXTRATO!$H$2:$H$3000,MATCH($A1057,EXTRATO!$A$2:$A$3000,0))="","",INDEX(EXTRATO!$H$2:$H$3000,MATCH($A1057,EXTRATO!$A$2:$A$3000,0))))</f>
        <v>MARTINS MACHADO SAUDE E E</v>
      </c>
      <c r="J1057" s="86" t="s">
        <v>1565</v>
      </c>
      <c r="K1057" s="86" t="str">
        <f>IF(AND(A1057="",D1057="",E1057="",F1057=""),"",IF(D1057="","SEM CATEGORIA",IF(E1057="","SEM SUBCATEGORIA",IF(COUNTIFS(CADASTROS!$L$7:$L$93,D1057,CADASTROS!$D$7:$D$93,E1057)=0,"INCOMPATÍVEL","OK"))))</f>
        <v>OK</v>
      </c>
    </row>
    <row r="1058" spans="1:11" ht="30" customHeight="1" x14ac:dyDescent="0.25">
      <c r="A1058" s="86" t="s">
        <v>2707</v>
      </c>
      <c r="B1058" s="85">
        <f>IF(A1058="","",IF(INDEX(EXTRATO!$C$2:$C$3000,MATCH($A1058,EXTRATO!$A$2:$A$3000,0))="","",INDEX(EXTRATO!$C$2:$C$3000,MATCH($A1058,EXTRATO!$A$2:$A$3000,0))))</f>
        <v>46279</v>
      </c>
      <c r="C1058" s="86">
        <f t="shared" si="20"/>
        <v>9</v>
      </c>
      <c r="D1058" s="81" t="s">
        <v>1415</v>
      </c>
      <c r="E1058" s="79" t="s">
        <v>1643</v>
      </c>
      <c r="F1058" s="80">
        <v>10000</v>
      </c>
      <c r="G1058" s="81" t="str">
        <f>IF(A1058="","",IF(INDEX(EXTRATO!$G$2:$G$3000,MATCH($A1058,EXTRATO!$A$2:$A$3000,0))="","",INDEX(EXTRATO!$G$2:$G$3000,MATCH($A1058,EXTRATO!$A$2:$A$3000,0))))</f>
        <v>CLINICA DR. LUCAS ALBUQUERQUE (DR. LUCAS - REF. PLANTÕES MÉDICOS EM JUL/26)</v>
      </c>
      <c r="H1058" s="86" t="str">
        <f>IF(A1058="","",IF(INDEX(EXTRATO!$F$2:$F$3000,MATCH($A1058,EXTRATO!$A$2:$A$3000,0))="","",INDEX(EXTRATO!$F$2:$F$3000,MATCH($A1058,EXTRATO!$A$2:$A$3000,0))))</f>
        <v>SAÍDA</v>
      </c>
      <c r="I1058" s="88" t="str">
        <f>IF(A1058="","",IF(INDEX(EXTRATO!$H$2:$H$3000,MATCH($A1058,EXTRATO!$A$2:$A$3000,0))="","",INDEX(EXTRATO!$H$2:$H$3000,MATCH($A1058,EXTRATO!$A$2:$A$3000,0))))</f>
        <v>CLINICA DR. LUCAS ALBUQUERQUE</v>
      </c>
      <c r="J1058" s="86" t="s">
        <v>1565</v>
      </c>
      <c r="K1058" s="86" t="str">
        <f>IF(AND(A1058="",D1058="",E1058="",F1058=""),"",IF(D1058="","SEM CATEGORIA",IF(E1058="","SEM SUBCATEGORIA",IF(COUNTIFS(CADASTROS!$L$7:$L$93,D1058,CADASTROS!$D$7:$D$93,E1058)=0,"INCOMPATÍVEL","OK"))))</f>
        <v>OK</v>
      </c>
    </row>
    <row r="1059" spans="1:11" ht="30" customHeight="1" x14ac:dyDescent="0.25">
      <c r="A1059" s="86" t="s">
        <v>2708</v>
      </c>
      <c r="B1059" s="85">
        <f>IF(A1059="","",IF(INDEX(EXTRATO!$C$2:$C$3000,MATCH($A1059,EXTRATO!$A$2:$A$3000,0))="","",INDEX(EXTRATO!$C$2:$C$3000,MATCH($A1059,EXTRATO!$A$2:$A$3000,0))))</f>
        <v>46279</v>
      </c>
      <c r="C1059" s="86">
        <f t="shared" si="20"/>
        <v>9</v>
      </c>
      <c r="D1059" s="81"/>
      <c r="E1059" s="79"/>
      <c r="F1059" s="80">
        <v>10606.33</v>
      </c>
      <c r="G1059" s="81" t="str">
        <f>IF(A1059="","",IF(INDEX(EXTRATO!$G$2:$G$3000,MATCH($A1059,EXTRATO!$A$2:$A$3000,0))="","",INDEX(EXTRATO!$G$2:$G$3000,MATCH($A1059,EXTRATO!$A$2:$A$3000,0))))</f>
        <v>I F DA SILVA &amp; CIA LTDA (REF. AGO/26)</v>
      </c>
      <c r="H1059" s="86" t="str">
        <f>IF(A1059="","",IF(INDEX(EXTRATO!$F$2:$F$3000,MATCH($A1059,EXTRATO!$A$2:$A$3000,0))="","",INDEX(EXTRATO!$F$2:$F$3000,MATCH($A1059,EXTRATO!$A$2:$A$3000,0))))</f>
        <v>SAÍDA</v>
      </c>
      <c r="I1059" s="88" t="str">
        <f>IF(A1059="","",IF(INDEX(EXTRATO!$H$2:$H$3000,MATCH($A1059,EXTRATO!$A$2:$A$3000,0))="","",INDEX(EXTRATO!$H$2:$H$3000,MATCH($A1059,EXTRATO!$A$2:$A$3000,0))))</f>
        <v>I F DA SILVA &amp; CIA LTDA</v>
      </c>
      <c r="J1059" s="86" t="s">
        <v>1360</v>
      </c>
      <c r="K1059" s="86" t="str">
        <f>IF(AND(A1059="",D1059="",E1059="",F1059=""),"",IF(D1059="","SEM CATEGORIA",IF(E1059="","SEM SUBCATEGORIA",IF(COUNTIFS(CADASTROS!$L$7:$L$93,D1059,CADASTROS!$D$7:$D$93,E1059)=0,"INCOMPATÍVEL","OK"))))</f>
        <v>SEM CATEGORIA</v>
      </c>
    </row>
    <row r="1060" spans="1:11" ht="30" customHeight="1" x14ac:dyDescent="0.25">
      <c r="A1060" s="86" t="s">
        <v>2710</v>
      </c>
      <c r="B1060" s="85">
        <f>IF(A1060="","",IF(INDEX(EXTRATO!$C$2:$C$3000,MATCH($A1060,EXTRATO!$A$2:$A$3000,0))="","",INDEX(EXTRATO!$C$2:$C$3000,MATCH($A1060,EXTRATO!$A$2:$A$3000,0))))</f>
        <v>46279</v>
      </c>
      <c r="C1060" s="86">
        <f t="shared" si="20"/>
        <v>9</v>
      </c>
      <c r="D1060" s="81" t="s">
        <v>1370</v>
      </c>
      <c r="E1060" s="79" t="s">
        <v>1371</v>
      </c>
      <c r="F1060" s="80">
        <v>2270.17</v>
      </c>
      <c r="G1060" s="81" t="str">
        <f>IF(A1060="","",IF(INDEX(EXTRATO!$G$2:$G$3000,MATCH($A1060,EXTRATO!$A$2:$A$3000,0))="","",INDEX(EXTRATO!$G$2:$G$3000,MATCH($A1060,EXTRATO!$A$2:$A$3000,0))))</f>
        <v>NORTEFLOW (REF. KIT DUREZA TOTAL) 1/2</v>
      </c>
      <c r="H1060" s="86" t="str">
        <f>IF(A1060="","",IF(INDEX(EXTRATO!$F$2:$F$3000,MATCH($A1060,EXTRATO!$A$2:$A$3000,0))="","",INDEX(EXTRATO!$F$2:$F$3000,MATCH($A1060,EXTRATO!$A$2:$A$3000,0))))</f>
        <v>SAÍDA</v>
      </c>
      <c r="I1060" s="88" t="str">
        <f>IF(A1060="","",IF(INDEX(EXTRATO!$H$2:$H$3000,MATCH($A1060,EXTRATO!$A$2:$A$3000,0))="","",INDEX(EXTRATO!$H$2:$H$3000,MATCH($A1060,EXTRATO!$A$2:$A$3000,0))))</f>
        <v>NORTE FLOW</v>
      </c>
      <c r="J1060" s="86" t="s">
        <v>1565</v>
      </c>
      <c r="K1060" s="86" t="str">
        <f>IF(AND(A1060="",D1060="",E1060="",F1060=""),"",IF(D1060="","SEM CATEGORIA",IF(E1060="","SEM SUBCATEGORIA",IF(COUNTIFS(CADASTROS!$L$7:$L$93,D1060,CADASTROS!$D$7:$D$93,E1060)=0,"INCOMPATÍVEL","OK"))))</f>
        <v>OK</v>
      </c>
    </row>
    <row r="1061" spans="1:11" ht="30" customHeight="1" x14ac:dyDescent="0.25">
      <c r="A1061" s="86" t="s">
        <v>2712</v>
      </c>
      <c r="B1061" s="85">
        <f>IF(A1061="","",IF(INDEX(EXTRATO!$C$2:$C$3000,MATCH($A1061,EXTRATO!$A$2:$A$3000,0))="","",INDEX(EXTRATO!$C$2:$C$3000,MATCH($A1061,EXTRATO!$A$2:$A$3000,0))))</f>
        <v>46279</v>
      </c>
      <c r="C1061" s="86">
        <f t="shared" si="20"/>
        <v>9</v>
      </c>
      <c r="D1061" s="81"/>
      <c r="E1061" s="79"/>
      <c r="F1061" s="80">
        <v>22683.7</v>
      </c>
      <c r="G1061" s="81" t="str">
        <f>IF(A1061="","",IF(INDEX(EXTRATO!$G$2:$G$3000,MATCH($A1061,EXTRATO!$A$2:$A$3000,0))="","",INDEX(EXTRATO!$G$2:$G$3000,MATCH($A1061,EXTRATO!$A$2:$A$3000,0))))</f>
        <v>FARMACE (REF. SOL. ÁCIDA E BÁSICA, SOROS (100ML E 500ML), DIPIRONA INJETÁVEL, GLICOSE 50% E CLORETO DE SÓDIO 10%) 1/2</v>
      </c>
      <c r="H1061" s="86" t="str">
        <f>IF(A1061="","",IF(INDEX(EXTRATO!$F$2:$F$3000,MATCH($A1061,EXTRATO!$A$2:$A$3000,0))="","",INDEX(EXTRATO!$F$2:$F$3000,MATCH($A1061,EXTRATO!$A$2:$A$3000,0))))</f>
        <v>SAÍDA</v>
      </c>
      <c r="I1061" s="88" t="str">
        <f>IF(A1061="","",IF(INDEX(EXTRATO!$H$2:$H$3000,MATCH($A1061,EXTRATO!$A$2:$A$3000,0))="","",INDEX(EXTRATO!$H$2:$H$3000,MATCH($A1061,EXTRATO!$A$2:$A$3000,0))))</f>
        <v>FARMACE</v>
      </c>
      <c r="J1061" s="86" t="s">
        <v>1360</v>
      </c>
      <c r="K1061" s="86" t="str">
        <f>IF(AND(A1061="",D1061="",E1061="",F1061=""),"",IF(D1061="","SEM CATEGORIA",IF(E1061="","SEM SUBCATEGORIA",IF(COUNTIFS(CADASTROS!$L$7:$L$93,D1061,CADASTROS!$D$7:$D$93,E1061)=0,"INCOMPATÍVEL","OK"))))</f>
        <v>SEM CATEGORIA</v>
      </c>
    </row>
    <row r="1062" spans="1:11" ht="30" customHeight="1" x14ac:dyDescent="0.25">
      <c r="A1062" s="86" t="s">
        <v>2714</v>
      </c>
      <c r="B1062" s="85">
        <f>IF(A1062="","",IF(INDEX(EXTRATO!$C$2:$C$3000,MATCH($A1062,EXTRATO!$A$2:$A$3000,0))="","",INDEX(EXTRATO!$C$2:$C$3000,MATCH($A1062,EXTRATO!$A$2:$A$3000,0))))</f>
        <v>46279</v>
      </c>
      <c r="C1062" s="86">
        <f t="shared" si="20"/>
        <v>9</v>
      </c>
      <c r="D1062" s="81" t="s">
        <v>1349</v>
      </c>
      <c r="E1062" s="79" t="s">
        <v>1402</v>
      </c>
      <c r="F1062" s="80">
        <v>500</v>
      </c>
      <c r="G1062" s="81" t="str">
        <f>IF(A1062="","",IF(INDEX(EXTRATO!$G$2:$G$3000,MATCH($A1062,EXTRATO!$A$2:$A$3000,0))="","",INDEX(EXTRATO!$G$2:$G$3000,MATCH($A1062,EXTRATO!$A$2:$A$3000,0))))</f>
        <v xml:space="preserve"> LEMOS BRANCO &amp; CIA - POSTO PREMIUM (COMBUSTÍVEL CARRO)</v>
      </c>
      <c r="H1062" s="86" t="str">
        <f>IF(A1062="","",IF(INDEX(EXTRATO!$F$2:$F$3000,MATCH($A1062,EXTRATO!$A$2:$A$3000,0))="","",INDEX(EXTRATO!$F$2:$F$3000,MATCH($A1062,EXTRATO!$A$2:$A$3000,0))))</f>
        <v>SAÍDA</v>
      </c>
      <c r="I1062" s="88" t="str">
        <f>IF(A1062="","",IF(INDEX(EXTRATO!$H$2:$H$3000,MATCH($A1062,EXTRATO!$A$2:$A$3000,0))="","",INDEX(EXTRATO!$H$2:$H$3000,MATCH($A1062,EXTRATO!$A$2:$A$3000,0))))</f>
        <v>LEMOS BRANCO &amp; CIA</v>
      </c>
      <c r="J1062" s="86" t="s">
        <v>1565</v>
      </c>
      <c r="K1062" s="86" t="str">
        <f>IF(AND(A1062="",D1062="",E1062="",F1062=""),"",IF(D1062="","SEM CATEGORIA",IF(E1062="","SEM SUBCATEGORIA",IF(COUNTIFS(CADASTROS!$L$7:$L$93,D1062,CADASTROS!$D$7:$D$93,E1062)=0,"INCOMPATÍVEL","OK"))))</f>
        <v>OK</v>
      </c>
    </row>
    <row r="1063" spans="1:11" ht="30" customHeight="1" x14ac:dyDescent="0.25">
      <c r="A1063" s="86" t="s">
        <v>2715</v>
      </c>
      <c r="B1063" s="85">
        <f>IF(A1063="","",IF(INDEX(EXTRATO!$C$2:$C$3000,MATCH($A1063,EXTRATO!$A$2:$A$3000,0))="","",INDEX(EXTRATO!$C$2:$C$3000,MATCH($A1063,EXTRATO!$A$2:$A$3000,0))))</f>
        <v>46279</v>
      </c>
      <c r="C1063" s="86">
        <f t="shared" si="20"/>
        <v>9</v>
      </c>
      <c r="D1063" s="81" t="s">
        <v>1311</v>
      </c>
      <c r="E1063" s="79" t="s">
        <v>1404</v>
      </c>
      <c r="F1063" s="80">
        <v>18974</v>
      </c>
      <c r="G1063" s="81" t="str">
        <f>IF(A1063="","",IF(INDEX(EXTRATO!$G$2:$G$3000,MATCH($A1063,EXTRATO!$A$2:$A$3000,0))="","",INDEX(EXTRATO!$G$2:$G$3000,MATCH($A1063,EXTRATO!$A$2:$A$3000,0))))</f>
        <v>FARMACE (REF. SORO 500ML E SOLUÇÕES) 2/2</v>
      </c>
      <c r="H1063" s="86" t="str">
        <f>IF(A1063="","",IF(INDEX(EXTRATO!$F$2:$F$3000,MATCH($A1063,EXTRATO!$A$2:$A$3000,0))="","",INDEX(EXTRATO!$F$2:$F$3000,MATCH($A1063,EXTRATO!$A$2:$A$3000,0))))</f>
        <v>SAÍDA</v>
      </c>
      <c r="I1063" s="88" t="str">
        <f>IF(A1063="","",IF(INDEX(EXTRATO!$H$2:$H$3000,MATCH($A1063,EXTRATO!$A$2:$A$3000,0))="","",INDEX(EXTRATO!$H$2:$H$3000,MATCH($A1063,EXTRATO!$A$2:$A$3000,0))))</f>
        <v>FARMACE</v>
      </c>
      <c r="J1063" s="86" t="s">
        <v>1565</v>
      </c>
      <c r="K1063" s="86" t="str">
        <f>IF(AND(A1063="",D1063="",E1063="",F1063=""),"",IF(D1063="","SEM CATEGORIA",IF(E1063="","SEM SUBCATEGORIA",IF(COUNTIFS(CADASTROS!$L$7:$L$93,D1063,CADASTROS!$D$7:$D$93,E1063)=0,"INCOMPATÍVEL","OK"))))</f>
        <v>OK</v>
      </c>
    </row>
    <row r="1064" spans="1:11" ht="30" customHeight="1" x14ac:dyDescent="0.25">
      <c r="A1064" s="86" t="s">
        <v>2717</v>
      </c>
      <c r="B1064" s="85">
        <f>IF(A1064="","",IF(INDEX(EXTRATO!$C$2:$C$3000,MATCH($A1064,EXTRATO!$A$2:$A$3000,0))="","",INDEX(EXTRATO!$C$2:$C$3000,MATCH($A1064,EXTRATO!$A$2:$A$3000,0))))</f>
        <v>46280</v>
      </c>
      <c r="C1064" s="86">
        <f t="shared" si="20"/>
        <v>9</v>
      </c>
      <c r="D1064" s="81" t="s">
        <v>1311</v>
      </c>
      <c r="E1064" s="79" t="s">
        <v>1376</v>
      </c>
      <c r="F1064" s="80">
        <v>2411.25</v>
      </c>
      <c r="G1064" s="81" t="str">
        <f>IF(A1064="","",IF(INDEX(EXTRATO!$G$2:$G$3000,MATCH($A1064,EXTRATO!$A$2:$A$3000,0))="","",INDEX(EXTRATO!$G$2:$G$3000,MATCH($A1064,EXTRATO!$A$2:$A$3000,0))))</f>
        <v>NIPRO MEDICAL (REF. CAPILAR 19H E AGULHA 17G) 2/2</v>
      </c>
      <c r="H1064" s="86" t="str">
        <f>IF(A1064="","",IF(INDEX(EXTRATO!$F$2:$F$3000,MATCH($A1064,EXTRATO!$A$2:$A$3000,0))="","",INDEX(EXTRATO!$F$2:$F$3000,MATCH($A1064,EXTRATO!$A$2:$A$3000,0))))</f>
        <v>SAÍDA</v>
      </c>
      <c r="I1064" s="88" t="str">
        <f>IF(A1064="","",IF(INDEX(EXTRATO!$H$2:$H$3000,MATCH($A1064,EXTRATO!$A$2:$A$3000,0))="","",INDEX(EXTRATO!$H$2:$H$3000,MATCH($A1064,EXTRATO!$A$2:$A$3000,0))))</f>
        <v>NIPRO</v>
      </c>
      <c r="J1064" s="86" t="s">
        <v>1565</v>
      </c>
      <c r="K1064" s="86" t="str">
        <f>IF(AND(A1064="",D1064="",E1064="",F1064=""),"",IF(D1064="","SEM CATEGORIA",IF(E1064="","SEM SUBCATEGORIA",IF(COUNTIFS(CADASTROS!$L$7:$L$93,D1064,CADASTROS!$D$7:$D$93,E1064)=0,"INCOMPATÍVEL","OK"))))</f>
        <v>OK</v>
      </c>
    </row>
    <row r="1065" spans="1:11" ht="30" customHeight="1" x14ac:dyDescent="0.25">
      <c r="A1065" s="86" t="s">
        <v>2719</v>
      </c>
      <c r="B1065" s="85">
        <f>IF(A1065="","",IF(INDEX(EXTRATO!$C$2:$C$3000,MATCH($A1065,EXTRATO!$A$2:$A$3000,0))="","",INDEX(EXTRATO!$C$2:$C$3000,MATCH($A1065,EXTRATO!$A$2:$A$3000,0))))</f>
        <v>46280</v>
      </c>
      <c r="C1065" s="86">
        <f t="shared" si="20"/>
        <v>9</v>
      </c>
      <c r="D1065" s="81" t="s">
        <v>1330</v>
      </c>
      <c r="E1065" s="79" t="s">
        <v>1379</v>
      </c>
      <c r="F1065" s="80">
        <v>97.62</v>
      </c>
      <c r="G1065" s="81" t="str">
        <f>IF(A1065="","",IF(INDEX(EXTRATO!$G$2:$G$3000,MATCH($A1065,EXTRATO!$A$2:$A$3000,0))="","",INDEX(EXTRATO!$G$2:$G$3000,MATCH($A1065,EXTRATO!$A$2:$A$3000,0))))</f>
        <v>BB PAY (FORTES) - RELÓGIO DE PONTO</v>
      </c>
      <c r="H1065" s="86" t="str">
        <f>IF(A1065="","",IF(INDEX(EXTRATO!$F$2:$F$3000,MATCH($A1065,EXTRATO!$A$2:$A$3000,0))="","",INDEX(EXTRATO!$F$2:$F$3000,MATCH($A1065,EXTRATO!$A$2:$A$3000,0))))</f>
        <v>SAÍDA</v>
      </c>
      <c r="I1065" s="88" t="str">
        <f>IF(A1065="","",IF(INDEX(EXTRATO!$H$2:$H$3000,MATCH($A1065,EXTRATO!$A$2:$A$3000,0))="","",INDEX(EXTRATO!$H$2:$H$3000,MATCH($A1065,EXTRATO!$A$2:$A$3000,0))))</f>
        <v>FORTES CONECTA - RELÓGIO DE PONTO</v>
      </c>
      <c r="J1065" s="86" t="s">
        <v>1565</v>
      </c>
      <c r="K1065" s="86" t="str">
        <f>IF(AND(A1065="",D1065="",E1065="",F1065=""),"",IF(D1065="","SEM CATEGORIA",IF(E1065="","SEM SUBCATEGORIA",IF(COUNTIFS(CADASTROS!$L$7:$L$93,D1065,CADASTROS!$D$7:$D$93,E1065)=0,"INCOMPATÍVEL","OK"))))</f>
        <v>OK</v>
      </c>
    </row>
    <row r="1066" spans="1:11" ht="30" customHeight="1" x14ac:dyDescent="0.25">
      <c r="A1066" s="86" t="s">
        <v>2720</v>
      </c>
      <c r="B1066" s="85">
        <f>IF(A1066="","",IF(INDEX(EXTRATO!$C$2:$C$3000,MATCH($A1066,EXTRATO!$A$2:$A$3000,0))="","",INDEX(EXTRATO!$C$2:$C$3000,MATCH($A1066,EXTRATO!$A$2:$A$3000,0))))</f>
        <v>46280</v>
      </c>
      <c r="C1066" s="86">
        <f t="shared" si="20"/>
        <v>9</v>
      </c>
      <c r="D1066" s="81" t="s">
        <v>1330</v>
      </c>
      <c r="E1066" s="79" t="s">
        <v>1379</v>
      </c>
      <c r="F1066" s="80">
        <v>216.19</v>
      </c>
      <c r="G1066" s="81" t="str">
        <f>IF(A1066="","",IF(INDEX(EXTRATO!$G$2:$G$3000,MATCH($A1066,EXTRATO!$A$2:$A$3000,0))="","",INDEX(EXTRATO!$G$2:$G$3000,MATCH($A1066,EXTRATO!$A$2:$A$3000,0))))</f>
        <v>BB PAY (FORTES) - RELÓGIO DE PONTO</v>
      </c>
      <c r="H1066" s="86" t="str">
        <f>IF(A1066="","",IF(INDEX(EXTRATO!$F$2:$F$3000,MATCH($A1066,EXTRATO!$A$2:$A$3000,0))="","",INDEX(EXTRATO!$F$2:$F$3000,MATCH($A1066,EXTRATO!$A$2:$A$3000,0))))</f>
        <v>SAÍDA</v>
      </c>
      <c r="I1066" s="88" t="str">
        <f>IF(A1066="","",IF(INDEX(EXTRATO!$H$2:$H$3000,MATCH($A1066,EXTRATO!$A$2:$A$3000,0))="","",INDEX(EXTRATO!$H$2:$H$3000,MATCH($A1066,EXTRATO!$A$2:$A$3000,0))))</f>
        <v>FORTES CONECTA - RELÓGIO DE PONTO</v>
      </c>
      <c r="J1066" s="86" t="s">
        <v>1565</v>
      </c>
      <c r="K1066" s="86" t="str">
        <f>IF(AND(A1066="",D1066="",E1066="",F1066=""),"",IF(D1066="","SEM CATEGORIA",IF(E1066="","SEM SUBCATEGORIA",IF(COUNTIFS(CADASTROS!$L$7:$L$93,D1066,CADASTROS!$D$7:$D$93,E1066)=0,"INCOMPATÍVEL","OK"))))</f>
        <v>OK</v>
      </c>
    </row>
    <row r="1067" spans="1:11" ht="30" customHeight="1" x14ac:dyDescent="0.25">
      <c r="A1067" s="86" t="s">
        <v>2721</v>
      </c>
      <c r="B1067" s="85">
        <f>IF(A1067="","",IF(INDEX(EXTRATO!$C$2:$C$3000,MATCH($A1067,EXTRATO!$A$2:$A$3000,0))="","",INDEX(EXTRATO!$C$2:$C$3000,MATCH($A1067,EXTRATO!$A$2:$A$3000,0))))</f>
        <v>46280</v>
      </c>
      <c r="C1067" s="86">
        <f t="shared" si="20"/>
        <v>9</v>
      </c>
      <c r="D1067" s="81" t="s">
        <v>1311</v>
      </c>
      <c r="E1067" s="79" t="s">
        <v>1312</v>
      </c>
      <c r="F1067" s="80">
        <v>1295</v>
      </c>
      <c r="G1067" s="81" t="str">
        <f>IF(A1067="","",IF(INDEX(EXTRATO!$G$2:$G$3000,MATCH($A1067,EXTRATO!$A$2:$A$3000,0))="","",INDEX(EXTRATO!$G$2:$G$3000,MATCH($A1067,EXTRATO!$A$2:$A$3000,0))))</f>
        <v>INOVMED DISTRIBUIDORA (REF. COMPRESSA DE GAZE) 1/2</v>
      </c>
      <c r="H1067" s="86" t="str">
        <f>IF(A1067="","",IF(INDEX(EXTRATO!$F$2:$F$3000,MATCH($A1067,EXTRATO!$A$2:$A$3000,0))="","",INDEX(EXTRATO!$F$2:$F$3000,MATCH($A1067,EXTRATO!$A$2:$A$3000,0))))</f>
        <v>SAÍDA</v>
      </c>
      <c r="I1067" s="88" t="str">
        <f>IF(A1067="","",IF(INDEX(EXTRATO!$H$2:$H$3000,MATCH($A1067,EXTRATO!$A$2:$A$3000,0))="","",INDEX(EXTRATO!$H$2:$H$3000,MATCH($A1067,EXTRATO!$A$2:$A$3000,0))))</f>
        <v>INOVMED DISTRIBUIDORA</v>
      </c>
      <c r="J1067" s="86" t="s">
        <v>1565</v>
      </c>
      <c r="K1067" s="86" t="str">
        <f>IF(AND(A1067="",D1067="",E1067="",F1067=""),"",IF(D1067="","SEM CATEGORIA",IF(E1067="","SEM SUBCATEGORIA",IF(COUNTIFS(CADASTROS!$L$7:$L$93,D1067,CADASTROS!$D$7:$D$93,E1067)=0,"INCOMPATÍVEL","OK"))))</f>
        <v>OK</v>
      </c>
    </row>
    <row r="1068" spans="1:11" ht="30" customHeight="1" x14ac:dyDescent="0.25">
      <c r="A1068" s="86" t="str">
        <f>IF(COUNTIF(EXTRATO!$A$2:$A$3000,"BAN-00925")=0,"","BAN-00925")</f>
        <v>BAN-00925</v>
      </c>
      <c r="B1068" s="85">
        <f>IF(A1068="","",IF(INDEX(EXTRATO!$C$2:$C$3000,MATCH($A1068,EXTRATO!$A$2:$A$3000,0))="","",INDEX(EXTRATO!$C$2:$C$3000,MATCH($A1068,EXTRATO!$A$2:$A$3000,0))))</f>
        <v>46282</v>
      </c>
      <c r="C1068" s="86">
        <f t="shared" si="20"/>
        <v>9</v>
      </c>
      <c r="D1068" s="81"/>
      <c r="E1068" s="79"/>
      <c r="F1068" s="80">
        <f>IF(A1068="","",SUMIF(EXTRATO!$A$2:$A$3000,$A1068,EXTRATO!$J$2:$J$3000)+SUMIF(EXTRATO!$A$2:$A$3000,$A1068,EXTRATO!$K$2:$K$3000)+SUMIF(EXTRATO!$A$2:$A$3000,$A1068,EXTRATO!$L$2:$L$3000)+SUMIF(EXTRATO!$A$2:$A$3000,$A1068,EXTRATO!$M$2:$M$3000))</f>
        <v>2840</v>
      </c>
      <c r="G1068" s="81" t="str">
        <f>IF(A1068="","",IF(INDEX(EXTRATO!$G$2:$G$3000,MATCH($A1068,EXTRATO!$A$2:$A$3000,0))="","",INDEX(EXTRATO!$G$2:$G$3000,MATCH($A1068,EXTRATO!$A$2:$A$3000,0))))</f>
        <v>WILSON DE FREITAS SORIANO (BOTECO DO TARCISIO) - REF. QUENTINHAS TÉCNICOS PRIMEIRA QUINZENA DE SETEMBRO (01/09 A 15/09)</v>
      </c>
      <c r="H1068" s="86" t="str">
        <f>IF(A1068="","",IF(INDEX(EXTRATO!$F$2:$F$3000,MATCH($A1068,EXTRATO!$A$2:$A$3000,0))="","",INDEX(EXTRATO!$F$2:$F$3000,MATCH($A1068,EXTRATO!$A$2:$A$3000,0))))</f>
        <v>SAÍDA</v>
      </c>
      <c r="I1068" s="88" t="str">
        <f>IF(A1068="","",IF(INDEX(EXTRATO!$H$2:$H$3000,MATCH($A1068,EXTRATO!$A$2:$A$3000,0))="","",INDEX(EXTRATO!$H$2:$H$3000,MATCH($A1068,EXTRATO!$A$2:$A$3000,0))))</f>
        <v>WILSON DE FREITAS SORIANO</v>
      </c>
      <c r="J1068" s="86" t="str">
        <f t="shared" ref="J1068:J1131" si="21">IF(A1068="","",IF(K1068="OK","MANUAL","PENDENTE"))</f>
        <v>PENDENTE</v>
      </c>
      <c r="K1068" s="86" t="str">
        <f>IF(AND(A1068="",D1068="",E1068="",F1068=""),"",IF(D1068="","SEM CATEGORIA",IF(E1068="","SEM SUBCATEGORIA",IF(COUNTIFS(CADASTROS!$L$7:$L$93,D1068,CADASTROS!$D$7:$D$93,E1068)=0,"INCOMPATÍVEL","OK"))))</f>
        <v>SEM CATEGORIA</v>
      </c>
    </row>
    <row r="1069" spans="1:11" ht="30" customHeight="1" x14ac:dyDescent="0.25">
      <c r="A1069" s="86" t="str">
        <f>IF(COUNTIF(EXTRATO!$A$2:$A$3000,"BAN-00926")=0,"","BAN-00926")</f>
        <v>BAN-00926</v>
      </c>
      <c r="B1069" s="85">
        <f>IF(A1069="","",IF(INDEX(EXTRATO!$C$2:$C$3000,MATCH($A1069,EXTRATO!$A$2:$A$3000,0))="","",INDEX(EXTRATO!$C$2:$C$3000,MATCH($A1069,EXTRATO!$A$2:$A$3000,0))))</f>
        <v>46283</v>
      </c>
      <c r="C1069" s="86">
        <f t="shared" si="20"/>
        <v>9</v>
      </c>
      <c r="D1069" s="81"/>
      <c r="E1069" s="79"/>
      <c r="F1069" s="80">
        <f>IF(A1069="","",SUMIF(EXTRATO!$A$2:$A$3000,$A1069,EXTRATO!$J$2:$J$3000)+SUMIF(EXTRATO!$A$2:$A$3000,$A1069,EXTRATO!$K$2:$K$3000)+SUMIF(EXTRATO!$A$2:$A$3000,$A1069,EXTRATO!$L$2:$L$3000)+SUMIF(EXTRATO!$A$2:$A$3000,$A1069,EXTRATO!$M$2:$M$3000))</f>
        <v>38477.160000000003</v>
      </c>
      <c r="G1069" s="81" t="str">
        <f>IF(A1069="","",IF(INDEX(EXTRATO!$G$2:$G$3000,MATCH($A1069,EXTRATO!$A$2:$A$3000,0))="","",INDEX(EXTRATO!$G$2:$G$3000,MATCH($A1069,EXTRATO!$A$2:$A$3000,0))))</f>
        <v>ORDEM BANCÁRIA (REF. PISO SALARIAL ENFERMAGEM - COMP. AGO/26)</v>
      </c>
      <c r="H1069" s="86" t="str">
        <f>IF(A1069="","",IF(INDEX(EXTRATO!$F$2:$F$3000,MATCH($A1069,EXTRATO!$A$2:$A$3000,0))="","",INDEX(EXTRATO!$F$2:$F$3000,MATCH($A1069,EXTRATO!$A$2:$A$3000,0))))</f>
        <v>ENTRADA</v>
      </c>
      <c r="I1069" s="88" t="str">
        <f>IF(A1069="","",IF(INDEX(EXTRATO!$H$2:$H$3000,MATCH($A1069,EXTRATO!$A$2:$A$3000,0))="","",INDEX(EXTRATO!$H$2:$H$3000,MATCH($A1069,EXTRATO!$A$2:$A$3000,0))))</f>
        <v>PISO DE ENFERMAGEM</v>
      </c>
      <c r="J1069" s="86" t="str">
        <f t="shared" si="21"/>
        <v>PENDENTE</v>
      </c>
      <c r="K1069" s="86" t="str">
        <f>IF(AND(A1069="",D1069="",E1069="",F1069=""),"",IF(D1069="","SEM CATEGORIA",IF(E1069="","SEM SUBCATEGORIA",IF(COUNTIFS(CADASTROS!$L$7:$L$93,D1069,CADASTROS!$D$7:$D$93,E1069)=0,"INCOMPATÍVEL","OK"))))</f>
        <v>SEM CATEGORIA</v>
      </c>
    </row>
    <row r="1070" spans="1:11" ht="30" customHeight="1" x14ac:dyDescent="0.25">
      <c r="A1070" s="86" t="str">
        <f>IF(COUNTIF(EXTRATO!$A$2:$A$3000,"BAN-00927")=0,"","BAN-00927")</f>
        <v>BAN-00927</v>
      </c>
      <c r="B1070" s="85">
        <f>IF(A1070="","",IF(INDEX(EXTRATO!$C$2:$C$3000,MATCH($A1070,EXTRATO!$A$2:$A$3000,0))="","",INDEX(EXTRATO!$C$2:$C$3000,MATCH($A1070,EXTRATO!$A$2:$A$3000,0))))</f>
        <v>46283</v>
      </c>
      <c r="C1070" s="86">
        <f t="shared" si="20"/>
        <v>9</v>
      </c>
      <c r="D1070" s="81"/>
      <c r="E1070" s="79"/>
      <c r="F1070" s="80">
        <f>IF(A1070="","",SUMIF(EXTRATO!$A$2:$A$3000,$A1070,EXTRATO!$J$2:$J$3000)+SUMIF(EXTRATO!$A$2:$A$3000,$A1070,EXTRATO!$K$2:$K$3000)+SUMIF(EXTRATO!$A$2:$A$3000,$A1070,EXTRATO!$L$2:$L$3000)+SUMIF(EXTRATO!$A$2:$A$3000,$A1070,EXTRATO!$M$2:$M$3000))</f>
        <v>3085.42</v>
      </c>
      <c r="G1070" s="81" t="str">
        <f>IF(A1070="","",IF(INDEX(EXTRATO!$G$2:$G$3000,MATCH($A1070,EXTRATO!$A$2:$A$3000,0))="","",INDEX(EXTRATO!$G$2:$G$3000,MATCH($A1070,EXTRATO!$A$2:$A$3000,0))))</f>
        <v>RESCISÃO DE CONTRATO (REF. RONALDO ALVES TEIXEIRA)</v>
      </c>
      <c r="H1070" s="86" t="str">
        <f>IF(A1070="","",IF(INDEX(EXTRATO!$F$2:$F$3000,MATCH($A1070,EXTRATO!$A$2:$A$3000,0))="","",INDEX(EXTRATO!$F$2:$F$3000,MATCH($A1070,EXTRATO!$A$2:$A$3000,0))))</f>
        <v>SAÍDA</v>
      </c>
      <c r="I1070" s="88" t="str">
        <f>IF(A1070="","",IF(INDEX(EXTRATO!$H$2:$H$3000,MATCH($A1070,EXTRATO!$A$2:$A$3000,0))="","",INDEX(EXTRATO!$H$2:$H$3000,MATCH($A1070,EXTRATO!$A$2:$A$3000,0))))</f>
        <v>RESCISÃO DE CONTRATO</v>
      </c>
      <c r="J1070" s="86" t="str">
        <f t="shared" si="21"/>
        <v>PENDENTE</v>
      </c>
      <c r="K1070" s="86" t="str">
        <f>IF(AND(A1070="",D1070="",E1070="",F1070=""),"",IF(D1070="","SEM CATEGORIA",IF(E1070="","SEM SUBCATEGORIA",IF(COUNTIFS(CADASTROS!$L$7:$L$93,D1070,CADASTROS!$D$7:$D$93,E1070)=0,"INCOMPATÍVEL","OK"))))</f>
        <v>SEM CATEGORIA</v>
      </c>
    </row>
    <row r="1071" spans="1:11" ht="30" customHeight="1" x14ac:dyDescent="0.25">
      <c r="A1071" s="86" t="str">
        <f>IF(COUNTIF(EXTRATO!$A$2:$A$3000,"BAN-00928")=0,"","BAN-00928")</f>
        <v>BAN-00928</v>
      </c>
      <c r="B1071" s="85">
        <f>IF(A1071="","",IF(INDEX(EXTRATO!$C$2:$C$3000,MATCH($A1071,EXTRATO!$A$2:$A$3000,0))="","",INDEX(EXTRATO!$C$2:$C$3000,MATCH($A1071,EXTRATO!$A$2:$A$3000,0))))</f>
        <v>46283</v>
      </c>
      <c r="C1071" s="86">
        <f t="shared" si="20"/>
        <v>9</v>
      </c>
      <c r="D1071" s="81"/>
      <c r="E1071" s="79"/>
      <c r="F1071" s="80">
        <f>IF(A1071="","",SUMIF(EXTRATO!$A$2:$A$3000,$A1071,EXTRATO!$J$2:$J$3000)+SUMIF(EXTRATO!$A$2:$A$3000,$A1071,EXTRATO!$K$2:$K$3000)+SUMIF(EXTRATO!$A$2:$A$3000,$A1071,EXTRATO!$L$2:$L$3000)+SUMIF(EXTRATO!$A$2:$A$3000,$A1071,EXTRATO!$M$2:$M$3000))</f>
        <v>38477.160000000003</v>
      </c>
      <c r="G1071" s="81" t="str">
        <f>IF(A1071="","",IF(INDEX(EXTRATO!$G$2:$G$3000,MATCH($A1071,EXTRATO!$A$2:$A$3000,0))="","",INDEX(EXTRATO!$G$2:$G$3000,MATCH($A1071,EXTRATO!$A$2:$A$3000,0))))</f>
        <v>FOLHA DE PAGAMENTO (REF. PISO SALARIAL ENFERMAGEM - COMP. JUL/26)</v>
      </c>
      <c r="H1071" s="86" t="str">
        <f>IF(A1071="","",IF(INDEX(EXTRATO!$F$2:$F$3000,MATCH($A1071,EXTRATO!$A$2:$A$3000,0))="","",INDEX(EXTRATO!$F$2:$F$3000,MATCH($A1071,EXTRATO!$A$2:$A$3000,0))))</f>
        <v>SAÍDA</v>
      </c>
      <c r="I1071" s="88" t="str">
        <f>IF(A1071="","",IF(INDEX(EXTRATO!$H$2:$H$3000,MATCH($A1071,EXTRATO!$A$2:$A$3000,0))="","",INDEX(EXTRATO!$H$2:$H$3000,MATCH($A1071,EXTRATO!$A$2:$A$3000,0))))</f>
        <v>FOLHA DE PAGAMENTO - PISO</v>
      </c>
      <c r="J1071" s="86" t="str">
        <f t="shared" si="21"/>
        <v>PENDENTE</v>
      </c>
      <c r="K1071" s="86" t="str">
        <f>IF(AND(A1071="",D1071="",E1071="",F1071=""),"",IF(D1071="","SEM CATEGORIA",IF(E1071="","SEM SUBCATEGORIA",IF(COUNTIFS(CADASTROS!$L$7:$L$93,D1071,CADASTROS!$D$7:$D$93,E1071)=0,"INCOMPATÍVEL","OK"))))</f>
        <v>SEM CATEGORIA</v>
      </c>
    </row>
    <row r="1072" spans="1:11" ht="30" customHeight="1" x14ac:dyDescent="0.25">
      <c r="A1072" s="86" t="str">
        <f>IF(COUNTIF(EXTRATO!$A$2:$A$3000,"BAN-00929")=0,"","BAN-00929")</f>
        <v>BAN-00929</v>
      </c>
      <c r="B1072" s="85">
        <f>IF(A1072="","",IF(INDEX(EXTRATO!$C$2:$C$3000,MATCH($A1072,EXTRATO!$A$2:$A$3000,0))="","",INDEX(EXTRATO!$C$2:$C$3000,MATCH($A1072,EXTRATO!$A$2:$A$3000,0))))</f>
        <v>46283</v>
      </c>
      <c r="C1072" s="86">
        <f t="shared" si="20"/>
        <v>9</v>
      </c>
      <c r="D1072" s="81"/>
      <c r="E1072" s="79"/>
      <c r="F1072" s="80">
        <f>IF(A1072="","",SUMIF(EXTRATO!$A$2:$A$3000,$A1072,EXTRATO!$J$2:$J$3000)+SUMIF(EXTRATO!$A$2:$A$3000,$A1072,EXTRATO!$K$2:$K$3000)+SUMIF(EXTRATO!$A$2:$A$3000,$A1072,EXTRATO!$L$2:$L$3000)+SUMIF(EXTRATO!$A$2:$A$3000,$A1072,EXTRATO!$M$2:$M$3000))</f>
        <v>8700.0400000000009</v>
      </c>
      <c r="G1072" s="81" t="str">
        <f>IF(A1072="","",IF(INDEX(EXTRATO!$G$2:$G$3000,MATCH($A1072,EXTRATO!$A$2:$A$3000,0))="","",INDEX(EXTRATO!$G$2:$G$3000,MATCH($A1072,EXTRATO!$A$2:$A$3000,0))))</f>
        <v>FGTS (08/2026)</v>
      </c>
      <c r="H1072" s="86" t="str">
        <f>IF(A1072="","",IF(INDEX(EXTRATO!$F$2:$F$3000,MATCH($A1072,EXTRATO!$A$2:$A$3000,0))="","",INDEX(EXTRATO!$F$2:$F$3000,MATCH($A1072,EXTRATO!$A$2:$A$3000,0))))</f>
        <v>SAÍDA</v>
      </c>
      <c r="I1072" s="88" t="str">
        <f>IF(A1072="","",IF(INDEX(EXTRATO!$H$2:$H$3000,MATCH($A1072,EXTRATO!$A$2:$A$3000,0))="","",INDEX(EXTRATO!$H$2:$H$3000,MATCH($A1072,EXTRATO!$A$2:$A$3000,0))))</f>
        <v>FGTS</v>
      </c>
      <c r="J1072" s="86" t="str">
        <f t="shared" si="21"/>
        <v>PENDENTE</v>
      </c>
      <c r="K1072" s="86" t="str">
        <f>IF(AND(A1072="",D1072="",E1072="",F1072=""),"",IF(D1072="","SEM CATEGORIA",IF(E1072="","SEM SUBCATEGORIA",IF(COUNTIFS(CADASTROS!$L$7:$L$93,D1072,CADASTROS!$D$7:$D$93,E1072)=0,"INCOMPATÍVEL","OK"))))</f>
        <v>SEM CATEGORIA</v>
      </c>
    </row>
    <row r="1073" spans="1:11" ht="30" customHeight="1" x14ac:dyDescent="0.25">
      <c r="A1073" s="86" t="str">
        <f>IF(COUNTIF(EXTRATO!$A$2:$A$3000,"BAN-00930")=0,"","BAN-00930")</f>
        <v>BAN-00930</v>
      </c>
      <c r="B1073" s="85">
        <f>IF(A1073="","",IF(INDEX(EXTRATO!$C$2:$C$3000,MATCH($A1073,EXTRATO!$A$2:$A$3000,0))="","",INDEX(EXTRATO!$C$2:$C$3000,MATCH($A1073,EXTRATO!$A$2:$A$3000,0))))</f>
        <v>46283</v>
      </c>
      <c r="C1073" s="86">
        <f t="shared" si="20"/>
        <v>9</v>
      </c>
      <c r="D1073" s="81"/>
      <c r="E1073" s="79"/>
      <c r="F1073" s="80">
        <f>IF(A1073="","",SUMIF(EXTRATO!$A$2:$A$3000,$A1073,EXTRATO!$J$2:$J$3000)+SUMIF(EXTRATO!$A$2:$A$3000,$A1073,EXTRATO!$K$2:$K$3000)+SUMIF(EXTRATO!$A$2:$A$3000,$A1073,EXTRATO!$L$2:$L$3000)+SUMIF(EXTRATO!$A$2:$A$3000,$A1073,EXTRATO!$M$2:$M$3000))</f>
        <v>25131.200000000001</v>
      </c>
      <c r="G1073" s="81" t="str">
        <f>IF(A1073="","",IF(INDEX(EXTRATO!$G$2:$G$3000,MATCH($A1073,EXTRATO!$A$2:$A$3000,0))="","",INDEX(EXTRATO!$G$2:$G$3000,MATCH($A1073,EXTRATO!$A$2:$A$3000,0))))</f>
        <v>INSS (08/2026)</v>
      </c>
      <c r="H1073" s="86" t="str">
        <f>IF(A1073="","",IF(INDEX(EXTRATO!$F$2:$F$3000,MATCH($A1073,EXTRATO!$A$2:$A$3000,0))="","",INDEX(EXTRATO!$F$2:$F$3000,MATCH($A1073,EXTRATO!$A$2:$A$3000,0))))</f>
        <v>SAÍDA</v>
      </c>
      <c r="I1073" s="88" t="str">
        <f>IF(A1073="","",IF(INDEX(EXTRATO!$H$2:$H$3000,MATCH($A1073,EXTRATO!$A$2:$A$3000,0))="","",INDEX(EXTRATO!$H$2:$H$3000,MATCH($A1073,EXTRATO!$A$2:$A$3000,0))))</f>
        <v>INSS</v>
      </c>
      <c r="J1073" s="86" t="str">
        <f t="shared" si="21"/>
        <v>PENDENTE</v>
      </c>
      <c r="K1073" s="86" t="str">
        <f>IF(AND(A1073="",D1073="",E1073="",F1073=""),"",IF(D1073="","SEM CATEGORIA",IF(E1073="","SEM SUBCATEGORIA",IF(COUNTIFS(CADASTROS!$L$7:$L$93,D1073,CADASTROS!$D$7:$D$93,E1073)=0,"INCOMPATÍVEL","OK"))))</f>
        <v>SEM CATEGORIA</v>
      </c>
    </row>
    <row r="1074" spans="1:11" ht="30" customHeight="1" x14ac:dyDescent="0.25">
      <c r="A1074" s="86" t="str">
        <f>IF(COUNTIF(EXTRATO!$A$2:$A$3000,"BAN-00931")=0,"","BAN-00931")</f>
        <v>BAN-00931</v>
      </c>
      <c r="B1074" s="85">
        <f>IF(A1074="","",IF(INDEX(EXTRATO!$C$2:$C$3000,MATCH($A1074,EXTRATO!$A$2:$A$3000,0))="","",INDEX(EXTRATO!$C$2:$C$3000,MATCH($A1074,EXTRATO!$A$2:$A$3000,0))))</f>
        <v>46283</v>
      </c>
      <c r="C1074" s="86">
        <f t="shared" si="20"/>
        <v>9</v>
      </c>
      <c r="D1074" s="81"/>
      <c r="E1074" s="79"/>
      <c r="F1074" s="80">
        <f>IF(A1074="","",SUMIF(EXTRATO!$A$2:$A$3000,$A1074,EXTRATO!$J$2:$J$3000)+SUMIF(EXTRATO!$A$2:$A$3000,$A1074,EXTRATO!$K$2:$K$3000)+SUMIF(EXTRATO!$A$2:$A$3000,$A1074,EXTRATO!$L$2:$L$3000)+SUMIF(EXTRATO!$A$2:$A$3000,$A1074,EXTRATO!$M$2:$M$3000))</f>
        <v>57.77</v>
      </c>
      <c r="G1074" s="81" t="str">
        <f>IF(A1074="","",IF(INDEX(EXTRATO!$G$2:$G$3000,MATCH($A1074,EXTRATO!$A$2:$A$3000,0))="","",INDEX(EXTRATO!$G$2:$G$3000,MATCH($A1074,EXTRATO!$A$2:$A$3000,0))))</f>
        <v>DARF - RETENÇÕES (PIS/COFINS/CSLL)</v>
      </c>
      <c r="H1074" s="86" t="str">
        <f>IF(A1074="","",IF(INDEX(EXTRATO!$F$2:$F$3000,MATCH($A1074,EXTRATO!$A$2:$A$3000,0))="","",INDEX(EXTRATO!$F$2:$F$3000,MATCH($A1074,EXTRATO!$A$2:$A$3000,0))))</f>
        <v>SAÍDA</v>
      </c>
      <c r="I1074" s="88" t="str">
        <f>IF(A1074="","",IF(INDEX(EXTRATO!$H$2:$H$3000,MATCH($A1074,EXTRATO!$A$2:$A$3000,0))="","",INDEX(EXTRATO!$H$2:$H$3000,MATCH($A1074,EXTRATO!$A$2:$A$3000,0))))</f>
        <v>TRIBUTOS FEDEREIAS MENSAIS</v>
      </c>
      <c r="J1074" s="86" t="str">
        <f t="shared" si="21"/>
        <v>PENDENTE</v>
      </c>
      <c r="K1074" s="86" t="str">
        <f>IF(AND(A1074="",D1074="",E1074="",F1074=""),"",IF(D1074="","SEM CATEGORIA",IF(E1074="","SEM SUBCATEGORIA",IF(COUNTIFS(CADASTROS!$L$7:$L$93,D1074,CADASTROS!$D$7:$D$93,E1074)=0,"INCOMPATÍVEL","OK"))))</f>
        <v>SEM CATEGORIA</v>
      </c>
    </row>
    <row r="1075" spans="1:11" ht="30" customHeight="1" x14ac:dyDescent="0.25">
      <c r="A1075" s="86" t="str">
        <f>IF(COUNTIF(EXTRATO!$A$2:$A$3000,"BAN-00932")=0,"","BAN-00932")</f>
        <v>BAN-00932</v>
      </c>
      <c r="B1075" s="85">
        <f>IF(A1075="","",IF(INDEX(EXTRATO!$C$2:$C$3000,MATCH($A1075,EXTRATO!$A$2:$A$3000,0))="","",INDEX(EXTRATO!$C$2:$C$3000,MATCH($A1075,EXTRATO!$A$2:$A$3000,0))))</f>
        <v>46283</v>
      </c>
      <c r="C1075" s="86">
        <f t="shared" si="20"/>
        <v>9</v>
      </c>
      <c r="D1075" s="81"/>
      <c r="E1075" s="79"/>
      <c r="F1075" s="80">
        <f>IF(A1075="","",SUMIF(EXTRATO!$A$2:$A$3000,$A1075,EXTRATO!$J$2:$J$3000)+SUMIF(EXTRATO!$A$2:$A$3000,$A1075,EXTRATO!$K$2:$K$3000)+SUMIF(EXTRATO!$A$2:$A$3000,$A1075,EXTRATO!$L$2:$L$3000)+SUMIF(EXTRATO!$A$2:$A$3000,$A1075,EXTRATO!$M$2:$M$3000))</f>
        <v>18.64</v>
      </c>
      <c r="G1075" s="81" t="str">
        <f>IF(A1075="","",IF(INDEX(EXTRATO!$G$2:$G$3000,MATCH($A1075,EXTRATO!$A$2:$A$3000,0))="","",INDEX(EXTRATO!$G$2:$G$3000,MATCH($A1075,EXTRATO!$A$2:$A$3000,0))))</f>
        <v>DARF - RETENÇÕES (IRRF)</v>
      </c>
      <c r="H1075" s="86" t="str">
        <f>IF(A1075="","",IF(INDEX(EXTRATO!$F$2:$F$3000,MATCH($A1075,EXTRATO!$A$2:$A$3000,0))="","",INDEX(EXTRATO!$F$2:$F$3000,MATCH($A1075,EXTRATO!$A$2:$A$3000,0))))</f>
        <v>SAÍDA</v>
      </c>
      <c r="I1075" s="88" t="str">
        <f>IF(A1075="","",IF(INDEX(EXTRATO!$H$2:$H$3000,MATCH($A1075,EXTRATO!$A$2:$A$3000,0))="","",INDEX(EXTRATO!$H$2:$H$3000,MATCH($A1075,EXTRATO!$A$2:$A$3000,0))))</f>
        <v>TRIBUTOS FEDEREIAS MENSAIS</v>
      </c>
      <c r="J1075" s="86" t="str">
        <f t="shared" si="21"/>
        <v>PENDENTE</v>
      </c>
      <c r="K1075" s="86" t="str">
        <f>IF(AND(A1075="",D1075="",E1075="",F1075=""),"",IF(D1075="","SEM CATEGORIA",IF(E1075="","SEM SUBCATEGORIA",IF(COUNTIFS(CADASTROS!$L$7:$L$93,D1075,CADASTROS!$D$7:$D$93,E1075)=0,"INCOMPATÍVEL","OK"))))</f>
        <v>SEM CATEGORIA</v>
      </c>
    </row>
    <row r="1076" spans="1:11" ht="30" customHeight="1" x14ac:dyDescent="0.25">
      <c r="A1076" s="86" t="str">
        <f>IF(COUNTIF(EXTRATO!$A$2:$A$3000,"BAN-00933")=0,"","BAN-00933")</f>
        <v>BAN-00933</v>
      </c>
      <c r="B1076" s="85">
        <f>IF(A1076="","",IF(INDEX(EXTRATO!$C$2:$C$3000,MATCH($A1076,EXTRATO!$A$2:$A$3000,0))="","",INDEX(EXTRATO!$C$2:$C$3000,MATCH($A1076,EXTRATO!$A$2:$A$3000,0))))</f>
        <v>46283</v>
      </c>
      <c r="C1076" s="86">
        <f t="shared" si="20"/>
        <v>9</v>
      </c>
      <c r="D1076" s="81"/>
      <c r="E1076" s="79"/>
      <c r="F1076" s="80">
        <f>IF(A1076="","",SUMIF(EXTRATO!$A$2:$A$3000,$A1076,EXTRATO!$J$2:$J$3000)+SUMIF(EXTRATO!$A$2:$A$3000,$A1076,EXTRATO!$K$2:$K$3000)+SUMIF(EXTRATO!$A$2:$A$3000,$A1076,EXTRATO!$L$2:$L$3000)+SUMIF(EXTRATO!$A$2:$A$3000,$A1076,EXTRATO!$M$2:$M$3000))</f>
        <v>560</v>
      </c>
      <c r="G1076" s="81" t="str">
        <f>IF(A1076="","",IF(INDEX(EXTRATO!$G$2:$G$3000,MATCH($A1076,EXTRATO!$A$2:$A$3000,0))="","",INDEX(EXTRATO!$G$2:$G$3000,MATCH($A1076,EXTRATO!$A$2:$A$3000,0))))</f>
        <v>BRANDO &amp; BRANDÃO (REF. SACOS DE LIXO INFECTANTE) 1/1</v>
      </c>
      <c r="H1076" s="86" t="str">
        <f>IF(A1076="","",IF(INDEX(EXTRATO!$F$2:$F$3000,MATCH($A1076,EXTRATO!$A$2:$A$3000,0))="","",INDEX(EXTRATO!$F$2:$F$3000,MATCH($A1076,EXTRATO!$A$2:$A$3000,0))))</f>
        <v>SAÍDA</v>
      </c>
      <c r="I1076" s="88" t="str">
        <f>IF(A1076="","",IF(INDEX(EXTRATO!$H$2:$H$3000,MATCH($A1076,EXTRATO!$A$2:$A$3000,0))="","",INDEX(EXTRATO!$H$2:$H$3000,MATCH($A1076,EXTRATO!$A$2:$A$3000,0))))</f>
        <v>BRANDÃO &amp; BRANDÃO</v>
      </c>
      <c r="J1076" s="86" t="str">
        <f t="shared" si="21"/>
        <v>PENDENTE</v>
      </c>
      <c r="K1076" s="86" t="str">
        <f>IF(AND(A1076="",D1076="",E1076="",F1076=""),"",IF(D1076="","SEM CATEGORIA",IF(E1076="","SEM SUBCATEGORIA",IF(COUNTIFS(CADASTROS!$L$7:$L$93,D1076,CADASTROS!$D$7:$D$93,E1076)=0,"INCOMPATÍVEL","OK"))))</f>
        <v>SEM CATEGORIA</v>
      </c>
    </row>
    <row r="1077" spans="1:11" ht="30" customHeight="1" x14ac:dyDescent="0.25">
      <c r="A1077" s="86" t="str">
        <f>IF(COUNTIF(EXTRATO!$A$2:$A$3000,"BAN-00934")=0,"","BAN-00934")</f>
        <v>BAN-00934</v>
      </c>
      <c r="B1077" s="85">
        <f>IF(A1077="","",IF(INDEX(EXTRATO!$C$2:$C$3000,MATCH($A1077,EXTRATO!$A$2:$A$3000,0))="","",INDEX(EXTRATO!$C$2:$C$3000,MATCH($A1077,EXTRATO!$A$2:$A$3000,0))))</f>
        <v>46283</v>
      </c>
      <c r="C1077" s="86">
        <f t="shared" si="20"/>
        <v>9</v>
      </c>
      <c r="D1077" s="81"/>
      <c r="E1077" s="79"/>
      <c r="F1077" s="80">
        <f>IF(A1077="","",SUMIF(EXTRATO!$A$2:$A$3000,$A1077,EXTRATO!$J$2:$J$3000)+SUMIF(EXTRATO!$A$2:$A$3000,$A1077,EXTRATO!$K$2:$K$3000)+SUMIF(EXTRATO!$A$2:$A$3000,$A1077,EXTRATO!$L$2:$L$3000)+SUMIF(EXTRATO!$A$2:$A$3000,$A1077,EXTRATO!$M$2:$M$3000))</f>
        <v>792</v>
      </c>
      <c r="G1077" s="81" t="str">
        <f>IF(A1077="","",IF(INDEX(EXTRATO!$G$2:$G$3000,MATCH($A1077,EXTRATO!$A$2:$A$3000,0))="","",INDEX(EXTRATO!$G$2:$G$3000,MATCH($A1077,EXTRATO!$A$2:$A$3000,0))))</f>
        <v>ERONLIMP (REF. MATERIAIS DE LIMPEZA) 1/1</v>
      </c>
      <c r="H1077" s="86" t="str">
        <f>IF(A1077="","",IF(INDEX(EXTRATO!$F$2:$F$3000,MATCH($A1077,EXTRATO!$A$2:$A$3000,0))="","",INDEX(EXTRATO!$F$2:$F$3000,MATCH($A1077,EXTRATO!$A$2:$A$3000,0))))</f>
        <v>SAÍDA</v>
      </c>
      <c r="I1077" s="88" t="str">
        <f>IF(A1077="","",IF(INDEX(EXTRATO!$H$2:$H$3000,MATCH($A1077,EXTRATO!$A$2:$A$3000,0))="","",INDEX(EXTRATO!$H$2:$H$3000,MATCH($A1077,EXTRATO!$A$2:$A$3000,0))))</f>
        <v>ERONLIMP</v>
      </c>
      <c r="J1077" s="86" t="str">
        <f t="shared" si="21"/>
        <v>PENDENTE</v>
      </c>
      <c r="K1077" s="86" t="str">
        <f>IF(AND(A1077="",D1077="",E1077="",F1077=""),"",IF(D1077="","SEM CATEGORIA",IF(E1077="","SEM SUBCATEGORIA",IF(COUNTIFS(CADASTROS!$L$7:$L$93,D1077,CADASTROS!$D$7:$D$93,E1077)=0,"INCOMPATÍVEL","OK"))))</f>
        <v>SEM CATEGORIA</v>
      </c>
    </row>
    <row r="1078" spans="1:11" ht="30" customHeight="1" x14ac:dyDescent="0.25">
      <c r="A1078" s="86" t="str">
        <f>IF(COUNTIF(EXTRATO!$A$2:$A$3000,"BAN-00935")=0,"","BAN-00935")</f>
        <v>BAN-00935</v>
      </c>
      <c r="B1078" s="85">
        <f>IF(A1078="","",IF(INDEX(EXTRATO!$C$2:$C$3000,MATCH($A1078,EXTRATO!$A$2:$A$3000,0))="","",INDEX(EXTRATO!$C$2:$C$3000,MATCH($A1078,EXTRATO!$A$2:$A$3000,0))))</f>
        <v>46283</v>
      </c>
      <c r="C1078" s="86">
        <f t="shared" si="20"/>
        <v>9</v>
      </c>
      <c r="D1078" s="81"/>
      <c r="E1078" s="79"/>
      <c r="F1078" s="80">
        <f>IF(A1078="","",SUMIF(EXTRATO!$A$2:$A$3000,$A1078,EXTRATO!$J$2:$J$3000)+SUMIF(EXTRATO!$A$2:$A$3000,$A1078,EXTRATO!$K$2:$K$3000)+SUMIF(EXTRATO!$A$2:$A$3000,$A1078,EXTRATO!$L$2:$L$3000)+SUMIF(EXTRATO!$A$2:$A$3000,$A1078,EXTRATO!$M$2:$M$3000))</f>
        <v>299.8</v>
      </c>
      <c r="G1078" s="81" t="str">
        <f>IF(A1078="","",IF(INDEX(EXTRATO!$G$2:$G$3000,MATCH($A1078,EXTRATO!$A$2:$A$3000,0))="","",INDEX(EXTRATO!$G$2:$G$3000,MATCH($A1078,EXTRATO!$A$2:$A$3000,0))))</f>
        <v>A. A . DE L. DA SILVA - SOS EXTINTORES (REF. RECARGA DE EXTINTOR, FITA DE DERMARCAÇÃO E PINTURA DE DEMARCAÇÃO)</v>
      </c>
      <c r="H1078" s="86" t="str">
        <f>IF(A1078="","",IF(INDEX(EXTRATO!$F$2:$F$3000,MATCH($A1078,EXTRATO!$A$2:$A$3000,0))="","",INDEX(EXTRATO!$F$2:$F$3000,MATCH($A1078,EXTRATO!$A$2:$A$3000,0))))</f>
        <v>SAÍDA</v>
      </c>
      <c r="I1078" s="88" t="str">
        <f>IF(A1078="","",IF(INDEX(EXTRATO!$H$2:$H$3000,MATCH($A1078,EXTRATO!$A$2:$A$3000,0))="","",INDEX(EXTRATO!$H$2:$H$3000,MATCH($A1078,EXTRATO!$A$2:$A$3000,0))))</f>
        <v>A. A . DE L. DA SILVA</v>
      </c>
      <c r="J1078" s="86" t="str">
        <f t="shared" si="21"/>
        <v>PENDENTE</v>
      </c>
      <c r="K1078" s="86" t="str">
        <f>IF(AND(A1078="",D1078="",E1078="",F1078=""),"",IF(D1078="","SEM CATEGORIA",IF(E1078="","SEM SUBCATEGORIA",IF(COUNTIFS(CADASTROS!$L$7:$L$93,D1078,CADASTROS!$D$7:$D$93,E1078)=0,"INCOMPATÍVEL","OK"))))</f>
        <v>SEM CATEGORIA</v>
      </c>
    </row>
    <row r="1079" spans="1:11" ht="30" customHeight="1" x14ac:dyDescent="0.25">
      <c r="A1079" s="86" t="str">
        <f>IF(COUNTIF(EXTRATO!$A$2:$A$3000,"BAN-00936")=0,"","BAN-00936")</f>
        <v>BAN-00936</v>
      </c>
      <c r="B1079" s="85">
        <f>IF(A1079="","",IF(INDEX(EXTRATO!$C$2:$C$3000,MATCH($A1079,EXTRATO!$A$2:$A$3000,0))="","",INDEX(EXTRATO!$C$2:$C$3000,MATCH($A1079,EXTRATO!$A$2:$A$3000,0))))</f>
        <v>46283</v>
      </c>
      <c r="C1079" s="86">
        <f t="shared" si="20"/>
        <v>9</v>
      </c>
      <c r="D1079" s="81"/>
      <c r="E1079" s="79"/>
      <c r="F1079" s="80">
        <f>IF(A1079="","",SUMIF(EXTRATO!$A$2:$A$3000,$A1079,EXTRATO!$J$2:$J$3000)+SUMIF(EXTRATO!$A$2:$A$3000,$A1079,EXTRATO!$K$2:$K$3000)+SUMIF(EXTRATO!$A$2:$A$3000,$A1079,EXTRATO!$L$2:$L$3000)+SUMIF(EXTRATO!$A$2:$A$3000,$A1079,EXTRATO!$M$2:$M$3000))</f>
        <v>180</v>
      </c>
      <c r="G1079" s="81" t="str">
        <f>IF(A1079="","",IF(INDEX(EXTRATO!$G$2:$G$3000,MATCH($A1079,EXTRATO!$A$2:$A$3000,0))="","",INDEX(EXTRATO!$G$2:$G$3000,MATCH($A1079,EXTRATO!$A$2:$A$3000,0))))</f>
        <v>MANOEL FAGNER DA CONCEIÇÃO (REF. REPARO DA CERCA ELÉTRICA)</v>
      </c>
      <c r="H1079" s="86" t="str">
        <f>IF(A1079="","",IF(INDEX(EXTRATO!$F$2:$F$3000,MATCH($A1079,EXTRATO!$A$2:$A$3000,0))="","",INDEX(EXTRATO!$F$2:$F$3000,MATCH($A1079,EXTRATO!$A$2:$A$3000,0))))</f>
        <v>SAÍDA</v>
      </c>
      <c r="I1079" s="88" t="str">
        <f>IF(A1079="","",IF(INDEX(EXTRATO!$H$2:$H$3000,MATCH($A1079,EXTRATO!$A$2:$A$3000,0))="","",INDEX(EXTRATO!$H$2:$H$3000,MATCH($A1079,EXTRATO!$A$2:$A$3000,0))))</f>
        <v>MANOEL FAGNER DA CONCEIÇÃO</v>
      </c>
      <c r="J1079" s="86" t="str">
        <f t="shared" si="21"/>
        <v>PENDENTE</v>
      </c>
      <c r="K1079" s="86" t="str">
        <f>IF(AND(A1079="",D1079="",E1079="",F1079=""),"",IF(D1079="","SEM CATEGORIA",IF(E1079="","SEM SUBCATEGORIA",IF(COUNTIFS(CADASTROS!$L$7:$L$93,D1079,CADASTROS!$D$7:$D$93,E1079)=0,"INCOMPATÍVEL","OK"))))</f>
        <v>SEM CATEGORIA</v>
      </c>
    </row>
    <row r="1080" spans="1:11" ht="30" customHeight="1" x14ac:dyDescent="0.25">
      <c r="A1080" s="86" t="str">
        <f>IF(COUNTIF(EXTRATO!$A$2:$A$3000,"BAN-00937")=0,"","BAN-00937")</f>
        <v>BAN-00937</v>
      </c>
      <c r="B1080" s="85">
        <f>IF(A1080="","",IF(INDEX(EXTRATO!$C$2:$C$3000,MATCH($A1080,EXTRATO!$A$2:$A$3000,0))="","",INDEX(EXTRATO!$C$2:$C$3000,MATCH($A1080,EXTRATO!$A$2:$A$3000,0))))</f>
        <v>46283</v>
      </c>
      <c r="C1080" s="86">
        <f t="shared" si="20"/>
        <v>9</v>
      </c>
      <c r="D1080" s="81"/>
      <c r="E1080" s="79"/>
      <c r="F1080" s="80">
        <f>IF(A1080="","",SUMIF(EXTRATO!$A$2:$A$3000,$A1080,EXTRATO!$J$2:$J$3000)+SUMIF(EXTRATO!$A$2:$A$3000,$A1080,EXTRATO!$K$2:$K$3000)+SUMIF(EXTRATO!$A$2:$A$3000,$A1080,EXTRATO!$L$2:$L$3000)+SUMIF(EXTRATO!$A$2:$A$3000,$A1080,EXTRATO!$M$2:$M$3000))</f>
        <v>2125.0700000000002</v>
      </c>
      <c r="G1080" s="81" t="str">
        <f>IF(A1080="","",IF(INDEX(EXTRATO!$G$2:$G$3000,MATCH($A1080,EXTRATO!$A$2:$A$3000,0))="","",INDEX(EXTRATO!$G$2:$G$3000,MATCH($A1080,EXTRATO!$A$2:$A$3000,0))))</f>
        <v>FGTS RESCISÓRIO - RONALDO ALVES TEXEIRA (COMPETÊNCIA 09/2026)</v>
      </c>
      <c r="H1080" s="86" t="str">
        <f>IF(A1080="","",IF(INDEX(EXTRATO!$F$2:$F$3000,MATCH($A1080,EXTRATO!$A$2:$A$3000,0))="","",INDEX(EXTRATO!$F$2:$F$3000,MATCH($A1080,EXTRATO!$A$2:$A$3000,0))))</f>
        <v>SAÍDA</v>
      </c>
      <c r="I1080" s="88" t="str">
        <f>IF(A1080="","",IF(INDEX(EXTRATO!$H$2:$H$3000,MATCH($A1080,EXTRATO!$A$2:$A$3000,0))="","",INDEX(EXTRATO!$H$2:$H$3000,MATCH($A1080,EXTRATO!$A$2:$A$3000,0))))</f>
        <v>FGTS RESCISÓRIO</v>
      </c>
      <c r="J1080" s="86" t="str">
        <f t="shared" si="21"/>
        <v>PENDENTE</v>
      </c>
      <c r="K1080" s="86" t="str">
        <f>IF(AND(A1080="",D1080="",E1080="",F1080=""),"",IF(D1080="","SEM CATEGORIA",IF(E1080="","SEM SUBCATEGORIA",IF(COUNTIFS(CADASTROS!$L$7:$L$93,D1080,CADASTROS!$D$7:$D$93,E1080)=0,"INCOMPATÍVEL","OK"))))</f>
        <v>SEM CATEGORIA</v>
      </c>
    </row>
    <row r="1081" spans="1:11" ht="30" customHeight="1" x14ac:dyDescent="0.25">
      <c r="A1081" s="86" t="str">
        <f>IF(COUNTIF(EXTRATO!$A$2:$A$3000,"BAN-00938")=0,"","BAN-00938")</f>
        <v>BAN-00938</v>
      </c>
      <c r="B1081" s="85">
        <f>IF(A1081="","",IF(INDEX(EXTRATO!$C$2:$C$3000,MATCH($A1081,EXTRATO!$A$2:$A$3000,0))="","",INDEX(EXTRATO!$C$2:$C$3000,MATCH($A1081,EXTRATO!$A$2:$A$3000,0))))</f>
        <v>46283</v>
      </c>
      <c r="C1081" s="86">
        <f t="shared" si="20"/>
        <v>9</v>
      </c>
      <c r="D1081" s="81"/>
      <c r="E1081" s="79"/>
      <c r="F1081" s="80">
        <f>IF(A1081="","",SUMIF(EXTRATO!$A$2:$A$3000,$A1081,EXTRATO!$J$2:$J$3000)+SUMIF(EXTRATO!$A$2:$A$3000,$A1081,EXTRATO!$K$2:$K$3000)+SUMIF(EXTRATO!$A$2:$A$3000,$A1081,EXTRATO!$L$2:$L$3000)+SUMIF(EXTRATO!$A$2:$A$3000,$A1081,EXTRATO!$M$2:$M$3000))</f>
        <v>41.63</v>
      </c>
      <c r="G1081" s="81" t="str">
        <f>IF(A1081="","",IF(INDEX(EXTRATO!$G$2:$G$3000,MATCH($A1081,EXTRATO!$A$2:$A$3000,0))="","",INDEX(EXTRATO!$G$2:$G$3000,MATCH($A1081,EXTRATO!$A$2:$A$3000,0))))</f>
        <v>TARIFA BANCÁRIA (SALÁRIO CRÉD. CONTA)</v>
      </c>
      <c r="H1081" s="86" t="str">
        <f>IF(A1081="","",IF(INDEX(EXTRATO!$F$2:$F$3000,MATCH($A1081,EXTRATO!$A$2:$A$3000,0))="","",INDEX(EXTRATO!$F$2:$F$3000,MATCH($A1081,EXTRATO!$A$2:$A$3000,0))))</f>
        <v>SAÍDA</v>
      </c>
      <c r="I1081" s="88" t="str">
        <f>IF(A1081="","",IF(INDEX(EXTRATO!$H$2:$H$3000,MATCH($A1081,EXTRATO!$A$2:$A$3000,0))="","",INDEX(EXTRATO!$H$2:$H$3000,MATCH($A1081,EXTRATO!$A$2:$A$3000,0))))</f>
        <v>TARIFA BANCÁRIA</v>
      </c>
      <c r="J1081" s="86" t="str">
        <f t="shared" si="21"/>
        <v>PENDENTE</v>
      </c>
      <c r="K1081" s="86" t="str">
        <f>IF(AND(A1081="",D1081="",E1081="",F1081=""),"",IF(D1081="","SEM CATEGORIA",IF(E1081="","SEM SUBCATEGORIA",IF(COUNTIFS(CADASTROS!$L$7:$L$93,D1081,CADASTROS!$D$7:$D$93,E1081)=0,"INCOMPATÍVEL","OK"))))</f>
        <v>SEM CATEGORIA</v>
      </c>
    </row>
    <row r="1082" spans="1:11" ht="30" customHeight="1" x14ac:dyDescent="0.25">
      <c r="A1082" s="86" t="str">
        <f>IF(COUNTIF(EXTRATO!$A$2:$A$3000,"BAN-00939")=0,"","BAN-00939")</f>
        <v>BAN-00939</v>
      </c>
      <c r="B1082" s="85">
        <f>IF(A1082="","",IF(INDEX(EXTRATO!$C$2:$C$3000,MATCH($A1082,EXTRATO!$A$2:$A$3000,0))="","",INDEX(EXTRATO!$C$2:$C$3000,MATCH($A1082,EXTRATO!$A$2:$A$3000,0))))</f>
        <v>46283</v>
      </c>
      <c r="C1082" s="86">
        <f t="shared" si="20"/>
        <v>9</v>
      </c>
      <c r="D1082" s="81"/>
      <c r="E1082" s="79"/>
      <c r="F1082" s="80">
        <f>IF(A1082="","",SUMIF(EXTRATO!$A$2:$A$3000,$A1082,EXTRATO!$J$2:$J$3000)+SUMIF(EXTRATO!$A$2:$A$3000,$A1082,EXTRATO!$K$2:$K$3000)+SUMIF(EXTRATO!$A$2:$A$3000,$A1082,EXTRATO!$L$2:$L$3000)+SUMIF(EXTRATO!$A$2:$A$3000,$A1082,EXTRATO!$M$2:$M$3000))</f>
        <v>2175</v>
      </c>
      <c r="G1082" s="81" t="str">
        <f>IF(A1082="","",IF(INDEX(EXTRATO!$G$2:$G$3000,MATCH($A1082,EXTRATO!$A$2:$A$3000,0))="","",INDEX(EXTRATO!$G$2:$G$3000,MATCH($A1082,EXTRATO!$A$2:$A$3000,0))))</f>
        <v>CHEQUE COMPENSADO (REF. 150 SACOS DE SAL DE 25KG PARA OSMOSE)</v>
      </c>
      <c r="H1082" s="86" t="str">
        <f>IF(A1082="","",IF(INDEX(EXTRATO!$F$2:$F$3000,MATCH($A1082,EXTRATO!$A$2:$A$3000,0))="","",INDEX(EXTRATO!$F$2:$F$3000,MATCH($A1082,EXTRATO!$A$2:$A$3000,0))))</f>
        <v>SAÍDA</v>
      </c>
      <c r="I1082" s="88" t="str">
        <f>IF(A1082="","",IF(INDEX(EXTRATO!$H$2:$H$3000,MATCH($A1082,EXTRATO!$A$2:$A$3000,0))="","",INDEX(EXTRATO!$H$2:$H$3000,MATCH($A1082,EXTRATO!$A$2:$A$3000,0))))</f>
        <v>JADSON SAL</v>
      </c>
      <c r="J1082" s="86" t="str">
        <f t="shared" si="21"/>
        <v>PENDENTE</v>
      </c>
      <c r="K1082" s="86" t="str">
        <f>IF(AND(A1082="",D1082="",E1082="",F1082=""),"",IF(D1082="","SEM CATEGORIA",IF(E1082="","SEM SUBCATEGORIA",IF(COUNTIFS(CADASTROS!$L$7:$L$93,D1082,CADASTROS!$D$7:$D$93,E1082)=0,"INCOMPATÍVEL","OK"))))</f>
        <v>SEM CATEGORIA</v>
      </c>
    </row>
    <row r="1083" spans="1:11" ht="30" customHeight="1" x14ac:dyDescent="0.25">
      <c r="A1083" s="86" t="str">
        <f>IF(COUNTIF(EXTRATO!$A$2:$A$3000,"BAN-00940")=0,"","BAN-00940")</f>
        <v>BAN-00940</v>
      </c>
      <c r="B1083" s="85">
        <f>IF(A1083="","",IF(INDEX(EXTRATO!$C$2:$C$3000,MATCH($A1083,EXTRATO!$A$2:$A$3000,0))="","",INDEX(EXTRATO!$C$2:$C$3000,MATCH($A1083,EXTRATO!$A$2:$A$3000,0))))</f>
        <v>46286</v>
      </c>
      <c r="C1083" s="86">
        <f t="shared" si="20"/>
        <v>9</v>
      </c>
      <c r="D1083" s="81"/>
      <c r="E1083" s="79"/>
      <c r="F1083" s="80">
        <f>IF(A1083="","",SUMIF(EXTRATO!$A$2:$A$3000,$A1083,EXTRATO!$J$2:$J$3000)+SUMIF(EXTRATO!$A$2:$A$3000,$A1083,EXTRATO!$K$2:$K$3000)+SUMIF(EXTRATO!$A$2:$A$3000,$A1083,EXTRATO!$L$2:$L$3000)+SUMIF(EXTRATO!$A$2:$A$3000,$A1083,EXTRATO!$M$2:$M$3000))</f>
        <v>300</v>
      </c>
      <c r="G1083" s="81" t="str">
        <f>IF(A1083="","",IF(INDEX(EXTRATO!$G$2:$G$3000,MATCH($A1083,EXTRATO!$A$2:$A$3000,0))="","",INDEX(EXTRATO!$G$2:$G$3000,MATCH($A1083,EXTRATO!$A$2:$A$3000,0))))</f>
        <v>CASSIANO E CASSIANO (REF. SISTEMA FINANCEIRO)</v>
      </c>
      <c r="H1083" s="86" t="str">
        <f>IF(A1083="","",IF(INDEX(EXTRATO!$F$2:$F$3000,MATCH($A1083,EXTRATO!$A$2:$A$3000,0))="","",INDEX(EXTRATO!$F$2:$F$3000,MATCH($A1083,EXTRATO!$A$2:$A$3000,0))))</f>
        <v>SAÍDA</v>
      </c>
      <c r="I1083" s="88" t="str">
        <f>IF(A1083="","",IF(INDEX(EXTRATO!$H$2:$H$3000,MATCH($A1083,EXTRATO!$A$2:$A$3000,0))="","",INDEX(EXTRATO!$H$2:$H$3000,MATCH($A1083,EXTRATO!$A$2:$A$3000,0))))</f>
        <v>CASSIANO &amp; CASSINOS CONTABILIDADE</v>
      </c>
      <c r="J1083" s="86" t="str">
        <f t="shared" si="21"/>
        <v>PENDENTE</v>
      </c>
      <c r="K1083" s="86" t="str">
        <f>IF(AND(A1083="",D1083="",E1083="",F1083=""),"",IF(D1083="","SEM CATEGORIA",IF(E1083="","SEM SUBCATEGORIA",IF(COUNTIFS(CADASTROS!$L$7:$L$93,D1083,CADASTROS!$D$7:$D$93,E1083)=0,"INCOMPATÍVEL","OK"))))</f>
        <v>SEM CATEGORIA</v>
      </c>
    </row>
    <row r="1084" spans="1:11" ht="30" customHeight="1" x14ac:dyDescent="0.25">
      <c r="A1084" s="86" t="str">
        <f>IF(COUNTIF(EXTRATO!$A$2:$A$3000,"BAN-00941")=0,"","BAN-00941")</f>
        <v>BAN-00941</v>
      </c>
      <c r="B1084" s="85">
        <f>IF(A1084="","",IF(INDEX(EXTRATO!$C$2:$C$3000,MATCH($A1084,EXTRATO!$A$2:$A$3000,0))="","",INDEX(EXTRATO!$C$2:$C$3000,MATCH($A1084,EXTRATO!$A$2:$A$3000,0))))</f>
        <v>46286</v>
      </c>
      <c r="C1084" s="86">
        <f t="shared" si="20"/>
        <v>9</v>
      </c>
      <c r="D1084" s="81"/>
      <c r="E1084" s="79"/>
      <c r="F1084" s="80">
        <f>IF(A1084="","",SUMIF(EXTRATO!$A$2:$A$3000,$A1084,EXTRATO!$J$2:$J$3000)+SUMIF(EXTRATO!$A$2:$A$3000,$A1084,EXTRATO!$K$2:$K$3000)+SUMIF(EXTRATO!$A$2:$A$3000,$A1084,EXTRATO!$L$2:$L$3000)+SUMIF(EXTRATO!$A$2:$A$3000,$A1084,EXTRATO!$M$2:$M$3000))</f>
        <v>1600</v>
      </c>
      <c r="G1084" s="81" t="str">
        <f>IF(A1084="","",IF(INDEX(EXTRATO!$G$2:$G$3000,MATCH($A1084,EXTRATO!$A$2:$A$3000,0))="","",INDEX(EXTRATO!$G$2:$G$3000,MATCH($A1084,EXTRATO!$A$2:$A$3000,0))))</f>
        <v>BIOGREEN INCINERAÇÃO DE RESIDUOS (REF. COLETO LIXO INFECTANTE) - REF. 08/26</v>
      </c>
      <c r="H1084" s="86" t="str">
        <f>IF(A1084="","",IF(INDEX(EXTRATO!$F$2:$F$3000,MATCH($A1084,EXTRATO!$A$2:$A$3000,0))="","",INDEX(EXTRATO!$F$2:$F$3000,MATCH($A1084,EXTRATO!$A$2:$A$3000,0))))</f>
        <v>SAÍDA</v>
      </c>
      <c r="I1084" s="88" t="str">
        <f>IF(A1084="","",IF(INDEX(EXTRATO!$H$2:$H$3000,MATCH($A1084,EXTRATO!$A$2:$A$3000,0))="","",INDEX(EXTRATO!$H$2:$H$3000,MATCH($A1084,EXTRATO!$A$2:$A$3000,0))))</f>
        <v>BIOGREEN</v>
      </c>
      <c r="J1084" s="86" t="str">
        <f t="shared" si="21"/>
        <v>PENDENTE</v>
      </c>
      <c r="K1084" s="86" t="str">
        <f>IF(AND(A1084="",D1084="",E1084="",F1084=""),"",IF(D1084="","SEM CATEGORIA",IF(E1084="","SEM SUBCATEGORIA",IF(COUNTIFS(CADASTROS!$L$7:$L$93,D1084,CADASTROS!$D$7:$D$93,E1084)=0,"INCOMPATÍVEL","OK"))))</f>
        <v>SEM CATEGORIA</v>
      </c>
    </row>
    <row r="1085" spans="1:11" ht="30" customHeight="1" x14ac:dyDescent="0.25">
      <c r="A1085" s="86" t="str">
        <f>IF(COUNTIF(EXTRATO!$A$2:$A$3000,"BAN-00942")=0,"","BAN-00942")</f>
        <v>BAN-00942</v>
      </c>
      <c r="B1085" s="85">
        <f>IF(A1085="","",IF(INDEX(EXTRATO!$C$2:$C$3000,MATCH($A1085,EXTRATO!$A$2:$A$3000,0))="","",INDEX(EXTRATO!$C$2:$C$3000,MATCH($A1085,EXTRATO!$A$2:$A$3000,0))))</f>
        <v>46286</v>
      </c>
      <c r="C1085" s="86">
        <f t="shared" si="20"/>
        <v>9</v>
      </c>
      <c r="D1085" s="81"/>
      <c r="E1085" s="79"/>
      <c r="F1085" s="80">
        <f>IF(A1085="","",SUMIF(EXTRATO!$A$2:$A$3000,$A1085,EXTRATO!$J$2:$J$3000)+SUMIF(EXTRATO!$A$2:$A$3000,$A1085,EXTRATO!$K$2:$K$3000)+SUMIF(EXTRATO!$A$2:$A$3000,$A1085,EXTRATO!$L$2:$L$3000)+SUMIF(EXTRATO!$A$2:$A$3000,$A1085,EXTRATO!$M$2:$M$3000))</f>
        <v>521.01</v>
      </c>
      <c r="G1085" s="81" t="str">
        <f>IF(A1085="","",IF(INDEX(EXTRATO!$G$2:$G$3000,MATCH($A1085,EXTRATO!$A$2:$A$3000,0))="","",INDEX(EXTRATO!$G$2:$G$3000,MATCH($A1085,EXTRATO!$A$2:$A$3000,0))))</f>
        <v>TOKIO MARINE SEGURADORA S.A. (REF. SEGURO DO CARRO DA CLINICA)</v>
      </c>
      <c r="H1085" s="86" t="str">
        <f>IF(A1085="","",IF(INDEX(EXTRATO!$F$2:$F$3000,MATCH($A1085,EXTRATO!$A$2:$A$3000,0))="","",INDEX(EXTRATO!$F$2:$F$3000,MATCH($A1085,EXTRATO!$A$2:$A$3000,0))))</f>
        <v>SAÍDA</v>
      </c>
      <c r="I1085" s="88" t="str">
        <f>IF(A1085="","",IF(INDEX(EXTRATO!$H$2:$H$3000,MATCH($A1085,EXTRATO!$A$2:$A$3000,0))="","",INDEX(EXTRATO!$H$2:$H$3000,MATCH($A1085,EXTRATO!$A$2:$A$3000,0))))</f>
        <v>TOKIO MARINE SEGURADORA S.A</v>
      </c>
      <c r="J1085" s="86" t="str">
        <f t="shared" si="21"/>
        <v>PENDENTE</v>
      </c>
      <c r="K1085" s="86" t="str">
        <f>IF(AND(A1085="",D1085="",E1085="",F1085=""),"",IF(D1085="","SEM CATEGORIA",IF(E1085="","SEM SUBCATEGORIA",IF(COUNTIFS(CADASTROS!$L$7:$L$93,D1085,CADASTROS!$D$7:$D$93,E1085)=0,"INCOMPATÍVEL","OK"))))</f>
        <v>SEM CATEGORIA</v>
      </c>
    </row>
    <row r="1086" spans="1:11" ht="30" customHeight="1" x14ac:dyDescent="0.25">
      <c r="A1086" s="86" t="str">
        <f>IF(COUNTIF(EXTRATO!$A$2:$A$3000,"BAN-00943")=0,"","BAN-00943")</f>
        <v>BAN-00943</v>
      </c>
      <c r="B1086" s="85">
        <f>IF(A1086="","",IF(INDEX(EXTRATO!$C$2:$C$3000,MATCH($A1086,EXTRATO!$A$2:$A$3000,0))="","",INDEX(EXTRATO!$C$2:$C$3000,MATCH($A1086,EXTRATO!$A$2:$A$3000,0))))</f>
        <v>46288</v>
      </c>
      <c r="C1086" s="86">
        <f t="shared" si="20"/>
        <v>9</v>
      </c>
      <c r="D1086" s="81"/>
      <c r="E1086" s="79"/>
      <c r="F1086" s="80">
        <f>IF(A1086="","",SUMIF(EXTRATO!$A$2:$A$3000,$A1086,EXTRATO!$J$2:$J$3000)+SUMIF(EXTRATO!$A$2:$A$3000,$A1086,EXTRATO!$K$2:$K$3000)+SUMIF(EXTRATO!$A$2:$A$3000,$A1086,EXTRATO!$L$2:$L$3000)+SUMIF(EXTRATO!$A$2:$A$3000,$A1086,EXTRATO!$M$2:$M$3000))</f>
        <v>130</v>
      </c>
      <c r="G1086" s="81" t="str">
        <f>IF(A1086="","",IF(INDEX(EXTRATO!$G$2:$G$3000,MATCH($A1086,EXTRATO!$A$2:$A$3000,0))="","",INDEX(EXTRATO!$G$2:$G$3000,MATCH($A1086,EXTRATO!$A$2:$A$3000,0))))</f>
        <v>BRANDO &amp; BRANDÃO (REF. ÁLCOOL EM GEL) 1/1</v>
      </c>
      <c r="H1086" s="86" t="str">
        <f>IF(A1086="","",IF(INDEX(EXTRATO!$F$2:$F$3000,MATCH($A1086,EXTRATO!$A$2:$A$3000,0))="","",INDEX(EXTRATO!$F$2:$F$3000,MATCH($A1086,EXTRATO!$A$2:$A$3000,0))))</f>
        <v>SAÍDA</v>
      </c>
      <c r="I1086" s="88" t="str">
        <f>IF(A1086="","",IF(INDEX(EXTRATO!$H$2:$H$3000,MATCH($A1086,EXTRATO!$A$2:$A$3000,0))="","",INDEX(EXTRATO!$H$2:$H$3000,MATCH($A1086,EXTRATO!$A$2:$A$3000,0))))</f>
        <v>BRANDÃO &amp; BRANDÃO</v>
      </c>
      <c r="J1086" s="86" t="str">
        <f t="shared" si="21"/>
        <v>PENDENTE</v>
      </c>
      <c r="K1086" s="86" t="str">
        <f>IF(AND(A1086="",D1086="",E1086="",F1086=""),"",IF(D1086="","SEM CATEGORIA",IF(E1086="","SEM SUBCATEGORIA",IF(COUNTIFS(CADASTROS!$L$7:$L$93,D1086,CADASTROS!$D$7:$D$93,E1086)=0,"INCOMPATÍVEL","OK"))))</f>
        <v>SEM CATEGORIA</v>
      </c>
    </row>
    <row r="1087" spans="1:11" ht="30" customHeight="1" x14ac:dyDescent="0.25">
      <c r="A1087" s="86" t="str">
        <f>IF(COUNTIF(EXTRATO!$A$2:$A$3000,"BAN-00944")=0,"","BAN-00944")</f>
        <v>BAN-00944</v>
      </c>
      <c r="B1087" s="85">
        <f>IF(A1087="","",IF(INDEX(EXTRATO!$C$2:$C$3000,MATCH($A1087,EXTRATO!$A$2:$A$3000,0))="","",INDEX(EXTRATO!$C$2:$C$3000,MATCH($A1087,EXTRATO!$A$2:$A$3000,0))))</f>
        <v>46290</v>
      </c>
      <c r="C1087" s="86">
        <f t="shared" si="20"/>
        <v>9</v>
      </c>
      <c r="D1087" s="81"/>
      <c r="E1087" s="79"/>
      <c r="F1087" s="80">
        <f>IF(A1087="","",SUMIF(EXTRATO!$A$2:$A$3000,$A1087,EXTRATO!$J$2:$J$3000)+SUMIF(EXTRATO!$A$2:$A$3000,$A1087,EXTRATO!$K$2:$K$3000)+SUMIF(EXTRATO!$A$2:$A$3000,$A1087,EXTRATO!$L$2:$L$3000)+SUMIF(EXTRATO!$A$2:$A$3000,$A1087,EXTRATO!$M$2:$M$3000))</f>
        <v>1189.68</v>
      </c>
      <c r="G1087" s="81" t="str">
        <f>IF(A1087="","",IF(INDEX(EXTRATO!$G$2:$G$3000,MATCH($A1087,EXTRATO!$A$2:$A$3000,0))="","",INDEX(EXTRATO!$G$2:$G$3000,MATCH($A1087,EXTRATO!$A$2:$A$3000,0))))</f>
        <v>QUALIÁGUA (REF. EXAME MICROBIOLÓGICO) 1/1</v>
      </c>
      <c r="H1087" s="86" t="str">
        <f>IF(A1087="","",IF(INDEX(EXTRATO!$F$2:$F$3000,MATCH($A1087,EXTRATO!$A$2:$A$3000,0))="","",INDEX(EXTRATO!$F$2:$F$3000,MATCH($A1087,EXTRATO!$A$2:$A$3000,0))))</f>
        <v>SAÍDA</v>
      </c>
      <c r="I1087" s="88" t="str">
        <f>IF(A1087="","",IF(INDEX(EXTRATO!$H$2:$H$3000,MATCH($A1087,EXTRATO!$A$2:$A$3000,0))="","",INDEX(EXTRATO!$H$2:$H$3000,MATCH($A1087,EXTRATO!$A$2:$A$3000,0))))</f>
        <v>QUALIÁGUA</v>
      </c>
      <c r="J1087" s="86" t="str">
        <f t="shared" si="21"/>
        <v>PENDENTE</v>
      </c>
      <c r="K1087" s="86" t="str">
        <f>IF(AND(A1087="",D1087="",E1087="",F1087=""),"",IF(D1087="","SEM CATEGORIA",IF(E1087="","SEM SUBCATEGORIA",IF(COUNTIFS(CADASTROS!$L$7:$L$93,D1087,CADASTROS!$D$7:$D$93,E1087)=0,"INCOMPATÍVEL","OK"))))</f>
        <v>SEM CATEGORIA</v>
      </c>
    </row>
    <row r="1088" spans="1:11" ht="30" customHeight="1" x14ac:dyDescent="0.25">
      <c r="A1088" s="86" t="str">
        <f>IF(COUNTIF(EXTRATO!$A$2:$A$3000,"BAN-00945")=0,"","BAN-00945")</f>
        <v>BAN-00945</v>
      </c>
      <c r="B1088" s="85">
        <f>IF(A1088="","",IF(INDEX(EXTRATO!$C$2:$C$3000,MATCH($A1088,EXTRATO!$A$2:$A$3000,0))="","",INDEX(EXTRATO!$C$2:$C$3000,MATCH($A1088,EXTRATO!$A$2:$A$3000,0))))</f>
        <v>46290</v>
      </c>
      <c r="C1088" s="86">
        <f t="shared" si="20"/>
        <v>9</v>
      </c>
      <c r="D1088" s="81"/>
      <c r="E1088" s="79"/>
      <c r="F1088" s="80">
        <f>IF(A1088="","",SUMIF(EXTRATO!$A$2:$A$3000,$A1088,EXTRATO!$J$2:$J$3000)+SUMIF(EXTRATO!$A$2:$A$3000,$A1088,EXTRATO!$K$2:$K$3000)+SUMIF(EXTRATO!$A$2:$A$3000,$A1088,EXTRATO!$L$2:$L$3000)+SUMIF(EXTRATO!$A$2:$A$3000,$A1088,EXTRATO!$M$2:$M$3000))</f>
        <v>8115.97</v>
      </c>
      <c r="G1088" s="81" t="str">
        <f>IF(A1088="","",IF(INDEX(EXTRATO!$G$2:$G$3000,MATCH($A1088,EXTRATO!$A$2:$A$3000,0))="","",INDEX(EXTRATO!$G$2:$G$3000,MATCH($A1088,EXTRATO!$A$2:$A$3000,0))))</f>
        <v>PIS (REF. NF 202600000000006 E NF 202600000000007 – COMP. MAI/2026 E JUN/2026 - RECEB. AGOSTO/2026)</v>
      </c>
      <c r="H1088" s="86" t="str">
        <f>IF(A1088="","",IF(INDEX(EXTRATO!$F$2:$F$3000,MATCH($A1088,EXTRATO!$A$2:$A$3000,0))="","",INDEX(EXTRATO!$F$2:$F$3000,MATCH($A1088,EXTRATO!$A$2:$A$3000,0))))</f>
        <v>SAÍDA</v>
      </c>
      <c r="I1088" s="88" t="str">
        <f>IF(A1088="","",IF(INDEX(EXTRATO!$H$2:$H$3000,MATCH($A1088,EXTRATO!$A$2:$A$3000,0))="","",INDEX(EXTRATO!$H$2:$H$3000,MATCH($A1088,EXTRATO!$A$2:$A$3000,0))))</f>
        <v>PIS</v>
      </c>
      <c r="J1088" s="86" t="str">
        <f t="shared" si="21"/>
        <v>PENDENTE</v>
      </c>
      <c r="K1088" s="86" t="str">
        <f>IF(AND(A1088="",D1088="",E1088="",F1088=""),"",IF(D1088="","SEM CATEGORIA",IF(E1088="","SEM SUBCATEGORIA",IF(COUNTIFS(CADASTROS!$L$7:$L$93,D1088,CADASTROS!$D$7:$D$93,E1088)=0,"INCOMPATÍVEL","OK"))))</f>
        <v>SEM CATEGORIA</v>
      </c>
    </row>
    <row r="1089" spans="1:11" ht="30" customHeight="1" x14ac:dyDescent="0.25">
      <c r="A1089" s="86" t="str">
        <f>IF(COUNTIF(EXTRATO!$A$2:$A$3000,"BAN-00946")=0,"","BAN-00946")</f>
        <v>BAN-00946</v>
      </c>
      <c r="B1089" s="85">
        <f>IF(A1089="","",IF(INDEX(EXTRATO!$C$2:$C$3000,MATCH($A1089,EXTRATO!$A$2:$A$3000,0))="","",INDEX(EXTRATO!$C$2:$C$3000,MATCH($A1089,EXTRATO!$A$2:$A$3000,0))))</f>
        <v>46290</v>
      </c>
      <c r="C1089" s="86">
        <f t="shared" si="20"/>
        <v>9</v>
      </c>
      <c r="D1089" s="81"/>
      <c r="E1089" s="79"/>
      <c r="F1089" s="80">
        <f>IF(A1089="","",SUMIF(EXTRATO!$A$2:$A$3000,$A1089,EXTRATO!$J$2:$J$3000)+SUMIF(EXTRATO!$A$2:$A$3000,$A1089,EXTRATO!$K$2:$K$3000)+SUMIF(EXTRATO!$A$2:$A$3000,$A1089,EXTRATO!$L$2:$L$3000)+SUMIF(EXTRATO!$A$2:$A$3000,$A1089,EXTRATO!$M$2:$M$3000))</f>
        <v>37458.339999999997</v>
      </c>
      <c r="G1089" s="81" t="str">
        <f>IF(A1089="","",IF(INDEX(EXTRATO!$G$2:$G$3000,MATCH($A1089,EXTRATO!$A$2:$A$3000,0))="","",INDEX(EXTRATO!$G$2:$G$3000,MATCH($A1089,EXTRATO!$A$2:$A$3000,0))))</f>
        <v>COFINS (REF. NF 202600000000006 E NF 202600000000007 – COMP. MAI/2026 E JUN/2026 - RECEB. AGOSTO/2026)</v>
      </c>
      <c r="H1089" s="86" t="str">
        <f>IF(A1089="","",IF(INDEX(EXTRATO!$F$2:$F$3000,MATCH($A1089,EXTRATO!$A$2:$A$3000,0))="","",INDEX(EXTRATO!$F$2:$F$3000,MATCH($A1089,EXTRATO!$A$2:$A$3000,0))))</f>
        <v>SAÍDA</v>
      </c>
      <c r="I1089" s="88" t="str">
        <f>IF(A1089="","",IF(INDEX(EXTRATO!$H$2:$H$3000,MATCH($A1089,EXTRATO!$A$2:$A$3000,0))="","",INDEX(EXTRATO!$H$2:$H$3000,MATCH($A1089,EXTRATO!$A$2:$A$3000,0))))</f>
        <v>COFINS</v>
      </c>
      <c r="J1089" s="86" t="str">
        <f t="shared" si="21"/>
        <v>PENDENTE</v>
      </c>
      <c r="K1089" s="86" t="str">
        <f>IF(AND(A1089="",D1089="",E1089="",F1089=""),"",IF(D1089="","SEM CATEGORIA",IF(E1089="","SEM SUBCATEGORIA",IF(COUNTIFS(CADASTROS!$L$7:$L$93,D1089,CADASTROS!$D$7:$D$93,E1089)=0,"INCOMPATÍVEL","OK"))))</f>
        <v>SEM CATEGORIA</v>
      </c>
    </row>
    <row r="1090" spans="1:11" ht="30" customHeight="1" x14ac:dyDescent="0.25">
      <c r="A1090" s="86" t="str">
        <f>IF(COUNTIF(EXTRATO!$A$2:$A$3000,"BAN-00947")=0,"","BAN-00947")</f>
        <v>BAN-00947</v>
      </c>
      <c r="B1090" s="85">
        <f>IF(A1090="","",IF(INDEX(EXTRATO!$C$2:$C$3000,MATCH($A1090,EXTRATO!$A$2:$A$3000,0))="","",INDEX(EXTRATO!$C$2:$C$3000,MATCH($A1090,EXTRATO!$A$2:$A$3000,0))))</f>
        <v>46290</v>
      </c>
      <c r="C1090" s="86">
        <f t="shared" si="20"/>
        <v>9</v>
      </c>
      <c r="D1090" s="81"/>
      <c r="E1090" s="79"/>
      <c r="F1090" s="80">
        <f>IF(A1090="","",SUMIF(EXTRATO!$A$2:$A$3000,$A1090,EXTRATO!$J$2:$J$3000)+SUMIF(EXTRATO!$A$2:$A$3000,$A1090,EXTRATO!$K$2:$K$3000)+SUMIF(EXTRATO!$A$2:$A$3000,$A1090,EXTRATO!$L$2:$L$3000)+SUMIF(EXTRATO!$A$2:$A$3000,$A1090,EXTRATO!$M$2:$M$3000))</f>
        <v>330</v>
      </c>
      <c r="G1090" s="81" t="str">
        <f>IF(A1090="","",IF(INDEX(EXTRATO!$G$2:$G$3000,MATCH($A1090,EXTRATO!$A$2:$A$3000,0))="","",INDEX(EXTRATO!$G$2:$G$3000,MATCH($A1090,EXTRATO!$A$2:$A$3000,0))))</f>
        <v>ABCDT - ASSOC BRAS C D TRANSPLANTE - REF. MENSALIDADE</v>
      </c>
      <c r="H1090" s="86" t="str">
        <f>IF(A1090="","",IF(INDEX(EXTRATO!$F$2:$F$3000,MATCH($A1090,EXTRATO!$A$2:$A$3000,0))="","",INDEX(EXTRATO!$F$2:$F$3000,MATCH($A1090,EXTRATO!$A$2:$A$3000,0))))</f>
        <v>SAÍDA</v>
      </c>
      <c r="I1090" s="88" t="str">
        <f>IF(A1090="","",IF(INDEX(EXTRATO!$H$2:$H$3000,MATCH($A1090,EXTRATO!$A$2:$A$3000,0))="","",INDEX(EXTRATO!$H$2:$H$3000,MATCH($A1090,EXTRATO!$A$2:$A$3000,0))))</f>
        <v>ABCDT</v>
      </c>
      <c r="J1090" s="86" t="str">
        <f t="shared" si="21"/>
        <v>PENDENTE</v>
      </c>
      <c r="K1090" s="86" t="str">
        <f>IF(AND(A1090="",D1090="",E1090="",F1090=""),"",IF(D1090="","SEM CATEGORIA",IF(E1090="","SEM SUBCATEGORIA",IF(COUNTIFS(CADASTROS!$L$7:$L$93,D1090,CADASTROS!$D$7:$D$93,E1090)=0,"INCOMPATÍVEL","OK"))))</f>
        <v>SEM CATEGORIA</v>
      </c>
    </row>
    <row r="1091" spans="1:11" ht="30" customHeight="1" x14ac:dyDescent="0.25">
      <c r="A1091" s="86" t="str">
        <f>IF(COUNTIF(EXTRATO!$A$2:$A$3000,"BAN-00948")=0,"","BAN-00948")</f>
        <v>BAN-00948</v>
      </c>
      <c r="B1091" s="85">
        <f>IF(A1091="","",IF(INDEX(EXTRATO!$C$2:$C$3000,MATCH($A1091,EXTRATO!$A$2:$A$3000,0))="","",INDEX(EXTRATO!$C$2:$C$3000,MATCH($A1091,EXTRATO!$A$2:$A$3000,0))))</f>
        <v>46294</v>
      </c>
      <c r="C1091" s="86">
        <f t="shared" si="20"/>
        <v>9</v>
      </c>
      <c r="D1091" s="81"/>
      <c r="E1091" s="79"/>
      <c r="F1091" s="80">
        <f>IF(A1091="","",SUMIF(EXTRATO!$A$2:$A$3000,$A1091,EXTRATO!$J$2:$J$3000)+SUMIF(EXTRATO!$A$2:$A$3000,$A1091,EXTRATO!$K$2:$K$3000)+SUMIF(EXTRATO!$A$2:$A$3000,$A1091,EXTRATO!$L$2:$L$3000)+SUMIF(EXTRATO!$A$2:$A$3000,$A1091,EXTRATO!$M$2:$M$3000))</f>
        <v>5815.29</v>
      </c>
      <c r="G1091" s="81" t="str">
        <f>IF(A1091="","",IF(INDEX(EXTRATO!$G$2:$G$3000,MATCH($A1091,EXTRATO!$A$2:$A$3000,0))="","",INDEX(EXTRATO!$G$2:$G$3000,MATCH($A1091,EXTRATO!$A$2:$A$3000,0))))</f>
        <v>RESCISÃO DE CONTRATO (REF. ALEXANDRE SILVA SAMPAIO)</v>
      </c>
      <c r="H1091" s="86" t="str">
        <f>IF(A1091="","",IF(INDEX(EXTRATO!$F$2:$F$3000,MATCH($A1091,EXTRATO!$A$2:$A$3000,0))="","",INDEX(EXTRATO!$F$2:$F$3000,MATCH($A1091,EXTRATO!$A$2:$A$3000,0))))</f>
        <v>SAÍDA</v>
      </c>
      <c r="I1091" s="88" t="str">
        <f>IF(A1091="","",IF(INDEX(EXTRATO!$H$2:$H$3000,MATCH($A1091,EXTRATO!$A$2:$A$3000,0))="","",INDEX(EXTRATO!$H$2:$H$3000,MATCH($A1091,EXTRATO!$A$2:$A$3000,0))))</f>
        <v>RESCISÃO DE CONTRATO</v>
      </c>
      <c r="J1091" s="86" t="str">
        <f t="shared" si="21"/>
        <v>PENDENTE</v>
      </c>
      <c r="K1091" s="86" t="str">
        <f>IF(AND(A1091="",D1091="",E1091="",F1091=""),"",IF(D1091="","SEM CATEGORIA",IF(E1091="","SEM SUBCATEGORIA",IF(COUNTIFS(CADASTROS!$L$7:$L$93,D1091,CADASTROS!$D$7:$D$93,E1091)=0,"INCOMPATÍVEL","OK"))))</f>
        <v>SEM CATEGORIA</v>
      </c>
    </row>
    <row r="1092" spans="1:11" ht="30" customHeight="1" x14ac:dyDescent="0.25">
      <c r="A1092" s="86" t="str">
        <f>IF(COUNTIF(EXTRATO!$A$2:$A$3000,"BAN-00949")=0,"","BAN-00949")</f>
        <v>BAN-00949</v>
      </c>
      <c r="B1092" s="85">
        <f>IF(A1092="","",IF(INDEX(EXTRATO!$C$2:$C$3000,MATCH($A1092,EXTRATO!$A$2:$A$3000,0))="","",INDEX(EXTRATO!$C$2:$C$3000,MATCH($A1092,EXTRATO!$A$2:$A$3000,0))))</f>
        <v>46294</v>
      </c>
      <c r="C1092" s="86">
        <f t="shared" si="20"/>
        <v>9</v>
      </c>
      <c r="D1092" s="81"/>
      <c r="E1092" s="79"/>
      <c r="F1092" s="80">
        <f>IF(A1092="","",SUMIF(EXTRATO!$A$2:$A$3000,$A1092,EXTRATO!$J$2:$J$3000)+SUMIF(EXTRATO!$A$2:$A$3000,$A1092,EXTRATO!$K$2:$K$3000)+SUMIF(EXTRATO!$A$2:$A$3000,$A1092,EXTRATO!$L$2:$L$3000)+SUMIF(EXTRATO!$A$2:$A$3000,$A1092,EXTRATO!$M$2:$M$3000))</f>
        <v>600</v>
      </c>
      <c r="G1092" s="81" t="str">
        <f>IF(A1092="","",IF(INDEX(EXTRATO!$G$2:$G$3000,MATCH($A1092,EXTRATO!$A$2:$A$3000,0))="","",INDEX(EXTRATO!$G$2:$G$3000,MATCH($A1092,EXTRATO!$A$2:$A$3000,0))))</f>
        <v>KELLY RAVANA TEIXEIRA DE MESQUITA (REF. PEÇAS PARA MANUTENÇÃO DAS MÁQUINAS DE HD)</v>
      </c>
      <c r="H1092" s="86" t="str">
        <f>IF(A1092="","",IF(INDEX(EXTRATO!$F$2:$F$3000,MATCH($A1092,EXTRATO!$A$2:$A$3000,0))="","",INDEX(EXTRATO!$F$2:$F$3000,MATCH($A1092,EXTRATO!$A$2:$A$3000,0))))</f>
        <v>SAÍDA</v>
      </c>
      <c r="I1092" s="88" t="str">
        <f>IF(A1092="","",IF(INDEX(EXTRATO!$H$2:$H$3000,MATCH($A1092,EXTRATO!$A$2:$A$3000,0))="","",INDEX(EXTRATO!$H$2:$H$3000,MATCH($A1092,EXTRATO!$A$2:$A$3000,0))))</f>
        <v>-</v>
      </c>
      <c r="J1092" s="86" t="str">
        <f t="shared" si="21"/>
        <v>PENDENTE</v>
      </c>
      <c r="K1092" s="86" t="str">
        <f>IF(AND(A1092="",D1092="",E1092="",F1092=""),"",IF(D1092="","SEM CATEGORIA",IF(E1092="","SEM SUBCATEGORIA",IF(COUNTIFS(CADASTROS!$L$7:$L$93,D1092,CADASTROS!$D$7:$D$93,E1092)=0,"INCOMPATÍVEL","OK"))))</f>
        <v>SEM CATEGORIA</v>
      </c>
    </row>
    <row r="1093" spans="1:11" ht="30" customHeight="1" x14ac:dyDescent="0.25">
      <c r="A1093" s="86" t="str">
        <f>IF(COUNTIF(EXTRATO!$A$2:$A$3000,"BAN-00950")=0,"","BAN-00950")</f>
        <v>BAN-00950</v>
      </c>
      <c r="B1093" s="85">
        <f>IF(A1093="","",IF(INDEX(EXTRATO!$C$2:$C$3000,MATCH($A1093,EXTRATO!$A$2:$A$3000,0))="","",INDEX(EXTRATO!$C$2:$C$3000,MATCH($A1093,EXTRATO!$A$2:$A$3000,0))))</f>
        <v>46294</v>
      </c>
      <c r="C1093" s="86">
        <f t="shared" si="20"/>
        <v>9</v>
      </c>
      <c r="D1093" s="81"/>
      <c r="E1093" s="79"/>
      <c r="F1093" s="80">
        <f>IF(A1093="","",SUMIF(EXTRATO!$A$2:$A$3000,$A1093,EXTRATO!$J$2:$J$3000)+SUMIF(EXTRATO!$A$2:$A$3000,$A1093,EXTRATO!$K$2:$K$3000)+SUMIF(EXTRATO!$A$2:$A$3000,$A1093,EXTRATO!$L$2:$L$3000)+SUMIF(EXTRATO!$A$2:$A$3000,$A1093,EXTRATO!$M$2:$M$3000))</f>
        <v>1838</v>
      </c>
      <c r="G1093" s="81" t="str">
        <f>IF(A1093="","",IF(INDEX(EXTRATO!$G$2:$G$3000,MATCH($A1093,EXTRATO!$A$2:$A$3000,0))="","",INDEX(EXTRATO!$G$2:$G$3000,MATCH($A1093,EXTRATO!$A$2:$A$3000,0))))</f>
        <v>HR MANUTENÇÃO HOSPITALAR E TRAT. DE ÁGUA ( REF. PREST. DE SERV.TRATAMENTO DA ÁGUA)</v>
      </c>
      <c r="H1093" s="86" t="str">
        <f>IF(A1093="","",IF(INDEX(EXTRATO!$F$2:$F$3000,MATCH($A1093,EXTRATO!$A$2:$A$3000,0))="","",INDEX(EXTRATO!$F$2:$F$3000,MATCH($A1093,EXTRATO!$A$2:$A$3000,0))))</f>
        <v>SAÍDA</v>
      </c>
      <c r="I1093" s="88" t="str">
        <f>IF(A1093="","",IF(INDEX(EXTRATO!$H$2:$H$3000,MATCH($A1093,EXTRATO!$A$2:$A$3000,0))="","",INDEX(EXTRATO!$H$2:$H$3000,MATCH($A1093,EXTRATO!$A$2:$A$3000,0))))</f>
        <v>HR MANUTENCAO HOSPITALAR</v>
      </c>
      <c r="J1093" s="86" t="str">
        <f t="shared" si="21"/>
        <v>PENDENTE</v>
      </c>
      <c r="K1093" s="86" t="str">
        <f>IF(AND(A1093="",D1093="",E1093="",F1093=""),"",IF(D1093="","SEM CATEGORIA",IF(E1093="","SEM SUBCATEGORIA",IF(COUNTIFS(CADASTROS!$L$7:$L$93,D1093,CADASTROS!$D$7:$D$93,E1093)=0,"INCOMPATÍVEL","OK"))))</f>
        <v>SEM CATEGORIA</v>
      </c>
    </row>
    <row r="1094" spans="1:11" ht="30" customHeight="1" x14ac:dyDescent="0.25">
      <c r="A1094" s="86" t="str">
        <f>IF(COUNTIF(EXTRATO!$A$2:$A$3000,"BAN-00951")=0,"","BAN-00951")</f>
        <v>BAN-00951</v>
      </c>
      <c r="B1094" s="85">
        <f>IF(A1094="","",IF(INDEX(EXTRATO!$C$2:$C$3000,MATCH($A1094,EXTRATO!$A$2:$A$3000,0))="","",INDEX(EXTRATO!$C$2:$C$3000,MATCH($A1094,EXTRATO!$A$2:$A$3000,0))))</f>
        <v>46294</v>
      </c>
      <c r="C1094" s="86">
        <f t="shared" si="20"/>
        <v>9</v>
      </c>
      <c r="D1094" s="81"/>
      <c r="E1094" s="79"/>
      <c r="F1094" s="80">
        <f>IF(A1094="","",SUMIF(EXTRATO!$A$2:$A$3000,$A1094,EXTRATO!$J$2:$J$3000)+SUMIF(EXTRATO!$A$2:$A$3000,$A1094,EXTRATO!$K$2:$K$3000)+SUMIF(EXTRATO!$A$2:$A$3000,$A1094,EXTRATO!$L$2:$L$3000)+SUMIF(EXTRATO!$A$2:$A$3000,$A1094,EXTRATO!$M$2:$M$3000))</f>
        <v>3002.4</v>
      </c>
      <c r="G1094" s="81" t="str">
        <f>IF(A1094="","",IF(INDEX(EXTRATO!$G$2:$G$3000,MATCH($A1094,EXTRATO!$A$2:$A$3000,0))="","",INDEX(EXTRATO!$G$2:$G$3000,MATCH($A1094,EXTRATO!$A$2:$A$3000,0))))</f>
        <v>NEPHROSYS SUPORTE E MANUTENÇÃO (REF. SISTEMA - MENSALIDADE) 1/1</v>
      </c>
      <c r="H1094" s="86" t="str">
        <f>IF(A1094="","",IF(INDEX(EXTRATO!$F$2:$F$3000,MATCH($A1094,EXTRATO!$A$2:$A$3000,0))="","",INDEX(EXTRATO!$F$2:$F$3000,MATCH($A1094,EXTRATO!$A$2:$A$3000,0))))</f>
        <v>SAÍDA</v>
      </c>
      <c r="I1094" s="88" t="str">
        <f>IF(A1094="","",IF(INDEX(EXTRATO!$H$2:$H$3000,MATCH($A1094,EXTRATO!$A$2:$A$3000,0))="","",INDEX(EXTRATO!$H$2:$H$3000,MATCH($A1094,EXTRATO!$A$2:$A$3000,0))))</f>
        <v>NEPHROSYS SUPORTE E MANUTENÇÃO</v>
      </c>
      <c r="J1094" s="86" t="str">
        <f t="shared" si="21"/>
        <v>PENDENTE</v>
      </c>
      <c r="K1094" s="86" t="str">
        <f>IF(AND(A1094="",D1094="",E1094="",F1094=""),"",IF(D1094="","SEM CATEGORIA",IF(E1094="","SEM SUBCATEGORIA",IF(COUNTIFS(CADASTROS!$L$7:$L$93,D1094,CADASTROS!$D$7:$D$93,E1094)=0,"INCOMPATÍVEL","OK"))))</f>
        <v>SEM CATEGORIA</v>
      </c>
    </row>
    <row r="1095" spans="1:11" ht="30" customHeight="1" x14ac:dyDescent="0.25">
      <c r="A1095" s="86" t="str">
        <f>IF(COUNTIF(EXTRATO!$A$2:$A$3000,"BAN-00952")=0,"","BAN-00952")</f>
        <v>BAN-00952</v>
      </c>
      <c r="B1095" s="85">
        <f>IF(A1095="","",IF(INDEX(EXTRATO!$C$2:$C$3000,MATCH($A1095,EXTRATO!$A$2:$A$3000,0))="","",INDEX(EXTRATO!$C$2:$C$3000,MATCH($A1095,EXTRATO!$A$2:$A$3000,0))))</f>
        <v>46294</v>
      </c>
      <c r="C1095" s="86">
        <f t="shared" si="20"/>
        <v>9</v>
      </c>
      <c r="D1095" s="81"/>
      <c r="E1095" s="79"/>
      <c r="F1095" s="80">
        <f>IF(A1095="","",SUMIF(EXTRATO!$A$2:$A$3000,$A1095,EXTRATO!$J$2:$J$3000)+SUMIF(EXTRATO!$A$2:$A$3000,$A1095,EXTRATO!$K$2:$K$3000)+SUMIF(EXTRATO!$A$2:$A$3000,$A1095,EXTRATO!$L$2:$L$3000)+SUMIF(EXTRATO!$A$2:$A$3000,$A1095,EXTRATO!$M$2:$M$3000))</f>
        <v>1007.77</v>
      </c>
      <c r="G1095" s="81" t="str">
        <f>IF(A1095="","",IF(INDEX(EXTRATO!$G$2:$G$3000,MATCH($A1095,EXTRATO!$A$2:$A$3000,0))="","",INDEX(EXTRATO!$G$2:$G$3000,MATCH($A1095,EXTRATO!$A$2:$A$3000,0))))</f>
        <v>RICEK INDUSTRIA E COMÉRCIO (REF. PAPEL TOALHA, HIGIÊNICO E HIPOCLORITO) 2/2</v>
      </c>
      <c r="H1095" s="86" t="str">
        <f>IF(A1095="","",IF(INDEX(EXTRATO!$F$2:$F$3000,MATCH($A1095,EXTRATO!$A$2:$A$3000,0))="","",INDEX(EXTRATO!$F$2:$F$3000,MATCH($A1095,EXTRATO!$A$2:$A$3000,0))))</f>
        <v>SAÍDA</v>
      </c>
      <c r="I1095" s="88" t="str">
        <f>IF(A1095="","",IF(INDEX(EXTRATO!$H$2:$H$3000,MATCH($A1095,EXTRATO!$A$2:$A$3000,0))="","",INDEX(EXTRATO!$H$2:$H$3000,MATCH($A1095,EXTRATO!$A$2:$A$3000,0))))</f>
        <v>RICEK</v>
      </c>
      <c r="J1095" s="86" t="str">
        <f t="shared" si="21"/>
        <v>PENDENTE</v>
      </c>
      <c r="K1095" s="86" t="str">
        <f>IF(AND(A1095="",D1095="",E1095="",F1095=""),"",IF(D1095="","SEM CATEGORIA",IF(E1095="","SEM SUBCATEGORIA",IF(COUNTIFS(CADASTROS!$L$7:$L$93,D1095,CADASTROS!$D$7:$D$93,E1095)=0,"INCOMPATÍVEL","OK"))))</f>
        <v>SEM CATEGORIA</v>
      </c>
    </row>
    <row r="1096" spans="1:11" ht="30" customHeight="1" x14ac:dyDescent="0.25">
      <c r="A1096" s="86" t="str">
        <f>IF(COUNTIF(EXTRATO!$A$2:$A$3000,"BAN-00953")=0,"","BAN-00953")</f>
        <v>BAN-00953</v>
      </c>
      <c r="B1096" s="85">
        <f>IF(A1096="","",IF(INDEX(EXTRATO!$C$2:$C$3000,MATCH($A1096,EXTRATO!$A$2:$A$3000,0))="","",INDEX(EXTRATO!$C$2:$C$3000,MATCH($A1096,EXTRATO!$A$2:$A$3000,0))))</f>
        <v>46295</v>
      </c>
      <c r="C1096" s="86">
        <f t="shared" si="20"/>
        <v>9</v>
      </c>
      <c r="D1096" s="81"/>
      <c r="E1096" s="79"/>
      <c r="F1096" s="80">
        <f>IF(A1096="","",SUMIF(EXTRATO!$A$2:$A$3000,$A1096,EXTRATO!$J$2:$J$3000)+SUMIF(EXTRATO!$A$2:$A$3000,$A1096,EXTRATO!$K$2:$K$3000)+SUMIF(EXTRATO!$A$2:$A$3000,$A1096,EXTRATO!$L$2:$L$3000)+SUMIF(EXTRATO!$A$2:$A$3000,$A1096,EXTRATO!$M$2:$M$3000))</f>
        <v>69500</v>
      </c>
      <c r="G1096" s="81" t="str">
        <f>IF(A1096="","",IF(INDEX(EXTRATO!$G$2:$G$3000,MATCH($A1096,EXTRATO!$A$2:$A$3000,0))="","",INDEX(EXTRATO!$G$2:$G$3000,MATCH($A1096,EXTRATO!$A$2:$A$3000,0))))</f>
        <v>RESGATE BB CDB DI</v>
      </c>
      <c r="H1096" s="86" t="str">
        <f>IF(A1096="","",IF(INDEX(EXTRATO!$F$2:$F$3000,MATCH($A1096,EXTRATO!$A$2:$A$3000,0))="","",INDEX(EXTRATO!$F$2:$F$3000,MATCH($A1096,EXTRATO!$A$2:$A$3000,0))))</f>
        <v>RESGATE</v>
      </c>
      <c r="I1096" s="88" t="str">
        <f>IF(A1096="","",IF(INDEX(EXTRATO!$H$2:$H$3000,MATCH($A1096,EXTRATO!$A$2:$A$3000,0))="","",INDEX(EXTRATO!$H$2:$H$3000,MATCH($A1096,EXTRATO!$A$2:$A$3000,0))))</f>
        <v>RESGATE BB CDB DI</v>
      </c>
      <c r="J1096" s="86" t="str">
        <f t="shared" si="21"/>
        <v>PENDENTE</v>
      </c>
      <c r="K1096" s="86" t="str">
        <f>IF(AND(A1096="",D1096="",E1096="",F1096=""),"",IF(D1096="","SEM CATEGORIA",IF(E1096="","SEM SUBCATEGORIA",IF(COUNTIFS(CADASTROS!$L$7:$L$93,D1096,CADASTROS!$D$7:$D$93,E1096)=0,"INCOMPATÍVEL","OK"))))</f>
        <v>SEM CATEGORIA</v>
      </c>
    </row>
    <row r="1097" spans="1:11" ht="30" customHeight="1" x14ac:dyDescent="0.25">
      <c r="A1097" s="86" t="str">
        <f>IF(COUNTIF(EXTRATO!$A$2:$A$3000,"BAN-00954")=0,"","BAN-00954")</f>
        <v>BAN-00954</v>
      </c>
      <c r="B1097" s="85">
        <f>IF(A1097="","",IF(INDEX(EXTRATO!$C$2:$C$3000,MATCH($A1097,EXTRATO!$A$2:$A$3000,0))="","",INDEX(EXTRATO!$C$2:$C$3000,MATCH($A1097,EXTRATO!$A$2:$A$3000,0))))</f>
        <v>46295</v>
      </c>
      <c r="C1097" s="86">
        <f t="shared" si="20"/>
        <v>9</v>
      </c>
      <c r="D1097" s="81"/>
      <c r="E1097" s="79"/>
      <c r="F1097" s="80">
        <f>IF(A1097="","",SUMIF(EXTRATO!$A$2:$A$3000,$A1097,EXTRATO!$J$2:$J$3000)+SUMIF(EXTRATO!$A$2:$A$3000,$A1097,EXTRATO!$K$2:$K$3000)+SUMIF(EXTRATO!$A$2:$A$3000,$A1097,EXTRATO!$L$2:$L$3000)+SUMIF(EXTRATO!$A$2:$A$3000,$A1097,EXTRATO!$M$2:$M$3000))</f>
        <v>8296.1200000000008</v>
      </c>
      <c r="G1097" s="81" t="str">
        <f>IF(A1097="","",IF(INDEX(EXTRATO!$G$2:$G$3000,MATCH($A1097,EXTRATO!$A$2:$A$3000,0))="","",INDEX(EXTRATO!$G$2:$G$3000,MATCH($A1097,EXTRATO!$A$2:$A$3000,0))))</f>
        <v>FOLHA DE PAGAMENTO (REF. FÉRIAS DE SET/26 - ANTONIO SANTOS, MARIA DOMINGAS E MAYANE)</v>
      </c>
      <c r="H1097" s="86" t="str">
        <f>IF(A1097="","",IF(INDEX(EXTRATO!$F$2:$F$3000,MATCH($A1097,EXTRATO!$A$2:$A$3000,0))="","",INDEX(EXTRATO!$F$2:$F$3000,MATCH($A1097,EXTRATO!$A$2:$A$3000,0))))</f>
        <v>SAÍDA</v>
      </c>
      <c r="I1097" s="88" t="str">
        <f>IF(A1097="","",IF(INDEX(EXTRATO!$H$2:$H$3000,MATCH($A1097,EXTRATO!$A$2:$A$3000,0))="","",INDEX(EXTRATO!$H$2:$H$3000,MATCH($A1097,EXTRATO!$A$2:$A$3000,0))))</f>
        <v>FOLHA DE PAGAMENTO - FÉRIAS</v>
      </c>
      <c r="J1097" s="86" t="str">
        <f t="shared" si="21"/>
        <v>PENDENTE</v>
      </c>
      <c r="K1097" s="86" t="str">
        <f>IF(AND(A1097="",D1097="",E1097="",F1097=""),"",IF(D1097="","SEM CATEGORIA",IF(E1097="","SEM SUBCATEGORIA",IF(COUNTIFS(CADASTROS!$L$7:$L$93,D1097,CADASTROS!$D$7:$D$93,E1097)=0,"INCOMPATÍVEL","OK"))))</f>
        <v>SEM CATEGORIA</v>
      </c>
    </row>
    <row r="1098" spans="1:11" ht="30" customHeight="1" x14ac:dyDescent="0.25">
      <c r="A1098" s="86" t="str">
        <f>IF(COUNTIF(EXTRATO!$A$2:$A$3000,"BAN-00955")=0,"","BAN-00955")</f>
        <v>BAN-00955</v>
      </c>
      <c r="B1098" s="85">
        <f>IF(A1098="","",IF(INDEX(EXTRATO!$C$2:$C$3000,MATCH($A1098,EXTRATO!$A$2:$A$3000,0))="","",INDEX(EXTRATO!$C$2:$C$3000,MATCH($A1098,EXTRATO!$A$2:$A$3000,0))))</f>
        <v>46295</v>
      </c>
      <c r="C1098" s="86">
        <f t="shared" si="20"/>
        <v>9</v>
      </c>
      <c r="D1098" s="81"/>
      <c r="E1098" s="79"/>
      <c r="F1098" s="80">
        <f>IF(A1098="","",SUMIF(EXTRATO!$A$2:$A$3000,$A1098,EXTRATO!$J$2:$J$3000)+SUMIF(EXTRATO!$A$2:$A$3000,$A1098,EXTRATO!$K$2:$K$3000)+SUMIF(EXTRATO!$A$2:$A$3000,$A1098,EXTRATO!$L$2:$L$3000)+SUMIF(EXTRATO!$A$2:$A$3000,$A1098,EXTRATO!$M$2:$M$3000))</f>
        <v>943.82</v>
      </c>
      <c r="G1098" s="81" t="str">
        <f>IF(A1098="","",IF(INDEX(EXTRATO!$G$2:$G$3000,MATCH($A1098,EXTRATO!$A$2:$A$3000,0))="","",INDEX(EXTRATO!$G$2:$G$3000,MATCH($A1098,EXTRATO!$A$2:$A$3000,0))))</f>
        <v>FGTS RESCISÓRIO - ALEXANDRE SILVA SAMPAIO (COMPETÊNCIA 09/2026)</v>
      </c>
      <c r="H1098" s="86" t="str">
        <f>IF(A1098="","",IF(INDEX(EXTRATO!$F$2:$F$3000,MATCH($A1098,EXTRATO!$A$2:$A$3000,0))="","",INDEX(EXTRATO!$F$2:$F$3000,MATCH($A1098,EXTRATO!$A$2:$A$3000,0))))</f>
        <v>SAÍDA</v>
      </c>
      <c r="I1098" s="88" t="str">
        <f>IF(A1098="","",IF(INDEX(EXTRATO!$H$2:$H$3000,MATCH($A1098,EXTRATO!$A$2:$A$3000,0))="","",INDEX(EXTRATO!$H$2:$H$3000,MATCH($A1098,EXTRATO!$A$2:$A$3000,0))))</f>
        <v>FGTS RESCISÓRIO</v>
      </c>
      <c r="J1098" s="86" t="str">
        <f t="shared" si="21"/>
        <v>PENDENTE</v>
      </c>
      <c r="K1098" s="86" t="str">
        <f>IF(AND(A1098="",D1098="",E1098="",F1098=""),"",IF(D1098="","SEM CATEGORIA",IF(E1098="","SEM SUBCATEGORIA",IF(COUNTIFS(CADASTROS!$L$7:$L$93,D1098,CADASTROS!$D$7:$D$93,E1098)=0,"INCOMPATÍVEL","OK"))))</f>
        <v>SEM CATEGORIA</v>
      </c>
    </row>
    <row r="1099" spans="1:11" ht="30" customHeight="1" x14ac:dyDescent="0.25">
      <c r="A1099" s="86" t="str">
        <f>IF(COUNTIF(EXTRATO!$A$2:$A$3000,"BAN-00956")=0,"","BAN-00956")</f>
        <v>BAN-00956</v>
      </c>
      <c r="B1099" s="85">
        <f>IF(A1099="","",IF(INDEX(EXTRATO!$C$2:$C$3000,MATCH($A1099,EXTRATO!$A$2:$A$3000,0))="","",INDEX(EXTRATO!$C$2:$C$3000,MATCH($A1099,EXTRATO!$A$2:$A$3000,0))))</f>
        <v>46295</v>
      </c>
      <c r="C1099" s="86">
        <f t="shared" si="20"/>
        <v>9</v>
      </c>
      <c r="D1099" s="81"/>
      <c r="E1099" s="79"/>
      <c r="F1099" s="80">
        <f>IF(A1099="","",SUMIF(EXTRATO!$A$2:$A$3000,$A1099,EXTRATO!$J$2:$J$3000)+SUMIF(EXTRATO!$A$2:$A$3000,$A1099,EXTRATO!$K$2:$K$3000)+SUMIF(EXTRATO!$A$2:$A$3000,$A1099,EXTRATO!$L$2:$L$3000)+SUMIF(EXTRATO!$A$2:$A$3000,$A1099,EXTRATO!$M$2:$M$3000))</f>
        <v>2649.52</v>
      </c>
      <c r="G1099" s="81" t="str">
        <f>IF(A1099="","",IF(INDEX(EXTRATO!$G$2:$G$3000,MATCH($A1099,EXTRATO!$A$2:$A$3000,0))="","",INDEX(EXTRATO!$G$2:$G$3000,MATCH($A1099,EXTRATO!$A$2:$A$3000,0))))</f>
        <v>EXCELLENCE DISTRIBUIÇÃO (REF. MATERIAIS E MEDICAMENTOS DIVERSOS) 1/2</v>
      </c>
      <c r="H1099" s="86" t="str">
        <f>IF(A1099="","",IF(INDEX(EXTRATO!$F$2:$F$3000,MATCH($A1099,EXTRATO!$A$2:$A$3000,0))="","",INDEX(EXTRATO!$F$2:$F$3000,MATCH($A1099,EXTRATO!$A$2:$A$3000,0))))</f>
        <v>SAÍDA</v>
      </c>
      <c r="I1099" s="88" t="str">
        <f>IF(A1099="","",IF(INDEX(EXTRATO!$H$2:$H$3000,MATCH($A1099,EXTRATO!$A$2:$A$3000,0))="","",INDEX(EXTRATO!$H$2:$H$3000,MATCH($A1099,EXTRATO!$A$2:$A$3000,0))))</f>
        <v>EXCELLENCE DISTRIBUIDORA</v>
      </c>
      <c r="J1099" s="86" t="str">
        <f t="shared" si="21"/>
        <v>PENDENTE</v>
      </c>
      <c r="K1099" s="86" t="str">
        <f>IF(AND(A1099="",D1099="",E1099="",F1099=""),"",IF(D1099="","SEM CATEGORIA",IF(E1099="","SEM SUBCATEGORIA",IF(COUNTIFS(CADASTROS!$L$7:$L$93,D1099,CADASTROS!$D$7:$D$93,E1099)=0,"INCOMPATÍVEL","OK"))))</f>
        <v>SEM CATEGORIA</v>
      </c>
    </row>
    <row r="1100" spans="1:11" ht="30" customHeight="1" x14ac:dyDescent="0.25">
      <c r="A1100" s="86" t="str">
        <f>IF(COUNTIF(EXTRATO!$A$2:$A$3000,"BAN-00957")=0,"","BAN-00957")</f>
        <v>BAN-00957</v>
      </c>
      <c r="B1100" s="85">
        <f>IF(A1100="","",IF(INDEX(EXTRATO!$C$2:$C$3000,MATCH($A1100,EXTRATO!$A$2:$A$3000,0))="","",INDEX(EXTRATO!$C$2:$C$3000,MATCH($A1100,EXTRATO!$A$2:$A$3000,0))))</f>
        <v>46295</v>
      </c>
      <c r="C1100" s="86">
        <f t="shared" si="20"/>
        <v>9</v>
      </c>
      <c r="D1100" s="81"/>
      <c r="E1100" s="79"/>
      <c r="F1100" s="80">
        <f>IF(A1100="","",SUMIF(EXTRATO!$A$2:$A$3000,$A1100,EXTRATO!$J$2:$J$3000)+SUMIF(EXTRATO!$A$2:$A$3000,$A1100,EXTRATO!$K$2:$K$3000)+SUMIF(EXTRATO!$A$2:$A$3000,$A1100,EXTRATO!$L$2:$L$3000)+SUMIF(EXTRATO!$A$2:$A$3000,$A1100,EXTRATO!$M$2:$M$3000))</f>
        <v>9331.84</v>
      </c>
      <c r="G1100" s="81" t="str">
        <f>IF(A1100="","",IF(INDEX(EXTRATO!$G$2:$G$3000,MATCH($A1100,EXTRATO!$A$2:$A$3000,0))="","",INDEX(EXTRATO!$G$2:$G$3000,MATCH($A1100,EXTRATO!$A$2:$A$3000,0))))</f>
        <v>NIPRO (REF. COMPRA DE 04 MÁQUINAS DE HD) - PARCELA 12/24</v>
      </c>
      <c r="H1100" s="86" t="str">
        <f>IF(A1100="","",IF(INDEX(EXTRATO!$F$2:$F$3000,MATCH($A1100,EXTRATO!$A$2:$A$3000,0))="","",INDEX(EXTRATO!$F$2:$F$3000,MATCH($A1100,EXTRATO!$A$2:$A$3000,0))))</f>
        <v>SAÍDA</v>
      </c>
      <c r="I1100" s="88" t="str">
        <f>IF(A1100="","",IF(INDEX(EXTRATO!$H$2:$H$3000,MATCH($A1100,EXTRATO!$A$2:$A$3000,0))="","",INDEX(EXTRATO!$H$2:$H$3000,MATCH($A1100,EXTRATO!$A$2:$A$3000,0))))</f>
        <v>NIPRO</v>
      </c>
      <c r="J1100" s="86" t="str">
        <f t="shared" si="21"/>
        <v>PENDENTE</v>
      </c>
      <c r="K1100" s="86" t="str">
        <f>IF(AND(A1100="",D1100="",E1100="",F1100=""),"",IF(D1100="","SEM CATEGORIA",IF(E1100="","SEM SUBCATEGORIA",IF(COUNTIFS(CADASTROS!$L$7:$L$93,D1100,CADASTROS!$D$7:$D$93,E1100)=0,"INCOMPATÍVEL","OK"))))</f>
        <v>SEM CATEGORIA</v>
      </c>
    </row>
    <row r="1101" spans="1:11" ht="30" customHeight="1" x14ac:dyDescent="0.25">
      <c r="A1101" s="86" t="str">
        <f>IF(COUNTIF(EXTRATO!$A$2:$A$3000,"BAN-00958")=0,"","BAN-00958")</f>
        <v>BAN-00958</v>
      </c>
      <c r="B1101" s="85">
        <f>IF(A1101="","",IF(INDEX(EXTRATO!$C$2:$C$3000,MATCH($A1101,EXTRATO!$A$2:$A$3000,0))="","",INDEX(EXTRATO!$C$2:$C$3000,MATCH($A1101,EXTRATO!$A$2:$A$3000,0))))</f>
        <v>46295</v>
      </c>
      <c r="C1101" s="86">
        <f t="shared" si="20"/>
        <v>9</v>
      </c>
      <c r="D1101" s="81"/>
      <c r="E1101" s="79"/>
      <c r="F1101" s="80">
        <f>IF(A1101="","",SUMIF(EXTRATO!$A$2:$A$3000,$A1101,EXTRATO!$J$2:$J$3000)+SUMIF(EXTRATO!$A$2:$A$3000,$A1101,EXTRATO!$K$2:$K$3000)+SUMIF(EXTRATO!$A$2:$A$3000,$A1101,EXTRATO!$L$2:$L$3000)+SUMIF(EXTRATO!$A$2:$A$3000,$A1101,EXTRATO!$M$2:$M$3000))</f>
        <v>48992.160000000003</v>
      </c>
      <c r="G1101" s="81" t="str">
        <f>IF(A1101="","",IF(INDEX(EXTRATO!$G$2:$G$3000,MATCH($A1101,EXTRATO!$A$2:$A$3000,0))="","",INDEX(EXTRATO!$G$2:$G$3000,MATCH($A1101,EXTRATO!$A$2:$A$3000,0))))</f>
        <v>NIPRO (REF. COMPRA DE 21 MÁQUINAS DE HD) - PARCELA 12/24</v>
      </c>
      <c r="H1101" s="86" t="str">
        <f>IF(A1101="","",IF(INDEX(EXTRATO!$F$2:$F$3000,MATCH($A1101,EXTRATO!$A$2:$A$3000,0))="","",INDEX(EXTRATO!$F$2:$F$3000,MATCH($A1101,EXTRATO!$A$2:$A$3000,0))))</f>
        <v>SAÍDA</v>
      </c>
      <c r="I1101" s="88" t="str">
        <f>IF(A1101="","",IF(INDEX(EXTRATO!$H$2:$H$3000,MATCH($A1101,EXTRATO!$A$2:$A$3000,0))="","",INDEX(EXTRATO!$H$2:$H$3000,MATCH($A1101,EXTRATO!$A$2:$A$3000,0))))</f>
        <v>NIPRO</v>
      </c>
      <c r="J1101" s="86" t="str">
        <f t="shared" si="21"/>
        <v>PENDENTE</v>
      </c>
      <c r="K1101" s="86" t="str">
        <f>IF(AND(A1101="",D1101="",E1101="",F1101=""),"",IF(D1101="","SEM CATEGORIA",IF(E1101="","SEM SUBCATEGORIA",IF(COUNTIFS(CADASTROS!$L$7:$L$93,D1101,CADASTROS!$D$7:$D$93,E1101)=0,"INCOMPATÍVEL","OK"))))</f>
        <v>SEM CATEGORIA</v>
      </c>
    </row>
    <row r="1102" spans="1:11" ht="30" customHeight="1" x14ac:dyDescent="0.25">
      <c r="A1102" s="86" t="str">
        <f>IF(COUNTIF(EXTRATO!$A$2:$A$3000,"BAN-00959")=0,"","BAN-00959")</f>
        <v>BAN-00959</v>
      </c>
      <c r="B1102" s="85">
        <f>IF(A1102="","",IF(INDEX(EXTRATO!$C$2:$C$3000,MATCH($A1102,EXTRATO!$A$2:$A$3000,0))="","",INDEX(EXTRATO!$C$2:$C$3000,MATCH($A1102,EXTRATO!$A$2:$A$3000,0))))</f>
        <v>46295</v>
      </c>
      <c r="C1102" s="86">
        <f t="shared" si="20"/>
        <v>9</v>
      </c>
      <c r="D1102" s="81"/>
      <c r="E1102" s="79"/>
      <c r="F1102" s="80">
        <f>IF(A1102="","",SUMIF(EXTRATO!$A$2:$A$3000,$A1102,EXTRATO!$J$2:$J$3000)+SUMIF(EXTRATO!$A$2:$A$3000,$A1102,EXTRATO!$K$2:$K$3000)+SUMIF(EXTRATO!$A$2:$A$3000,$A1102,EXTRATO!$L$2:$L$3000)+SUMIF(EXTRATO!$A$2:$A$3000,$A1102,EXTRATO!$M$2:$M$3000))</f>
        <v>5.43</v>
      </c>
      <c r="G1102" s="81" t="str">
        <f>IF(A1102="","",IF(INDEX(EXTRATO!$G$2:$G$3000,MATCH($A1102,EXTRATO!$A$2:$A$3000,0))="","",INDEX(EXTRATO!$G$2:$G$3000,MATCH($A1102,EXTRATO!$A$2:$A$3000,0))))</f>
        <v>TARIFA BANCÁRIA (SALÁRIO CRÉD. CONTA)</v>
      </c>
      <c r="H1102" s="86" t="str">
        <f>IF(A1102="","",IF(INDEX(EXTRATO!$F$2:$F$3000,MATCH($A1102,EXTRATO!$A$2:$A$3000,0))="","",INDEX(EXTRATO!$F$2:$F$3000,MATCH($A1102,EXTRATO!$A$2:$A$3000,0))))</f>
        <v>SAÍDA</v>
      </c>
      <c r="I1102" s="88" t="str">
        <f>IF(A1102="","",IF(INDEX(EXTRATO!$H$2:$H$3000,MATCH($A1102,EXTRATO!$A$2:$A$3000,0))="","",INDEX(EXTRATO!$H$2:$H$3000,MATCH($A1102,EXTRATO!$A$2:$A$3000,0))))</f>
        <v>TARIFA BANCÁRIA</v>
      </c>
      <c r="J1102" s="86" t="str">
        <f t="shared" si="21"/>
        <v>PENDENTE</v>
      </c>
      <c r="K1102" s="86" t="str">
        <f>IF(AND(A1102="",D1102="",E1102="",F1102=""),"",IF(D1102="","SEM CATEGORIA",IF(E1102="","SEM SUBCATEGORIA",IF(COUNTIFS(CADASTROS!$L$7:$L$93,D1102,CADASTROS!$D$7:$D$93,E1102)=0,"INCOMPATÍVEL","OK"))))</f>
        <v>SEM CATEGORIA</v>
      </c>
    </row>
    <row r="1103" spans="1:11" ht="30" hidden="1" customHeight="1" x14ac:dyDescent="0.25">
      <c r="A1103" s="86" t="str">
        <f>IF(COUNTIF(EXTRATO!$A$2:$A$3000,"BAN-00960")=0,"","BAN-00960")</f>
        <v>BAN-00960</v>
      </c>
      <c r="B1103" s="85">
        <f>IF(A1103="","",IF(INDEX(EXTRATO!$C$2:$C$3000,MATCH($A1103,EXTRATO!$A$2:$A$3000,0))="","",INDEX(EXTRATO!$C$2:$C$3000,MATCH($A1103,EXTRATO!$A$2:$A$3000,0))))</f>
        <v>46296</v>
      </c>
      <c r="C1103" s="86">
        <f t="shared" si="20"/>
        <v>10</v>
      </c>
      <c r="D1103" s="81"/>
      <c r="E1103" s="79"/>
      <c r="F1103" s="80">
        <f>IF(A1103="","",SUMIF(EXTRATO!$A$2:$A$3000,$A1103,EXTRATO!$J$2:$J$3000)+SUMIF(EXTRATO!$A$2:$A$3000,$A1103,EXTRATO!$K$2:$K$3000)+SUMIF(EXTRATO!$A$2:$A$3000,$A1103,EXTRATO!$L$2:$L$3000)+SUMIF(EXTRATO!$A$2:$A$3000,$A1103,EXTRATO!$M$2:$M$3000))</f>
        <v>554.61</v>
      </c>
      <c r="G1103" s="81" t="str">
        <f>IF(A1103="","",IF(INDEX(EXTRATO!$G$2:$G$3000,MATCH($A1103,EXTRATO!$A$2:$A$3000,0))="","",INDEX(EXTRATO!$G$2:$G$3000,MATCH($A1103,EXTRATO!$A$2:$A$3000,0))))</f>
        <v>RESGATE BB CDB DI</v>
      </c>
      <c r="H1103" s="86" t="str">
        <f>IF(A1103="","",IF(INDEX(EXTRATO!$F$2:$F$3000,MATCH($A1103,EXTRATO!$A$2:$A$3000,0))="","",INDEX(EXTRATO!$F$2:$F$3000,MATCH($A1103,EXTRATO!$A$2:$A$3000,0))))</f>
        <v>RESGATE</v>
      </c>
      <c r="I1103" s="88" t="str">
        <f>IF(A1103="","",IF(INDEX(EXTRATO!$H$2:$H$3000,MATCH($A1103,EXTRATO!$A$2:$A$3000,0))="","",INDEX(EXTRATO!$H$2:$H$3000,MATCH($A1103,EXTRATO!$A$2:$A$3000,0))))</f>
        <v>RESGATE BB CDB DI</v>
      </c>
      <c r="J1103" s="86" t="str">
        <f t="shared" si="21"/>
        <v>PENDENTE</v>
      </c>
      <c r="K1103" s="86" t="str">
        <f>IF(AND(A1103="",D1103="",E1103="",F1103=""),"",IF(D1103="","SEM CATEGORIA",IF(E1103="","SEM SUBCATEGORIA",IF(COUNTIFS(CADASTROS!$L$7:$L$93,D1103,CADASTROS!$D$7:$D$93,E1103)=0,"INCOMPATÍVEL","OK"))))</f>
        <v>SEM CATEGORIA</v>
      </c>
    </row>
    <row r="1104" spans="1:11" ht="30" hidden="1" customHeight="1" x14ac:dyDescent="0.25">
      <c r="A1104" s="86" t="str">
        <f>IF(COUNTIF(EXTRATO!$A$2:$A$3000,"BAN-00961")=0,"","BAN-00961")</f>
        <v>BAN-00961</v>
      </c>
      <c r="B1104" s="85">
        <f>IF(A1104="","",IF(INDEX(EXTRATO!$C$2:$C$3000,MATCH($A1104,EXTRATO!$A$2:$A$3000,0))="","",INDEX(EXTRATO!$C$2:$C$3000,MATCH($A1104,EXTRATO!$A$2:$A$3000,0))))</f>
        <v>46296</v>
      </c>
      <c r="C1104" s="86">
        <f t="shared" si="20"/>
        <v>10</v>
      </c>
      <c r="D1104" s="81"/>
      <c r="E1104" s="79"/>
      <c r="F1104" s="80">
        <f>IF(A1104="","",SUMIF(EXTRATO!$A$2:$A$3000,$A1104,EXTRATO!$J$2:$J$3000)+SUMIF(EXTRATO!$A$2:$A$3000,$A1104,EXTRATO!$K$2:$K$3000)+SUMIF(EXTRATO!$A$2:$A$3000,$A1104,EXTRATO!$L$2:$L$3000)+SUMIF(EXTRATO!$A$2:$A$3000,$A1104,EXTRATO!$M$2:$M$3000))</f>
        <v>500</v>
      </c>
      <c r="G1104" s="81" t="str">
        <f>IF(A1104="","",IF(INDEX(EXTRATO!$G$2:$G$3000,MATCH($A1104,EXTRATO!$A$2:$A$3000,0))="","",INDEX(EXTRATO!$G$2:$G$3000,MATCH($A1104,EXTRATO!$A$2:$A$3000,0))))</f>
        <v>ADAILTON MESSIAS MENDONÇA (REF. FUNELARIA DO CARRO DA CLINICA)</v>
      </c>
      <c r="H1104" s="86" t="str">
        <f>IF(A1104="","",IF(INDEX(EXTRATO!$F$2:$F$3000,MATCH($A1104,EXTRATO!$A$2:$A$3000,0))="","",INDEX(EXTRATO!$F$2:$F$3000,MATCH($A1104,EXTRATO!$A$2:$A$3000,0))))</f>
        <v>SAÍDA</v>
      </c>
      <c r="I1104" s="88" t="str">
        <f>IF(A1104="","",IF(INDEX(EXTRATO!$H$2:$H$3000,MATCH($A1104,EXTRATO!$A$2:$A$3000,0))="","",INDEX(EXTRATO!$H$2:$H$3000,MATCH($A1104,EXTRATO!$A$2:$A$3000,0))))</f>
        <v/>
      </c>
      <c r="J1104" s="86" t="str">
        <f t="shared" si="21"/>
        <v>PENDENTE</v>
      </c>
      <c r="K1104" s="86" t="str">
        <f>IF(AND(A1104="",D1104="",E1104="",F1104=""),"",IF(D1104="","SEM CATEGORIA",IF(E1104="","SEM SUBCATEGORIA",IF(COUNTIFS(CADASTROS!$L$7:$L$93,D1104,CADASTROS!$D$7:$D$93,E1104)=0,"INCOMPATÍVEL","OK"))))</f>
        <v>SEM CATEGORIA</v>
      </c>
    </row>
    <row r="1105" spans="1:11" ht="30" hidden="1" customHeight="1" x14ac:dyDescent="0.25">
      <c r="A1105" s="86" t="str">
        <f>IF(COUNTIF(EXTRATO!$A$2:$A$3000,"BAN-00962")=0,"","BAN-00962")</f>
        <v>BAN-00962</v>
      </c>
      <c r="B1105" s="85">
        <f>IF(A1105="","",IF(INDEX(EXTRATO!$C$2:$C$3000,MATCH($A1105,EXTRATO!$A$2:$A$3000,0))="","",INDEX(EXTRATO!$C$2:$C$3000,MATCH($A1105,EXTRATO!$A$2:$A$3000,0))))</f>
        <v>46296</v>
      </c>
      <c r="C1105" s="86">
        <f t="shared" si="20"/>
        <v>10</v>
      </c>
      <c r="D1105" s="81"/>
      <c r="E1105" s="79"/>
      <c r="F1105" s="80">
        <f>IF(A1105="","",SUMIF(EXTRATO!$A$2:$A$3000,$A1105,EXTRATO!$J$2:$J$3000)+SUMIF(EXTRATO!$A$2:$A$3000,$A1105,EXTRATO!$K$2:$K$3000)+SUMIF(EXTRATO!$A$2:$A$3000,$A1105,EXTRATO!$L$2:$L$3000)+SUMIF(EXTRATO!$A$2:$A$3000,$A1105,EXTRATO!$M$2:$M$3000))</f>
        <v>2376</v>
      </c>
      <c r="G1105" s="81" t="str">
        <f>IF(A1105="","",IF(INDEX(EXTRATO!$G$2:$G$3000,MATCH($A1105,EXTRATO!$A$2:$A$3000,0))="","",INDEX(EXTRATO!$G$2:$G$3000,MATCH($A1105,EXTRATO!$A$2:$A$3000,0))))</f>
        <v>DIÁLISE COMÉRCIO (REF. CAPILAR 2.0 B20HF DORA) 1/1</v>
      </c>
      <c r="H1105" s="86" t="str">
        <f>IF(A1105="","",IF(INDEX(EXTRATO!$F$2:$F$3000,MATCH($A1105,EXTRATO!$A$2:$A$3000,0))="","",INDEX(EXTRATO!$F$2:$F$3000,MATCH($A1105,EXTRATO!$A$2:$A$3000,0))))</f>
        <v>SAÍDA</v>
      </c>
      <c r="I1105" s="88" t="str">
        <f>IF(A1105="","",IF(INDEX(EXTRATO!$H$2:$H$3000,MATCH($A1105,EXTRATO!$A$2:$A$3000,0))="","",INDEX(EXTRATO!$H$2:$H$3000,MATCH($A1105,EXTRATO!$A$2:$A$3000,0))))</f>
        <v>DIALISE COMERCIO</v>
      </c>
      <c r="J1105" s="86" t="str">
        <f t="shared" si="21"/>
        <v>PENDENTE</v>
      </c>
      <c r="K1105" s="86" t="str">
        <f>IF(AND(A1105="",D1105="",E1105="",F1105=""),"",IF(D1105="","SEM CATEGORIA",IF(E1105="","SEM SUBCATEGORIA",IF(COUNTIFS(CADASTROS!$L$7:$L$93,D1105,CADASTROS!$D$7:$D$93,E1105)=0,"INCOMPATÍVEL","OK"))))</f>
        <v>SEM CATEGORIA</v>
      </c>
    </row>
    <row r="1106" spans="1:11" ht="30" hidden="1" customHeight="1" x14ac:dyDescent="0.25">
      <c r="A1106" s="86" t="str">
        <f>IF(COUNTIF(EXTRATO!$A$2:$A$3000,"BAN-00963")=0,"","BAN-00963")</f>
        <v>BAN-00963</v>
      </c>
      <c r="B1106" s="85">
        <f>IF(A1106="","",IF(INDEX(EXTRATO!$C$2:$C$3000,MATCH($A1106,EXTRATO!$A$2:$A$3000,0))="","",INDEX(EXTRATO!$C$2:$C$3000,MATCH($A1106,EXTRATO!$A$2:$A$3000,0))))</f>
        <v>46296</v>
      </c>
      <c r="C1106" s="86">
        <f t="shared" si="20"/>
        <v>10</v>
      </c>
      <c r="D1106" s="81"/>
      <c r="E1106" s="79"/>
      <c r="F1106" s="80">
        <f>IF(A1106="","",SUMIF(EXTRATO!$A$2:$A$3000,$A1106,EXTRATO!$J$2:$J$3000)+SUMIF(EXTRATO!$A$2:$A$3000,$A1106,EXTRATO!$K$2:$K$3000)+SUMIF(EXTRATO!$A$2:$A$3000,$A1106,EXTRATO!$L$2:$L$3000)+SUMIF(EXTRATO!$A$2:$A$3000,$A1106,EXTRATO!$M$2:$M$3000))</f>
        <v>1041.6500000000001</v>
      </c>
      <c r="G1106" s="81" t="str">
        <f>IF(A1106="","",IF(INDEX(EXTRATO!$G$2:$G$3000,MATCH($A1106,EXTRATO!$A$2:$A$3000,0))="","",INDEX(EXTRATO!$G$2:$G$3000,MATCH($A1106,EXTRATO!$A$2:$A$3000,0))))</f>
        <v>ALLMED PRONEFRO (REF. LINHA ARTERIAL, LINHA VENOSA E CONJUNTO) 2/3</v>
      </c>
      <c r="H1106" s="86" t="str">
        <f>IF(A1106="","",IF(INDEX(EXTRATO!$F$2:$F$3000,MATCH($A1106,EXTRATO!$A$2:$A$3000,0))="","",INDEX(EXTRATO!$F$2:$F$3000,MATCH($A1106,EXTRATO!$A$2:$A$3000,0))))</f>
        <v>SAÍDA</v>
      </c>
      <c r="I1106" s="88" t="str">
        <f>IF(A1106="","",IF(INDEX(EXTRATO!$H$2:$H$3000,MATCH($A1106,EXTRATO!$A$2:$A$3000,0))="","",INDEX(EXTRATO!$H$2:$H$3000,MATCH($A1106,EXTRATO!$A$2:$A$3000,0))))</f>
        <v>ALLMED PRONEFRO</v>
      </c>
      <c r="J1106" s="86" t="str">
        <f t="shared" si="21"/>
        <v>PENDENTE</v>
      </c>
      <c r="K1106" s="86" t="str">
        <f>IF(AND(A1106="",D1106="",E1106="",F1106=""),"",IF(D1106="","SEM CATEGORIA",IF(E1106="","SEM SUBCATEGORIA",IF(COUNTIFS(CADASTROS!$L$7:$L$93,D1106,CADASTROS!$D$7:$D$93,E1106)=0,"INCOMPATÍVEL","OK"))))</f>
        <v>SEM CATEGORIA</v>
      </c>
    </row>
    <row r="1107" spans="1:11" ht="30" hidden="1" customHeight="1" x14ac:dyDescent="0.25">
      <c r="A1107" s="86" t="str">
        <f>IF(COUNTIF(EXTRATO!$A$2:$A$3000,"BAN-00964")=0,"","BAN-00964")</f>
        <v>BAN-00964</v>
      </c>
      <c r="B1107" s="85">
        <f>IF(A1107="","",IF(INDEX(EXTRATO!$C$2:$C$3000,MATCH($A1107,EXTRATO!$A$2:$A$3000,0))="","",INDEX(EXTRATO!$C$2:$C$3000,MATCH($A1107,EXTRATO!$A$2:$A$3000,0))))</f>
        <v>46296</v>
      </c>
      <c r="C1107" s="86">
        <f t="shared" si="20"/>
        <v>10</v>
      </c>
      <c r="D1107" s="81"/>
      <c r="E1107" s="79"/>
      <c r="F1107" s="80">
        <f>IF(A1107="","",SUMIF(EXTRATO!$A$2:$A$3000,$A1107,EXTRATO!$J$2:$J$3000)+SUMIF(EXTRATO!$A$2:$A$3000,$A1107,EXTRATO!$K$2:$K$3000)+SUMIF(EXTRATO!$A$2:$A$3000,$A1107,EXTRATO!$L$2:$L$3000)+SUMIF(EXTRATO!$A$2:$A$3000,$A1107,EXTRATO!$M$2:$M$3000))</f>
        <v>1171.24</v>
      </c>
      <c r="G1107" s="81" t="str">
        <f>IF(A1107="","",IF(INDEX(EXTRATO!$G$2:$G$3000,MATCH($A1107,EXTRATO!$A$2:$A$3000,0))="","",INDEX(EXTRATO!$G$2:$G$3000,MATCH($A1107,EXTRATO!$A$2:$A$3000,0))))</f>
        <v>ALLMED PRONEFRO (REF. LINHA ARTERIAL, LINHA VENOSA E CONJUNTO) 1/3</v>
      </c>
      <c r="H1107" s="86" t="str">
        <f>IF(A1107="","",IF(INDEX(EXTRATO!$F$2:$F$3000,MATCH($A1107,EXTRATO!$A$2:$A$3000,0))="","",INDEX(EXTRATO!$F$2:$F$3000,MATCH($A1107,EXTRATO!$A$2:$A$3000,0))))</f>
        <v>SAÍDA</v>
      </c>
      <c r="I1107" s="88" t="str">
        <f>IF(A1107="","",IF(INDEX(EXTRATO!$H$2:$H$3000,MATCH($A1107,EXTRATO!$A$2:$A$3000,0))="","",INDEX(EXTRATO!$H$2:$H$3000,MATCH($A1107,EXTRATO!$A$2:$A$3000,0))))</f>
        <v>ALLMED PRONEFRO</v>
      </c>
      <c r="J1107" s="86" t="str">
        <f t="shared" si="21"/>
        <v>PENDENTE</v>
      </c>
      <c r="K1107" s="86" t="str">
        <f>IF(AND(A1107="",D1107="",E1107="",F1107=""),"",IF(D1107="","SEM CATEGORIA",IF(E1107="","SEM SUBCATEGORIA",IF(COUNTIFS(CADASTROS!$L$7:$L$93,D1107,CADASTROS!$D$7:$D$93,E1107)=0,"INCOMPATÍVEL","OK"))))</f>
        <v>SEM CATEGORIA</v>
      </c>
    </row>
    <row r="1108" spans="1:11" ht="30" hidden="1" customHeight="1" x14ac:dyDescent="0.25">
      <c r="A1108" s="86" t="str">
        <f>IF(COUNTIF(EXTRATO!$A$2:$A$3000,"BAN-00965")=0,"","BAN-00965")</f>
        <v>BAN-00965</v>
      </c>
      <c r="B1108" s="85">
        <f>IF(A1108="","",IF(INDEX(EXTRATO!$C$2:$C$3000,MATCH($A1108,EXTRATO!$A$2:$A$3000,0))="","",INDEX(EXTRATO!$C$2:$C$3000,MATCH($A1108,EXTRATO!$A$2:$A$3000,0))))</f>
        <v>46296</v>
      </c>
      <c r="C1108" s="86">
        <f t="shared" si="20"/>
        <v>10</v>
      </c>
      <c r="D1108" s="81"/>
      <c r="E1108" s="79"/>
      <c r="F1108" s="80">
        <f>IF(A1108="","",SUMIF(EXTRATO!$A$2:$A$3000,$A1108,EXTRATO!$J$2:$J$3000)+SUMIF(EXTRATO!$A$2:$A$3000,$A1108,EXTRATO!$K$2:$K$3000)+SUMIF(EXTRATO!$A$2:$A$3000,$A1108,EXTRATO!$L$2:$L$3000)+SUMIF(EXTRATO!$A$2:$A$3000,$A1108,EXTRATO!$M$2:$M$3000))</f>
        <v>1301.82</v>
      </c>
      <c r="G1108" s="81" t="str">
        <f>IF(A1108="","",IF(INDEX(EXTRATO!$G$2:$G$3000,MATCH($A1108,EXTRATO!$A$2:$A$3000,0))="","",INDEX(EXTRATO!$G$2:$G$3000,MATCH($A1108,EXTRATO!$A$2:$A$3000,0))))</f>
        <v>ALLMED PRONEFRO (REF. LINHA ARTERIAL, LINHA VENOSA E CONJUNTO) 3/3</v>
      </c>
      <c r="H1108" s="86" t="str">
        <f>IF(A1108="","",IF(INDEX(EXTRATO!$F$2:$F$3000,MATCH($A1108,EXTRATO!$A$2:$A$3000,0))="","",INDEX(EXTRATO!$F$2:$F$3000,MATCH($A1108,EXTRATO!$A$2:$A$3000,0))))</f>
        <v>SAÍDA</v>
      </c>
      <c r="I1108" s="88" t="str">
        <f>IF(A1108="","",IF(INDEX(EXTRATO!$H$2:$H$3000,MATCH($A1108,EXTRATO!$A$2:$A$3000,0))="","",INDEX(EXTRATO!$H$2:$H$3000,MATCH($A1108,EXTRATO!$A$2:$A$3000,0))))</f>
        <v>ALLMED PRONEFRO</v>
      </c>
      <c r="J1108" s="86" t="str">
        <f t="shared" si="21"/>
        <v>PENDENTE</v>
      </c>
      <c r="K1108" s="86" t="str">
        <f>IF(AND(A1108="",D1108="",E1108="",F1108=""),"",IF(D1108="","SEM CATEGORIA",IF(E1108="","SEM SUBCATEGORIA",IF(COUNTIFS(CADASTROS!$L$7:$L$93,D1108,CADASTROS!$D$7:$D$93,E1108)=0,"INCOMPATÍVEL","OK"))))</f>
        <v>SEM CATEGORIA</v>
      </c>
    </row>
    <row r="1109" spans="1:11" ht="30" hidden="1" customHeight="1" x14ac:dyDescent="0.25">
      <c r="A1109" s="86" t="str">
        <f>IF(COUNTIF(EXTRATO!$A$2:$A$3000,"BAN-00966")=0,"","BAN-00966")</f>
        <v>BAN-00966</v>
      </c>
      <c r="B1109" s="85">
        <f>IF(A1109="","",IF(INDEX(EXTRATO!$C$2:$C$3000,MATCH($A1109,EXTRATO!$A$2:$A$3000,0))="","",INDEX(EXTRATO!$C$2:$C$3000,MATCH($A1109,EXTRATO!$A$2:$A$3000,0))))</f>
        <v>46296</v>
      </c>
      <c r="C1109" s="86">
        <f t="shared" ref="C1109:C1172" si="22">IF(B1109="","",MONTH(B1109))</f>
        <v>10</v>
      </c>
      <c r="D1109" s="81"/>
      <c r="E1109" s="79"/>
      <c r="F1109" s="80">
        <f>IF(A1109="","",SUMIF(EXTRATO!$A$2:$A$3000,$A1109,EXTRATO!$J$2:$J$3000)+SUMIF(EXTRATO!$A$2:$A$3000,$A1109,EXTRATO!$K$2:$K$3000)+SUMIF(EXTRATO!$A$2:$A$3000,$A1109,EXTRATO!$L$2:$L$3000)+SUMIF(EXTRATO!$A$2:$A$3000,$A1109,EXTRATO!$M$2:$M$3000))</f>
        <v>1510</v>
      </c>
      <c r="G1109" s="81" t="str">
        <f>IF(A1109="","",IF(INDEX(EXTRATO!$G$2:$G$3000,MATCH($A1109,EXTRATO!$A$2:$A$3000,0))="","",INDEX(EXTRATO!$G$2:$G$3000,MATCH($A1109,EXTRATO!$A$2:$A$3000,0))))</f>
        <v>BIOCOMPANY (REF. PERMCATCH 28CM E 32CM E TAMPA PARA CATETER) 1/2</v>
      </c>
      <c r="H1109" s="86" t="str">
        <f>IF(A1109="","",IF(INDEX(EXTRATO!$F$2:$F$3000,MATCH($A1109,EXTRATO!$A$2:$A$3000,0))="","",INDEX(EXTRATO!$F$2:$F$3000,MATCH($A1109,EXTRATO!$A$2:$A$3000,0))))</f>
        <v>SAÍDA</v>
      </c>
      <c r="I1109" s="88" t="str">
        <f>IF(A1109="","",IF(INDEX(EXTRATO!$H$2:$H$3000,MATCH($A1109,EXTRATO!$A$2:$A$3000,0))="","",INDEX(EXTRATO!$H$2:$H$3000,MATCH($A1109,EXTRATO!$A$2:$A$3000,0))))</f>
        <v>BIOCOMPANY</v>
      </c>
      <c r="J1109" s="86" t="str">
        <f t="shared" si="21"/>
        <v>PENDENTE</v>
      </c>
      <c r="K1109" s="86" t="str">
        <f>IF(AND(A1109="",D1109="",E1109="",F1109=""),"",IF(D1109="","SEM CATEGORIA",IF(E1109="","SEM SUBCATEGORIA",IF(COUNTIFS(CADASTROS!$L$7:$L$93,D1109,CADASTROS!$D$7:$D$93,E1109)=0,"INCOMPATÍVEL","OK"))))</f>
        <v>SEM CATEGORIA</v>
      </c>
    </row>
    <row r="1110" spans="1:11" ht="30" hidden="1" customHeight="1" x14ac:dyDescent="0.25">
      <c r="A1110" s="86" t="str">
        <f>IF(COUNTIF(EXTRATO!$A$2:$A$3000,"BAN-00967")=0,"","BAN-00967")</f>
        <v>BAN-00967</v>
      </c>
      <c r="B1110" s="85">
        <f>IF(A1110="","",IF(INDEX(EXTRATO!$C$2:$C$3000,MATCH($A1110,EXTRATO!$A$2:$A$3000,0))="","",INDEX(EXTRATO!$C$2:$C$3000,MATCH($A1110,EXTRATO!$A$2:$A$3000,0))))</f>
        <v>46296</v>
      </c>
      <c r="C1110" s="86">
        <f t="shared" si="22"/>
        <v>10</v>
      </c>
      <c r="D1110" s="81"/>
      <c r="E1110" s="79"/>
      <c r="F1110" s="80">
        <f>IF(A1110="","",SUMIF(EXTRATO!$A$2:$A$3000,$A1110,EXTRATO!$J$2:$J$3000)+SUMIF(EXTRATO!$A$2:$A$3000,$A1110,EXTRATO!$K$2:$K$3000)+SUMIF(EXTRATO!$A$2:$A$3000,$A1110,EXTRATO!$L$2:$L$3000)+SUMIF(EXTRATO!$A$2:$A$3000,$A1110,EXTRATO!$M$2:$M$3000))</f>
        <v>17570</v>
      </c>
      <c r="G1110" s="81" t="str">
        <f>IF(A1110="","",IF(INDEX(EXTRATO!$G$2:$G$3000,MATCH($A1110,EXTRATO!$A$2:$A$3000,0))="","",INDEX(EXTRATO!$G$2:$G$3000,MATCH($A1110,EXTRATO!$A$2:$A$3000,0))))</f>
        <v>FARMACE (REF. SOLUÇÕES ÁCIDAS E BÁSICAS) 2/2</v>
      </c>
      <c r="H1110" s="86" t="str">
        <f>IF(A1110="","",IF(INDEX(EXTRATO!$F$2:$F$3000,MATCH($A1110,EXTRATO!$A$2:$A$3000,0))="","",INDEX(EXTRATO!$F$2:$F$3000,MATCH($A1110,EXTRATO!$A$2:$A$3000,0))))</f>
        <v>SAÍDA</v>
      </c>
      <c r="I1110" s="88" t="str">
        <f>IF(A1110="","",IF(INDEX(EXTRATO!$H$2:$H$3000,MATCH($A1110,EXTRATO!$A$2:$A$3000,0))="","",INDEX(EXTRATO!$H$2:$H$3000,MATCH($A1110,EXTRATO!$A$2:$A$3000,0))))</f>
        <v>FARMACE</v>
      </c>
      <c r="J1110" s="86" t="str">
        <f t="shared" si="21"/>
        <v>PENDENTE</v>
      </c>
      <c r="K1110" s="86" t="str">
        <f>IF(AND(A1110="",D1110="",E1110="",F1110=""),"",IF(D1110="","SEM CATEGORIA",IF(E1110="","SEM SUBCATEGORIA",IF(COUNTIFS(CADASTROS!$L$7:$L$93,D1110,CADASTROS!$D$7:$D$93,E1110)=0,"INCOMPATÍVEL","OK"))))</f>
        <v>SEM CATEGORIA</v>
      </c>
    </row>
    <row r="1111" spans="1:11" ht="30" hidden="1" customHeight="1" x14ac:dyDescent="0.25">
      <c r="A1111" s="86" t="str">
        <f>IF(COUNTIF(EXTRATO!$A$2:$A$3000,"BAN-00968")=0,"","BAN-00968")</f>
        <v>BAN-00968</v>
      </c>
      <c r="B1111" s="85">
        <f>IF(A1111="","",IF(INDEX(EXTRATO!$C$2:$C$3000,MATCH($A1111,EXTRATO!$A$2:$A$3000,0))="","",INDEX(EXTRATO!$C$2:$C$3000,MATCH($A1111,EXTRATO!$A$2:$A$3000,0))))</f>
        <v>46296</v>
      </c>
      <c r="C1111" s="86">
        <f t="shared" si="22"/>
        <v>10</v>
      </c>
      <c r="D1111" s="81"/>
      <c r="E1111" s="79"/>
      <c r="F1111" s="80">
        <f>IF(A1111="","",SUMIF(EXTRATO!$A$2:$A$3000,$A1111,EXTRATO!$J$2:$J$3000)+SUMIF(EXTRATO!$A$2:$A$3000,$A1111,EXTRATO!$K$2:$K$3000)+SUMIF(EXTRATO!$A$2:$A$3000,$A1111,EXTRATO!$L$2:$L$3000)+SUMIF(EXTRATO!$A$2:$A$3000,$A1111,EXTRATO!$M$2:$M$3000))</f>
        <v>2505</v>
      </c>
      <c r="G1111" s="81" t="str">
        <f>IF(A1111="","",IF(INDEX(EXTRATO!$G$2:$G$3000,MATCH($A1111,EXTRATO!$A$2:$A$3000,0))="","",INDEX(EXTRATO!$G$2:$G$3000,MATCH($A1111,EXTRATO!$A$2:$A$3000,0))))</f>
        <v>NIPRO MEDICAL (REF. AGULHA 16G) 2/2</v>
      </c>
      <c r="H1111" s="86" t="str">
        <f>IF(A1111="","",IF(INDEX(EXTRATO!$F$2:$F$3000,MATCH($A1111,EXTRATO!$A$2:$A$3000,0))="","",INDEX(EXTRATO!$F$2:$F$3000,MATCH($A1111,EXTRATO!$A$2:$A$3000,0))))</f>
        <v>SAÍDA</v>
      </c>
      <c r="I1111" s="88" t="str">
        <f>IF(A1111="","",IF(INDEX(EXTRATO!$H$2:$H$3000,MATCH($A1111,EXTRATO!$A$2:$A$3000,0))="","",INDEX(EXTRATO!$H$2:$H$3000,MATCH($A1111,EXTRATO!$A$2:$A$3000,0))))</f>
        <v>NIPRO</v>
      </c>
      <c r="J1111" s="86" t="str">
        <f t="shared" si="21"/>
        <v>PENDENTE</v>
      </c>
      <c r="K1111" s="86" t="str">
        <f>IF(AND(A1111="",D1111="",E1111="",F1111=""),"",IF(D1111="","SEM CATEGORIA",IF(E1111="","SEM SUBCATEGORIA",IF(COUNTIFS(CADASTROS!$L$7:$L$93,D1111,CADASTROS!$D$7:$D$93,E1111)=0,"INCOMPATÍVEL","OK"))))</f>
        <v>SEM CATEGORIA</v>
      </c>
    </row>
    <row r="1112" spans="1:11" ht="30" hidden="1" customHeight="1" x14ac:dyDescent="0.25">
      <c r="A1112" s="86" t="str">
        <f>IF(COUNTIF(EXTRATO!$A$2:$A$3000,"BAN-00969")=0,"","BAN-00969")</f>
        <v>BAN-00969</v>
      </c>
      <c r="B1112" s="85">
        <f>IF(A1112="","",IF(INDEX(EXTRATO!$C$2:$C$3000,MATCH($A1112,EXTRATO!$A$2:$A$3000,0))="","",INDEX(EXTRATO!$C$2:$C$3000,MATCH($A1112,EXTRATO!$A$2:$A$3000,0))))</f>
        <v>46296</v>
      </c>
      <c r="C1112" s="86">
        <f t="shared" si="22"/>
        <v>10</v>
      </c>
      <c r="D1112" s="81"/>
      <c r="E1112" s="79"/>
      <c r="F1112" s="80">
        <f>IF(A1112="","",SUMIF(EXTRATO!$A$2:$A$3000,$A1112,EXTRATO!$J$2:$J$3000)+SUMIF(EXTRATO!$A$2:$A$3000,$A1112,EXTRATO!$K$2:$K$3000)+SUMIF(EXTRATO!$A$2:$A$3000,$A1112,EXTRATO!$L$2:$L$3000)+SUMIF(EXTRATO!$A$2:$A$3000,$A1112,EXTRATO!$M$2:$M$3000))</f>
        <v>2895</v>
      </c>
      <c r="G1112" s="81" t="str">
        <f>IF(A1112="","",IF(INDEX(EXTRATO!$G$2:$G$3000,MATCH($A1112,EXTRATO!$A$2:$A$3000,0))="","",INDEX(EXTRATO!$G$2:$G$3000,MATCH($A1112,EXTRATO!$A$2:$A$3000,0))))</f>
        <v>DIÁLISE COMÉRCIO (REF.TAMPA P/ CATETER, INDICADOR DE ÁCIDO PERACÉTICO, ISOLADOR DE PRESSÃO E PEROXIDE 5%) 1/2</v>
      </c>
      <c r="H1112" s="86" t="str">
        <f>IF(A1112="","",IF(INDEX(EXTRATO!$F$2:$F$3000,MATCH($A1112,EXTRATO!$A$2:$A$3000,0))="","",INDEX(EXTRATO!$F$2:$F$3000,MATCH($A1112,EXTRATO!$A$2:$A$3000,0))))</f>
        <v>SAÍDA</v>
      </c>
      <c r="I1112" s="88" t="str">
        <f>IF(A1112="","",IF(INDEX(EXTRATO!$H$2:$H$3000,MATCH($A1112,EXTRATO!$A$2:$A$3000,0))="","",INDEX(EXTRATO!$H$2:$H$3000,MATCH($A1112,EXTRATO!$A$2:$A$3000,0))))</f>
        <v>DIALISE COMERCIO</v>
      </c>
      <c r="J1112" s="86" t="str">
        <f t="shared" si="21"/>
        <v>PENDENTE</v>
      </c>
      <c r="K1112" s="86" t="str">
        <f>IF(AND(A1112="",D1112="",E1112="",F1112=""),"",IF(D1112="","SEM CATEGORIA",IF(E1112="","SEM SUBCATEGORIA",IF(COUNTIFS(CADASTROS!$L$7:$L$93,D1112,CADASTROS!$D$7:$D$93,E1112)=0,"INCOMPATÍVEL","OK"))))</f>
        <v>SEM CATEGORIA</v>
      </c>
    </row>
    <row r="1113" spans="1:11" ht="30" hidden="1" customHeight="1" x14ac:dyDescent="0.25">
      <c r="A1113" s="86" t="str">
        <f>IF(COUNTIF(EXTRATO!$A$2:$A$3000,"BAN-00970")=0,"","BAN-00970")</f>
        <v>BAN-00970</v>
      </c>
      <c r="B1113" s="85">
        <f>IF(A1113="","",IF(INDEX(EXTRATO!$C$2:$C$3000,MATCH($A1113,EXTRATO!$A$2:$A$3000,0))="","",INDEX(EXTRATO!$C$2:$C$3000,MATCH($A1113,EXTRATO!$A$2:$A$3000,0))))</f>
        <v>46296</v>
      </c>
      <c r="C1113" s="86">
        <f t="shared" si="22"/>
        <v>10</v>
      </c>
      <c r="D1113" s="81"/>
      <c r="E1113" s="79"/>
      <c r="F1113" s="80">
        <f>IF(A1113="","",SUMIF(EXTRATO!$A$2:$A$3000,$A1113,EXTRATO!$J$2:$J$3000)+SUMIF(EXTRATO!$A$2:$A$3000,$A1113,EXTRATO!$K$2:$K$3000)+SUMIF(EXTRATO!$A$2:$A$3000,$A1113,EXTRATO!$L$2:$L$3000)+SUMIF(EXTRATO!$A$2:$A$3000,$A1113,EXTRATO!$M$2:$M$3000))</f>
        <v>3670</v>
      </c>
      <c r="G1113" s="81" t="str">
        <f>IF(A1113="","",IF(INDEX(EXTRATO!$G$2:$G$3000,MATCH($A1113,EXTRATO!$A$2:$A$3000,0))="","",INDEX(EXTRATO!$G$2:$G$3000,MATCH($A1113,EXTRATO!$A$2:$A$3000,0))))</f>
        <v>DIÁLISE COMÉRCIO (REF. ÁCIDO CÍTRICO, PEROXIDE, INDICADOR DE ÁCIDO PERACETICO E ISOLADOR DE PRESSÃO) 1/2</v>
      </c>
      <c r="H1113" s="86" t="str">
        <f>IF(A1113="","",IF(INDEX(EXTRATO!$F$2:$F$3000,MATCH($A1113,EXTRATO!$A$2:$A$3000,0))="","",INDEX(EXTRATO!$F$2:$F$3000,MATCH($A1113,EXTRATO!$A$2:$A$3000,0))))</f>
        <v>SAÍDA</v>
      </c>
      <c r="I1113" s="88" t="str">
        <f>IF(A1113="","",IF(INDEX(EXTRATO!$H$2:$H$3000,MATCH($A1113,EXTRATO!$A$2:$A$3000,0))="","",INDEX(EXTRATO!$H$2:$H$3000,MATCH($A1113,EXTRATO!$A$2:$A$3000,0))))</f>
        <v>DIALISE COMERCIO</v>
      </c>
      <c r="J1113" s="86" t="str">
        <f t="shared" si="21"/>
        <v>PENDENTE</v>
      </c>
      <c r="K1113" s="86" t="str">
        <f>IF(AND(A1113="",D1113="",E1113="",F1113=""),"",IF(D1113="","SEM CATEGORIA",IF(E1113="","SEM SUBCATEGORIA",IF(COUNTIFS(CADASTROS!$L$7:$L$93,D1113,CADASTROS!$D$7:$D$93,E1113)=0,"INCOMPATÍVEL","OK"))))</f>
        <v>SEM CATEGORIA</v>
      </c>
    </row>
    <row r="1114" spans="1:11" ht="30" hidden="1" customHeight="1" x14ac:dyDescent="0.25">
      <c r="A1114" s="86" t="str">
        <f>IF(COUNTIF(EXTRATO!$A$2:$A$3000,"BAN-00971")=0,"","BAN-00971")</f>
        <v>BAN-00971</v>
      </c>
      <c r="B1114" s="85">
        <f>IF(A1114="","",IF(INDEX(EXTRATO!$C$2:$C$3000,MATCH($A1114,EXTRATO!$A$2:$A$3000,0))="","",INDEX(EXTRATO!$C$2:$C$3000,MATCH($A1114,EXTRATO!$A$2:$A$3000,0))))</f>
        <v>46296</v>
      </c>
      <c r="C1114" s="86">
        <f t="shared" si="22"/>
        <v>10</v>
      </c>
      <c r="D1114" s="81"/>
      <c r="E1114" s="79"/>
      <c r="F1114" s="80">
        <f>IF(A1114="","",SUMIF(EXTRATO!$A$2:$A$3000,$A1114,EXTRATO!$J$2:$J$3000)+SUMIF(EXTRATO!$A$2:$A$3000,$A1114,EXTRATO!$K$2:$K$3000)+SUMIF(EXTRATO!$A$2:$A$3000,$A1114,EXTRATO!$L$2:$L$3000)+SUMIF(EXTRATO!$A$2:$A$3000,$A1114,EXTRATO!$M$2:$M$3000))</f>
        <v>7951.25</v>
      </c>
      <c r="G1114" s="81" t="str">
        <f>IF(A1114="","",IF(INDEX(EXTRATO!$G$2:$G$3000,MATCH($A1114,EXTRATO!$A$2:$A$3000,0))="","",INDEX(EXTRATO!$G$2:$G$3000,MATCH($A1114,EXTRATO!$A$2:$A$3000,0))))</f>
        <v>NIPRO MEDICAL (REF. CAPILAR 21H, CAPILAR 19H E FILTRO DE ENDOTOXINA) 2/2</v>
      </c>
      <c r="H1114" s="86" t="str">
        <f>IF(A1114="","",IF(INDEX(EXTRATO!$F$2:$F$3000,MATCH($A1114,EXTRATO!$A$2:$A$3000,0))="","",INDEX(EXTRATO!$F$2:$F$3000,MATCH($A1114,EXTRATO!$A$2:$A$3000,0))))</f>
        <v>SAÍDA</v>
      </c>
      <c r="I1114" s="88" t="str">
        <f>IF(A1114="","",IF(INDEX(EXTRATO!$H$2:$H$3000,MATCH($A1114,EXTRATO!$A$2:$A$3000,0))="","",INDEX(EXTRATO!$H$2:$H$3000,MATCH($A1114,EXTRATO!$A$2:$A$3000,0))))</f>
        <v>NIPRO</v>
      </c>
      <c r="J1114" s="86" t="str">
        <f t="shared" si="21"/>
        <v>PENDENTE</v>
      </c>
      <c r="K1114" s="86" t="str">
        <f>IF(AND(A1114="",D1114="",E1114="",F1114=""),"",IF(D1114="","SEM CATEGORIA",IF(E1114="","SEM SUBCATEGORIA",IF(COUNTIFS(CADASTROS!$L$7:$L$93,D1114,CADASTROS!$D$7:$D$93,E1114)=0,"INCOMPATÍVEL","OK"))))</f>
        <v>SEM CATEGORIA</v>
      </c>
    </row>
    <row r="1115" spans="1:11" ht="30" hidden="1" customHeight="1" x14ac:dyDescent="0.25">
      <c r="A1115" s="86" t="str">
        <f>IF(COUNTIF(EXTRATO!$A$2:$A$3000,"BAN-00972")=0,"","BAN-00972")</f>
        <v>BAN-00972</v>
      </c>
      <c r="B1115" s="85">
        <f>IF(A1115="","",IF(INDEX(EXTRATO!$C$2:$C$3000,MATCH($A1115,EXTRATO!$A$2:$A$3000,0))="","",INDEX(EXTRATO!$C$2:$C$3000,MATCH($A1115,EXTRATO!$A$2:$A$3000,0))))</f>
        <v>46296</v>
      </c>
      <c r="C1115" s="86">
        <f t="shared" si="22"/>
        <v>10</v>
      </c>
      <c r="D1115" s="81"/>
      <c r="E1115" s="79"/>
      <c r="F1115" s="80">
        <f>IF(A1115="","",SUMIF(EXTRATO!$A$2:$A$3000,$A1115,EXTRATO!$J$2:$J$3000)+SUMIF(EXTRATO!$A$2:$A$3000,$A1115,EXTRATO!$K$2:$K$3000)+SUMIF(EXTRATO!$A$2:$A$3000,$A1115,EXTRATO!$L$2:$L$3000)+SUMIF(EXTRATO!$A$2:$A$3000,$A1115,EXTRATO!$M$2:$M$3000))</f>
        <v>21592.2</v>
      </c>
      <c r="G1115" s="81" t="str">
        <f>IF(A1115="","",IF(INDEX(EXTRATO!$G$2:$G$3000,MATCH($A1115,EXTRATO!$A$2:$A$3000,0))="","",INDEX(EXTRATO!$G$2:$G$3000,MATCH($A1115,EXTRATO!$A$2:$A$3000,0))))</f>
        <v>FARMACE (REF. SOL. ÁCIDA E BÁSICA, SORO 500ML, PARECETAMOL E ÁGUA DESTILADA) 1/2</v>
      </c>
      <c r="H1115" s="86" t="str">
        <f>IF(A1115="","",IF(INDEX(EXTRATO!$F$2:$F$3000,MATCH($A1115,EXTRATO!$A$2:$A$3000,0))="","",INDEX(EXTRATO!$F$2:$F$3000,MATCH($A1115,EXTRATO!$A$2:$A$3000,0))))</f>
        <v>SAÍDA</v>
      </c>
      <c r="I1115" s="88" t="str">
        <f>IF(A1115="","",IF(INDEX(EXTRATO!$H$2:$H$3000,MATCH($A1115,EXTRATO!$A$2:$A$3000,0))="","",INDEX(EXTRATO!$H$2:$H$3000,MATCH($A1115,EXTRATO!$A$2:$A$3000,0))))</f>
        <v>FARMACE</v>
      </c>
      <c r="J1115" s="86" t="str">
        <f t="shared" si="21"/>
        <v>PENDENTE</v>
      </c>
      <c r="K1115" s="86" t="str">
        <f>IF(AND(A1115="",D1115="",E1115="",F1115=""),"",IF(D1115="","SEM CATEGORIA",IF(E1115="","SEM SUBCATEGORIA",IF(COUNTIFS(CADASTROS!$L$7:$L$93,D1115,CADASTROS!$D$7:$D$93,E1115)=0,"INCOMPATÍVEL","OK"))))</f>
        <v>SEM CATEGORIA</v>
      </c>
    </row>
    <row r="1116" spans="1:11" ht="30" hidden="1" customHeight="1" x14ac:dyDescent="0.25">
      <c r="A1116" s="86" t="str">
        <f>IF(COUNTIF(EXTRATO!$A$2:$A$3000,"BAN-00973")=0,"","BAN-00973")</f>
        <v>BAN-00973</v>
      </c>
      <c r="B1116" s="85">
        <f>IF(A1116="","",IF(INDEX(EXTRATO!$C$2:$C$3000,MATCH($A1116,EXTRATO!$A$2:$A$3000,0))="","",INDEX(EXTRATO!$C$2:$C$3000,MATCH($A1116,EXTRATO!$A$2:$A$3000,0))))</f>
        <v>46296</v>
      </c>
      <c r="C1116" s="86">
        <f t="shared" si="22"/>
        <v>10</v>
      </c>
      <c r="D1116" s="81"/>
      <c r="E1116" s="79"/>
      <c r="F1116" s="80">
        <f>IF(A1116="","",SUMIF(EXTRATO!$A$2:$A$3000,$A1116,EXTRATO!$J$2:$J$3000)+SUMIF(EXTRATO!$A$2:$A$3000,$A1116,EXTRATO!$K$2:$K$3000)+SUMIF(EXTRATO!$A$2:$A$3000,$A1116,EXTRATO!$L$2:$L$3000)+SUMIF(EXTRATO!$A$2:$A$3000,$A1116,EXTRATO!$M$2:$M$3000))</f>
        <v>24976.3</v>
      </c>
      <c r="G1116" s="81" t="str">
        <f>IF(A1116="","",IF(INDEX(EXTRATO!$G$2:$G$3000,MATCH($A1116,EXTRATO!$A$2:$A$3000,0))="","",INDEX(EXTRATO!$G$2:$G$3000,MATCH($A1116,EXTRATO!$A$2:$A$3000,0))))</f>
        <v>EQUATORIAL MARANHÃO (REF. ENERGIA ELÉTRICA DA CLÍNICA) - REF. 09/2026</v>
      </c>
      <c r="H1116" s="86" t="str">
        <f>IF(A1116="","",IF(INDEX(EXTRATO!$F$2:$F$3000,MATCH($A1116,EXTRATO!$A$2:$A$3000,0))="","",INDEX(EXTRATO!$F$2:$F$3000,MATCH($A1116,EXTRATO!$A$2:$A$3000,0))))</f>
        <v>SAÍDA</v>
      </c>
      <c r="I1116" s="88" t="str">
        <f>IF(A1116="","",IF(INDEX(EXTRATO!$H$2:$H$3000,MATCH($A1116,EXTRATO!$A$2:$A$3000,0))="","",INDEX(EXTRATO!$H$2:$H$3000,MATCH($A1116,EXTRATO!$A$2:$A$3000,0))))</f>
        <v>EQUATORIAL MARANHÃO</v>
      </c>
      <c r="J1116" s="86" t="str">
        <f t="shared" si="21"/>
        <v>PENDENTE</v>
      </c>
      <c r="K1116" s="86" t="str">
        <f>IF(AND(A1116="",D1116="",E1116="",F1116=""),"",IF(D1116="","SEM CATEGORIA",IF(E1116="","SEM SUBCATEGORIA",IF(COUNTIFS(CADASTROS!$L$7:$L$93,D1116,CADASTROS!$D$7:$D$93,E1116)=0,"INCOMPATÍVEL","OK"))))</f>
        <v>SEM CATEGORIA</v>
      </c>
    </row>
    <row r="1117" spans="1:11" ht="30" hidden="1" customHeight="1" x14ac:dyDescent="0.25">
      <c r="A1117" s="86" t="str">
        <f>IF(COUNTIF(EXTRATO!$A$2:$A$3000,"BAN-00974")=0,"","BAN-00974")</f>
        <v>BAN-00974</v>
      </c>
      <c r="B1117" s="85">
        <f>IF(A1117="","",IF(INDEX(EXTRATO!$C$2:$C$3000,MATCH($A1117,EXTRATO!$A$2:$A$3000,0))="","",INDEX(EXTRATO!$C$2:$C$3000,MATCH($A1117,EXTRATO!$A$2:$A$3000,0))))</f>
        <v>46296</v>
      </c>
      <c r="C1117" s="86">
        <f t="shared" si="22"/>
        <v>10</v>
      </c>
      <c r="D1117" s="81"/>
      <c r="E1117" s="79"/>
      <c r="F1117" s="80">
        <f>IF(A1117="","",SUMIF(EXTRATO!$A$2:$A$3000,$A1117,EXTRATO!$J$2:$J$3000)+SUMIF(EXTRATO!$A$2:$A$3000,$A1117,EXTRATO!$K$2:$K$3000)+SUMIF(EXTRATO!$A$2:$A$3000,$A1117,EXTRATO!$L$2:$L$3000)+SUMIF(EXTRATO!$A$2:$A$3000,$A1117,EXTRATO!$M$2:$M$3000))</f>
        <v>88500</v>
      </c>
      <c r="G1117" s="81" t="str">
        <f>IF(A1117="","",IF(INDEX(EXTRATO!$G$2:$G$3000,MATCH($A1117,EXTRATO!$A$2:$A$3000,0))="","",INDEX(EXTRATO!$G$2:$G$3000,MATCH($A1117,EXTRATO!$A$2:$A$3000,0))))</f>
        <v>RESGATE BB CDB DI</v>
      </c>
      <c r="H1117" s="86" t="str">
        <f>IF(A1117="","",IF(INDEX(EXTRATO!$F$2:$F$3000,MATCH($A1117,EXTRATO!$A$2:$A$3000,0))="","",INDEX(EXTRATO!$F$2:$F$3000,MATCH($A1117,EXTRATO!$A$2:$A$3000,0))))</f>
        <v>RESGATE</v>
      </c>
      <c r="I1117" s="88" t="str">
        <f>IF(A1117="","",IF(INDEX(EXTRATO!$H$2:$H$3000,MATCH($A1117,EXTRATO!$A$2:$A$3000,0))="","",INDEX(EXTRATO!$H$2:$H$3000,MATCH($A1117,EXTRATO!$A$2:$A$3000,0))))</f>
        <v>RESGATE BB CDB DI</v>
      </c>
      <c r="J1117" s="86" t="str">
        <f t="shared" si="21"/>
        <v>PENDENTE</v>
      </c>
      <c r="K1117" s="86" t="str">
        <f>IF(AND(A1117="",D1117="",E1117="",F1117=""),"",IF(D1117="","SEM CATEGORIA",IF(E1117="","SEM SUBCATEGORIA",IF(COUNTIFS(CADASTROS!$L$7:$L$93,D1117,CADASTROS!$D$7:$D$93,E1117)=0,"INCOMPATÍVEL","OK"))))</f>
        <v>SEM CATEGORIA</v>
      </c>
    </row>
    <row r="1118" spans="1:11" ht="30" hidden="1" customHeight="1" x14ac:dyDescent="0.25">
      <c r="A1118" s="86" t="str">
        <f>IF(COUNTIF(EXTRATO!$A$2:$A$3000,"BAN-00975")=0,"","BAN-00975")</f>
        <v>BAN-00975</v>
      </c>
      <c r="B1118" s="85">
        <f>IF(A1118="","",IF(INDEX(EXTRATO!$C$2:$C$3000,MATCH($A1118,EXTRATO!$A$2:$A$3000,0))="","",INDEX(EXTRATO!$C$2:$C$3000,MATCH($A1118,EXTRATO!$A$2:$A$3000,0))))</f>
        <v>46297</v>
      </c>
      <c r="C1118" s="86">
        <f t="shared" si="22"/>
        <v>10</v>
      </c>
      <c r="D1118" s="81"/>
      <c r="E1118" s="79"/>
      <c r="F1118" s="80">
        <f>IF(A1118="","",SUMIF(EXTRATO!$A$2:$A$3000,$A1118,EXTRATO!$J$2:$J$3000)+SUMIF(EXTRATO!$A$2:$A$3000,$A1118,EXTRATO!$K$2:$K$3000)+SUMIF(EXTRATO!$A$2:$A$3000,$A1118,EXTRATO!$L$2:$L$3000)+SUMIF(EXTRATO!$A$2:$A$3000,$A1118,EXTRATO!$M$2:$M$3000))</f>
        <v>738.09</v>
      </c>
      <c r="G1118" s="81" t="str">
        <f>IF(A1118="","",IF(INDEX(EXTRATO!$G$2:$G$3000,MATCH($A1118,EXTRATO!$A$2:$A$3000,0))="","",INDEX(EXTRATO!$G$2:$G$3000,MATCH($A1118,EXTRATO!$A$2:$A$3000,0))))</f>
        <v>RESGATE BB CDB DI</v>
      </c>
      <c r="H1118" s="86" t="str">
        <f>IF(A1118="","",IF(INDEX(EXTRATO!$F$2:$F$3000,MATCH($A1118,EXTRATO!$A$2:$A$3000,0))="","",INDEX(EXTRATO!$F$2:$F$3000,MATCH($A1118,EXTRATO!$A$2:$A$3000,0))))</f>
        <v>RESGATE</v>
      </c>
      <c r="I1118" s="88" t="str">
        <f>IF(A1118="","",IF(INDEX(EXTRATO!$H$2:$H$3000,MATCH($A1118,EXTRATO!$A$2:$A$3000,0))="","",INDEX(EXTRATO!$H$2:$H$3000,MATCH($A1118,EXTRATO!$A$2:$A$3000,0))))</f>
        <v>RESGATE BB CDB DI</v>
      </c>
      <c r="J1118" s="86" t="str">
        <f t="shared" si="21"/>
        <v>PENDENTE</v>
      </c>
      <c r="K1118" s="86" t="str">
        <f>IF(AND(A1118="",D1118="",E1118="",F1118=""),"",IF(D1118="","SEM CATEGORIA",IF(E1118="","SEM SUBCATEGORIA",IF(COUNTIFS(CADASTROS!$L$7:$L$93,D1118,CADASTROS!$D$7:$D$93,E1118)=0,"INCOMPATÍVEL","OK"))))</f>
        <v>SEM CATEGORIA</v>
      </c>
    </row>
    <row r="1119" spans="1:11" ht="30" hidden="1" customHeight="1" x14ac:dyDescent="0.25">
      <c r="A1119" s="86" t="str">
        <f>IF(COUNTIF(EXTRATO!$A$2:$A$3000,"BAN-00976")=0,"","BAN-00976")</f>
        <v>BAN-00976</v>
      </c>
      <c r="B1119" s="85">
        <f>IF(A1119="","",IF(INDEX(EXTRATO!$C$2:$C$3000,MATCH($A1119,EXTRATO!$A$2:$A$3000,0))="","",INDEX(EXTRATO!$C$2:$C$3000,MATCH($A1119,EXTRATO!$A$2:$A$3000,0))))</f>
        <v>46297</v>
      </c>
      <c r="C1119" s="86">
        <f t="shared" si="22"/>
        <v>10</v>
      </c>
      <c r="D1119" s="81"/>
      <c r="E1119" s="79"/>
      <c r="F1119" s="80">
        <f>IF(A1119="","",SUMIF(EXTRATO!$A$2:$A$3000,$A1119,EXTRATO!$J$2:$J$3000)+SUMIF(EXTRATO!$A$2:$A$3000,$A1119,EXTRATO!$K$2:$K$3000)+SUMIF(EXTRATO!$A$2:$A$3000,$A1119,EXTRATO!$L$2:$L$3000)+SUMIF(EXTRATO!$A$2:$A$3000,$A1119,EXTRATO!$M$2:$M$3000))</f>
        <v>1295</v>
      </c>
      <c r="G1119" s="81" t="str">
        <f>IF(A1119="","",IF(INDEX(EXTRATO!$G$2:$G$3000,MATCH($A1119,EXTRATO!$A$2:$A$3000,0))="","",INDEX(EXTRATO!$G$2:$G$3000,MATCH($A1119,EXTRATO!$A$2:$A$3000,0))))</f>
        <v>INOVMED DISTRIBUIDORA (REF. COMPRESSA DE GAZE) 2/2</v>
      </c>
      <c r="H1119" s="86" t="str">
        <f>IF(A1119="","",IF(INDEX(EXTRATO!$F$2:$F$3000,MATCH($A1119,EXTRATO!$A$2:$A$3000,0))="","",INDEX(EXTRATO!$F$2:$F$3000,MATCH($A1119,EXTRATO!$A$2:$A$3000,0))))</f>
        <v>SAÍDA</v>
      </c>
      <c r="I1119" s="88" t="str">
        <f>IF(A1119="","",IF(INDEX(EXTRATO!$H$2:$H$3000,MATCH($A1119,EXTRATO!$A$2:$A$3000,0))="","",INDEX(EXTRATO!$H$2:$H$3000,MATCH($A1119,EXTRATO!$A$2:$A$3000,0))))</f>
        <v>INOVMED DISTRIBUIDORA</v>
      </c>
      <c r="J1119" s="86" t="str">
        <f t="shared" si="21"/>
        <v>PENDENTE</v>
      </c>
      <c r="K1119" s="86" t="str">
        <f>IF(AND(A1119="",D1119="",E1119="",F1119=""),"",IF(D1119="","SEM CATEGORIA",IF(E1119="","SEM SUBCATEGORIA",IF(COUNTIFS(CADASTROS!$L$7:$L$93,D1119,CADASTROS!$D$7:$D$93,E1119)=0,"INCOMPATÍVEL","OK"))))</f>
        <v>SEM CATEGORIA</v>
      </c>
    </row>
    <row r="1120" spans="1:11" ht="30" hidden="1" customHeight="1" x14ac:dyDescent="0.25">
      <c r="A1120" s="86" t="str">
        <f>IF(COUNTIF(EXTRATO!$A$2:$A$3000,"BAN-00977")=0,"","BAN-00977")</f>
        <v>BAN-00977</v>
      </c>
      <c r="B1120" s="85">
        <f>IF(A1120="","",IF(INDEX(EXTRATO!$C$2:$C$3000,MATCH($A1120,EXTRATO!$A$2:$A$3000,0))="","",INDEX(EXTRATO!$C$2:$C$3000,MATCH($A1120,EXTRATO!$A$2:$A$3000,0))))</f>
        <v>46297</v>
      </c>
      <c r="C1120" s="86">
        <f t="shared" si="22"/>
        <v>10</v>
      </c>
      <c r="D1120" s="81"/>
      <c r="E1120" s="79"/>
      <c r="F1120" s="80">
        <f>IF(A1120="","",SUMIF(EXTRATO!$A$2:$A$3000,$A1120,EXTRATO!$J$2:$J$3000)+SUMIF(EXTRATO!$A$2:$A$3000,$A1120,EXTRATO!$K$2:$K$3000)+SUMIF(EXTRATO!$A$2:$A$3000,$A1120,EXTRATO!$L$2:$L$3000)+SUMIF(EXTRATO!$A$2:$A$3000,$A1120,EXTRATO!$M$2:$M$3000))</f>
        <v>1000</v>
      </c>
      <c r="G1120" s="81" t="str">
        <f>IF(A1120="","",IF(INDEX(EXTRATO!$G$2:$G$3000,MATCH($A1120,EXTRATO!$A$2:$A$3000,0))="","",INDEX(EXTRATO!$G$2:$G$3000,MATCH($A1120,EXTRATO!$A$2:$A$3000,0))))</f>
        <v>RESGATE BB CDB DI</v>
      </c>
      <c r="H1120" s="86" t="str">
        <f>IF(A1120="","",IF(INDEX(EXTRATO!$F$2:$F$3000,MATCH($A1120,EXTRATO!$A$2:$A$3000,0))="","",INDEX(EXTRATO!$F$2:$F$3000,MATCH($A1120,EXTRATO!$A$2:$A$3000,0))))</f>
        <v>RESGATE</v>
      </c>
      <c r="I1120" s="88" t="str">
        <f>IF(A1120="","",IF(INDEX(EXTRATO!$H$2:$H$3000,MATCH($A1120,EXTRATO!$A$2:$A$3000,0))="","",INDEX(EXTRATO!$H$2:$H$3000,MATCH($A1120,EXTRATO!$A$2:$A$3000,0))))</f>
        <v>RESGATE BB CDB DI</v>
      </c>
      <c r="J1120" s="86" t="str">
        <f t="shared" si="21"/>
        <v>PENDENTE</v>
      </c>
      <c r="K1120" s="86" t="str">
        <f>IF(AND(A1120="",D1120="",E1120="",F1120=""),"",IF(D1120="","SEM CATEGORIA",IF(E1120="","SEM SUBCATEGORIA",IF(COUNTIFS(CADASTROS!$L$7:$L$93,D1120,CADASTROS!$D$7:$D$93,E1120)=0,"INCOMPATÍVEL","OK"))))</f>
        <v>SEM CATEGORIA</v>
      </c>
    </row>
    <row r="1121" spans="1:11" ht="30" hidden="1" customHeight="1" x14ac:dyDescent="0.25">
      <c r="A1121" s="86" t="str">
        <f>IF(COUNTIF(EXTRATO!$A$2:$A$3000,"BAN-00978")=0,"","BAN-00978")</f>
        <v>BAN-00978</v>
      </c>
      <c r="B1121" s="85">
        <f>IF(A1121="","",IF(INDEX(EXTRATO!$C$2:$C$3000,MATCH($A1121,EXTRATO!$A$2:$A$3000,0))="","",INDEX(EXTRATO!$C$2:$C$3000,MATCH($A1121,EXTRATO!$A$2:$A$3000,0))))</f>
        <v>46300</v>
      </c>
      <c r="C1121" s="86">
        <f t="shared" si="22"/>
        <v>10</v>
      </c>
      <c r="D1121" s="81"/>
      <c r="E1121" s="79"/>
      <c r="F1121" s="80">
        <f>IF(A1121="","",SUMIF(EXTRATO!$A$2:$A$3000,$A1121,EXTRATO!$J$2:$J$3000)+SUMIF(EXTRATO!$A$2:$A$3000,$A1121,EXTRATO!$K$2:$K$3000)+SUMIF(EXTRATO!$A$2:$A$3000,$A1121,EXTRATO!$L$2:$L$3000)+SUMIF(EXTRATO!$A$2:$A$3000,$A1121,EXTRATO!$M$2:$M$3000))</f>
        <v>8.7200000000000006</v>
      </c>
      <c r="G1121" s="81" t="str">
        <f>IF(A1121="","",IF(INDEX(EXTRATO!$G$2:$G$3000,MATCH($A1121,EXTRATO!$A$2:$A$3000,0))="","",INDEX(EXTRATO!$G$2:$G$3000,MATCH($A1121,EXTRATO!$A$2:$A$3000,0))))</f>
        <v>RESGATE BB CDB DI</v>
      </c>
      <c r="H1121" s="86" t="str">
        <f>IF(A1121="","",IF(INDEX(EXTRATO!$F$2:$F$3000,MATCH($A1121,EXTRATO!$A$2:$A$3000,0))="","",INDEX(EXTRATO!$F$2:$F$3000,MATCH($A1121,EXTRATO!$A$2:$A$3000,0))))</f>
        <v>RESGATE</v>
      </c>
      <c r="I1121" s="88" t="str">
        <f>IF(A1121="","",IF(INDEX(EXTRATO!$H$2:$H$3000,MATCH($A1121,EXTRATO!$A$2:$A$3000,0))="","",INDEX(EXTRATO!$H$2:$H$3000,MATCH($A1121,EXTRATO!$A$2:$A$3000,0))))</f>
        <v>RESGATE BB CDB DI</v>
      </c>
      <c r="J1121" s="86" t="str">
        <f t="shared" si="21"/>
        <v>PENDENTE</v>
      </c>
      <c r="K1121" s="86" t="str">
        <f>IF(AND(A1121="",D1121="",E1121="",F1121=""),"",IF(D1121="","SEM CATEGORIA",IF(E1121="","SEM SUBCATEGORIA",IF(COUNTIFS(CADASTROS!$L$7:$L$93,D1121,CADASTROS!$D$7:$D$93,E1121)=0,"INCOMPATÍVEL","OK"))))</f>
        <v>SEM CATEGORIA</v>
      </c>
    </row>
    <row r="1122" spans="1:11" ht="30" hidden="1" customHeight="1" x14ac:dyDescent="0.25">
      <c r="A1122" s="86" t="str">
        <f>IF(COUNTIF(EXTRATO!$A$2:$A$3000,"BAN-00979")=0,"","BAN-00979")</f>
        <v>BAN-00979</v>
      </c>
      <c r="B1122" s="85">
        <f>IF(A1122="","",IF(INDEX(EXTRATO!$C$2:$C$3000,MATCH($A1122,EXTRATO!$A$2:$A$3000,0))="","",INDEX(EXTRATO!$C$2:$C$3000,MATCH($A1122,EXTRATO!$A$2:$A$3000,0))))</f>
        <v>46300</v>
      </c>
      <c r="C1122" s="86">
        <f t="shared" si="22"/>
        <v>10</v>
      </c>
      <c r="D1122" s="81"/>
      <c r="E1122" s="79"/>
      <c r="F1122" s="80">
        <f>IF(A1122="","",SUMIF(EXTRATO!$A$2:$A$3000,$A1122,EXTRATO!$J$2:$J$3000)+SUMIF(EXTRATO!$A$2:$A$3000,$A1122,EXTRATO!$K$2:$K$3000)+SUMIF(EXTRATO!$A$2:$A$3000,$A1122,EXTRATO!$L$2:$L$3000)+SUMIF(EXTRATO!$A$2:$A$3000,$A1122,EXTRATO!$M$2:$M$3000))</f>
        <v>787.57</v>
      </c>
      <c r="G1122" s="81" t="str">
        <f>IF(A1122="","",IF(INDEX(EXTRATO!$G$2:$G$3000,MATCH($A1122,EXTRATO!$A$2:$A$3000,0))="","",INDEX(EXTRATO!$G$2:$G$3000,MATCH($A1122,EXTRATO!$A$2:$A$3000,0))))</f>
        <v>PNEUFREE COM BRASIL LTDA (REF. COMPRA PNEU CARRO DA CLINICA)</v>
      </c>
      <c r="H1122" s="86" t="str">
        <f>IF(A1122="","",IF(INDEX(EXTRATO!$F$2:$F$3000,MATCH($A1122,EXTRATO!$A$2:$A$3000,0))="","",INDEX(EXTRATO!$F$2:$F$3000,MATCH($A1122,EXTRATO!$A$2:$A$3000,0))))</f>
        <v>SAÍDA</v>
      </c>
      <c r="I1122" s="88" t="str">
        <f>IF(A1122="","",IF(INDEX(EXTRATO!$H$2:$H$3000,MATCH($A1122,EXTRATO!$A$2:$A$3000,0))="","",INDEX(EXTRATO!$H$2:$H$3000,MATCH($A1122,EXTRATO!$A$2:$A$3000,0))))</f>
        <v>PNEUFREE</v>
      </c>
      <c r="J1122" s="86" t="str">
        <f t="shared" si="21"/>
        <v>PENDENTE</v>
      </c>
      <c r="K1122" s="86" t="str">
        <f>IF(AND(A1122="",D1122="",E1122="",F1122=""),"",IF(D1122="","SEM CATEGORIA",IF(E1122="","SEM SUBCATEGORIA",IF(COUNTIFS(CADASTROS!$L$7:$L$93,D1122,CADASTROS!$D$7:$D$93,E1122)=0,"INCOMPATÍVEL","OK"))))</f>
        <v>SEM CATEGORIA</v>
      </c>
    </row>
    <row r="1123" spans="1:11" ht="30" hidden="1" customHeight="1" x14ac:dyDescent="0.25">
      <c r="A1123" s="86" t="str">
        <f>IF(COUNTIF(EXTRATO!$A$2:$A$3000,"BAN-00980")=0,"","BAN-00980")</f>
        <v>BAN-00980</v>
      </c>
      <c r="B1123" s="85">
        <f>IF(A1123="","",IF(INDEX(EXTRATO!$C$2:$C$3000,MATCH($A1123,EXTRATO!$A$2:$A$3000,0))="","",INDEX(EXTRATO!$C$2:$C$3000,MATCH($A1123,EXTRATO!$A$2:$A$3000,0))))</f>
        <v>46300</v>
      </c>
      <c r="C1123" s="86">
        <f t="shared" si="22"/>
        <v>10</v>
      </c>
      <c r="D1123" s="81"/>
      <c r="E1123" s="79"/>
      <c r="F1123" s="80">
        <f>IF(A1123="","",SUMIF(EXTRATO!$A$2:$A$3000,$A1123,EXTRATO!$J$2:$J$3000)+SUMIF(EXTRATO!$A$2:$A$3000,$A1123,EXTRATO!$K$2:$K$3000)+SUMIF(EXTRATO!$A$2:$A$3000,$A1123,EXTRATO!$L$2:$L$3000)+SUMIF(EXTRATO!$A$2:$A$3000,$A1123,EXTRATO!$M$2:$M$3000))</f>
        <v>73.78</v>
      </c>
      <c r="G1123" s="81" t="str">
        <f>IF(A1123="","",IF(INDEX(EXTRATO!$G$2:$G$3000,MATCH($A1123,EXTRATO!$A$2:$A$3000,0))="","",INDEX(EXTRATO!$G$2:$G$3000,MATCH($A1123,EXTRATO!$A$2:$A$3000,0))))</f>
        <v>MARKETPLACE MARKETPLACE MERCADO LIVRE (NF- ???????) - CALOTAS PARA CARRO DA CLINICA</v>
      </c>
      <c r="H1123" s="86" t="str">
        <f>IF(A1123="","",IF(INDEX(EXTRATO!$F$2:$F$3000,MATCH($A1123,EXTRATO!$A$2:$A$3000,0))="","",INDEX(EXTRATO!$F$2:$F$3000,MATCH($A1123,EXTRATO!$A$2:$A$3000,0))))</f>
        <v>SAÍDA</v>
      </c>
      <c r="I1123" s="88" t="str">
        <f>IF(A1123="","",IF(INDEX(EXTRATO!$H$2:$H$3000,MATCH($A1123,EXTRATO!$A$2:$A$3000,0))="","",INDEX(EXTRATO!$H$2:$H$3000,MATCH($A1123,EXTRATO!$A$2:$A$3000,0))))</f>
        <v>MERCADO LIVRE</v>
      </c>
      <c r="J1123" s="86" t="str">
        <f t="shared" si="21"/>
        <v>PENDENTE</v>
      </c>
      <c r="K1123" s="86" t="str">
        <f>IF(AND(A1123="",D1123="",E1123="",F1123=""),"",IF(D1123="","SEM CATEGORIA",IF(E1123="","SEM SUBCATEGORIA",IF(COUNTIFS(CADASTROS!$L$7:$L$93,D1123,CADASTROS!$D$7:$D$93,E1123)=0,"INCOMPATÍVEL","OK"))))</f>
        <v>SEM CATEGORIA</v>
      </c>
    </row>
    <row r="1124" spans="1:11" ht="30" hidden="1" customHeight="1" x14ac:dyDescent="0.25">
      <c r="A1124" s="86" t="str">
        <f>IF(COUNTIF(EXTRATO!$A$2:$A$3000,"BAN-00981")=0,"","BAN-00981")</f>
        <v>BAN-00981</v>
      </c>
      <c r="B1124" s="85">
        <f>IF(A1124="","",IF(INDEX(EXTRATO!$C$2:$C$3000,MATCH($A1124,EXTRATO!$A$2:$A$3000,0))="","",INDEX(EXTRATO!$C$2:$C$3000,MATCH($A1124,EXTRATO!$A$2:$A$3000,0))))</f>
        <v>46300</v>
      </c>
      <c r="C1124" s="86">
        <f t="shared" si="22"/>
        <v>10</v>
      </c>
      <c r="D1124" s="81"/>
      <c r="E1124" s="79"/>
      <c r="F1124" s="80">
        <f>IF(A1124="","",SUMIF(EXTRATO!$A$2:$A$3000,$A1124,EXTRATO!$J$2:$J$3000)+SUMIF(EXTRATO!$A$2:$A$3000,$A1124,EXTRATO!$K$2:$K$3000)+SUMIF(EXTRATO!$A$2:$A$3000,$A1124,EXTRATO!$L$2:$L$3000)+SUMIF(EXTRATO!$A$2:$A$3000,$A1124,EXTRATO!$M$2:$M$3000))</f>
        <v>2593</v>
      </c>
      <c r="G1124" s="81" t="str">
        <f>IF(A1124="","",IF(INDEX(EXTRATO!$G$2:$G$3000,MATCH($A1124,EXTRATO!$A$2:$A$3000,0))="","",INDEX(EXTRATO!$G$2:$G$3000,MATCH($A1124,EXTRATO!$A$2:$A$3000,0))))</f>
        <v>CASSIANO &amp; CASSINOS CONTABILIDADE</v>
      </c>
      <c r="H1124" s="86" t="str">
        <f>IF(A1124="","",IF(INDEX(EXTRATO!$F$2:$F$3000,MATCH($A1124,EXTRATO!$A$2:$A$3000,0))="","",INDEX(EXTRATO!$F$2:$F$3000,MATCH($A1124,EXTRATO!$A$2:$A$3000,0))))</f>
        <v>SAÍDA</v>
      </c>
      <c r="I1124" s="88" t="str">
        <f>IF(A1124="","",IF(INDEX(EXTRATO!$H$2:$H$3000,MATCH($A1124,EXTRATO!$A$2:$A$3000,0))="","",INDEX(EXTRATO!$H$2:$H$3000,MATCH($A1124,EXTRATO!$A$2:$A$3000,0))))</f>
        <v>CASSIANO &amp; CASSINOS CONTABILIDADE</v>
      </c>
      <c r="J1124" s="86" t="str">
        <f t="shared" si="21"/>
        <v>PENDENTE</v>
      </c>
      <c r="K1124" s="86" t="str">
        <f>IF(AND(A1124="",D1124="",E1124="",F1124=""),"",IF(D1124="","SEM CATEGORIA",IF(E1124="","SEM SUBCATEGORIA",IF(COUNTIFS(CADASTROS!$L$7:$L$93,D1124,CADASTROS!$D$7:$D$93,E1124)=0,"INCOMPATÍVEL","OK"))))</f>
        <v>SEM CATEGORIA</v>
      </c>
    </row>
    <row r="1125" spans="1:11" ht="30" hidden="1" customHeight="1" x14ac:dyDescent="0.25">
      <c r="A1125" s="86" t="str">
        <f>IF(COUNTIF(EXTRATO!$A$2:$A$3000,"BAN-00982")=0,"","BAN-00982")</f>
        <v>BAN-00982</v>
      </c>
      <c r="B1125" s="85">
        <f>IF(A1125="","",IF(INDEX(EXTRATO!$C$2:$C$3000,MATCH($A1125,EXTRATO!$A$2:$A$3000,0))="","",INDEX(EXTRATO!$C$2:$C$3000,MATCH($A1125,EXTRATO!$A$2:$A$3000,0))))</f>
        <v>46300</v>
      </c>
      <c r="C1125" s="86">
        <f t="shared" si="22"/>
        <v>10</v>
      </c>
      <c r="D1125" s="81"/>
      <c r="E1125" s="79"/>
      <c r="F1125" s="80">
        <f>IF(A1125="","",SUMIF(EXTRATO!$A$2:$A$3000,$A1125,EXTRATO!$J$2:$J$3000)+SUMIF(EXTRATO!$A$2:$A$3000,$A1125,EXTRATO!$K$2:$K$3000)+SUMIF(EXTRATO!$A$2:$A$3000,$A1125,EXTRATO!$L$2:$L$3000)+SUMIF(EXTRATO!$A$2:$A$3000,$A1125,EXTRATO!$M$2:$M$3000))</f>
        <v>1607.5</v>
      </c>
      <c r="G1125" s="81" t="str">
        <f>IF(A1125="","",IF(INDEX(EXTRATO!$G$2:$G$3000,MATCH($A1125,EXTRATO!$A$2:$A$3000,0))="","",INDEX(EXTRATO!$G$2:$G$3000,MATCH($A1125,EXTRATO!$A$2:$A$3000,0))))</f>
        <v>BIOCOMPANY (REF. CATETER DE 15CM E 28CM, PERMCATCH 28CM E CURATIVOS) 2/2</v>
      </c>
      <c r="H1125" s="86" t="str">
        <f>IF(A1125="","",IF(INDEX(EXTRATO!$F$2:$F$3000,MATCH($A1125,EXTRATO!$A$2:$A$3000,0))="","",INDEX(EXTRATO!$F$2:$F$3000,MATCH($A1125,EXTRATO!$A$2:$A$3000,0))))</f>
        <v>SAÍDA</v>
      </c>
      <c r="I1125" s="88" t="str">
        <f>IF(A1125="","",IF(INDEX(EXTRATO!$H$2:$H$3000,MATCH($A1125,EXTRATO!$A$2:$A$3000,0))="","",INDEX(EXTRATO!$H$2:$H$3000,MATCH($A1125,EXTRATO!$A$2:$A$3000,0))))</f>
        <v>BIOCOMPANY</v>
      </c>
      <c r="J1125" s="86" t="str">
        <f t="shared" si="21"/>
        <v>PENDENTE</v>
      </c>
      <c r="K1125" s="86" t="str">
        <f>IF(AND(A1125="",D1125="",E1125="",F1125=""),"",IF(D1125="","SEM CATEGORIA",IF(E1125="","SEM SUBCATEGORIA",IF(COUNTIFS(CADASTROS!$L$7:$L$93,D1125,CADASTROS!$D$7:$D$93,E1125)=0,"INCOMPATÍVEL","OK"))))</f>
        <v>SEM CATEGORIA</v>
      </c>
    </row>
    <row r="1126" spans="1:11" ht="30" hidden="1" customHeight="1" x14ac:dyDescent="0.25">
      <c r="A1126" s="86" t="str">
        <f>IF(COUNTIF(EXTRATO!$A$2:$A$3000,"BAN-00983")=0,"","BAN-00983")</f>
        <v>BAN-00983</v>
      </c>
      <c r="B1126" s="85">
        <f>IF(A1126="","",IF(INDEX(EXTRATO!$C$2:$C$3000,MATCH($A1126,EXTRATO!$A$2:$A$3000,0))="","",INDEX(EXTRATO!$C$2:$C$3000,MATCH($A1126,EXTRATO!$A$2:$A$3000,0))))</f>
        <v>46300</v>
      </c>
      <c r="C1126" s="86">
        <f t="shared" si="22"/>
        <v>10</v>
      </c>
      <c r="D1126" s="81"/>
      <c r="E1126" s="79"/>
      <c r="F1126" s="80">
        <f>IF(A1126="","",SUMIF(EXTRATO!$A$2:$A$3000,$A1126,EXTRATO!$J$2:$J$3000)+SUMIF(EXTRATO!$A$2:$A$3000,$A1126,EXTRATO!$K$2:$K$3000)+SUMIF(EXTRATO!$A$2:$A$3000,$A1126,EXTRATO!$L$2:$L$3000)+SUMIF(EXTRATO!$A$2:$A$3000,$A1126,EXTRATO!$M$2:$M$3000))</f>
        <v>5000</v>
      </c>
      <c r="G1126" s="81" t="str">
        <f>IF(A1126="","",IF(INDEX(EXTRATO!$G$2:$G$3000,MATCH($A1126,EXTRATO!$A$2:$A$3000,0))="","",INDEX(EXTRATO!$G$2:$G$3000,MATCH($A1126,EXTRATO!$A$2:$A$3000,0))))</f>
        <v>RESGATE BB CDB DI</v>
      </c>
      <c r="H1126" s="86" t="str">
        <f>IF(A1126="","",IF(INDEX(EXTRATO!$F$2:$F$3000,MATCH($A1126,EXTRATO!$A$2:$A$3000,0))="","",INDEX(EXTRATO!$F$2:$F$3000,MATCH($A1126,EXTRATO!$A$2:$A$3000,0))))</f>
        <v>RESGATE</v>
      </c>
      <c r="I1126" s="88" t="str">
        <f>IF(A1126="","",IF(INDEX(EXTRATO!$H$2:$H$3000,MATCH($A1126,EXTRATO!$A$2:$A$3000,0))="","",INDEX(EXTRATO!$H$2:$H$3000,MATCH($A1126,EXTRATO!$A$2:$A$3000,0))))</f>
        <v>RESGATE BB CDB DI</v>
      </c>
      <c r="J1126" s="86" t="str">
        <f t="shared" si="21"/>
        <v>PENDENTE</v>
      </c>
      <c r="K1126" s="86" t="str">
        <f>IF(AND(A1126="",D1126="",E1126="",F1126=""),"",IF(D1126="","SEM CATEGORIA",IF(E1126="","SEM SUBCATEGORIA",IF(COUNTIFS(CADASTROS!$L$7:$L$93,D1126,CADASTROS!$D$7:$D$93,E1126)=0,"INCOMPATÍVEL","OK"))))</f>
        <v>SEM CATEGORIA</v>
      </c>
    </row>
    <row r="1127" spans="1:11" ht="30" hidden="1" customHeight="1" x14ac:dyDescent="0.25">
      <c r="A1127" s="86" t="str">
        <f>IF(COUNTIF(EXTRATO!$A$2:$A$3000,"BAN-00984")=0,"","BAN-00984")</f>
        <v>BAN-00984</v>
      </c>
      <c r="B1127" s="85">
        <f>IF(A1127="","",IF(INDEX(EXTRATO!$C$2:$C$3000,MATCH($A1127,EXTRATO!$A$2:$A$3000,0))="","",INDEX(EXTRATO!$C$2:$C$3000,MATCH($A1127,EXTRATO!$A$2:$A$3000,0))))</f>
        <v>46300</v>
      </c>
      <c r="C1127" s="86">
        <f t="shared" si="22"/>
        <v>10</v>
      </c>
      <c r="D1127" s="81"/>
      <c r="E1127" s="79"/>
      <c r="F1127" s="80">
        <f>IF(A1127="","",SUMIF(EXTRATO!$A$2:$A$3000,$A1127,EXTRATO!$J$2:$J$3000)+SUMIF(EXTRATO!$A$2:$A$3000,$A1127,EXTRATO!$K$2:$K$3000)+SUMIF(EXTRATO!$A$2:$A$3000,$A1127,EXTRATO!$L$2:$L$3000)+SUMIF(EXTRATO!$A$2:$A$3000,$A1127,EXTRATO!$M$2:$M$3000))</f>
        <v>45.5</v>
      </c>
      <c r="G1127" s="81" t="str">
        <f>IF(A1127="","",IF(INDEX(EXTRATO!$G$2:$G$3000,MATCH($A1127,EXTRATO!$A$2:$A$3000,0))="","",INDEX(EXTRATO!$G$2:$G$3000,MATCH($A1127,EXTRATO!$A$2:$A$3000,0))))</f>
        <v>RESGATE BB CDB DI</v>
      </c>
      <c r="H1127" s="86" t="str">
        <f>IF(A1127="","",IF(INDEX(EXTRATO!$F$2:$F$3000,MATCH($A1127,EXTRATO!$A$2:$A$3000,0))="","",INDEX(EXTRATO!$F$2:$F$3000,MATCH($A1127,EXTRATO!$A$2:$A$3000,0))))</f>
        <v>RESGATE</v>
      </c>
      <c r="I1127" s="88" t="str">
        <f>IF(A1127="","",IF(INDEX(EXTRATO!$H$2:$H$3000,MATCH($A1127,EXTRATO!$A$2:$A$3000,0))="","",INDEX(EXTRATO!$H$2:$H$3000,MATCH($A1127,EXTRATO!$A$2:$A$3000,0))))</f>
        <v>RESGATE BB CDB DI</v>
      </c>
      <c r="J1127" s="86" t="str">
        <f t="shared" si="21"/>
        <v>PENDENTE</v>
      </c>
      <c r="K1127" s="86" t="str">
        <f>IF(AND(A1127="",D1127="",E1127="",F1127=""),"",IF(D1127="","SEM CATEGORIA",IF(E1127="","SEM SUBCATEGORIA",IF(COUNTIFS(CADASTROS!$L$7:$L$93,D1127,CADASTROS!$D$7:$D$93,E1127)=0,"INCOMPATÍVEL","OK"))))</f>
        <v>SEM CATEGORIA</v>
      </c>
    </row>
    <row r="1128" spans="1:11" ht="30" hidden="1" customHeight="1" x14ac:dyDescent="0.25">
      <c r="A1128" s="86" t="str">
        <f>IF(COUNTIF(EXTRATO!$A$2:$A$3000,"BAN-00985")=0,"","BAN-00985")</f>
        <v>BAN-00985</v>
      </c>
      <c r="B1128" s="85">
        <f>IF(A1128="","",IF(INDEX(EXTRATO!$C$2:$C$3000,MATCH($A1128,EXTRATO!$A$2:$A$3000,0))="","",INDEX(EXTRATO!$C$2:$C$3000,MATCH($A1128,EXTRATO!$A$2:$A$3000,0))))</f>
        <v>46301</v>
      </c>
      <c r="C1128" s="86">
        <f t="shared" si="22"/>
        <v>10</v>
      </c>
      <c r="D1128" s="81"/>
      <c r="E1128" s="79"/>
      <c r="F1128" s="80">
        <f>IF(A1128="","",SUMIF(EXTRATO!$A$2:$A$3000,$A1128,EXTRATO!$J$2:$J$3000)+SUMIF(EXTRATO!$A$2:$A$3000,$A1128,EXTRATO!$K$2:$K$3000)+SUMIF(EXTRATO!$A$2:$A$3000,$A1128,EXTRATO!$L$2:$L$3000)+SUMIF(EXTRATO!$A$2:$A$3000,$A1128,EXTRATO!$M$2:$M$3000))</f>
        <v>74068.479999999996</v>
      </c>
      <c r="G1128" s="81" t="str">
        <f>IF(A1128="","",IF(INDEX(EXTRATO!$G$2:$G$3000,MATCH($A1128,EXTRATO!$A$2:$A$3000,0))="","",INDEX(EXTRATO!$G$2:$G$3000,MATCH($A1128,EXTRATO!$A$2:$A$3000,0))))</f>
        <v>FOLHA DE PAGAMENTO (REF. PAGAMENTO DE SALÁRIO - COMP. 09/2026)</v>
      </c>
      <c r="H1128" s="86" t="str">
        <f>IF(A1128="","",IF(INDEX(EXTRATO!$F$2:$F$3000,MATCH($A1128,EXTRATO!$A$2:$A$3000,0))="","",INDEX(EXTRATO!$F$2:$F$3000,MATCH($A1128,EXTRATO!$A$2:$A$3000,0))))</f>
        <v>SAÍDA</v>
      </c>
      <c r="I1128" s="88" t="str">
        <f>IF(A1128="","",IF(INDEX(EXTRATO!$H$2:$H$3000,MATCH($A1128,EXTRATO!$A$2:$A$3000,0))="","",INDEX(EXTRATO!$H$2:$H$3000,MATCH($A1128,EXTRATO!$A$2:$A$3000,0))))</f>
        <v>FOLHA DE PAGAMENTO</v>
      </c>
      <c r="J1128" s="86" t="str">
        <f t="shared" si="21"/>
        <v>PENDENTE</v>
      </c>
      <c r="K1128" s="86" t="str">
        <f>IF(AND(A1128="",D1128="",E1128="",F1128=""),"",IF(D1128="","SEM CATEGORIA",IF(E1128="","SEM SUBCATEGORIA",IF(COUNTIFS(CADASTROS!$L$7:$L$93,D1128,CADASTROS!$D$7:$D$93,E1128)=0,"INCOMPATÍVEL","OK"))))</f>
        <v>SEM CATEGORIA</v>
      </c>
    </row>
    <row r="1129" spans="1:11" ht="30" hidden="1" customHeight="1" x14ac:dyDescent="0.25">
      <c r="A1129" s="86" t="str">
        <f>IF(COUNTIF(EXTRATO!$A$2:$A$3000,"BAN-00986")=0,"","BAN-00986")</f>
        <v>BAN-00986</v>
      </c>
      <c r="B1129" s="85">
        <f>IF(A1129="","",IF(INDEX(EXTRATO!$C$2:$C$3000,MATCH($A1129,EXTRATO!$A$2:$A$3000,0))="","",INDEX(EXTRATO!$C$2:$C$3000,MATCH($A1129,EXTRATO!$A$2:$A$3000,0))))</f>
        <v>46301</v>
      </c>
      <c r="C1129" s="86">
        <f t="shared" si="22"/>
        <v>10</v>
      </c>
      <c r="D1129" s="81"/>
      <c r="E1129" s="79"/>
      <c r="F1129" s="80">
        <f>IF(A1129="","",SUMIF(EXTRATO!$A$2:$A$3000,$A1129,EXTRATO!$J$2:$J$3000)+SUMIF(EXTRATO!$A$2:$A$3000,$A1129,EXTRATO!$K$2:$K$3000)+SUMIF(EXTRATO!$A$2:$A$3000,$A1129,EXTRATO!$L$2:$L$3000)+SUMIF(EXTRATO!$A$2:$A$3000,$A1129,EXTRATO!$M$2:$M$3000))</f>
        <v>300</v>
      </c>
      <c r="G1129" s="81" t="str">
        <f>IF(A1129="","",IF(INDEX(EXTRATO!$G$2:$G$3000,MATCH($A1129,EXTRATO!$A$2:$A$3000,0))="","",INDEX(EXTRATO!$G$2:$G$3000,MATCH($A1129,EXTRATO!$A$2:$A$3000,0))))</f>
        <v>FERCASTRO (REF. COMPRA DE BOTINA DE EPI E FITAS SILVER TAPE)</v>
      </c>
      <c r="H1129" s="86" t="str">
        <f>IF(A1129="","",IF(INDEX(EXTRATO!$F$2:$F$3000,MATCH($A1129,EXTRATO!$A$2:$A$3000,0))="","",INDEX(EXTRATO!$F$2:$F$3000,MATCH($A1129,EXTRATO!$A$2:$A$3000,0))))</f>
        <v>SAÍDA</v>
      </c>
      <c r="I1129" s="88" t="str">
        <f>IF(A1129="","",IF(INDEX(EXTRATO!$H$2:$H$3000,MATCH($A1129,EXTRATO!$A$2:$A$3000,0))="","",INDEX(EXTRATO!$H$2:$H$3000,MATCH($A1129,EXTRATO!$A$2:$A$3000,0))))</f>
        <v>FERCASTRO</v>
      </c>
      <c r="J1129" s="86" t="str">
        <f t="shared" si="21"/>
        <v>PENDENTE</v>
      </c>
      <c r="K1129" s="86" t="str">
        <f>IF(AND(A1129="",D1129="",E1129="",F1129=""),"",IF(D1129="","SEM CATEGORIA",IF(E1129="","SEM SUBCATEGORIA",IF(COUNTIFS(CADASTROS!$L$7:$L$93,D1129,CADASTROS!$D$7:$D$93,E1129)=0,"INCOMPATÍVEL","OK"))))</f>
        <v>SEM CATEGORIA</v>
      </c>
    </row>
    <row r="1130" spans="1:11" ht="30" hidden="1" customHeight="1" x14ac:dyDescent="0.25">
      <c r="A1130" s="86" t="str">
        <f>IF(COUNTIF(EXTRATO!$A$2:$A$3000,"BAN-00987")=0,"","BAN-00987")</f>
        <v>BAN-00987</v>
      </c>
      <c r="B1130" s="85">
        <f>IF(A1130="","",IF(INDEX(EXTRATO!$C$2:$C$3000,MATCH($A1130,EXTRATO!$A$2:$A$3000,0))="","",INDEX(EXTRATO!$C$2:$C$3000,MATCH($A1130,EXTRATO!$A$2:$A$3000,0))))</f>
        <v>46301</v>
      </c>
      <c r="C1130" s="86">
        <f t="shared" si="22"/>
        <v>10</v>
      </c>
      <c r="D1130" s="81"/>
      <c r="E1130" s="79"/>
      <c r="F1130" s="80">
        <f>IF(A1130="","",SUMIF(EXTRATO!$A$2:$A$3000,$A1130,EXTRATO!$J$2:$J$3000)+SUMIF(EXTRATO!$A$2:$A$3000,$A1130,EXTRATO!$K$2:$K$3000)+SUMIF(EXTRATO!$A$2:$A$3000,$A1130,EXTRATO!$L$2:$L$3000)+SUMIF(EXTRATO!$A$2:$A$3000,$A1130,EXTRATO!$M$2:$M$3000))</f>
        <v>5418.96</v>
      </c>
      <c r="G1130" s="81" t="str">
        <f>IF(A1130="","",IF(INDEX(EXTRATO!$G$2:$G$3000,MATCH($A1130,EXTRATO!$A$2:$A$3000,0))="","",INDEX(EXTRATO!$G$2:$G$3000,MATCH($A1130,EXTRATO!$A$2:$A$3000,0))))</f>
        <v>BANCO BRB (REF. PAGAMENTO DE HONORÁRIOS ADVOCATÍCIOS EM PROCESSO DO TERRENO DA CLÍNICA (08050781220238100056)</v>
      </c>
      <c r="H1130" s="86" t="str">
        <f>IF(A1130="","",IF(INDEX(EXTRATO!$F$2:$F$3000,MATCH($A1130,EXTRATO!$A$2:$A$3000,0))="","",INDEX(EXTRATO!$F$2:$F$3000,MATCH($A1130,EXTRATO!$A$2:$A$3000,0))))</f>
        <v>SAÍDA</v>
      </c>
      <c r="I1130" s="88" t="str">
        <f>IF(A1130="","",IF(INDEX(EXTRATO!$H$2:$H$3000,MATCH($A1130,EXTRATO!$A$2:$A$3000,0))="","",INDEX(EXTRATO!$H$2:$H$3000,MATCH($A1130,EXTRATO!$A$2:$A$3000,0))))</f>
        <v>HONORÁRIOS ADVOCATÍCIOS</v>
      </c>
      <c r="J1130" s="86" t="str">
        <f t="shared" si="21"/>
        <v>PENDENTE</v>
      </c>
      <c r="K1130" s="86" t="str">
        <f>IF(AND(A1130="",D1130="",E1130="",F1130=""),"",IF(D1130="","SEM CATEGORIA",IF(E1130="","SEM SUBCATEGORIA",IF(COUNTIFS(CADASTROS!$L$7:$L$93,D1130,CADASTROS!$D$7:$D$93,E1130)=0,"INCOMPATÍVEL","OK"))))</f>
        <v>SEM CATEGORIA</v>
      </c>
    </row>
    <row r="1131" spans="1:11" ht="30" hidden="1" customHeight="1" x14ac:dyDescent="0.25">
      <c r="A1131" s="86" t="str">
        <f>IF(COUNTIF(EXTRATO!$A$2:$A$3000,"BAN-00988")=0,"","BAN-00988")</f>
        <v>BAN-00988</v>
      </c>
      <c r="B1131" s="85">
        <f>IF(A1131="","",IF(INDEX(EXTRATO!$C$2:$C$3000,MATCH($A1131,EXTRATO!$A$2:$A$3000,0))="","",INDEX(EXTRATO!$C$2:$C$3000,MATCH($A1131,EXTRATO!$A$2:$A$3000,0))))</f>
        <v>46301</v>
      </c>
      <c r="C1131" s="86">
        <f t="shared" si="22"/>
        <v>10</v>
      </c>
      <c r="D1131" s="81"/>
      <c r="E1131" s="79"/>
      <c r="F1131" s="80">
        <f>IF(A1131="","",SUMIF(EXTRATO!$A$2:$A$3000,$A1131,EXTRATO!$J$2:$J$3000)+SUMIF(EXTRATO!$A$2:$A$3000,$A1131,EXTRATO!$K$2:$K$3000)+SUMIF(EXTRATO!$A$2:$A$3000,$A1131,EXTRATO!$L$2:$L$3000)+SUMIF(EXTRATO!$A$2:$A$3000,$A1131,EXTRATO!$M$2:$M$3000))</f>
        <v>45.25</v>
      </c>
      <c r="G1131" s="81" t="str">
        <f>IF(A1131="","",IF(INDEX(EXTRATO!$G$2:$G$3000,MATCH($A1131,EXTRATO!$A$2:$A$3000,0))="","",INDEX(EXTRATO!$G$2:$G$3000,MATCH($A1131,EXTRATO!$A$2:$A$3000,0))))</f>
        <v>TARIFA BANCÁRIA (SALÁRIO CRÉD. CONTA)</v>
      </c>
      <c r="H1131" s="86" t="str">
        <f>IF(A1131="","",IF(INDEX(EXTRATO!$F$2:$F$3000,MATCH($A1131,EXTRATO!$A$2:$A$3000,0))="","",INDEX(EXTRATO!$F$2:$F$3000,MATCH($A1131,EXTRATO!$A$2:$A$3000,0))))</f>
        <v>SAÍDA</v>
      </c>
      <c r="I1131" s="88" t="str">
        <f>IF(A1131="","",IF(INDEX(EXTRATO!$H$2:$H$3000,MATCH($A1131,EXTRATO!$A$2:$A$3000,0))="","",INDEX(EXTRATO!$H$2:$H$3000,MATCH($A1131,EXTRATO!$A$2:$A$3000,0))))</f>
        <v>TARIFA BANCÁRIA</v>
      </c>
      <c r="J1131" s="86" t="str">
        <f t="shared" si="21"/>
        <v>PENDENTE</v>
      </c>
      <c r="K1131" s="86" t="str">
        <f>IF(AND(A1131="",D1131="",E1131="",F1131=""),"",IF(D1131="","SEM CATEGORIA",IF(E1131="","SEM SUBCATEGORIA",IF(COUNTIFS(CADASTROS!$L$7:$L$93,D1131,CADASTROS!$D$7:$D$93,E1131)=0,"INCOMPATÍVEL","OK"))))</f>
        <v>SEM CATEGORIA</v>
      </c>
    </row>
    <row r="1132" spans="1:11" ht="30" hidden="1" customHeight="1" x14ac:dyDescent="0.25">
      <c r="A1132" s="86" t="str">
        <f>IF(COUNTIF(EXTRATO!$A$2:$A$3000,"BAN-00989")=0,"","BAN-00989")</f>
        <v>BAN-00989</v>
      </c>
      <c r="B1132" s="85">
        <f>IF(A1132="","",IF(INDEX(EXTRATO!$C$2:$C$3000,MATCH($A1132,EXTRATO!$A$2:$A$3000,0))="","",INDEX(EXTRATO!$C$2:$C$3000,MATCH($A1132,EXTRATO!$A$2:$A$3000,0))))</f>
        <v>46301</v>
      </c>
      <c r="C1132" s="86">
        <f t="shared" si="22"/>
        <v>10</v>
      </c>
      <c r="D1132" s="81"/>
      <c r="E1132" s="79"/>
      <c r="F1132" s="80">
        <f>IF(A1132="","",SUMIF(EXTRATO!$A$2:$A$3000,$A1132,EXTRATO!$J$2:$J$3000)+SUMIF(EXTRATO!$A$2:$A$3000,$A1132,EXTRATO!$K$2:$K$3000)+SUMIF(EXTRATO!$A$2:$A$3000,$A1132,EXTRATO!$L$2:$L$3000)+SUMIF(EXTRATO!$A$2:$A$3000,$A1132,EXTRATO!$M$2:$M$3000))</f>
        <v>79500</v>
      </c>
      <c r="G1132" s="81" t="str">
        <f>IF(A1132="","",IF(INDEX(EXTRATO!$G$2:$G$3000,MATCH($A1132,EXTRATO!$A$2:$A$3000,0))="","",INDEX(EXTRATO!$G$2:$G$3000,MATCH($A1132,EXTRATO!$A$2:$A$3000,0))))</f>
        <v>RESGATE BB CDB DI</v>
      </c>
      <c r="H1132" s="86" t="str">
        <f>IF(A1132="","",IF(INDEX(EXTRATO!$F$2:$F$3000,MATCH($A1132,EXTRATO!$A$2:$A$3000,0))="","",INDEX(EXTRATO!$F$2:$F$3000,MATCH($A1132,EXTRATO!$A$2:$A$3000,0))))</f>
        <v>RESGATE</v>
      </c>
      <c r="I1132" s="88" t="str">
        <f>IF(A1132="","",IF(INDEX(EXTRATO!$H$2:$H$3000,MATCH($A1132,EXTRATO!$A$2:$A$3000,0))="","",INDEX(EXTRATO!$H$2:$H$3000,MATCH($A1132,EXTRATO!$A$2:$A$3000,0))))</f>
        <v>RESGATE BB CDB DI</v>
      </c>
      <c r="J1132" s="86" t="str">
        <f t="shared" ref="J1132:J1195" si="23">IF(A1132="","",IF(K1132="OK","MANUAL","PENDENTE"))</f>
        <v>PENDENTE</v>
      </c>
      <c r="K1132" s="86" t="str">
        <f>IF(AND(A1132="",D1132="",E1132="",F1132=""),"",IF(D1132="","SEM CATEGORIA",IF(E1132="","SEM SUBCATEGORIA",IF(COUNTIFS(CADASTROS!$L$7:$L$93,D1132,CADASTROS!$D$7:$D$93,E1132)=0,"INCOMPATÍVEL","OK"))))</f>
        <v>SEM CATEGORIA</v>
      </c>
    </row>
    <row r="1133" spans="1:11" ht="30" hidden="1" customHeight="1" x14ac:dyDescent="0.25">
      <c r="A1133" s="86" t="str">
        <f>IF(COUNTIF(EXTRATO!$A$2:$A$3000,"BAN-00990")=0,"","BAN-00990")</f>
        <v>BAN-00990</v>
      </c>
      <c r="B1133" s="85">
        <f>IF(A1133="","",IF(INDEX(EXTRATO!$C$2:$C$3000,MATCH($A1133,EXTRATO!$A$2:$A$3000,0))="","",INDEX(EXTRATO!$C$2:$C$3000,MATCH($A1133,EXTRATO!$A$2:$A$3000,0))))</f>
        <v>46301</v>
      </c>
      <c r="C1133" s="86">
        <f t="shared" si="22"/>
        <v>10</v>
      </c>
      <c r="D1133" s="81"/>
      <c r="E1133" s="79"/>
      <c r="F1133" s="80">
        <f>IF(A1133="","",SUMIF(EXTRATO!$A$2:$A$3000,$A1133,EXTRATO!$J$2:$J$3000)+SUMIF(EXTRATO!$A$2:$A$3000,$A1133,EXTRATO!$K$2:$K$3000)+SUMIF(EXTRATO!$A$2:$A$3000,$A1133,EXTRATO!$L$2:$L$3000)+SUMIF(EXTRATO!$A$2:$A$3000,$A1133,EXTRATO!$M$2:$M$3000))</f>
        <v>753.66</v>
      </c>
      <c r="G1133" s="81" t="str">
        <f>IF(A1133="","",IF(INDEX(EXTRATO!$G$2:$G$3000,MATCH($A1133,EXTRATO!$A$2:$A$3000,0))="","",INDEX(EXTRATO!$G$2:$G$3000,MATCH($A1133,EXTRATO!$A$2:$A$3000,0))))</f>
        <v>RESGATE BB CDB DI</v>
      </c>
      <c r="H1133" s="86" t="str">
        <f>IF(A1133="","",IF(INDEX(EXTRATO!$F$2:$F$3000,MATCH($A1133,EXTRATO!$A$2:$A$3000,0))="","",INDEX(EXTRATO!$F$2:$F$3000,MATCH($A1133,EXTRATO!$A$2:$A$3000,0))))</f>
        <v>RESGATE</v>
      </c>
      <c r="I1133" s="88" t="str">
        <f>IF(A1133="","",IF(INDEX(EXTRATO!$H$2:$H$3000,MATCH($A1133,EXTRATO!$A$2:$A$3000,0))="","",INDEX(EXTRATO!$H$2:$H$3000,MATCH($A1133,EXTRATO!$A$2:$A$3000,0))))</f>
        <v>RESGATE BB CDB DI</v>
      </c>
      <c r="J1133" s="86" t="str">
        <f t="shared" si="23"/>
        <v>PENDENTE</v>
      </c>
      <c r="K1133" s="86" t="str">
        <f>IF(AND(A1133="",D1133="",E1133="",F1133=""),"",IF(D1133="","SEM CATEGORIA",IF(E1133="","SEM SUBCATEGORIA",IF(COUNTIFS(CADASTROS!$L$7:$L$93,D1133,CADASTROS!$D$7:$D$93,E1133)=0,"INCOMPATÍVEL","OK"))))</f>
        <v>SEM CATEGORIA</v>
      </c>
    </row>
    <row r="1134" spans="1:11" ht="30" hidden="1" customHeight="1" x14ac:dyDescent="0.25">
      <c r="A1134" s="86" t="str">
        <f>IF(COUNTIF(EXTRATO!$A$2:$A$3000,"BAN-00991")=0,"","BAN-00991")</f>
        <v>BAN-00991</v>
      </c>
      <c r="B1134" s="85">
        <f>IF(A1134="","",IF(INDEX(EXTRATO!$C$2:$C$3000,MATCH($A1134,EXTRATO!$A$2:$A$3000,0))="","",INDEX(EXTRATO!$C$2:$C$3000,MATCH($A1134,EXTRATO!$A$2:$A$3000,0))))</f>
        <v>46302</v>
      </c>
      <c r="C1134" s="86">
        <f t="shared" si="22"/>
        <v>10</v>
      </c>
      <c r="D1134" s="81"/>
      <c r="E1134" s="79"/>
      <c r="F1134" s="80">
        <f>IF(A1134="","",SUMIF(EXTRATO!$A$2:$A$3000,$A1134,EXTRATO!$J$2:$J$3000)+SUMIF(EXTRATO!$A$2:$A$3000,$A1134,EXTRATO!$K$2:$K$3000)+SUMIF(EXTRATO!$A$2:$A$3000,$A1134,EXTRATO!$L$2:$L$3000)+SUMIF(EXTRATO!$A$2:$A$3000,$A1134,EXTRATO!$M$2:$M$3000))</f>
        <v>2780</v>
      </c>
      <c r="G1134" s="81" t="str">
        <f>IF(A1134="","",IF(INDEX(EXTRATO!$G$2:$G$3000,MATCH($A1134,EXTRATO!$A$2:$A$3000,0))="","",INDEX(EXTRATO!$G$2:$G$3000,MATCH($A1134,EXTRATO!$A$2:$A$3000,0))))</f>
        <v>WILSON DE FREITAS SORIANO (BOTECO DO TARCISIO) - REF. QUENTINHAS TÉCNICOS SEGUNDA QUINZENA DE SETEMBRO (15/09 A 30/09)</v>
      </c>
      <c r="H1134" s="86" t="str">
        <f>IF(A1134="","",IF(INDEX(EXTRATO!$F$2:$F$3000,MATCH($A1134,EXTRATO!$A$2:$A$3000,0))="","",INDEX(EXTRATO!$F$2:$F$3000,MATCH($A1134,EXTRATO!$A$2:$A$3000,0))))</f>
        <v>SAÍDA</v>
      </c>
      <c r="I1134" s="88" t="str">
        <f>IF(A1134="","",IF(INDEX(EXTRATO!$H$2:$H$3000,MATCH($A1134,EXTRATO!$A$2:$A$3000,0))="","",INDEX(EXTRATO!$H$2:$H$3000,MATCH($A1134,EXTRATO!$A$2:$A$3000,0))))</f>
        <v>BOTECO DO TARCISIO</v>
      </c>
      <c r="J1134" s="86" t="str">
        <f t="shared" si="23"/>
        <v>PENDENTE</v>
      </c>
      <c r="K1134" s="86" t="str">
        <f>IF(AND(A1134="",D1134="",E1134="",F1134=""),"",IF(D1134="","SEM CATEGORIA",IF(E1134="","SEM SUBCATEGORIA",IF(COUNTIFS(CADASTROS!$L$7:$L$93,D1134,CADASTROS!$D$7:$D$93,E1134)=0,"INCOMPATÍVEL","OK"))))</f>
        <v>SEM CATEGORIA</v>
      </c>
    </row>
    <row r="1135" spans="1:11" ht="30" hidden="1" customHeight="1" x14ac:dyDescent="0.25">
      <c r="A1135" s="86" t="str">
        <f>IF(COUNTIF(EXTRATO!$A$2:$A$3000,"BAN-00992")=0,"","BAN-00992")</f>
        <v>BAN-00992</v>
      </c>
      <c r="B1135" s="85">
        <f>IF(A1135="","",IF(INDEX(EXTRATO!$C$2:$C$3000,MATCH($A1135,EXTRATO!$A$2:$A$3000,0))="","",INDEX(EXTRATO!$C$2:$C$3000,MATCH($A1135,EXTRATO!$A$2:$A$3000,0))))</f>
        <v>46302</v>
      </c>
      <c r="C1135" s="86">
        <f t="shared" si="22"/>
        <v>10</v>
      </c>
      <c r="D1135" s="81"/>
      <c r="E1135" s="79"/>
      <c r="F1135" s="80">
        <f>IF(A1135="","",SUMIF(EXTRATO!$A$2:$A$3000,$A1135,EXTRATO!$J$2:$J$3000)+SUMIF(EXTRATO!$A$2:$A$3000,$A1135,EXTRATO!$K$2:$K$3000)+SUMIF(EXTRATO!$A$2:$A$3000,$A1135,EXTRATO!$L$2:$L$3000)+SUMIF(EXTRATO!$A$2:$A$3000,$A1135,EXTRATO!$M$2:$M$3000))</f>
        <v>360</v>
      </c>
      <c r="G1135" s="81" t="str">
        <f>IF(A1135="","",IF(INDEX(EXTRATO!$G$2:$G$3000,MATCH($A1135,EXTRATO!$A$2:$A$3000,0))="","",INDEX(EXTRATO!$G$2:$G$3000,MATCH($A1135,EXTRATO!$A$2:$A$3000,0))))</f>
        <v>MASTER GRAFICA DIGITAL (REF. PRODUÇÃO DE 10 BLOCOS DE FICHAS DE SALA E 10 BLOCOS DE SOLICITAÇÃO DE MATERIAL E 10 BLOCOS DE COMUNICAÇÃO INTERNA)</v>
      </c>
      <c r="H1135" s="86" t="str">
        <f>IF(A1135="","",IF(INDEX(EXTRATO!$F$2:$F$3000,MATCH($A1135,EXTRATO!$A$2:$A$3000,0))="","",INDEX(EXTRATO!$F$2:$F$3000,MATCH($A1135,EXTRATO!$A$2:$A$3000,0))))</f>
        <v>SAÍDA</v>
      </c>
      <c r="I1135" s="88" t="str">
        <f>IF(A1135="","",IF(INDEX(EXTRATO!$H$2:$H$3000,MATCH($A1135,EXTRATO!$A$2:$A$3000,0))="","",INDEX(EXTRATO!$H$2:$H$3000,MATCH($A1135,EXTRATO!$A$2:$A$3000,0))))</f>
        <v>MASTER GRAFICA DIGITAL</v>
      </c>
      <c r="J1135" s="86" t="str">
        <f t="shared" si="23"/>
        <v>PENDENTE</v>
      </c>
      <c r="K1135" s="86" t="str">
        <f>IF(AND(A1135="",D1135="",E1135="",F1135=""),"",IF(D1135="","SEM CATEGORIA",IF(E1135="","SEM SUBCATEGORIA",IF(COUNTIFS(CADASTROS!$L$7:$L$93,D1135,CADASTROS!$D$7:$D$93,E1135)=0,"INCOMPATÍVEL","OK"))))</f>
        <v>SEM CATEGORIA</v>
      </c>
    </row>
    <row r="1136" spans="1:11" ht="30" hidden="1" customHeight="1" x14ac:dyDescent="0.25">
      <c r="A1136" s="86" t="str">
        <f>IF(COUNTIF(EXTRATO!$A$2:$A$3000,"BAN-00993")=0,"","BAN-00993")</f>
        <v>BAN-00993</v>
      </c>
      <c r="B1136" s="85">
        <f>IF(A1136="","",IF(INDEX(EXTRATO!$C$2:$C$3000,MATCH($A1136,EXTRATO!$A$2:$A$3000,0))="","",INDEX(EXTRATO!$C$2:$C$3000,MATCH($A1136,EXTRATO!$A$2:$A$3000,0))))</f>
        <v>46302</v>
      </c>
      <c r="C1136" s="86">
        <f t="shared" si="22"/>
        <v>10</v>
      </c>
      <c r="D1136" s="81"/>
      <c r="E1136" s="79"/>
      <c r="F1136" s="80">
        <f>IF(A1136="","",SUMIF(EXTRATO!$A$2:$A$3000,$A1136,EXTRATO!$J$2:$J$3000)+SUMIF(EXTRATO!$A$2:$A$3000,$A1136,EXTRATO!$K$2:$K$3000)+SUMIF(EXTRATO!$A$2:$A$3000,$A1136,EXTRATO!$L$2:$L$3000)+SUMIF(EXTRATO!$A$2:$A$3000,$A1136,EXTRATO!$M$2:$M$3000))</f>
        <v>9418.7999999999993</v>
      </c>
      <c r="G1136" s="81" t="str">
        <f>IF(A1136="","",IF(INDEX(EXTRATO!$G$2:$G$3000,MATCH($A1136,EXTRATO!$A$2:$A$3000,0))="","",INDEX(EXTRATO!$G$2:$G$3000,MATCH($A1136,EXTRATO!$A$2:$A$3000,0))))</f>
        <v>EXCELLENCE DISTRIBUIDORA (REF. INSUMOS E HEPARINAS) 2/3</v>
      </c>
      <c r="H1136" s="86" t="str">
        <f>IF(A1136="","",IF(INDEX(EXTRATO!$F$2:$F$3000,MATCH($A1136,EXTRATO!$A$2:$A$3000,0))="","",INDEX(EXTRATO!$F$2:$F$3000,MATCH($A1136,EXTRATO!$A$2:$A$3000,0))))</f>
        <v>SAÍDA</v>
      </c>
      <c r="I1136" s="88" t="str">
        <f>IF(A1136="","",IF(INDEX(EXTRATO!$H$2:$H$3000,MATCH($A1136,EXTRATO!$A$2:$A$3000,0))="","",INDEX(EXTRATO!$H$2:$H$3000,MATCH($A1136,EXTRATO!$A$2:$A$3000,0))))</f>
        <v>EXCELLENCE DISTRIBUIDORA</v>
      </c>
      <c r="J1136" s="86" t="str">
        <f t="shared" si="23"/>
        <v>PENDENTE</v>
      </c>
      <c r="K1136" s="86" t="str">
        <f>IF(AND(A1136="",D1136="",E1136="",F1136=""),"",IF(D1136="","SEM CATEGORIA",IF(E1136="","SEM SUBCATEGORIA",IF(COUNTIFS(CADASTROS!$L$7:$L$93,D1136,CADASTROS!$D$7:$D$93,E1136)=0,"INCOMPATÍVEL","OK"))))</f>
        <v>SEM CATEGORIA</v>
      </c>
    </row>
    <row r="1137" spans="1:11" ht="30" hidden="1" customHeight="1" x14ac:dyDescent="0.25">
      <c r="A1137" s="86" t="str">
        <f>IF(COUNTIF(EXTRATO!$A$2:$A$3000,"BAN-00994")=0,"","BAN-00994")</f>
        <v>BAN-00994</v>
      </c>
      <c r="B1137" s="85">
        <f>IF(A1137="","",IF(INDEX(EXTRATO!$C$2:$C$3000,MATCH($A1137,EXTRATO!$A$2:$A$3000,0))="","",INDEX(EXTRATO!$C$2:$C$3000,MATCH($A1137,EXTRATO!$A$2:$A$3000,0))))</f>
        <v>46302</v>
      </c>
      <c r="C1137" s="86">
        <f t="shared" si="22"/>
        <v>10</v>
      </c>
      <c r="D1137" s="81"/>
      <c r="E1137" s="79"/>
      <c r="F1137" s="80">
        <f>IF(A1137="","",SUMIF(EXTRATO!$A$2:$A$3000,$A1137,EXTRATO!$J$2:$J$3000)+SUMIF(EXTRATO!$A$2:$A$3000,$A1137,EXTRATO!$K$2:$K$3000)+SUMIF(EXTRATO!$A$2:$A$3000,$A1137,EXTRATO!$L$2:$L$3000)+SUMIF(EXTRATO!$A$2:$A$3000,$A1137,EXTRATO!$M$2:$M$3000))</f>
        <v>12000</v>
      </c>
      <c r="G1137" s="81" t="str">
        <f>IF(A1137="","",IF(INDEX(EXTRATO!$G$2:$G$3000,MATCH($A1137,EXTRATO!$A$2:$A$3000,0))="","",INDEX(EXTRATO!$G$2:$G$3000,MATCH($A1137,EXTRATO!$A$2:$A$3000,0))))</f>
        <v>RESGATE BB CDB DI</v>
      </c>
      <c r="H1137" s="86" t="str">
        <f>IF(A1137="","",IF(INDEX(EXTRATO!$F$2:$F$3000,MATCH($A1137,EXTRATO!$A$2:$A$3000,0))="","",INDEX(EXTRATO!$F$2:$F$3000,MATCH($A1137,EXTRATO!$A$2:$A$3000,0))))</f>
        <v>RESGATE</v>
      </c>
      <c r="I1137" s="88" t="str">
        <f>IF(A1137="","",IF(INDEX(EXTRATO!$H$2:$H$3000,MATCH($A1137,EXTRATO!$A$2:$A$3000,0))="","",INDEX(EXTRATO!$H$2:$H$3000,MATCH($A1137,EXTRATO!$A$2:$A$3000,0))))</f>
        <v>RESGATE BB CDB DI</v>
      </c>
      <c r="J1137" s="86" t="str">
        <f t="shared" si="23"/>
        <v>PENDENTE</v>
      </c>
      <c r="K1137" s="86" t="str">
        <f>IF(AND(A1137="",D1137="",E1137="",F1137=""),"",IF(D1137="","SEM CATEGORIA",IF(E1137="","SEM SUBCATEGORIA",IF(COUNTIFS(CADASTROS!$L$7:$L$93,D1137,CADASTROS!$D$7:$D$93,E1137)=0,"INCOMPATÍVEL","OK"))))</f>
        <v>SEM CATEGORIA</v>
      </c>
    </row>
    <row r="1138" spans="1:11" ht="30" hidden="1" customHeight="1" x14ac:dyDescent="0.25">
      <c r="A1138" s="86" t="str">
        <f>IF(COUNTIF(EXTRATO!$A$2:$A$3000,"BAN-00995")=0,"","BAN-00995")</f>
        <v>BAN-00995</v>
      </c>
      <c r="B1138" s="85">
        <f>IF(A1138="","",IF(INDEX(EXTRATO!$C$2:$C$3000,MATCH($A1138,EXTRATO!$A$2:$A$3000,0))="","",INDEX(EXTRATO!$C$2:$C$3000,MATCH($A1138,EXTRATO!$A$2:$A$3000,0))))</f>
        <v>46302</v>
      </c>
      <c r="C1138" s="86">
        <f t="shared" si="22"/>
        <v>10</v>
      </c>
      <c r="D1138" s="81"/>
      <c r="E1138" s="79"/>
      <c r="F1138" s="80">
        <f>IF(A1138="","",SUMIF(EXTRATO!$A$2:$A$3000,$A1138,EXTRATO!$J$2:$J$3000)+SUMIF(EXTRATO!$A$2:$A$3000,$A1138,EXTRATO!$K$2:$K$3000)+SUMIF(EXTRATO!$A$2:$A$3000,$A1138,EXTRATO!$L$2:$L$3000)+SUMIF(EXTRATO!$A$2:$A$3000,$A1138,EXTRATO!$M$2:$M$3000))</f>
        <v>118.32</v>
      </c>
      <c r="G1138" s="81" t="str">
        <f>IF(A1138="","",IF(INDEX(EXTRATO!$G$2:$G$3000,MATCH($A1138,EXTRATO!$A$2:$A$3000,0))="","",INDEX(EXTRATO!$G$2:$G$3000,MATCH($A1138,EXTRATO!$A$2:$A$3000,0))))</f>
        <v>RESGATE BB CDB DI</v>
      </c>
      <c r="H1138" s="86" t="str">
        <f>IF(A1138="","",IF(INDEX(EXTRATO!$F$2:$F$3000,MATCH($A1138,EXTRATO!$A$2:$A$3000,0))="","",INDEX(EXTRATO!$F$2:$F$3000,MATCH($A1138,EXTRATO!$A$2:$A$3000,0))))</f>
        <v>RESGATE</v>
      </c>
      <c r="I1138" s="88" t="str">
        <f>IF(A1138="","",IF(INDEX(EXTRATO!$H$2:$H$3000,MATCH($A1138,EXTRATO!$A$2:$A$3000,0))="","",INDEX(EXTRATO!$H$2:$H$3000,MATCH($A1138,EXTRATO!$A$2:$A$3000,0))))</f>
        <v>RESGATE BB CDB DI</v>
      </c>
      <c r="J1138" s="86" t="str">
        <f t="shared" si="23"/>
        <v>PENDENTE</v>
      </c>
      <c r="K1138" s="86" t="str">
        <f>IF(AND(A1138="",D1138="",E1138="",F1138=""),"",IF(D1138="","SEM CATEGORIA",IF(E1138="","SEM SUBCATEGORIA",IF(COUNTIFS(CADASTROS!$L$7:$L$93,D1138,CADASTROS!$D$7:$D$93,E1138)=0,"INCOMPATÍVEL","OK"))))</f>
        <v>SEM CATEGORIA</v>
      </c>
    </row>
    <row r="1139" spans="1:11" ht="30" hidden="1" customHeight="1" x14ac:dyDescent="0.25">
      <c r="A1139" s="86" t="str">
        <f>IF(COUNTIF(EXTRATO!$A$2:$A$3000,"BAN-00996")=0,"","BAN-00996")</f>
        <v>BAN-00996</v>
      </c>
      <c r="B1139" s="85">
        <f>IF(A1139="","",IF(INDEX(EXTRATO!$C$2:$C$3000,MATCH($A1139,EXTRATO!$A$2:$A$3000,0))="","",INDEX(EXTRATO!$C$2:$C$3000,MATCH($A1139,EXTRATO!$A$2:$A$3000,0))))</f>
        <v>46303</v>
      </c>
      <c r="C1139" s="86">
        <f t="shared" si="22"/>
        <v>10</v>
      </c>
      <c r="D1139" s="81"/>
      <c r="E1139" s="79"/>
      <c r="F1139" s="80">
        <f>IF(A1139="","",SUMIF(EXTRATO!$A$2:$A$3000,$A1139,EXTRATO!$J$2:$J$3000)+SUMIF(EXTRATO!$A$2:$A$3000,$A1139,EXTRATO!$K$2:$K$3000)+SUMIF(EXTRATO!$A$2:$A$3000,$A1139,EXTRATO!$L$2:$L$3000)+SUMIF(EXTRATO!$A$2:$A$3000,$A1139,EXTRATO!$M$2:$M$3000))</f>
        <v>7249.27</v>
      </c>
      <c r="G1139" s="81" t="str">
        <f>IF(A1139="","",IF(INDEX(EXTRATO!$G$2:$G$3000,MATCH($A1139,EXTRATO!$A$2:$A$3000,0))="","",INDEX(EXTRATO!$G$2:$G$3000,MATCH($A1139,EXTRATO!$A$2:$A$3000,0))))</f>
        <v>CRISTALIA PRODUTOS (REF. HEPARINAS) 3/3</v>
      </c>
      <c r="H1139" s="86" t="str">
        <f>IF(A1139="","",IF(INDEX(EXTRATO!$F$2:$F$3000,MATCH($A1139,EXTRATO!$A$2:$A$3000,0))="","",INDEX(EXTRATO!$F$2:$F$3000,MATCH($A1139,EXTRATO!$A$2:$A$3000,0))))</f>
        <v>SAÍDA</v>
      </c>
      <c r="I1139" s="88" t="str">
        <f>IF(A1139="","",IF(INDEX(EXTRATO!$H$2:$H$3000,MATCH($A1139,EXTRATO!$A$2:$A$3000,0))="","",INDEX(EXTRATO!$H$2:$H$3000,MATCH($A1139,EXTRATO!$A$2:$A$3000,0))))</f>
        <v>CRISTALIA PRODUTOS</v>
      </c>
      <c r="J1139" s="86" t="str">
        <f t="shared" si="23"/>
        <v>PENDENTE</v>
      </c>
      <c r="K1139" s="86" t="str">
        <f>IF(AND(A1139="",D1139="",E1139="",F1139=""),"",IF(D1139="","SEM CATEGORIA",IF(E1139="","SEM SUBCATEGORIA",IF(COUNTIFS(CADASTROS!$L$7:$L$93,D1139,CADASTROS!$D$7:$D$93,E1139)=0,"INCOMPATÍVEL","OK"))))</f>
        <v>SEM CATEGORIA</v>
      </c>
    </row>
    <row r="1140" spans="1:11" ht="30" hidden="1" customHeight="1" x14ac:dyDescent="0.25">
      <c r="A1140" s="86" t="str">
        <f>IF(COUNTIF(EXTRATO!$A$2:$A$3000,"BAN-00997")=0,"","BAN-00997")</f>
        <v>BAN-00997</v>
      </c>
      <c r="B1140" s="85">
        <f>IF(A1140="","",IF(INDEX(EXTRATO!$C$2:$C$3000,MATCH($A1140,EXTRATO!$A$2:$A$3000,0))="","",INDEX(EXTRATO!$C$2:$C$3000,MATCH($A1140,EXTRATO!$A$2:$A$3000,0))))</f>
        <v>46303</v>
      </c>
      <c r="C1140" s="86">
        <f t="shared" si="22"/>
        <v>10</v>
      </c>
      <c r="D1140" s="81"/>
      <c r="E1140" s="79"/>
      <c r="F1140" s="80">
        <f>IF(A1140="","",SUMIF(EXTRATO!$A$2:$A$3000,$A1140,EXTRATO!$J$2:$J$3000)+SUMIF(EXTRATO!$A$2:$A$3000,$A1140,EXTRATO!$K$2:$K$3000)+SUMIF(EXTRATO!$A$2:$A$3000,$A1140,EXTRATO!$L$2:$L$3000)+SUMIF(EXTRATO!$A$2:$A$3000,$A1140,EXTRATO!$M$2:$M$3000))</f>
        <v>1100</v>
      </c>
      <c r="G1140" s="81" t="str">
        <f>IF(A1140="","",IF(INDEX(EXTRATO!$G$2:$G$3000,MATCH($A1140,EXTRATO!$A$2:$A$3000,0))="","",INDEX(EXTRATO!$G$2:$G$3000,MATCH($A1140,EXTRATO!$A$2:$A$3000,0))))</f>
        <v>DIÁLISE COMÉRCIO (REF. TAUROLOCK) 1/1</v>
      </c>
      <c r="H1140" s="86" t="str">
        <f>IF(A1140="","",IF(INDEX(EXTRATO!$F$2:$F$3000,MATCH($A1140,EXTRATO!$A$2:$A$3000,0))="","",INDEX(EXTRATO!$F$2:$F$3000,MATCH($A1140,EXTRATO!$A$2:$A$3000,0))))</f>
        <v>SAÍDA</v>
      </c>
      <c r="I1140" s="88" t="str">
        <f>IF(A1140="","",IF(INDEX(EXTRATO!$H$2:$H$3000,MATCH($A1140,EXTRATO!$A$2:$A$3000,0))="","",INDEX(EXTRATO!$H$2:$H$3000,MATCH($A1140,EXTRATO!$A$2:$A$3000,0))))</f>
        <v>DIALISE COMERCIO</v>
      </c>
      <c r="J1140" s="86" t="str">
        <f t="shared" si="23"/>
        <v>PENDENTE</v>
      </c>
      <c r="K1140" s="86" t="str">
        <f>IF(AND(A1140="",D1140="",E1140="",F1140=""),"",IF(D1140="","SEM CATEGORIA",IF(E1140="","SEM SUBCATEGORIA",IF(COUNTIFS(CADASTROS!$L$7:$L$93,D1140,CADASTROS!$D$7:$D$93,E1140)=0,"INCOMPATÍVEL","OK"))))</f>
        <v>SEM CATEGORIA</v>
      </c>
    </row>
    <row r="1141" spans="1:11" ht="30" hidden="1" customHeight="1" x14ac:dyDescent="0.25">
      <c r="A1141" s="86" t="str">
        <f>IF(COUNTIF(EXTRATO!$A$2:$A$3000,"BAN-00998")=0,"","BAN-00998")</f>
        <v>BAN-00998</v>
      </c>
      <c r="B1141" s="85">
        <f>IF(A1141="","",IF(INDEX(EXTRATO!$C$2:$C$3000,MATCH($A1141,EXTRATO!$A$2:$A$3000,0))="","",INDEX(EXTRATO!$C$2:$C$3000,MATCH($A1141,EXTRATO!$A$2:$A$3000,0))))</f>
        <v>46303</v>
      </c>
      <c r="C1141" s="86">
        <f t="shared" si="22"/>
        <v>10</v>
      </c>
      <c r="D1141" s="81"/>
      <c r="E1141" s="79"/>
      <c r="F1141" s="80">
        <f>IF(A1141="","",SUMIF(EXTRATO!$A$2:$A$3000,$A1141,EXTRATO!$J$2:$J$3000)+SUMIF(EXTRATO!$A$2:$A$3000,$A1141,EXTRATO!$K$2:$K$3000)+SUMIF(EXTRATO!$A$2:$A$3000,$A1141,EXTRATO!$L$2:$L$3000)+SUMIF(EXTRATO!$A$2:$A$3000,$A1141,EXTRATO!$M$2:$M$3000))</f>
        <v>1935.4</v>
      </c>
      <c r="G1141" s="81" t="str">
        <f>IF(A1141="","",IF(INDEX(EXTRATO!$G$2:$G$3000,MATCH($A1141,EXTRATO!$A$2:$A$3000,0))="","",INDEX(EXTRATO!$G$2:$G$3000,MATCH($A1141,EXTRATO!$A$2:$A$3000,0))))</f>
        <v>BANCO VOLKSWAGEN (NF - CAVEPEL - REF. PRESTAÇÃO CARRO) 14/48</v>
      </c>
      <c r="H1141" s="86" t="str">
        <f>IF(A1141="","",IF(INDEX(EXTRATO!$F$2:$F$3000,MATCH($A1141,EXTRATO!$A$2:$A$3000,0))="","",INDEX(EXTRATO!$F$2:$F$3000,MATCH($A1141,EXTRATO!$A$2:$A$3000,0))))</f>
        <v>SAÍDA</v>
      </c>
      <c r="I1141" s="88" t="str">
        <f>IF(A1141="","",IF(INDEX(EXTRATO!$H$2:$H$3000,MATCH($A1141,EXTRATO!$A$2:$A$3000,0))="","",INDEX(EXTRATO!$H$2:$H$3000,MATCH($A1141,EXTRATO!$A$2:$A$3000,0))))</f>
        <v>BANCO VOLKSWAGEN</v>
      </c>
      <c r="J1141" s="86" t="str">
        <f t="shared" si="23"/>
        <v>PENDENTE</v>
      </c>
      <c r="K1141" s="86" t="str">
        <f>IF(AND(A1141="",D1141="",E1141="",F1141=""),"",IF(D1141="","SEM CATEGORIA",IF(E1141="","SEM SUBCATEGORIA",IF(COUNTIFS(CADASTROS!$L$7:$L$93,D1141,CADASTROS!$D$7:$D$93,E1141)=0,"INCOMPATÍVEL","OK"))))</f>
        <v>SEM CATEGORIA</v>
      </c>
    </row>
    <row r="1142" spans="1:11" ht="30" hidden="1" customHeight="1" x14ac:dyDescent="0.25">
      <c r="A1142" s="86" t="str">
        <f>IF(COUNTIF(EXTRATO!$A$2:$A$3000,"BAN-00999")=0,"","BAN-00999")</f>
        <v>BAN-00999</v>
      </c>
      <c r="B1142" s="85">
        <f>IF(A1142="","",IF(INDEX(EXTRATO!$C$2:$C$3000,MATCH($A1142,EXTRATO!$A$2:$A$3000,0))="","",INDEX(EXTRATO!$C$2:$C$3000,MATCH($A1142,EXTRATO!$A$2:$A$3000,0))))</f>
        <v>46303</v>
      </c>
      <c r="C1142" s="86">
        <f t="shared" si="22"/>
        <v>10</v>
      </c>
      <c r="D1142" s="81"/>
      <c r="E1142" s="79"/>
      <c r="F1142" s="80">
        <f>IF(A1142="","",SUMIF(EXTRATO!$A$2:$A$3000,$A1142,EXTRATO!$J$2:$J$3000)+SUMIF(EXTRATO!$A$2:$A$3000,$A1142,EXTRATO!$K$2:$K$3000)+SUMIF(EXTRATO!$A$2:$A$3000,$A1142,EXTRATO!$L$2:$L$3000)+SUMIF(EXTRATO!$A$2:$A$3000,$A1142,EXTRATO!$M$2:$M$3000))</f>
        <v>10000</v>
      </c>
      <c r="G1142" s="81" t="str">
        <f>IF(A1142="","",IF(INDEX(EXTRATO!$G$2:$G$3000,MATCH($A1142,EXTRATO!$A$2:$A$3000,0))="","",INDEX(EXTRATO!$G$2:$G$3000,MATCH($A1142,EXTRATO!$A$2:$A$3000,0))))</f>
        <v>RESGATE BB CDB DI</v>
      </c>
      <c r="H1142" s="86" t="str">
        <f>IF(A1142="","",IF(INDEX(EXTRATO!$F$2:$F$3000,MATCH($A1142,EXTRATO!$A$2:$A$3000,0))="","",INDEX(EXTRATO!$F$2:$F$3000,MATCH($A1142,EXTRATO!$A$2:$A$3000,0))))</f>
        <v>RESGATE</v>
      </c>
      <c r="I1142" s="88" t="str">
        <f>IF(A1142="","",IF(INDEX(EXTRATO!$H$2:$H$3000,MATCH($A1142,EXTRATO!$A$2:$A$3000,0))="","",INDEX(EXTRATO!$H$2:$H$3000,MATCH($A1142,EXTRATO!$A$2:$A$3000,0))))</f>
        <v>RESGATE BB CDB DI</v>
      </c>
      <c r="J1142" s="86" t="str">
        <f t="shared" si="23"/>
        <v>PENDENTE</v>
      </c>
      <c r="K1142" s="86" t="str">
        <f>IF(AND(A1142="",D1142="",E1142="",F1142=""),"",IF(D1142="","SEM CATEGORIA",IF(E1142="","SEM SUBCATEGORIA",IF(COUNTIFS(CADASTROS!$L$7:$L$93,D1142,CADASTROS!$D$7:$D$93,E1142)=0,"INCOMPATÍVEL","OK"))))</f>
        <v>SEM CATEGORIA</v>
      </c>
    </row>
    <row r="1143" spans="1:11" ht="30" hidden="1" customHeight="1" x14ac:dyDescent="0.25">
      <c r="A1143" s="86" t="str">
        <f>IF(COUNTIF(EXTRATO!$A$2:$A$3000,"BAN-01000")=0,"","BAN-01000")</f>
        <v>BAN-01000</v>
      </c>
      <c r="B1143" s="85">
        <f>IF(A1143="","",IF(INDEX(EXTRATO!$C$2:$C$3000,MATCH($A1143,EXTRATO!$A$2:$A$3000,0))="","",INDEX(EXTRATO!$C$2:$C$3000,MATCH($A1143,EXTRATO!$A$2:$A$3000,0))))</f>
        <v>46303</v>
      </c>
      <c r="C1143" s="86">
        <f t="shared" si="22"/>
        <v>10</v>
      </c>
      <c r="D1143" s="81"/>
      <c r="E1143" s="79"/>
      <c r="F1143" s="80">
        <f>IF(A1143="","",SUMIF(EXTRATO!$A$2:$A$3000,$A1143,EXTRATO!$J$2:$J$3000)+SUMIF(EXTRATO!$A$2:$A$3000,$A1143,EXTRATO!$K$2:$K$3000)+SUMIF(EXTRATO!$A$2:$A$3000,$A1143,EXTRATO!$L$2:$L$3000)+SUMIF(EXTRATO!$A$2:$A$3000,$A1143,EXTRATO!$M$2:$M$3000))</f>
        <v>102.4</v>
      </c>
      <c r="G1143" s="81" t="str">
        <f>IF(A1143="","",IF(INDEX(EXTRATO!$G$2:$G$3000,MATCH($A1143,EXTRATO!$A$2:$A$3000,0))="","",INDEX(EXTRATO!$G$2:$G$3000,MATCH($A1143,EXTRATO!$A$2:$A$3000,0))))</f>
        <v>RESGATE BB CDB DI</v>
      </c>
      <c r="H1143" s="86" t="str">
        <f>IF(A1143="","",IF(INDEX(EXTRATO!$F$2:$F$3000,MATCH($A1143,EXTRATO!$A$2:$A$3000,0))="","",INDEX(EXTRATO!$F$2:$F$3000,MATCH($A1143,EXTRATO!$A$2:$A$3000,0))))</f>
        <v>RESGATE</v>
      </c>
      <c r="I1143" s="88" t="str">
        <f>IF(A1143="","",IF(INDEX(EXTRATO!$H$2:$H$3000,MATCH($A1143,EXTRATO!$A$2:$A$3000,0))="","",INDEX(EXTRATO!$H$2:$H$3000,MATCH($A1143,EXTRATO!$A$2:$A$3000,0))))</f>
        <v>RESGATE BB CDB DI</v>
      </c>
      <c r="J1143" s="86" t="str">
        <f t="shared" si="23"/>
        <v>PENDENTE</v>
      </c>
      <c r="K1143" s="86" t="str">
        <f>IF(AND(A1143="",D1143="",E1143="",F1143=""),"",IF(D1143="","SEM CATEGORIA",IF(E1143="","SEM SUBCATEGORIA",IF(COUNTIFS(CADASTROS!$L$7:$L$93,D1143,CADASTROS!$D$7:$D$93,E1143)=0,"INCOMPATÍVEL","OK"))))</f>
        <v>SEM CATEGORIA</v>
      </c>
    </row>
    <row r="1144" spans="1:11" ht="30" hidden="1" customHeight="1" x14ac:dyDescent="0.25">
      <c r="A1144" s="86" t="str">
        <f>IF(COUNTIF(EXTRATO!$A$2:$A$3000,"BAN-01001")=0,"","BAN-01001")</f>
        <v>BAN-01001</v>
      </c>
      <c r="B1144" s="85">
        <f>IF(A1144="","",IF(INDEX(EXTRATO!$C$2:$C$3000,MATCH($A1144,EXTRATO!$A$2:$A$3000,0))="","",INDEX(EXTRATO!$C$2:$C$3000,MATCH($A1144,EXTRATO!$A$2:$A$3000,0))))</f>
        <v>46308</v>
      </c>
      <c r="C1144" s="86">
        <f t="shared" si="22"/>
        <v>10</v>
      </c>
      <c r="D1144" s="81"/>
      <c r="E1144" s="79"/>
      <c r="F1144" s="80">
        <f>IF(A1144="","",SUMIF(EXTRATO!$A$2:$A$3000,$A1144,EXTRATO!$J$2:$J$3000)+SUMIF(EXTRATO!$A$2:$A$3000,$A1144,EXTRATO!$K$2:$K$3000)+SUMIF(EXTRATO!$A$2:$A$3000,$A1144,EXTRATO!$L$2:$L$3000)+SUMIF(EXTRATO!$A$2:$A$3000,$A1144,EXTRATO!$M$2:$M$3000))</f>
        <v>44452.800000000003</v>
      </c>
      <c r="G1144" s="81" t="str">
        <f>IF(A1144="","",IF(INDEX(EXTRATO!$G$2:$G$3000,MATCH($A1144,EXTRATO!$A$2:$A$3000,0))="","",INDEX(EXTRATO!$G$2:$G$3000,MATCH($A1144,EXTRATO!$A$2:$A$3000,0))))</f>
        <v>ORDEM BANCÁRIA (REF. PISO SALARIAL ENFERMAGEM - COMP. AGO/26)</v>
      </c>
      <c r="H1144" s="86" t="str">
        <f>IF(A1144="","",IF(INDEX(EXTRATO!$F$2:$F$3000,MATCH($A1144,EXTRATO!$A$2:$A$3000,0))="","",INDEX(EXTRATO!$F$2:$F$3000,MATCH($A1144,EXTRATO!$A$2:$A$3000,0))))</f>
        <v>ENTRADA</v>
      </c>
      <c r="I1144" s="88" t="str">
        <f>IF(A1144="","",IF(INDEX(EXTRATO!$H$2:$H$3000,MATCH($A1144,EXTRATO!$A$2:$A$3000,0))="","",INDEX(EXTRATO!$H$2:$H$3000,MATCH($A1144,EXTRATO!$A$2:$A$3000,0))))</f>
        <v>PISO DE ENFERMAGEM</v>
      </c>
      <c r="J1144" s="86" t="str">
        <f t="shared" si="23"/>
        <v>PENDENTE</v>
      </c>
      <c r="K1144" s="86" t="str">
        <f>IF(AND(A1144="",D1144="",E1144="",F1144=""),"",IF(D1144="","SEM CATEGORIA",IF(E1144="","SEM SUBCATEGORIA",IF(COUNTIFS(CADASTROS!$L$7:$L$93,D1144,CADASTROS!$D$7:$D$93,E1144)=0,"INCOMPATÍVEL","OK"))))</f>
        <v>SEM CATEGORIA</v>
      </c>
    </row>
    <row r="1145" spans="1:11" ht="30" hidden="1" customHeight="1" x14ac:dyDescent="0.25">
      <c r="A1145" s="86" t="str">
        <f>IF(COUNTIF(EXTRATO!$A$2:$A$3000,"BAN-01002")=0,"","BAN-01002")</f>
        <v>BAN-01002</v>
      </c>
      <c r="B1145" s="85">
        <f>IF(A1145="","",IF(INDEX(EXTRATO!$C$2:$C$3000,MATCH($A1145,EXTRATO!$A$2:$A$3000,0))="","",INDEX(EXTRATO!$C$2:$C$3000,MATCH($A1145,EXTRATO!$A$2:$A$3000,0))))</f>
        <v>46308</v>
      </c>
      <c r="C1145" s="86">
        <f t="shared" si="22"/>
        <v>10</v>
      </c>
      <c r="D1145" s="81"/>
      <c r="E1145" s="79"/>
      <c r="F1145" s="80">
        <f>IF(A1145="","",SUMIF(EXTRATO!$A$2:$A$3000,$A1145,EXTRATO!$J$2:$J$3000)+SUMIF(EXTRATO!$A$2:$A$3000,$A1145,EXTRATO!$K$2:$K$3000)+SUMIF(EXTRATO!$A$2:$A$3000,$A1145,EXTRATO!$L$2:$L$3000)+SUMIF(EXTRATO!$A$2:$A$3000,$A1145,EXTRATO!$M$2:$M$3000))</f>
        <v>7568.39</v>
      </c>
      <c r="G1145" s="81" t="str">
        <f>IF(A1145="","",IF(INDEX(EXTRATO!$G$2:$G$3000,MATCH($A1145,EXTRATO!$A$2:$A$3000,0))="","",INDEX(EXTRATO!$G$2:$G$3000,MATCH($A1145,EXTRATO!$A$2:$A$3000,0))))</f>
        <v>A C R DA SILVA E CIA (SUPERMERCADO CAMINO - REF. COMPRAS QUINZENAIS DE SET/26 - DATAS 01/09 | 15/09 | 28/09)</v>
      </c>
      <c r="H1145" s="86" t="str">
        <f>IF(A1145="","",IF(INDEX(EXTRATO!$F$2:$F$3000,MATCH($A1145,EXTRATO!$A$2:$A$3000,0))="","",INDEX(EXTRATO!$F$2:$F$3000,MATCH($A1145,EXTRATO!$A$2:$A$3000,0))))</f>
        <v>SAÍDA</v>
      </c>
      <c r="I1145" s="88" t="str">
        <f>IF(A1145="","",IF(INDEX(EXTRATO!$H$2:$H$3000,MATCH($A1145,EXTRATO!$A$2:$A$3000,0))="","",INDEX(EXTRATO!$H$2:$H$3000,MATCH($A1145,EXTRATO!$A$2:$A$3000,0))))</f>
        <v>CAMINO</v>
      </c>
      <c r="J1145" s="86" t="str">
        <f t="shared" si="23"/>
        <v>PENDENTE</v>
      </c>
      <c r="K1145" s="86" t="str">
        <f>IF(AND(A1145="",D1145="",E1145="",F1145=""),"",IF(D1145="","SEM CATEGORIA",IF(E1145="","SEM SUBCATEGORIA",IF(COUNTIFS(CADASTROS!$L$7:$L$93,D1145,CADASTROS!$D$7:$D$93,E1145)=0,"INCOMPATÍVEL","OK"))))</f>
        <v>SEM CATEGORIA</v>
      </c>
    </row>
    <row r="1146" spans="1:11" ht="30" hidden="1" customHeight="1" x14ac:dyDescent="0.25">
      <c r="A1146" s="86" t="str">
        <f>IF(COUNTIF(EXTRATO!$A$2:$A$3000,"BAN-01003")=0,"","BAN-01003")</f>
        <v>BAN-01003</v>
      </c>
      <c r="B1146" s="85">
        <f>IF(A1146="","",IF(INDEX(EXTRATO!$C$2:$C$3000,MATCH($A1146,EXTRATO!$A$2:$A$3000,0))="","",INDEX(EXTRATO!$C$2:$C$3000,MATCH($A1146,EXTRATO!$A$2:$A$3000,0))))</f>
        <v>46308</v>
      </c>
      <c r="C1146" s="86">
        <f t="shared" si="22"/>
        <v>10</v>
      </c>
      <c r="D1146" s="81"/>
      <c r="E1146" s="79"/>
      <c r="F1146" s="80">
        <f>IF(A1146="","",SUMIF(EXTRATO!$A$2:$A$3000,$A1146,EXTRATO!$J$2:$J$3000)+SUMIF(EXTRATO!$A$2:$A$3000,$A1146,EXTRATO!$K$2:$K$3000)+SUMIF(EXTRATO!$A$2:$A$3000,$A1146,EXTRATO!$L$2:$L$3000)+SUMIF(EXTRATO!$A$2:$A$3000,$A1146,EXTRATO!$M$2:$M$3000))</f>
        <v>1246</v>
      </c>
      <c r="G1146" s="81" t="str">
        <f>IF(A1146="","",IF(INDEX(EXTRATO!$G$2:$G$3000,MATCH($A1146,EXTRATO!$A$2:$A$3000,0))="","",INDEX(EXTRATO!$G$2:$G$3000,MATCH($A1146,EXTRATO!$A$2:$A$3000,0))))</f>
        <v>CLAUDIANE CARDOSO DA SILVA (REF. TRANSPORTE DE PACIENTES AO HTI EM SETEMBRO/26)</v>
      </c>
      <c r="H1146" s="86" t="str">
        <f>IF(A1146="","",IF(INDEX(EXTRATO!$F$2:$F$3000,MATCH($A1146,EXTRATO!$A$2:$A$3000,0))="","",INDEX(EXTRATO!$F$2:$F$3000,MATCH($A1146,EXTRATO!$A$2:$A$3000,0))))</f>
        <v>SAÍDA</v>
      </c>
      <c r="I1146" s="88" t="str">
        <f>IF(A1146="","",IF(INDEX(EXTRATO!$H$2:$H$3000,MATCH($A1146,EXTRATO!$A$2:$A$3000,0))="","",INDEX(EXTRATO!$H$2:$H$3000,MATCH($A1146,EXTRATO!$A$2:$A$3000,0))))</f>
        <v>CLAUDIANE CARDOSO DA SILVA (CARRO HTI)</v>
      </c>
      <c r="J1146" s="86" t="str">
        <f t="shared" si="23"/>
        <v>PENDENTE</v>
      </c>
      <c r="K1146" s="86" t="str">
        <f>IF(AND(A1146="",D1146="",E1146="",F1146=""),"",IF(D1146="","SEM CATEGORIA",IF(E1146="","SEM SUBCATEGORIA",IF(COUNTIFS(CADASTROS!$L$7:$L$93,D1146,CADASTROS!$D$7:$D$93,E1146)=0,"INCOMPATÍVEL","OK"))))</f>
        <v>SEM CATEGORIA</v>
      </c>
    </row>
    <row r="1147" spans="1:11" ht="30" hidden="1" customHeight="1" x14ac:dyDescent="0.25">
      <c r="A1147" s="86" t="str">
        <f>IF(COUNTIF(EXTRATO!$A$2:$A$3000,"BAN-01004")=0,"","BAN-01004")</f>
        <v>BAN-01004</v>
      </c>
      <c r="B1147" s="85">
        <f>IF(A1147="","",IF(INDEX(EXTRATO!$C$2:$C$3000,MATCH($A1147,EXTRATO!$A$2:$A$3000,0))="","",INDEX(EXTRATO!$C$2:$C$3000,MATCH($A1147,EXTRATO!$A$2:$A$3000,0))))</f>
        <v>46308</v>
      </c>
      <c r="C1147" s="86">
        <f t="shared" si="22"/>
        <v>10</v>
      </c>
      <c r="D1147" s="81"/>
      <c r="E1147" s="79"/>
      <c r="F1147" s="80">
        <f>IF(A1147="","",SUMIF(EXTRATO!$A$2:$A$3000,$A1147,EXTRATO!$J$2:$J$3000)+SUMIF(EXTRATO!$A$2:$A$3000,$A1147,EXTRATO!$K$2:$K$3000)+SUMIF(EXTRATO!$A$2:$A$3000,$A1147,EXTRATO!$L$2:$L$3000)+SUMIF(EXTRATO!$A$2:$A$3000,$A1147,EXTRATO!$M$2:$M$3000))</f>
        <v>44452.800000000003</v>
      </c>
      <c r="G1147" s="81" t="str">
        <f>IF(A1147="","",IF(INDEX(EXTRATO!$G$2:$G$3000,MATCH($A1147,EXTRATO!$A$2:$A$3000,0))="","",INDEX(EXTRATO!$G$2:$G$3000,MATCH($A1147,EXTRATO!$A$2:$A$3000,0))))</f>
        <v>FOLHA DE PAGAMENTO (REF. PISO SALARIAL ENFERMAGEM - COMP. AGO/26)</v>
      </c>
      <c r="H1147" s="86" t="str">
        <f>IF(A1147="","",IF(INDEX(EXTRATO!$F$2:$F$3000,MATCH($A1147,EXTRATO!$A$2:$A$3000,0))="","",INDEX(EXTRATO!$F$2:$F$3000,MATCH($A1147,EXTRATO!$A$2:$A$3000,0))))</f>
        <v>SAÍDA</v>
      </c>
      <c r="I1147" s="88" t="str">
        <f>IF(A1147="","",IF(INDEX(EXTRATO!$H$2:$H$3000,MATCH($A1147,EXTRATO!$A$2:$A$3000,0))="","",INDEX(EXTRATO!$H$2:$H$3000,MATCH($A1147,EXTRATO!$A$2:$A$3000,0))))</f>
        <v>FOLHA DE PAGAMENTO - PISO</v>
      </c>
      <c r="J1147" s="86" t="str">
        <f t="shared" si="23"/>
        <v>PENDENTE</v>
      </c>
      <c r="K1147" s="86" t="str">
        <f>IF(AND(A1147="",D1147="",E1147="",F1147=""),"",IF(D1147="","SEM CATEGORIA",IF(E1147="","SEM SUBCATEGORIA",IF(COUNTIFS(CADASTROS!$L$7:$L$93,D1147,CADASTROS!$D$7:$D$93,E1147)=0,"INCOMPATÍVEL","OK"))))</f>
        <v>SEM CATEGORIA</v>
      </c>
    </row>
    <row r="1148" spans="1:11" ht="30" hidden="1" customHeight="1" x14ac:dyDescent="0.25">
      <c r="A1148" s="86" t="str">
        <f>IF(COUNTIF(EXTRATO!$A$2:$A$3000,"BAN-01005")=0,"","BAN-01005")</f>
        <v>BAN-01005</v>
      </c>
      <c r="B1148" s="85">
        <f>IF(A1148="","",IF(INDEX(EXTRATO!$C$2:$C$3000,MATCH($A1148,EXTRATO!$A$2:$A$3000,0))="","",INDEX(EXTRATO!$C$2:$C$3000,MATCH($A1148,EXTRATO!$A$2:$A$3000,0))))</f>
        <v>46308</v>
      </c>
      <c r="C1148" s="86">
        <f t="shared" si="22"/>
        <v>10</v>
      </c>
      <c r="D1148" s="81"/>
      <c r="E1148" s="79"/>
      <c r="F1148" s="80">
        <f>IF(A1148="","",SUMIF(EXTRATO!$A$2:$A$3000,$A1148,EXTRATO!$J$2:$J$3000)+SUMIF(EXTRATO!$A$2:$A$3000,$A1148,EXTRATO!$K$2:$K$3000)+SUMIF(EXTRATO!$A$2:$A$3000,$A1148,EXTRATO!$L$2:$L$3000)+SUMIF(EXTRATO!$A$2:$A$3000,$A1148,EXTRATO!$M$2:$M$3000))</f>
        <v>149.9</v>
      </c>
      <c r="G1148" s="81" t="str">
        <f>IF(A1148="","",IF(INDEX(EXTRATO!$G$2:$G$3000,MATCH($A1148,EXTRATO!$A$2:$A$3000,0))="","",INDEX(EXTRATO!$G$2:$G$3000,MATCH($A1148,EXTRATO!$A$2:$A$3000,0))))</f>
        <v>MARANET TELECOM (REF. INTERNET)</v>
      </c>
      <c r="H1148" s="86" t="str">
        <f>IF(A1148="","",IF(INDEX(EXTRATO!$F$2:$F$3000,MATCH($A1148,EXTRATO!$A$2:$A$3000,0))="","",INDEX(EXTRATO!$F$2:$F$3000,MATCH($A1148,EXTRATO!$A$2:$A$3000,0))))</f>
        <v>SAÍDA</v>
      </c>
      <c r="I1148" s="88" t="str">
        <f>IF(A1148="","",IF(INDEX(EXTRATO!$H$2:$H$3000,MATCH($A1148,EXTRATO!$A$2:$A$3000,0))="","",INDEX(EXTRATO!$H$2:$H$3000,MATCH($A1148,EXTRATO!$A$2:$A$3000,0))))</f>
        <v>MARANET TELECOM</v>
      </c>
      <c r="J1148" s="86" t="str">
        <f t="shared" si="23"/>
        <v>PENDENTE</v>
      </c>
      <c r="K1148" s="86" t="str">
        <f>IF(AND(A1148="",D1148="",E1148="",F1148=""),"",IF(D1148="","SEM CATEGORIA",IF(E1148="","SEM SUBCATEGORIA",IF(COUNTIFS(CADASTROS!$L$7:$L$93,D1148,CADASTROS!$D$7:$D$93,E1148)=0,"INCOMPATÍVEL","OK"))))</f>
        <v>SEM CATEGORIA</v>
      </c>
    </row>
    <row r="1149" spans="1:11" ht="30" hidden="1" customHeight="1" x14ac:dyDescent="0.25">
      <c r="A1149" s="86" t="str">
        <f>IF(COUNTIF(EXTRATO!$A$2:$A$3000,"BAN-01006")=0,"","BAN-01006")</f>
        <v>BAN-01006</v>
      </c>
      <c r="B1149" s="85">
        <f>IF(A1149="","",IF(INDEX(EXTRATO!$C$2:$C$3000,MATCH($A1149,EXTRATO!$A$2:$A$3000,0))="","",INDEX(EXTRATO!$C$2:$C$3000,MATCH($A1149,EXTRATO!$A$2:$A$3000,0))))</f>
        <v>46308</v>
      </c>
      <c r="C1149" s="86">
        <f t="shared" si="22"/>
        <v>10</v>
      </c>
      <c r="D1149" s="81"/>
      <c r="E1149" s="79"/>
      <c r="F1149" s="80">
        <f>IF(A1149="","",SUMIF(EXTRATO!$A$2:$A$3000,$A1149,EXTRATO!$J$2:$J$3000)+SUMIF(EXTRATO!$A$2:$A$3000,$A1149,EXTRATO!$K$2:$K$3000)+SUMIF(EXTRATO!$A$2:$A$3000,$A1149,EXTRATO!$L$2:$L$3000)+SUMIF(EXTRATO!$A$2:$A$3000,$A1149,EXTRATO!$M$2:$M$3000))</f>
        <v>1259.9000000000001</v>
      </c>
      <c r="G1149" s="81" t="str">
        <f>IF(A1149="","",IF(INDEX(EXTRATO!$G$2:$G$3000,MATCH($A1149,EXTRATO!$A$2:$A$3000,0))="","",INDEX(EXTRATO!$G$2:$G$3000,MATCH($A1149,EXTRATO!$A$2:$A$3000,0))))</f>
        <v>REMORA HOSPITALAR (REF. CLOREXIDINAS, EQUIPOS E LANCETAS) 2/2</v>
      </c>
      <c r="H1149" s="86" t="str">
        <f>IF(A1149="","",IF(INDEX(EXTRATO!$F$2:$F$3000,MATCH($A1149,EXTRATO!$A$2:$A$3000,0))="","",INDEX(EXTRATO!$F$2:$F$3000,MATCH($A1149,EXTRATO!$A$2:$A$3000,0))))</f>
        <v>SAÍDA</v>
      </c>
      <c r="I1149" s="88" t="str">
        <f>IF(A1149="","",IF(INDEX(EXTRATO!$H$2:$H$3000,MATCH($A1149,EXTRATO!$A$2:$A$3000,0))="","",INDEX(EXTRATO!$H$2:$H$3000,MATCH($A1149,EXTRATO!$A$2:$A$3000,0))))</f>
        <v>REMORA HOSPITALAR</v>
      </c>
      <c r="J1149" s="86" t="str">
        <f t="shared" si="23"/>
        <v>PENDENTE</v>
      </c>
      <c r="K1149" s="86" t="str">
        <f>IF(AND(A1149="",D1149="",E1149="",F1149=""),"",IF(D1149="","SEM CATEGORIA",IF(E1149="","SEM SUBCATEGORIA",IF(COUNTIFS(CADASTROS!$L$7:$L$93,D1149,CADASTROS!$D$7:$D$93,E1149)=0,"INCOMPATÍVEL","OK"))))</f>
        <v>SEM CATEGORIA</v>
      </c>
    </row>
    <row r="1150" spans="1:11" ht="30" hidden="1" customHeight="1" x14ac:dyDescent="0.25">
      <c r="A1150" s="86" t="str">
        <f>IF(COUNTIF(EXTRATO!$A$2:$A$3000,"BAN-01007")=0,"","BAN-01007")</f>
        <v>BAN-01007</v>
      </c>
      <c r="B1150" s="85">
        <f>IF(A1150="","",IF(INDEX(EXTRATO!$C$2:$C$3000,MATCH($A1150,EXTRATO!$A$2:$A$3000,0))="","",INDEX(EXTRATO!$C$2:$C$3000,MATCH($A1150,EXTRATO!$A$2:$A$3000,0))))</f>
        <v>46308</v>
      </c>
      <c r="C1150" s="86">
        <f t="shared" si="22"/>
        <v>10</v>
      </c>
      <c r="D1150" s="81"/>
      <c r="E1150" s="79"/>
      <c r="F1150" s="80">
        <f>IF(A1150="","",SUMIF(EXTRATO!$A$2:$A$3000,$A1150,EXTRATO!$J$2:$J$3000)+SUMIF(EXTRATO!$A$2:$A$3000,$A1150,EXTRATO!$K$2:$K$3000)+SUMIF(EXTRATO!$A$2:$A$3000,$A1150,EXTRATO!$L$2:$L$3000)+SUMIF(EXTRATO!$A$2:$A$3000,$A1150,EXTRATO!$M$2:$M$3000))</f>
        <v>1858.59</v>
      </c>
      <c r="G1150" s="81" t="str">
        <f>IF(A1150="","",IF(INDEX(EXTRATO!$G$2:$G$3000,MATCH($A1150,EXTRATO!$A$2:$A$3000,0))="","",INDEX(EXTRATO!$G$2:$G$3000,MATCH($A1150,EXTRATO!$A$2:$A$3000,0))))</f>
        <v>SUPERMÉDICA DISTRIBUIDORA (REF. MEDICAMENTOS E INSUMOS) 2/2</v>
      </c>
      <c r="H1150" s="86" t="str">
        <f>IF(A1150="","",IF(INDEX(EXTRATO!$F$2:$F$3000,MATCH($A1150,EXTRATO!$A$2:$A$3000,0))="","",INDEX(EXTRATO!$F$2:$F$3000,MATCH($A1150,EXTRATO!$A$2:$A$3000,0))))</f>
        <v>SAÍDA</v>
      </c>
      <c r="I1150" s="88" t="str">
        <f>IF(A1150="","",IF(INDEX(EXTRATO!$H$2:$H$3000,MATCH($A1150,EXTRATO!$A$2:$A$3000,0))="","",INDEX(EXTRATO!$H$2:$H$3000,MATCH($A1150,EXTRATO!$A$2:$A$3000,0))))</f>
        <v>SUPERMÉDICA</v>
      </c>
      <c r="J1150" s="86" t="str">
        <f t="shared" si="23"/>
        <v>PENDENTE</v>
      </c>
      <c r="K1150" s="86" t="str">
        <f>IF(AND(A1150="",D1150="",E1150="",F1150=""),"",IF(D1150="","SEM CATEGORIA",IF(E1150="","SEM SUBCATEGORIA",IF(COUNTIFS(CADASTROS!$L$7:$L$93,D1150,CADASTROS!$D$7:$D$93,E1150)=0,"INCOMPATÍVEL","OK"))))</f>
        <v>SEM CATEGORIA</v>
      </c>
    </row>
    <row r="1151" spans="1:11" ht="30" hidden="1" customHeight="1" x14ac:dyDescent="0.25">
      <c r="A1151" s="86" t="str">
        <f>IF(COUNTIF(EXTRATO!$A$2:$A$3000,"BAN-01008")=0,"","BAN-01008")</f>
        <v>BAN-01008</v>
      </c>
      <c r="B1151" s="85">
        <f>IF(A1151="","",IF(INDEX(EXTRATO!$C$2:$C$3000,MATCH($A1151,EXTRATO!$A$2:$A$3000,0))="","",INDEX(EXTRATO!$C$2:$C$3000,MATCH($A1151,EXTRATO!$A$2:$A$3000,0))))</f>
        <v>46308</v>
      </c>
      <c r="C1151" s="86">
        <f t="shared" si="22"/>
        <v>10</v>
      </c>
      <c r="D1151" s="81"/>
      <c r="E1151" s="79"/>
      <c r="F1151" s="80">
        <f>IF(A1151="","",SUMIF(EXTRATO!$A$2:$A$3000,$A1151,EXTRATO!$J$2:$J$3000)+SUMIF(EXTRATO!$A$2:$A$3000,$A1151,EXTRATO!$K$2:$K$3000)+SUMIF(EXTRATO!$A$2:$A$3000,$A1151,EXTRATO!$L$2:$L$3000)+SUMIF(EXTRATO!$A$2:$A$3000,$A1151,EXTRATO!$M$2:$M$3000))</f>
        <v>9686.94</v>
      </c>
      <c r="G1151" s="81" t="str">
        <f>IF(A1151="","",IF(INDEX(EXTRATO!$G$2:$G$3000,MATCH($A1151,EXTRATO!$A$2:$A$3000,0))="","",INDEX(EXTRATO!$G$2:$G$3000,MATCH($A1151,EXTRATO!$A$2:$A$3000,0))))</f>
        <v>CRISTALIA PRODUTOS (REF. HEPARINAS , CEFAZIMA E CEFAZOLINA) 1/3</v>
      </c>
      <c r="H1151" s="86" t="str">
        <f>IF(A1151="","",IF(INDEX(EXTRATO!$F$2:$F$3000,MATCH($A1151,EXTRATO!$A$2:$A$3000,0))="","",INDEX(EXTRATO!$F$2:$F$3000,MATCH($A1151,EXTRATO!$A$2:$A$3000,0))))</f>
        <v>SAÍDA</v>
      </c>
      <c r="I1151" s="88" t="str">
        <f>IF(A1151="","",IF(INDEX(EXTRATO!$H$2:$H$3000,MATCH($A1151,EXTRATO!$A$2:$A$3000,0))="","",INDEX(EXTRATO!$H$2:$H$3000,MATCH($A1151,EXTRATO!$A$2:$A$3000,0))))</f>
        <v>CRISTALIA PRODUTOS</v>
      </c>
      <c r="J1151" s="86" t="str">
        <f t="shared" si="23"/>
        <v>PENDENTE</v>
      </c>
      <c r="K1151" s="86" t="str">
        <f>IF(AND(A1151="",D1151="",E1151="",F1151=""),"",IF(D1151="","SEM CATEGORIA",IF(E1151="","SEM SUBCATEGORIA",IF(COUNTIFS(CADASTROS!$L$7:$L$93,D1151,CADASTROS!$D$7:$D$93,E1151)=0,"INCOMPATÍVEL","OK"))))</f>
        <v>SEM CATEGORIA</v>
      </c>
    </row>
    <row r="1152" spans="1:11" ht="30" hidden="1" customHeight="1" x14ac:dyDescent="0.25">
      <c r="A1152" s="86" t="str">
        <f>IF(COUNTIF(EXTRATO!$A$2:$A$3000,"BAN-01009")=0,"","BAN-01009")</f>
        <v>BAN-01009</v>
      </c>
      <c r="B1152" s="85">
        <f>IF(A1152="","",IF(INDEX(EXTRATO!$C$2:$C$3000,MATCH($A1152,EXTRATO!$A$2:$A$3000,0))="","",INDEX(EXTRATO!$C$2:$C$3000,MATCH($A1152,EXTRATO!$A$2:$A$3000,0))))</f>
        <v>46308</v>
      </c>
      <c r="C1152" s="86">
        <f t="shared" si="22"/>
        <v>10</v>
      </c>
      <c r="D1152" s="81"/>
      <c r="E1152" s="79"/>
      <c r="F1152" s="80">
        <f>IF(A1152="","",SUMIF(EXTRATO!$A$2:$A$3000,$A1152,EXTRATO!$J$2:$J$3000)+SUMIF(EXTRATO!$A$2:$A$3000,$A1152,EXTRATO!$K$2:$K$3000)+SUMIF(EXTRATO!$A$2:$A$3000,$A1152,EXTRATO!$L$2:$L$3000)+SUMIF(EXTRATO!$A$2:$A$3000,$A1152,EXTRATO!$M$2:$M$3000))</f>
        <v>2270.16</v>
      </c>
      <c r="G1152" s="81" t="str">
        <f>IF(A1152="","",IF(INDEX(EXTRATO!$G$2:$G$3000,MATCH($A1152,EXTRATO!$A$2:$A$3000,0))="","",INDEX(EXTRATO!$G$2:$G$3000,MATCH($A1152,EXTRATO!$A$2:$A$3000,0))))</f>
        <v>NORTEFLOW (REF. KIT DUREZA TOTAL) 2/2</v>
      </c>
      <c r="H1152" s="86" t="str">
        <f>IF(A1152="","",IF(INDEX(EXTRATO!$F$2:$F$3000,MATCH($A1152,EXTRATO!$A$2:$A$3000,0))="","",INDEX(EXTRATO!$F$2:$F$3000,MATCH($A1152,EXTRATO!$A$2:$A$3000,0))))</f>
        <v>SAÍDA</v>
      </c>
      <c r="I1152" s="88" t="str">
        <f>IF(A1152="","",IF(INDEX(EXTRATO!$H$2:$H$3000,MATCH($A1152,EXTRATO!$A$2:$A$3000,0))="","",INDEX(EXTRATO!$H$2:$H$3000,MATCH($A1152,EXTRATO!$A$2:$A$3000,0))))</f>
        <v>NORTEFLOW</v>
      </c>
      <c r="J1152" s="86" t="str">
        <f t="shared" si="23"/>
        <v>PENDENTE</v>
      </c>
      <c r="K1152" s="86" t="str">
        <f>IF(AND(A1152="",D1152="",E1152="",F1152=""),"",IF(D1152="","SEM CATEGORIA",IF(E1152="","SEM SUBCATEGORIA",IF(COUNTIFS(CADASTROS!$L$7:$L$93,D1152,CADASTROS!$D$7:$D$93,E1152)=0,"INCOMPATÍVEL","OK"))))</f>
        <v>SEM CATEGORIA</v>
      </c>
    </row>
    <row r="1153" spans="1:11" ht="30" hidden="1" customHeight="1" x14ac:dyDescent="0.25">
      <c r="A1153" s="86" t="str">
        <f>IF(COUNTIF(EXTRATO!$A$2:$A$3000,"BAN-01010")=0,"","BAN-01010")</f>
        <v>BAN-01010</v>
      </c>
      <c r="B1153" s="85">
        <f>IF(A1153="","",IF(INDEX(EXTRATO!$C$2:$C$3000,MATCH($A1153,EXTRATO!$A$2:$A$3000,0))="","",INDEX(EXTRATO!$C$2:$C$3000,MATCH($A1153,EXTRATO!$A$2:$A$3000,0))))</f>
        <v>46308</v>
      </c>
      <c r="C1153" s="86">
        <f t="shared" si="22"/>
        <v>10</v>
      </c>
      <c r="D1153" s="81"/>
      <c r="E1153" s="79"/>
      <c r="F1153" s="80">
        <f>IF(A1153="","",SUMIF(EXTRATO!$A$2:$A$3000,$A1153,EXTRATO!$J$2:$J$3000)+SUMIF(EXTRATO!$A$2:$A$3000,$A1153,EXTRATO!$K$2:$K$3000)+SUMIF(EXTRATO!$A$2:$A$3000,$A1153,EXTRATO!$L$2:$L$3000)+SUMIF(EXTRATO!$A$2:$A$3000,$A1153,EXTRATO!$M$2:$M$3000))</f>
        <v>1800</v>
      </c>
      <c r="G1153" s="81" t="str">
        <f>IF(A1153="","",IF(INDEX(EXTRATO!$G$2:$G$3000,MATCH($A1153,EXTRATO!$A$2:$A$3000,0))="","",INDEX(EXTRATO!$G$2:$G$3000,MATCH($A1153,EXTRATO!$A$2:$A$3000,0))))</f>
        <v>BIOGREEN INCINERAÇÃO DE RESIDUOS (REF. COLETO LIXO INFECTANTE) - REF. 09/26</v>
      </c>
      <c r="H1153" s="86" t="str">
        <f>IF(A1153="","",IF(INDEX(EXTRATO!$F$2:$F$3000,MATCH($A1153,EXTRATO!$A$2:$A$3000,0))="","",INDEX(EXTRATO!$F$2:$F$3000,MATCH($A1153,EXTRATO!$A$2:$A$3000,0))))</f>
        <v>SAÍDA</v>
      </c>
      <c r="I1153" s="88" t="str">
        <f>IF(A1153="","",IF(INDEX(EXTRATO!$H$2:$H$3000,MATCH($A1153,EXTRATO!$A$2:$A$3000,0))="","",INDEX(EXTRATO!$H$2:$H$3000,MATCH($A1153,EXTRATO!$A$2:$A$3000,0))))</f>
        <v>BIOGREEN</v>
      </c>
      <c r="J1153" s="86" t="str">
        <f t="shared" si="23"/>
        <v>PENDENTE</v>
      </c>
      <c r="K1153" s="86" t="str">
        <f>IF(AND(A1153="",D1153="",E1153="",F1153=""),"",IF(D1153="","SEM CATEGORIA",IF(E1153="","SEM SUBCATEGORIA",IF(COUNTIFS(CADASTROS!$L$7:$L$93,D1153,CADASTROS!$D$7:$D$93,E1153)=0,"INCOMPATÍVEL","OK"))))</f>
        <v>SEM CATEGORIA</v>
      </c>
    </row>
    <row r="1154" spans="1:11" ht="30" hidden="1" customHeight="1" x14ac:dyDescent="0.25">
      <c r="A1154" s="86" t="str">
        <f>IF(COUNTIF(EXTRATO!$A$2:$A$3000,"BAN-01011")=0,"","BAN-01011")</f>
        <v>BAN-01011</v>
      </c>
      <c r="B1154" s="85">
        <f>IF(A1154="","",IF(INDEX(EXTRATO!$C$2:$C$3000,MATCH($A1154,EXTRATO!$A$2:$A$3000,0))="","",INDEX(EXTRATO!$C$2:$C$3000,MATCH($A1154,EXTRATO!$A$2:$A$3000,0))))</f>
        <v>46308</v>
      </c>
      <c r="C1154" s="86">
        <f t="shared" si="22"/>
        <v>10</v>
      </c>
      <c r="D1154" s="81"/>
      <c r="E1154" s="79"/>
      <c r="F1154" s="80">
        <f>IF(A1154="","",SUMIF(EXTRATO!$A$2:$A$3000,$A1154,EXTRATO!$J$2:$J$3000)+SUMIF(EXTRATO!$A$2:$A$3000,$A1154,EXTRATO!$K$2:$K$3000)+SUMIF(EXTRATO!$A$2:$A$3000,$A1154,EXTRATO!$L$2:$L$3000)+SUMIF(EXTRATO!$A$2:$A$3000,$A1154,EXTRATO!$M$2:$M$3000))</f>
        <v>22683.7</v>
      </c>
      <c r="G1154" s="81" t="str">
        <f>IF(A1154="","",IF(INDEX(EXTRATO!$G$2:$G$3000,MATCH($A1154,EXTRATO!$A$2:$A$3000,0))="","",INDEX(EXTRATO!$G$2:$G$3000,MATCH($A1154,EXTRATO!$A$2:$A$3000,0))))</f>
        <v>FARMACE (REF. SOL. ÁCIDA E BÁSICA, SOROS (100ML E 500ML), DIPIRONA INJETÁVEL, GLICOSE 50% E CLORETO DE SÓDIO 10%) 2/2</v>
      </c>
      <c r="H1154" s="86" t="str">
        <f>IF(A1154="","",IF(INDEX(EXTRATO!$F$2:$F$3000,MATCH($A1154,EXTRATO!$A$2:$A$3000,0))="","",INDEX(EXTRATO!$F$2:$F$3000,MATCH($A1154,EXTRATO!$A$2:$A$3000,0))))</f>
        <v>SAÍDA</v>
      </c>
      <c r="I1154" s="88" t="str">
        <f>IF(A1154="","",IF(INDEX(EXTRATO!$H$2:$H$3000,MATCH($A1154,EXTRATO!$A$2:$A$3000,0))="","",INDEX(EXTRATO!$H$2:$H$3000,MATCH($A1154,EXTRATO!$A$2:$A$3000,0))))</f>
        <v>FARMACE</v>
      </c>
      <c r="J1154" s="86" t="str">
        <f t="shared" si="23"/>
        <v>PENDENTE</v>
      </c>
      <c r="K1154" s="86" t="str">
        <f>IF(AND(A1154="",D1154="",E1154="",F1154=""),"",IF(D1154="","SEM CATEGORIA",IF(E1154="","SEM SUBCATEGORIA",IF(COUNTIFS(CADASTROS!$L$7:$L$93,D1154,CADASTROS!$D$7:$D$93,E1154)=0,"INCOMPATÍVEL","OK"))))</f>
        <v>SEM CATEGORIA</v>
      </c>
    </row>
    <row r="1155" spans="1:11" ht="30" hidden="1" customHeight="1" x14ac:dyDescent="0.25">
      <c r="A1155" s="86" t="str">
        <f>IF(COUNTIF(EXTRATO!$A$2:$A$3000,"BAN-01012")=0,"","BAN-01012")</f>
        <v>BAN-01012</v>
      </c>
      <c r="B1155" s="85">
        <f>IF(A1155="","",IF(INDEX(EXTRATO!$C$2:$C$3000,MATCH($A1155,EXTRATO!$A$2:$A$3000,0))="","",INDEX(EXTRATO!$C$2:$C$3000,MATCH($A1155,EXTRATO!$A$2:$A$3000,0))))</f>
        <v>46308</v>
      </c>
      <c r="C1155" s="86">
        <f t="shared" si="22"/>
        <v>10</v>
      </c>
      <c r="D1155" s="81"/>
      <c r="E1155" s="79"/>
      <c r="F1155" s="80">
        <f>IF(A1155="","",SUMIF(EXTRATO!$A$2:$A$3000,$A1155,EXTRATO!$J$2:$J$3000)+SUMIF(EXTRATO!$A$2:$A$3000,$A1155,EXTRATO!$K$2:$K$3000)+SUMIF(EXTRATO!$A$2:$A$3000,$A1155,EXTRATO!$L$2:$L$3000)+SUMIF(EXTRATO!$A$2:$A$3000,$A1155,EXTRATO!$M$2:$M$3000))</f>
        <v>47.06</v>
      </c>
      <c r="G1155" s="81" t="str">
        <f>IF(A1155="","",IF(INDEX(EXTRATO!$G$2:$G$3000,MATCH($A1155,EXTRATO!$A$2:$A$3000,0))="","",INDEX(EXTRATO!$G$2:$G$3000,MATCH($A1155,EXTRATO!$A$2:$A$3000,0))))</f>
        <v>TARIFA BANCÁRIA (SALÁRIO CRÉD. CONTA)</v>
      </c>
      <c r="H1155" s="86" t="str">
        <f>IF(A1155="","",IF(INDEX(EXTRATO!$F$2:$F$3000,MATCH($A1155,EXTRATO!$A$2:$A$3000,0))="","",INDEX(EXTRATO!$F$2:$F$3000,MATCH($A1155,EXTRATO!$A$2:$A$3000,0))))</f>
        <v>SAÍDA</v>
      </c>
      <c r="I1155" s="88" t="str">
        <f>IF(A1155="","",IF(INDEX(EXTRATO!$H$2:$H$3000,MATCH($A1155,EXTRATO!$A$2:$A$3000,0))="","",INDEX(EXTRATO!$H$2:$H$3000,MATCH($A1155,EXTRATO!$A$2:$A$3000,0))))</f>
        <v>TARIFA BANCÁRIA</v>
      </c>
      <c r="J1155" s="86" t="str">
        <f t="shared" si="23"/>
        <v>PENDENTE</v>
      </c>
      <c r="K1155" s="86" t="str">
        <f>IF(AND(A1155="",D1155="",E1155="",F1155=""),"",IF(D1155="","SEM CATEGORIA",IF(E1155="","SEM SUBCATEGORIA",IF(COUNTIFS(CADASTROS!$L$7:$L$93,D1155,CADASTROS!$D$7:$D$93,E1155)=0,"INCOMPATÍVEL","OK"))))</f>
        <v>SEM CATEGORIA</v>
      </c>
    </row>
    <row r="1156" spans="1:11" ht="30" hidden="1" customHeight="1" x14ac:dyDescent="0.25">
      <c r="A1156" s="86" t="str">
        <f>IF(COUNTIF(EXTRATO!$A$2:$A$3000,"BAN-01013")=0,"","BAN-01013")</f>
        <v>BAN-01013</v>
      </c>
      <c r="B1156" s="85">
        <f>IF(A1156="","",IF(INDEX(EXTRATO!$C$2:$C$3000,MATCH($A1156,EXTRATO!$A$2:$A$3000,0))="","",INDEX(EXTRATO!$C$2:$C$3000,MATCH($A1156,EXTRATO!$A$2:$A$3000,0))))</f>
        <v>46308</v>
      </c>
      <c r="C1156" s="86">
        <f t="shared" si="22"/>
        <v>10</v>
      </c>
      <c r="D1156" s="81"/>
      <c r="E1156" s="79"/>
      <c r="F1156" s="80">
        <f>IF(A1156="","",SUMIF(EXTRATO!$A$2:$A$3000,$A1156,EXTRATO!$J$2:$J$3000)+SUMIF(EXTRATO!$A$2:$A$3000,$A1156,EXTRATO!$K$2:$K$3000)+SUMIF(EXTRATO!$A$2:$A$3000,$A1156,EXTRATO!$L$2:$L$3000)+SUMIF(EXTRATO!$A$2:$A$3000,$A1156,EXTRATO!$M$2:$M$3000))</f>
        <v>206.25</v>
      </c>
      <c r="G1156" s="81" t="str">
        <f>IF(A1156="","",IF(INDEX(EXTRATO!$G$2:$G$3000,MATCH($A1156,EXTRATO!$A$2:$A$3000,0))="","",INDEX(EXTRATO!$G$2:$G$3000,MATCH($A1156,EXTRATO!$A$2:$A$3000,0))))</f>
        <v>TARIFA BANCÁRIA (PACOTE DE SERVIÇOS)</v>
      </c>
      <c r="H1156" s="86" t="str">
        <f>IF(A1156="","",IF(INDEX(EXTRATO!$F$2:$F$3000,MATCH($A1156,EXTRATO!$A$2:$A$3000,0))="","",INDEX(EXTRATO!$F$2:$F$3000,MATCH($A1156,EXTRATO!$A$2:$A$3000,0))))</f>
        <v>SAÍDA</v>
      </c>
      <c r="I1156" s="88" t="str">
        <f>IF(A1156="","",IF(INDEX(EXTRATO!$H$2:$H$3000,MATCH($A1156,EXTRATO!$A$2:$A$3000,0))="","",INDEX(EXTRATO!$H$2:$H$3000,MATCH($A1156,EXTRATO!$A$2:$A$3000,0))))</f>
        <v>TARIFA PACOTE DE SERVIÇOS</v>
      </c>
      <c r="J1156" s="86" t="str">
        <f t="shared" si="23"/>
        <v>PENDENTE</v>
      </c>
      <c r="K1156" s="86" t="str">
        <f>IF(AND(A1156="",D1156="",E1156="",F1156=""),"",IF(D1156="","SEM CATEGORIA",IF(E1156="","SEM SUBCATEGORIA",IF(COUNTIFS(CADASTROS!$L$7:$L$93,D1156,CADASTROS!$D$7:$D$93,E1156)=0,"INCOMPATÍVEL","OK"))))</f>
        <v>SEM CATEGORIA</v>
      </c>
    </row>
    <row r="1157" spans="1:11" ht="30" hidden="1" customHeight="1" x14ac:dyDescent="0.25">
      <c r="A1157" s="86" t="str">
        <f>IF(COUNTIF(EXTRATO!$A$2:$A$3000,"BAN-01014")=0,"","BAN-01014")</f>
        <v>BAN-01014</v>
      </c>
      <c r="B1157" s="85">
        <f>IF(A1157="","",IF(INDEX(EXTRATO!$C$2:$C$3000,MATCH($A1157,EXTRATO!$A$2:$A$3000,0))="","",INDEX(EXTRATO!$C$2:$C$3000,MATCH($A1157,EXTRATO!$A$2:$A$3000,0))))</f>
        <v>46308</v>
      </c>
      <c r="C1157" s="86">
        <f t="shared" si="22"/>
        <v>10</v>
      </c>
      <c r="D1157" s="81"/>
      <c r="E1157" s="79"/>
      <c r="F1157" s="80">
        <f>IF(A1157="","",SUMIF(EXTRATO!$A$2:$A$3000,$A1157,EXTRATO!$J$2:$J$3000)+SUMIF(EXTRATO!$A$2:$A$3000,$A1157,EXTRATO!$K$2:$K$3000)+SUMIF(EXTRATO!$A$2:$A$3000,$A1157,EXTRATO!$L$2:$L$3000)+SUMIF(EXTRATO!$A$2:$A$3000,$A1157,EXTRATO!$M$2:$M$3000))</f>
        <v>48500</v>
      </c>
      <c r="G1157" s="81" t="str">
        <f>IF(A1157="","",IF(INDEX(EXTRATO!$G$2:$G$3000,MATCH($A1157,EXTRATO!$A$2:$A$3000,0))="","",INDEX(EXTRATO!$G$2:$G$3000,MATCH($A1157,EXTRATO!$A$2:$A$3000,0))))</f>
        <v>RESGATE BB CDB DI</v>
      </c>
      <c r="H1157" s="86" t="str">
        <f>IF(A1157="","",IF(INDEX(EXTRATO!$F$2:$F$3000,MATCH($A1157,EXTRATO!$A$2:$A$3000,0))="","",INDEX(EXTRATO!$F$2:$F$3000,MATCH($A1157,EXTRATO!$A$2:$A$3000,0))))</f>
        <v>RESGATE</v>
      </c>
      <c r="I1157" s="88" t="str">
        <f>IF(A1157="","",IF(INDEX(EXTRATO!$H$2:$H$3000,MATCH($A1157,EXTRATO!$A$2:$A$3000,0))="","",INDEX(EXTRATO!$H$2:$H$3000,MATCH($A1157,EXTRATO!$A$2:$A$3000,0))))</f>
        <v>RESGATE BB CDB DI</v>
      </c>
      <c r="J1157" s="86" t="str">
        <f t="shared" si="23"/>
        <v>PENDENTE</v>
      </c>
      <c r="K1157" s="86" t="str">
        <f>IF(AND(A1157="",D1157="",E1157="",F1157=""),"",IF(D1157="","SEM CATEGORIA",IF(E1157="","SEM SUBCATEGORIA",IF(COUNTIFS(CADASTROS!$L$7:$L$93,D1157,CADASTROS!$D$7:$D$93,E1157)=0,"INCOMPATÍVEL","OK"))))</f>
        <v>SEM CATEGORIA</v>
      </c>
    </row>
    <row r="1158" spans="1:11" ht="30" hidden="1" customHeight="1" x14ac:dyDescent="0.25">
      <c r="A1158" s="86" t="str">
        <f>IF(COUNTIF(EXTRATO!$A$2:$A$3000,"BAN-01015")=0,"","BAN-01015")</f>
        <v>BAN-01015</v>
      </c>
      <c r="B1158" s="85">
        <f>IF(A1158="","",IF(INDEX(EXTRATO!$C$2:$C$3000,MATCH($A1158,EXTRATO!$A$2:$A$3000,0))="","",INDEX(EXTRATO!$C$2:$C$3000,MATCH($A1158,EXTRATO!$A$2:$A$3000,0))))</f>
        <v>46308</v>
      </c>
      <c r="C1158" s="86">
        <f t="shared" si="22"/>
        <v>10</v>
      </c>
      <c r="D1158" s="81"/>
      <c r="E1158" s="79"/>
      <c r="F1158" s="80">
        <f>IF(A1158="","",SUMIF(EXTRATO!$A$2:$A$3000,$A1158,EXTRATO!$J$2:$J$3000)+SUMIF(EXTRATO!$A$2:$A$3000,$A1158,EXTRATO!$K$2:$K$3000)+SUMIF(EXTRATO!$A$2:$A$3000,$A1158,EXTRATO!$L$2:$L$3000)+SUMIF(EXTRATO!$A$2:$A$3000,$A1158,EXTRATO!$M$2:$M$3000))</f>
        <v>533.5</v>
      </c>
      <c r="G1158" s="81" t="str">
        <f>IF(A1158="","",IF(INDEX(EXTRATO!$G$2:$G$3000,MATCH($A1158,EXTRATO!$A$2:$A$3000,0))="","",INDEX(EXTRATO!$G$2:$G$3000,MATCH($A1158,EXTRATO!$A$2:$A$3000,0))))</f>
        <v>RESGATE BB CDB DI</v>
      </c>
      <c r="H1158" s="86" t="str">
        <f>IF(A1158="","",IF(INDEX(EXTRATO!$F$2:$F$3000,MATCH($A1158,EXTRATO!$A$2:$A$3000,0))="","",INDEX(EXTRATO!$F$2:$F$3000,MATCH($A1158,EXTRATO!$A$2:$A$3000,0))))</f>
        <v>RESGATE</v>
      </c>
      <c r="I1158" s="88" t="str">
        <f>IF(A1158="","",IF(INDEX(EXTRATO!$H$2:$H$3000,MATCH($A1158,EXTRATO!$A$2:$A$3000,0))="","",INDEX(EXTRATO!$H$2:$H$3000,MATCH($A1158,EXTRATO!$A$2:$A$3000,0))))</f>
        <v>RESGATE BB CDB DI</v>
      </c>
      <c r="J1158" s="86" t="str">
        <f t="shared" si="23"/>
        <v>PENDENTE</v>
      </c>
      <c r="K1158" s="86" t="str">
        <f>IF(AND(A1158="",D1158="",E1158="",F1158=""),"",IF(D1158="","SEM CATEGORIA",IF(E1158="","SEM SUBCATEGORIA",IF(COUNTIFS(CADASTROS!$L$7:$L$93,D1158,CADASTROS!$D$7:$D$93,E1158)=0,"INCOMPATÍVEL","OK"))))</f>
        <v>SEM CATEGORIA</v>
      </c>
    </row>
    <row r="1159" spans="1:11" ht="30" hidden="1" customHeight="1" x14ac:dyDescent="0.25">
      <c r="A1159" s="86" t="str">
        <f>IF(COUNTIF(EXTRATO!$A$2:$A$3000,"BAN-01016")=0,"","BAN-01016")</f>
        <v>BAN-01016</v>
      </c>
      <c r="B1159" s="85">
        <f>IF(A1159="","",IF(INDEX(EXTRATO!$C$2:$C$3000,MATCH($A1159,EXTRATO!$A$2:$A$3000,0))="","",INDEX(EXTRATO!$C$2:$C$3000,MATCH($A1159,EXTRATO!$A$2:$A$3000,0))))</f>
        <v>46309</v>
      </c>
      <c r="C1159" s="86">
        <f t="shared" si="22"/>
        <v>10</v>
      </c>
      <c r="D1159" s="81"/>
      <c r="E1159" s="79"/>
      <c r="F1159" s="80">
        <f>IF(A1159="","",SUMIF(EXTRATO!$A$2:$A$3000,$A1159,EXTRATO!$J$2:$J$3000)+SUMIF(EXTRATO!$A$2:$A$3000,$A1159,EXTRATO!$K$2:$K$3000)+SUMIF(EXTRATO!$A$2:$A$3000,$A1159,EXTRATO!$L$2:$L$3000)+SUMIF(EXTRATO!$A$2:$A$3000,$A1159,EXTRATO!$M$2:$M$3000))</f>
        <v>150</v>
      </c>
      <c r="G1159" s="81" t="str">
        <f>IF(A1159="","",IF(INDEX(EXTRATO!$G$2:$G$3000,MATCH($A1159,EXTRATO!$A$2:$A$3000,0))="","",INDEX(EXTRATO!$G$2:$G$3000,MATCH($A1159,EXTRATO!$A$2:$A$3000,0))))</f>
        <v>M E S XAVIER LTDA (REF. RECARGA DO OXIGÊNIO DA SALA BRANCA)</v>
      </c>
      <c r="H1159" s="86" t="str">
        <f>IF(A1159="","",IF(INDEX(EXTRATO!$F$2:$F$3000,MATCH($A1159,EXTRATO!$A$2:$A$3000,0))="","",INDEX(EXTRATO!$F$2:$F$3000,MATCH($A1159,EXTRATO!$A$2:$A$3000,0))))</f>
        <v>SAÍDA</v>
      </c>
      <c r="I1159" s="88" t="str">
        <f>IF(A1159="","",IF(INDEX(EXTRATO!$H$2:$H$3000,MATCH($A1159,EXTRATO!$A$2:$A$3000,0))="","",INDEX(EXTRATO!$H$2:$H$3000,MATCH($A1159,EXTRATO!$A$2:$A$3000,0))))</f>
        <v>M E S XAVIER</v>
      </c>
      <c r="J1159" s="86" t="str">
        <f t="shared" si="23"/>
        <v>PENDENTE</v>
      </c>
      <c r="K1159" s="86" t="str">
        <f>IF(AND(A1159="",D1159="",E1159="",F1159=""),"",IF(D1159="","SEM CATEGORIA",IF(E1159="","SEM SUBCATEGORIA",IF(COUNTIFS(CADASTROS!$L$7:$L$93,D1159,CADASTROS!$D$7:$D$93,E1159)=0,"INCOMPATÍVEL","OK"))))</f>
        <v>SEM CATEGORIA</v>
      </c>
    </row>
    <row r="1160" spans="1:11" ht="30" hidden="1" customHeight="1" x14ac:dyDescent="0.25">
      <c r="A1160" s="86" t="str">
        <f>IF(COUNTIF(EXTRATO!$A$2:$A$3000,"BAN-01017")=0,"","BAN-01017")</f>
        <v>BAN-01017</v>
      </c>
      <c r="B1160" s="85">
        <f>IF(A1160="","",IF(INDEX(EXTRATO!$C$2:$C$3000,MATCH($A1160,EXTRATO!$A$2:$A$3000,0))="","",INDEX(EXTRATO!$C$2:$C$3000,MATCH($A1160,EXTRATO!$A$2:$A$3000,0))))</f>
        <v>46309</v>
      </c>
      <c r="C1160" s="86">
        <f t="shared" si="22"/>
        <v>10</v>
      </c>
      <c r="D1160" s="81"/>
      <c r="E1160" s="79"/>
      <c r="F1160" s="80">
        <f>IF(A1160="","",SUMIF(EXTRATO!$A$2:$A$3000,$A1160,EXTRATO!$J$2:$J$3000)+SUMIF(EXTRATO!$A$2:$A$3000,$A1160,EXTRATO!$K$2:$K$3000)+SUMIF(EXTRATO!$A$2:$A$3000,$A1160,EXTRATO!$L$2:$L$3000)+SUMIF(EXTRATO!$A$2:$A$3000,$A1160,EXTRATO!$M$2:$M$3000))</f>
        <v>34364.410000000003</v>
      </c>
      <c r="G1160" s="81" t="str">
        <f>IF(A1160="","",IF(INDEX(EXTRATO!$G$2:$G$3000,MATCH($A1160,EXTRATO!$A$2:$A$3000,0))="","",INDEX(EXTRATO!$G$2:$G$3000,MATCH($A1160,EXTRATO!$A$2:$A$3000,0))))</f>
        <v>ISS (MUNICIPIO DE SANTA INÊS) - NF 202600000000008 (REF. COMP. JUL/26  - EMITIDA EM 01/09/2026)</v>
      </c>
      <c r="H1160" s="86" t="str">
        <f>IF(A1160="","",IF(INDEX(EXTRATO!$F$2:$F$3000,MATCH($A1160,EXTRATO!$A$2:$A$3000,0))="","",INDEX(EXTRATO!$F$2:$F$3000,MATCH($A1160,EXTRATO!$A$2:$A$3000,0))))</f>
        <v>SAÍDA</v>
      </c>
      <c r="I1160" s="88" t="str">
        <f>IF(A1160="","",IF(INDEX(EXTRATO!$H$2:$H$3000,MATCH($A1160,EXTRATO!$A$2:$A$3000,0))="","",INDEX(EXTRATO!$H$2:$H$3000,MATCH($A1160,EXTRATO!$A$2:$A$3000,0))))</f>
        <v>ISS</v>
      </c>
      <c r="J1160" s="86" t="str">
        <f t="shared" si="23"/>
        <v>PENDENTE</v>
      </c>
      <c r="K1160" s="86" t="str">
        <f>IF(AND(A1160="",D1160="",E1160="",F1160=""),"",IF(D1160="","SEM CATEGORIA",IF(E1160="","SEM SUBCATEGORIA",IF(COUNTIFS(CADASTROS!$L$7:$L$93,D1160,CADASTROS!$D$7:$D$93,E1160)=0,"INCOMPATÍVEL","OK"))))</f>
        <v>SEM CATEGORIA</v>
      </c>
    </row>
    <row r="1161" spans="1:11" ht="30" hidden="1" customHeight="1" x14ac:dyDescent="0.25">
      <c r="A1161" s="86" t="str">
        <f>IF(COUNTIF(EXTRATO!$A$2:$A$3000,"BAN-01018")=0,"","BAN-01018")</f>
        <v>BAN-01018</v>
      </c>
      <c r="B1161" s="85">
        <f>IF(A1161="","",IF(INDEX(EXTRATO!$C$2:$C$3000,MATCH($A1161,EXTRATO!$A$2:$A$3000,0))="","",INDEX(EXTRATO!$C$2:$C$3000,MATCH($A1161,EXTRATO!$A$2:$A$3000,0))))</f>
        <v>46309</v>
      </c>
      <c r="C1161" s="86">
        <f t="shared" si="22"/>
        <v>10</v>
      </c>
      <c r="D1161" s="81"/>
      <c r="E1161" s="79"/>
      <c r="F1161" s="80">
        <f>IF(A1161="","",SUMIF(EXTRATO!$A$2:$A$3000,$A1161,EXTRATO!$J$2:$J$3000)+SUMIF(EXTRATO!$A$2:$A$3000,$A1161,EXTRATO!$K$2:$K$3000)+SUMIF(EXTRATO!$A$2:$A$3000,$A1161,EXTRATO!$L$2:$L$3000)+SUMIF(EXTRATO!$A$2:$A$3000,$A1161,EXTRATO!$M$2:$M$3000))</f>
        <v>137.01</v>
      </c>
      <c r="G1161" s="81" t="str">
        <f>IF(A1161="","",IF(INDEX(EXTRATO!$G$2:$G$3000,MATCH($A1161,EXTRATO!$A$2:$A$3000,0))="","",INDEX(EXTRATO!$G$2:$G$3000,MATCH($A1161,EXTRATO!$A$2:$A$3000,0))))</f>
        <v>CONSTRUNORTE (REF. PEÇA PARA REPARO DA VALVULA DO VASO SANITÁRIO E ASSENTO PARA VASO)</v>
      </c>
      <c r="H1161" s="86" t="str">
        <f>IF(A1161="","",IF(INDEX(EXTRATO!$F$2:$F$3000,MATCH($A1161,EXTRATO!$A$2:$A$3000,0))="","",INDEX(EXTRATO!$F$2:$F$3000,MATCH($A1161,EXTRATO!$A$2:$A$3000,0))))</f>
        <v>SAÍDA</v>
      </c>
      <c r="I1161" s="88" t="str">
        <f>IF(A1161="","",IF(INDEX(EXTRATO!$H$2:$H$3000,MATCH($A1161,EXTRATO!$A$2:$A$3000,0))="","",INDEX(EXTRATO!$H$2:$H$3000,MATCH($A1161,EXTRATO!$A$2:$A$3000,0))))</f>
        <v>CONSTRUNORTE</v>
      </c>
      <c r="J1161" s="86" t="str">
        <f t="shared" si="23"/>
        <v>PENDENTE</v>
      </c>
      <c r="K1161" s="86" t="str">
        <f>IF(AND(A1161="",D1161="",E1161="",F1161=""),"",IF(D1161="","SEM CATEGORIA",IF(E1161="","SEM SUBCATEGORIA",IF(COUNTIFS(CADASTROS!$L$7:$L$93,D1161,CADASTROS!$D$7:$D$93,E1161)=0,"INCOMPATÍVEL","OK"))))</f>
        <v>SEM CATEGORIA</v>
      </c>
    </row>
    <row r="1162" spans="1:11" ht="30" hidden="1" customHeight="1" x14ac:dyDescent="0.25">
      <c r="A1162" s="86" t="str">
        <f>IF(COUNTIF(EXTRATO!$A$2:$A$3000,"BAN-01019")=0,"","BAN-01019")</f>
        <v>BAN-01019</v>
      </c>
      <c r="B1162" s="85">
        <f>IF(A1162="","",IF(INDEX(EXTRATO!$C$2:$C$3000,MATCH($A1162,EXTRATO!$A$2:$A$3000,0))="","",INDEX(EXTRATO!$C$2:$C$3000,MATCH($A1162,EXTRATO!$A$2:$A$3000,0))))</f>
        <v>46309</v>
      </c>
      <c r="C1162" s="86">
        <f t="shared" si="22"/>
        <v>10</v>
      </c>
      <c r="D1162" s="81"/>
      <c r="E1162" s="79"/>
      <c r="F1162" s="80">
        <f>IF(A1162="","",SUMIF(EXTRATO!$A$2:$A$3000,$A1162,EXTRATO!$J$2:$J$3000)+SUMIF(EXTRATO!$A$2:$A$3000,$A1162,EXTRATO!$K$2:$K$3000)+SUMIF(EXTRATO!$A$2:$A$3000,$A1162,EXTRATO!$L$2:$L$3000)+SUMIF(EXTRATO!$A$2:$A$3000,$A1162,EXTRATO!$M$2:$M$3000))</f>
        <v>230</v>
      </c>
      <c r="G1162" s="81" t="str">
        <f>IF(A1162="","",IF(INDEX(EXTRATO!$G$2:$G$3000,MATCH($A1162,EXTRATO!$A$2:$A$3000,0))="","",INDEX(EXTRATO!$G$2:$G$3000,MATCH($A1162,EXTRATO!$A$2:$A$3000,0))))</f>
        <v>GAS SÃO JOSE (NF - J V L NOBRE) - GÁS PARA A COPA</v>
      </c>
      <c r="H1162" s="86" t="str">
        <f>IF(A1162="","",IF(INDEX(EXTRATO!$F$2:$F$3000,MATCH($A1162,EXTRATO!$A$2:$A$3000,0))="","",INDEX(EXTRATO!$F$2:$F$3000,MATCH($A1162,EXTRATO!$A$2:$A$3000,0))))</f>
        <v>SAÍDA</v>
      </c>
      <c r="I1162" s="88" t="str">
        <f>IF(A1162="","",IF(INDEX(EXTRATO!$H$2:$H$3000,MATCH($A1162,EXTRATO!$A$2:$A$3000,0))="","",INDEX(EXTRATO!$H$2:$H$3000,MATCH($A1162,EXTRATO!$A$2:$A$3000,0))))</f>
        <v>GAS SÃO JOSE</v>
      </c>
      <c r="J1162" s="86" t="str">
        <f t="shared" si="23"/>
        <v>PENDENTE</v>
      </c>
      <c r="K1162" s="86" t="str">
        <f>IF(AND(A1162="",D1162="",E1162="",F1162=""),"",IF(D1162="","SEM CATEGORIA",IF(E1162="","SEM SUBCATEGORIA",IF(COUNTIFS(CADASTROS!$L$7:$L$93,D1162,CADASTROS!$D$7:$D$93,E1162)=0,"INCOMPATÍVEL","OK"))))</f>
        <v>SEM CATEGORIA</v>
      </c>
    </row>
    <row r="1163" spans="1:11" ht="30" hidden="1" customHeight="1" x14ac:dyDescent="0.25">
      <c r="A1163" s="86" t="str">
        <f>IF(COUNTIF(EXTRATO!$A$2:$A$3000,"BAN-01020")=0,"","BAN-01020")</f>
        <v>BAN-01020</v>
      </c>
      <c r="B1163" s="85">
        <f>IF(A1163="","",IF(INDEX(EXTRATO!$C$2:$C$3000,MATCH($A1163,EXTRATO!$A$2:$A$3000,0))="","",INDEX(EXTRATO!$C$2:$C$3000,MATCH($A1163,EXTRATO!$A$2:$A$3000,0))))</f>
        <v>46309</v>
      </c>
      <c r="C1163" s="86">
        <f t="shared" si="22"/>
        <v>10</v>
      </c>
      <c r="D1163" s="81"/>
      <c r="E1163" s="79"/>
      <c r="F1163" s="80">
        <f>IF(A1163="","",SUMIF(EXTRATO!$A$2:$A$3000,$A1163,EXTRATO!$J$2:$J$3000)+SUMIF(EXTRATO!$A$2:$A$3000,$A1163,EXTRATO!$K$2:$K$3000)+SUMIF(EXTRATO!$A$2:$A$3000,$A1163,EXTRATO!$L$2:$L$3000)+SUMIF(EXTRATO!$A$2:$A$3000,$A1163,EXTRATO!$M$2:$M$3000))</f>
        <v>200</v>
      </c>
      <c r="G1163" s="81" t="str">
        <f>IF(A1163="","",IF(INDEX(EXTRATO!$G$2:$G$3000,MATCH($A1163,EXTRATO!$A$2:$A$3000,0))="","",INDEX(EXTRATO!$G$2:$G$3000,MATCH($A1163,EXTRATO!$A$2:$A$3000,0))))</f>
        <v>E G BISPO TRANSPORTES (REF. FRETE DE AMOSTRA DA ÁGUA) - OUT/26</v>
      </c>
      <c r="H1163" s="86" t="str">
        <f>IF(A1163="","",IF(INDEX(EXTRATO!$F$2:$F$3000,MATCH($A1163,EXTRATO!$A$2:$A$3000,0))="","",INDEX(EXTRATO!$F$2:$F$3000,MATCH($A1163,EXTRATO!$A$2:$A$3000,0))))</f>
        <v>SAÍDA</v>
      </c>
      <c r="I1163" s="88" t="str">
        <f>IF(A1163="","",IF(INDEX(EXTRATO!$H$2:$H$3000,MATCH($A1163,EXTRATO!$A$2:$A$3000,0))="","",INDEX(EXTRATO!$H$2:$H$3000,MATCH($A1163,EXTRATO!$A$2:$A$3000,0))))</f>
        <v>E G BISPO TRANSPORTES</v>
      </c>
      <c r="J1163" s="86" t="str">
        <f t="shared" si="23"/>
        <v>PENDENTE</v>
      </c>
      <c r="K1163" s="86" t="str">
        <f>IF(AND(A1163="",D1163="",E1163="",F1163=""),"",IF(D1163="","SEM CATEGORIA",IF(E1163="","SEM SUBCATEGORIA",IF(COUNTIFS(CADASTROS!$L$7:$L$93,D1163,CADASTROS!$D$7:$D$93,E1163)=0,"INCOMPATÍVEL","OK"))))</f>
        <v>SEM CATEGORIA</v>
      </c>
    </row>
    <row r="1164" spans="1:11" ht="30" hidden="1" customHeight="1" x14ac:dyDescent="0.25">
      <c r="A1164" s="86" t="str">
        <f>IF(COUNTIF(EXTRATO!$A$2:$A$3000,"BAN-01021")=0,"","BAN-01021")</f>
        <v>BAN-01021</v>
      </c>
      <c r="B1164" s="85">
        <f>IF(A1164="","",IF(INDEX(EXTRATO!$C$2:$C$3000,MATCH($A1164,EXTRATO!$A$2:$A$3000,0))="","",INDEX(EXTRATO!$C$2:$C$3000,MATCH($A1164,EXTRATO!$A$2:$A$3000,0))))</f>
        <v>46309</v>
      </c>
      <c r="C1164" s="86">
        <f t="shared" si="22"/>
        <v>10</v>
      </c>
      <c r="D1164" s="81"/>
      <c r="E1164" s="79"/>
      <c r="F1164" s="80">
        <f>IF(A1164="","",SUMIF(EXTRATO!$A$2:$A$3000,$A1164,EXTRATO!$J$2:$J$3000)+SUMIF(EXTRATO!$A$2:$A$3000,$A1164,EXTRATO!$K$2:$K$3000)+SUMIF(EXTRATO!$A$2:$A$3000,$A1164,EXTRATO!$L$2:$L$3000)+SUMIF(EXTRATO!$A$2:$A$3000,$A1164,EXTRATO!$M$2:$M$3000))</f>
        <v>22283</v>
      </c>
      <c r="G1164" s="81" t="str">
        <f>IF(A1164="","",IF(INDEX(EXTRATO!$G$2:$G$3000,MATCH($A1164,EXTRATO!$A$2:$A$3000,0))="","",INDEX(EXTRATO!$G$2:$G$3000,MATCH($A1164,EXTRATO!$A$2:$A$3000,0))))</f>
        <v>FARMACE (REF. SOL. ÁCIDA E BÁSICA, SOROS (100ML E 500ML), DIPIRONA INJETÁVEL, GLICOSE 50% E CLORETO DE SÓDIO 10%) 2/2</v>
      </c>
      <c r="H1164" s="86" t="str">
        <f>IF(A1164="","",IF(INDEX(EXTRATO!$F$2:$F$3000,MATCH($A1164,EXTRATO!$A$2:$A$3000,0))="","",INDEX(EXTRATO!$F$2:$F$3000,MATCH($A1164,EXTRATO!$A$2:$A$3000,0))))</f>
        <v>SAÍDA</v>
      </c>
      <c r="I1164" s="88" t="str">
        <f>IF(A1164="","",IF(INDEX(EXTRATO!$H$2:$H$3000,MATCH($A1164,EXTRATO!$A$2:$A$3000,0))="","",INDEX(EXTRATO!$H$2:$H$3000,MATCH($A1164,EXTRATO!$A$2:$A$3000,0))))</f>
        <v>FARMACE</v>
      </c>
      <c r="J1164" s="86" t="str">
        <f t="shared" si="23"/>
        <v>PENDENTE</v>
      </c>
      <c r="K1164" s="86" t="str">
        <f>IF(AND(A1164="",D1164="",E1164="",F1164=""),"",IF(D1164="","SEM CATEGORIA",IF(E1164="","SEM SUBCATEGORIA",IF(COUNTIFS(CADASTROS!$L$7:$L$93,D1164,CADASTROS!$D$7:$D$93,E1164)=0,"INCOMPATÍVEL","OK"))))</f>
        <v>SEM CATEGORIA</v>
      </c>
    </row>
    <row r="1165" spans="1:11" ht="30" hidden="1" customHeight="1" x14ac:dyDescent="0.25">
      <c r="A1165" s="86" t="str">
        <f>IF(COUNTIF(EXTRATO!$A$2:$A$3000,"BAN-01022")=0,"","BAN-01022")</f>
        <v>BAN-01022</v>
      </c>
      <c r="B1165" s="85">
        <f>IF(A1165="","",IF(INDEX(EXTRATO!$C$2:$C$3000,MATCH($A1165,EXTRATO!$A$2:$A$3000,0))="","",INDEX(EXTRATO!$C$2:$C$3000,MATCH($A1165,EXTRATO!$A$2:$A$3000,0))))</f>
        <v>46309</v>
      </c>
      <c r="C1165" s="86">
        <f t="shared" si="22"/>
        <v>10</v>
      </c>
      <c r="D1165" s="81"/>
      <c r="E1165" s="79"/>
      <c r="F1165" s="80">
        <f>IF(A1165="","",SUMIF(EXTRATO!$A$2:$A$3000,$A1165,EXTRATO!$J$2:$J$3000)+SUMIF(EXTRATO!$A$2:$A$3000,$A1165,EXTRATO!$K$2:$K$3000)+SUMIF(EXTRATO!$A$2:$A$3000,$A1165,EXTRATO!$L$2:$L$3000)+SUMIF(EXTRATO!$A$2:$A$3000,$A1165,EXTRATO!$M$2:$M$3000))</f>
        <v>57000</v>
      </c>
      <c r="G1165" s="81" t="str">
        <f>IF(A1165="","",IF(INDEX(EXTRATO!$G$2:$G$3000,MATCH($A1165,EXTRATO!$A$2:$A$3000,0))="","",INDEX(EXTRATO!$G$2:$G$3000,MATCH($A1165,EXTRATO!$A$2:$A$3000,0))))</f>
        <v>RESGATE BB CDB DI</v>
      </c>
      <c r="H1165" s="86" t="str">
        <f>IF(A1165="","",IF(INDEX(EXTRATO!$F$2:$F$3000,MATCH($A1165,EXTRATO!$A$2:$A$3000,0))="","",INDEX(EXTRATO!$F$2:$F$3000,MATCH($A1165,EXTRATO!$A$2:$A$3000,0))))</f>
        <v>RESGATE</v>
      </c>
      <c r="I1165" s="88" t="str">
        <f>IF(A1165="","",IF(INDEX(EXTRATO!$H$2:$H$3000,MATCH($A1165,EXTRATO!$A$2:$A$3000,0))="","",INDEX(EXTRATO!$H$2:$H$3000,MATCH($A1165,EXTRATO!$A$2:$A$3000,0))))</f>
        <v>RESGATE BB CDB DI</v>
      </c>
      <c r="J1165" s="86" t="str">
        <f t="shared" si="23"/>
        <v>PENDENTE</v>
      </c>
      <c r="K1165" s="86" t="str">
        <f>IF(AND(A1165="",D1165="",E1165="",F1165=""),"",IF(D1165="","SEM CATEGORIA",IF(E1165="","SEM SUBCATEGORIA",IF(COUNTIFS(CADASTROS!$L$7:$L$93,D1165,CADASTROS!$D$7:$D$93,E1165)=0,"INCOMPATÍVEL","OK"))))</f>
        <v>SEM CATEGORIA</v>
      </c>
    </row>
    <row r="1166" spans="1:11" ht="30" hidden="1" customHeight="1" x14ac:dyDescent="0.25">
      <c r="A1166" s="86" t="str">
        <f>IF(COUNTIF(EXTRATO!$A$2:$A$3000,"BAN-01023")=0,"","BAN-01023")</f>
        <v>BAN-01023</v>
      </c>
      <c r="B1166" s="85">
        <f>IF(A1166="","",IF(INDEX(EXTRATO!$C$2:$C$3000,MATCH($A1166,EXTRATO!$A$2:$A$3000,0))="","",INDEX(EXTRATO!$C$2:$C$3000,MATCH($A1166,EXTRATO!$A$2:$A$3000,0))))</f>
        <v>46309</v>
      </c>
      <c r="C1166" s="86">
        <f t="shared" si="22"/>
        <v>10</v>
      </c>
      <c r="D1166" s="81"/>
      <c r="E1166" s="79"/>
      <c r="F1166" s="80">
        <f>IF(A1166="","",SUMIF(EXTRATO!$A$2:$A$3000,$A1166,EXTRATO!$J$2:$J$3000)+SUMIF(EXTRATO!$A$2:$A$3000,$A1166,EXTRATO!$K$2:$K$3000)+SUMIF(EXTRATO!$A$2:$A$3000,$A1166,EXTRATO!$L$2:$L$3000)+SUMIF(EXTRATO!$A$2:$A$3000,$A1166,EXTRATO!$M$2:$M$3000))</f>
        <v>648.66</v>
      </c>
      <c r="G1166" s="81" t="str">
        <f>IF(A1166="","",IF(INDEX(EXTRATO!$G$2:$G$3000,MATCH($A1166,EXTRATO!$A$2:$A$3000,0))="","",INDEX(EXTRATO!$G$2:$G$3000,MATCH($A1166,EXTRATO!$A$2:$A$3000,0))))</f>
        <v>RESGATE BB CDB DI</v>
      </c>
      <c r="H1166" s="86" t="str">
        <f>IF(A1166="","",IF(INDEX(EXTRATO!$F$2:$F$3000,MATCH($A1166,EXTRATO!$A$2:$A$3000,0))="","",INDEX(EXTRATO!$F$2:$F$3000,MATCH($A1166,EXTRATO!$A$2:$A$3000,0))))</f>
        <v>RESGATE</v>
      </c>
      <c r="I1166" s="88" t="str">
        <f>IF(A1166="","",IF(INDEX(EXTRATO!$H$2:$H$3000,MATCH($A1166,EXTRATO!$A$2:$A$3000,0))="","",INDEX(EXTRATO!$H$2:$H$3000,MATCH($A1166,EXTRATO!$A$2:$A$3000,0))))</f>
        <v>RESGATE BB CDB DI</v>
      </c>
      <c r="J1166" s="86" t="str">
        <f t="shared" si="23"/>
        <v>PENDENTE</v>
      </c>
      <c r="K1166" s="86" t="str">
        <f>IF(AND(A1166="",D1166="",E1166="",F1166=""),"",IF(D1166="","SEM CATEGORIA",IF(E1166="","SEM SUBCATEGORIA",IF(COUNTIFS(CADASTROS!$L$7:$L$93,D1166,CADASTROS!$D$7:$D$93,E1166)=0,"INCOMPATÍVEL","OK"))))</f>
        <v>SEM CATEGORIA</v>
      </c>
    </row>
    <row r="1167" spans="1:11" ht="30" hidden="1" customHeight="1" x14ac:dyDescent="0.25">
      <c r="A1167" s="86" t="str">
        <f>IF(COUNTIF(EXTRATO!$A$2:$A$3000,"BAN-01024")=0,"","BAN-01024")</f>
        <v>BAN-01024</v>
      </c>
      <c r="B1167" s="85">
        <f>IF(A1167="","",IF(INDEX(EXTRATO!$C$2:$C$3000,MATCH($A1167,EXTRATO!$A$2:$A$3000,0))="","",INDEX(EXTRATO!$C$2:$C$3000,MATCH($A1167,EXTRATO!$A$2:$A$3000,0))))</f>
        <v>46310</v>
      </c>
      <c r="C1167" s="86">
        <f t="shared" si="22"/>
        <v>10</v>
      </c>
      <c r="D1167" s="81"/>
      <c r="E1167" s="79"/>
      <c r="F1167" s="80">
        <f>IF(A1167="","",SUMIF(EXTRATO!$A$2:$A$3000,$A1167,EXTRATO!$J$2:$J$3000)+SUMIF(EXTRATO!$A$2:$A$3000,$A1167,EXTRATO!$K$2:$K$3000)+SUMIF(EXTRATO!$A$2:$A$3000,$A1167,EXTRATO!$L$2:$L$3000)+SUMIF(EXTRATO!$A$2:$A$3000,$A1167,EXTRATO!$M$2:$M$3000))</f>
        <v>15084.47</v>
      </c>
      <c r="G1167" s="81" t="str">
        <f>IF(A1167="","",IF(INDEX(EXTRATO!$G$2:$G$3000,MATCH($A1167,EXTRATO!$A$2:$A$3000,0))="","",INDEX(EXTRATO!$G$2:$G$3000,MATCH($A1167,EXTRATO!$A$2:$A$3000,0))))</f>
        <v>ORDEM BANCÁRIA ESTADO MA - REPASSE FINANCEIRO (NF - 202600000000008 - REF. COMP. JUL/26 - EMITIDA EM 01/09/2026) - 1/2</v>
      </c>
      <c r="H1167" s="86" t="str">
        <f>IF(A1167="","",IF(INDEX(EXTRATO!$F$2:$F$3000,MATCH($A1167,EXTRATO!$A$2:$A$3000,0))="","",INDEX(EXTRATO!$F$2:$F$3000,MATCH($A1167,EXTRATO!$A$2:$A$3000,0))))</f>
        <v>ENTRADA</v>
      </c>
      <c r="I1167" s="88" t="str">
        <f>IF(A1167="","",IF(INDEX(EXTRATO!$H$2:$H$3000,MATCH($A1167,EXTRATO!$A$2:$A$3000,0))="","",INDEX(EXTRATO!$H$2:$H$3000,MATCH($A1167,EXTRATO!$A$2:$A$3000,0))))</f>
        <v>REPASSE DO CONTRATO</v>
      </c>
      <c r="J1167" s="86" t="str">
        <f t="shared" si="23"/>
        <v>PENDENTE</v>
      </c>
      <c r="K1167" s="86" t="str">
        <f>IF(AND(A1167="",D1167="",E1167="",F1167=""),"",IF(D1167="","SEM CATEGORIA",IF(E1167="","SEM SUBCATEGORIA",IF(COUNTIFS(CADASTROS!$L$7:$L$93,D1167,CADASTROS!$D$7:$D$93,E1167)=0,"INCOMPATÍVEL","OK"))))</f>
        <v>SEM CATEGORIA</v>
      </c>
    </row>
    <row r="1168" spans="1:11" ht="30" hidden="1" customHeight="1" x14ac:dyDescent="0.25">
      <c r="A1168" s="86" t="str">
        <f>IF(COUNTIF(EXTRATO!$A$2:$A$3000,"BAN-01025")=0,"","BAN-01025")</f>
        <v>BAN-01025</v>
      </c>
      <c r="B1168" s="85">
        <f>IF(A1168="","",IF(INDEX(EXTRATO!$C$2:$C$3000,MATCH($A1168,EXTRATO!$A$2:$A$3000,0))="","",INDEX(EXTRATO!$C$2:$C$3000,MATCH($A1168,EXTRATO!$A$2:$A$3000,0))))</f>
        <v>46310</v>
      </c>
      <c r="C1168" s="86">
        <f t="shared" si="22"/>
        <v>10</v>
      </c>
      <c r="D1168" s="81"/>
      <c r="E1168" s="79"/>
      <c r="F1168" s="80">
        <f>IF(A1168="","",SUMIF(EXTRATO!$A$2:$A$3000,$A1168,EXTRATO!$J$2:$J$3000)+SUMIF(EXTRATO!$A$2:$A$3000,$A1168,EXTRATO!$K$2:$K$3000)+SUMIF(EXTRATO!$A$2:$A$3000,$A1168,EXTRATO!$L$2:$L$3000)+SUMIF(EXTRATO!$A$2:$A$3000,$A1168,EXTRATO!$M$2:$M$3000))</f>
        <v>663956.17000000004</v>
      </c>
      <c r="G1168" s="81" t="str">
        <f>IF(A1168="","",IF(INDEX(EXTRATO!$G$2:$G$3000,MATCH($A1168,EXTRATO!$A$2:$A$3000,0))="","",INDEX(EXTRATO!$G$2:$G$3000,MATCH($A1168,EXTRATO!$A$2:$A$3000,0))))</f>
        <v>ORDEM BANCÁRIA ESTADO MA - REPASSE FINANCEIRO (NF - 202600000000008 - REF. COMP. JUL26 - EMITIDA EM 01/09/2026) - 2/2</v>
      </c>
      <c r="H1168" s="86" t="str">
        <f>IF(A1168="","",IF(INDEX(EXTRATO!$F$2:$F$3000,MATCH($A1168,EXTRATO!$A$2:$A$3000,0))="","",INDEX(EXTRATO!$F$2:$F$3000,MATCH($A1168,EXTRATO!$A$2:$A$3000,0))))</f>
        <v>ENTRADA</v>
      </c>
      <c r="I1168" s="88" t="str">
        <f>IF(A1168="","",IF(INDEX(EXTRATO!$H$2:$H$3000,MATCH($A1168,EXTRATO!$A$2:$A$3000,0))="","",INDEX(EXTRATO!$H$2:$H$3000,MATCH($A1168,EXTRATO!$A$2:$A$3000,0))))</f>
        <v>REPASSE DO CONTRATO</v>
      </c>
      <c r="J1168" s="86" t="str">
        <f t="shared" si="23"/>
        <v>PENDENTE</v>
      </c>
      <c r="K1168" s="86" t="str">
        <f>IF(AND(A1168="",D1168="",E1168="",F1168=""),"",IF(D1168="","SEM CATEGORIA",IF(E1168="","SEM SUBCATEGORIA",IF(COUNTIFS(CADASTROS!$L$7:$L$93,D1168,CADASTROS!$D$7:$D$93,E1168)=0,"INCOMPATÍVEL","OK"))))</f>
        <v>SEM CATEGORIA</v>
      </c>
    </row>
    <row r="1169" spans="1:11" ht="30" hidden="1" customHeight="1" x14ac:dyDescent="0.25">
      <c r="A1169" s="86" t="str">
        <f>IF(COUNTIF(EXTRATO!$A$2:$A$3000,"BAN-01026")=0,"","BAN-01026")</f>
        <v>BAN-01026</v>
      </c>
      <c r="B1169" s="85">
        <f>IF(A1169="","",IF(INDEX(EXTRATO!$C$2:$C$3000,MATCH($A1169,EXTRATO!$A$2:$A$3000,0))="","",INDEX(EXTRATO!$C$2:$C$3000,MATCH($A1169,EXTRATO!$A$2:$A$3000,0))))</f>
        <v>46310</v>
      </c>
      <c r="C1169" s="86">
        <f t="shared" si="22"/>
        <v>10</v>
      </c>
      <c r="D1169" s="81"/>
      <c r="E1169" s="79"/>
      <c r="F1169" s="80">
        <f>IF(A1169="","",SUMIF(EXTRATO!$A$2:$A$3000,$A1169,EXTRATO!$J$2:$J$3000)+SUMIF(EXTRATO!$A$2:$A$3000,$A1169,EXTRATO!$K$2:$K$3000)+SUMIF(EXTRATO!$A$2:$A$3000,$A1169,EXTRATO!$L$2:$L$3000)+SUMIF(EXTRATO!$A$2:$A$3000,$A1169,EXTRATO!$M$2:$M$3000))</f>
        <v>300</v>
      </c>
      <c r="G1169" s="81" t="str">
        <f>IF(A1169="","",IF(INDEX(EXTRATO!$G$2:$G$3000,MATCH($A1169,EXTRATO!$A$2:$A$3000,0))="","",INDEX(EXTRATO!$G$2:$G$3000,MATCH($A1169,EXTRATO!$A$2:$A$3000,0))))</f>
        <v>LEMOS BRANCO &amp; CIA - POSTO PREMIUM (COMBUSTÍVEL CARRO)</v>
      </c>
      <c r="H1169" s="86" t="str">
        <f>IF(A1169="","",IF(INDEX(EXTRATO!$F$2:$F$3000,MATCH($A1169,EXTRATO!$A$2:$A$3000,0))="","",INDEX(EXTRATO!$F$2:$F$3000,MATCH($A1169,EXTRATO!$A$2:$A$3000,0))))</f>
        <v>SAÍDA</v>
      </c>
      <c r="I1169" s="88" t="str">
        <f>IF(A1169="","",IF(INDEX(EXTRATO!$H$2:$H$3000,MATCH($A1169,EXTRATO!$A$2:$A$3000,0))="","",INDEX(EXTRATO!$H$2:$H$3000,MATCH($A1169,EXTRATO!$A$2:$A$3000,0))))</f>
        <v>POSTO PREMIUM</v>
      </c>
      <c r="J1169" s="86" t="str">
        <f t="shared" si="23"/>
        <v>PENDENTE</v>
      </c>
      <c r="K1169" s="86" t="str">
        <f>IF(AND(A1169="",D1169="",E1169="",F1169=""),"",IF(D1169="","SEM CATEGORIA",IF(E1169="","SEM SUBCATEGORIA",IF(COUNTIFS(CADASTROS!$L$7:$L$93,D1169,CADASTROS!$D$7:$D$93,E1169)=0,"INCOMPATÍVEL","OK"))))</f>
        <v>SEM CATEGORIA</v>
      </c>
    </row>
    <row r="1170" spans="1:11" ht="30" hidden="1" customHeight="1" x14ac:dyDescent="0.25">
      <c r="A1170" s="86" t="str">
        <f>IF(COUNTIF(EXTRATO!$A$2:$A$3000,"BAN-01027")=0,"","BAN-01027")</f>
        <v>BAN-01027</v>
      </c>
      <c r="B1170" s="85">
        <f>IF(A1170="","",IF(INDEX(EXTRATO!$C$2:$C$3000,MATCH($A1170,EXTRATO!$A$2:$A$3000,0))="","",INDEX(EXTRATO!$C$2:$C$3000,MATCH($A1170,EXTRATO!$A$2:$A$3000,0))))</f>
        <v>46310</v>
      </c>
      <c r="C1170" s="86">
        <f t="shared" si="22"/>
        <v>10</v>
      </c>
      <c r="D1170" s="81"/>
      <c r="E1170" s="79"/>
      <c r="F1170" s="80">
        <f>IF(A1170="","",SUMIF(EXTRATO!$A$2:$A$3000,$A1170,EXTRATO!$J$2:$J$3000)+SUMIF(EXTRATO!$A$2:$A$3000,$A1170,EXTRATO!$K$2:$K$3000)+SUMIF(EXTRATO!$A$2:$A$3000,$A1170,EXTRATO!$L$2:$L$3000)+SUMIF(EXTRATO!$A$2:$A$3000,$A1170,EXTRATO!$M$2:$M$3000))</f>
        <v>97.62</v>
      </c>
      <c r="G1170" s="81" t="str">
        <f>IF(A1170="","",IF(INDEX(EXTRATO!$G$2:$G$3000,MATCH($A1170,EXTRATO!$A$2:$A$3000,0))="","",INDEX(EXTRATO!$G$2:$G$3000,MATCH($A1170,EXTRATO!$A$2:$A$3000,0))))</f>
        <v>BB PAY (FORTES) - RELÓGIO DE PONTO</v>
      </c>
      <c r="H1170" s="86" t="str">
        <f>IF(A1170="","",IF(INDEX(EXTRATO!$F$2:$F$3000,MATCH($A1170,EXTRATO!$A$2:$A$3000,0))="","",INDEX(EXTRATO!$F$2:$F$3000,MATCH($A1170,EXTRATO!$A$2:$A$3000,0))))</f>
        <v>SAÍDA</v>
      </c>
      <c r="I1170" s="88" t="str">
        <f>IF(A1170="","",IF(INDEX(EXTRATO!$H$2:$H$3000,MATCH($A1170,EXTRATO!$A$2:$A$3000,0))="","",INDEX(EXTRATO!$H$2:$H$3000,MATCH($A1170,EXTRATO!$A$2:$A$3000,0))))</f>
        <v>FORTES CONECTA - RELÓGIO DE PONTO</v>
      </c>
      <c r="J1170" s="86" t="str">
        <f t="shared" si="23"/>
        <v>PENDENTE</v>
      </c>
      <c r="K1170" s="86" t="str">
        <f>IF(AND(A1170="",D1170="",E1170="",F1170=""),"",IF(D1170="","SEM CATEGORIA",IF(E1170="","SEM SUBCATEGORIA",IF(COUNTIFS(CADASTROS!$L$7:$L$93,D1170,CADASTROS!$D$7:$D$93,E1170)=0,"INCOMPATÍVEL","OK"))))</f>
        <v>SEM CATEGORIA</v>
      </c>
    </row>
    <row r="1171" spans="1:11" ht="30" hidden="1" customHeight="1" x14ac:dyDescent="0.25">
      <c r="A1171" s="86" t="str">
        <f>IF(COUNTIF(EXTRATO!$A$2:$A$3000,"BAN-01028")=0,"","BAN-01028")</f>
        <v>BAN-01028</v>
      </c>
      <c r="B1171" s="85">
        <f>IF(A1171="","",IF(INDEX(EXTRATO!$C$2:$C$3000,MATCH($A1171,EXTRATO!$A$2:$A$3000,0))="","",INDEX(EXTRATO!$C$2:$C$3000,MATCH($A1171,EXTRATO!$A$2:$A$3000,0))))</f>
        <v>46310</v>
      </c>
      <c r="C1171" s="86">
        <f t="shared" si="22"/>
        <v>10</v>
      </c>
      <c r="D1171" s="81"/>
      <c r="E1171" s="79"/>
      <c r="F1171" s="80">
        <f>IF(A1171="","",SUMIF(EXTRATO!$A$2:$A$3000,$A1171,EXTRATO!$J$2:$J$3000)+SUMIF(EXTRATO!$A$2:$A$3000,$A1171,EXTRATO!$K$2:$K$3000)+SUMIF(EXTRATO!$A$2:$A$3000,$A1171,EXTRATO!$L$2:$L$3000)+SUMIF(EXTRATO!$A$2:$A$3000,$A1171,EXTRATO!$M$2:$M$3000))</f>
        <v>216.19</v>
      </c>
      <c r="G1171" s="81" t="str">
        <f>IF(A1171="","",IF(INDEX(EXTRATO!$G$2:$G$3000,MATCH($A1171,EXTRATO!$A$2:$A$3000,0))="","",INDEX(EXTRATO!$G$2:$G$3000,MATCH($A1171,EXTRATO!$A$2:$A$3000,0))))</f>
        <v>BB PAY (FORTES) - RELÓGIO DE PONTO</v>
      </c>
      <c r="H1171" s="86" t="str">
        <f>IF(A1171="","",IF(INDEX(EXTRATO!$F$2:$F$3000,MATCH($A1171,EXTRATO!$A$2:$A$3000,0))="","",INDEX(EXTRATO!$F$2:$F$3000,MATCH($A1171,EXTRATO!$A$2:$A$3000,0))))</f>
        <v>SAÍDA</v>
      </c>
      <c r="I1171" s="88" t="str">
        <f>IF(A1171="","",IF(INDEX(EXTRATO!$H$2:$H$3000,MATCH($A1171,EXTRATO!$A$2:$A$3000,0))="","",INDEX(EXTRATO!$H$2:$H$3000,MATCH($A1171,EXTRATO!$A$2:$A$3000,0))))</f>
        <v>FORTES CONECTA - RELÓGIO DE PONTO</v>
      </c>
      <c r="J1171" s="86" t="str">
        <f t="shared" si="23"/>
        <v>PENDENTE</v>
      </c>
      <c r="K1171" s="86" t="str">
        <f>IF(AND(A1171="",D1171="",E1171="",F1171=""),"",IF(D1171="","SEM CATEGORIA",IF(E1171="","SEM SUBCATEGORIA",IF(COUNTIFS(CADASTROS!$L$7:$L$93,D1171,CADASTROS!$D$7:$D$93,E1171)=0,"INCOMPATÍVEL","OK"))))</f>
        <v>SEM CATEGORIA</v>
      </c>
    </row>
    <row r="1172" spans="1:11" ht="30" hidden="1" customHeight="1" x14ac:dyDescent="0.25">
      <c r="A1172" s="86" t="str">
        <f>IF(COUNTIF(EXTRATO!$A$2:$A$3000,"BAN-01029")=0,"","BAN-01029")</f>
        <v>BAN-01029</v>
      </c>
      <c r="B1172" s="85">
        <f>IF(A1172="","",IF(INDEX(EXTRATO!$C$2:$C$3000,MATCH($A1172,EXTRATO!$A$2:$A$3000,0))="","",INDEX(EXTRATO!$C$2:$C$3000,MATCH($A1172,EXTRATO!$A$2:$A$3000,0))))</f>
        <v>46311</v>
      </c>
      <c r="C1172" s="86">
        <f t="shared" si="22"/>
        <v>10</v>
      </c>
      <c r="D1172" s="81"/>
      <c r="E1172" s="79"/>
      <c r="F1172" s="80">
        <f>IF(A1172="","",SUMIF(EXTRATO!$A$2:$A$3000,$A1172,EXTRATO!$J$2:$J$3000)+SUMIF(EXTRATO!$A$2:$A$3000,$A1172,EXTRATO!$K$2:$K$3000)+SUMIF(EXTRATO!$A$2:$A$3000,$A1172,EXTRATO!$L$2:$L$3000)+SUMIF(EXTRATO!$A$2:$A$3000,$A1172,EXTRATO!$M$2:$M$3000))</f>
        <v>8000</v>
      </c>
      <c r="G1172" s="81" t="str">
        <f>IF(A1172="","",IF(INDEX(EXTRATO!$G$2:$G$3000,MATCH($A1172,EXTRATO!$A$2:$A$3000,0))="","",INDEX(EXTRATO!$G$2:$G$3000,MATCH($A1172,EXTRATO!$A$2:$A$3000,0))))</f>
        <v>CELINA TCBC DE MIRANDA (REF. DISTRIBUIÇÃO DE LUCROS)</v>
      </c>
      <c r="H1172" s="86" t="str">
        <f>IF(A1172="","",IF(INDEX(EXTRATO!$F$2:$F$3000,MATCH($A1172,EXTRATO!$A$2:$A$3000,0))="","",INDEX(EXTRATO!$F$2:$F$3000,MATCH($A1172,EXTRATO!$A$2:$A$3000,0))))</f>
        <v>SAÍDA</v>
      </c>
      <c r="I1172" s="88" t="str">
        <f>IF(A1172="","",IF(INDEX(EXTRATO!$H$2:$H$3000,MATCH($A1172,EXTRATO!$A$2:$A$3000,0))="","",INDEX(EXTRATO!$H$2:$H$3000,MATCH($A1172,EXTRATO!$A$2:$A$3000,0))))</f>
        <v>CELINA TCBC DE MIRANDA</v>
      </c>
      <c r="J1172" s="86" t="str">
        <f t="shared" si="23"/>
        <v>PENDENTE</v>
      </c>
      <c r="K1172" s="86" t="str">
        <f>IF(AND(A1172="",D1172="",E1172="",F1172=""),"",IF(D1172="","SEM CATEGORIA",IF(E1172="","SEM SUBCATEGORIA",IF(COUNTIFS(CADASTROS!$L$7:$L$93,D1172,CADASTROS!$D$7:$D$93,E1172)=0,"INCOMPATÍVEL","OK"))))</f>
        <v>SEM CATEGORIA</v>
      </c>
    </row>
    <row r="1173" spans="1:11" ht="30" hidden="1" customHeight="1" x14ac:dyDescent="0.25">
      <c r="A1173" s="86" t="str">
        <f>IF(COUNTIF(EXTRATO!$A$2:$A$3000,"BAN-01030")=0,"","BAN-01030")</f>
        <v>BAN-01030</v>
      </c>
      <c r="B1173" s="85">
        <f>IF(A1173="","",IF(INDEX(EXTRATO!$C$2:$C$3000,MATCH($A1173,EXTRATO!$A$2:$A$3000,0))="","",INDEX(EXTRATO!$C$2:$C$3000,MATCH($A1173,EXTRATO!$A$2:$A$3000,0))))</f>
        <v>46311</v>
      </c>
      <c r="C1173" s="86">
        <f t="shared" ref="C1173:C1236" si="24">IF(B1173="","",MONTH(B1173))</f>
        <v>10</v>
      </c>
      <c r="D1173" s="81"/>
      <c r="E1173" s="79"/>
      <c r="F1173" s="80">
        <f>IF(A1173="","",SUMIF(EXTRATO!$A$2:$A$3000,$A1173,EXTRATO!$J$2:$J$3000)+SUMIF(EXTRATO!$A$2:$A$3000,$A1173,EXTRATO!$K$2:$K$3000)+SUMIF(EXTRATO!$A$2:$A$3000,$A1173,EXTRATO!$L$2:$L$3000)+SUMIF(EXTRATO!$A$2:$A$3000,$A1173,EXTRATO!$M$2:$M$3000))</f>
        <v>9621</v>
      </c>
      <c r="G1173" s="81" t="str">
        <f>IF(A1173="","",IF(INDEX(EXTRATO!$G$2:$G$3000,MATCH($A1173,EXTRATO!$A$2:$A$3000,0))="","",INDEX(EXTRATO!$G$2:$G$3000,MATCH($A1173,EXTRATO!$A$2:$A$3000,0))))</f>
        <v>AFONSO PAULO COSTA FERRO (REF. DISTRIBUIÇÃO DE LUCROS + PRÓ-LABORE COMO SÓCIO ADMINISTRADOR)</v>
      </c>
      <c r="H1173" s="86" t="str">
        <f>IF(A1173="","",IF(INDEX(EXTRATO!$F$2:$F$3000,MATCH($A1173,EXTRATO!$A$2:$A$3000,0))="","",INDEX(EXTRATO!$F$2:$F$3000,MATCH($A1173,EXTRATO!$A$2:$A$3000,0))))</f>
        <v>SAÍDA</v>
      </c>
      <c r="I1173" s="88" t="str">
        <f>IF(A1173="","",IF(INDEX(EXTRATO!$H$2:$H$3000,MATCH($A1173,EXTRATO!$A$2:$A$3000,0))="","",INDEX(EXTRATO!$H$2:$H$3000,MATCH($A1173,EXTRATO!$A$2:$A$3000,0))))</f>
        <v>AFONSO PAULO COSTA FERRO</v>
      </c>
      <c r="J1173" s="86" t="str">
        <f t="shared" si="23"/>
        <v>PENDENTE</v>
      </c>
      <c r="K1173" s="86" t="str">
        <f>IF(AND(A1173="",D1173="",E1173="",F1173=""),"",IF(D1173="","SEM CATEGORIA",IF(E1173="","SEM SUBCATEGORIA",IF(COUNTIFS(CADASTROS!$L$7:$L$93,D1173,CADASTROS!$D$7:$D$93,E1173)=0,"INCOMPATÍVEL","OK"))))</f>
        <v>SEM CATEGORIA</v>
      </c>
    </row>
    <row r="1174" spans="1:11" ht="30" hidden="1" customHeight="1" x14ac:dyDescent="0.25">
      <c r="A1174" s="86" t="str">
        <f>IF(COUNTIF(EXTRATO!$A$2:$A$3000,"BAN-01031")=0,"","BAN-01031")</f>
        <v>BAN-01031</v>
      </c>
      <c r="B1174" s="85">
        <f>IF(A1174="","",IF(INDEX(EXTRATO!$C$2:$C$3000,MATCH($A1174,EXTRATO!$A$2:$A$3000,0))="","",INDEX(EXTRATO!$C$2:$C$3000,MATCH($A1174,EXTRATO!$A$2:$A$3000,0))))</f>
        <v>46311</v>
      </c>
      <c r="C1174" s="86">
        <f t="shared" si="24"/>
        <v>10</v>
      </c>
      <c r="D1174" s="81"/>
      <c r="E1174" s="79"/>
      <c r="F1174" s="80">
        <f>IF(A1174="","",SUMIF(EXTRATO!$A$2:$A$3000,$A1174,EXTRATO!$J$2:$J$3000)+SUMIF(EXTRATO!$A$2:$A$3000,$A1174,EXTRATO!$K$2:$K$3000)+SUMIF(EXTRATO!$A$2:$A$3000,$A1174,EXTRATO!$L$2:$L$3000)+SUMIF(EXTRATO!$A$2:$A$3000,$A1174,EXTRATO!$M$2:$M$3000))</f>
        <v>18000</v>
      </c>
      <c r="G1174" s="81" t="str">
        <f>IF(A1174="","",IF(INDEX(EXTRATO!$G$2:$G$3000,MATCH($A1174,EXTRATO!$A$2:$A$3000,0))="","",INDEX(EXTRATO!$G$2:$G$3000,MATCH($A1174,EXTRATO!$A$2:$A$3000,0))))</f>
        <v>FABIANA CRISTINA BARROS (REF. PLANTÕES MÉDICOS DE AGO/26 + DISTRIBUIÇÃO DE LUCROS)</v>
      </c>
      <c r="H1174" s="86" t="str">
        <f>IF(A1174="","",IF(INDEX(EXTRATO!$F$2:$F$3000,MATCH($A1174,EXTRATO!$A$2:$A$3000,0))="","",INDEX(EXTRATO!$F$2:$F$3000,MATCH($A1174,EXTRATO!$A$2:$A$3000,0))))</f>
        <v>SAÍDA</v>
      </c>
      <c r="I1174" s="88" t="str">
        <f>IF(A1174="","",IF(INDEX(EXTRATO!$H$2:$H$3000,MATCH($A1174,EXTRATO!$A$2:$A$3000,0))="","",INDEX(EXTRATO!$H$2:$H$3000,MATCH($A1174,EXTRATO!$A$2:$A$3000,0))))</f>
        <v>FABIANA CRISTINA</v>
      </c>
      <c r="J1174" s="86" t="str">
        <f t="shared" si="23"/>
        <v>PENDENTE</v>
      </c>
      <c r="K1174" s="86" t="str">
        <f>IF(AND(A1174="",D1174="",E1174="",F1174=""),"",IF(D1174="","SEM CATEGORIA",IF(E1174="","SEM SUBCATEGORIA",IF(COUNTIFS(CADASTROS!$L$7:$L$93,D1174,CADASTROS!$D$7:$D$93,E1174)=0,"INCOMPATÍVEL","OK"))))</f>
        <v>SEM CATEGORIA</v>
      </c>
    </row>
    <row r="1175" spans="1:11" ht="30" hidden="1" customHeight="1" x14ac:dyDescent="0.25">
      <c r="A1175" s="86" t="str">
        <f>IF(COUNTIF(EXTRATO!$A$2:$A$3000,"BAN-01032")=0,"","BAN-01032")</f>
        <v>BAN-01032</v>
      </c>
      <c r="B1175" s="85">
        <f>IF(A1175="","",IF(INDEX(EXTRATO!$C$2:$C$3000,MATCH($A1175,EXTRATO!$A$2:$A$3000,0))="","",INDEX(EXTRATO!$C$2:$C$3000,MATCH($A1175,EXTRATO!$A$2:$A$3000,0))))</f>
        <v>46311</v>
      </c>
      <c r="C1175" s="86">
        <f t="shared" si="24"/>
        <v>10</v>
      </c>
      <c r="D1175" s="81"/>
      <c r="E1175" s="79"/>
      <c r="F1175" s="80">
        <f>IF(A1175="","",SUMIF(EXTRATO!$A$2:$A$3000,$A1175,EXTRATO!$J$2:$J$3000)+SUMIF(EXTRATO!$A$2:$A$3000,$A1175,EXTRATO!$K$2:$K$3000)+SUMIF(EXTRATO!$A$2:$A$3000,$A1175,EXTRATO!$L$2:$L$3000)+SUMIF(EXTRATO!$A$2:$A$3000,$A1175,EXTRATO!$M$2:$M$3000))</f>
        <v>12000</v>
      </c>
      <c r="G1175" s="81" t="str">
        <f>IF(A1175="","",IF(INDEX(EXTRATO!$G$2:$G$3000,MATCH($A1175,EXTRATO!$A$2:$A$3000,0))="","",INDEX(EXTRATO!$G$2:$G$3000,MATCH($A1175,EXTRATO!$A$2:$A$3000,0))))</f>
        <v>PATRICK DULFF LOBO ARAUJO (REF. PLANTÕES MÉDICOS DE AGO/26 + DISTRIBUIÇÃO DE LUCROS)</v>
      </c>
      <c r="H1175" s="86" t="str">
        <f>IF(A1175="","",IF(INDEX(EXTRATO!$F$2:$F$3000,MATCH($A1175,EXTRATO!$A$2:$A$3000,0))="","",INDEX(EXTRATO!$F$2:$F$3000,MATCH($A1175,EXTRATO!$A$2:$A$3000,0))))</f>
        <v>SAÍDA</v>
      </c>
      <c r="I1175" s="88" t="str">
        <f>IF(A1175="","",IF(INDEX(EXTRATO!$H$2:$H$3000,MATCH($A1175,EXTRATO!$A$2:$A$3000,0))="","",INDEX(EXTRATO!$H$2:$H$3000,MATCH($A1175,EXTRATO!$A$2:$A$3000,0))))</f>
        <v>PATRICK DULFF</v>
      </c>
      <c r="J1175" s="86" t="str">
        <f t="shared" si="23"/>
        <v>PENDENTE</v>
      </c>
      <c r="K1175" s="86" t="str">
        <f>IF(AND(A1175="",D1175="",E1175="",F1175=""),"",IF(D1175="","SEM CATEGORIA",IF(E1175="","SEM SUBCATEGORIA",IF(COUNTIFS(CADASTROS!$L$7:$L$93,D1175,CADASTROS!$D$7:$D$93,E1175)=0,"INCOMPATÍVEL","OK"))))</f>
        <v>SEM CATEGORIA</v>
      </c>
    </row>
    <row r="1176" spans="1:11" ht="30" hidden="1" customHeight="1" x14ac:dyDescent="0.25">
      <c r="A1176" s="86" t="str">
        <f>IF(COUNTIF(EXTRATO!$A$2:$A$3000,"BAN-01033")=0,"","BAN-01033")</f>
        <v>BAN-01033</v>
      </c>
      <c r="B1176" s="85">
        <f>IF(A1176="","",IF(INDEX(EXTRATO!$C$2:$C$3000,MATCH($A1176,EXTRATO!$A$2:$A$3000,0))="","",INDEX(EXTRATO!$C$2:$C$3000,MATCH($A1176,EXTRATO!$A$2:$A$3000,0))))</f>
        <v>46311</v>
      </c>
      <c r="C1176" s="86">
        <f t="shared" si="24"/>
        <v>10</v>
      </c>
      <c r="D1176" s="81"/>
      <c r="E1176" s="79"/>
      <c r="F1176" s="80">
        <f>IF(A1176="","",SUMIF(EXTRATO!$A$2:$A$3000,$A1176,EXTRATO!$J$2:$J$3000)+SUMIF(EXTRATO!$A$2:$A$3000,$A1176,EXTRATO!$K$2:$K$3000)+SUMIF(EXTRATO!$A$2:$A$3000,$A1176,EXTRATO!$L$2:$L$3000)+SUMIF(EXTRATO!$A$2:$A$3000,$A1176,EXTRATO!$M$2:$M$3000))</f>
        <v>4000</v>
      </c>
      <c r="G1176" s="81" t="str">
        <f>IF(A1176="","",IF(INDEX(EXTRATO!$G$2:$G$3000,MATCH($A1176,EXTRATO!$A$2:$A$3000,0))="","",INDEX(EXTRATO!$G$2:$G$3000,MATCH($A1176,EXTRATO!$A$2:$A$3000,0))))</f>
        <v>ADELIA DALVA DA SILVA OLIVEIRA (REF. DISTRIBUIÇÃO DE LUCROS)</v>
      </c>
      <c r="H1176" s="86" t="str">
        <f>IF(A1176="","",IF(INDEX(EXTRATO!$F$2:$F$3000,MATCH($A1176,EXTRATO!$A$2:$A$3000,0))="","",INDEX(EXTRATO!$F$2:$F$3000,MATCH($A1176,EXTRATO!$A$2:$A$3000,0))))</f>
        <v>SAÍDA</v>
      </c>
      <c r="I1176" s="88" t="str">
        <f>IF(A1176="","",IF(INDEX(EXTRATO!$H$2:$H$3000,MATCH($A1176,EXTRATO!$A$2:$A$3000,0))="","",INDEX(EXTRATO!$H$2:$H$3000,MATCH($A1176,EXTRATO!$A$2:$A$3000,0))))</f>
        <v>ADELIA DALVA DA SILVA OLIVEIRA</v>
      </c>
      <c r="J1176" s="86" t="str">
        <f t="shared" si="23"/>
        <v>PENDENTE</v>
      </c>
      <c r="K1176" s="86" t="str">
        <f>IF(AND(A1176="",D1176="",E1176="",F1176=""),"",IF(D1176="","SEM CATEGORIA",IF(E1176="","SEM SUBCATEGORIA",IF(COUNTIFS(CADASTROS!$L$7:$L$93,D1176,CADASTROS!$D$7:$D$93,E1176)=0,"INCOMPATÍVEL","OK"))))</f>
        <v>SEM CATEGORIA</v>
      </c>
    </row>
    <row r="1177" spans="1:11" ht="30" hidden="1" customHeight="1" x14ac:dyDescent="0.25">
      <c r="A1177" s="86" t="str">
        <f>IF(COUNTIF(EXTRATO!$A$2:$A$3000,"BAN-01034")=0,"","BAN-01034")</f>
        <v>BAN-01034</v>
      </c>
      <c r="B1177" s="85">
        <f>IF(A1177="","",IF(INDEX(EXTRATO!$C$2:$C$3000,MATCH($A1177,EXTRATO!$A$2:$A$3000,0))="","",INDEX(EXTRATO!$C$2:$C$3000,MATCH($A1177,EXTRATO!$A$2:$A$3000,0))))</f>
        <v>46311</v>
      </c>
      <c r="C1177" s="86">
        <f t="shared" si="24"/>
        <v>10</v>
      </c>
      <c r="D1177" s="81"/>
      <c r="E1177" s="79"/>
      <c r="F1177" s="80">
        <f>IF(A1177="","",SUMIF(EXTRATO!$A$2:$A$3000,$A1177,EXTRATO!$J$2:$J$3000)+SUMIF(EXTRATO!$A$2:$A$3000,$A1177,EXTRATO!$K$2:$K$3000)+SUMIF(EXTRATO!$A$2:$A$3000,$A1177,EXTRATO!$L$2:$L$3000)+SUMIF(EXTRATO!$A$2:$A$3000,$A1177,EXTRATO!$M$2:$M$3000))</f>
        <v>4000</v>
      </c>
      <c r="G1177" s="81" t="str">
        <f>IF(A1177="","",IF(INDEX(EXTRATO!$G$2:$G$3000,MATCH($A1177,EXTRATO!$A$2:$A$3000,0))="","",INDEX(EXTRATO!$G$2:$G$3000,MATCH($A1177,EXTRATO!$A$2:$A$3000,0))))</f>
        <v>MOISES S OLIVEIRA (REF. PLANTÕES MÉDICOS DE AGO/26 + DISTRIBUIÇÃO DE LUCROS)</v>
      </c>
      <c r="H1177" s="86" t="str">
        <f>IF(A1177="","",IF(INDEX(EXTRATO!$F$2:$F$3000,MATCH($A1177,EXTRATO!$A$2:$A$3000,0))="","",INDEX(EXTRATO!$F$2:$F$3000,MATCH($A1177,EXTRATO!$A$2:$A$3000,0))))</f>
        <v>SAÍDA</v>
      </c>
      <c r="I1177" s="88" t="str">
        <f>IF(A1177="","",IF(INDEX(EXTRATO!$H$2:$H$3000,MATCH($A1177,EXTRATO!$A$2:$A$3000,0))="","",INDEX(EXTRATO!$H$2:$H$3000,MATCH($A1177,EXTRATO!$A$2:$A$3000,0))))</f>
        <v>MOISES S OLIVEIRA</v>
      </c>
      <c r="J1177" s="86" t="str">
        <f t="shared" si="23"/>
        <v>PENDENTE</v>
      </c>
      <c r="K1177" s="86" t="str">
        <f>IF(AND(A1177="",D1177="",E1177="",F1177=""),"",IF(D1177="","SEM CATEGORIA",IF(E1177="","SEM SUBCATEGORIA",IF(COUNTIFS(CADASTROS!$L$7:$L$93,D1177,CADASTROS!$D$7:$D$93,E1177)=0,"INCOMPATÍVEL","OK"))))</f>
        <v>SEM CATEGORIA</v>
      </c>
    </row>
    <row r="1178" spans="1:11" ht="30" hidden="1" customHeight="1" x14ac:dyDescent="0.25">
      <c r="A1178" s="86" t="str">
        <f>IF(COUNTIF(EXTRATO!$A$2:$A$3000,"BAN-01035")=0,"","BAN-01035")</f>
        <v>BAN-01035</v>
      </c>
      <c r="B1178" s="85">
        <f>IF(A1178="","",IF(INDEX(EXTRATO!$C$2:$C$3000,MATCH($A1178,EXTRATO!$A$2:$A$3000,0))="","",INDEX(EXTRATO!$C$2:$C$3000,MATCH($A1178,EXTRATO!$A$2:$A$3000,0))))</f>
        <v>46311</v>
      </c>
      <c r="C1178" s="86">
        <f t="shared" si="24"/>
        <v>10</v>
      </c>
      <c r="D1178" s="81"/>
      <c r="E1178" s="79"/>
      <c r="F1178" s="80">
        <f>IF(A1178="","",SUMIF(EXTRATO!$A$2:$A$3000,$A1178,EXTRATO!$J$2:$J$3000)+SUMIF(EXTRATO!$A$2:$A$3000,$A1178,EXTRATO!$K$2:$K$3000)+SUMIF(EXTRATO!$A$2:$A$3000,$A1178,EXTRATO!$L$2:$L$3000)+SUMIF(EXTRATO!$A$2:$A$3000,$A1178,EXTRATO!$M$2:$M$3000))</f>
        <v>14000</v>
      </c>
      <c r="G1178" s="81" t="str">
        <f>IF(A1178="","",IF(INDEX(EXTRATO!$G$2:$G$3000,MATCH($A1178,EXTRATO!$A$2:$A$3000,0))="","",INDEX(EXTRATO!$G$2:$G$3000,MATCH($A1178,EXTRATO!$A$2:$A$3000,0))))</f>
        <v>GLADSTONE SANTOS SILVA (REF. PLANTÕES MÉDICOS DE AGO/26 + DISTRIBUIÇÃO DE LUCROS)</v>
      </c>
      <c r="H1178" s="86" t="str">
        <f>IF(A1178="","",IF(INDEX(EXTRATO!$F$2:$F$3000,MATCH($A1178,EXTRATO!$A$2:$A$3000,0))="","",INDEX(EXTRATO!$F$2:$F$3000,MATCH($A1178,EXTRATO!$A$2:$A$3000,0))))</f>
        <v>SAÍDA</v>
      </c>
      <c r="I1178" s="88" t="str">
        <f>IF(A1178="","",IF(INDEX(EXTRATO!$H$2:$H$3000,MATCH($A1178,EXTRATO!$A$2:$A$3000,0))="","",INDEX(EXTRATO!$H$2:$H$3000,MATCH($A1178,EXTRATO!$A$2:$A$3000,0))))</f>
        <v>GLADSTONE SANTOS SILVA</v>
      </c>
      <c r="J1178" s="86" t="str">
        <f t="shared" si="23"/>
        <v>PENDENTE</v>
      </c>
      <c r="K1178" s="86" t="str">
        <f>IF(AND(A1178="",D1178="",E1178="",F1178=""),"",IF(D1178="","SEM CATEGORIA",IF(E1178="","SEM SUBCATEGORIA",IF(COUNTIFS(CADASTROS!$L$7:$L$93,D1178,CADASTROS!$D$7:$D$93,E1178)=0,"INCOMPATÍVEL","OK"))))</f>
        <v>SEM CATEGORIA</v>
      </c>
    </row>
    <row r="1179" spans="1:11" ht="30" hidden="1" customHeight="1" x14ac:dyDescent="0.25">
      <c r="A1179" s="86" t="str">
        <f>IF(COUNTIF(EXTRATO!$A$2:$A$3000,"BAN-01036")=0,"","BAN-01036")</f>
        <v>BAN-01036</v>
      </c>
      <c r="B1179" s="85">
        <f>IF(A1179="","",IF(INDEX(EXTRATO!$C$2:$C$3000,MATCH($A1179,EXTRATO!$A$2:$A$3000,0))="","",INDEX(EXTRATO!$C$2:$C$3000,MATCH($A1179,EXTRATO!$A$2:$A$3000,0))))</f>
        <v>46311</v>
      </c>
      <c r="C1179" s="86">
        <f t="shared" si="24"/>
        <v>10</v>
      </c>
      <c r="D1179" s="81"/>
      <c r="E1179" s="79"/>
      <c r="F1179" s="80">
        <f>IF(A1179="","",SUMIF(EXTRATO!$A$2:$A$3000,$A1179,EXTRATO!$J$2:$J$3000)+SUMIF(EXTRATO!$A$2:$A$3000,$A1179,EXTRATO!$K$2:$K$3000)+SUMIF(EXTRATO!$A$2:$A$3000,$A1179,EXTRATO!$L$2:$L$3000)+SUMIF(EXTRATO!$A$2:$A$3000,$A1179,EXTRATO!$M$2:$M$3000))</f>
        <v>21242</v>
      </c>
      <c r="G1179" s="81" t="str">
        <f>IF(A1179="","",IF(INDEX(EXTRATO!$G$2:$G$3000,MATCH($A1179,EXTRATO!$A$2:$A$3000,0))="","",INDEX(EXTRATO!$G$2:$G$3000,MATCH($A1179,EXTRATO!$A$2:$A$3000,0))))</f>
        <v>ANDERSON RAFAEL SALVIANO (REF. PLANTÕES MÉDICOS DE AGO/26 + PRÓ-LABORE COMO SÓCIO ADMINISTRADOR + RESPONSABILIDADE TÉCNICA + DISTRIBUIÇÃO DE LUCROS)</v>
      </c>
      <c r="H1179" s="86" t="str">
        <f>IF(A1179="","",IF(INDEX(EXTRATO!$F$2:$F$3000,MATCH($A1179,EXTRATO!$A$2:$A$3000,0))="","",INDEX(EXTRATO!$F$2:$F$3000,MATCH($A1179,EXTRATO!$A$2:$A$3000,0))))</f>
        <v>SAÍDA</v>
      </c>
      <c r="I1179" s="88" t="str">
        <f>IF(A1179="","",IF(INDEX(EXTRATO!$H$2:$H$3000,MATCH($A1179,EXTRATO!$A$2:$A$3000,0))="","",INDEX(EXTRATO!$H$2:$H$3000,MATCH($A1179,EXTRATO!$A$2:$A$3000,0))))</f>
        <v>ANDERSON RAFAEL SALVIANO</v>
      </c>
      <c r="J1179" s="86" t="str">
        <f t="shared" si="23"/>
        <v>PENDENTE</v>
      </c>
      <c r="K1179" s="86" t="str">
        <f>IF(AND(A1179="",D1179="",E1179="",F1179=""),"",IF(D1179="","SEM CATEGORIA",IF(E1179="","SEM SUBCATEGORIA",IF(COUNTIFS(CADASTROS!$L$7:$L$93,D1179,CADASTROS!$D$7:$D$93,E1179)=0,"INCOMPATÍVEL","OK"))))</f>
        <v>SEM CATEGORIA</v>
      </c>
    </row>
    <row r="1180" spans="1:11" ht="30" hidden="1" customHeight="1" x14ac:dyDescent="0.25">
      <c r="A1180" s="86" t="str">
        <f>IF(COUNTIF(EXTRATO!$A$2:$A$3000,"BAN-01037")=0,"","BAN-01037")</f>
        <v>BAN-01037</v>
      </c>
      <c r="B1180" s="85">
        <f>IF(A1180="","",IF(INDEX(EXTRATO!$C$2:$C$3000,MATCH($A1180,EXTRATO!$A$2:$A$3000,0))="","",INDEX(EXTRATO!$C$2:$C$3000,MATCH($A1180,EXTRATO!$A$2:$A$3000,0))))</f>
        <v>46311</v>
      </c>
      <c r="C1180" s="86">
        <f t="shared" si="24"/>
        <v>10</v>
      </c>
      <c r="D1180" s="81"/>
      <c r="E1180" s="79"/>
      <c r="F1180" s="80">
        <f>IF(A1180="","",SUMIF(EXTRATO!$A$2:$A$3000,$A1180,EXTRATO!$J$2:$J$3000)+SUMIF(EXTRATO!$A$2:$A$3000,$A1180,EXTRATO!$K$2:$K$3000)+SUMIF(EXTRATO!$A$2:$A$3000,$A1180,EXTRATO!$L$2:$L$3000)+SUMIF(EXTRATO!$A$2:$A$3000,$A1180,EXTRATO!$M$2:$M$3000))</f>
        <v>4000</v>
      </c>
      <c r="G1180" s="81" t="str">
        <f>IF(A1180="","",IF(INDEX(EXTRATO!$G$2:$G$3000,MATCH($A1180,EXTRATO!$A$2:$A$3000,0))="","",INDEX(EXTRATO!$G$2:$G$3000,MATCH($A1180,EXTRATO!$A$2:$A$3000,0))))</f>
        <v>FRANCISCO H SOUSA (REF. DISTRIBUIÇÃO DE LUCROS)</v>
      </c>
      <c r="H1180" s="86" t="str">
        <f>IF(A1180="","",IF(INDEX(EXTRATO!$F$2:$F$3000,MATCH($A1180,EXTRATO!$A$2:$A$3000,0))="","",INDEX(EXTRATO!$F$2:$F$3000,MATCH($A1180,EXTRATO!$A$2:$A$3000,0))))</f>
        <v>SAÍDA</v>
      </c>
      <c r="I1180" s="88" t="str">
        <f>IF(A1180="","",IF(INDEX(EXTRATO!$H$2:$H$3000,MATCH($A1180,EXTRATO!$A$2:$A$3000,0))="","",INDEX(EXTRATO!$H$2:$H$3000,MATCH($A1180,EXTRATO!$A$2:$A$3000,0))))</f>
        <v>FRANCISCO H SOUSA</v>
      </c>
      <c r="J1180" s="86" t="str">
        <f t="shared" si="23"/>
        <v>PENDENTE</v>
      </c>
      <c r="K1180" s="86" t="str">
        <f>IF(AND(A1180="",D1180="",E1180="",F1180=""),"",IF(D1180="","SEM CATEGORIA",IF(E1180="","SEM SUBCATEGORIA",IF(COUNTIFS(CADASTROS!$L$7:$L$93,D1180,CADASTROS!$D$7:$D$93,E1180)=0,"INCOMPATÍVEL","OK"))))</f>
        <v>SEM CATEGORIA</v>
      </c>
    </row>
    <row r="1181" spans="1:11" ht="30" hidden="1" customHeight="1" x14ac:dyDescent="0.25">
      <c r="A1181" s="86" t="str">
        <f>IF(COUNTIF(EXTRATO!$A$2:$A$3000,"BAN-01038")=0,"","BAN-01038")</f>
        <v>BAN-01038</v>
      </c>
      <c r="B1181" s="85">
        <f>IF(A1181="","",IF(INDEX(EXTRATO!$C$2:$C$3000,MATCH($A1181,EXTRATO!$A$2:$A$3000,0))="","",INDEX(EXTRATO!$C$2:$C$3000,MATCH($A1181,EXTRATO!$A$2:$A$3000,0))))</f>
        <v>46311</v>
      </c>
      <c r="C1181" s="86">
        <f t="shared" si="24"/>
        <v>10</v>
      </c>
      <c r="D1181" s="81"/>
      <c r="E1181" s="79"/>
      <c r="F1181" s="80">
        <f>IF(A1181="","",SUMIF(EXTRATO!$A$2:$A$3000,$A1181,EXTRATO!$J$2:$J$3000)+SUMIF(EXTRATO!$A$2:$A$3000,$A1181,EXTRATO!$K$2:$K$3000)+SUMIF(EXTRATO!$A$2:$A$3000,$A1181,EXTRATO!$L$2:$L$3000)+SUMIF(EXTRATO!$A$2:$A$3000,$A1181,EXTRATO!$M$2:$M$3000))</f>
        <v>4400</v>
      </c>
      <c r="G1181" s="81" t="str">
        <f>IF(A1181="","",IF(INDEX(EXTRATO!$G$2:$G$3000,MATCH($A1181,EXTRATO!$A$2:$A$3000,0))="","",INDEX(EXTRATO!$G$2:$G$3000,MATCH($A1181,EXTRATO!$A$2:$A$3000,0))))</f>
        <v>CASAMATER - JUL/26</v>
      </c>
      <c r="H1181" s="86" t="str">
        <f>IF(A1181="","",IF(INDEX(EXTRATO!$F$2:$F$3000,MATCH($A1181,EXTRATO!$A$2:$A$3000,0))="","",INDEX(EXTRATO!$F$2:$F$3000,MATCH($A1181,EXTRATO!$A$2:$A$3000,0))))</f>
        <v>SAÍDA</v>
      </c>
      <c r="I1181" s="88" t="str">
        <f>IF(A1181="","",IF(INDEX(EXTRATO!$H$2:$H$3000,MATCH($A1181,EXTRATO!$A$2:$A$3000,0))="","",INDEX(EXTRATO!$H$2:$H$3000,MATCH($A1181,EXTRATO!$A$2:$A$3000,0))))</f>
        <v/>
      </c>
      <c r="J1181" s="86" t="str">
        <f t="shared" si="23"/>
        <v>PENDENTE</v>
      </c>
      <c r="K1181" s="86" t="str">
        <f>IF(AND(A1181="",D1181="",E1181="",F1181=""),"",IF(D1181="","SEM CATEGORIA",IF(E1181="","SEM SUBCATEGORIA",IF(COUNTIFS(CADASTROS!$L$7:$L$93,D1181,CADASTROS!$D$7:$D$93,E1181)=0,"INCOMPATÍVEL","OK"))))</f>
        <v>SEM CATEGORIA</v>
      </c>
    </row>
    <row r="1182" spans="1:11" ht="30" hidden="1" customHeight="1" x14ac:dyDescent="0.25">
      <c r="A1182" s="86" t="str">
        <f>IF(COUNTIF(EXTRATO!$A$2:$A$3000,"BAN-01039")=0,"","BAN-01039")</f>
        <v>BAN-01039</v>
      </c>
      <c r="B1182" s="85">
        <f>IF(A1182="","",IF(INDEX(EXTRATO!$C$2:$C$3000,MATCH($A1182,EXTRATO!$A$2:$A$3000,0))="","",INDEX(EXTRATO!$C$2:$C$3000,MATCH($A1182,EXTRATO!$A$2:$A$3000,0))))</f>
        <v>46311</v>
      </c>
      <c r="C1182" s="86">
        <f t="shared" si="24"/>
        <v>10</v>
      </c>
      <c r="D1182" s="81"/>
      <c r="E1182" s="79"/>
      <c r="F1182" s="80">
        <f>IF(A1182="","",SUMIF(EXTRATO!$A$2:$A$3000,$A1182,EXTRATO!$J$2:$J$3000)+SUMIF(EXTRATO!$A$2:$A$3000,$A1182,EXTRATO!$K$2:$K$3000)+SUMIF(EXTRATO!$A$2:$A$3000,$A1182,EXTRATO!$L$2:$L$3000)+SUMIF(EXTRATO!$A$2:$A$3000,$A1182,EXTRATO!$M$2:$M$3000))</f>
        <v>3850</v>
      </c>
      <c r="G1182" s="81" t="str">
        <f>IF(A1182="","",IF(INDEX(EXTRATO!$G$2:$G$3000,MATCH($A1182,EXTRATO!$A$2:$A$3000,0))="","",INDEX(EXTRATO!$G$2:$G$3000,MATCH($A1182,EXTRATO!$A$2:$A$3000,0))))</f>
        <v>M DA SILVA MUNIZ LTDA  (DONA MARINALVA - REF. LANCHE DOS PACIENTES DOS MESES DE: JUL, AGO, SET E FEIJOADA DA COMEMORAÇÃO DE 01 ANO DA CLINICA - JUL/26)</v>
      </c>
      <c r="H1182" s="86" t="str">
        <f>IF(A1182="","",IF(INDEX(EXTRATO!$F$2:$F$3000,MATCH($A1182,EXTRATO!$A$2:$A$3000,0))="","",INDEX(EXTRATO!$F$2:$F$3000,MATCH($A1182,EXTRATO!$A$2:$A$3000,0))))</f>
        <v>SAÍDA</v>
      </c>
      <c r="I1182" s="88" t="str">
        <f>IF(A1182="","",IF(INDEX(EXTRATO!$H$2:$H$3000,MATCH($A1182,EXTRATO!$A$2:$A$3000,0))="","",INDEX(EXTRATO!$H$2:$H$3000,MATCH($A1182,EXTRATO!$A$2:$A$3000,0))))</f>
        <v/>
      </c>
      <c r="J1182" s="86" t="str">
        <f t="shared" si="23"/>
        <v>PENDENTE</v>
      </c>
      <c r="K1182" s="86" t="str">
        <f>IF(AND(A1182="",D1182="",E1182="",F1182=""),"",IF(D1182="","SEM CATEGORIA",IF(E1182="","SEM SUBCATEGORIA",IF(COUNTIFS(CADASTROS!$L$7:$L$93,D1182,CADASTROS!$D$7:$D$93,E1182)=0,"INCOMPATÍVEL","OK"))))</f>
        <v>SEM CATEGORIA</v>
      </c>
    </row>
    <row r="1183" spans="1:11" ht="30" hidden="1" customHeight="1" x14ac:dyDescent="0.25">
      <c r="A1183" s="86" t="str">
        <f>IF(COUNTIF(EXTRATO!$A$2:$A$3000,"BAN-01040")=0,"","BAN-01040")</f>
        <v>BAN-01040</v>
      </c>
      <c r="B1183" s="85">
        <f>IF(A1183="","",IF(INDEX(EXTRATO!$C$2:$C$3000,MATCH($A1183,EXTRATO!$A$2:$A$3000,0))="","",INDEX(EXTRATO!$C$2:$C$3000,MATCH($A1183,EXTRATO!$A$2:$A$3000,0))))</f>
        <v>46311</v>
      </c>
      <c r="C1183" s="86">
        <f t="shared" si="24"/>
        <v>10</v>
      </c>
      <c r="D1183" s="81"/>
      <c r="E1183" s="79"/>
      <c r="F1183" s="80">
        <f>IF(A1183="","",SUMIF(EXTRATO!$A$2:$A$3000,$A1183,EXTRATO!$J$2:$J$3000)+SUMIF(EXTRATO!$A$2:$A$3000,$A1183,EXTRATO!$K$2:$K$3000)+SUMIF(EXTRATO!$A$2:$A$3000,$A1183,EXTRATO!$L$2:$L$3000)+SUMIF(EXTRATO!$A$2:$A$3000,$A1183,EXTRATO!$M$2:$M$3000))</f>
        <v>14332.78</v>
      </c>
      <c r="G1183" s="81" t="str">
        <f>IF(A1183="","",IF(INDEX(EXTRATO!$G$2:$G$3000,MATCH($A1183,EXTRATO!$A$2:$A$3000,0))="","",INDEX(EXTRATO!$G$2:$G$3000,MATCH($A1183,EXTRATO!$A$2:$A$3000,0))))</f>
        <v>UNICLINICA (REF. EXAMES DE PACIENTES) - JUL/26</v>
      </c>
      <c r="H1183" s="86" t="str">
        <f>IF(A1183="","",IF(INDEX(EXTRATO!$F$2:$F$3000,MATCH($A1183,EXTRATO!$A$2:$A$3000,0))="","",INDEX(EXTRATO!$F$2:$F$3000,MATCH($A1183,EXTRATO!$A$2:$A$3000,0))))</f>
        <v>SAÍDA</v>
      </c>
      <c r="I1183" s="88" t="str">
        <f>IF(A1183="","",IF(INDEX(EXTRATO!$H$2:$H$3000,MATCH($A1183,EXTRATO!$A$2:$A$3000,0))="","",INDEX(EXTRATO!$H$2:$H$3000,MATCH($A1183,EXTRATO!$A$2:$A$3000,0))))</f>
        <v/>
      </c>
      <c r="J1183" s="86" t="str">
        <f t="shared" si="23"/>
        <v>PENDENTE</v>
      </c>
      <c r="K1183" s="86" t="str">
        <f>IF(AND(A1183="",D1183="",E1183="",F1183=""),"",IF(D1183="","SEM CATEGORIA",IF(E1183="","SEM SUBCATEGORIA",IF(COUNTIFS(CADASTROS!$L$7:$L$93,D1183,CADASTROS!$D$7:$D$93,E1183)=0,"INCOMPATÍVEL","OK"))))</f>
        <v>SEM CATEGORIA</v>
      </c>
    </row>
    <row r="1184" spans="1:11" ht="30" hidden="1" customHeight="1" x14ac:dyDescent="0.25">
      <c r="A1184" s="86" t="str">
        <f>IF(COUNTIF(EXTRATO!$A$2:$A$3000,"BAN-01041")=0,"","BAN-01041")</f>
        <v>BAN-01041</v>
      </c>
      <c r="B1184" s="85">
        <f>IF(A1184="","",IF(INDEX(EXTRATO!$C$2:$C$3000,MATCH($A1184,EXTRATO!$A$2:$A$3000,0))="","",INDEX(EXTRATO!$C$2:$C$3000,MATCH($A1184,EXTRATO!$A$2:$A$3000,0))))</f>
        <v>46311</v>
      </c>
      <c r="C1184" s="86">
        <f t="shared" si="24"/>
        <v>10</v>
      </c>
      <c r="D1184" s="81"/>
      <c r="E1184" s="79"/>
      <c r="F1184" s="80">
        <f>IF(A1184="","",SUMIF(EXTRATO!$A$2:$A$3000,$A1184,EXTRATO!$J$2:$J$3000)+SUMIF(EXTRATO!$A$2:$A$3000,$A1184,EXTRATO!$K$2:$K$3000)+SUMIF(EXTRATO!$A$2:$A$3000,$A1184,EXTRATO!$L$2:$L$3000)+SUMIF(EXTRATO!$A$2:$A$3000,$A1184,EXTRATO!$M$2:$M$3000))</f>
        <v>130.5</v>
      </c>
      <c r="G1184" s="81" t="str">
        <f>IF(A1184="","",IF(INDEX(EXTRATO!$G$2:$G$3000,MATCH($A1184,EXTRATO!$A$2:$A$3000,0))="","",INDEX(EXTRATO!$G$2:$G$3000,MATCH($A1184,EXTRATO!$A$2:$A$3000,0))))</f>
        <v>UNICLINICA (REF. EXAMES DE COLABORADORES) - JUL/26</v>
      </c>
      <c r="H1184" s="86" t="str">
        <f>IF(A1184="","",IF(INDEX(EXTRATO!$F$2:$F$3000,MATCH($A1184,EXTRATO!$A$2:$A$3000,0))="","",INDEX(EXTRATO!$F$2:$F$3000,MATCH($A1184,EXTRATO!$A$2:$A$3000,0))))</f>
        <v>SAÍDA</v>
      </c>
      <c r="I1184" s="88" t="str">
        <f>IF(A1184="","",IF(INDEX(EXTRATO!$H$2:$H$3000,MATCH($A1184,EXTRATO!$A$2:$A$3000,0))="","",INDEX(EXTRATO!$H$2:$H$3000,MATCH($A1184,EXTRATO!$A$2:$A$3000,0))))</f>
        <v/>
      </c>
      <c r="J1184" s="86" t="str">
        <f t="shared" si="23"/>
        <v>PENDENTE</v>
      </c>
      <c r="K1184" s="86" t="str">
        <f>IF(AND(A1184="",D1184="",E1184="",F1184=""),"",IF(D1184="","SEM CATEGORIA",IF(E1184="","SEM SUBCATEGORIA",IF(COUNTIFS(CADASTROS!$L$7:$L$93,D1184,CADASTROS!$D$7:$D$93,E1184)=0,"INCOMPATÍVEL","OK"))))</f>
        <v>SEM CATEGORIA</v>
      </c>
    </row>
    <row r="1185" spans="1:11" ht="30" hidden="1" customHeight="1" x14ac:dyDescent="0.25">
      <c r="A1185" s="86" t="str">
        <f>IF(COUNTIF(EXTRATO!$A$2:$A$3000,"BAN-01042")=0,"","BAN-01042")</f>
        <v>BAN-01042</v>
      </c>
      <c r="B1185" s="85">
        <f>IF(A1185="","",IF(INDEX(EXTRATO!$C$2:$C$3000,MATCH($A1185,EXTRATO!$A$2:$A$3000,0))="","",INDEX(EXTRATO!$C$2:$C$3000,MATCH($A1185,EXTRATO!$A$2:$A$3000,0))))</f>
        <v>46311</v>
      </c>
      <c r="C1185" s="86">
        <f t="shared" si="24"/>
        <v>10</v>
      </c>
      <c r="D1185" s="81"/>
      <c r="E1185" s="79"/>
      <c r="F1185" s="80">
        <f>IF(A1185="","",SUMIF(EXTRATO!$A$2:$A$3000,$A1185,EXTRATO!$J$2:$J$3000)+SUMIF(EXTRATO!$A$2:$A$3000,$A1185,EXTRATO!$K$2:$K$3000)+SUMIF(EXTRATO!$A$2:$A$3000,$A1185,EXTRATO!$L$2:$L$3000)+SUMIF(EXTRATO!$A$2:$A$3000,$A1185,EXTRATO!$M$2:$M$3000))</f>
        <v>1470</v>
      </c>
      <c r="G1185" s="81" t="str">
        <f>IF(A1185="","",IF(INDEX(EXTRATO!$G$2:$G$3000,MATCH($A1185,EXTRATO!$A$2:$A$3000,0))="","",INDEX(EXTRATO!$G$2:$G$3000,MATCH($A1185,EXTRATO!$A$2:$A$3000,0))))</f>
        <v xml:space="preserve">DR. RENATO (CIRURGIÃO VASCULAR) - S M D MATOS ASSOC. - JUL/26 </v>
      </c>
      <c r="H1185" s="86" t="str">
        <f>IF(A1185="","",IF(INDEX(EXTRATO!$F$2:$F$3000,MATCH($A1185,EXTRATO!$A$2:$A$3000,0))="","",INDEX(EXTRATO!$F$2:$F$3000,MATCH($A1185,EXTRATO!$A$2:$A$3000,0))))</f>
        <v>SAÍDA</v>
      </c>
      <c r="I1185" s="88" t="str">
        <f>IF(A1185="","",IF(INDEX(EXTRATO!$H$2:$H$3000,MATCH($A1185,EXTRATO!$A$2:$A$3000,0))="","",INDEX(EXTRATO!$H$2:$H$3000,MATCH($A1185,EXTRATO!$A$2:$A$3000,0))))</f>
        <v/>
      </c>
      <c r="J1185" s="86" t="str">
        <f t="shared" si="23"/>
        <v>PENDENTE</v>
      </c>
      <c r="K1185" s="86" t="str">
        <f>IF(AND(A1185="",D1185="",E1185="",F1185=""),"",IF(D1185="","SEM CATEGORIA",IF(E1185="","SEM SUBCATEGORIA",IF(COUNTIFS(CADASTROS!$L$7:$L$93,D1185,CADASTROS!$D$7:$D$93,E1185)=0,"INCOMPATÍVEL","OK"))))</f>
        <v>SEM CATEGORIA</v>
      </c>
    </row>
    <row r="1186" spans="1:11" ht="30" hidden="1" customHeight="1" x14ac:dyDescent="0.25">
      <c r="A1186" s="86" t="str">
        <f>IF(COUNTIF(EXTRATO!$A$2:$A$3000,"BAN-01043")=0,"","BAN-01043")</f>
        <v>BAN-01043</v>
      </c>
      <c r="B1186" s="85">
        <f>IF(A1186="","",IF(INDEX(EXTRATO!$C$2:$C$3000,MATCH($A1186,EXTRATO!$A$2:$A$3000,0))="","",INDEX(EXTRATO!$C$2:$C$3000,MATCH($A1186,EXTRATO!$A$2:$A$3000,0))))</f>
        <v>46311</v>
      </c>
      <c r="C1186" s="86">
        <f t="shared" si="24"/>
        <v>10</v>
      </c>
      <c r="D1186" s="81"/>
      <c r="E1186" s="79"/>
      <c r="F1186" s="80">
        <f>IF(A1186="","",SUMIF(EXTRATO!$A$2:$A$3000,$A1186,EXTRATO!$J$2:$J$3000)+SUMIF(EXTRATO!$A$2:$A$3000,$A1186,EXTRATO!$K$2:$K$3000)+SUMIF(EXTRATO!$A$2:$A$3000,$A1186,EXTRATO!$L$2:$L$3000)+SUMIF(EXTRATO!$A$2:$A$3000,$A1186,EXTRATO!$M$2:$M$3000))</f>
        <v>5200</v>
      </c>
      <c r="G1186" s="81" t="str">
        <f>IF(A1186="","",IF(INDEX(EXTRATO!$G$2:$G$3000,MATCH($A1186,EXTRATO!$A$2:$A$3000,0))="","",INDEX(EXTRATO!$G$2:$G$3000,MATCH($A1186,EXTRATO!$A$2:$A$3000,0))))</f>
        <v>PRESTAÇÃO DE SERVIÇOS ADMINISTRATIVOS (EMANUELLE ARAÚJO / LÍVIA CRISTINA / LAURA LOHANA) - JUL/26</v>
      </c>
      <c r="H1186" s="86" t="str">
        <f>IF(A1186="","",IF(INDEX(EXTRATO!$F$2:$F$3000,MATCH($A1186,EXTRATO!$A$2:$A$3000,0))="","",INDEX(EXTRATO!$F$2:$F$3000,MATCH($A1186,EXTRATO!$A$2:$A$3000,0))))</f>
        <v>SAÍDA</v>
      </c>
      <c r="I1186" s="88" t="str">
        <f>IF(A1186="","",IF(INDEX(EXTRATO!$H$2:$H$3000,MATCH($A1186,EXTRATO!$A$2:$A$3000,0))="","",INDEX(EXTRATO!$H$2:$H$3000,MATCH($A1186,EXTRATO!$A$2:$A$3000,0))))</f>
        <v/>
      </c>
      <c r="J1186" s="86" t="str">
        <f t="shared" si="23"/>
        <v>PENDENTE</v>
      </c>
      <c r="K1186" s="86" t="str">
        <f>IF(AND(A1186="",D1186="",E1186="",F1186=""),"",IF(D1186="","SEM CATEGORIA",IF(E1186="","SEM SUBCATEGORIA",IF(COUNTIFS(CADASTROS!$L$7:$L$93,D1186,CADASTROS!$D$7:$D$93,E1186)=0,"INCOMPATÍVEL","OK"))))</f>
        <v>SEM CATEGORIA</v>
      </c>
    </row>
    <row r="1187" spans="1:11" ht="30" hidden="1" customHeight="1" x14ac:dyDescent="0.25">
      <c r="A1187" s="86" t="str">
        <f>IF(COUNTIF(EXTRATO!$A$2:$A$3000,"BAN-01044")=0,"","BAN-01044")</f>
        <v>BAN-01044</v>
      </c>
      <c r="B1187" s="85">
        <f>IF(A1187="","",IF(INDEX(EXTRATO!$C$2:$C$3000,MATCH($A1187,EXTRATO!$A$2:$A$3000,0))="","",INDEX(EXTRATO!$C$2:$C$3000,MATCH($A1187,EXTRATO!$A$2:$A$3000,0))))</f>
        <v>46311</v>
      </c>
      <c r="C1187" s="86">
        <f t="shared" si="24"/>
        <v>10</v>
      </c>
      <c r="D1187" s="81"/>
      <c r="E1187" s="79"/>
      <c r="F1187" s="80">
        <f>IF(A1187="","",SUMIF(EXTRATO!$A$2:$A$3000,$A1187,EXTRATO!$J$2:$J$3000)+SUMIF(EXTRATO!$A$2:$A$3000,$A1187,EXTRATO!$K$2:$K$3000)+SUMIF(EXTRATO!$A$2:$A$3000,$A1187,EXTRATO!$L$2:$L$3000)+SUMIF(EXTRATO!$A$2:$A$3000,$A1187,EXTRATO!$M$2:$M$3000))</f>
        <v>2200</v>
      </c>
      <c r="G1187" s="81" t="str">
        <f>IF(A1187="","",IF(INDEX(EXTRATO!$G$2:$G$3000,MATCH($A1187,EXTRATO!$A$2:$A$3000,0))="","",INDEX(EXTRATO!$G$2:$G$3000,MATCH($A1187,EXTRATO!$A$2:$A$3000,0))))</f>
        <v>PRESTAÇÃO DE SERVIÇOS ADMINISTRATIVOS (LUANA MELO) - JUL/26</v>
      </c>
      <c r="H1187" s="86" t="str">
        <f>IF(A1187="","",IF(INDEX(EXTRATO!$F$2:$F$3000,MATCH($A1187,EXTRATO!$A$2:$A$3000,0))="","",INDEX(EXTRATO!$F$2:$F$3000,MATCH($A1187,EXTRATO!$A$2:$A$3000,0))))</f>
        <v>SAÍDA</v>
      </c>
      <c r="I1187" s="88" t="str">
        <f>IF(A1187="","",IF(INDEX(EXTRATO!$H$2:$H$3000,MATCH($A1187,EXTRATO!$A$2:$A$3000,0))="","",INDEX(EXTRATO!$H$2:$H$3000,MATCH($A1187,EXTRATO!$A$2:$A$3000,0))))</f>
        <v/>
      </c>
      <c r="J1187" s="86" t="str">
        <f t="shared" si="23"/>
        <v>PENDENTE</v>
      </c>
      <c r="K1187" s="86" t="str">
        <f>IF(AND(A1187="",D1187="",E1187="",F1187=""),"",IF(D1187="","SEM CATEGORIA",IF(E1187="","SEM SUBCATEGORIA",IF(COUNTIFS(CADASTROS!$L$7:$L$93,D1187,CADASTROS!$D$7:$D$93,E1187)=0,"INCOMPATÍVEL","OK"))))</f>
        <v>SEM CATEGORIA</v>
      </c>
    </row>
    <row r="1188" spans="1:11" ht="30" hidden="1" customHeight="1" x14ac:dyDescent="0.25">
      <c r="A1188" s="86" t="str">
        <f>IF(COUNTIF(EXTRATO!$A$2:$A$3000,"BAN-01045")=0,"","BAN-01045")</f>
        <v>BAN-01045</v>
      </c>
      <c r="B1188" s="85">
        <f>IF(A1188="","",IF(INDEX(EXTRATO!$C$2:$C$3000,MATCH($A1188,EXTRATO!$A$2:$A$3000,0))="","",INDEX(EXTRATO!$C$2:$C$3000,MATCH($A1188,EXTRATO!$A$2:$A$3000,0))))</f>
        <v>46311</v>
      </c>
      <c r="C1188" s="86">
        <f t="shared" si="24"/>
        <v>10</v>
      </c>
      <c r="D1188" s="81"/>
      <c r="E1188" s="79"/>
      <c r="F1188" s="80">
        <f>IF(A1188="","",SUMIF(EXTRATO!$A$2:$A$3000,$A1188,EXTRATO!$J$2:$J$3000)+SUMIF(EXTRATO!$A$2:$A$3000,$A1188,EXTRATO!$K$2:$K$3000)+SUMIF(EXTRATO!$A$2:$A$3000,$A1188,EXTRATO!$L$2:$L$3000)+SUMIF(EXTRATO!$A$2:$A$3000,$A1188,EXTRATO!$M$2:$M$3000))</f>
        <v>4500</v>
      </c>
      <c r="G1188" s="81" t="str">
        <f>IF(A1188="","",IF(INDEX(EXTRATO!$G$2:$G$3000,MATCH($A1188,EXTRATO!$A$2:$A$3000,0))="","",INDEX(EXTRATO!$G$2:$G$3000,MATCH($A1188,EXTRATO!$A$2:$A$3000,0))))</f>
        <v>HR MANUTENÇÃO HOSPITALAR E TRAT. DE ÁGUA ( REF. PREST. DE SERV. HUGO RAMON) - JUL/26</v>
      </c>
      <c r="H1188" s="86" t="str">
        <f>IF(A1188="","",IF(INDEX(EXTRATO!$F$2:$F$3000,MATCH($A1188,EXTRATO!$A$2:$A$3000,0))="","",INDEX(EXTRATO!$F$2:$F$3000,MATCH($A1188,EXTRATO!$A$2:$A$3000,0))))</f>
        <v>SAÍDA</v>
      </c>
      <c r="I1188" s="88" t="str">
        <f>IF(A1188="","",IF(INDEX(EXTRATO!$H$2:$H$3000,MATCH($A1188,EXTRATO!$A$2:$A$3000,0))="","",INDEX(EXTRATO!$H$2:$H$3000,MATCH($A1188,EXTRATO!$A$2:$A$3000,0))))</f>
        <v/>
      </c>
      <c r="J1188" s="86" t="str">
        <f t="shared" si="23"/>
        <v>PENDENTE</v>
      </c>
      <c r="K1188" s="86" t="str">
        <f>IF(AND(A1188="",D1188="",E1188="",F1188=""),"",IF(D1188="","SEM CATEGORIA",IF(E1188="","SEM SUBCATEGORIA",IF(COUNTIFS(CADASTROS!$L$7:$L$93,D1188,CADASTROS!$D$7:$D$93,E1188)=0,"INCOMPATÍVEL","OK"))))</f>
        <v>SEM CATEGORIA</v>
      </c>
    </row>
    <row r="1189" spans="1:11" ht="30" hidden="1" customHeight="1" x14ac:dyDescent="0.25">
      <c r="A1189" s="86" t="str">
        <f>IF(COUNTIF(EXTRATO!$A$2:$A$3000,"BAN-01046")=0,"","BAN-01046")</f>
        <v>BAN-01046</v>
      </c>
      <c r="B1189" s="85">
        <f>IF(A1189="","",IF(INDEX(EXTRATO!$C$2:$C$3000,MATCH($A1189,EXTRATO!$A$2:$A$3000,0))="","",INDEX(EXTRATO!$C$2:$C$3000,MATCH($A1189,EXTRATO!$A$2:$A$3000,0))))</f>
        <v>46311</v>
      </c>
      <c r="C1189" s="86">
        <f t="shared" si="24"/>
        <v>10</v>
      </c>
      <c r="D1189" s="81"/>
      <c r="E1189" s="79"/>
      <c r="F1189" s="80">
        <f>IF(A1189="","",SUMIF(EXTRATO!$A$2:$A$3000,$A1189,EXTRATO!$J$2:$J$3000)+SUMIF(EXTRATO!$A$2:$A$3000,$A1189,EXTRATO!$K$2:$K$3000)+SUMIF(EXTRATO!$A$2:$A$3000,$A1189,EXTRATO!$L$2:$L$3000)+SUMIF(EXTRATO!$A$2:$A$3000,$A1189,EXTRATO!$M$2:$M$3000))</f>
        <v>1470</v>
      </c>
      <c r="G1189" s="81" t="str">
        <f>IF(A1189="","",IF(INDEX(EXTRATO!$G$2:$G$3000,MATCH($A1189,EXTRATO!$A$2:$A$3000,0))="","",INDEX(EXTRATO!$G$2:$G$3000,MATCH($A1189,EXTRATO!$A$2:$A$3000,0))))</f>
        <v xml:space="preserve">DR. WILSON (CIRURGIÃO VASCULAR) - COELHO E OLIVEIRA SERV. MÉDICOS - JUL/26 </v>
      </c>
      <c r="H1189" s="86" t="str">
        <f>IF(A1189="","",IF(INDEX(EXTRATO!$F$2:$F$3000,MATCH($A1189,EXTRATO!$A$2:$A$3000,0))="","",INDEX(EXTRATO!$F$2:$F$3000,MATCH($A1189,EXTRATO!$A$2:$A$3000,0))))</f>
        <v>SAÍDA</v>
      </c>
      <c r="I1189" s="88" t="str">
        <f>IF(A1189="","",IF(INDEX(EXTRATO!$H$2:$H$3000,MATCH($A1189,EXTRATO!$A$2:$A$3000,0))="","",INDEX(EXTRATO!$H$2:$H$3000,MATCH($A1189,EXTRATO!$A$2:$A$3000,0))))</f>
        <v/>
      </c>
      <c r="J1189" s="86" t="str">
        <f t="shared" si="23"/>
        <v>PENDENTE</v>
      </c>
      <c r="K1189" s="86" t="str">
        <f>IF(AND(A1189="",D1189="",E1189="",F1189=""),"",IF(D1189="","SEM CATEGORIA",IF(E1189="","SEM SUBCATEGORIA",IF(COUNTIFS(CADASTROS!$L$7:$L$93,D1189,CADASTROS!$D$7:$D$93,E1189)=0,"INCOMPATÍVEL","OK"))))</f>
        <v>SEM CATEGORIA</v>
      </c>
    </row>
    <row r="1190" spans="1:11" ht="30" hidden="1" customHeight="1" x14ac:dyDescent="0.25">
      <c r="A1190" s="86" t="str">
        <f>IF(COUNTIF(EXTRATO!$A$2:$A$3000,"BAN-01047")=0,"","BAN-01047")</f>
        <v>BAN-01047</v>
      </c>
      <c r="B1190" s="85">
        <f>IF(A1190="","",IF(INDEX(EXTRATO!$C$2:$C$3000,MATCH($A1190,EXTRATO!$A$2:$A$3000,0))="","",INDEX(EXTRATO!$C$2:$C$3000,MATCH($A1190,EXTRATO!$A$2:$A$3000,0))))</f>
        <v>46311</v>
      </c>
      <c r="C1190" s="86">
        <f t="shared" si="24"/>
        <v>10</v>
      </c>
      <c r="D1190" s="81"/>
      <c r="E1190" s="79"/>
      <c r="F1190" s="80">
        <f>IF(A1190="","",SUMIF(EXTRATO!$A$2:$A$3000,$A1190,EXTRATO!$J$2:$J$3000)+SUMIF(EXTRATO!$A$2:$A$3000,$A1190,EXTRATO!$K$2:$K$3000)+SUMIF(EXTRATO!$A$2:$A$3000,$A1190,EXTRATO!$L$2:$L$3000)+SUMIF(EXTRATO!$A$2:$A$3000,$A1190,EXTRATO!$M$2:$M$3000))</f>
        <v>1490</v>
      </c>
      <c r="G1190" s="81" t="str">
        <f>IF(A1190="","",IF(INDEX(EXTRATO!$G$2:$G$3000,MATCH($A1190,EXTRATO!$A$2:$A$3000,0))="","",INDEX(EXTRATO!$G$2:$G$3000,MATCH($A1190,EXTRATO!$A$2:$A$3000,0))))</f>
        <v>E M GONÇALVES PADARIA (REF. FORNEC. DE PÃES E BOLOS - SET/26) - FAVORECIDO: EDILBERTO M. GONÇALVES</v>
      </c>
      <c r="H1190" s="86" t="str">
        <f>IF(A1190="","",IF(INDEX(EXTRATO!$F$2:$F$3000,MATCH($A1190,EXTRATO!$A$2:$A$3000,0))="","",INDEX(EXTRATO!$F$2:$F$3000,MATCH($A1190,EXTRATO!$A$2:$A$3000,0))))</f>
        <v>SAÍDA</v>
      </c>
      <c r="I1190" s="88" t="str">
        <f>IF(A1190="","",IF(INDEX(EXTRATO!$H$2:$H$3000,MATCH($A1190,EXTRATO!$A$2:$A$3000,0))="","",INDEX(EXTRATO!$H$2:$H$3000,MATCH($A1190,EXTRATO!$A$2:$A$3000,0))))</f>
        <v/>
      </c>
      <c r="J1190" s="86" t="str">
        <f t="shared" si="23"/>
        <v>PENDENTE</v>
      </c>
      <c r="K1190" s="86" t="str">
        <f>IF(AND(A1190="",D1190="",E1190="",F1190=""),"",IF(D1190="","SEM CATEGORIA",IF(E1190="","SEM SUBCATEGORIA",IF(COUNTIFS(CADASTROS!$L$7:$L$93,D1190,CADASTROS!$D$7:$D$93,E1190)=0,"INCOMPATÍVEL","OK"))))</f>
        <v>SEM CATEGORIA</v>
      </c>
    </row>
    <row r="1191" spans="1:11" ht="30" hidden="1" customHeight="1" x14ac:dyDescent="0.25">
      <c r="A1191" s="86" t="str">
        <f>IF(COUNTIF(EXTRATO!$A$2:$A$3000,"BAN-01048")=0,"","BAN-01048")</f>
        <v>BAN-01048</v>
      </c>
      <c r="B1191" s="85">
        <f>IF(A1191="","",IF(INDEX(EXTRATO!$C$2:$C$3000,MATCH($A1191,EXTRATO!$A$2:$A$3000,0))="","",INDEX(EXTRATO!$C$2:$C$3000,MATCH($A1191,EXTRATO!$A$2:$A$3000,0))))</f>
        <v>46311</v>
      </c>
      <c r="C1191" s="86">
        <f t="shared" si="24"/>
        <v>10</v>
      </c>
      <c r="D1191" s="81"/>
      <c r="E1191" s="79"/>
      <c r="F1191" s="80">
        <f>IF(A1191="","",SUMIF(EXTRATO!$A$2:$A$3000,$A1191,EXTRATO!$J$2:$J$3000)+SUMIF(EXTRATO!$A$2:$A$3000,$A1191,EXTRATO!$K$2:$K$3000)+SUMIF(EXTRATO!$A$2:$A$3000,$A1191,EXTRATO!$L$2:$L$3000)+SUMIF(EXTRATO!$A$2:$A$3000,$A1191,EXTRATO!$M$2:$M$3000))</f>
        <v>2000</v>
      </c>
      <c r="G1191" s="81" t="str">
        <f>IF(A1191="","",IF(INDEX(EXTRATO!$G$2:$G$3000,MATCH($A1191,EXTRATO!$A$2:$A$3000,0))="","",INDEX(EXTRATO!$G$2:$G$3000,MATCH($A1191,EXTRATO!$A$2:$A$3000,0))))</f>
        <v>FARMACÊUTICA (GARDÊNIA) - REF. PRESTAÇÃO DE SERV. FARMACÊUTICOS - SET/2026)</v>
      </c>
      <c r="H1191" s="86" t="str">
        <f>IF(A1191="","",IF(INDEX(EXTRATO!$F$2:$F$3000,MATCH($A1191,EXTRATO!$A$2:$A$3000,0))="","",INDEX(EXTRATO!$F$2:$F$3000,MATCH($A1191,EXTRATO!$A$2:$A$3000,0))))</f>
        <v>SAÍDA</v>
      </c>
      <c r="I1191" s="88" t="str">
        <f>IF(A1191="","",IF(INDEX(EXTRATO!$H$2:$H$3000,MATCH($A1191,EXTRATO!$A$2:$A$3000,0))="","",INDEX(EXTRATO!$H$2:$H$3000,MATCH($A1191,EXTRATO!$A$2:$A$3000,0))))</f>
        <v/>
      </c>
      <c r="J1191" s="86" t="str">
        <f t="shared" si="23"/>
        <v>PENDENTE</v>
      </c>
      <c r="K1191" s="86" t="str">
        <f>IF(AND(A1191="",D1191="",E1191="",F1191=""),"",IF(D1191="","SEM CATEGORIA",IF(E1191="","SEM SUBCATEGORIA",IF(COUNTIFS(CADASTROS!$L$7:$L$93,D1191,CADASTROS!$D$7:$D$93,E1191)=0,"INCOMPATÍVEL","OK"))))</f>
        <v>SEM CATEGORIA</v>
      </c>
    </row>
    <row r="1192" spans="1:11" ht="30" hidden="1" customHeight="1" x14ac:dyDescent="0.25">
      <c r="A1192" s="86" t="str">
        <f>IF(COUNTIF(EXTRATO!$A$2:$A$3000,"BAN-01049")=0,"","BAN-01049")</f>
        <v>BAN-01049</v>
      </c>
      <c r="B1192" s="85">
        <f>IF(A1192="","",IF(INDEX(EXTRATO!$C$2:$C$3000,MATCH($A1192,EXTRATO!$A$2:$A$3000,0))="","",INDEX(EXTRATO!$C$2:$C$3000,MATCH($A1192,EXTRATO!$A$2:$A$3000,0))))</f>
        <v>46311</v>
      </c>
      <c r="C1192" s="86">
        <f t="shared" si="24"/>
        <v>10</v>
      </c>
      <c r="D1192" s="81"/>
      <c r="E1192" s="79"/>
      <c r="F1192" s="80">
        <f>IF(A1192="","",SUMIF(EXTRATO!$A$2:$A$3000,$A1192,EXTRATO!$J$2:$J$3000)+SUMIF(EXTRATO!$A$2:$A$3000,$A1192,EXTRATO!$K$2:$K$3000)+SUMIF(EXTRATO!$A$2:$A$3000,$A1192,EXTRATO!$L$2:$L$3000)+SUMIF(EXTRATO!$A$2:$A$3000,$A1192,EXTRATO!$M$2:$M$3000))</f>
        <v>11406.33</v>
      </c>
      <c r="G1192" s="81" t="str">
        <f>IF(A1192="","",IF(INDEX(EXTRATO!$G$2:$G$3000,MATCH($A1192,EXTRATO!$A$2:$A$3000,0))="","",INDEX(EXTRATO!$G$2:$G$3000,MATCH($A1192,EXTRATO!$A$2:$A$3000,0))))</f>
        <v>I F DA SILVA &amp; CIA LTDA (REF. SET/26)</v>
      </c>
      <c r="H1192" s="86" t="str">
        <f>IF(A1192="","",IF(INDEX(EXTRATO!$F$2:$F$3000,MATCH($A1192,EXTRATO!$A$2:$A$3000,0))="","",INDEX(EXTRATO!$F$2:$F$3000,MATCH($A1192,EXTRATO!$A$2:$A$3000,0))))</f>
        <v>SAÍDA</v>
      </c>
      <c r="I1192" s="88" t="str">
        <f>IF(A1192="","",IF(INDEX(EXTRATO!$H$2:$H$3000,MATCH($A1192,EXTRATO!$A$2:$A$3000,0))="","",INDEX(EXTRATO!$H$2:$H$3000,MATCH($A1192,EXTRATO!$A$2:$A$3000,0))))</f>
        <v/>
      </c>
      <c r="J1192" s="86" t="str">
        <f t="shared" si="23"/>
        <v>PENDENTE</v>
      </c>
      <c r="K1192" s="86" t="str">
        <f>IF(AND(A1192="",D1192="",E1192="",F1192=""),"",IF(D1192="","SEM CATEGORIA",IF(E1192="","SEM SUBCATEGORIA",IF(COUNTIFS(CADASTROS!$L$7:$L$93,D1192,CADASTROS!$D$7:$D$93,E1192)=0,"INCOMPATÍVEL","OK"))))</f>
        <v>SEM CATEGORIA</v>
      </c>
    </row>
    <row r="1193" spans="1:11" ht="30" hidden="1" customHeight="1" x14ac:dyDescent="0.25">
      <c r="A1193" s="86" t="str">
        <f>IF(COUNTIF(EXTRATO!$A$2:$A$3000,"BAN-01050")=0,"","BAN-01050")</f>
        <v>BAN-01050</v>
      </c>
      <c r="B1193" s="85">
        <f>IF(A1193="","",IF(INDEX(EXTRATO!$C$2:$C$3000,MATCH($A1193,EXTRATO!$A$2:$A$3000,0))="","",INDEX(EXTRATO!$C$2:$C$3000,MATCH($A1193,EXTRATO!$A$2:$A$3000,0))))</f>
        <v>46311</v>
      </c>
      <c r="C1193" s="86">
        <f t="shared" si="24"/>
        <v>10</v>
      </c>
      <c r="D1193" s="81"/>
      <c r="E1193" s="79"/>
      <c r="F1193" s="80">
        <f>IF(A1193="","",SUMIF(EXTRATO!$A$2:$A$3000,$A1193,EXTRATO!$J$2:$J$3000)+SUMIF(EXTRATO!$A$2:$A$3000,$A1193,EXTRATO!$K$2:$K$3000)+SUMIF(EXTRATO!$A$2:$A$3000,$A1193,EXTRATO!$L$2:$L$3000)+SUMIF(EXTRATO!$A$2:$A$3000,$A1193,EXTRATO!$M$2:$M$3000))</f>
        <v>1499.95</v>
      </c>
      <c r="G1193" s="81" t="str">
        <f>IF(A1193="","",IF(INDEX(EXTRATO!$G$2:$G$3000,MATCH($A1193,EXTRATO!$A$2:$A$3000,0))="","",INDEX(EXTRATO!$G$2:$G$3000,MATCH($A1193,EXTRATO!$A$2:$A$3000,0))))</f>
        <v>DECOR COLORS BACABAL (REF. 05 CAIXAS DE BLOCK TOTAL PARA REFORMA DA CLINICA)</v>
      </c>
      <c r="H1193" s="86" t="str">
        <f>IF(A1193="","",IF(INDEX(EXTRATO!$F$2:$F$3000,MATCH($A1193,EXTRATO!$A$2:$A$3000,0))="","",INDEX(EXTRATO!$F$2:$F$3000,MATCH($A1193,EXTRATO!$A$2:$A$3000,0))))</f>
        <v>SAÍDA</v>
      </c>
      <c r="I1193" s="88" t="str">
        <f>IF(A1193="","",IF(INDEX(EXTRATO!$H$2:$H$3000,MATCH($A1193,EXTRATO!$A$2:$A$3000,0))="","",INDEX(EXTRATO!$H$2:$H$3000,MATCH($A1193,EXTRATO!$A$2:$A$3000,0))))</f>
        <v/>
      </c>
      <c r="J1193" s="86" t="str">
        <f t="shared" si="23"/>
        <v>PENDENTE</v>
      </c>
      <c r="K1193" s="86" t="str">
        <f>IF(AND(A1193="",D1193="",E1193="",F1193=""),"",IF(D1193="","SEM CATEGORIA",IF(E1193="","SEM SUBCATEGORIA",IF(COUNTIFS(CADASTROS!$L$7:$L$93,D1193,CADASTROS!$D$7:$D$93,E1193)=0,"INCOMPATÍVEL","OK"))))</f>
        <v>SEM CATEGORIA</v>
      </c>
    </row>
    <row r="1194" spans="1:11" ht="30" hidden="1" customHeight="1" x14ac:dyDescent="0.25">
      <c r="A1194" s="86" t="str">
        <f>IF(COUNTIF(EXTRATO!$A$2:$A$3000,"BAN-01051")=0,"","BAN-01051")</f>
        <v>BAN-01051</v>
      </c>
      <c r="B1194" s="85">
        <f>IF(A1194="","",IF(INDEX(EXTRATO!$C$2:$C$3000,MATCH($A1194,EXTRATO!$A$2:$A$3000,0))="","",INDEX(EXTRATO!$C$2:$C$3000,MATCH($A1194,EXTRATO!$A$2:$A$3000,0))))</f>
        <v>46314</v>
      </c>
      <c r="C1194" s="86">
        <f t="shared" si="24"/>
        <v>10</v>
      </c>
      <c r="D1194" s="81"/>
      <c r="E1194" s="79"/>
      <c r="F1194" s="80">
        <f>IF(A1194="","",SUMIF(EXTRATO!$A$2:$A$3000,$A1194,EXTRATO!$J$2:$J$3000)+SUMIF(EXTRATO!$A$2:$A$3000,$A1194,EXTRATO!$K$2:$K$3000)+SUMIF(EXTRATO!$A$2:$A$3000,$A1194,EXTRATO!$L$2:$L$3000)+SUMIF(EXTRATO!$A$2:$A$3000,$A1194,EXTRATO!$M$2:$M$3000))</f>
        <v>350</v>
      </c>
      <c r="G1194" s="81" t="str">
        <f>IF(A1194="","",IF(INDEX(EXTRATO!$G$2:$G$3000,MATCH($A1194,EXTRATO!$A$2:$A$3000,0))="","",INDEX(EXTRATO!$G$2:$G$3000,MATCH($A1194,EXTRATO!$A$2:$A$3000,0))))</f>
        <v xml:space="preserve">LUAN CALIXTA DE OLIVEIRA - MALHARIA SANTA INÊS (REF. FARDAMENTO DE NOVOS COLABORADORES) </v>
      </c>
      <c r="H1194" s="86" t="str">
        <f>IF(A1194="","",IF(INDEX(EXTRATO!$F$2:$F$3000,MATCH($A1194,EXTRATO!$A$2:$A$3000,0))="","",INDEX(EXTRATO!$F$2:$F$3000,MATCH($A1194,EXTRATO!$A$2:$A$3000,0))))</f>
        <v>SAÍDA</v>
      </c>
      <c r="I1194" s="88" t="str">
        <f>IF(A1194="","",IF(INDEX(EXTRATO!$H$2:$H$3000,MATCH($A1194,EXTRATO!$A$2:$A$3000,0))="","",INDEX(EXTRATO!$H$2:$H$3000,MATCH($A1194,EXTRATO!$A$2:$A$3000,0))))</f>
        <v/>
      </c>
      <c r="J1194" s="86" t="str">
        <f t="shared" si="23"/>
        <v>PENDENTE</v>
      </c>
      <c r="K1194" s="86" t="str">
        <f>IF(AND(A1194="",D1194="",E1194="",F1194=""),"",IF(D1194="","SEM CATEGORIA",IF(E1194="","SEM SUBCATEGORIA",IF(COUNTIFS(CADASTROS!$L$7:$L$93,D1194,CADASTROS!$D$7:$D$93,E1194)=0,"INCOMPATÍVEL","OK"))))</f>
        <v>SEM CATEGORIA</v>
      </c>
    </row>
    <row r="1195" spans="1:11" ht="30" hidden="1" customHeight="1" x14ac:dyDescent="0.25">
      <c r="A1195" s="86" t="str">
        <f>IF(COUNTIF(EXTRATO!$A$2:$A$3000,"BAN-01052")=0,"","BAN-01052")</f>
        <v>BAN-01052</v>
      </c>
      <c r="B1195" s="85">
        <f>IF(A1195="","",IF(INDEX(EXTRATO!$C$2:$C$3000,MATCH($A1195,EXTRATO!$A$2:$A$3000,0))="","",INDEX(EXTRATO!$C$2:$C$3000,MATCH($A1195,EXTRATO!$A$2:$A$3000,0))))</f>
        <v>46314</v>
      </c>
      <c r="C1195" s="86">
        <f t="shared" si="24"/>
        <v>10</v>
      </c>
      <c r="D1195" s="81"/>
      <c r="E1195" s="79"/>
      <c r="F1195" s="80">
        <f>IF(A1195="","",SUMIF(EXTRATO!$A$2:$A$3000,$A1195,EXTRATO!$J$2:$J$3000)+SUMIF(EXTRATO!$A$2:$A$3000,$A1195,EXTRATO!$K$2:$K$3000)+SUMIF(EXTRATO!$A$2:$A$3000,$A1195,EXTRATO!$L$2:$L$3000)+SUMIF(EXTRATO!$A$2:$A$3000,$A1195,EXTRATO!$M$2:$M$3000))</f>
        <v>4138.2700000000004</v>
      </c>
      <c r="G1195" s="81" t="str">
        <f>IF(A1195="","",IF(INDEX(EXTRATO!$G$2:$G$3000,MATCH($A1195,EXTRATO!$A$2:$A$3000,0))="","",INDEX(EXTRATO!$G$2:$G$3000,MATCH($A1195,EXTRATO!$A$2:$A$3000,0))))</f>
        <v>PHARMA BRASIL (REF. MATERIAIS E MEDICAMENTOS DIVERSOS) 1/2</v>
      </c>
      <c r="H1195" s="86" t="str">
        <f>IF(A1195="","",IF(INDEX(EXTRATO!$F$2:$F$3000,MATCH($A1195,EXTRATO!$A$2:$A$3000,0))="","",INDEX(EXTRATO!$F$2:$F$3000,MATCH($A1195,EXTRATO!$A$2:$A$3000,0))))</f>
        <v>SAÍDA</v>
      </c>
      <c r="I1195" s="88" t="str">
        <f>IF(A1195="","",IF(INDEX(EXTRATO!$H$2:$H$3000,MATCH($A1195,EXTRATO!$A$2:$A$3000,0))="","",INDEX(EXTRATO!$H$2:$H$3000,MATCH($A1195,EXTRATO!$A$2:$A$3000,0))))</f>
        <v/>
      </c>
      <c r="J1195" s="86" t="str">
        <f t="shared" si="23"/>
        <v>PENDENTE</v>
      </c>
      <c r="K1195" s="86" t="str">
        <f>IF(AND(A1195="",D1195="",E1195="",F1195=""),"",IF(D1195="","SEM CATEGORIA",IF(E1195="","SEM SUBCATEGORIA",IF(COUNTIFS(CADASTROS!$L$7:$L$93,D1195,CADASTROS!$D$7:$D$93,E1195)=0,"INCOMPATÍVEL","OK"))))</f>
        <v>SEM CATEGORIA</v>
      </c>
    </row>
    <row r="1196" spans="1:11" ht="30" hidden="1" customHeight="1" x14ac:dyDescent="0.25">
      <c r="A1196" s="86" t="str">
        <f>IF(COUNTIF(EXTRATO!$A$2:$A$3000,"BAN-01053")=0,"","BAN-01053")</f>
        <v>BAN-01053</v>
      </c>
      <c r="B1196" s="85">
        <f>IF(A1196="","",IF(INDEX(EXTRATO!$C$2:$C$3000,MATCH($A1196,EXTRATO!$A$2:$A$3000,0))="","",INDEX(EXTRATO!$C$2:$C$3000,MATCH($A1196,EXTRATO!$A$2:$A$3000,0))))</f>
        <v>46314</v>
      </c>
      <c r="C1196" s="86">
        <f t="shared" si="24"/>
        <v>10</v>
      </c>
      <c r="D1196" s="81"/>
      <c r="E1196" s="79"/>
      <c r="F1196" s="80">
        <f>IF(A1196="","",SUMIF(EXTRATO!$A$2:$A$3000,$A1196,EXTRATO!$J$2:$J$3000)+SUMIF(EXTRATO!$A$2:$A$3000,$A1196,EXTRATO!$K$2:$K$3000)+SUMIF(EXTRATO!$A$2:$A$3000,$A1196,EXTRATO!$L$2:$L$3000)+SUMIF(EXTRATO!$A$2:$A$3000,$A1196,EXTRATO!$M$2:$M$3000))</f>
        <v>784.34</v>
      </c>
      <c r="G1196" s="81" t="str">
        <f>IF(A1196="","",IF(INDEX(EXTRATO!$G$2:$G$3000,MATCH($A1196,EXTRATO!$A$2:$A$3000,0))="","",INDEX(EXTRATO!$G$2:$G$3000,MATCH($A1196,EXTRATO!$A$2:$A$3000,0))))</f>
        <v>RICEK (REF. PAPEL TOALHA E HIGIÊNICO) 1/2</v>
      </c>
      <c r="H1196" s="86" t="str">
        <f>IF(A1196="","",IF(INDEX(EXTRATO!$F$2:$F$3000,MATCH($A1196,EXTRATO!$A$2:$A$3000,0))="","",INDEX(EXTRATO!$F$2:$F$3000,MATCH($A1196,EXTRATO!$A$2:$A$3000,0))))</f>
        <v>SAÍDA</v>
      </c>
      <c r="I1196" s="88" t="str">
        <f>IF(A1196="","",IF(INDEX(EXTRATO!$H$2:$H$3000,MATCH($A1196,EXTRATO!$A$2:$A$3000,0))="","",INDEX(EXTRATO!$H$2:$H$3000,MATCH($A1196,EXTRATO!$A$2:$A$3000,0))))</f>
        <v/>
      </c>
      <c r="J1196" s="86" t="str">
        <f t="shared" ref="J1196:J1259" si="25">IF(A1196="","",IF(K1196="OK","MANUAL","PENDENTE"))</f>
        <v>PENDENTE</v>
      </c>
      <c r="K1196" s="86" t="str">
        <f>IF(AND(A1196="",D1196="",E1196="",F1196=""),"",IF(D1196="","SEM CATEGORIA",IF(E1196="","SEM SUBCATEGORIA",IF(COUNTIFS(CADASTROS!$L$7:$L$93,D1196,CADASTROS!$D$7:$D$93,E1196)=0,"INCOMPATÍVEL","OK"))))</f>
        <v>SEM CATEGORIA</v>
      </c>
    </row>
    <row r="1197" spans="1:11" ht="30" hidden="1" customHeight="1" x14ac:dyDescent="0.25">
      <c r="A1197" s="86" t="str">
        <f>IF(COUNTIF(EXTRATO!$A$2:$A$3000,"BAN-01054")=0,"","BAN-01054")</f>
        <v>BAN-01054</v>
      </c>
      <c r="B1197" s="85">
        <f>IF(A1197="","",IF(INDEX(EXTRATO!$C$2:$C$3000,MATCH($A1197,EXTRATO!$A$2:$A$3000,0))="","",INDEX(EXTRATO!$C$2:$C$3000,MATCH($A1197,EXTRATO!$A$2:$A$3000,0))))</f>
        <v>46314</v>
      </c>
      <c r="C1197" s="86">
        <f t="shared" si="24"/>
        <v>10</v>
      </c>
      <c r="D1197" s="81"/>
      <c r="E1197" s="79"/>
      <c r="F1197" s="80">
        <f>IF(A1197="","",SUMIF(EXTRATO!$A$2:$A$3000,$A1197,EXTRATO!$J$2:$J$3000)+SUMIF(EXTRATO!$A$2:$A$3000,$A1197,EXTRATO!$K$2:$K$3000)+SUMIF(EXTRATO!$A$2:$A$3000,$A1197,EXTRATO!$L$2:$L$3000)+SUMIF(EXTRATO!$A$2:$A$3000,$A1197,EXTRATO!$M$2:$M$3000))</f>
        <v>1295</v>
      </c>
      <c r="G1197" s="81" t="str">
        <f>IF(A1197="","",IF(INDEX(EXTRATO!$G$2:$G$3000,MATCH($A1197,EXTRATO!$A$2:$A$3000,0))="","",INDEX(EXTRATO!$G$2:$G$3000,MATCH($A1197,EXTRATO!$A$2:$A$3000,0))))</f>
        <v>INOVMED DISTRIBUIDORA (REF. COMPRESSA DE GAZE) 1/2</v>
      </c>
      <c r="H1197" s="86" t="str">
        <f>IF(A1197="","",IF(INDEX(EXTRATO!$F$2:$F$3000,MATCH($A1197,EXTRATO!$A$2:$A$3000,0))="","",INDEX(EXTRATO!$F$2:$F$3000,MATCH($A1197,EXTRATO!$A$2:$A$3000,0))))</f>
        <v>SAÍDA</v>
      </c>
      <c r="I1197" s="88" t="str">
        <f>IF(A1197="","",IF(INDEX(EXTRATO!$H$2:$H$3000,MATCH($A1197,EXTRATO!$A$2:$A$3000,0))="","",INDEX(EXTRATO!$H$2:$H$3000,MATCH($A1197,EXTRATO!$A$2:$A$3000,0))))</f>
        <v/>
      </c>
      <c r="J1197" s="86" t="str">
        <f t="shared" si="25"/>
        <v>PENDENTE</v>
      </c>
      <c r="K1197" s="86" t="str">
        <f>IF(AND(A1197="",D1197="",E1197="",F1197=""),"",IF(D1197="","SEM CATEGORIA",IF(E1197="","SEM SUBCATEGORIA",IF(COUNTIFS(CADASTROS!$L$7:$L$93,D1197,CADASTROS!$D$7:$D$93,E1197)=0,"INCOMPATÍVEL","OK"))))</f>
        <v>SEM CATEGORIA</v>
      </c>
    </row>
    <row r="1198" spans="1:11" ht="30" hidden="1" customHeight="1" x14ac:dyDescent="0.25">
      <c r="A1198" s="86" t="str">
        <f>IF(COUNTIF(EXTRATO!$A$2:$A$3000,"BAN-01055")=0,"","BAN-01055")</f>
        <v>BAN-01055</v>
      </c>
      <c r="B1198" s="85">
        <f>IF(A1198="","",IF(INDEX(EXTRATO!$C$2:$C$3000,MATCH($A1198,EXTRATO!$A$2:$A$3000,0))="","",INDEX(EXTRATO!$C$2:$C$3000,MATCH($A1198,EXTRATO!$A$2:$A$3000,0))))</f>
        <v>46314</v>
      </c>
      <c r="C1198" s="86">
        <f t="shared" si="24"/>
        <v>10</v>
      </c>
      <c r="D1198" s="81"/>
      <c r="E1198" s="79"/>
      <c r="F1198" s="80">
        <f>IF(A1198="","",SUMIF(EXTRATO!$A$2:$A$3000,$A1198,EXTRATO!$J$2:$J$3000)+SUMIF(EXTRATO!$A$2:$A$3000,$A1198,EXTRATO!$K$2:$K$3000)+SUMIF(EXTRATO!$A$2:$A$3000,$A1198,EXTRATO!$L$2:$L$3000)+SUMIF(EXTRATO!$A$2:$A$3000,$A1198,EXTRATO!$M$2:$M$3000))</f>
        <v>1849.5</v>
      </c>
      <c r="G1198" s="81" t="str">
        <f>IF(A1198="","",IF(INDEX(EXTRATO!$G$2:$G$3000,MATCH($A1198,EXTRATO!$A$2:$A$3000,0))="","",INDEX(EXTRATO!$G$2:$G$3000,MATCH($A1198,EXTRATO!$A$2:$A$3000,0))))</f>
        <v>ERONLIMP (REF. MATERIAIS DE LIMPEZA) 1/1</v>
      </c>
      <c r="H1198" s="86" t="str">
        <f>IF(A1198="","",IF(INDEX(EXTRATO!$F$2:$F$3000,MATCH($A1198,EXTRATO!$A$2:$A$3000,0))="","",INDEX(EXTRATO!$F$2:$F$3000,MATCH($A1198,EXTRATO!$A$2:$A$3000,0))))</f>
        <v>SAÍDA</v>
      </c>
      <c r="I1198" s="88" t="str">
        <f>IF(A1198="","",IF(INDEX(EXTRATO!$H$2:$H$3000,MATCH($A1198,EXTRATO!$A$2:$A$3000,0))="","",INDEX(EXTRATO!$H$2:$H$3000,MATCH($A1198,EXTRATO!$A$2:$A$3000,0))))</f>
        <v/>
      </c>
      <c r="J1198" s="86" t="str">
        <f t="shared" si="25"/>
        <v>PENDENTE</v>
      </c>
      <c r="K1198" s="86" t="str">
        <f>IF(AND(A1198="",D1198="",E1198="",F1198=""),"",IF(D1198="","SEM CATEGORIA",IF(E1198="","SEM SUBCATEGORIA",IF(COUNTIFS(CADASTROS!$L$7:$L$93,D1198,CADASTROS!$D$7:$D$93,E1198)=0,"INCOMPATÍVEL","OK"))))</f>
        <v>SEM CATEGORIA</v>
      </c>
    </row>
    <row r="1199" spans="1:11" ht="30" hidden="1" customHeight="1" x14ac:dyDescent="0.25">
      <c r="A1199" s="86" t="str">
        <f>IF(COUNTIF(EXTRATO!$A$2:$A$3000,"BAN-01056")=0,"","BAN-01056")</f>
        <v>BAN-01056</v>
      </c>
      <c r="B1199" s="85">
        <f>IF(A1199="","",IF(INDEX(EXTRATO!$C$2:$C$3000,MATCH($A1199,EXTRATO!$A$2:$A$3000,0))="","",INDEX(EXTRATO!$C$2:$C$3000,MATCH($A1199,EXTRATO!$A$2:$A$3000,0))))</f>
        <v>46315</v>
      </c>
      <c r="C1199" s="86">
        <f t="shared" si="24"/>
        <v>10</v>
      </c>
      <c r="D1199" s="81"/>
      <c r="E1199" s="79"/>
      <c r="F1199" s="80">
        <f>IF(A1199="","",SUMIF(EXTRATO!$A$2:$A$3000,$A1199,EXTRATO!$J$2:$J$3000)+SUMIF(EXTRATO!$A$2:$A$3000,$A1199,EXTRATO!$K$2:$K$3000)+SUMIF(EXTRATO!$A$2:$A$3000,$A1199,EXTRATO!$L$2:$L$3000)+SUMIF(EXTRATO!$A$2:$A$3000,$A1199,EXTRATO!$M$2:$M$3000))</f>
        <v>9805.92</v>
      </c>
      <c r="G1199" s="81" t="str">
        <f>IF(A1199="","",IF(INDEX(EXTRATO!$G$2:$G$3000,MATCH($A1199,EXTRATO!$A$2:$A$3000,0))="","",INDEX(EXTRATO!$G$2:$G$3000,MATCH($A1199,EXTRATO!$A$2:$A$3000,0))))</f>
        <v>FGTS (09/2026)</v>
      </c>
      <c r="H1199" s="86" t="str">
        <f>IF(A1199="","",IF(INDEX(EXTRATO!$F$2:$F$3000,MATCH($A1199,EXTRATO!$A$2:$A$3000,0))="","",INDEX(EXTRATO!$F$2:$F$3000,MATCH($A1199,EXTRATO!$A$2:$A$3000,0))))</f>
        <v>SAÍDA</v>
      </c>
      <c r="I1199" s="88" t="str">
        <f>IF(A1199="","",IF(INDEX(EXTRATO!$H$2:$H$3000,MATCH($A1199,EXTRATO!$A$2:$A$3000,0))="","",INDEX(EXTRATO!$H$2:$H$3000,MATCH($A1199,EXTRATO!$A$2:$A$3000,0))))</f>
        <v/>
      </c>
      <c r="J1199" s="86" t="str">
        <f t="shared" si="25"/>
        <v>PENDENTE</v>
      </c>
      <c r="K1199" s="86" t="str">
        <f>IF(AND(A1199="",D1199="",E1199="",F1199=""),"",IF(D1199="","SEM CATEGORIA",IF(E1199="","SEM SUBCATEGORIA",IF(COUNTIFS(CADASTROS!$L$7:$L$93,D1199,CADASTROS!$D$7:$D$93,E1199)=0,"INCOMPATÍVEL","OK"))))</f>
        <v>SEM CATEGORIA</v>
      </c>
    </row>
    <row r="1200" spans="1:11" ht="30" hidden="1" customHeight="1" x14ac:dyDescent="0.25">
      <c r="A1200" s="86" t="str">
        <f>IF(COUNTIF(EXTRATO!$A$2:$A$3000,"BAN-01057")=0,"","BAN-01057")</f>
        <v>BAN-01057</v>
      </c>
      <c r="B1200" s="85">
        <f>IF(A1200="","",IF(INDEX(EXTRATO!$C$2:$C$3000,MATCH($A1200,EXTRATO!$A$2:$A$3000,0))="","",INDEX(EXTRATO!$C$2:$C$3000,MATCH($A1200,EXTRATO!$A$2:$A$3000,0))))</f>
        <v>46315</v>
      </c>
      <c r="C1200" s="86">
        <f t="shared" si="24"/>
        <v>10</v>
      </c>
      <c r="D1200" s="81"/>
      <c r="E1200" s="79"/>
      <c r="F1200" s="80">
        <f>IF(A1200="","",SUMIF(EXTRATO!$A$2:$A$3000,$A1200,EXTRATO!$J$2:$J$3000)+SUMIF(EXTRATO!$A$2:$A$3000,$A1200,EXTRATO!$K$2:$K$3000)+SUMIF(EXTRATO!$A$2:$A$3000,$A1200,EXTRATO!$L$2:$L$3000)+SUMIF(EXTRATO!$A$2:$A$3000,$A1200,EXTRATO!$M$2:$M$3000))</f>
        <v>30607.84</v>
      </c>
      <c r="G1200" s="81" t="str">
        <f>IF(A1200="","",IF(INDEX(EXTRATO!$G$2:$G$3000,MATCH($A1200,EXTRATO!$A$2:$A$3000,0))="","",INDEX(EXTRATO!$G$2:$G$3000,MATCH($A1200,EXTRATO!$A$2:$A$3000,0))))</f>
        <v>INSS (09/2026)</v>
      </c>
      <c r="H1200" s="86" t="str">
        <f>IF(A1200="","",IF(INDEX(EXTRATO!$F$2:$F$3000,MATCH($A1200,EXTRATO!$A$2:$A$3000,0))="","",INDEX(EXTRATO!$F$2:$F$3000,MATCH($A1200,EXTRATO!$A$2:$A$3000,0))))</f>
        <v>SAÍDA</v>
      </c>
      <c r="I1200" s="88" t="str">
        <f>IF(A1200="","",IF(INDEX(EXTRATO!$H$2:$H$3000,MATCH($A1200,EXTRATO!$A$2:$A$3000,0))="","",INDEX(EXTRATO!$H$2:$H$3000,MATCH($A1200,EXTRATO!$A$2:$A$3000,0))))</f>
        <v/>
      </c>
      <c r="J1200" s="86" t="str">
        <f t="shared" si="25"/>
        <v>PENDENTE</v>
      </c>
      <c r="K1200" s="86" t="str">
        <f>IF(AND(A1200="",D1200="",E1200="",F1200=""),"",IF(D1200="","SEM CATEGORIA",IF(E1200="","SEM SUBCATEGORIA",IF(COUNTIFS(CADASTROS!$L$7:$L$93,D1200,CADASTROS!$D$7:$D$93,E1200)=0,"INCOMPATÍVEL","OK"))))</f>
        <v>SEM CATEGORIA</v>
      </c>
    </row>
    <row r="1201" spans="1:11" ht="30" hidden="1" customHeight="1" x14ac:dyDescent="0.25">
      <c r="A1201" s="86" t="str">
        <f>IF(COUNTIF(EXTRATO!$A$2:$A$3000,"BAN-01058")=0,"","BAN-01058")</f>
        <v>BAN-01058</v>
      </c>
      <c r="B1201" s="85">
        <f>IF(A1201="","",IF(INDEX(EXTRATO!$C$2:$C$3000,MATCH($A1201,EXTRATO!$A$2:$A$3000,0))="","",INDEX(EXTRATO!$C$2:$C$3000,MATCH($A1201,EXTRATO!$A$2:$A$3000,0))))</f>
        <v>46315</v>
      </c>
      <c r="C1201" s="86">
        <f t="shared" si="24"/>
        <v>10</v>
      </c>
      <c r="D1201" s="81"/>
      <c r="E1201" s="79"/>
      <c r="F1201" s="80">
        <f>IF(A1201="","",SUMIF(EXTRATO!$A$2:$A$3000,$A1201,EXTRATO!$J$2:$J$3000)+SUMIF(EXTRATO!$A$2:$A$3000,$A1201,EXTRATO!$K$2:$K$3000)+SUMIF(EXTRATO!$A$2:$A$3000,$A1201,EXTRATO!$L$2:$L$3000)+SUMIF(EXTRATO!$A$2:$A$3000,$A1201,EXTRATO!$M$2:$M$3000))</f>
        <v>57.77</v>
      </c>
      <c r="G1201" s="81" t="str">
        <f>IF(A1201="","",IF(INDEX(EXTRATO!$G$2:$G$3000,MATCH($A1201,EXTRATO!$A$2:$A$3000,0))="","",INDEX(EXTRATO!$G$2:$G$3000,MATCH($A1201,EXTRATO!$A$2:$A$3000,0))))</f>
        <v>DARF - RETENÇÕES (PIS/COFINS/CSLL)</v>
      </c>
      <c r="H1201" s="86" t="str">
        <f>IF(A1201="","",IF(INDEX(EXTRATO!$F$2:$F$3000,MATCH($A1201,EXTRATO!$A$2:$A$3000,0))="","",INDEX(EXTRATO!$F$2:$F$3000,MATCH($A1201,EXTRATO!$A$2:$A$3000,0))))</f>
        <v>SAÍDA</v>
      </c>
      <c r="I1201" s="88" t="str">
        <f>IF(A1201="","",IF(INDEX(EXTRATO!$H$2:$H$3000,MATCH($A1201,EXTRATO!$A$2:$A$3000,0))="","",INDEX(EXTRATO!$H$2:$H$3000,MATCH($A1201,EXTRATO!$A$2:$A$3000,0))))</f>
        <v/>
      </c>
      <c r="J1201" s="86" t="str">
        <f t="shared" si="25"/>
        <v>PENDENTE</v>
      </c>
      <c r="K1201" s="86" t="str">
        <f>IF(AND(A1201="",D1201="",E1201="",F1201=""),"",IF(D1201="","SEM CATEGORIA",IF(E1201="","SEM SUBCATEGORIA",IF(COUNTIFS(CADASTROS!$L$7:$L$93,D1201,CADASTROS!$D$7:$D$93,E1201)=0,"INCOMPATÍVEL","OK"))))</f>
        <v>SEM CATEGORIA</v>
      </c>
    </row>
    <row r="1202" spans="1:11" ht="30" hidden="1" customHeight="1" x14ac:dyDescent="0.25">
      <c r="A1202" s="86" t="str">
        <f>IF(COUNTIF(EXTRATO!$A$2:$A$3000,"BAN-01059")=0,"","BAN-01059")</f>
        <v>BAN-01059</v>
      </c>
      <c r="B1202" s="85">
        <f>IF(A1202="","",IF(INDEX(EXTRATO!$C$2:$C$3000,MATCH($A1202,EXTRATO!$A$2:$A$3000,0))="","",INDEX(EXTRATO!$C$2:$C$3000,MATCH($A1202,EXTRATO!$A$2:$A$3000,0))))</f>
        <v>46315</v>
      </c>
      <c r="C1202" s="86">
        <f t="shared" si="24"/>
        <v>10</v>
      </c>
      <c r="D1202" s="81"/>
      <c r="E1202" s="79"/>
      <c r="F1202" s="80">
        <f>IF(A1202="","",SUMIF(EXTRATO!$A$2:$A$3000,$A1202,EXTRATO!$J$2:$J$3000)+SUMIF(EXTRATO!$A$2:$A$3000,$A1202,EXTRATO!$K$2:$K$3000)+SUMIF(EXTRATO!$A$2:$A$3000,$A1202,EXTRATO!$L$2:$L$3000)+SUMIF(EXTRATO!$A$2:$A$3000,$A1202,EXTRATO!$M$2:$M$3000))</f>
        <v>18.64</v>
      </c>
      <c r="G1202" s="81" t="str">
        <f>IF(A1202="","",IF(INDEX(EXTRATO!$G$2:$G$3000,MATCH($A1202,EXTRATO!$A$2:$A$3000,0))="","",INDEX(EXTRATO!$G$2:$G$3000,MATCH($A1202,EXTRATO!$A$2:$A$3000,0))))</f>
        <v>DARF - RETENÇÕES (IRRF)</v>
      </c>
      <c r="H1202" s="86" t="str">
        <f>IF(A1202="","",IF(INDEX(EXTRATO!$F$2:$F$3000,MATCH($A1202,EXTRATO!$A$2:$A$3000,0))="","",INDEX(EXTRATO!$F$2:$F$3000,MATCH($A1202,EXTRATO!$A$2:$A$3000,0))))</f>
        <v>SAÍDA</v>
      </c>
      <c r="I1202" s="88" t="str">
        <f>IF(A1202="","",IF(INDEX(EXTRATO!$H$2:$H$3000,MATCH($A1202,EXTRATO!$A$2:$A$3000,0))="","",INDEX(EXTRATO!$H$2:$H$3000,MATCH($A1202,EXTRATO!$A$2:$A$3000,0))))</f>
        <v/>
      </c>
      <c r="J1202" s="86" t="str">
        <f t="shared" si="25"/>
        <v>PENDENTE</v>
      </c>
      <c r="K1202" s="86" t="str">
        <f>IF(AND(A1202="",D1202="",E1202="",F1202=""),"",IF(D1202="","SEM CATEGORIA",IF(E1202="","SEM SUBCATEGORIA",IF(COUNTIFS(CADASTROS!$L$7:$L$93,D1202,CADASTROS!$D$7:$D$93,E1202)=0,"INCOMPATÍVEL","OK"))))</f>
        <v>SEM CATEGORIA</v>
      </c>
    </row>
    <row r="1203" spans="1:11" ht="30" hidden="1" customHeight="1" x14ac:dyDescent="0.25">
      <c r="A1203" s="86" t="str">
        <f>IF(COUNTIF(EXTRATO!$A$2:$A$3000,"BAN-01060")=0,"","BAN-01060")</f>
        <v>BAN-01060</v>
      </c>
      <c r="B1203" s="85">
        <f>IF(A1203="","",IF(INDEX(EXTRATO!$C$2:$C$3000,MATCH($A1203,EXTRATO!$A$2:$A$3000,0))="","",INDEX(EXTRATO!$C$2:$C$3000,MATCH($A1203,EXTRATO!$A$2:$A$3000,0))))</f>
        <v>46315</v>
      </c>
      <c r="C1203" s="86">
        <f t="shared" si="24"/>
        <v>10</v>
      </c>
      <c r="D1203" s="81"/>
      <c r="E1203" s="79"/>
      <c r="F1203" s="80">
        <f>IF(A1203="","",SUMIF(EXTRATO!$A$2:$A$3000,$A1203,EXTRATO!$J$2:$J$3000)+SUMIF(EXTRATO!$A$2:$A$3000,$A1203,EXTRATO!$K$2:$K$3000)+SUMIF(EXTRATO!$A$2:$A$3000,$A1203,EXTRATO!$L$2:$L$3000)+SUMIF(EXTRATO!$A$2:$A$3000,$A1203,EXTRATO!$M$2:$M$3000))</f>
        <v>300</v>
      </c>
      <c r="G1203" s="81" t="str">
        <f>IF(A1203="","",IF(INDEX(EXTRATO!$G$2:$G$3000,MATCH($A1203,EXTRATO!$A$2:$A$3000,0))="","",INDEX(EXTRATO!$G$2:$G$3000,MATCH($A1203,EXTRATO!$A$2:$A$3000,0))))</f>
        <v>CASSIANO E CASSIANO (REF. SISTEMA FINANCEIRO)</v>
      </c>
      <c r="H1203" s="86" t="str">
        <f>IF(A1203="","",IF(INDEX(EXTRATO!$F$2:$F$3000,MATCH($A1203,EXTRATO!$A$2:$A$3000,0))="","",INDEX(EXTRATO!$F$2:$F$3000,MATCH($A1203,EXTRATO!$A$2:$A$3000,0))))</f>
        <v>SAÍDA</v>
      </c>
      <c r="I1203" s="88" t="str">
        <f>IF(A1203="","",IF(INDEX(EXTRATO!$H$2:$H$3000,MATCH($A1203,EXTRATO!$A$2:$A$3000,0))="","",INDEX(EXTRATO!$H$2:$H$3000,MATCH($A1203,EXTRATO!$A$2:$A$3000,0))))</f>
        <v/>
      </c>
      <c r="J1203" s="86" t="str">
        <f t="shared" si="25"/>
        <v>PENDENTE</v>
      </c>
      <c r="K1203" s="86" t="str">
        <f>IF(AND(A1203="",D1203="",E1203="",F1203=""),"",IF(D1203="","SEM CATEGORIA",IF(E1203="","SEM SUBCATEGORIA",IF(COUNTIFS(CADASTROS!$L$7:$L$93,D1203,CADASTROS!$D$7:$D$93,E1203)=0,"INCOMPATÍVEL","OK"))))</f>
        <v>SEM CATEGORIA</v>
      </c>
    </row>
    <row r="1204" spans="1:11" ht="30" hidden="1" customHeight="1" x14ac:dyDescent="0.25">
      <c r="A1204" s="86" t="str">
        <f>IF(COUNTIF(EXTRATO!$A$2:$A$3000,"BAN-01061")=0,"","BAN-01061")</f>
        <v>BAN-01061</v>
      </c>
      <c r="B1204" s="85">
        <f>IF(A1204="","",IF(INDEX(EXTRATO!$C$2:$C$3000,MATCH($A1204,EXTRATO!$A$2:$A$3000,0))="","",INDEX(EXTRATO!$C$2:$C$3000,MATCH($A1204,EXTRATO!$A$2:$A$3000,0))))</f>
        <v>46315</v>
      </c>
      <c r="C1204" s="86">
        <f t="shared" si="24"/>
        <v>10</v>
      </c>
      <c r="D1204" s="81"/>
      <c r="E1204" s="79"/>
      <c r="F1204" s="80">
        <f>IF(A1204="","",SUMIF(EXTRATO!$A$2:$A$3000,$A1204,EXTRATO!$J$2:$J$3000)+SUMIF(EXTRATO!$A$2:$A$3000,$A1204,EXTRATO!$K$2:$K$3000)+SUMIF(EXTRATO!$A$2:$A$3000,$A1204,EXTRATO!$L$2:$L$3000)+SUMIF(EXTRATO!$A$2:$A$3000,$A1204,EXTRATO!$M$2:$M$3000))</f>
        <v>521.01</v>
      </c>
      <c r="G1204" s="81" t="str">
        <f>IF(A1204="","",IF(INDEX(EXTRATO!$G$2:$G$3000,MATCH($A1204,EXTRATO!$A$2:$A$3000,0))="","",INDEX(EXTRATO!$G$2:$G$3000,MATCH($A1204,EXTRATO!$A$2:$A$3000,0))))</f>
        <v>TOKIO MARINE SEGURADORA S.A. (REF. SEGURO DO CARRO DA CLINICA)</v>
      </c>
      <c r="H1204" s="86" t="str">
        <f>IF(A1204="","",IF(INDEX(EXTRATO!$F$2:$F$3000,MATCH($A1204,EXTRATO!$A$2:$A$3000,0))="","",INDEX(EXTRATO!$F$2:$F$3000,MATCH($A1204,EXTRATO!$A$2:$A$3000,0))))</f>
        <v>SAÍDA</v>
      </c>
      <c r="I1204" s="88" t="str">
        <f>IF(A1204="","",IF(INDEX(EXTRATO!$H$2:$H$3000,MATCH($A1204,EXTRATO!$A$2:$A$3000,0))="","",INDEX(EXTRATO!$H$2:$H$3000,MATCH($A1204,EXTRATO!$A$2:$A$3000,0))))</f>
        <v>TOKIO MARINE SEGURADORA S.A</v>
      </c>
      <c r="J1204" s="86" t="str">
        <f t="shared" si="25"/>
        <v>PENDENTE</v>
      </c>
      <c r="K1204" s="86" t="str">
        <f>IF(AND(A1204="",D1204="",E1204="",F1204=""),"",IF(D1204="","SEM CATEGORIA",IF(E1204="","SEM SUBCATEGORIA",IF(COUNTIFS(CADASTROS!$L$7:$L$93,D1204,CADASTROS!$D$7:$D$93,E1204)=0,"INCOMPATÍVEL","OK"))))</f>
        <v>SEM CATEGORIA</v>
      </c>
    </row>
    <row r="1205" spans="1:11" ht="30" hidden="1" customHeight="1" x14ac:dyDescent="0.25">
      <c r="A1205" s="86" t="str">
        <f>IF(COUNTIF(EXTRATO!$A$2:$A$3000,"BAN-01062")=0,"","BAN-01062")</f>
        <v>BAN-01062</v>
      </c>
      <c r="B1205" s="85" t="str">
        <f>IF(A1205="","",IF(INDEX(EXTRATO!$C$2:$C$3000,MATCH($A1205,EXTRATO!$A$2:$A$3000,0))="","",INDEX(EXTRATO!$C$2:$C$3000,MATCH($A1205,EXTRATO!$A$2:$A$3000,0))))</f>
        <v/>
      </c>
      <c r="C1205" s="86" t="str">
        <f t="shared" si="24"/>
        <v/>
      </c>
      <c r="D1205" s="81"/>
      <c r="E1205" s="79"/>
      <c r="F1205" s="80">
        <f>IF(A1205="","",SUMIF(EXTRATO!$A$2:$A$3000,$A1205,EXTRATO!$J$2:$J$3000)+SUMIF(EXTRATO!$A$2:$A$3000,$A1205,EXTRATO!$K$2:$K$3000)+SUMIF(EXTRATO!$A$2:$A$3000,$A1205,EXTRATO!$L$2:$L$3000)+SUMIF(EXTRATO!$A$2:$A$3000,$A1205,EXTRATO!$M$2:$M$3000))</f>
        <v>0</v>
      </c>
      <c r="G1205" s="81" t="str">
        <f>IF(A1205="","",IF(INDEX(EXTRATO!$G$2:$G$3000,MATCH($A1205,EXTRATO!$A$2:$A$3000,0))="","",INDEX(EXTRATO!$G$2:$G$3000,MATCH($A1205,EXTRATO!$A$2:$A$3000,0))))</f>
        <v/>
      </c>
      <c r="H1205" s="86" t="str">
        <f>IF(A1205="","",IF(INDEX(EXTRATO!$F$2:$F$3000,MATCH($A1205,EXTRATO!$A$2:$A$3000,0))="","",INDEX(EXTRATO!$F$2:$F$3000,MATCH($A1205,EXTRATO!$A$2:$A$3000,0))))</f>
        <v/>
      </c>
      <c r="I1205" s="88" t="str">
        <f>IF(A1205="","",IF(INDEX(EXTRATO!$H$2:$H$3000,MATCH($A1205,EXTRATO!$A$2:$A$3000,0))="","",INDEX(EXTRATO!$H$2:$H$3000,MATCH($A1205,EXTRATO!$A$2:$A$3000,0))))</f>
        <v/>
      </c>
      <c r="J1205" s="86" t="str">
        <f t="shared" si="25"/>
        <v>PENDENTE</v>
      </c>
      <c r="K1205" s="86" t="str">
        <f>IF(AND(A1205="",D1205="",E1205="",F1205=""),"",IF(D1205="","SEM CATEGORIA",IF(E1205="","SEM SUBCATEGORIA",IF(COUNTIFS(CADASTROS!$L$7:$L$93,D1205,CADASTROS!$D$7:$D$93,E1205)=0,"INCOMPATÍVEL","OK"))))</f>
        <v>SEM CATEGORIA</v>
      </c>
    </row>
    <row r="1206" spans="1:11" ht="30" hidden="1" customHeight="1" x14ac:dyDescent="0.25">
      <c r="A1206" s="86" t="str">
        <f>IF(COUNTIF(EXTRATO!$A$2:$A$3000,"BAN-01063")=0,"","BAN-01063")</f>
        <v>BAN-01063</v>
      </c>
      <c r="B1206" s="85" t="str">
        <f>IF(A1206="","",IF(INDEX(EXTRATO!$C$2:$C$3000,MATCH($A1206,EXTRATO!$A$2:$A$3000,0))="","",INDEX(EXTRATO!$C$2:$C$3000,MATCH($A1206,EXTRATO!$A$2:$A$3000,0))))</f>
        <v/>
      </c>
      <c r="C1206" s="86" t="str">
        <f t="shared" si="24"/>
        <v/>
      </c>
      <c r="D1206" s="81"/>
      <c r="E1206" s="79"/>
      <c r="F1206" s="80">
        <f>IF(A1206="","",SUMIF(EXTRATO!$A$2:$A$3000,$A1206,EXTRATO!$J$2:$J$3000)+SUMIF(EXTRATO!$A$2:$A$3000,$A1206,EXTRATO!$K$2:$K$3000)+SUMIF(EXTRATO!$A$2:$A$3000,$A1206,EXTRATO!$L$2:$L$3000)+SUMIF(EXTRATO!$A$2:$A$3000,$A1206,EXTRATO!$M$2:$M$3000))</f>
        <v>0</v>
      </c>
      <c r="G1206" s="81" t="str">
        <f>IF(A1206="","",IF(INDEX(EXTRATO!$G$2:$G$3000,MATCH($A1206,EXTRATO!$A$2:$A$3000,0))="","",INDEX(EXTRATO!$G$2:$G$3000,MATCH($A1206,EXTRATO!$A$2:$A$3000,0))))</f>
        <v/>
      </c>
      <c r="H1206" s="86" t="str">
        <f>IF(A1206="","",IF(INDEX(EXTRATO!$F$2:$F$3000,MATCH($A1206,EXTRATO!$A$2:$A$3000,0))="","",INDEX(EXTRATO!$F$2:$F$3000,MATCH($A1206,EXTRATO!$A$2:$A$3000,0))))</f>
        <v/>
      </c>
      <c r="I1206" s="88" t="str">
        <f>IF(A1206="","",IF(INDEX(EXTRATO!$H$2:$H$3000,MATCH($A1206,EXTRATO!$A$2:$A$3000,0))="","",INDEX(EXTRATO!$H$2:$H$3000,MATCH($A1206,EXTRATO!$A$2:$A$3000,0))))</f>
        <v/>
      </c>
      <c r="J1206" s="86" t="str">
        <f t="shared" si="25"/>
        <v>PENDENTE</v>
      </c>
      <c r="K1206" s="86" t="str">
        <f>IF(AND(A1206="",D1206="",E1206="",F1206=""),"",IF(D1206="","SEM CATEGORIA",IF(E1206="","SEM SUBCATEGORIA",IF(COUNTIFS(CADASTROS!$L$7:$L$93,D1206,CADASTROS!$D$7:$D$93,E1206)=0,"INCOMPATÍVEL","OK"))))</f>
        <v>SEM CATEGORIA</v>
      </c>
    </row>
    <row r="1207" spans="1:11" ht="30" hidden="1" customHeight="1" x14ac:dyDescent="0.25">
      <c r="A1207" s="86" t="str">
        <f>IF(COUNTIF(EXTRATO!$A$2:$A$3000,"BAN-01064")=0,"","BAN-01064")</f>
        <v>BAN-01064</v>
      </c>
      <c r="B1207" s="85" t="str">
        <f>IF(A1207="","",IF(INDEX(EXTRATO!$C$2:$C$3000,MATCH($A1207,EXTRATO!$A$2:$A$3000,0))="","",INDEX(EXTRATO!$C$2:$C$3000,MATCH($A1207,EXTRATO!$A$2:$A$3000,0))))</f>
        <v/>
      </c>
      <c r="C1207" s="86" t="str">
        <f t="shared" si="24"/>
        <v/>
      </c>
      <c r="D1207" s="81"/>
      <c r="E1207" s="79"/>
      <c r="F1207" s="80">
        <f>IF(A1207="","",SUMIF(EXTRATO!$A$2:$A$3000,$A1207,EXTRATO!$J$2:$J$3000)+SUMIF(EXTRATO!$A$2:$A$3000,$A1207,EXTRATO!$K$2:$K$3000)+SUMIF(EXTRATO!$A$2:$A$3000,$A1207,EXTRATO!$L$2:$L$3000)+SUMIF(EXTRATO!$A$2:$A$3000,$A1207,EXTRATO!$M$2:$M$3000))</f>
        <v>0</v>
      </c>
      <c r="G1207" s="81" t="str">
        <f>IF(A1207="","",IF(INDEX(EXTRATO!$G$2:$G$3000,MATCH($A1207,EXTRATO!$A$2:$A$3000,0))="","",INDEX(EXTRATO!$G$2:$G$3000,MATCH($A1207,EXTRATO!$A$2:$A$3000,0))))</f>
        <v/>
      </c>
      <c r="H1207" s="86" t="str">
        <f>IF(A1207="","",IF(INDEX(EXTRATO!$F$2:$F$3000,MATCH($A1207,EXTRATO!$A$2:$A$3000,0))="","",INDEX(EXTRATO!$F$2:$F$3000,MATCH($A1207,EXTRATO!$A$2:$A$3000,0))))</f>
        <v/>
      </c>
      <c r="I1207" s="88" t="str">
        <f>IF(A1207="","",IF(INDEX(EXTRATO!$H$2:$H$3000,MATCH($A1207,EXTRATO!$A$2:$A$3000,0))="","",INDEX(EXTRATO!$H$2:$H$3000,MATCH($A1207,EXTRATO!$A$2:$A$3000,0))))</f>
        <v/>
      </c>
      <c r="J1207" s="86" t="str">
        <f t="shared" si="25"/>
        <v>PENDENTE</v>
      </c>
      <c r="K1207" s="86" t="str">
        <f>IF(AND(A1207="",D1207="",E1207="",F1207=""),"",IF(D1207="","SEM CATEGORIA",IF(E1207="","SEM SUBCATEGORIA",IF(COUNTIFS(CADASTROS!$L$7:$L$93,D1207,CADASTROS!$D$7:$D$93,E1207)=0,"INCOMPATÍVEL","OK"))))</f>
        <v>SEM CATEGORIA</v>
      </c>
    </row>
    <row r="1208" spans="1:11" ht="30" hidden="1" customHeight="1" x14ac:dyDescent="0.25">
      <c r="A1208" s="86" t="str">
        <f>IF(COUNTIF(EXTRATO!$A$2:$A$3000,"BAN-01065")=0,"","BAN-01065")</f>
        <v>BAN-01065</v>
      </c>
      <c r="B1208" s="85" t="str">
        <f>IF(A1208="","",IF(INDEX(EXTRATO!$C$2:$C$3000,MATCH($A1208,EXTRATO!$A$2:$A$3000,0))="","",INDEX(EXTRATO!$C$2:$C$3000,MATCH($A1208,EXTRATO!$A$2:$A$3000,0))))</f>
        <v/>
      </c>
      <c r="C1208" s="86" t="str">
        <f t="shared" si="24"/>
        <v/>
      </c>
      <c r="D1208" s="81"/>
      <c r="E1208" s="79"/>
      <c r="F1208" s="80">
        <f>IF(A1208="","",SUMIF(EXTRATO!$A$2:$A$3000,$A1208,EXTRATO!$J$2:$J$3000)+SUMIF(EXTRATO!$A$2:$A$3000,$A1208,EXTRATO!$K$2:$K$3000)+SUMIF(EXTRATO!$A$2:$A$3000,$A1208,EXTRATO!$L$2:$L$3000)+SUMIF(EXTRATO!$A$2:$A$3000,$A1208,EXTRATO!$M$2:$M$3000))</f>
        <v>0</v>
      </c>
      <c r="G1208" s="81" t="str">
        <f>IF(A1208="","",IF(INDEX(EXTRATO!$G$2:$G$3000,MATCH($A1208,EXTRATO!$A$2:$A$3000,0))="","",INDEX(EXTRATO!$G$2:$G$3000,MATCH($A1208,EXTRATO!$A$2:$A$3000,0))))</f>
        <v/>
      </c>
      <c r="H1208" s="86" t="str">
        <f>IF(A1208="","",IF(INDEX(EXTRATO!$F$2:$F$3000,MATCH($A1208,EXTRATO!$A$2:$A$3000,0))="","",INDEX(EXTRATO!$F$2:$F$3000,MATCH($A1208,EXTRATO!$A$2:$A$3000,0))))</f>
        <v/>
      </c>
      <c r="I1208" s="88" t="str">
        <f>IF(A1208="","",IF(INDEX(EXTRATO!$H$2:$H$3000,MATCH($A1208,EXTRATO!$A$2:$A$3000,0))="","",INDEX(EXTRATO!$H$2:$H$3000,MATCH($A1208,EXTRATO!$A$2:$A$3000,0))))</f>
        <v/>
      </c>
      <c r="J1208" s="86" t="str">
        <f t="shared" si="25"/>
        <v>PENDENTE</v>
      </c>
      <c r="K1208" s="86" t="str">
        <f>IF(AND(A1208="",D1208="",E1208="",F1208=""),"",IF(D1208="","SEM CATEGORIA",IF(E1208="","SEM SUBCATEGORIA",IF(COUNTIFS(CADASTROS!$L$7:$L$93,D1208,CADASTROS!$D$7:$D$93,E1208)=0,"INCOMPATÍVEL","OK"))))</f>
        <v>SEM CATEGORIA</v>
      </c>
    </row>
    <row r="1209" spans="1:11" ht="30" hidden="1" customHeight="1" x14ac:dyDescent="0.25">
      <c r="A1209" s="86" t="str">
        <f>IF(COUNTIF(EXTRATO!$A$2:$A$3000,"BAN-01066")=0,"","BAN-01066")</f>
        <v>BAN-01066</v>
      </c>
      <c r="B1209" s="85" t="str">
        <f>IF(A1209="","",IF(INDEX(EXTRATO!$C$2:$C$3000,MATCH($A1209,EXTRATO!$A$2:$A$3000,0))="","",INDEX(EXTRATO!$C$2:$C$3000,MATCH($A1209,EXTRATO!$A$2:$A$3000,0))))</f>
        <v/>
      </c>
      <c r="C1209" s="86" t="str">
        <f t="shared" si="24"/>
        <v/>
      </c>
      <c r="D1209" s="81"/>
      <c r="E1209" s="79"/>
      <c r="F1209" s="80">
        <f>IF(A1209="","",SUMIF(EXTRATO!$A$2:$A$3000,$A1209,EXTRATO!$J$2:$J$3000)+SUMIF(EXTRATO!$A$2:$A$3000,$A1209,EXTRATO!$K$2:$K$3000)+SUMIF(EXTRATO!$A$2:$A$3000,$A1209,EXTRATO!$L$2:$L$3000)+SUMIF(EXTRATO!$A$2:$A$3000,$A1209,EXTRATO!$M$2:$M$3000))</f>
        <v>0</v>
      </c>
      <c r="G1209" s="81" t="str">
        <f>IF(A1209="","",IF(INDEX(EXTRATO!$G$2:$G$3000,MATCH($A1209,EXTRATO!$A$2:$A$3000,0))="","",INDEX(EXTRATO!$G$2:$G$3000,MATCH($A1209,EXTRATO!$A$2:$A$3000,0))))</f>
        <v/>
      </c>
      <c r="H1209" s="86" t="str">
        <f>IF(A1209="","",IF(INDEX(EXTRATO!$F$2:$F$3000,MATCH($A1209,EXTRATO!$A$2:$A$3000,0))="","",INDEX(EXTRATO!$F$2:$F$3000,MATCH($A1209,EXTRATO!$A$2:$A$3000,0))))</f>
        <v/>
      </c>
      <c r="I1209" s="88" t="str">
        <f>IF(A1209="","",IF(INDEX(EXTRATO!$H$2:$H$3000,MATCH($A1209,EXTRATO!$A$2:$A$3000,0))="","",INDEX(EXTRATO!$H$2:$H$3000,MATCH($A1209,EXTRATO!$A$2:$A$3000,0))))</f>
        <v/>
      </c>
      <c r="J1209" s="86" t="str">
        <f t="shared" si="25"/>
        <v>PENDENTE</v>
      </c>
      <c r="K1209" s="86" t="str">
        <f>IF(AND(A1209="",D1209="",E1209="",F1209=""),"",IF(D1209="","SEM CATEGORIA",IF(E1209="","SEM SUBCATEGORIA",IF(COUNTIFS(CADASTROS!$L$7:$L$93,D1209,CADASTROS!$D$7:$D$93,E1209)=0,"INCOMPATÍVEL","OK"))))</f>
        <v>SEM CATEGORIA</v>
      </c>
    </row>
    <row r="1210" spans="1:11" ht="30" hidden="1" customHeight="1" x14ac:dyDescent="0.25">
      <c r="A1210" s="86" t="str">
        <f>IF(COUNTIF(EXTRATO!$A$2:$A$3000,"BAN-01067")=0,"","BAN-01067")</f>
        <v>BAN-01067</v>
      </c>
      <c r="B1210" s="85" t="str">
        <f>IF(A1210="","",IF(INDEX(EXTRATO!$C$2:$C$3000,MATCH($A1210,EXTRATO!$A$2:$A$3000,0))="","",INDEX(EXTRATO!$C$2:$C$3000,MATCH($A1210,EXTRATO!$A$2:$A$3000,0))))</f>
        <v/>
      </c>
      <c r="C1210" s="86" t="str">
        <f t="shared" si="24"/>
        <v/>
      </c>
      <c r="D1210" s="81"/>
      <c r="E1210" s="79"/>
      <c r="F1210" s="80">
        <f>IF(A1210="","",SUMIF(EXTRATO!$A$2:$A$3000,$A1210,EXTRATO!$J$2:$J$3000)+SUMIF(EXTRATO!$A$2:$A$3000,$A1210,EXTRATO!$K$2:$K$3000)+SUMIF(EXTRATO!$A$2:$A$3000,$A1210,EXTRATO!$L$2:$L$3000)+SUMIF(EXTRATO!$A$2:$A$3000,$A1210,EXTRATO!$M$2:$M$3000))</f>
        <v>0</v>
      </c>
      <c r="G1210" s="81" t="str">
        <f>IF(A1210="","",IF(INDEX(EXTRATO!$G$2:$G$3000,MATCH($A1210,EXTRATO!$A$2:$A$3000,0))="","",INDEX(EXTRATO!$G$2:$G$3000,MATCH($A1210,EXTRATO!$A$2:$A$3000,0))))</f>
        <v/>
      </c>
      <c r="H1210" s="86" t="str">
        <f>IF(A1210="","",IF(INDEX(EXTRATO!$F$2:$F$3000,MATCH($A1210,EXTRATO!$A$2:$A$3000,0))="","",INDEX(EXTRATO!$F$2:$F$3000,MATCH($A1210,EXTRATO!$A$2:$A$3000,0))))</f>
        <v/>
      </c>
      <c r="I1210" s="88" t="str">
        <f>IF(A1210="","",IF(INDEX(EXTRATO!$H$2:$H$3000,MATCH($A1210,EXTRATO!$A$2:$A$3000,0))="","",INDEX(EXTRATO!$H$2:$H$3000,MATCH($A1210,EXTRATO!$A$2:$A$3000,0))))</f>
        <v/>
      </c>
      <c r="J1210" s="86" t="str">
        <f t="shared" si="25"/>
        <v>PENDENTE</v>
      </c>
      <c r="K1210" s="86" t="str">
        <f>IF(AND(A1210="",D1210="",E1210="",F1210=""),"",IF(D1210="","SEM CATEGORIA",IF(E1210="","SEM SUBCATEGORIA",IF(COUNTIFS(CADASTROS!$L$7:$L$93,D1210,CADASTROS!$D$7:$D$93,E1210)=0,"INCOMPATÍVEL","OK"))))</f>
        <v>SEM CATEGORIA</v>
      </c>
    </row>
    <row r="1211" spans="1:11" ht="30" hidden="1" customHeight="1" x14ac:dyDescent="0.25">
      <c r="A1211" s="86" t="str">
        <f>IF(COUNTIF(EXTRATO!$A$2:$A$3000,"BAN-01068")=0,"","BAN-01068")</f>
        <v>BAN-01068</v>
      </c>
      <c r="B1211" s="85" t="str">
        <f>IF(A1211="","",IF(INDEX(EXTRATO!$C$2:$C$3000,MATCH($A1211,EXTRATO!$A$2:$A$3000,0))="","",INDEX(EXTRATO!$C$2:$C$3000,MATCH($A1211,EXTRATO!$A$2:$A$3000,0))))</f>
        <v/>
      </c>
      <c r="C1211" s="86" t="str">
        <f t="shared" si="24"/>
        <v/>
      </c>
      <c r="D1211" s="81"/>
      <c r="E1211" s="79"/>
      <c r="F1211" s="80">
        <f>IF(A1211="","",SUMIF(EXTRATO!$A$2:$A$3000,$A1211,EXTRATO!$J$2:$J$3000)+SUMIF(EXTRATO!$A$2:$A$3000,$A1211,EXTRATO!$K$2:$K$3000)+SUMIF(EXTRATO!$A$2:$A$3000,$A1211,EXTRATO!$L$2:$L$3000)+SUMIF(EXTRATO!$A$2:$A$3000,$A1211,EXTRATO!$M$2:$M$3000))</f>
        <v>0</v>
      </c>
      <c r="G1211" s="81" t="str">
        <f>IF(A1211="","",IF(INDEX(EXTRATO!$G$2:$G$3000,MATCH($A1211,EXTRATO!$A$2:$A$3000,0))="","",INDEX(EXTRATO!$G$2:$G$3000,MATCH($A1211,EXTRATO!$A$2:$A$3000,0))))</f>
        <v/>
      </c>
      <c r="H1211" s="86" t="str">
        <f>IF(A1211="","",IF(INDEX(EXTRATO!$F$2:$F$3000,MATCH($A1211,EXTRATO!$A$2:$A$3000,0))="","",INDEX(EXTRATO!$F$2:$F$3000,MATCH($A1211,EXTRATO!$A$2:$A$3000,0))))</f>
        <v/>
      </c>
      <c r="I1211" s="88" t="str">
        <f>IF(A1211="","",IF(INDEX(EXTRATO!$H$2:$H$3000,MATCH($A1211,EXTRATO!$A$2:$A$3000,0))="","",INDEX(EXTRATO!$H$2:$H$3000,MATCH($A1211,EXTRATO!$A$2:$A$3000,0))))</f>
        <v/>
      </c>
      <c r="J1211" s="86" t="str">
        <f t="shared" si="25"/>
        <v>PENDENTE</v>
      </c>
      <c r="K1211" s="86" t="str">
        <f>IF(AND(A1211="",D1211="",E1211="",F1211=""),"",IF(D1211="","SEM CATEGORIA",IF(E1211="","SEM SUBCATEGORIA",IF(COUNTIFS(CADASTROS!$L$7:$L$93,D1211,CADASTROS!$D$7:$D$93,E1211)=0,"INCOMPATÍVEL","OK"))))</f>
        <v>SEM CATEGORIA</v>
      </c>
    </row>
    <row r="1212" spans="1:11" ht="30" hidden="1" customHeight="1" x14ac:dyDescent="0.25">
      <c r="A1212" s="86" t="str">
        <f>IF(COUNTIF(EXTRATO!$A$2:$A$3000,"BAN-01069")=0,"","BAN-01069")</f>
        <v>BAN-01069</v>
      </c>
      <c r="B1212" s="85" t="str">
        <f>IF(A1212="","",IF(INDEX(EXTRATO!$C$2:$C$3000,MATCH($A1212,EXTRATO!$A$2:$A$3000,0))="","",INDEX(EXTRATO!$C$2:$C$3000,MATCH($A1212,EXTRATO!$A$2:$A$3000,0))))</f>
        <v/>
      </c>
      <c r="C1212" s="86" t="str">
        <f t="shared" si="24"/>
        <v/>
      </c>
      <c r="D1212" s="81"/>
      <c r="E1212" s="79"/>
      <c r="F1212" s="80">
        <f>IF(A1212="","",SUMIF(EXTRATO!$A$2:$A$3000,$A1212,EXTRATO!$J$2:$J$3000)+SUMIF(EXTRATO!$A$2:$A$3000,$A1212,EXTRATO!$K$2:$K$3000)+SUMIF(EXTRATO!$A$2:$A$3000,$A1212,EXTRATO!$L$2:$L$3000)+SUMIF(EXTRATO!$A$2:$A$3000,$A1212,EXTRATO!$M$2:$M$3000))</f>
        <v>0</v>
      </c>
      <c r="G1212" s="81" t="str">
        <f>IF(A1212="","",IF(INDEX(EXTRATO!$G$2:$G$3000,MATCH($A1212,EXTRATO!$A$2:$A$3000,0))="","",INDEX(EXTRATO!$G$2:$G$3000,MATCH($A1212,EXTRATO!$A$2:$A$3000,0))))</f>
        <v/>
      </c>
      <c r="H1212" s="86" t="str">
        <f>IF(A1212="","",IF(INDEX(EXTRATO!$F$2:$F$3000,MATCH($A1212,EXTRATO!$A$2:$A$3000,0))="","",INDEX(EXTRATO!$F$2:$F$3000,MATCH($A1212,EXTRATO!$A$2:$A$3000,0))))</f>
        <v/>
      </c>
      <c r="I1212" s="88" t="str">
        <f>IF(A1212="","",IF(INDEX(EXTRATO!$H$2:$H$3000,MATCH($A1212,EXTRATO!$A$2:$A$3000,0))="","",INDEX(EXTRATO!$H$2:$H$3000,MATCH($A1212,EXTRATO!$A$2:$A$3000,0))))</f>
        <v/>
      </c>
      <c r="J1212" s="86" t="str">
        <f t="shared" si="25"/>
        <v>PENDENTE</v>
      </c>
      <c r="K1212" s="86" t="str">
        <f>IF(AND(A1212="",D1212="",E1212="",F1212=""),"",IF(D1212="","SEM CATEGORIA",IF(E1212="","SEM SUBCATEGORIA",IF(COUNTIFS(CADASTROS!$L$7:$L$93,D1212,CADASTROS!$D$7:$D$93,E1212)=0,"INCOMPATÍVEL","OK"))))</f>
        <v>SEM CATEGORIA</v>
      </c>
    </row>
    <row r="1213" spans="1:11" ht="30" hidden="1" customHeight="1" x14ac:dyDescent="0.25">
      <c r="A1213" s="86" t="str">
        <f>IF(COUNTIF(EXTRATO!$A$2:$A$3000,"BAN-01070")=0,"","BAN-01070")</f>
        <v>BAN-01070</v>
      </c>
      <c r="B1213" s="85" t="str">
        <f>IF(A1213="","",IF(INDEX(EXTRATO!$C$2:$C$3000,MATCH($A1213,EXTRATO!$A$2:$A$3000,0))="","",INDEX(EXTRATO!$C$2:$C$3000,MATCH($A1213,EXTRATO!$A$2:$A$3000,0))))</f>
        <v/>
      </c>
      <c r="C1213" s="86" t="str">
        <f t="shared" si="24"/>
        <v/>
      </c>
      <c r="D1213" s="81"/>
      <c r="E1213" s="79"/>
      <c r="F1213" s="80">
        <f>IF(A1213="","",SUMIF(EXTRATO!$A$2:$A$3000,$A1213,EXTRATO!$J$2:$J$3000)+SUMIF(EXTRATO!$A$2:$A$3000,$A1213,EXTRATO!$K$2:$K$3000)+SUMIF(EXTRATO!$A$2:$A$3000,$A1213,EXTRATO!$L$2:$L$3000)+SUMIF(EXTRATO!$A$2:$A$3000,$A1213,EXTRATO!$M$2:$M$3000))</f>
        <v>0</v>
      </c>
      <c r="G1213" s="81" t="str">
        <f>IF(A1213="","",IF(INDEX(EXTRATO!$G$2:$G$3000,MATCH($A1213,EXTRATO!$A$2:$A$3000,0))="","",INDEX(EXTRATO!$G$2:$G$3000,MATCH($A1213,EXTRATO!$A$2:$A$3000,0))))</f>
        <v/>
      </c>
      <c r="H1213" s="86" t="str">
        <f>IF(A1213="","",IF(INDEX(EXTRATO!$F$2:$F$3000,MATCH($A1213,EXTRATO!$A$2:$A$3000,0))="","",INDEX(EXTRATO!$F$2:$F$3000,MATCH($A1213,EXTRATO!$A$2:$A$3000,0))))</f>
        <v/>
      </c>
      <c r="I1213" s="88" t="str">
        <f>IF(A1213="","",IF(INDEX(EXTRATO!$H$2:$H$3000,MATCH($A1213,EXTRATO!$A$2:$A$3000,0))="","",INDEX(EXTRATO!$H$2:$H$3000,MATCH($A1213,EXTRATO!$A$2:$A$3000,0))))</f>
        <v/>
      </c>
      <c r="J1213" s="86" t="str">
        <f t="shared" si="25"/>
        <v>PENDENTE</v>
      </c>
      <c r="K1213" s="86" t="str">
        <f>IF(AND(A1213="",D1213="",E1213="",F1213=""),"",IF(D1213="","SEM CATEGORIA",IF(E1213="","SEM SUBCATEGORIA",IF(COUNTIFS(CADASTROS!$L$7:$L$93,D1213,CADASTROS!$D$7:$D$93,E1213)=0,"INCOMPATÍVEL","OK"))))</f>
        <v>SEM CATEGORIA</v>
      </c>
    </row>
    <row r="1214" spans="1:11" ht="30" hidden="1" customHeight="1" x14ac:dyDescent="0.25">
      <c r="A1214" s="86" t="str">
        <f>IF(COUNTIF(EXTRATO!$A$2:$A$3000,"BAN-01071")=0,"","BAN-01071")</f>
        <v>BAN-01071</v>
      </c>
      <c r="B1214" s="85" t="str">
        <f>IF(A1214="","",IF(INDEX(EXTRATO!$C$2:$C$3000,MATCH($A1214,EXTRATO!$A$2:$A$3000,0))="","",INDEX(EXTRATO!$C$2:$C$3000,MATCH($A1214,EXTRATO!$A$2:$A$3000,0))))</f>
        <v/>
      </c>
      <c r="C1214" s="86" t="str">
        <f t="shared" si="24"/>
        <v/>
      </c>
      <c r="D1214" s="81"/>
      <c r="E1214" s="79"/>
      <c r="F1214" s="80">
        <f>IF(A1214="","",SUMIF(EXTRATO!$A$2:$A$3000,$A1214,EXTRATO!$J$2:$J$3000)+SUMIF(EXTRATO!$A$2:$A$3000,$A1214,EXTRATO!$K$2:$K$3000)+SUMIF(EXTRATO!$A$2:$A$3000,$A1214,EXTRATO!$L$2:$L$3000)+SUMIF(EXTRATO!$A$2:$A$3000,$A1214,EXTRATO!$M$2:$M$3000))</f>
        <v>0</v>
      </c>
      <c r="G1214" s="81" t="str">
        <f>IF(A1214="","",IF(INDEX(EXTRATO!$G$2:$G$3000,MATCH($A1214,EXTRATO!$A$2:$A$3000,0))="","",INDEX(EXTRATO!$G$2:$G$3000,MATCH($A1214,EXTRATO!$A$2:$A$3000,0))))</f>
        <v/>
      </c>
      <c r="H1214" s="86" t="str">
        <f>IF(A1214="","",IF(INDEX(EXTRATO!$F$2:$F$3000,MATCH($A1214,EXTRATO!$A$2:$A$3000,0))="","",INDEX(EXTRATO!$F$2:$F$3000,MATCH($A1214,EXTRATO!$A$2:$A$3000,0))))</f>
        <v/>
      </c>
      <c r="I1214" s="88" t="str">
        <f>IF(A1214="","",IF(INDEX(EXTRATO!$H$2:$H$3000,MATCH($A1214,EXTRATO!$A$2:$A$3000,0))="","",INDEX(EXTRATO!$H$2:$H$3000,MATCH($A1214,EXTRATO!$A$2:$A$3000,0))))</f>
        <v/>
      </c>
      <c r="J1214" s="86" t="str">
        <f t="shared" si="25"/>
        <v>PENDENTE</v>
      </c>
      <c r="K1214" s="86" t="str">
        <f>IF(AND(A1214="",D1214="",E1214="",F1214=""),"",IF(D1214="","SEM CATEGORIA",IF(E1214="","SEM SUBCATEGORIA",IF(COUNTIFS(CADASTROS!$L$7:$L$93,D1214,CADASTROS!$D$7:$D$93,E1214)=0,"INCOMPATÍVEL","OK"))))</f>
        <v>SEM CATEGORIA</v>
      </c>
    </row>
    <row r="1215" spans="1:11" ht="30" hidden="1" customHeight="1" x14ac:dyDescent="0.25">
      <c r="A1215" s="86" t="str">
        <f>IF(COUNTIF(EXTRATO!$A$2:$A$3000,"BAN-01072")=0,"","BAN-01072")</f>
        <v>BAN-01072</v>
      </c>
      <c r="B1215" s="85" t="str">
        <f>IF(A1215="","",IF(INDEX(EXTRATO!$C$2:$C$3000,MATCH($A1215,EXTRATO!$A$2:$A$3000,0))="","",INDEX(EXTRATO!$C$2:$C$3000,MATCH($A1215,EXTRATO!$A$2:$A$3000,0))))</f>
        <v/>
      </c>
      <c r="C1215" s="86" t="str">
        <f t="shared" si="24"/>
        <v/>
      </c>
      <c r="D1215" s="81"/>
      <c r="E1215" s="79"/>
      <c r="F1215" s="80">
        <f>IF(A1215="","",SUMIF(EXTRATO!$A$2:$A$3000,$A1215,EXTRATO!$J$2:$J$3000)+SUMIF(EXTRATO!$A$2:$A$3000,$A1215,EXTRATO!$K$2:$K$3000)+SUMIF(EXTRATO!$A$2:$A$3000,$A1215,EXTRATO!$L$2:$L$3000)+SUMIF(EXTRATO!$A$2:$A$3000,$A1215,EXTRATO!$M$2:$M$3000))</f>
        <v>0</v>
      </c>
      <c r="G1215" s="81" t="str">
        <f>IF(A1215="","",IF(INDEX(EXTRATO!$G$2:$G$3000,MATCH($A1215,EXTRATO!$A$2:$A$3000,0))="","",INDEX(EXTRATO!$G$2:$G$3000,MATCH($A1215,EXTRATO!$A$2:$A$3000,0))))</f>
        <v/>
      </c>
      <c r="H1215" s="86" t="str">
        <f>IF(A1215="","",IF(INDEX(EXTRATO!$F$2:$F$3000,MATCH($A1215,EXTRATO!$A$2:$A$3000,0))="","",INDEX(EXTRATO!$F$2:$F$3000,MATCH($A1215,EXTRATO!$A$2:$A$3000,0))))</f>
        <v/>
      </c>
      <c r="I1215" s="88" t="str">
        <f>IF(A1215="","",IF(INDEX(EXTRATO!$H$2:$H$3000,MATCH($A1215,EXTRATO!$A$2:$A$3000,0))="","",INDEX(EXTRATO!$H$2:$H$3000,MATCH($A1215,EXTRATO!$A$2:$A$3000,0))))</f>
        <v/>
      </c>
      <c r="J1215" s="86" t="str">
        <f t="shared" si="25"/>
        <v>PENDENTE</v>
      </c>
      <c r="K1215" s="86" t="str">
        <f>IF(AND(A1215="",D1215="",E1215="",F1215=""),"",IF(D1215="","SEM CATEGORIA",IF(E1215="","SEM SUBCATEGORIA",IF(COUNTIFS(CADASTROS!$L$7:$L$93,D1215,CADASTROS!$D$7:$D$93,E1215)=0,"INCOMPATÍVEL","OK"))))</f>
        <v>SEM CATEGORIA</v>
      </c>
    </row>
    <row r="1216" spans="1:11" ht="30" hidden="1" customHeight="1" x14ac:dyDescent="0.25">
      <c r="A1216" s="86" t="str">
        <f>IF(COUNTIF(EXTRATO!$A$2:$A$3000,"BAN-01073")=0,"","BAN-01073")</f>
        <v>BAN-01073</v>
      </c>
      <c r="B1216" s="85" t="str">
        <f>IF(A1216="","",IF(INDEX(EXTRATO!$C$2:$C$3000,MATCH($A1216,EXTRATO!$A$2:$A$3000,0))="","",INDEX(EXTRATO!$C$2:$C$3000,MATCH($A1216,EXTRATO!$A$2:$A$3000,0))))</f>
        <v/>
      </c>
      <c r="C1216" s="86" t="str">
        <f t="shared" si="24"/>
        <v/>
      </c>
      <c r="D1216" s="81"/>
      <c r="E1216" s="79"/>
      <c r="F1216" s="80">
        <f>IF(A1216="","",SUMIF(EXTRATO!$A$2:$A$3000,$A1216,EXTRATO!$J$2:$J$3000)+SUMIF(EXTRATO!$A$2:$A$3000,$A1216,EXTRATO!$K$2:$K$3000)+SUMIF(EXTRATO!$A$2:$A$3000,$A1216,EXTRATO!$L$2:$L$3000)+SUMIF(EXTRATO!$A$2:$A$3000,$A1216,EXTRATO!$M$2:$M$3000))</f>
        <v>0</v>
      </c>
      <c r="G1216" s="81" t="str">
        <f>IF(A1216="","",IF(INDEX(EXTRATO!$G$2:$G$3000,MATCH($A1216,EXTRATO!$A$2:$A$3000,0))="","",INDEX(EXTRATO!$G$2:$G$3000,MATCH($A1216,EXTRATO!$A$2:$A$3000,0))))</f>
        <v/>
      </c>
      <c r="H1216" s="86" t="str">
        <f>IF(A1216="","",IF(INDEX(EXTRATO!$F$2:$F$3000,MATCH($A1216,EXTRATO!$A$2:$A$3000,0))="","",INDEX(EXTRATO!$F$2:$F$3000,MATCH($A1216,EXTRATO!$A$2:$A$3000,0))))</f>
        <v/>
      </c>
      <c r="I1216" s="88" t="str">
        <f>IF(A1216="","",IF(INDEX(EXTRATO!$H$2:$H$3000,MATCH($A1216,EXTRATO!$A$2:$A$3000,0))="","",INDEX(EXTRATO!$H$2:$H$3000,MATCH($A1216,EXTRATO!$A$2:$A$3000,0))))</f>
        <v/>
      </c>
      <c r="J1216" s="86" t="str">
        <f t="shared" si="25"/>
        <v>PENDENTE</v>
      </c>
      <c r="K1216" s="86" t="str">
        <f>IF(AND(A1216="",D1216="",E1216="",F1216=""),"",IF(D1216="","SEM CATEGORIA",IF(E1216="","SEM SUBCATEGORIA",IF(COUNTIFS(CADASTROS!$L$7:$L$93,D1216,CADASTROS!$D$7:$D$93,E1216)=0,"INCOMPATÍVEL","OK"))))</f>
        <v>SEM CATEGORIA</v>
      </c>
    </row>
    <row r="1217" spans="1:11" ht="30" hidden="1" customHeight="1" x14ac:dyDescent="0.25">
      <c r="A1217" s="86" t="str">
        <f>IF(COUNTIF(EXTRATO!$A$2:$A$3000,"BAN-01074")=0,"","BAN-01074")</f>
        <v>BAN-01074</v>
      </c>
      <c r="B1217" s="85" t="str">
        <f>IF(A1217="","",IF(INDEX(EXTRATO!$C$2:$C$3000,MATCH($A1217,EXTRATO!$A$2:$A$3000,0))="","",INDEX(EXTRATO!$C$2:$C$3000,MATCH($A1217,EXTRATO!$A$2:$A$3000,0))))</f>
        <v/>
      </c>
      <c r="C1217" s="86" t="str">
        <f t="shared" si="24"/>
        <v/>
      </c>
      <c r="D1217" s="81"/>
      <c r="E1217" s="79"/>
      <c r="F1217" s="80">
        <f>IF(A1217="","",SUMIF(EXTRATO!$A$2:$A$3000,$A1217,EXTRATO!$J$2:$J$3000)+SUMIF(EXTRATO!$A$2:$A$3000,$A1217,EXTRATO!$K$2:$K$3000)+SUMIF(EXTRATO!$A$2:$A$3000,$A1217,EXTRATO!$L$2:$L$3000)+SUMIF(EXTRATO!$A$2:$A$3000,$A1217,EXTRATO!$M$2:$M$3000))</f>
        <v>0</v>
      </c>
      <c r="G1217" s="81" t="str">
        <f>IF(A1217="","",IF(INDEX(EXTRATO!$G$2:$G$3000,MATCH($A1217,EXTRATO!$A$2:$A$3000,0))="","",INDEX(EXTRATO!$G$2:$G$3000,MATCH($A1217,EXTRATO!$A$2:$A$3000,0))))</f>
        <v/>
      </c>
      <c r="H1217" s="86" t="str">
        <f>IF(A1217="","",IF(INDEX(EXTRATO!$F$2:$F$3000,MATCH($A1217,EXTRATO!$A$2:$A$3000,0))="","",INDEX(EXTRATO!$F$2:$F$3000,MATCH($A1217,EXTRATO!$A$2:$A$3000,0))))</f>
        <v/>
      </c>
      <c r="I1217" s="88" t="str">
        <f>IF(A1217="","",IF(INDEX(EXTRATO!$H$2:$H$3000,MATCH($A1217,EXTRATO!$A$2:$A$3000,0))="","",INDEX(EXTRATO!$H$2:$H$3000,MATCH($A1217,EXTRATO!$A$2:$A$3000,0))))</f>
        <v/>
      </c>
      <c r="J1217" s="86" t="str">
        <f t="shared" si="25"/>
        <v>PENDENTE</v>
      </c>
      <c r="K1217" s="86" t="str">
        <f>IF(AND(A1217="",D1217="",E1217="",F1217=""),"",IF(D1217="","SEM CATEGORIA",IF(E1217="","SEM SUBCATEGORIA",IF(COUNTIFS(CADASTROS!$L$7:$L$93,D1217,CADASTROS!$D$7:$D$93,E1217)=0,"INCOMPATÍVEL","OK"))))</f>
        <v>SEM CATEGORIA</v>
      </c>
    </row>
    <row r="1218" spans="1:11" ht="30" hidden="1" customHeight="1" x14ac:dyDescent="0.25">
      <c r="A1218" s="86" t="str">
        <f>IF(COUNTIF(EXTRATO!$A$2:$A$3000,"BAN-01075")=0,"","BAN-01075")</f>
        <v>BAN-01075</v>
      </c>
      <c r="B1218" s="85" t="str">
        <f>IF(A1218="","",IF(INDEX(EXTRATO!$C$2:$C$3000,MATCH($A1218,EXTRATO!$A$2:$A$3000,0))="","",INDEX(EXTRATO!$C$2:$C$3000,MATCH($A1218,EXTRATO!$A$2:$A$3000,0))))</f>
        <v/>
      </c>
      <c r="C1218" s="86" t="str">
        <f t="shared" si="24"/>
        <v/>
      </c>
      <c r="D1218" s="81"/>
      <c r="E1218" s="79"/>
      <c r="F1218" s="80">
        <f>IF(A1218="","",SUMIF(EXTRATO!$A$2:$A$3000,$A1218,EXTRATO!$J$2:$J$3000)+SUMIF(EXTRATO!$A$2:$A$3000,$A1218,EXTRATO!$K$2:$K$3000)+SUMIF(EXTRATO!$A$2:$A$3000,$A1218,EXTRATO!$L$2:$L$3000)+SUMIF(EXTRATO!$A$2:$A$3000,$A1218,EXTRATO!$M$2:$M$3000))</f>
        <v>0</v>
      </c>
      <c r="G1218" s="81" t="str">
        <f>IF(A1218="","",IF(INDEX(EXTRATO!$G$2:$G$3000,MATCH($A1218,EXTRATO!$A$2:$A$3000,0))="","",INDEX(EXTRATO!$G$2:$G$3000,MATCH($A1218,EXTRATO!$A$2:$A$3000,0))))</f>
        <v/>
      </c>
      <c r="H1218" s="86" t="str">
        <f>IF(A1218="","",IF(INDEX(EXTRATO!$F$2:$F$3000,MATCH($A1218,EXTRATO!$A$2:$A$3000,0))="","",INDEX(EXTRATO!$F$2:$F$3000,MATCH($A1218,EXTRATO!$A$2:$A$3000,0))))</f>
        <v/>
      </c>
      <c r="I1218" s="88" t="str">
        <f>IF(A1218="","",IF(INDEX(EXTRATO!$H$2:$H$3000,MATCH($A1218,EXTRATO!$A$2:$A$3000,0))="","",INDEX(EXTRATO!$H$2:$H$3000,MATCH($A1218,EXTRATO!$A$2:$A$3000,0))))</f>
        <v/>
      </c>
      <c r="J1218" s="86" t="str">
        <f t="shared" si="25"/>
        <v>PENDENTE</v>
      </c>
      <c r="K1218" s="86" t="str">
        <f>IF(AND(A1218="",D1218="",E1218="",F1218=""),"",IF(D1218="","SEM CATEGORIA",IF(E1218="","SEM SUBCATEGORIA",IF(COUNTIFS(CADASTROS!$L$7:$L$93,D1218,CADASTROS!$D$7:$D$93,E1218)=0,"INCOMPATÍVEL","OK"))))</f>
        <v>SEM CATEGORIA</v>
      </c>
    </row>
    <row r="1219" spans="1:11" ht="30" hidden="1" customHeight="1" x14ac:dyDescent="0.25">
      <c r="A1219" s="86" t="str">
        <f>IF(COUNTIF(EXTRATO!$A$2:$A$3000,"BAN-01076")=0,"","BAN-01076")</f>
        <v>BAN-01076</v>
      </c>
      <c r="B1219" s="85" t="str">
        <f>IF(A1219="","",IF(INDEX(EXTRATO!$C$2:$C$3000,MATCH($A1219,EXTRATO!$A$2:$A$3000,0))="","",INDEX(EXTRATO!$C$2:$C$3000,MATCH($A1219,EXTRATO!$A$2:$A$3000,0))))</f>
        <v/>
      </c>
      <c r="C1219" s="86" t="str">
        <f t="shared" si="24"/>
        <v/>
      </c>
      <c r="D1219" s="81"/>
      <c r="E1219" s="79"/>
      <c r="F1219" s="80">
        <f>IF(A1219="","",SUMIF(EXTRATO!$A$2:$A$3000,$A1219,EXTRATO!$J$2:$J$3000)+SUMIF(EXTRATO!$A$2:$A$3000,$A1219,EXTRATO!$K$2:$K$3000)+SUMIF(EXTRATO!$A$2:$A$3000,$A1219,EXTRATO!$L$2:$L$3000)+SUMIF(EXTRATO!$A$2:$A$3000,$A1219,EXTRATO!$M$2:$M$3000))</f>
        <v>0</v>
      </c>
      <c r="G1219" s="81" t="str">
        <f>IF(A1219="","",IF(INDEX(EXTRATO!$G$2:$G$3000,MATCH($A1219,EXTRATO!$A$2:$A$3000,0))="","",INDEX(EXTRATO!$G$2:$G$3000,MATCH($A1219,EXTRATO!$A$2:$A$3000,0))))</f>
        <v/>
      </c>
      <c r="H1219" s="86" t="str">
        <f>IF(A1219="","",IF(INDEX(EXTRATO!$F$2:$F$3000,MATCH($A1219,EXTRATO!$A$2:$A$3000,0))="","",INDEX(EXTRATO!$F$2:$F$3000,MATCH($A1219,EXTRATO!$A$2:$A$3000,0))))</f>
        <v/>
      </c>
      <c r="I1219" s="88" t="str">
        <f>IF(A1219="","",IF(INDEX(EXTRATO!$H$2:$H$3000,MATCH($A1219,EXTRATO!$A$2:$A$3000,0))="","",INDEX(EXTRATO!$H$2:$H$3000,MATCH($A1219,EXTRATO!$A$2:$A$3000,0))))</f>
        <v/>
      </c>
      <c r="J1219" s="86" t="str">
        <f t="shared" si="25"/>
        <v>PENDENTE</v>
      </c>
      <c r="K1219" s="86" t="str">
        <f>IF(AND(A1219="",D1219="",E1219="",F1219=""),"",IF(D1219="","SEM CATEGORIA",IF(E1219="","SEM SUBCATEGORIA",IF(COUNTIFS(CADASTROS!$L$7:$L$93,D1219,CADASTROS!$D$7:$D$93,E1219)=0,"INCOMPATÍVEL","OK"))))</f>
        <v>SEM CATEGORIA</v>
      </c>
    </row>
    <row r="1220" spans="1:11" ht="30" hidden="1" customHeight="1" x14ac:dyDescent="0.25">
      <c r="A1220" s="86" t="str">
        <f>IF(COUNTIF(EXTRATO!$A$2:$A$3000,"BAN-01077")=0,"","BAN-01077")</f>
        <v>BAN-01077</v>
      </c>
      <c r="B1220" s="85" t="str">
        <f>IF(A1220="","",IF(INDEX(EXTRATO!$C$2:$C$3000,MATCH($A1220,EXTRATO!$A$2:$A$3000,0))="","",INDEX(EXTRATO!$C$2:$C$3000,MATCH($A1220,EXTRATO!$A$2:$A$3000,0))))</f>
        <v/>
      </c>
      <c r="C1220" s="86" t="str">
        <f t="shared" si="24"/>
        <v/>
      </c>
      <c r="D1220" s="81"/>
      <c r="E1220" s="79"/>
      <c r="F1220" s="80">
        <f>IF(A1220="","",SUMIF(EXTRATO!$A$2:$A$3000,$A1220,EXTRATO!$J$2:$J$3000)+SUMIF(EXTRATO!$A$2:$A$3000,$A1220,EXTRATO!$K$2:$K$3000)+SUMIF(EXTRATO!$A$2:$A$3000,$A1220,EXTRATO!$L$2:$L$3000)+SUMIF(EXTRATO!$A$2:$A$3000,$A1220,EXTRATO!$M$2:$M$3000))</f>
        <v>0</v>
      </c>
      <c r="G1220" s="81" t="str">
        <f>IF(A1220="","",IF(INDEX(EXTRATO!$G$2:$G$3000,MATCH($A1220,EXTRATO!$A$2:$A$3000,0))="","",INDEX(EXTRATO!$G$2:$G$3000,MATCH($A1220,EXTRATO!$A$2:$A$3000,0))))</f>
        <v/>
      </c>
      <c r="H1220" s="86" t="str">
        <f>IF(A1220="","",IF(INDEX(EXTRATO!$F$2:$F$3000,MATCH($A1220,EXTRATO!$A$2:$A$3000,0))="","",INDEX(EXTRATO!$F$2:$F$3000,MATCH($A1220,EXTRATO!$A$2:$A$3000,0))))</f>
        <v/>
      </c>
      <c r="I1220" s="88" t="str">
        <f>IF(A1220="","",IF(INDEX(EXTRATO!$H$2:$H$3000,MATCH($A1220,EXTRATO!$A$2:$A$3000,0))="","",INDEX(EXTRATO!$H$2:$H$3000,MATCH($A1220,EXTRATO!$A$2:$A$3000,0))))</f>
        <v/>
      </c>
      <c r="J1220" s="86" t="str">
        <f t="shared" si="25"/>
        <v>PENDENTE</v>
      </c>
      <c r="K1220" s="86" t="str">
        <f>IF(AND(A1220="",D1220="",E1220="",F1220=""),"",IF(D1220="","SEM CATEGORIA",IF(E1220="","SEM SUBCATEGORIA",IF(COUNTIFS(CADASTROS!$L$7:$L$93,D1220,CADASTROS!$D$7:$D$93,E1220)=0,"INCOMPATÍVEL","OK"))))</f>
        <v>SEM CATEGORIA</v>
      </c>
    </row>
    <row r="1221" spans="1:11" ht="30" hidden="1" customHeight="1" x14ac:dyDescent="0.25">
      <c r="A1221" s="86" t="str">
        <f>IF(COUNTIF(EXTRATO!$A$2:$A$3000,"BAN-01078")=0,"","BAN-01078")</f>
        <v>BAN-01078</v>
      </c>
      <c r="B1221" s="85" t="str">
        <f>IF(A1221="","",IF(INDEX(EXTRATO!$C$2:$C$3000,MATCH($A1221,EXTRATO!$A$2:$A$3000,0))="","",INDEX(EXTRATO!$C$2:$C$3000,MATCH($A1221,EXTRATO!$A$2:$A$3000,0))))</f>
        <v/>
      </c>
      <c r="C1221" s="86" t="str">
        <f t="shared" si="24"/>
        <v/>
      </c>
      <c r="D1221" s="81"/>
      <c r="E1221" s="79"/>
      <c r="F1221" s="80">
        <f>IF(A1221="","",SUMIF(EXTRATO!$A$2:$A$3000,$A1221,EXTRATO!$J$2:$J$3000)+SUMIF(EXTRATO!$A$2:$A$3000,$A1221,EXTRATO!$K$2:$K$3000)+SUMIF(EXTRATO!$A$2:$A$3000,$A1221,EXTRATO!$L$2:$L$3000)+SUMIF(EXTRATO!$A$2:$A$3000,$A1221,EXTRATO!$M$2:$M$3000))</f>
        <v>0</v>
      </c>
      <c r="G1221" s="81" t="str">
        <f>IF(A1221="","",IF(INDEX(EXTRATO!$G$2:$G$3000,MATCH($A1221,EXTRATO!$A$2:$A$3000,0))="","",INDEX(EXTRATO!$G$2:$G$3000,MATCH($A1221,EXTRATO!$A$2:$A$3000,0))))</f>
        <v/>
      </c>
      <c r="H1221" s="86" t="str">
        <f>IF(A1221="","",IF(INDEX(EXTRATO!$F$2:$F$3000,MATCH($A1221,EXTRATO!$A$2:$A$3000,0))="","",INDEX(EXTRATO!$F$2:$F$3000,MATCH($A1221,EXTRATO!$A$2:$A$3000,0))))</f>
        <v/>
      </c>
      <c r="I1221" s="88" t="str">
        <f>IF(A1221="","",IF(INDEX(EXTRATO!$H$2:$H$3000,MATCH($A1221,EXTRATO!$A$2:$A$3000,0))="","",INDEX(EXTRATO!$H$2:$H$3000,MATCH($A1221,EXTRATO!$A$2:$A$3000,0))))</f>
        <v/>
      </c>
      <c r="J1221" s="86" t="str">
        <f t="shared" si="25"/>
        <v>PENDENTE</v>
      </c>
      <c r="K1221" s="86" t="str">
        <f>IF(AND(A1221="",D1221="",E1221="",F1221=""),"",IF(D1221="","SEM CATEGORIA",IF(E1221="","SEM SUBCATEGORIA",IF(COUNTIFS(CADASTROS!$L$7:$L$93,D1221,CADASTROS!$D$7:$D$93,E1221)=0,"INCOMPATÍVEL","OK"))))</f>
        <v>SEM CATEGORIA</v>
      </c>
    </row>
    <row r="1222" spans="1:11" ht="30" hidden="1" customHeight="1" x14ac:dyDescent="0.25">
      <c r="A1222" s="86" t="str">
        <f>IF(COUNTIF(EXTRATO!$A$2:$A$3000,"BAN-01079")=0,"","BAN-01079")</f>
        <v>BAN-01079</v>
      </c>
      <c r="B1222" s="85" t="str">
        <f>IF(A1222="","",IF(INDEX(EXTRATO!$C$2:$C$3000,MATCH($A1222,EXTRATO!$A$2:$A$3000,0))="","",INDEX(EXTRATO!$C$2:$C$3000,MATCH($A1222,EXTRATO!$A$2:$A$3000,0))))</f>
        <v/>
      </c>
      <c r="C1222" s="86" t="str">
        <f t="shared" si="24"/>
        <v/>
      </c>
      <c r="D1222" s="81"/>
      <c r="E1222" s="79"/>
      <c r="F1222" s="80">
        <f>IF(A1222="","",SUMIF(EXTRATO!$A$2:$A$3000,$A1222,EXTRATO!$J$2:$J$3000)+SUMIF(EXTRATO!$A$2:$A$3000,$A1222,EXTRATO!$K$2:$K$3000)+SUMIF(EXTRATO!$A$2:$A$3000,$A1222,EXTRATO!$L$2:$L$3000)+SUMIF(EXTRATO!$A$2:$A$3000,$A1222,EXTRATO!$M$2:$M$3000))</f>
        <v>0</v>
      </c>
      <c r="G1222" s="81" t="str">
        <f>IF(A1222="","",IF(INDEX(EXTRATO!$G$2:$G$3000,MATCH($A1222,EXTRATO!$A$2:$A$3000,0))="","",INDEX(EXTRATO!$G$2:$G$3000,MATCH($A1222,EXTRATO!$A$2:$A$3000,0))))</f>
        <v/>
      </c>
      <c r="H1222" s="86" t="str">
        <f>IF(A1222="","",IF(INDEX(EXTRATO!$F$2:$F$3000,MATCH($A1222,EXTRATO!$A$2:$A$3000,0))="","",INDEX(EXTRATO!$F$2:$F$3000,MATCH($A1222,EXTRATO!$A$2:$A$3000,0))))</f>
        <v/>
      </c>
      <c r="I1222" s="88" t="str">
        <f>IF(A1222="","",IF(INDEX(EXTRATO!$H$2:$H$3000,MATCH($A1222,EXTRATO!$A$2:$A$3000,0))="","",INDEX(EXTRATO!$H$2:$H$3000,MATCH($A1222,EXTRATO!$A$2:$A$3000,0))))</f>
        <v/>
      </c>
      <c r="J1222" s="86" t="str">
        <f t="shared" si="25"/>
        <v>PENDENTE</v>
      </c>
      <c r="K1222" s="86" t="str">
        <f>IF(AND(A1222="",D1222="",E1222="",F1222=""),"",IF(D1222="","SEM CATEGORIA",IF(E1222="","SEM SUBCATEGORIA",IF(COUNTIFS(CADASTROS!$L$7:$L$93,D1222,CADASTROS!$D$7:$D$93,E1222)=0,"INCOMPATÍVEL","OK"))))</f>
        <v>SEM CATEGORIA</v>
      </c>
    </row>
    <row r="1223" spans="1:11" ht="30" hidden="1" customHeight="1" x14ac:dyDescent="0.25">
      <c r="A1223" s="86" t="str">
        <f>IF(COUNTIF(EXTRATO!$A$2:$A$3000,"BAN-01080")=0,"","BAN-01080")</f>
        <v>BAN-01080</v>
      </c>
      <c r="B1223" s="85" t="str">
        <f>IF(A1223="","",IF(INDEX(EXTRATO!$C$2:$C$3000,MATCH($A1223,EXTRATO!$A$2:$A$3000,0))="","",INDEX(EXTRATO!$C$2:$C$3000,MATCH($A1223,EXTRATO!$A$2:$A$3000,0))))</f>
        <v/>
      </c>
      <c r="C1223" s="86" t="str">
        <f t="shared" si="24"/>
        <v/>
      </c>
      <c r="D1223" s="81"/>
      <c r="E1223" s="79"/>
      <c r="F1223" s="80">
        <f>IF(A1223="","",SUMIF(EXTRATO!$A$2:$A$3000,$A1223,EXTRATO!$J$2:$J$3000)+SUMIF(EXTRATO!$A$2:$A$3000,$A1223,EXTRATO!$K$2:$K$3000)+SUMIF(EXTRATO!$A$2:$A$3000,$A1223,EXTRATO!$L$2:$L$3000)+SUMIF(EXTRATO!$A$2:$A$3000,$A1223,EXTRATO!$M$2:$M$3000))</f>
        <v>0</v>
      </c>
      <c r="G1223" s="81" t="str">
        <f>IF(A1223="","",IF(INDEX(EXTRATO!$G$2:$G$3000,MATCH($A1223,EXTRATO!$A$2:$A$3000,0))="","",INDEX(EXTRATO!$G$2:$G$3000,MATCH($A1223,EXTRATO!$A$2:$A$3000,0))))</f>
        <v/>
      </c>
      <c r="H1223" s="86" t="str">
        <f>IF(A1223="","",IF(INDEX(EXTRATO!$F$2:$F$3000,MATCH($A1223,EXTRATO!$A$2:$A$3000,0))="","",INDEX(EXTRATO!$F$2:$F$3000,MATCH($A1223,EXTRATO!$A$2:$A$3000,0))))</f>
        <v/>
      </c>
      <c r="I1223" s="88" t="str">
        <f>IF(A1223="","",IF(INDEX(EXTRATO!$H$2:$H$3000,MATCH($A1223,EXTRATO!$A$2:$A$3000,0))="","",INDEX(EXTRATO!$H$2:$H$3000,MATCH($A1223,EXTRATO!$A$2:$A$3000,0))))</f>
        <v/>
      </c>
      <c r="J1223" s="86" t="str">
        <f t="shared" si="25"/>
        <v>PENDENTE</v>
      </c>
      <c r="K1223" s="86" t="str">
        <f>IF(AND(A1223="",D1223="",E1223="",F1223=""),"",IF(D1223="","SEM CATEGORIA",IF(E1223="","SEM SUBCATEGORIA",IF(COUNTIFS(CADASTROS!$L$7:$L$93,D1223,CADASTROS!$D$7:$D$93,E1223)=0,"INCOMPATÍVEL","OK"))))</f>
        <v>SEM CATEGORIA</v>
      </c>
    </row>
    <row r="1224" spans="1:11" ht="30" hidden="1" customHeight="1" x14ac:dyDescent="0.25">
      <c r="A1224" s="86" t="str">
        <f>IF(COUNTIF(EXTRATO!$A$2:$A$3000,"BAN-01081")=0,"","BAN-01081")</f>
        <v>BAN-01081</v>
      </c>
      <c r="B1224" s="85" t="str">
        <f>IF(A1224="","",IF(INDEX(EXTRATO!$C$2:$C$3000,MATCH($A1224,EXTRATO!$A$2:$A$3000,0))="","",INDEX(EXTRATO!$C$2:$C$3000,MATCH($A1224,EXTRATO!$A$2:$A$3000,0))))</f>
        <v/>
      </c>
      <c r="C1224" s="86" t="str">
        <f t="shared" si="24"/>
        <v/>
      </c>
      <c r="D1224" s="81"/>
      <c r="E1224" s="79"/>
      <c r="F1224" s="80">
        <f>IF(A1224="","",SUMIF(EXTRATO!$A$2:$A$3000,$A1224,EXTRATO!$J$2:$J$3000)+SUMIF(EXTRATO!$A$2:$A$3000,$A1224,EXTRATO!$K$2:$K$3000)+SUMIF(EXTRATO!$A$2:$A$3000,$A1224,EXTRATO!$L$2:$L$3000)+SUMIF(EXTRATO!$A$2:$A$3000,$A1224,EXTRATO!$M$2:$M$3000))</f>
        <v>0</v>
      </c>
      <c r="G1224" s="81" t="str">
        <f>IF(A1224="","",IF(INDEX(EXTRATO!$G$2:$G$3000,MATCH($A1224,EXTRATO!$A$2:$A$3000,0))="","",INDEX(EXTRATO!$G$2:$G$3000,MATCH($A1224,EXTRATO!$A$2:$A$3000,0))))</f>
        <v/>
      </c>
      <c r="H1224" s="86" t="str">
        <f>IF(A1224="","",IF(INDEX(EXTRATO!$F$2:$F$3000,MATCH($A1224,EXTRATO!$A$2:$A$3000,0))="","",INDEX(EXTRATO!$F$2:$F$3000,MATCH($A1224,EXTRATO!$A$2:$A$3000,0))))</f>
        <v/>
      </c>
      <c r="I1224" s="88" t="str">
        <f>IF(A1224="","",IF(INDEX(EXTRATO!$H$2:$H$3000,MATCH($A1224,EXTRATO!$A$2:$A$3000,0))="","",INDEX(EXTRATO!$H$2:$H$3000,MATCH($A1224,EXTRATO!$A$2:$A$3000,0))))</f>
        <v/>
      </c>
      <c r="J1224" s="86" t="str">
        <f t="shared" si="25"/>
        <v>PENDENTE</v>
      </c>
      <c r="K1224" s="86" t="str">
        <f>IF(AND(A1224="",D1224="",E1224="",F1224=""),"",IF(D1224="","SEM CATEGORIA",IF(E1224="","SEM SUBCATEGORIA",IF(COUNTIFS(CADASTROS!$L$7:$L$93,D1224,CADASTROS!$D$7:$D$93,E1224)=0,"INCOMPATÍVEL","OK"))))</f>
        <v>SEM CATEGORIA</v>
      </c>
    </row>
    <row r="1225" spans="1:11" ht="30" hidden="1" customHeight="1" x14ac:dyDescent="0.25">
      <c r="A1225" s="86" t="str">
        <f>IF(COUNTIF(EXTRATO!$A$2:$A$3000,"BAN-01082")=0,"","BAN-01082")</f>
        <v>BAN-01082</v>
      </c>
      <c r="B1225" s="85" t="str">
        <f>IF(A1225="","",IF(INDEX(EXTRATO!$C$2:$C$3000,MATCH($A1225,EXTRATO!$A$2:$A$3000,0))="","",INDEX(EXTRATO!$C$2:$C$3000,MATCH($A1225,EXTRATO!$A$2:$A$3000,0))))</f>
        <v/>
      </c>
      <c r="C1225" s="86" t="str">
        <f t="shared" si="24"/>
        <v/>
      </c>
      <c r="D1225" s="81"/>
      <c r="E1225" s="79"/>
      <c r="F1225" s="80">
        <f>IF(A1225="","",SUMIF(EXTRATO!$A$2:$A$3000,$A1225,EXTRATO!$J$2:$J$3000)+SUMIF(EXTRATO!$A$2:$A$3000,$A1225,EXTRATO!$K$2:$K$3000)+SUMIF(EXTRATO!$A$2:$A$3000,$A1225,EXTRATO!$L$2:$L$3000)+SUMIF(EXTRATO!$A$2:$A$3000,$A1225,EXTRATO!$M$2:$M$3000))</f>
        <v>0</v>
      </c>
      <c r="G1225" s="81" t="str">
        <f>IF(A1225="","",IF(INDEX(EXTRATO!$G$2:$G$3000,MATCH($A1225,EXTRATO!$A$2:$A$3000,0))="","",INDEX(EXTRATO!$G$2:$G$3000,MATCH($A1225,EXTRATO!$A$2:$A$3000,0))))</f>
        <v/>
      </c>
      <c r="H1225" s="86" t="str">
        <f>IF(A1225="","",IF(INDEX(EXTRATO!$F$2:$F$3000,MATCH($A1225,EXTRATO!$A$2:$A$3000,0))="","",INDEX(EXTRATO!$F$2:$F$3000,MATCH($A1225,EXTRATO!$A$2:$A$3000,0))))</f>
        <v/>
      </c>
      <c r="I1225" s="88" t="str">
        <f>IF(A1225="","",IF(INDEX(EXTRATO!$H$2:$H$3000,MATCH($A1225,EXTRATO!$A$2:$A$3000,0))="","",INDEX(EXTRATO!$H$2:$H$3000,MATCH($A1225,EXTRATO!$A$2:$A$3000,0))))</f>
        <v/>
      </c>
      <c r="J1225" s="86" t="str">
        <f t="shared" si="25"/>
        <v>PENDENTE</v>
      </c>
      <c r="K1225" s="86" t="str">
        <f>IF(AND(A1225="",D1225="",E1225="",F1225=""),"",IF(D1225="","SEM CATEGORIA",IF(E1225="","SEM SUBCATEGORIA",IF(COUNTIFS(CADASTROS!$L$7:$L$93,D1225,CADASTROS!$D$7:$D$93,E1225)=0,"INCOMPATÍVEL","OK"))))</f>
        <v>SEM CATEGORIA</v>
      </c>
    </row>
    <row r="1226" spans="1:11" ht="30" hidden="1" customHeight="1" x14ac:dyDescent="0.25">
      <c r="A1226" s="86" t="str">
        <f>IF(COUNTIF(EXTRATO!$A$2:$A$3000,"BAN-01083")=0,"","BAN-01083")</f>
        <v>BAN-01083</v>
      </c>
      <c r="B1226" s="85" t="str">
        <f>IF(A1226="","",IF(INDEX(EXTRATO!$C$2:$C$3000,MATCH($A1226,EXTRATO!$A$2:$A$3000,0))="","",INDEX(EXTRATO!$C$2:$C$3000,MATCH($A1226,EXTRATO!$A$2:$A$3000,0))))</f>
        <v/>
      </c>
      <c r="C1226" s="86" t="str">
        <f t="shared" si="24"/>
        <v/>
      </c>
      <c r="D1226" s="81"/>
      <c r="E1226" s="79"/>
      <c r="F1226" s="80">
        <f>IF(A1226="","",SUMIF(EXTRATO!$A$2:$A$3000,$A1226,EXTRATO!$J$2:$J$3000)+SUMIF(EXTRATO!$A$2:$A$3000,$A1226,EXTRATO!$K$2:$K$3000)+SUMIF(EXTRATO!$A$2:$A$3000,$A1226,EXTRATO!$L$2:$L$3000)+SUMIF(EXTRATO!$A$2:$A$3000,$A1226,EXTRATO!$M$2:$M$3000))</f>
        <v>0</v>
      </c>
      <c r="G1226" s="81" t="str">
        <f>IF(A1226="","",IF(INDEX(EXTRATO!$G$2:$G$3000,MATCH($A1226,EXTRATO!$A$2:$A$3000,0))="","",INDEX(EXTRATO!$G$2:$G$3000,MATCH($A1226,EXTRATO!$A$2:$A$3000,0))))</f>
        <v/>
      </c>
      <c r="H1226" s="86" t="str">
        <f>IF(A1226="","",IF(INDEX(EXTRATO!$F$2:$F$3000,MATCH($A1226,EXTRATO!$A$2:$A$3000,0))="","",INDEX(EXTRATO!$F$2:$F$3000,MATCH($A1226,EXTRATO!$A$2:$A$3000,0))))</f>
        <v/>
      </c>
      <c r="I1226" s="88" t="str">
        <f>IF(A1226="","",IF(INDEX(EXTRATO!$H$2:$H$3000,MATCH($A1226,EXTRATO!$A$2:$A$3000,0))="","",INDEX(EXTRATO!$H$2:$H$3000,MATCH($A1226,EXTRATO!$A$2:$A$3000,0))))</f>
        <v/>
      </c>
      <c r="J1226" s="86" t="str">
        <f t="shared" si="25"/>
        <v>PENDENTE</v>
      </c>
      <c r="K1226" s="86" t="str">
        <f>IF(AND(A1226="",D1226="",E1226="",F1226=""),"",IF(D1226="","SEM CATEGORIA",IF(E1226="","SEM SUBCATEGORIA",IF(COUNTIFS(CADASTROS!$L$7:$L$93,D1226,CADASTROS!$D$7:$D$93,E1226)=0,"INCOMPATÍVEL","OK"))))</f>
        <v>SEM CATEGORIA</v>
      </c>
    </row>
    <row r="1227" spans="1:11" ht="30" hidden="1" customHeight="1" x14ac:dyDescent="0.25">
      <c r="A1227" s="86" t="str">
        <f>IF(COUNTIF(EXTRATO!$A$2:$A$3000,"BAN-01084")=0,"","BAN-01084")</f>
        <v>BAN-01084</v>
      </c>
      <c r="B1227" s="85" t="str">
        <f>IF(A1227="","",IF(INDEX(EXTRATO!$C$2:$C$3000,MATCH($A1227,EXTRATO!$A$2:$A$3000,0))="","",INDEX(EXTRATO!$C$2:$C$3000,MATCH($A1227,EXTRATO!$A$2:$A$3000,0))))</f>
        <v/>
      </c>
      <c r="C1227" s="86" t="str">
        <f t="shared" si="24"/>
        <v/>
      </c>
      <c r="D1227" s="81"/>
      <c r="E1227" s="79"/>
      <c r="F1227" s="80">
        <f>IF(A1227="","",SUMIF(EXTRATO!$A$2:$A$3000,$A1227,EXTRATO!$J$2:$J$3000)+SUMIF(EXTRATO!$A$2:$A$3000,$A1227,EXTRATO!$K$2:$K$3000)+SUMIF(EXTRATO!$A$2:$A$3000,$A1227,EXTRATO!$L$2:$L$3000)+SUMIF(EXTRATO!$A$2:$A$3000,$A1227,EXTRATO!$M$2:$M$3000))</f>
        <v>0</v>
      </c>
      <c r="G1227" s="81" t="str">
        <f>IF(A1227="","",IF(INDEX(EXTRATO!$G$2:$G$3000,MATCH($A1227,EXTRATO!$A$2:$A$3000,0))="","",INDEX(EXTRATO!$G$2:$G$3000,MATCH($A1227,EXTRATO!$A$2:$A$3000,0))))</f>
        <v/>
      </c>
      <c r="H1227" s="86" t="str">
        <f>IF(A1227="","",IF(INDEX(EXTRATO!$F$2:$F$3000,MATCH($A1227,EXTRATO!$A$2:$A$3000,0))="","",INDEX(EXTRATO!$F$2:$F$3000,MATCH($A1227,EXTRATO!$A$2:$A$3000,0))))</f>
        <v/>
      </c>
      <c r="I1227" s="88" t="str">
        <f>IF(A1227="","",IF(INDEX(EXTRATO!$H$2:$H$3000,MATCH($A1227,EXTRATO!$A$2:$A$3000,0))="","",INDEX(EXTRATO!$H$2:$H$3000,MATCH($A1227,EXTRATO!$A$2:$A$3000,0))))</f>
        <v/>
      </c>
      <c r="J1227" s="86" t="str">
        <f t="shared" si="25"/>
        <v>PENDENTE</v>
      </c>
      <c r="K1227" s="86" t="str">
        <f>IF(AND(A1227="",D1227="",E1227="",F1227=""),"",IF(D1227="","SEM CATEGORIA",IF(E1227="","SEM SUBCATEGORIA",IF(COUNTIFS(CADASTROS!$L$7:$L$93,D1227,CADASTROS!$D$7:$D$93,E1227)=0,"INCOMPATÍVEL","OK"))))</f>
        <v>SEM CATEGORIA</v>
      </c>
    </row>
    <row r="1228" spans="1:11" ht="30" hidden="1" customHeight="1" x14ac:dyDescent="0.25">
      <c r="A1228" s="86" t="str">
        <f>IF(COUNTIF(EXTRATO!$A$2:$A$3000,"BAN-01085")=0,"","BAN-01085")</f>
        <v>BAN-01085</v>
      </c>
      <c r="B1228" s="85" t="str">
        <f>IF(A1228="","",IF(INDEX(EXTRATO!$C$2:$C$3000,MATCH($A1228,EXTRATO!$A$2:$A$3000,0))="","",INDEX(EXTRATO!$C$2:$C$3000,MATCH($A1228,EXTRATO!$A$2:$A$3000,0))))</f>
        <v/>
      </c>
      <c r="C1228" s="86" t="str">
        <f t="shared" si="24"/>
        <v/>
      </c>
      <c r="D1228" s="81"/>
      <c r="E1228" s="79"/>
      <c r="F1228" s="80">
        <f>IF(A1228="","",SUMIF(EXTRATO!$A$2:$A$3000,$A1228,EXTRATO!$J$2:$J$3000)+SUMIF(EXTRATO!$A$2:$A$3000,$A1228,EXTRATO!$K$2:$K$3000)+SUMIF(EXTRATO!$A$2:$A$3000,$A1228,EXTRATO!$L$2:$L$3000)+SUMIF(EXTRATO!$A$2:$A$3000,$A1228,EXTRATO!$M$2:$M$3000))</f>
        <v>0</v>
      </c>
      <c r="G1228" s="81" t="str">
        <f>IF(A1228="","",IF(INDEX(EXTRATO!$G$2:$G$3000,MATCH($A1228,EXTRATO!$A$2:$A$3000,0))="","",INDEX(EXTRATO!$G$2:$G$3000,MATCH($A1228,EXTRATO!$A$2:$A$3000,0))))</f>
        <v/>
      </c>
      <c r="H1228" s="86" t="str">
        <f>IF(A1228="","",IF(INDEX(EXTRATO!$F$2:$F$3000,MATCH($A1228,EXTRATO!$A$2:$A$3000,0))="","",INDEX(EXTRATO!$F$2:$F$3000,MATCH($A1228,EXTRATO!$A$2:$A$3000,0))))</f>
        <v/>
      </c>
      <c r="I1228" s="88" t="str">
        <f>IF(A1228="","",IF(INDEX(EXTRATO!$H$2:$H$3000,MATCH($A1228,EXTRATO!$A$2:$A$3000,0))="","",INDEX(EXTRATO!$H$2:$H$3000,MATCH($A1228,EXTRATO!$A$2:$A$3000,0))))</f>
        <v/>
      </c>
      <c r="J1228" s="86" t="str">
        <f t="shared" si="25"/>
        <v>PENDENTE</v>
      </c>
      <c r="K1228" s="86" t="str">
        <f>IF(AND(A1228="",D1228="",E1228="",F1228=""),"",IF(D1228="","SEM CATEGORIA",IF(E1228="","SEM SUBCATEGORIA",IF(COUNTIFS(CADASTROS!$L$7:$L$93,D1228,CADASTROS!$D$7:$D$93,E1228)=0,"INCOMPATÍVEL","OK"))))</f>
        <v>SEM CATEGORIA</v>
      </c>
    </row>
    <row r="1229" spans="1:11" ht="30" hidden="1" customHeight="1" x14ac:dyDescent="0.25">
      <c r="A1229" s="86" t="str">
        <f>IF(COUNTIF(EXTRATO!$A$2:$A$3000,"BAN-01086")=0,"","BAN-01086")</f>
        <v>BAN-01086</v>
      </c>
      <c r="B1229" s="85" t="str">
        <f>IF(A1229="","",IF(INDEX(EXTRATO!$C$2:$C$3000,MATCH($A1229,EXTRATO!$A$2:$A$3000,0))="","",INDEX(EXTRATO!$C$2:$C$3000,MATCH($A1229,EXTRATO!$A$2:$A$3000,0))))</f>
        <v/>
      </c>
      <c r="C1229" s="86" t="str">
        <f t="shared" si="24"/>
        <v/>
      </c>
      <c r="D1229" s="81"/>
      <c r="E1229" s="79"/>
      <c r="F1229" s="80">
        <f>IF(A1229="","",SUMIF(EXTRATO!$A$2:$A$3000,$A1229,EXTRATO!$J$2:$J$3000)+SUMIF(EXTRATO!$A$2:$A$3000,$A1229,EXTRATO!$K$2:$K$3000)+SUMIF(EXTRATO!$A$2:$A$3000,$A1229,EXTRATO!$L$2:$L$3000)+SUMIF(EXTRATO!$A$2:$A$3000,$A1229,EXTRATO!$M$2:$M$3000))</f>
        <v>0</v>
      </c>
      <c r="G1229" s="81" t="str">
        <f>IF(A1229="","",IF(INDEX(EXTRATO!$G$2:$G$3000,MATCH($A1229,EXTRATO!$A$2:$A$3000,0))="","",INDEX(EXTRATO!$G$2:$G$3000,MATCH($A1229,EXTRATO!$A$2:$A$3000,0))))</f>
        <v/>
      </c>
      <c r="H1229" s="86" t="str">
        <f>IF(A1229="","",IF(INDEX(EXTRATO!$F$2:$F$3000,MATCH($A1229,EXTRATO!$A$2:$A$3000,0))="","",INDEX(EXTRATO!$F$2:$F$3000,MATCH($A1229,EXTRATO!$A$2:$A$3000,0))))</f>
        <v/>
      </c>
      <c r="I1229" s="88" t="str">
        <f>IF(A1229="","",IF(INDEX(EXTRATO!$H$2:$H$3000,MATCH($A1229,EXTRATO!$A$2:$A$3000,0))="","",INDEX(EXTRATO!$H$2:$H$3000,MATCH($A1229,EXTRATO!$A$2:$A$3000,0))))</f>
        <v/>
      </c>
      <c r="J1229" s="86" t="str">
        <f t="shared" si="25"/>
        <v>PENDENTE</v>
      </c>
      <c r="K1229" s="86" t="str">
        <f>IF(AND(A1229="",D1229="",E1229="",F1229=""),"",IF(D1229="","SEM CATEGORIA",IF(E1229="","SEM SUBCATEGORIA",IF(COUNTIFS(CADASTROS!$L$7:$L$93,D1229,CADASTROS!$D$7:$D$93,E1229)=0,"INCOMPATÍVEL","OK"))))</f>
        <v>SEM CATEGORIA</v>
      </c>
    </row>
    <row r="1230" spans="1:11" ht="30" hidden="1" customHeight="1" x14ac:dyDescent="0.25">
      <c r="A1230" s="86" t="str">
        <f>IF(COUNTIF(EXTRATO!$A$2:$A$3000,"BAN-01087")=0,"","BAN-01087")</f>
        <v>BAN-01087</v>
      </c>
      <c r="B1230" s="85" t="str">
        <f>IF(A1230="","",IF(INDEX(EXTRATO!$C$2:$C$3000,MATCH($A1230,EXTRATO!$A$2:$A$3000,0))="","",INDEX(EXTRATO!$C$2:$C$3000,MATCH($A1230,EXTRATO!$A$2:$A$3000,0))))</f>
        <v/>
      </c>
      <c r="C1230" s="86" t="str">
        <f t="shared" si="24"/>
        <v/>
      </c>
      <c r="D1230" s="81"/>
      <c r="E1230" s="79"/>
      <c r="F1230" s="80">
        <f>IF(A1230="","",SUMIF(EXTRATO!$A$2:$A$3000,$A1230,EXTRATO!$J$2:$J$3000)+SUMIF(EXTRATO!$A$2:$A$3000,$A1230,EXTRATO!$K$2:$K$3000)+SUMIF(EXTRATO!$A$2:$A$3000,$A1230,EXTRATO!$L$2:$L$3000)+SUMIF(EXTRATO!$A$2:$A$3000,$A1230,EXTRATO!$M$2:$M$3000))</f>
        <v>0</v>
      </c>
      <c r="G1230" s="81" t="str">
        <f>IF(A1230="","",IF(INDEX(EXTRATO!$G$2:$G$3000,MATCH($A1230,EXTRATO!$A$2:$A$3000,0))="","",INDEX(EXTRATO!$G$2:$G$3000,MATCH($A1230,EXTRATO!$A$2:$A$3000,0))))</f>
        <v/>
      </c>
      <c r="H1230" s="86" t="str">
        <f>IF(A1230="","",IF(INDEX(EXTRATO!$F$2:$F$3000,MATCH($A1230,EXTRATO!$A$2:$A$3000,0))="","",INDEX(EXTRATO!$F$2:$F$3000,MATCH($A1230,EXTRATO!$A$2:$A$3000,0))))</f>
        <v/>
      </c>
      <c r="I1230" s="88" t="str">
        <f>IF(A1230="","",IF(INDEX(EXTRATO!$H$2:$H$3000,MATCH($A1230,EXTRATO!$A$2:$A$3000,0))="","",INDEX(EXTRATO!$H$2:$H$3000,MATCH($A1230,EXTRATO!$A$2:$A$3000,0))))</f>
        <v/>
      </c>
      <c r="J1230" s="86" t="str">
        <f t="shared" si="25"/>
        <v>PENDENTE</v>
      </c>
      <c r="K1230" s="86" t="str">
        <f>IF(AND(A1230="",D1230="",E1230="",F1230=""),"",IF(D1230="","SEM CATEGORIA",IF(E1230="","SEM SUBCATEGORIA",IF(COUNTIFS(CADASTROS!$L$7:$L$93,D1230,CADASTROS!$D$7:$D$93,E1230)=0,"INCOMPATÍVEL","OK"))))</f>
        <v>SEM CATEGORIA</v>
      </c>
    </row>
    <row r="1231" spans="1:11" ht="30" hidden="1" customHeight="1" x14ac:dyDescent="0.25">
      <c r="A1231" s="86" t="str">
        <f>IF(COUNTIF(EXTRATO!$A$2:$A$3000,"BAN-01088")=0,"","BAN-01088")</f>
        <v>BAN-01088</v>
      </c>
      <c r="B1231" s="85" t="str">
        <f>IF(A1231="","",IF(INDEX(EXTRATO!$C$2:$C$3000,MATCH($A1231,EXTRATO!$A$2:$A$3000,0))="","",INDEX(EXTRATO!$C$2:$C$3000,MATCH($A1231,EXTRATO!$A$2:$A$3000,0))))</f>
        <v/>
      </c>
      <c r="C1231" s="86" t="str">
        <f t="shared" si="24"/>
        <v/>
      </c>
      <c r="D1231" s="81"/>
      <c r="E1231" s="79"/>
      <c r="F1231" s="80">
        <f>IF(A1231="","",SUMIF(EXTRATO!$A$2:$A$3000,$A1231,EXTRATO!$J$2:$J$3000)+SUMIF(EXTRATO!$A$2:$A$3000,$A1231,EXTRATO!$K$2:$K$3000)+SUMIF(EXTRATO!$A$2:$A$3000,$A1231,EXTRATO!$L$2:$L$3000)+SUMIF(EXTRATO!$A$2:$A$3000,$A1231,EXTRATO!$M$2:$M$3000))</f>
        <v>0</v>
      </c>
      <c r="G1231" s="81" t="str">
        <f>IF(A1231="","",IF(INDEX(EXTRATO!$G$2:$G$3000,MATCH($A1231,EXTRATO!$A$2:$A$3000,0))="","",INDEX(EXTRATO!$G$2:$G$3000,MATCH($A1231,EXTRATO!$A$2:$A$3000,0))))</f>
        <v/>
      </c>
      <c r="H1231" s="86" t="str">
        <f>IF(A1231="","",IF(INDEX(EXTRATO!$F$2:$F$3000,MATCH($A1231,EXTRATO!$A$2:$A$3000,0))="","",INDEX(EXTRATO!$F$2:$F$3000,MATCH($A1231,EXTRATO!$A$2:$A$3000,0))))</f>
        <v/>
      </c>
      <c r="I1231" s="88" t="str">
        <f>IF(A1231="","",IF(INDEX(EXTRATO!$H$2:$H$3000,MATCH($A1231,EXTRATO!$A$2:$A$3000,0))="","",INDEX(EXTRATO!$H$2:$H$3000,MATCH($A1231,EXTRATO!$A$2:$A$3000,0))))</f>
        <v/>
      </c>
      <c r="J1231" s="86" t="str">
        <f t="shared" si="25"/>
        <v>PENDENTE</v>
      </c>
      <c r="K1231" s="86" t="str">
        <f>IF(AND(A1231="",D1231="",E1231="",F1231=""),"",IF(D1231="","SEM CATEGORIA",IF(E1231="","SEM SUBCATEGORIA",IF(COUNTIFS(CADASTROS!$L$7:$L$93,D1231,CADASTROS!$D$7:$D$93,E1231)=0,"INCOMPATÍVEL","OK"))))</f>
        <v>SEM CATEGORIA</v>
      </c>
    </row>
    <row r="1232" spans="1:11" ht="30" hidden="1" customHeight="1" x14ac:dyDescent="0.25">
      <c r="A1232" s="86" t="str">
        <f>IF(COUNTIF(EXTRATO!$A$2:$A$3000,"BAN-01089")=0,"","BAN-01089")</f>
        <v>BAN-01089</v>
      </c>
      <c r="B1232" s="85" t="str">
        <f>IF(A1232="","",IF(INDEX(EXTRATO!$C$2:$C$3000,MATCH($A1232,EXTRATO!$A$2:$A$3000,0))="","",INDEX(EXTRATO!$C$2:$C$3000,MATCH($A1232,EXTRATO!$A$2:$A$3000,0))))</f>
        <v/>
      </c>
      <c r="C1232" s="86" t="str">
        <f t="shared" si="24"/>
        <v/>
      </c>
      <c r="D1232" s="81"/>
      <c r="E1232" s="79"/>
      <c r="F1232" s="80">
        <f>IF(A1232="","",SUMIF(EXTRATO!$A$2:$A$3000,$A1232,EXTRATO!$J$2:$J$3000)+SUMIF(EXTRATO!$A$2:$A$3000,$A1232,EXTRATO!$K$2:$K$3000)+SUMIF(EXTRATO!$A$2:$A$3000,$A1232,EXTRATO!$L$2:$L$3000)+SUMIF(EXTRATO!$A$2:$A$3000,$A1232,EXTRATO!$M$2:$M$3000))</f>
        <v>0</v>
      </c>
      <c r="G1232" s="81" t="str">
        <f>IF(A1232="","",IF(INDEX(EXTRATO!$G$2:$G$3000,MATCH($A1232,EXTRATO!$A$2:$A$3000,0))="","",INDEX(EXTRATO!$G$2:$G$3000,MATCH($A1232,EXTRATO!$A$2:$A$3000,0))))</f>
        <v/>
      </c>
      <c r="H1232" s="86" t="str">
        <f>IF(A1232="","",IF(INDEX(EXTRATO!$F$2:$F$3000,MATCH($A1232,EXTRATO!$A$2:$A$3000,0))="","",INDEX(EXTRATO!$F$2:$F$3000,MATCH($A1232,EXTRATO!$A$2:$A$3000,0))))</f>
        <v/>
      </c>
      <c r="I1232" s="88" t="str">
        <f>IF(A1232="","",IF(INDEX(EXTRATO!$H$2:$H$3000,MATCH($A1232,EXTRATO!$A$2:$A$3000,0))="","",INDEX(EXTRATO!$H$2:$H$3000,MATCH($A1232,EXTRATO!$A$2:$A$3000,0))))</f>
        <v/>
      </c>
      <c r="J1232" s="86" t="str">
        <f t="shared" si="25"/>
        <v>PENDENTE</v>
      </c>
      <c r="K1232" s="86" t="str">
        <f>IF(AND(A1232="",D1232="",E1232="",F1232=""),"",IF(D1232="","SEM CATEGORIA",IF(E1232="","SEM SUBCATEGORIA",IF(COUNTIFS(CADASTROS!$L$7:$L$93,D1232,CADASTROS!$D$7:$D$93,E1232)=0,"INCOMPATÍVEL","OK"))))</f>
        <v>SEM CATEGORIA</v>
      </c>
    </row>
    <row r="1233" spans="1:11" ht="30" hidden="1" customHeight="1" x14ac:dyDescent="0.25">
      <c r="A1233" s="86" t="str">
        <f>IF(COUNTIF(EXTRATO!$A$2:$A$3000,"BAN-01090")=0,"","BAN-01090")</f>
        <v>BAN-01090</v>
      </c>
      <c r="B1233" s="85" t="str">
        <f>IF(A1233="","",IF(INDEX(EXTRATO!$C$2:$C$3000,MATCH($A1233,EXTRATO!$A$2:$A$3000,0))="","",INDEX(EXTRATO!$C$2:$C$3000,MATCH($A1233,EXTRATO!$A$2:$A$3000,0))))</f>
        <v/>
      </c>
      <c r="C1233" s="86" t="str">
        <f t="shared" si="24"/>
        <v/>
      </c>
      <c r="D1233" s="81"/>
      <c r="E1233" s="79"/>
      <c r="F1233" s="80">
        <f>IF(A1233="","",SUMIF(EXTRATO!$A$2:$A$3000,$A1233,EXTRATO!$J$2:$J$3000)+SUMIF(EXTRATO!$A$2:$A$3000,$A1233,EXTRATO!$K$2:$K$3000)+SUMIF(EXTRATO!$A$2:$A$3000,$A1233,EXTRATO!$L$2:$L$3000)+SUMIF(EXTRATO!$A$2:$A$3000,$A1233,EXTRATO!$M$2:$M$3000))</f>
        <v>0</v>
      </c>
      <c r="G1233" s="81" t="str">
        <f>IF(A1233="","",IF(INDEX(EXTRATO!$G$2:$G$3000,MATCH($A1233,EXTRATO!$A$2:$A$3000,0))="","",INDEX(EXTRATO!$G$2:$G$3000,MATCH($A1233,EXTRATO!$A$2:$A$3000,0))))</f>
        <v/>
      </c>
      <c r="H1233" s="86" t="str">
        <f>IF(A1233="","",IF(INDEX(EXTRATO!$F$2:$F$3000,MATCH($A1233,EXTRATO!$A$2:$A$3000,0))="","",INDEX(EXTRATO!$F$2:$F$3000,MATCH($A1233,EXTRATO!$A$2:$A$3000,0))))</f>
        <v/>
      </c>
      <c r="I1233" s="88" t="str">
        <f>IF(A1233="","",IF(INDEX(EXTRATO!$H$2:$H$3000,MATCH($A1233,EXTRATO!$A$2:$A$3000,0))="","",INDEX(EXTRATO!$H$2:$H$3000,MATCH($A1233,EXTRATO!$A$2:$A$3000,0))))</f>
        <v/>
      </c>
      <c r="J1233" s="86" t="str">
        <f t="shared" si="25"/>
        <v>PENDENTE</v>
      </c>
      <c r="K1233" s="86" t="str">
        <f>IF(AND(A1233="",D1233="",E1233="",F1233=""),"",IF(D1233="","SEM CATEGORIA",IF(E1233="","SEM SUBCATEGORIA",IF(COUNTIFS(CADASTROS!$L$7:$L$93,D1233,CADASTROS!$D$7:$D$93,E1233)=0,"INCOMPATÍVEL","OK"))))</f>
        <v>SEM CATEGORIA</v>
      </c>
    </row>
    <row r="1234" spans="1:11" ht="30" hidden="1" customHeight="1" x14ac:dyDescent="0.25">
      <c r="A1234" s="86" t="str">
        <f>IF(COUNTIF(EXTRATO!$A$2:$A$3000,"BAN-01091")=0,"","BAN-01091")</f>
        <v>BAN-01091</v>
      </c>
      <c r="B1234" s="85" t="str">
        <f>IF(A1234="","",IF(INDEX(EXTRATO!$C$2:$C$3000,MATCH($A1234,EXTRATO!$A$2:$A$3000,0))="","",INDEX(EXTRATO!$C$2:$C$3000,MATCH($A1234,EXTRATO!$A$2:$A$3000,0))))</f>
        <v/>
      </c>
      <c r="C1234" s="86" t="str">
        <f t="shared" si="24"/>
        <v/>
      </c>
      <c r="D1234" s="81"/>
      <c r="E1234" s="79"/>
      <c r="F1234" s="80">
        <f>IF(A1234="","",SUMIF(EXTRATO!$A$2:$A$3000,$A1234,EXTRATO!$J$2:$J$3000)+SUMIF(EXTRATO!$A$2:$A$3000,$A1234,EXTRATO!$K$2:$K$3000)+SUMIF(EXTRATO!$A$2:$A$3000,$A1234,EXTRATO!$L$2:$L$3000)+SUMIF(EXTRATO!$A$2:$A$3000,$A1234,EXTRATO!$M$2:$M$3000))</f>
        <v>0</v>
      </c>
      <c r="G1234" s="81" t="str">
        <f>IF(A1234="","",IF(INDEX(EXTRATO!$G$2:$G$3000,MATCH($A1234,EXTRATO!$A$2:$A$3000,0))="","",INDEX(EXTRATO!$G$2:$G$3000,MATCH($A1234,EXTRATO!$A$2:$A$3000,0))))</f>
        <v/>
      </c>
      <c r="H1234" s="86" t="str">
        <f>IF(A1234="","",IF(INDEX(EXTRATO!$F$2:$F$3000,MATCH($A1234,EXTRATO!$A$2:$A$3000,0))="","",INDEX(EXTRATO!$F$2:$F$3000,MATCH($A1234,EXTRATO!$A$2:$A$3000,0))))</f>
        <v/>
      </c>
      <c r="I1234" s="88" t="str">
        <f>IF(A1234="","",IF(INDEX(EXTRATO!$H$2:$H$3000,MATCH($A1234,EXTRATO!$A$2:$A$3000,0))="","",INDEX(EXTRATO!$H$2:$H$3000,MATCH($A1234,EXTRATO!$A$2:$A$3000,0))))</f>
        <v/>
      </c>
      <c r="J1234" s="86" t="str">
        <f t="shared" si="25"/>
        <v>PENDENTE</v>
      </c>
      <c r="K1234" s="86" t="str">
        <f>IF(AND(A1234="",D1234="",E1234="",F1234=""),"",IF(D1234="","SEM CATEGORIA",IF(E1234="","SEM SUBCATEGORIA",IF(COUNTIFS(CADASTROS!$L$7:$L$93,D1234,CADASTROS!$D$7:$D$93,E1234)=0,"INCOMPATÍVEL","OK"))))</f>
        <v>SEM CATEGORIA</v>
      </c>
    </row>
    <row r="1235" spans="1:11" ht="30" hidden="1" customHeight="1" x14ac:dyDescent="0.25">
      <c r="A1235" s="86" t="str">
        <f>IF(COUNTIF(EXTRATO!$A$2:$A$3000,"BAN-01092")=0,"","BAN-01092")</f>
        <v>BAN-01092</v>
      </c>
      <c r="B1235" s="85" t="str">
        <f>IF(A1235="","",IF(INDEX(EXTRATO!$C$2:$C$3000,MATCH($A1235,EXTRATO!$A$2:$A$3000,0))="","",INDEX(EXTRATO!$C$2:$C$3000,MATCH($A1235,EXTRATO!$A$2:$A$3000,0))))</f>
        <v/>
      </c>
      <c r="C1235" s="86" t="str">
        <f t="shared" si="24"/>
        <v/>
      </c>
      <c r="D1235" s="81"/>
      <c r="E1235" s="79"/>
      <c r="F1235" s="80">
        <f>IF(A1235="","",SUMIF(EXTRATO!$A$2:$A$3000,$A1235,EXTRATO!$J$2:$J$3000)+SUMIF(EXTRATO!$A$2:$A$3000,$A1235,EXTRATO!$K$2:$K$3000)+SUMIF(EXTRATO!$A$2:$A$3000,$A1235,EXTRATO!$L$2:$L$3000)+SUMIF(EXTRATO!$A$2:$A$3000,$A1235,EXTRATO!$M$2:$M$3000))</f>
        <v>0</v>
      </c>
      <c r="G1235" s="81" t="str">
        <f>IF(A1235="","",IF(INDEX(EXTRATO!$G$2:$G$3000,MATCH($A1235,EXTRATO!$A$2:$A$3000,0))="","",INDEX(EXTRATO!$G$2:$G$3000,MATCH($A1235,EXTRATO!$A$2:$A$3000,0))))</f>
        <v/>
      </c>
      <c r="H1235" s="86" t="str">
        <f>IF(A1235="","",IF(INDEX(EXTRATO!$F$2:$F$3000,MATCH($A1235,EXTRATO!$A$2:$A$3000,0))="","",INDEX(EXTRATO!$F$2:$F$3000,MATCH($A1235,EXTRATO!$A$2:$A$3000,0))))</f>
        <v/>
      </c>
      <c r="I1235" s="88" t="str">
        <f>IF(A1235="","",IF(INDEX(EXTRATO!$H$2:$H$3000,MATCH($A1235,EXTRATO!$A$2:$A$3000,0))="","",INDEX(EXTRATO!$H$2:$H$3000,MATCH($A1235,EXTRATO!$A$2:$A$3000,0))))</f>
        <v/>
      </c>
      <c r="J1235" s="86" t="str">
        <f t="shared" si="25"/>
        <v>PENDENTE</v>
      </c>
      <c r="K1235" s="86" t="str">
        <f>IF(AND(A1235="",D1235="",E1235="",F1235=""),"",IF(D1235="","SEM CATEGORIA",IF(E1235="","SEM SUBCATEGORIA",IF(COUNTIFS(CADASTROS!$L$7:$L$93,D1235,CADASTROS!$D$7:$D$93,E1235)=0,"INCOMPATÍVEL","OK"))))</f>
        <v>SEM CATEGORIA</v>
      </c>
    </row>
    <row r="1236" spans="1:11" ht="30" hidden="1" customHeight="1" x14ac:dyDescent="0.25">
      <c r="A1236" s="86" t="str">
        <f>IF(COUNTIF(EXTRATO!$A$2:$A$3000,"BAN-01093")=0,"","BAN-01093")</f>
        <v>BAN-01093</v>
      </c>
      <c r="B1236" s="85" t="str">
        <f>IF(A1236="","",IF(INDEX(EXTRATO!$C$2:$C$3000,MATCH($A1236,EXTRATO!$A$2:$A$3000,0))="","",INDEX(EXTRATO!$C$2:$C$3000,MATCH($A1236,EXTRATO!$A$2:$A$3000,0))))</f>
        <v/>
      </c>
      <c r="C1236" s="86" t="str">
        <f t="shared" si="24"/>
        <v/>
      </c>
      <c r="D1236" s="81"/>
      <c r="E1236" s="79"/>
      <c r="F1236" s="80">
        <f>IF(A1236="","",SUMIF(EXTRATO!$A$2:$A$3000,$A1236,EXTRATO!$J$2:$J$3000)+SUMIF(EXTRATO!$A$2:$A$3000,$A1236,EXTRATO!$K$2:$K$3000)+SUMIF(EXTRATO!$A$2:$A$3000,$A1236,EXTRATO!$L$2:$L$3000)+SUMIF(EXTRATO!$A$2:$A$3000,$A1236,EXTRATO!$M$2:$M$3000))</f>
        <v>0</v>
      </c>
      <c r="G1236" s="81" t="str">
        <f>IF(A1236="","",IF(INDEX(EXTRATO!$G$2:$G$3000,MATCH($A1236,EXTRATO!$A$2:$A$3000,0))="","",INDEX(EXTRATO!$G$2:$G$3000,MATCH($A1236,EXTRATO!$A$2:$A$3000,0))))</f>
        <v/>
      </c>
      <c r="H1236" s="86" t="str">
        <f>IF(A1236="","",IF(INDEX(EXTRATO!$F$2:$F$3000,MATCH($A1236,EXTRATO!$A$2:$A$3000,0))="","",INDEX(EXTRATO!$F$2:$F$3000,MATCH($A1236,EXTRATO!$A$2:$A$3000,0))))</f>
        <v/>
      </c>
      <c r="I1236" s="88" t="str">
        <f>IF(A1236="","",IF(INDEX(EXTRATO!$H$2:$H$3000,MATCH($A1236,EXTRATO!$A$2:$A$3000,0))="","",INDEX(EXTRATO!$H$2:$H$3000,MATCH($A1236,EXTRATO!$A$2:$A$3000,0))))</f>
        <v/>
      </c>
      <c r="J1236" s="86" t="str">
        <f t="shared" si="25"/>
        <v>PENDENTE</v>
      </c>
      <c r="K1236" s="86" t="str">
        <f>IF(AND(A1236="",D1236="",E1236="",F1236=""),"",IF(D1236="","SEM CATEGORIA",IF(E1236="","SEM SUBCATEGORIA",IF(COUNTIFS(CADASTROS!$L$7:$L$93,D1236,CADASTROS!$D$7:$D$93,E1236)=0,"INCOMPATÍVEL","OK"))))</f>
        <v>SEM CATEGORIA</v>
      </c>
    </row>
    <row r="1237" spans="1:11" ht="30" hidden="1" customHeight="1" x14ac:dyDescent="0.25">
      <c r="A1237" s="86" t="str">
        <f>IF(COUNTIF(EXTRATO!$A$2:$A$3000,"BAN-01094")=0,"","BAN-01094")</f>
        <v>BAN-01094</v>
      </c>
      <c r="B1237" s="85" t="str">
        <f>IF(A1237="","",IF(INDEX(EXTRATO!$C$2:$C$3000,MATCH($A1237,EXTRATO!$A$2:$A$3000,0))="","",INDEX(EXTRATO!$C$2:$C$3000,MATCH($A1237,EXTRATO!$A$2:$A$3000,0))))</f>
        <v/>
      </c>
      <c r="C1237" s="86" t="str">
        <f t="shared" ref="C1237:C1300" si="26">IF(B1237="","",MONTH(B1237))</f>
        <v/>
      </c>
      <c r="D1237" s="81"/>
      <c r="E1237" s="79"/>
      <c r="F1237" s="80">
        <f>IF(A1237="","",SUMIF(EXTRATO!$A$2:$A$3000,$A1237,EXTRATO!$J$2:$J$3000)+SUMIF(EXTRATO!$A$2:$A$3000,$A1237,EXTRATO!$K$2:$K$3000)+SUMIF(EXTRATO!$A$2:$A$3000,$A1237,EXTRATO!$L$2:$L$3000)+SUMIF(EXTRATO!$A$2:$A$3000,$A1237,EXTRATO!$M$2:$M$3000))</f>
        <v>0</v>
      </c>
      <c r="G1237" s="81" t="str">
        <f>IF(A1237="","",IF(INDEX(EXTRATO!$G$2:$G$3000,MATCH($A1237,EXTRATO!$A$2:$A$3000,0))="","",INDEX(EXTRATO!$G$2:$G$3000,MATCH($A1237,EXTRATO!$A$2:$A$3000,0))))</f>
        <v/>
      </c>
      <c r="H1237" s="86" t="str">
        <f>IF(A1237="","",IF(INDEX(EXTRATO!$F$2:$F$3000,MATCH($A1237,EXTRATO!$A$2:$A$3000,0))="","",INDEX(EXTRATO!$F$2:$F$3000,MATCH($A1237,EXTRATO!$A$2:$A$3000,0))))</f>
        <v/>
      </c>
      <c r="I1237" s="88" t="str">
        <f>IF(A1237="","",IF(INDEX(EXTRATO!$H$2:$H$3000,MATCH($A1237,EXTRATO!$A$2:$A$3000,0))="","",INDEX(EXTRATO!$H$2:$H$3000,MATCH($A1237,EXTRATO!$A$2:$A$3000,0))))</f>
        <v/>
      </c>
      <c r="J1237" s="86" t="str">
        <f t="shared" si="25"/>
        <v>PENDENTE</v>
      </c>
      <c r="K1237" s="86" t="str">
        <f>IF(AND(A1237="",D1237="",E1237="",F1237=""),"",IF(D1237="","SEM CATEGORIA",IF(E1237="","SEM SUBCATEGORIA",IF(COUNTIFS(CADASTROS!$L$7:$L$93,D1237,CADASTROS!$D$7:$D$93,E1237)=0,"INCOMPATÍVEL","OK"))))</f>
        <v>SEM CATEGORIA</v>
      </c>
    </row>
    <row r="1238" spans="1:11" ht="30" hidden="1" customHeight="1" x14ac:dyDescent="0.25">
      <c r="A1238" s="86" t="str">
        <f>IF(COUNTIF(EXTRATO!$A$2:$A$3000,"BAN-01095")=0,"","BAN-01095")</f>
        <v>BAN-01095</v>
      </c>
      <c r="B1238" s="85" t="str">
        <f>IF(A1238="","",IF(INDEX(EXTRATO!$C$2:$C$3000,MATCH($A1238,EXTRATO!$A$2:$A$3000,0))="","",INDEX(EXTRATO!$C$2:$C$3000,MATCH($A1238,EXTRATO!$A$2:$A$3000,0))))</f>
        <v/>
      </c>
      <c r="C1238" s="86" t="str">
        <f t="shared" si="26"/>
        <v/>
      </c>
      <c r="D1238" s="81"/>
      <c r="E1238" s="79"/>
      <c r="F1238" s="80">
        <f>IF(A1238="","",SUMIF(EXTRATO!$A$2:$A$3000,$A1238,EXTRATO!$J$2:$J$3000)+SUMIF(EXTRATO!$A$2:$A$3000,$A1238,EXTRATO!$K$2:$K$3000)+SUMIF(EXTRATO!$A$2:$A$3000,$A1238,EXTRATO!$L$2:$L$3000)+SUMIF(EXTRATO!$A$2:$A$3000,$A1238,EXTRATO!$M$2:$M$3000))</f>
        <v>0</v>
      </c>
      <c r="G1238" s="81" t="str">
        <f>IF(A1238="","",IF(INDEX(EXTRATO!$G$2:$G$3000,MATCH($A1238,EXTRATO!$A$2:$A$3000,0))="","",INDEX(EXTRATO!$G$2:$G$3000,MATCH($A1238,EXTRATO!$A$2:$A$3000,0))))</f>
        <v/>
      </c>
      <c r="H1238" s="86" t="str">
        <f>IF(A1238="","",IF(INDEX(EXTRATO!$F$2:$F$3000,MATCH($A1238,EXTRATO!$A$2:$A$3000,0))="","",INDEX(EXTRATO!$F$2:$F$3000,MATCH($A1238,EXTRATO!$A$2:$A$3000,0))))</f>
        <v/>
      </c>
      <c r="I1238" s="88" t="str">
        <f>IF(A1238="","",IF(INDEX(EXTRATO!$H$2:$H$3000,MATCH($A1238,EXTRATO!$A$2:$A$3000,0))="","",INDEX(EXTRATO!$H$2:$H$3000,MATCH($A1238,EXTRATO!$A$2:$A$3000,0))))</f>
        <v/>
      </c>
      <c r="J1238" s="86" t="str">
        <f t="shared" si="25"/>
        <v>PENDENTE</v>
      </c>
      <c r="K1238" s="86" t="str">
        <f>IF(AND(A1238="",D1238="",E1238="",F1238=""),"",IF(D1238="","SEM CATEGORIA",IF(E1238="","SEM SUBCATEGORIA",IF(COUNTIFS(CADASTROS!$L$7:$L$93,D1238,CADASTROS!$D$7:$D$93,E1238)=0,"INCOMPATÍVEL","OK"))))</f>
        <v>SEM CATEGORIA</v>
      </c>
    </row>
    <row r="1239" spans="1:11" ht="30" hidden="1" customHeight="1" x14ac:dyDescent="0.25">
      <c r="A1239" s="86" t="str">
        <f>IF(COUNTIF(EXTRATO!$A$2:$A$3000,"BAN-01096")=0,"","BAN-01096")</f>
        <v>BAN-01096</v>
      </c>
      <c r="B1239" s="85" t="str">
        <f>IF(A1239="","",IF(INDEX(EXTRATO!$C$2:$C$3000,MATCH($A1239,EXTRATO!$A$2:$A$3000,0))="","",INDEX(EXTRATO!$C$2:$C$3000,MATCH($A1239,EXTRATO!$A$2:$A$3000,0))))</f>
        <v/>
      </c>
      <c r="C1239" s="86" t="str">
        <f t="shared" si="26"/>
        <v/>
      </c>
      <c r="D1239" s="81"/>
      <c r="E1239" s="79"/>
      <c r="F1239" s="80">
        <f>IF(A1239="","",SUMIF(EXTRATO!$A$2:$A$3000,$A1239,EXTRATO!$J$2:$J$3000)+SUMIF(EXTRATO!$A$2:$A$3000,$A1239,EXTRATO!$K$2:$K$3000)+SUMIF(EXTRATO!$A$2:$A$3000,$A1239,EXTRATO!$L$2:$L$3000)+SUMIF(EXTRATO!$A$2:$A$3000,$A1239,EXTRATO!$M$2:$M$3000))</f>
        <v>0</v>
      </c>
      <c r="G1239" s="81" t="str">
        <f>IF(A1239="","",IF(INDEX(EXTRATO!$G$2:$G$3000,MATCH($A1239,EXTRATO!$A$2:$A$3000,0))="","",INDEX(EXTRATO!$G$2:$G$3000,MATCH($A1239,EXTRATO!$A$2:$A$3000,0))))</f>
        <v/>
      </c>
      <c r="H1239" s="86" t="str">
        <f>IF(A1239="","",IF(INDEX(EXTRATO!$F$2:$F$3000,MATCH($A1239,EXTRATO!$A$2:$A$3000,0))="","",INDEX(EXTRATO!$F$2:$F$3000,MATCH($A1239,EXTRATO!$A$2:$A$3000,0))))</f>
        <v/>
      </c>
      <c r="I1239" s="88" t="str">
        <f>IF(A1239="","",IF(INDEX(EXTRATO!$H$2:$H$3000,MATCH($A1239,EXTRATO!$A$2:$A$3000,0))="","",INDEX(EXTRATO!$H$2:$H$3000,MATCH($A1239,EXTRATO!$A$2:$A$3000,0))))</f>
        <v/>
      </c>
      <c r="J1239" s="86" t="str">
        <f t="shared" si="25"/>
        <v>PENDENTE</v>
      </c>
      <c r="K1239" s="86" t="str">
        <f>IF(AND(A1239="",D1239="",E1239="",F1239=""),"",IF(D1239="","SEM CATEGORIA",IF(E1239="","SEM SUBCATEGORIA",IF(COUNTIFS(CADASTROS!$L$7:$L$93,D1239,CADASTROS!$D$7:$D$93,E1239)=0,"INCOMPATÍVEL","OK"))))</f>
        <v>SEM CATEGORIA</v>
      </c>
    </row>
    <row r="1240" spans="1:11" ht="30" hidden="1" customHeight="1" x14ac:dyDescent="0.25">
      <c r="A1240" s="86" t="str">
        <f>IF(COUNTIF(EXTRATO!$A$2:$A$3000,"BAN-01097")=0,"","BAN-01097")</f>
        <v>BAN-01097</v>
      </c>
      <c r="B1240" s="85" t="str">
        <f>IF(A1240="","",IF(INDEX(EXTRATO!$C$2:$C$3000,MATCH($A1240,EXTRATO!$A$2:$A$3000,0))="","",INDEX(EXTRATO!$C$2:$C$3000,MATCH($A1240,EXTRATO!$A$2:$A$3000,0))))</f>
        <v/>
      </c>
      <c r="C1240" s="86" t="str">
        <f t="shared" si="26"/>
        <v/>
      </c>
      <c r="D1240" s="81"/>
      <c r="E1240" s="79"/>
      <c r="F1240" s="80">
        <f>IF(A1240="","",SUMIF(EXTRATO!$A$2:$A$3000,$A1240,EXTRATO!$J$2:$J$3000)+SUMIF(EXTRATO!$A$2:$A$3000,$A1240,EXTRATO!$K$2:$K$3000)+SUMIF(EXTRATO!$A$2:$A$3000,$A1240,EXTRATO!$L$2:$L$3000)+SUMIF(EXTRATO!$A$2:$A$3000,$A1240,EXTRATO!$M$2:$M$3000))</f>
        <v>0</v>
      </c>
      <c r="G1240" s="81" t="str">
        <f>IF(A1240="","",IF(INDEX(EXTRATO!$G$2:$G$3000,MATCH($A1240,EXTRATO!$A$2:$A$3000,0))="","",INDEX(EXTRATO!$G$2:$G$3000,MATCH($A1240,EXTRATO!$A$2:$A$3000,0))))</f>
        <v/>
      </c>
      <c r="H1240" s="86" t="str">
        <f>IF(A1240="","",IF(INDEX(EXTRATO!$F$2:$F$3000,MATCH($A1240,EXTRATO!$A$2:$A$3000,0))="","",INDEX(EXTRATO!$F$2:$F$3000,MATCH($A1240,EXTRATO!$A$2:$A$3000,0))))</f>
        <v/>
      </c>
      <c r="I1240" s="88" t="str">
        <f>IF(A1240="","",IF(INDEX(EXTRATO!$H$2:$H$3000,MATCH($A1240,EXTRATO!$A$2:$A$3000,0))="","",INDEX(EXTRATO!$H$2:$H$3000,MATCH($A1240,EXTRATO!$A$2:$A$3000,0))))</f>
        <v/>
      </c>
      <c r="J1240" s="86" t="str">
        <f t="shared" si="25"/>
        <v>PENDENTE</v>
      </c>
      <c r="K1240" s="86" t="str">
        <f>IF(AND(A1240="",D1240="",E1240="",F1240=""),"",IF(D1240="","SEM CATEGORIA",IF(E1240="","SEM SUBCATEGORIA",IF(COUNTIFS(CADASTROS!$L$7:$L$93,D1240,CADASTROS!$D$7:$D$93,E1240)=0,"INCOMPATÍVEL","OK"))))</f>
        <v>SEM CATEGORIA</v>
      </c>
    </row>
    <row r="1241" spans="1:11" ht="30" hidden="1" customHeight="1" x14ac:dyDescent="0.25">
      <c r="A1241" s="86" t="str">
        <f>IF(COUNTIF(EXTRATO!$A$2:$A$3000,"BAN-01098")=0,"","BAN-01098")</f>
        <v>BAN-01098</v>
      </c>
      <c r="B1241" s="85" t="str">
        <f>IF(A1241="","",IF(INDEX(EXTRATO!$C$2:$C$3000,MATCH($A1241,EXTRATO!$A$2:$A$3000,0))="","",INDEX(EXTRATO!$C$2:$C$3000,MATCH($A1241,EXTRATO!$A$2:$A$3000,0))))</f>
        <v/>
      </c>
      <c r="C1241" s="86" t="str">
        <f t="shared" si="26"/>
        <v/>
      </c>
      <c r="D1241" s="81"/>
      <c r="E1241" s="79"/>
      <c r="F1241" s="80">
        <f>IF(A1241="","",SUMIF(EXTRATO!$A$2:$A$3000,$A1241,EXTRATO!$J$2:$J$3000)+SUMIF(EXTRATO!$A$2:$A$3000,$A1241,EXTRATO!$K$2:$K$3000)+SUMIF(EXTRATO!$A$2:$A$3000,$A1241,EXTRATO!$L$2:$L$3000)+SUMIF(EXTRATO!$A$2:$A$3000,$A1241,EXTRATO!$M$2:$M$3000))</f>
        <v>0</v>
      </c>
      <c r="G1241" s="81" t="str">
        <f>IF(A1241="","",IF(INDEX(EXTRATO!$G$2:$G$3000,MATCH($A1241,EXTRATO!$A$2:$A$3000,0))="","",INDEX(EXTRATO!$G$2:$G$3000,MATCH($A1241,EXTRATO!$A$2:$A$3000,0))))</f>
        <v/>
      </c>
      <c r="H1241" s="86" t="str">
        <f>IF(A1241="","",IF(INDEX(EXTRATO!$F$2:$F$3000,MATCH($A1241,EXTRATO!$A$2:$A$3000,0))="","",INDEX(EXTRATO!$F$2:$F$3000,MATCH($A1241,EXTRATO!$A$2:$A$3000,0))))</f>
        <v/>
      </c>
      <c r="I1241" s="88" t="str">
        <f>IF(A1241="","",IF(INDEX(EXTRATO!$H$2:$H$3000,MATCH($A1241,EXTRATO!$A$2:$A$3000,0))="","",INDEX(EXTRATO!$H$2:$H$3000,MATCH($A1241,EXTRATO!$A$2:$A$3000,0))))</f>
        <v/>
      </c>
      <c r="J1241" s="86" t="str">
        <f t="shared" si="25"/>
        <v>PENDENTE</v>
      </c>
      <c r="K1241" s="86" t="str">
        <f>IF(AND(A1241="",D1241="",E1241="",F1241=""),"",IF(D1241="","SEM CATEGORIA",IF(E1241="","SEM SUBCATEGORIA",IF(COUNTIFS(CADASTROS!$L$7:$L$93,D1241,CADASTROS!$D$7:$D$93,E1241)=0,"INCOMPATÍVEL","OK"))))</f>
        <v>SEM CATEGORIA</v>
      </c>
    </row>
    <row r="1242" spans="1:11" ht="30" hidden="1" customHeight="1" x14ac:dyDescent="0.25">
      <c r="A1242" s="86" t="str">
        <f>IF(COUNTIF(EXTRATO!$A$2:$A$3000,"BAN-01099")=0,"","BAN-01099")</f>
        <v>BAN-01099</v>
      </c>
      <c r="B1242" s="85" t="str">
        <f>IF(A1242="","",IF(INDEX(EXTRATO!$C$2:$C$3000,MATCH($A1242,EXTRATO!$A$2:$A$3000,0))="","",INDEX(EXTRATO!$C$2:$C$3000,MATCH($A1242,EXTRATO!$A$2:$A$3000,0))))</f>
        <v/>
      </c>
      <c r="C1242" s="86" t="str">
        <f t="shared" si="26"/>
        <v/>
      </c>
      <c r="D1242" s="81"/>
      <c r="E1242" s="79"/>
      <c r="F1242" s="80">
        <f>IF(A1242="","",SUMIF(EXTRATO!$A$2:$A$3000,$A1242,EXTRATO!$J$2:$J$3000)+SUMIF(EXTRATO!$A$2:$A$3000,$A1242,EXTRATO!$K$2:$K$3000)+SUMIF(EXTRATO!$A$2:$A$3000,$A1242,EXTRATO!$L$2:$L$3000)+SUMIF(EXTRATO!$A$2:$A$3000,$A1242,EXTRATO!$M$2:$M$3000))</f>
        <v>0</v>
      </c>
      <c r="G1242" s="81" t="str">
        <f>IF(A1242="","",IF(INDEX(EXTRATO!$G$2:$G$3000,MATCH($A1242,EXTRATO!$A$2:$A$3000,0))="","",INDEX(EXTRATO!$G$2:$G$3000,MATCH($A1242,EXTRATO!$A$2:$A$3000,0))))</f>
        <v/>
      </c>
      <c r="H1242" s="86" t="str">
        <f>IF(A1242="","",IF(INDEX(EXTRATO!$F$2:$F$3000,MATCH($A1242,EXTRATO!$A$2:$A$3000,0))="","",INDEX(EXTRATO!$F$2:$F$3000,MATCH($A1242,EXTRATO!$A$2:$A$3000,0))))</f>
        <v/>
      </c>
      <c r="I1242" s="88" t="str">
        <f>IF(A1242="","",IF(INDEX(EXTRATO!$H$2:$H$3000,MATCH($A1242,EXTRATO!$A$2:$A$3000,0))="","",INDEX(EXTRATO!$H$2:$H$3000,MATCH($A1242,EXTRATO!$A$2:$A$3000,0))))</f>
        <v/>
      </c>
      <c r="J1242" s="86" t="str">
        <f t="shared" si="25"/>
        <v>PENDENTE</v>
      </c>
      <c r="K1242" s="86" t="str">
        <f>IF(AND(A1242="",D1242="",E1242="",F1242=""),"",IF(D1242="","SEM CATEGORIA",IF(E1242="","SEM SUBCATEGORIA",IF(COUNTIFS(CADASTROS!$L$7:$L$93,D1242,CADASTROS!$D$7:$D$93,E1242)=0,"INCOMPATÍVEL","OK"))))</f>
        <v>SEM CATEGORIA</v>
      </c>
    </row>
    <row r="1243" spans="1:11" ht="30" hidden="1" customHeight="1" x14ac:dyDescent="0.25">
      <c r="A1243" s="86" t="str">
        <f>IF(COUNTIF(EXTRATO!$A$2:$A$3000,"BAN-01100")=0,"","BAN-01100")</f>
        <v>BAN-01100</v>
      </c>
      <c r="B1243" s="85" t="str">
        <f>IF(A1243="","",IF(INDEX(EXTRATO!$C$2:$C$3000,MATCH($A1243,EXTRATO!$A$2:$A$3000,0))="","",INDEX(EXTRATO!$C$2:$C$3000,MATCH($A1243,EXTRATO!$A$2:$A$3000,0))))</f>
        <v/>
      </c>
      <c r="C1243" s="86" t="str">
        <f t="shared" si="26"/>
        <v/>
      </c>
      <c r="D1243" s="81"/>
      <c r="E1243" s="79"/>
      <c r="F1243" s="80">
        <f>IF(A1243="","",SUMIF(EXTRATO!$A$2:$A$3000,$A1243,EXTRATO!$J$2:$J$3000)+SUMIF(EXTRATO!$A$2:$A$3000,$A1243,EXTRATO!$K$2:$K$3000)+SUMIF(EXTRATO!$A$2:$A$3000,$A1243,EXTRATO!$L$2:$L$3000)+SUMIF(EXTRATO!$A$2:$A$3000,$A1243,EXTRATO!$M$2:$M$3000))</f>
        <v>0</v>
      </c>
      <c r="G1243" s="81" t="str">
        <f>IF(A1243="","",IF(INDEX(EXTRATO!$G$2:$G$3000,MATCH($A1243,EXTRATO!$A$2:$A$3000,0))="","",INDEX(EXTRATO!$G$2:$G$3000,MATCH($A1243,EXTRATO!$A$2:$A$3000,0))))</f>
        <v/>
      </c>
      <c r="H1243" s="86" t="str">
        <f>IF(A1243="","",IF(INDEX(EXTRATO!$F$2:$F$3000,MATCH($A1243,EXTRATO!$A$2:$A$3000,0))="","",INDEX(EXTRATO!$F$2:$F$3000,MATCH($A1243,EXTRATO!$A$2:$A$3000,0))))</f>
        <v/>
      </c>
      <c r="I1243" s="88" t="str">
        <f>IF(A1243="","",IF(INDEX(EXTRATO!$H$2:$H$3000,MATCH($A1243,EXTRATO!$A$2:$A$3000,0))="","",INDEX(EXTRATO!$H$2:$H$3000,MATCH($A1243,EXTRATO!$A$2:$A$3000,0))))</f>
        <v/>
      </c>
      <c r="J1243" s="86" t="str">
        <f t="shared" si="25"/>
        <v>PENDENTE</v>
      </c>
      <c r="K1243" s="86" t="str">
        <f>IF(AND(A1243="",D1243="",E1243="",F1243=""),"",IF(D1243="","SEM CATEGORIA",IF(E1243="","SEM SUBCATEGORIA",IF(COUNTIFS(CADASTROS!$L$7:$L$93,D1243,CADASTROS!$D$7:$D$93,E1243)=0,"INCOMPATÍVEL","OK"))))</f>
        <v>SEM CATEGORIA</v>
      </c>
    </row>
    <row r="1244" spans="1:11" ht="30" hidden="1" customHeight="1" x14ac:dyDescent="0.25">
      <c r="A1244" s="86" t="str">
        <f>IF(COUNTIF(EXTRATO!$A$2:$A$3000,"BAN-01101")=0,"","BAN-01101")</f>
        <v/>
      </c>
      <c r="B1244" s="85" t="str">
        <f>IF(A1244="","",IF(INDEX(EXTRATO!$C$2:$C$3000,MATCH($A1244,EXTRATO!$A$2:$A$3000,0))="","",INDEX(EXTRATO!$C$2:$C$3000,MATCH($A1244,EXTRATO!$A$2:$A$3000,0))))</f>
        <v/>
      </c>
      <c r="C1244" s="86" t="str">
        <f t="shared" si="26"/>
        <v/>
      </c>
      <c r="D1244" s="81"/>
      <c r="E1244" s="79"/>
      <c r="F1244" s="80" t="str">
        <f>IF(A1244="","",SUMIF(EXTRATO!$A$2:$A$3000,$A1244,EXTRATO!$J$2:$J$3000)+SUMIF(EXTRATO!$A$2:$A$3000,$A1244,EXTRATO!$K$2:$K$3000)+SUMIF(EXTRATO!$A$2:$A$3000,$A1244,EXTRATO!$L$2:$L$3000)+SUMIF(EXTRATO!$A$2:$A$3000,$A1244,EXTRATO!$M$2:$M$3000))</f>
        <v/>
      </c>
      <c r="G1244" s="81" t="str">
        <f>IF(A1244="","",IF(INDEX(EXTRATO!$G$2:$G$3000,MATCH($A1244,EXTRATO!$A$2:$A$3000,0))="","",INDEX(EXTRATO!$G$2:$G$3000,MATCH($A1244,EXTRATO!$A$2:$A$3000,0))))</f>
        <v/>
      </c>
      <c r="H1244" s="86" t="str">
        <f>IF(A1244="","",IF(INDEX(EXTRATO!$F$2:$F$3000,MATCH($A1244,EXTRATO!$A$2:$A$3000,0))="","",INDEX(EXTRATO!$F$2:$F$3000,MATCH($A1244,EXTRATO!$A$2:$A$3000,0))))</f>
        <v/>
      </c>
      <c r="I1244" s="88" t="str">
        <f>IF(A1244="","",IF(INDEX(EXTRATO!$H$2:$H$3000,MATCH($A1244,EXTRATO!$A$2:$A$3000,0))="","",INDEX(EXTRATO!$H$2:$H$3000,MATCH($A1244,EXTRATO!$A$2:$A$3000,0))))</f>
        <v/>
      </c>
      <c r="J1244" s="86" t="str">
        <f t="shared" si="25"/>
        <v/>
      </c>
      <c r="K1244" s="86" t="str">
        <f>IF(AND(A1244="",D1244="",E1244="",F1244=""),"",IF(D1244="","SEM CATEGORIA",IF(E1244="","SEM SUBCATEGORIA",IF(COUNTIFS(CADASTROS!$L$7:$L$93,D1244,CADASTROS!$D$7:$D$93,E1244)=0,"INCOMPATÍVEL","OK"))))</f>
        <v/>
      </c>
    </row>
    <row r="1245" spans="1:11" ht="30" hidden="1" customHeight="1" x14ac:dyDescent="0.25">
      <c r="A1245" s="86" t="str">
        <f>IF(COUNTIF(EXTRATO!$A$2:$A$3000,"BAN-01102")=0,"","BAN-01102")</f>
        <v/>
      </c>
      <c r="B1245" s="85" t="str">
        <f>IF(A1245="","",IF(INDEX(EXTRATO!$C$2:$C$3000,MATCH($A1245,EXTRATO!$A$2:$A$3000,0))="","",INDEX(EXTRATO!$C$2:$C$3000,MATCH($A1245,EXTRATO!$A$2:$A$3000,0))))</f>
        <v/>
      </c>
      <c r="C1245" s="86" t="str">
        <f t="shared" si="26"/>
        <v/>
      </c>
      <c r="D1245" s="81"/>
      <c r="E1245" s="79"/>
      <c r="F1245" s="80" t="str">
        <f>IF(A1245="","",SUMIF(EXTRATO!$A$2:$A$3000,$A1245,EXTRATO!$J$2:$J$3000)+SUMIF(EXTRATO!$A$2:$A$3000,$A1245,EXTRATO!$K$2:$K$3000)+SUMIF(EXTRATO!$A$2:$A$3000,$A1245,EXTRATO!$L$2:$L$3000)+SUMIF(EXTRATO!$A$2:$A$3000,$A1245,EXTRATO!$M$2:$M$3000))</f>
        <v/>
      </c>
      <c r="G1245" s="81" t="str">
        <f>IF(A1245="","",IF(INDEX(EXTRATO!$G$2:$G$3000,MATCH($A1245,EXTRATO!$A$2:$A$3000,0))="","",INDEX(EXTRATO!$G$2:$G$3000,MATCH($A1245,EXTRATO!$A$2:$A$3000,0))))</f>
        <v/>
      </c>
      <c r="H1245" s="86" t="str">
        <f>IF(A1245="","",IF(INDEX(EXTRATO!$F$2:$F$3000,MATCH($A1245,EXTRATO!$A$2:$A$3000,0))="","",INDEX(EXTRATO!$F$2:$F$3000,MATCH($A1245,EXTRATO!$A$2:$A$3000,0))))</f>
        <v/>
      </c>
      <c r="I1245" s="88" t="str">
        <f>IF(A1245="","",IF(INDEX(EXTRATO!$H$2:$H$3000,MATCH($A1245,EXTRATO!$A$2:$A$3000,0))="","",INDEX(EXTRATO!$H$2:$H$3000,MATCH($A1245,EXTRATO!$A$2:$A$3000,0))))</f>
        <v/>
      </c>
      <c r="J1245" s="86" t="str">
        <f t="shared" si="25"/>
        <v/>
      </c>
      <c r="K1245" s="86" t="str">
        <f>IF(AND(A1245="",D1245="",E1245="",F1245=""),"",IF(D1245="","SEM CATEGORIA",IF(E1245="","SEM SUBCATEGORIA",IF(COUNTIFS(CADASTROS!$L$7:$L$93,D1245,CADASTROS!$D$7:$D$93,E1245)=0,"INCOMPATÍVEL","OK"))))</f>
        <v/>
      </c>
    </row>
    <row r="1246" spans="1:11" ht="30" hidden="1" customHeight="1" x14ac:dyDescent="0.25">
      <c r="A1246" s="86" t="str">
        <f>IF(COUNTIF(EXTRATO!$A$2:$A$3000,"BAN-01103")=0,"","BAN-01103")</f>
        <v/>
      </c>
      <c r="B1246" s="85" t="str">
        <f>IF(A1246="","",IF(INDEX(EXTRATO!$C$2:$C$3000,MATCH($A1246,EXTRATO!$A$2:$A$3000,0))="","",INDEX(EXTRATO!$C$2:$C$3000,MATCH($A1246,EXTRATO!$A$2:$A$3000,0))))</f>
        <v/>
      </c>
      <c r="C1246" s="86" t="str">
        <f t="shared" si="26"/>
        <v/>
      </c>
      <c r="D1246" s="81"/>
      <c r="E1246" s="79"/>
      <c r="F1246" s="80" t="str">
        <f>IF(A1246="","",SUMIF(EXTRATO!$A$2:$A$3000,$A1246,EXTRATO!$J$2:$J$3000)+SUMIF(EXTRATO!$A$2:$A$3000,$A1246,EXTRATO!$K$2:$K$3000)+SUMIF(EXTRATO!$A$2:$A$3000,$A1246,EXTRATO!$L$2:$L$3000)+SUMIF(EXTRATO!$A$2:$A$3000,$A1246,EXTRATO!$M$2:$M$3000))</f>
        <v/>
      </c>
      <c r="G1246" s="81" t="str">
        <f>IF(A1246="","",IF(INDEX(EXTRATO!$G$2:$G$3000,MATCH($A1246,EXTRATO!$A$2:$A$3000,0))="","",INDEX(EXTRATO!$G$2:$G$3000,MATCH($A1246,EXTRATO!$A$2:$A$3000,0))))</f>
        <v/>
      </c>
      <c r="H1246" s="86" t="str">
        <f>IF(A1246="","",IF(INDEX(EXTRATO!$F$2:$F$3000,MATCH($A1246,EXTRATO!$A$2:$A$3000,0))="","",INDEX(EXTRATO!$F$2:$F$3000,MATCH($A1246,EXTRATO!$A$2:$A$3000,0))))</f>
        <v/>
      </c>
      <c r="I1246" s="88" t="str">
        <f>IF(A1246="","",IF(INDEX(EXTRATO!$H$2:$H$3000,MATCH($A1246,EXTRATO!$A$2:$A$3000,0))="","",INDEX(EXTRATO!$H$2:$H$3000,MATCH($A1246,EXTRATO!$A$2:$A$3000,0))))</f>
        <v/>
      </c>
      <c r="J1246" s="86" t="str">
        <f t="shared" si="25"/>
        <v/>
      </c>
      <c r="K1246" s="86" t="str">
        <f>IF(AND(A1246="",D1246="",E1246="",F1246=""),"",IF(D1246="","SEM CATEGORIA",IF(E1246="","SEM SUBCATEGORIA",IF(COUNTIFS(CADASTROS!$L$7:$L$93,D1246,CADASTROS!$D$7:$D$93,E1246)=0,"INCOMPATÍVEL","OK"))))</f>
        <v/>
      </c>
    </row>
    <row r="1247" spans="1:11" ht="30" hidden="1" customHeight="1" x14ac:dyDescent="0.25">
      <c r="A1247" s="86" t="str">
        <f>IF(COUNTIF(EXTRATO!$A$2:$A$3000,"BAN-01104")=0,"","BAN-01104")</f>
        <v/>
      </c>
      <c r="B1247" s="85" t="str">
        <f>IF(A1247="","",IF(INDEX(EXTRATO!$C$2:$C$3000,MATCH($A1247,EXTRATO!$A$2:$A$3000,0))="","",INDEX(EXTRATO!$C$2:$C$3000,MATCH($A1247,EXTRATO!$A$2:$A$3000,0))))</f>
        <v/>
      </c>
      <c r="C1247" s="86" t="str">
        <f t="shared" si="26"/>
        <v/>
      </c>
      <c r="D1247" s="81"/>
      <c r="E1247" s="79"/>
      <c r="F1247" s="80" t="str">
        <f>IF(A1247="","",SUMIF(EXTRATO!$A$2:$A$3000,$A1247,EXTRATO!$J$2:$J$3000)+SUMIF(EXTRATO!$A$2:$A$3000,$A1247,EXTRATO!$K$2:$K$3000)+SUMIF(EXTRATO!$A$2:$A$3000,$A1247,EXTRATO!$L$2:$L$3000)+SUMIF(EXTRATO!$A$2:$A$3000,$A1247,EXTRATO!$M$2:$M$3000))</f>
        <v/>
      </c>
      <c r="G1247" s="81" t="str">
        <f>IF(A1247="","",IF(INDEX(EXTRATO!$G$2:$G$3000,MATCH($A1247,EXTRATO!$A$2:$A$3000,0))="","",INDEX(EXTRATO!$G$2:$G$3000,MATCH($A1247,EXTRATO!$A$2:$A$3000,0))))</f>
        <v/>
      </c>
      <c r="H1247" s="86" t="str">
        <f>IF(A1247="","",IF(INDEX(EXTRATO!$F$2:$F$3000,MATCH($A1247,EXTRATO!$A$2:$A$3000,0))="","",INDEX(EXTRATO!$F$2:$F$3000,MATCH($A1247,EXTRATO!$A$2:$A$3000,0))))</f>
        <v/>
      </c>
      <c r="I1247" s="88" t="str">
        <f>IF(A1247="","",IF(INDEX(EXTRATO!$H$2:$H$3000,MATCH($A1247,EXTRATO!$A$2:$A$3000,0))="","",INDEX(EXTRATO!$H$2:$H$3000,MATCH($A1247,EXTRATO!$A$2:$A$3000,0))))</f>
        <v/>
      </c>
      <c r="J1247" s="86" t="str">
        <f t="shared" si="25"/>
        <v/>
      </c>
      <c r="K1247" s="86" t="str">
        <f>IF(AND(A1247="",D1247="",E1247="",F1247=""),"",IF(D1247="","SEM CATEGORIA",IF(E1247="","SEM SUBCATEGORIA",IF(COUNTIFS(CADASTROS!$L$7:$L$93,D1247,CADASTROS!$D$7:$D$93,E1247)=0,"INCOMPATÍVEL","OK"))))</f>
        <v/>
      </c>
    </row>
    <row r="1248" spans="1:11" ht="30" hidden="1" customHeight="1" x14ac:dyDescent="0.25">
      <c r="A1248" s="86" t="str">
        <f>IF(COUNTIF(EXTRATO!$A$2:$A$3000,"BAN-01105")=0,"","BAN-01105")</f>
        <v/>
      </c>
      <c r="B1248" s="85" t="str">
        <f>IF(A1248="","",IF(INDEX(EXTRATO!$C$2:$C$3000,MATCH($A1248,EXTRATO!$A$2:$A$3000,0))="","",INDEX(EXTRATO!$C$2:$C$3000,MATCH($A1248,EXTRATO!$A$2:$A$3000,0))))</f>
        <v/>
      </c>
      <c r="C1248" s="86" t="str">
        <f t="shared" si="26"/>
        <v/>
      </c>
      <c r="D1248" s="81"/>
      <c r="E1248" s="79"/>
      <c r="F1248" s="80" t="str">
        <f>IF(A1248="","",SUMIF(EXTRATO!$A$2:$A$3000,$A1248,EXTRATO!$J$2:$J$3000)+SUMIF(EXTRATO!$A$2:$A$3000,$A1248,EXTRATO!$K$2:$K$3000)+SUMIF(EXTRATO!$A$2:$A$3000,$A1248,EXTRATO!$L$2:$L$3000)+SUMIF(EXTRATO!$A$2:$A$3000,$A1248,EXTRATO!$M$2:$M$3000))</f>
        <v/>
      </c>
      <c r="G1248" s="81" t="str">
        <f>IF(A1248="","",IF(INDEX(EXTRATO!$G$2:$G$3000,MATCH($A1248,EXTRATO!$A$2:$A$3000,0))="","",INDEX(EXTRATO!$G$2:$G$3000,MATCH($A1248,EXTRATO!$A$2:$A$3000,0))))</f>
        <v/>
      </c>
      <c r="H1248" s="86" t="str">
        <f>IF(A1248="","",IF(INDEX(EXTRATO!$F$2:$F$3000,MATCH($A1248,EXTRATO!$A$2:$A$3000,0))="","",INDEX(EXTRATO!$F$2:$F$3000,MATCH($A1248,EXTRATO!$A$2:$A$3000,0))))</f>
        <v/>
      </c>
      <c r="I1248" s="88" t="str">
        <f>IF(A1248="","",IF(INDEX(EXTRATO!$H$2:$H$3000,MATCH($A1248,EXTRATO!$A$2:$A$3000,0))="","",INDEX(EXTRATO!$H$2:$H$3000,MATCH($A1248,EXTRATO!$A$2:$A$3000,0))))</f>
        <v/>
      </c>
      <c r="J1248" s="86" t="str">
        <f t="shared" si="25"/>
        <v/>
      </c>
      <c r="K1248" s="86" t="str">
        <f>IF(AND(A1248="",D1248="",E1248="",F1248=""),"",IF(D1248="","SEM CATEGORIA",IF(E1248="","SEM SUBCATEGORIA",IF(COUNTIFS(CADASTROS!$L$7:$L$93,D1248,CADASTROS!$D$7:$D$93,E1248)=0,"INCOMPATÍVEL","OK"))))</f>
        <v/>
      </c>
    </row>
    <row r="1249" spans="1:11" ht="30" hidden="1" customHeight="1" x14ac:dyDescent="0.25">
      <c r="A1249" s="86" t="str">
        <f>IF(COUNTIF(EXTRATO!$A$2:$A$3000,"BAN-01106")=0,"","BAN-01106")</f>
        <v/>
      </c>
      <c r="B1249" s="85" t="str">
        <f>IF(A1249="","",IF(INDEX(EXTRATO!$C$2:$C$3000,MATCH($A1249,EXTRATO!$A$2:$A$3000,0))="","",INDEX(EXTRATO!$C$2:$C$3000,MATCH($A1249,EXTRATO!$A$2:$A$3000,0))))</f>
        <v/>
      </c>
      <c r="C1249" s="86" t="str">
        <f t="shared" si="26"/>
        <v/>
      </c>
      <c r="D1249" s="81"/>
      <c r="E1249" s="79"/>
      <c r="F1249" s="80" t="str">
        <f>IF(A1249="","",SUMIF(EXTRATO!$A$2:$A$3000,$A1249,EXTRATO!$J$2:$J$3000)+SUMIF(EXTRATO!$A$2:$A$3000,$A1249,EXTRATO!$K$2:$K$3000)+SUMIF(EXTRATO!$A$2:$A$3000,$A1249,EXTRATO!$L$2:$L$3000)+SUMIF(EXTRATO!$A$2:$A$3000,$A1249,EXTRATO!$M$2:$M$3000))</f>
        <v/>
      </c>
      <c r="G1249" s="81" t="str">
        <f>IF(A1249="","",IF(INDEX(EXTRATO!$G$2:$G$3000,MATCH($A1249,EXTRATO!$A$2:$A$3000,0))="","",INDEX(EXTRATO!$G$2:$G$3000,MATCH($A1249,EXTRATO!$A$2:$A$3000,0))))</f>
        <v/>
      </c>
      <c r="H1249" s="86" t="str">
        <f>IF(A1249="","",IF(INDEX(EXTRATO!$F$2:$F$3000,MATCH($A1249,EXTRATO!$A$2:$A$3000,0))="","",INDEX(EXTRATO!$F$2:$F$3000,MATCH($A1249,EXTRATO!$A$2:$A$3000,0))))</f>
        <v/>
      </c>
      <c r="I1249" s="88" t="str">
        <f>IF(A1249="","",IF(INDEX(EXTRATO!$H$2:$H$3000,MATCH($A1249,EXTRATO!$A$2:$A$3000,0))="","",INDEX(EXTRATO!$H$2:$H$3000,MATCH($A1249,EXTRATO!$A$2:$A$3000,0))))</f>
        <v/>
      </c>
      <c r="J1249" s="86" t="str">
        <f t="shared" si="25"/>
        <v/>
      </c>
      <c r="K1249" s="86" t="str">
        <f>IF(AND(A1249="",D1249="",E1249="",F1249=""),"",IF(D1249="","SEM CATEGORIA",IF(E1249="","SEM SUBCATEGORIA",IF(COUNTIFS(CADASTROS!$L$7:$L$93,D1249,CADASTROS!$D$7:$D$93,E1249)=0,"INCOMPATÍVEL","OK"))))</f>
        <v/>
      </c>
    </row>
    <row r="1250" spans="1:11" ht="30" hidden="1" customHeight="1" x14ac:dyDescent="0.25">
      <c r="A1250" s="86" t="str">
        <f>IF(COUNTIF(EXTRATO!$A$2:$A$3000,"BAN-01107")=0,"","BAN-01107")</f>
        <v/>
      </c>
      <c r="B1250" s="85" t="str">
        <f>IF(A1250="","",IF(INDEX(EXTRATO!$C$2:$C$3000,MATCH($A1250,EXTRATO!$A$2:$A$3000,0))="","",INDEX(EXTRATO!$C$2:$C$3000,MATCH($A1250,EXTRATO!$A$2:$A$3000,0))))</f>
        <v/>
      </c>
      <c r="C1250" s="86" t="str">
        <f t="shared" si="26"/>
        <v/>
      </c>
      <c r="D1250" s="81"/>
      <c r="E1250" s="79"/>
      <c r="F1250" s="80" t="str">
        <f>IF(A1250="","",SUMIF(EXTRATO!$A$2:$A$3000,$A1250,EXTRATO!$J$2:$J$3000)+SUMIF(EXTRATO!$A$2:$A$3000,$A1250,EXTRATO!$K$2:$K$3000)+SUMIF(EXTRATO!$A$2:$A$3000,$A1250,EXTRATO!$L$2:$L$3000)+SUMIF(EXTRATO!$A$2:$A$3000,$A1250,EXTRATO!$M$2:$M$3000))</f>
        <v/>
      </c>
      <c r="G1250" s="81" t="str">
        <f>IF(A1250="","",IF(INDEX(EXTRATO!$G$2:$G$3000,MATCH($A1250,EXTRATO!$A$2:$A$3000,0))="","",INDEX(EXTRATO!$G$2:$G$3000,MATCH($A1250,EXTRATO!$A$2:$A$3000,0))))</f>
        <v/>
      </c>
      <c r="H1250" s="86" t="str">
        <f>IF(A1250="","",IF(INDEX(EXTRATO!$F$2:$F$3000,MATCH($A1250,EXTRATO!$A$2:$A$3000,0))="","",INDEX(EXTRATO!$F$2:$F$3000,MATCH($A1250,EXTRATO!$A$2:$A$3000,0))))</f>
        <v/>
      </c>
      <c r="I1250" s="88" t="str">
        <f>IF(A1250="","",IF(INDEX(EXTRATO!$H$2:$H$3000,MATCH($A1250,EXTRATO!$A$2:$A$3000,0))="","",INDEX(EXTRATO!$H$2:$H$3000,MATCH($A1250,EXTRATO!$A$2:$A$3000,0))))</f>
        <v/>
      </c>
      <c r="J1250" s="86" t="str">
        <f t="shared" si="25"/>
        <v/>
      </c>
      <c r="K1250" s="86" t="str">
        <f>IF(AND(A1250="",D1250="",E1250="",F1250=""),"",IF(D1250="","SEM CATEGORIA",IF(E1250="","SEM SUBCATEGORIA",IF(COUNTIFS(CADASTROS!$L$7:$L$93,D1250,CADASTROS!$D$7:$D$93,E1250)=0,"INCOMPATÍVEL","OK"))))</f>
        <v/>
      </c>
    </row>
    <row r="1251" spans="1:11" ht="30" hidden="1" customHeight="1" x14ac:dyDescent="0.25">
      <c r="A1251" s="86" t="str">
        <f>IF(COUNTIF(EXTRATO!$A$2:$A$3000,"BAN-01108")=0,"","BAN-01108")</f>
        <v/>
      </c>
      <c r="B1251" s="85" t="str">
        <f>IF(A1251="","",IF(INDEX(EXTRATO!$C$2:$C$3000,MATCH($A1251,EXTRATO!$A$2:$A$3000,0))="","",INDEX(EXTRATO!$C$2:$C$3000,MATCH($A1251,EXTRATO!$A$2:$A$3000,0))))</f>
        <v/>
      </c>
      <c r="C1251" s="86" t="str">
        <f t="shared" si="26"/>
        <v/>
      </c>
      <c r="D1251" s="81"/>
      <c r="E1251" s="79"/>
      <c r="F1251" s="80" t="str">
        <f>IF(A1251="","",SUMIF(EXTRATO!$A$2:$A$3000,$A1251,EXTRATO!$J$2:$J$3000)+SUMIF(EXTRATO!$A$2:$A$3000,$A1251,EXTRATO!$K$2:$K$3000)+SUMIF(EXTRATO!$A$2:$A$3000,$A1251,EXTRATO!$L$2:$L$3000)+SUMIF(EXTRATO!$A$2:$A$3000,$A1251,EXTRATO!$M$2:$M$3000))</f>
        <v/>
      </c>
      <c r="G1251" s="81" t="str">
        <f>IF(A1251="","",IF(INDEX(EXTRATO!$G$2:$G$3000,MATCH($A1251,EXTRATO!$A$2:$A$3000,0))="","",INDEX(EXTRATO!$G$2:$G$3000,MATCH($A1251,EXTRATO!$A$2:$A$3000,0))))</f>
        <v/>
      </c>
      <c r="H1251" s="86" t="str">
        <f>IF(A1251="","",IF(INDEX(EXTRATO!$F$2:$F$3000,MATCH($A1251,EXTRATO!$A$2:$A$3000,0))="","",INDEX(EXTRATO!$F$2:$F$3000,MATCH($A1251,EXTRATO!$A$2:$A$3000,0))))</f>
        <v/>
      </c>
      <c r="I1251" s="88" t="str">
        <f>IF(A1251="","",IF(INDEX(EXTRATO!$H$2:$H$3000,MATCH($A1251,EXTRATO!$A$2:$A$3000,0))="","",INDEX(EXTRATO!$H$2:$H$3000,MATCH($A1251,EXTRATO!$A$2:$A$3000,0))))</f>
        <v/>
      </c>
      <c r="J1251" s="86" t="str">
        <f t="shared" si="25"/>
        <v/>
      </c>
      <c r="K1251" s="86" t="str">
        <f>IF(AND(A1251="",D1251="",E1251="",F1251=""),"",IF(D1251="","SEM CATEGORIA",IF(E1251="","SEM SUBCATEGORIA",IF(COUNTIFS(CADASTROS!$L$7:$L$93,D1251,CADASTROS!$D$7:$D$93,E1251)=0,"INCOMPATÍVEL","OK"))))</f>
        <v/>
      </c>
    </row>
    <row r="1252" spans="1:11" ht="30" hidden="1" customHeight="1" x14ac:dyDescent="0.25">
      <c r="A1252" s="86" t="str">
        <f>IF(COUNTIF(EXTRATO!$A$2:$A$3000,"BAN-01109")=0,"","BAN-01109")</f>
        <v/>
      </c>
      <c r="B1252" s="85" t="str">
        <f>IF(A1252="","",IF(INDEX(EXTRATO!$C$2:$C$3000,MATCH($A1252,EXTRATO!$A$2:$A$3000,0))="","",INDEX(EXTRATO!$C$2:$C$3000,MATCH($A1252,EXTRATO!$A$2:$A$3000,0))))</f>
        <v/>
      </c>
      <c r="C1252" s="86" t="str">
        <f t="shared" si="26"/>
        <v/>
      </c>
      <c r="D1252" s="81"/>
      <c r="E1252" s="79"/>
      <c r="F1252" s="80" t="str">
        <f>IF(A1252="","",SUMIF(EXTRATO!$A$2:$A$3000,$A1252,EXTRATO!$J$2:$J$3000)+SUMIF(EXTRATO!$A$2:$A$3000,$A1252,EXTRATO!$K$2:$K$3000)+SUMIF(EXTRATO!$A$2:$A$3000,$A1252,EXTRATO!$L$2:$L$3000)+SUMIF(EXTRATO!$A$2:$A$3000,$A1252,EXTRATO!$M$2:$M$3000))</f>
        <v/>
      </c>
      <c r="G1252" s="81" t="str">
        <f>IF(A1252="","",IF(INDEX(EXTRATO!$G$2:$G$3000,MATCH($A1252,EXTRATO!$A$2:$A$3000,0))="","",INDEX(EXTRATO!$G$2:$G$3000,MATCH($A1252,EXTRATO!$A$2:$A$3000,0))))</f>
        <v/>
      </c>
      <c r="H1252" s="86" t="str">
        <f>IF(A1252="","",IF(INDEX(EXTRATO!$F$2:$F$3000,MATCH($A1252,EXTRATO!$A$2:$A$3000,0))="","",INDEX(EXTRATO!$F$2:$F$3000,MATCH($A1252,EXTRATO!$A$2:$A$3000,0))))</f>
        <v/>
      </c>
      <c r="I1252" s="88" t="str">
        <f>IF(A1252="","",IF(INDEX(EXTRATO!$H$2:$H$3000,MATCH($A1252,EXTRATO!$A$2:$A$3000,0))="","",INDEX(EXTRATO!$H$2:$H$3000,MATCH($A1252,EXTRATO!$A$2:$A$3000,0))))</f>
        <v/>
      </c>
      <c r="J1252" s="86" t="str">
        <f t="shared" si="25"/>
        <v/>
      </c>
      <c r="K1252" s="86" t="str">
        <f>IF(AND(A1252="",D1252="",E1252="",F1252=""),"",IF(D1252="","SEM CATEGORIA",IF(E1252="","SEM SUBCATEGORIA",IF(COUNTIFS(CADASTROS!$L$7:$L$93,D1252,CADASTROS!$D$7:$D$93,E1252)=0,"INCOMPATÍVEL","OK"))))</f>
        <v/>
      </c>
    </row>
    <row r="1253" spans="1:11" ht="30" hidden="1" customHeight="1" x14ac:dyDescent="0.25">
      <c r="A1253" s="86" t="str">
        <f>IF(COUNTIF(EXTRATO!$A$2:$A$3000,"BAN-01110")=0,"","BAN-01110")</f>
        <v/>
      </c>
      <c r="B1253" s="85" t="str">
        <f>IF(A1253="","",IF(INDEX(EXTRATO!$C$2:$C$3000,MATCH($A1253,EXTRATO!$A$2:$A$3000,0))="","",INDEX(EXTRATO!$C$2:$C$3000,MATCH($A1253,EXTRATO!$A$2:$A$3000,0))))</f>
        <v/>
      </c>
      <c r="C1253" s="86" t="str">
        <f t="shared" si="26"/>
        <v/>
      </c>
      <c r="D1253" s="81"/>
      <c r="E1253" s="79"/>
      <c r="F1253" s="80" t="str">
        <f>IF(A1253="","",SUMIF(EXTRATO!$A$2:$A$3000,$A1253,EXTRATO!$J$2:$J$3000)+SUMIF(EXTRATO!$A$2:$A$3000,$A1253,EXTRATO!$K$2:$K$3000)+SUMIF(EXTRATO!$A$2:$A$3000,$A1253,EXTRATO!$L$2:$L$3000)+SUMIF(EXTRATO!$A$2:$A$3000,$A1253,EXTRATO!$M$2:$M$3000))</f>
        <v/>
      </c>
      <c r="G1253" s="81" t="str">
        <f>IF(A1253="","",IF(INDEX(EXTRATO!$G$2:$G$3000,MATCH($A1253,EXTRATO!$A$2:$A$3000,0))="","",INDEX(EXTRATO!$G$2:$G$3000,MATCH($A1253,EXTRATO!$A$2:$A$3000,0))))</f>
        <v/>
      </c>
      <c r="H1253" s="86" t="str">
        <f>IF(A1253="","",IF(INDEX(EXTRATO!$F$2:$F$3000,MATCH($A1253,EXTRATO!$A$2:$A$3000,0))="","",INDEX(EXTRATO!$F$2:$F$3000,MATCH($A1253,EXTRATO!$A$2:$A$3000,0))))</f>
        <v/>
      </c>
      <c r="I1253" s="88" t="str">
        <f>IF(A1253="","",IF(INDEX(EXTRATO!$H$2:$H$3000,MATCH($A1253,EXTRATO!$A$2:$A$3000,0))="","",INDEX(EXTRATO!$H$2:$H$3000,MATCH($A1253,EXTRATO!$A$2:$A$3000,0))))</f>
        <v/>
      </c>
      <c r="J1253" s="86" t="str">
        <f t="shared" si="25"/>
        <v/>
      </c>
      <c r="K1253" s="86" t="str">
        <f>IF(AND(A1253="",D1253="",E1253="",F1253=""),"",IF(D1253="","SEM CATEGORIA",IF(E1253="","SEM SUBCATEGORIA",IF(COUNTIFS(CADASTROS!$L$7:$L$93,D1253,CADASTROS!$D$7:$D$93,E1253)=0,"INCOMPATÍVEL","OK"))))</f>
        <v/>
      </c>
    </row>
    <row r="1254" spans="1:11" ht="30" hidden="1" customHeight="1" x14ac:dyDescent="0.25">
      <c r="A1254" s="86" t="str">
        <f>IF(COUNTIF(EXTRATO!$A$2:$A$3000,"BAN-01111")=0,"","BAN-01111")</f>
        <v/>
      </c>
      <c r="B1254" s="85" t="str">
        <f>IF(A1254="","",IF(INDEX(EXTRATO!$C$2:$C$3000,MATCH($A1254,EXTRATO!$A$2:$A$3000,0))="","",INDEX(EXTRATO!$C$2:$C$3000,MATCH($A1254,EXTRATO!$A$2:$A$3000,0))))</f>
        <v/>
      </c>
      <c r="C1254" s="86" t="str">
        <f t="shared" si="26"/>
        <v/>
      </c>
      <c r="D1254" s="81"/>
      <c r="E1254" s="79"/>
      <c r="F1254" s="80" t="str">
        <f>IF(A1254="","",SUMIF(EXTRATO!$A$2:$A$3000,$A1254,EXTRATO!$J$2:$J$3000)+SUMIF(EXTRATO!$A$2:$A$3000,$A1254,EXTRATO!$K$2:$K$3000)+SUMIF(EXTRATO!$A$2:$A$3000,$A1254,EXTRATO!$L$2:$L$3000)+SUMIF(EXTRATO!$A$2:$A$3000,$A1254,EXTRATO!$M$2:$M$3000))</f>
        <v/>
      </c>
      <c r="G1254" s="81" t="str">
        <f>IF(A1254="","",IF(INDEX(EXTRATO!$G$2:$G$3000,MATCH($A1254,EXTRATO!$A$2:$A$3000,0))="","",INDEX(EXTRATO!$G$2:$G$3000,MATCH($A1254,EXTRATO!$A$2:$A$3000,0))))</f>
        <v/>
      </c>
      <c r="H1254" s="86" t="str">
        <f>IF(A1254="","",IF(INDEX(EXTRATO!$F$2:$F$3000,MATCH($A1254,EXTRATO!$A$2:$A$3000,0))="","",INDEX(EXTRATO!$F$2:$F$3000,MATCH($A1254,EXTRATO!$A$2:$A$3000,0))))</f>
        <v/>
      </c>
      <c r="I1254" s="88" t="str">
        <f>IF(A1254="","",IF(INDEX(EXTRATO!$H$2:$H$3000,MATCH($A1254,EXTRATO!$A$2:$A$3000,0))="","",INDEX(EXTRATO!$H$2:$H$3000,MATCH($A1254,EXTRATO!$A$2:$A$3000,0))))</f>
        <v/>
      </c>
      <c r="J1254" s="86" t="str">
        <f t="shared" si="25"/>
        <v/>
      </c>
      <c r="K1254" s="86" t="str">
        <f>IF(AND(A1254="",D1254="",E1254="",F1254=""),"",IF(D1254="","SEM CATEGORIA",IF(E1254="","SEM SUBCATEGORIA",IF(COUNTIFS(CADASTROS!$L$7:$L$93,D1254,CADASTROS!$D$7:$D$93,E1254)=0,"INCOMPATÍVEL","OK"))))</f>
        <v/>
      </c>
    </row>
    <row r="1255" spans="1:11" ht="30" hidden="1" customHeight="1" x14ac:dyDescent="0.25">
      <c r="A1255" s="86" t="str">
        <f>IF(COUNTIF(EXTRATO!$A$2:$A$3000,"BAN-01112")=0,"","BAN-01112")</f>
        <v/>
      </c>
      <c r="B1255" s="85" t="str">
        <f>IF(A1255="","",IF(INDEX(EXTRATO!$C$2:$C$3000,MATCH($A1255,EXTRATO!$A$2:$A$3000,0))="","",INDEX(EXTRATO!$C$2:$C$3000,MATCH($A1255,EXTRATO!$A$2:$A$3000,0))))</f>
        <v/>
      </c>
      <c r="C1255" s="86" t="str">
        <f t="shared" si="26"/>
        <v/>
      </c>
      <c r="D1255" s="81"/>
      <c r="E1255" s="79"/>
      <c r="F1255" s="80" t="str">
        <f>IF(A1255="","",SUMIF(EXTRATO!$A$2:$A$3000,$A1255,EXTRATO!$J$2:$J$3000)+SUMIF(EXTRATO!$A$2:$A$3000,$A1255,EXTRATO!$K$2:$K$3000)+SUMIF(EXTRATO!$A$2:$A$3000,$A1255,EXTRATO!$L$2:$L$3000)+SUMIF(EXTRATO!$A$2:$A$3000,$A1255,EXTRATO!$M$2:$M$3000))</f>
        <v/>
      </c>
      <c r="G1255" s="81" t="str">
        <f>IF(A1255="","",IF(INDEX(EXTRATO!$G$2:$G$3000,MATCH($A1255,EXTRATO!$A$2:$A$3000,0))="","",INDEX(EXTRATO!$G$2:$G$3000,MATCH($A1255,EXTRATO!$A$2:$A$3000,0))))</f>
        <v/>
      </c>
      <c r="H1255" s="86" t="str">
        <f>IF(A1255="","",IF(INDEX(EXTRATO!$F$2:$F$3000,MATCH($A1255,EXTRATO!$A$2:$A$3000,0))="","",INDEX(EXTRATO!$F$2:$F$3000,MATCH($A1255,EXTRATO!$A$2:$A$3000,0))))</f>
        <v/>
      </c>
      <c r="I1255" s="88" t="str">
        <f>IF(A1255="","",IF(INDEX(EXTRATO!$H$2:$H$3000,MATCH($A1255,EXTRATO!$A$2:$A$3000,0))="","",INDEX(EXTRATO!$H$2:$H$3000,MATCH($A1255,EXTRATO!$A$2:$A$3000,0))))</f>
        <v/>
      </c>
      <c r="J1255" s="86" t="str">
        <f t="shared" si="25"/>
        <v/>
      </c>
      <c r="K1255" s="86" t="str">
        <f>IF(AND(A1255="",D1255="",E1255="",F1255=""),"",IF(D1255="","SEM CATEGORIA",IF(E1255="","SEM SUBCATEGORIA",IF(COUNTIFS(CADASTROS!$L$7:$L$93,D1255,CADASTROS!$D$7:$D$93,E1255)=0,"INCOMPATÍVEL","OK"))))</f>
        <v/>
      </c>
    </row>
    <row r="1256" spans="1:11" ht="30" hidden="1" customHeight="1" x14ac:dyDescent="0.25">
      <c r="A1256" s="86" t="str">
        <f>IF(COUNTIF(EXTRATO!$A$2:$A$3000,"BAN-01113")=0,"","BAN-01113")</f>
        <v/>
      </c>
      <c r="B1256" s="85" t="str">
        <f>IF(A1256="","",IF(INDEX(EXTRATO!$C$2:$C$3000,MATCH($A1256,EXTRATO!$A$2:$A$3000,0))="","",INDEX(EXTRATO!$C$2:$C$3000,MATCH($A1256,EXTRATO!$A$2:$A$3000,0))))</f>
        <v/>
      </c>
      <c r="C1256" s="86" t="str">
        <f t="shared" si="26"/>
        <v/>
      </c>
      <c r="D1256" s="81"/>
      <c r="E1256" s="79"/>
      <c r="F1256" s="80" t="str">
        <f>IF(A1256="","",SUMIF(EXTRATO!$A$2:$A$3000,$A1256,EXTRATO!$J$2:$J$3000)+SUMIF(EXTRATO!$A$2:$A$3000,$A1256,EXTRATO!$K$2:$K$3000)+SUMIF(EXTRATO!$A$2:$A$3000,$A1256,EXTRATO!$L$2:$L$3000)+SUMIF(EXTRATO!$A$2:$A$3000,$A1256,EXTRATO!$M$2:$M$3000))</f>
        <v/>
      </c>
      <c r="G1256" s="81" t="str">
        <f>IF(A1256="","",IF(INDEX(EXTRATO!$G$2:$G$3000,MATCH($A1256,EXTRATO!$A$2:$A$3000,0))="","",INDEX(EXTRATO!$G$2:$G$3000,MATCH($A1256,EXTRATO!$A$2:$A$3000,0))))</f>
        <v/>
      </c>
      <c r="H1256" s="86" t="str">
        <f>IF(A1256="","",IF(INDEX(EXTRATO!$F$2:$F$3000,MATCH($A1256,EXTRATO!$A$2:$A$3000,0))="","",INDEX(EXTRATO!$F$2:$F$3000,MATCH($A1256,EXTRATO!$A$2:$A$3000,0))))</f>
        <v/>
      </c>
      <c r="I1256" s="88" t="str">
        <f>IF(A1256="","",IF(INDEX(EXTRATO!$H$2:$H$3000,MATCH($A1256,EXTRATO!$A$2:$A$3000,0))="","",INDEX(EXTRATO!$H$2:$H$3000,MATCH($A1256,EXTRATO!$A$2:$A$3000,0))))</f>
        <v/>
      </c>
      <c r="J1256" s="86" t="str">
        <f t="shared" si="25"/>
        <v/>
      </c>
      <c r="K1256" s="86" t="str">
        <f>IF(AND(A1256="",D1256="",E1256="",F1256=""),"",IF(D1256="","SEM CATEGORIA",IF(E1256="","SEM SUBCATEGORIA",IF(COUNTIFS(CADASTROS!$L$7:$L$93,D1256,CADASTROS!$D$7:$D$93,E1256)=0,"INCOMPATÍVEL","OK"))))</f>
        <v/>
      </c>
    </row>
    <row r="1257" spans="1:11" ht="30" hidden="1" customHeight="1" x14ac:dyDescent="0.25">
      <c r="A1257" s="86" t="str">
        <f>IF(COUNTIF(EXTRATO!$A$2:$A$3000,"BAN-01114")=0,"","BAN-01114")</f>
        <v/>
      </c>
      <c r="B1257" s="85" t="str">
        <f>IF(A1257="","",IF(INDEX(EXTRATO!$C$2:$C$3000,MATCH($A1257,EXTRATO!$A$2:$A$3000,0))="","",INDEX(EXTRATO!$C$2:$C$3000,MATCH($A1257,EXTRATO!$A$2:$A$3000,0))))</f>
        <v/>
      </c>
      <c r="C1257" s="86" t="str">
        <f t="shared" si="26"/>
        <v/>
      </c>
      <c r="D1257" s="81"/>
      <c r="E1257" s="79"/>
      <c r="F1257" s="80" t="str">
        <f>IF(A1257="","",SUMIF(EXTRATO!$A$2:$A$3000,$A1257,EXTRATO!$J$2:$J$3000)+SUMIF(EXTRATO!$A$2:$A$3000,$A1257,EXTRATO!$K$2:$K$3000)+SUMIF(EXTRATO!$A$2:$A$3000,$A1257,EXTRATO!$L$2:$L$3000)+SUMIF(EXTRATO!$A$2:$A$3000,$A1257,EXTRATO!$M$2:$M$3000))</f>
        <v/>
      </c>
      <c r="G1257" s="81" t="str">
        <f>IF(A1257="","",IF(INDEX(EXTRATO!$G$2:$G$3000,MATCH($A1257,EXTRATO!$A$2:$A$3000,0))="","",INDEX(EXTRATO!$G$2:$G$3000,MATCH($A1257,EXTRATO!$A$2:$A$3000,0))))</f>
        <v/>
      </c>
      <c r="H1257" s="86" t="str">
        <f>IF(A1257="","",IF(INDEX(EXTRATO!$F$2:$F$3000,MATCH($A1257,EXTRATO!$A$2:$A$3000,0))="","",INDEX(EXTRATO!$F$2:$F$3000,MATCH($A1257,EXTRATO!$A$2:$A$3000,0))))</f>
        <v/>
      </c>
      <c r="I1257" s="88" t="str">
        <f>IF(A1257="","",IF(INDEX(EXTRATO!$H$2:$H$3000,MATCH($A1257,EXTRATO!$A$2:$A$3000,0))="","",INDEX(EXTRATO!$H$2:$H$3000,MATCH($A1257,EXTRATO!$A$2:$A$3000,0))))</f>
        <v/>
      </c>
      <c r="J1257" s="86" t="str">
        <f t="shared" si="25"/>
        <v/>
      </c>
      <c r="K1257" s="86" t="str">
        <f>IF(AND(A1257="",D1257="",E1257="",F1257=""),"",IF(D1257="","SEM CATEGORIA",IF(E1257="","SEM SUBCATEGORIA",IF(COUNTIFS(CADASTROS!$L$7:$L$93,D1257,CADASTROS!$D$7:$D$93,E1257)=0,"INCOMPATÍVEL","OK"))))</f>
        <v/>
      </c>
    </row>
    <row r="1258" spans="1:11" ht="30" hidden="1" customHeight="1" x14ac:dyDescent="0.25">
      <c r="A1258" s="86" t="str">
        <f>IF(COUNTIF(EXTRATO!$A$2:$A$3000,"BAN-01115")=0,"","BAN-01115")</f>
        <v/>
      </c>
      <c r="B1258" s="85" t="str">
        <f>IF(A1258="","",IF(INDEX(EXTRATO!$C$2:$C$3000,MATCH($A1258,EXTRATO!$A$2:$A$3000,0))="","",INDEX(EXTRATO!$C$2:$C$3000,MATCH($A1258,EXTRATO!$A$2:$A$3000,0))))</f>
        <v/>
      </c>
      <c r="C1258" s="86" t="str">
        <f t="shared" si="26"/>
        <v/>
      </c>
      <c r="D1258" s="81"/>
      <c r="E1258" s="79"/>
      <c r="F1258" s="80" t="str">
        <f>IF(A1258="","",SUMIF(EXTRATO!$A$2:$A$3000,$A1258,EXTRATO!$J$2:$J$3000)+SUMIF(EXTRATO!$A$2:$A$3000,$A1258,EXTRATO!$K$2:$K$3000)+SUMIF(EXTRATO!$A$2:$A$3000,$A1258,EXTRATO!$L$2:$L$3000)+SUMIF(EXTRATO!$A$2:$A$3000,$A1258,EXTRATO!$M$2:$M$3000))</f>
        <v/>
      </c>
      <c r="G1258" s="81" t="str">
        <f>IF(A1258="","",IF(INDEX(EXTRATO!$G$2:$G$3000,MATCH($A1258,EXTRATO!$A$2:$A$3000,0))="","",INDEX(EXTRATO!$G$2:$G$3000,MATCH($A1258,EXTRATO!$A$2:$A$3000,0))))</f>
        <v/>
      </c>
      <c r="H1258" s="86" t="str">
        <f>IF(A1258="","",IF(INDEX(EXTRATO!$F$2:$F$3000,MATCH($A1258,EXTRATO!$A$2:$A$3000,0))="","",INDEX(EXTRATO!$F$2:$F$3000,MATCH($A1258,EXTRATO!$A$2:$A$3000,0))))</f>
        <v/>
      </c>
      <c r="I1258" s="88" t="str">
        <f>IF(A1258="","",IF(INDEX(EXTRATO!$H$2:$H$3000,MATCH($A1258,EXTRATO!$A$2:$A$3000,0))="","",INDEX(EXTRATO!$H$2:$H$3000,MATCH($A1258,EXTRATO!$A$2:$A$3000,0))))</f>
        <v/>
      </c>
      <c r="J1258" s="86" t="str">
        <f t="shared" si="25"/>
        <v/>
      </c>
      <c r="K1258" s="86" t="str">
        <f>IF(AND(A1258="",D1258="",E1258="",F1258=""),"",IF(D1258="","SEM CATEGORIA",IF(E1258="","SEM SUBCATEGORIA",IF(COUNTIFS(CADASTROS!$L$7:$L$93,D1258,CADASTROS!$D$7:$D$93,E1258)=0,"INCOMPATÍVEL","OK"))))</f>
        <v/>
      </c>
    </row>
    <row r="1259" spans="1:11" ht="30" hidden="1" customHeight="1" x14ac:dyDescent="0.25">
      <c r="A1259" s="86" t="str">
        <f>IF(COUNTIF(EXTRATO!$A$2:$A$3000,"BAN-01116")=0,"","BAN-01116")</f>
        <v/>
      </c>
      <c r="B1259" s="85" t="str">
        <f>IF(A1259="","",IF(INDEX(EXTRATO!$C$2:$C$3000,MATCH($A1259,EXTRATO!$A$2:$A$3000,0))="","",INDEX(EXTRATO!$C$2:$C$3000,MATCH($A1259,EXTRATO!$A$2:$A$3000,0))))</f>
        <v/>
      </c>
      <c r="C1259" s="86" t="str">
        <f t="shared" si="26"/>
        <v/>
      </c>
      <c r="D1259" s="81"/>
      <c r="E1259" s="79"/>
      <c r="F1259" s="80" t="str">
        <f>IF(A1259="","",SUMIF(EXTRATO!$A$2:$A$3000,$A1259,EXTRATO!$J$2:$J$3000)+SUMIF(EXTRATO!$A$2:$A$3000,$A1259,EXTRATO!$K$2:$K$3000)+SUMIF(EXTRATO!$A$2:$A$3000,$A1259,EXTRATO!$L$2:$L$3000)+SUMIF(EXTRATO!$A$2:$A$3000,$A1259,EXTRATO!$M$2:$M$3000))</f>
        <v/>
      </c>
      <c r="G1259" s="81" t="str">
        <f>IF(A1259="","",IF(INDEX(EXTRATO!$G$2:$G$3000,MATCH($A1259,EXTRATO!$A$2:$A$3000,0))="","",INDEX(EXTRATO!$G$2:$G$3000,MATCH($A1259,EXTRATO!$A$2:$A$3000,0))))</f>
        <v/>
      </c>
      <c r="H1259" s="86" t="str">
        <f>IF(A1259="","",IF(INDEX(EXTRATO!$F$2:$F$3000,MATCH($A1259,EXTRATO!$A$2:$A$3000,0))="","",INDEX(EXTRATO!$F$2:$F$3000,MATCH($A1259,EXTRATO!$A$2:$A$3000,0))))</f>
        <v/>
      </c>
      <c r="I1259" s="88" t="str">
        <f>IF(A1259="","",IF(INDEX(EXTRATO!$H$2:$H$3000,MATCH($A1259,EXTRATO!$A$2:$A$3000,0))="","",INDEX(EXTRATO!$H$2:$H$3000,MATCH($A1259,EXTRATO!$A$2:$A$3000,0))))</f>
        <v/>
      </c>
      <c r="J1259" s="86" t="str">
        <f t="shared" si="25"/>
        <v/>
      </c>
      <c r="K1259" s="86" t="str">
        <f>IF(AND(A1259="",D1259="",E1259="",F1259=""),"",IF(D1259="","SEM CATEGORIA",IF(E1259="","SEM SUBCATEGORIA",IF(COUNTIFS(CADASTROS!$L$7:$L$93,D1259,CADASTROS!$D$7:$D$93,E1259)=0,"INCOMPATÍVEL","OK"))))</f>
        <v/>
      </c>
    </row>
    <row r="1260" spans="1:11" ht="30" hidden="1" customHeight="1" x14ac:dyDescent="0.25">
      <c r="A1260" s="86" t="str">
        <f>IF(COUNTIF(EXTRATO!$A$2:$A$3000,"BAN-01117")=0,"","BAN-01117")</f>
        <v/>
      </c>
      <c r="B1260" s="85" t="str">
        <f>IF(A1260="","",IF(INDEX(EXTRATO!$C$2:$C$3000,MATCH($A1260,EXTRATO!$A$2:$A$3000,0))="","",INDEX(EXTRATO!$C$2:$C$3000,MATCH($A1260,EXTRATO!$A$2:$A$3000,0))))</f>
        <v/>
      </c>
      <c r="C1260" s="86" t="str">
        <f t="shared" si="26"/>
        <v/>
      </c>
      <c r="D1260" s="81"/>
      <c r="E1260" s="79"/>
      <c r="F1260" s="80" t="str">
        <f>IF(A1260="","",SUMIF(EXTRATO!$A$2:$A$3000,$A1260,EXTRATO!$J$2:$J$3000)+SUMIF(EXTRATO!$A$2:$A$3000,$A1260,EXTRATO!$K$2:$K$3000)+SUMIF(EXTRATO!$A$2:$A$3000,$A1260,EXTRATO!$L$2:$L$3000)+SUMIF(EXTRATO!$A$2:$A$3000,$A1260,EXTRATO!$M$2:$M$3000))</f>
        <v/>
      </c>
      <c r="G1260" s="81" t="str">
        <f>IF(A1260="","",IF(INDEX(EXTRATO!$G$2:$G$3000,MATCH($A1260,EXTRATO!$A$2:$A$3000,0))="","",INDEX(EXTRATO!$G$2:$G$3000,MATCH($A1260,EXTRATO!$A$2:$A$3000,0))))</f>
        <v/>
      </c>
      <c r="H1260" s="86" t="str">
        <f>IF(A1260="","",IF(INDEX(EXTRATO!$F$2:$F$3000,MATCH($A1260,EXTRATO!$A$2:$A$3000,0))="","",INDEX(EXTRATO!$F$2:$F$3000,MATCH($A1260,EXTRATO!$A$2:$A$3000,0))))</f>
        <v/>
      </c>
      <c r="I1260" s="88" t="str">
        <f>IF(A1260="","",IF(INDEX(EXTRATO!$H$2:$H$3000,MATCH($A1260,EXTRATO!$A$2:$A$3000,0))="","",INDEX(EXTRATO!$H$2:$H$3000,MATCH($A1260,EXTRATO!$A$2:$A$3000,0))))</f>
        <v/>
      </c>
      <c r="J1260" s="86" t="str">
        <f t="shared" ref="J1260:J1323" si="27">IF(A1260="","",IF(K1260="OK","MANUAL","PENDENTE"))</f>
        <v/>
      </c>
      <c r="K1260" s="86" t="str">
        <f>IF(AND(A1260="",D1260="",E1260="",F1260=""),"",IF(D1260="","SEM CATEGORIA",IF(E1260="","SEM SUBCATEGORIA",IF(COUNTIFS(CADASTROS!$L$7:$L$93,D1260,CADASTROS!$D$7:$D$93,E1260)=0,"INCOMPATÍVEL","OK"))))</f>
        <v/>
      </c>
    </row>
    <row r="1261" spans="1:11" ht="30" hidden="1" customHeight="1" x14ac:dyDescent="0.25">
      <c r="A1261" s="86" t="str">
        <f>IF(COUNTIF(EXTRATO!$A$2:$A$3000,"BAN-01118")=0,"","BAN-01118")</f>
        <v/>
      </c>
      <c r="B1261" s="85" t="str">
        <f>IF(A1261="","",IF(INDEX(EXTRATO!$C$2:$C$3000,MATCH($A1261,EXTRATO!$A$2:$A$3000,0))="","",INDEX(EXTRATO!$C$2:$C$3000,MATCH($A1261,EXTRATO!$A$2:$A$3000,0))))</f>
        <v/>
      </c>
      <c r="C1261" s="86" t="str">
        <f t="shared" si="26"/>
        <v/>
      </c>
      <c r="D1261" s="81"/>
      <c r="E1261" s="79"/>
      <c r="F1261" s="80" t="str">
        <f>IF(A1261="","",SUMIF(EXTRATO!$A$2:$A$3000,$A1261,EXTRATO!$J$2:$J$3000)+SUMIF(EXTRATO!$A$2:$A$3000,$A1261,EXTRATO!$K$2:$K$3000)+SUMIF(EXTRATO!$A$2:$A$3000,$A1261,EXTRATO!$L$2:$L$3000)+SUMIF(EXTRATO!$A$2:$A$3000,$A1261,EXTRATO!$M$2:$M$3000))</f>
        <v/>
      </c>
      <c r="G1261" s="81" t="str">
        <f>IF(A1261="","",IF(INDEX(EXTRATO!$G$2:$G$3000,MATCH($A1261,EXTRATO!$A$2:$A$3000,0))="","",INDEX(EXTRATO!$G$2:$G$3000,MATCH($A1261,EXTRATO!$A$2:$A$3000,0))))</f>
        <v/>
      </c>
      <c r="H1261" s="86" t="str">
        <f>IF(A1261="","",IF(INDEX(EXTRATO!$F$2:$F$3000,MATCH($A1261,EXTRATO!$A$2:$A$3000,0))="","",INDEX(EXTRATO!$F$2:$F$3000,MATCH($A1261,EXTRATO!$A$2:$A$3000,0))))</f>
        <v/>
      </c>
      <c r="I1261" s="88" t="str">
        <f>IF(A1261="","",IF(INDEX(EXTRATO!$H$2:$H$3000,MATCH($A1261,EXTRATO!$A$2:$A$3000,0))="","",INDEX(EXTRATO!$H$2:$H$3000,MATCH($A1261,EXTRATO!$A$2:$A$3000,0))))</f>
        <v/>
      </c>
      <c r="J1261" s="86" t="str">
        <f t="shared" si="27"/>
        <v/>
      </c>
      <c r="K1261" s="86" t="str">
        <f>IF(AND(A1261="",D1261="",E1261="",F1261=""),"",IF(D1261="","SEM CATEGORIA",IF(E1261="","SEM SUBCATEGORIA",IF(COUNTIFS(CADASTROS!$L$7:$L$93,D1261,CADASTROS!$D$7:$D$93,E1261)=0,"INCOMPATÍVEL","OK"))))</f>
        <v/>
      </c>
    </row>
    <row r="1262" spans="1:11" ht="30" hidden="1" customHeight="1" x14ac:dyDescent="0.25">
      <c r="A1262" s="86" t="str">
        <f>IF(COUNTIF(EXTRATO!$A$2:$A$3000,"BAN-01119")=0,"","BAN-01119")</f>
        <v/>
      </c>
      <c r="B1262" s="85" t="str">
        <f>IF(A1262="","",IF(INDEX(EXTRATO!$C$2:$C$3000,MATCH($A1262,EXTRATO!$A$2:$A$3000,0))="","",INDEX(EXTRATO!$C$2:$C$3000,MATCH($A1262,EXTRATO!$A$2:$A$3000,0))))</f>
        <v/>
      </c>
      <c r="C1262" s="86" t="str">
        <f t="shared" si="26"/>
        <v/>
      </c>
      <c r="D1262" s="81"/>
      <c r="E1262" s="79"/>
      <c r="F1262" s="80" t="str">
        <f>IF(A1262="","",SUMIF(EXTRATO!$A$2:$A$3000,$A1262,EXTRATO!$J$2:$J$3000)+SUMIF(EXTRATO!$A$2:$A$3000,$A1262,EXTRATO!$K$2:$K$3000)+SUMIF(EXTRATO!$A$2:$A$3000,$A1262,EXTRATO!$L$2:$L$3000)+SUMIF(EXTRATO!$A$2:$A$3000,$A1262,EXTRATO!$M$2:$M$3000))</f>
        <v/>
      </c>
      <c r="G1262" s="81" t="str">
        <f>IF(A1262="","",IF(INDEX(EXTRATO!$G$2:$G$3000,MATCH($A1262,EXTRATO!$A$2:$A$3000,0))="","",INDEX(EXTRATO!$G$2:$G$3000,MATCH($A1262,EXTRATO!$A$2:$A$3000,0))))</f>
        <v/>
      </c>
      <c r="H1262" s="86" t="str">
        <f>IF(A1262="","",IF(INDEX(EXTRATO!$F$2:$F$3000,MATCH($A1262,EXTRATO!$A$2:$A$3000,0))="","",INDEX(EXTRATO!$F$2:$F$3000,MATCH($A1262,EXTRATO!$A$2:$A$3000,0))))</f>
        <v/>
      </c>
      <c r="I1262" s="88" t="str">
        <f>IF(A1262="","",IF(INDEX(EXTRATO!$H$2:$H$3000,MATCH($A1262,EXTRATO!$A$2:$A$3000,0))="","",INDEX(EXTRATO!$H$2:$H$3000,MATCH($A1262,EXTRATO!$A$2:$A$3000,0))))</f>
        <v/>
      </c>
      <c r="J1262" s="86" t="str">
        <f t="shared" si="27"/>
        <v/>
      </c>
      <c r="K1262" s="86" t="str">
        <f>IF(AND(A1262="",D1262="",E1262="",F1262=""),"",IF(D1262="","SEM CATEGORIA",IF(E1262="","SEM SUBCATEGORIA",IF(COUNTIFS(CADASTROS!$L$7:$L$93,D1262,CADASTROS!$D$7:$D$93,E1262)=0,"INCOMPATÍVEL","OK"))))</f>
        <v/>
      </c>
    </row>
    <row r="1263" spans="1:11" ht="30" hidden="1" customHeight="1" x14ac:dyDescent="0.25">
      <c r="A1263" s="86" t="str">
        <f>IF(COUNTIF(EXTRATO!$A$2:$A$3000,"BAN-01120")=0,"","BAN-01120")</f>
        <v/>
      </c>
      <c r="B1263" s="85" t="str">
        <f>IF(A1263="","",IF(INDEX(EXTRATO!$C$2:$C$3000,MATCH($A1263,EXTRATO!$A$2:$A$3000,0))="","",INDEX(EXTRATO!$C$2:$C$3000,MATCH($A1263,EXTRATO!$A$2:$A$3000,0))))</f>
        <v/>
      </c>
      <c r="C1263" s="86" t="str">
        <f t="shared" si="26"/>
        <v/>
      </c>
      <c r="D1263" s="81"/>
      <c r="E1263" s="79"/>
      <c r="F1263" s="80" t="str">
        <f>IF(A1263="","",SUMIF(EXTRATO!$A$2:$A$3000,$A1263,EXTRATO!$J$2:$J$3000)+SUMIF(EXTRATO!$A$2:$A$3000,$A1263,EXTRATO!$K$2:$K$3000)+SUMIF(EXTRATO!$A$2:$A$3000,$A1263,EXTRATO!$L$2:$L$3000)+SUMIF(EXTRATO!$A$2:$A$3000,$A1263,EXTRATO!$M$2:$M$3000))</f>
        <v/>
      </c>
      <c r="G1263" s="81" t="str">
        <f>IF(A1263="","",IF(INDEX(EXTRATO!$G$2:$G$3000,MATCH($A1263,EXTRATO!$A$2:$A$3000,0))="","",INDEX(EXTRATO!$G$2:$G$3000,MATCH($A1263,EXTRATO!$A$2:$A$3000,0))))</f>
        <v/>
      </c>
      <c r="H1263" s="86" t="str">
        <f>IF(A1263="","",IF(INDEX(EXTRATO!$F$2:$F$3000,MATCH($A1263,EXTRATO!$A$2:$A$3000,0))="","",INDEX(EXTRATO!$F$2:$F$3000,MATCH($A1263,EXTRATO!$A$2:$A$3000,0))))</f>
        <v/>
      </c>
      <c r="I1263" s="88" t="str">
        <f>IF(A1263="","",IF(INDEX(EXTRATO!$H$2:$H$3000,MATCH($A1263,EXTRATO!$A$2:$A$3000,0))="","",INDEX(EXTRATO!$H$2:$H$3000,MATCH($A1263,EXTRATO!$A$2:$A$3000,0))))</f>
        <v/>
      </c>
      <c r="J1263" s="86" t="str">
        <f t="shared" si="27"/>
        <v/>
      </c>
      <c r="K1263" s="86" t="str">
        <f>IF(AND(A1263="",D1263="",E1263="",F1263=""),"",IF(D1263="","SEM CATEGORIA",IF(E1263="","SEM SUBCATEGORIA",IF(COUNTIFS(CADASTROS!$L$7:$L$93,D1263,CADASTROS!$D$7:$D$93,E1263)=0,"INCOMPATÍVEL","OK"))))</f>
        <v/>
      </c>
    </row>
    <row r="1264" spans="1:11" ht="30" hidden="1" customHeight="1" x14ac:dyDescent="0.25">
      <c r="A1264" s="86" t="str">
        <f>IF(COUNTIF(EXTRATO!$A$2:$A$3000,"BAN-01121")=0,"","BAN-01121")</f>
        <v/>
      </c>
      <c r="B1264" s="85" t="str">
        <f>IF(A1264="","",IF(INDEX(EXTRATO!$C$2:$C$3000,MATCH($A1264,EXTRATO!$A$2:$A$3000,0))="","",INDEX(EXTRATO!$C$2:$C$3000,MATCH($A1264,EXTRATO!$A$2:$A$3000,0))))</f>
        <v/>
      </c>
      <c r="C1264" s="86" t="str">
        <f t="shared" si="26"/>
        <v/>
      </c>
      <c r="D1264" s="81"/>
      <c r="E1264" s="79"/>
      <c r="F1264" s="80" t="str">
        <f>IF(A1264="","",SUMIF(EXTRATO!$A$2:$A$3000,$A1264,EXTRATO!$J$2:$J$3000)+SUMIF(EXTRATO!$A$2:$A$3000,$A1264,EXTRATO!$K$2:$K$3000)+SUMIF(EXTRATO!$A$2:$A$3000,$A1264,EXTRATO!$L$2:$L$3000)+SUMIF(EXTRATO!$A$2:$A$3000,$A1264,EXTRATO!$M$2:$M$3000))</f>
        <v/>
      </c>
      <c r="G1264" s="81" t="str">
        <f>IF(A1264="","",IF(INDEX(EXTRATO!$G$2:$G$3000,MATCH($A1264,EXTRATO!$A$2:$A$3000,0))="","",INDEX(EXTRATO!$G$2:$G$3000,MATCH($A1264,EXTRATO!$A$2:$A$3000,0))))</f>
        <v/>
      </c>
      <c r="H1264" s="86" t="str">
        <f>IF(A1264="","",IF(INDEX(EXTRATO!$F$2:$F$3000,MATCH($A1264,EXTRATO!$A$2:$A$3000,0))="","",INDEX(EXTRATO!$F$2:$F$3000,MATCH($A1264,EXTRATO!$A$2:$A$3000,0))))</f>
        <v/>
      </c>
      <c r="I1264" s="88" t="str">
        <f>IF(A1264="","",IF(INDEX(EXTRATO!$H$2:$H$3000,MATCH($A1264,EXTRATO!$A$2:$A$3000,0))="","",INDEX(EXTRATO!$H$2:$H$3000,MATCH($A1264,EXTRATO!$A$2:$A$3000,0))))</f>
        <v/>
      </c>
      <c r="J1264" s="86" t="str">
        <f t="shared" si="27"/>
        <v/>
      </c>
      <c r="K1264" s="86" t="str">
        <f>IF(AND(A1264="",D1264="",E1264="",F1264=""),"",IF(D1264="","SEM CATEGORIA",IF(E1264="","SEM SUBCATEGORIA",IF(COUNTIFS(CADASTROS!$L$7:$L$93,D1264,CADASTROS!$D$7:$D$93,E1264)=0,"INCOMPATÍVEL","OK"))))</f>
        <v/>
      </c>
    </row>
    <row r="1265" spans="1:11" ht="30" hidden="1" customHeight="1" x14ac:dyDescent="0.25">
      <c r="A1265" s="86" t="str">
        <f>IF(COUNTIF(EXTRATO!$A$2:$A$3000,"BAN-01122")=0,"","BAN-01122")</f>
        <v/>
      </c>
      <c r="B1265" s="85" t="str">
        <f>IF(A1265="","",IF(INDEX(EXTRATO!$C$2:$C$3000,MATCH($A1265,EXTRATO!$A$2:$A$3000,0))="","",INDEX(EXTRATO!$C$2:$C$3000,MATCH($A1265,EXTRATO!$A$2:$A$3000,0))))</f>
        <v/>
      </c>
      <c r="C1265" s="86" t="str">
        <f t="shared" si="26"/>
        <v/>
      </c>
      <c r="D1265" s="81"/>
      <c r="E1265" s="79"/>
      <c r="F1265" s="80" t="str">
        <f>IF(A1265="","",SUMIF(EXTRATO!$A$2:$A$3000,$A1265,EXTRATO!$J$2:$J$3000)+SUMIF(EXTRATO!$A$2:$A$3000,$A1265,EXTRATO!$K$2:$K$3000)+SUMIF(EXTRATO!$A$2:$A$3000,$A1265,EXTRATO!$L$2:$L$3000)+SUMIF(EXTRATO!$A$2:$A$3000,$A1265,EXTRATO!$M$2:$M$3000))</f>
        <v/>
      </c>
      <c r="G1265" s="81" t="str">
        <f>IF(A1265="","",IF(INDEX(EXTRATO!$G$2:$G$3000,MATCH($A1265,EXTRATO!$A$2:$A$3000,0))="","",INDEX(EXTRATO!$G$2:$G$3000,MATCH($A1265,EXTRATO!$A$2:$A$3000,0))))</f>
        <v/>
      </c>
      <c r="H1265" s="86" t="str">
        <f>IF(A1265="","",IF(INDEX(EXTRATO!$F$2:$F$3000,MATCH($A1265,EXTRATO!$A$2:$A$3000,0))="","",INDEX(EXTRATO!$F$2:$F$3000,MATCH($A1265,EXTRATO!$A$2:$A$3000,0))))</f>
        <v/>
      </c>
      <c r="I1265" s="88" t="str">
        <f>IF(A1265="","",IF(INDEX(EXTRATO!$H$2:$H$3000,MATCH($A1265,EXTRATO!$A$2:$A$3000,0))="","",INDEX(EXTRATO!$H$2:$H$3000,MATCH($A1265,EXTRATO!$A$2:$A$3000,0))))</f>
        <v/>
      </c>
      <c r="J1265" s="86" t="str">
        <f t="shared" si="27"/>
        <v/>
      </c>
      <c r="K1265" s="86" t="str">
        <f>IF(AND(A1265="",D1265="",E1265="",F1265=""),"",IF(D1265="","SEM CATEGORIA",IF(E1265="","SEM SUBCATEGORIA",IF(COUNTIFS(CADASTROS!$L$7:$L$93,D1265,CADASTROS!$D$7:$D$93,E1265)=0,"INCOMPATÍVEL","OK"))))</f>
        <v/>
      </c>
    </row>
    <row r="1266" spans="1:11" ht="30" hidden="1" customHeight="1" x14ac:dyDescent="0.25">
      <c r="A1266" s="86" t="str">
        <f>IF(COUNTIF(EXTRATO!$A$2:$A$3000,"BAN-01123")=0,"","BAN-01123")</f>
        <v/>
      </c>
      <c r="B1266" s="85" t="str">
        <f>IF(A1266="","",IF(INDEX(EXTRATO!$C$2:$C$3000,MATCH($A1266,EXTRATO!$A$2:$A$3000,0))="","",INDEX(EXTRATO!$C$2:$C$3000,MATCH($A1266,EXTRATO!$A$2:$A$3000,0))))</f>
        <v/>
      </c>
      <c r="C1266" s="86" t="str">
        <f t="shared" si="26"/>
        <v/>
      </c>
      <c r="D1266" s="81"/>
      <c r="E1266" s="79"/>
      <c r="F1266" s="80" t="str">
        <f>IF(A1266="","",SUMIF(EXTRATO!$A$2:$A$3000,$A1266,EXTRATO!$J$2:$J$3000)+SUMIF(EXTRATO!$A$2:$A$3000,$A1266,EXTRATO!$K$2:$K$3000)+SUMIF(EXTRATO!$A$2:$A$3000,$A1266,EXTRATO!$L$2:$L$3000)+SUMIF(EXTRATO!$A$2:$A$3000,$A1266,EXTRATO!$M$2:$M$3000))</f>
        <v/>
      </c>
      <c r="G1266" s="81" t="str">
        <f>IF(A1266="","",IF(INDEX(EXTRATO!$G$2:$G$3000,MATCH($A1266,EXTRATO!$A$2:$A$3000,0))="","",INDEX(EXTRATO!$G$2:$G$3000,MATCH($A1266,EXTRATO!$A$2:$A$3000,0))))</f>
        <v/>
      </c>
      <c r="H1266" s="86" t="str">
        <f>IF(A1266="","",IF(INDEX(EXTRATO!$F$2:$F$3000,MATCH($A1266,EXTRATO!$A$2:$A$3000,0))="","",INDEX(EXTRATO!$F$2:$F$3000,MATCH($A1266,EXTRATO!$A$2:$A$3000,0))))</f>
        <v/>
      </c>
      <c r="I1266" s="88" t="str">
        <f>IF(A1266="","",IF(INDEX(EXTRATO!$H$2:$H$3000,MATCH($A1266,EXTRATO!$A$2:$A$3000,0))="","",INDEX(EXTRATO!$H$2:$H$3000,MATCH($A1266,EXTRATO!$A$2:$A$3000,0))))</f>
        <v/>
      </c>
      <c r="J1266" s="86" t="str">
        <f t="shared" si="27"/>
        <v/>
      </c>
      <c r="K1266" s="86" t="str">
        <f>IF(AND(A1266="",D1266="",E1266="",F1266=""),"",IF(D1266="","SEM CATEGORIA",IF(E1266="","SEM SUBCATEGORIA",IF(COUNTIFS(CADASTROS!$L$7:$L$93,D1266,CADASTROS!$D$7:$D$93,E1266)=0,"INCOMPATÍVEL","OK"))))</f>
        <v/>
      </c>
    </row>
    <row r="1267" spans="1:11" ht="30" hidden="1" customHeight="1" x14ac:dyDescent="0.25">
      <c r="A1267" s="86" t="str">
        <f>IF(COUNTIF(EXTRATO!$A$2:$A$3000,"BAN-01124")=0,"","BAN-01124")</f>
        <v/>
      </c>
      <c r="B1267" s="85" t="str">
        <f>IF(A1267="","",IF(INDEX(EXTRATO!$C$2:$C$3000,MATCH($A1267,EXTRATO!$A$2:$A$3000,0))="","",INDEX(EXTRATO!$C$2:$C$3000,MATCH($A1267,EXTRATO!$A$2:$A$3000,0))))</f>
        <v/>
      </c>
      <c r="C1267" s="86" t="str">
        <f t="shared" si="26"/>
        <v/>
      </c>
      <c r="D1267" s="81"/>
      <c r="E1267" s="79"/>
      <c r="F1267" s="80" t="str">
        <f>IF(A1267="","",SUMIF(EXTRATO!$A$2:$A$3000,$A1267,EXTRATO!$J$2:$J$3000)+SUMIF(EXTRATO!$A$2:$A$3000,$A1267,EXTRATO!$K$2:$K$3000)+SUMIF(EXTRATO!$A$2:$A$3000,$A1267,EXTRATO!$L$2:$L$3000)+SUMIF(EXTRATO!$A$2:$A$3000,$A1267,EXTRATO!$M$2:$M$3000))</f>
        <v/>
      </c>
      <c r="G1267" s="81" t="str">
        <f>IF(A1267="","",IF(INDEX(EXTRATO!$G$2:$G$3000,MATCH($A1267,EXTRATO!$A$2:$A$3000,0))="","",INDEX(EXTRATO!$G$2:$G$3000,MATCH($A1267,EXTRATO!$A$2:$A$3000,0))))</f>
        <v/>
      </c>
      <c r="H1267" s="86" t="str">
        <f>IF(A1267="","",IF(INDEX(EXTRATO!$F$2:$F$3000,MATCH($A1267,EXTRATO!$A$2:$A$3000,0))="","",INDEX(EXTRATO!$F$2:$F$3000,MATCH($A1267,EXTRATO!$A$2:$A$3000,0))))</f>
        <v/>
      </c>
      <c r="I1267" s="88" t="str">
        <f>IF(A1267="","",IF(INDEX(EXTRATO!$H$2:$H$3000,MATCH($A1267,EXTRATO!$A$2:$A$3000,0))="","",INDEX(EXTRATO!$H$2:$H$3000,MATCH($A1267,EXTRATO!$A$2:$A$3000,0))))</f>
        <v/>
      </c>
      <c r="J1267" s="86" t="str">
        <f t="shared" si="27"/>
        <v/>
      </c>
      <c r="K1267" s="86" t="str">
        <f>IF(AND(A1267="",D1267="",E1267="",F1267=""),"",IF(D1267="","SEM CATEGORIA",IF(E1267="","SEM SUBCATEGORIA",IF(COUNTIFS(CADASTROS!$L$7:$L$93,D1267,CADASTROS!$D$7:$D$93,E1267)=0,"INCOMPATÍVEL","OK"))))</f>
        <v/>
      </c>
    </row>
    <row r="1268" spans="1:11" ht="30" hidden="1" customHeight="1" x14ac:dyDescent="0.25">
      <c r="A1268" s="86" t="str">
        <f>IF(COUNTIF(EXTRATO!$A$2:$A$3000,"BAN-01125")=0,"","BAN-01125")</f>
        <v/>
      </c>
      <c r="B1268" s="85" t="str">
        <f>IF(A1268="","",IF(INDEX(EXTRATO!$C$2:$C$3000,MATCH($A1268,EXTRATO!$A$2:$A$3000,0))="","",INDEX(EXTRATO!$C$2:$C$3000,MATCH($A1268,EXTRATO!$A$2:$A$3000,0))))</f>
        <v/>
      </c>
      <c r="C1268" s="86" t="str">
        <f t="shared" si="26"/>
        <v/>
      </c>
      <c r="D1268" s="81"/>
      <c r="E1268" s="79"/>
      <c r="F1268" s="80" t="str">
        <f>IF(A1268="","",SUMIF(EXTRATO!$A$2:$A$3000,$A1268,EXTRATO!$J$2:$J$3000)+SUMIF(EXTRATO!$A$2:$A$3000,$A1268,EXTRATO!$K$2:$K$3000)+SUMIF(EXTRATO!$A$2:$A$3000,$A1268,EXTRATO!$L$2:$L$3000)+SUMIF(EXTRATO!$A$2:$A$3000,$A1268,EXTRATO!$M$2:$M$3000))</f>
        <v/>
      </c>
      <c r="G1268" s="81" t="str">
        <f>IF(A1268="","",IF(INDEX(EXTRATO!$G$2:$G$3000,MATCH($A1268,EXTRATO!$A$2:$A$3000,0))="","",INDEX(EXTRATO!$G$2:$G$3000,MATCH($A1268,EXTRATO!$A$2:$A$3000,0))))</f>
        <v/>
      </c>
      <c r="H1268" s="86" t="str">
        <f>IF(A1268="","",IF(INDEX(EXTRATO!$F$2:$F$3000,MATCH($A1268,EXTRATO!$A$2:$A$3000,0))="","",INDEX(EXTRATO!$F$2:$F$3000,MATCH($A1268,EXTRATO!$A$2:$A$3000,0))))</f>
        <v/>
      </c>
      <c r="I1268" s="88" t="str">
        <f>IF(A1268="","",IF(INDEX(EXTRATO!$H$2:$H$3000,MATCH($A1268,EXTRATO!$A$2:$A$3000,0))="","",INDEX(EXTRATO!$H$2:$H$3000,MATCH($A1268,EXTRATO!$A$2:$A$3000,0))))</f>
        <v/>
      </c>
      <c r="J1268" s="86" t="str">
        <f t="shared" si="27"/>
        <v/>
      </c>
      <c r="K1268" s="86" t="str">
        <f>IF(AND(A1268="",D1268="",E1268="",F1268=""),"",IF(D1268="","SEM CATEGORIA",IF(E1268="","SEM SUBCATEGORIA",IF(COUNTIFS(CADASTROS!$L$7:$L$93,D1268,CADASTROS!$D$7:$D$93,E1268)=0,"INCOMPATÍVEL","OK"))))</f>
        <v/>
      </c>
    </row>
    <row r="1269" spans="1:11" ht="30" hidden="1" customHeight="1" x14ac:dyDescent="0.25">
      <c r="A1269" s="86" t="str">
        <f>IF(COUNTIF(EXTRATO!$A$2:$A$3000,"BAN-01126")=0,"","BAN-01126")</f>
        <v/>
      </c>
      <c r="B1269" s="85" t="str">
        <f>IF(A1269="","",IF(INDEX(EXTRATO!$C$2:$C$3000,MATCH($A1269,EXTRATO!$A$2:$A$3000,0))="","",INDEX(EXTRATO!$C$2:$C$3000,MATCH($A1269,EXTRATO!$A$2:$A$3000,0))))</f>
        <v/>
      </c>
      <c r="C1269" s="86" t="str">
        <f t="shared" si="26"/>
        <v/>
      </c>
      <c r="D1269" s="81"/>
      <c r="E1269" s="79"/>
      <c r="F1269" s="80" t="str">
        <f>IF(A1269="","",SUMIF(EXTRATO!$A$2:$A$3000,$A1269,EXTRATO!$J$2:$J$3000)+SUMIF(EXTRATO!$A$2:$A$3000,$A1269,EXTRATO!$K$2:$K$3000)+SUMIF(EXTRATO!$A$2:$A$3000,$A1269,EXTRATO!$L$2:$L$3000)+SUMIF(EXTRATO!$A$2:$A$3000,$A1269,EXTRATO!$M$2:$M$3000))</f>
        <v/>
      </c>
      <c r="G1269" s="81" t="str">
        <f>IF(A1269="","",IF(INDEX(EXTRATO!$G$2:$G$3000,MATCH($A1269,EXTRATO!$A$2:$A$3000,0))="","",INDEX(EXTRATO!$G$2:$G$3000,MATCH($A1269,EXTRATO!$A$2:$A$3000,0))))</f>
        <v/>
      </c>
      <c r="H1269" s="86" t="str">
        <f>IF(A1269="","",IF(INDEX(EXTRATO!$F$2:$F$3000,MATCH($A1269,EXTRATO!$A$2:$A$3000,0))="","",INDEX(EXTRATO!$F$2:$F$3000,MATCH($A1269,EXTRATO!$A$2:$A$3000,0))))</f>
        <v/>
      </c>
      <c r="I1269" s="88" t="str">
        <f>IF(A1269="","",IF(INDEX(EXTRATO!$H$2:$H$3000,MATCH($A1269,EXTRATO!$A$2:$A$3000,0))="","",INDEX(EXTRATO!$H$2:$H$3000,MATCH($A1269,EXTRATO!$A$2:$A$3000,0))))</f>
        <v/>
      </c>
      <c r="J1269" s="86" t="str">
        <f t="shared" si="27"/>
        <v/>
      </c>
      <c r="K1269" s="86" t="str">
        <f>IF(AND(A1269="",D1269="",E1269="",F1269=""),"",IF(D1269="","SEM CATEGORIA",IF(E1269="","SEM SUBCATEGORIA",IF(COUNTIFS(CADASTROS!$L$7:$L$93,D1269,CADASTROS!$D$7:$D$93,E1269)=0,"INCOMPATÍVEL","OK"))))</f>
        <v/>
      </c>
    </row>
    <row r="1270" spans="1:11" ht="30" hidden="1" customHeight="1" x14ac:dyDescent="0.25">
      <c r="A1270" s="86" t="str">
        <f>IF(COUNTIF(EXTRATO!$A$2:$A$3000,"BAN-01127")=0,"","BAN-01127")</f>
        <v/>
      </c>
      <c r="B1270" s="85" t="str">
        <f>IF(A1270="","",IF(INDEX(EXTRATO!$C$2:$C$3000,MATCH($A1270,EXTRATO!$A$2:$A$3000,0))="","",INDEX(EXTRATO!$C$2:$C$3000,MATCH($A1270,EXTRATO!$A$2:$A$3000,0))))</f>
        <v/>
      </c>
      <c r="C1270" s="86" t="str">
        <f t="shared" si="26"/>
        <v/>
      </c>
      <c r="D1270" s="81"/>
      <c r="E1270" s="79"/>
      <c r="F1270" s="80" t="str">
        <f>IF(A1270="","",SUMIF(EXTRATO!$A$2:$A$3000,$A1270,EXTRATO!$J$2:$J$3000)+SUMIF(EXTRATO!$A$2:$A$3000,$A1270,EXTRATO!$K$2:$K$3000)+SUMIF(EXTRATO!$A$2:$A$3000,$A1270,EXTRATO!$L$2:$L$3000)+SUMIF(EXTRATO!$A$2:$A$3000,$A1270,EXTRATO!$M$2:$M$3000))</f>
        <v/>
      </c>
      <c r="G1270" s="81" t="str">
        <f>IF(A1270="","",IF(INDEX(EXTRATO!$G$2:$G$3000,MATCH($A1270,EXTRATO!$A$2:$A$3000,0))="","",INDEX(EXTRATO!$G$2:$G$3000,MATCH($A1270,EXTRATO!$A$2:$A$3000,0))))</f>
        <v/>
      </c>
      <c r="H1270" s="86" t="str">
        <f>IF(A1270="","",IF(INDEX(EXTRATO!$F$2:$F$3000,MATCH($A1270,EXTRATO!$A$2:$A$3000,0))="","",INDEX(EXTRATO!$F$2:$F$3000,MATCH($A1270,EXTRATO!$A$2:$A$3000,0))))</f>
        <v/>
      </c>
      <c r="I1270" s="88" t="str">
        <f>IF(A1270="","",IF(INDEX(EXTRATO!$H$2:$H$3000,MATCH($A1270,EXTRATO!$A$2:$A$3000,0))="","",INDEX(EXTRATO!$H$2:$H$3000,MATCH($A1270,EXTRATO!$A$2:$A$3000,0))))</f>
        <v/>
      </c>
      <c r="J1270" s="86" t="str">
        <f t="shared" si="27"/>
        <v/>
      </c>
      <c r="K1270" s="86" t="str">
        <f>IF(AND(A1270="",D1270="",E1270="",F1270=""),"",IF(D1270="","SEM CATEGORIA",IF(E1270="","SEM SUBCATEGORIA",IF(COUNTIFS(CADASTROS!$L$7:$L$93,D1270,CADASTROS!$D$7:$D$93,E1270)=0,"INCOMPATÍVEL","OK"))))</f>
        <v/>
      </c>
    </row>
    <row r="1271" spans="1:11" ht="30" hidden="1" customHeight="1" x14ac:dyDescent="0.25">
      <c r="A1271" s="86" t="str">
        <f>IF(COUNTIF(EXTRATO!$A$2:$A$3000,"BAN-01128")=0,"","BAN-01128")</f>
        <v/>
      </c>
      <c r="B1271" s="85" t="str">
        <f>IF(A1271="","",IF(INDEX(EXTRATO!$C$2:$C$3000,MATCH($A1271,EXTRATO!$A$2:$A$3000,0))="","",INDEX(EXTRATO!$C$2:$C$3000,MATCH($A1271,EXTRATO!$A$2:$A$3000,0))))</f>
        <v/>
      </c>
      <c r="C1271" s="86" t="str">
        <f t="shared" si="26"/>
        <v/>
      </c>
      <c r="D1271" s="81"/>
      <c r="E1271" s="79"/>
      <c r="F1271" s="80" t="str">
        <f>IF(A1271="","",SUMIF(EXTRATO!$A$2:$A$3000,$A1271,EXTRATO!$J$2:$J$3000)+SUMIF(EXTRATO!$A$2:$A$3000,$A1271,EXTRATO!$K$2:$K$3000)+SUMIF(EXTRATO!$A$2:$A$3000,$A1271,EXTRATO!$L$2:$L$3000)+SUMIF(EXTRATO!$A$2:$A$3000,$A1271,EXTRATO!$M$2:$M$3000))</f>
        <v/>
      </c>
      <c r="G1271" s="81" t="str">
        <f>IF(A1271="","",IF(INDEX(EXTRATO!$G$2:$G$3000,MATCH($A1271,EXTRATO!$A$2:$A$3000,0))="","",INDEX(EXTRATO!$G$2:$G$3000,MATCH($A1271,EXTRATO!$A$2:$A$3000,0))))</f>
        <v/>
      </c>
      <c r="H1271" s="86" t="str">
        <f>IF(A1271="","",IF(INDEX(EXTRATO!$F$2:$F$3000,MATCH($A1271,EXTRATO!$A$2:$A$3000,0))="","",INDEX(EXTRATO!$F$2:$F$3000,MATCH($A1271,EXTRATO!$A$2:$A$3000,0))))</f>
        <v/>
      </c>
      <c r="I1271" s="88" t="str">
        <f>IF(A1271="","",IF(INDEX(EXTRATO!$H$2:$H$3000,MATCH($A1271,EXTRATO!$A$2:$A$3000,0))="","",INDEX(EXTRATO!$H$2:$H$3000,MATCH($A1271,EXTRATO!$A$2:$A$3000,0))))</f>
        <v/>
      </c>
      <c r="J1271" s="86" t="str">
        <f t="shared" si="27"/>
        <v/>
      </c>
      <c r="K1271" s="86" t="str">
        <f>IF(AND(A1271="",D1271="",E1271="",F1271=""),"",IF(D1271="","SEM CATEGORIA",IF(E1271="","SEM SUBCATEGORIA",IF(COUNTIFS(CADASTROS!$L$7:$L$93,D1271,CADASTROS!$D$7:$D$93,E1271)=0,"INCOMPATÍVEL","OK"))))</f>
        <v/>
      </c>
    </row>
    <row r="1272" spans="1:11" ht="30" hidden="1" customHeight="1" x14ac:dyDescent="0.25">
      <c r="A1272" s="86" t="str">
        <f>IF(COUNTIF(EXTRATO!$A$2:$A$3000,"BAN-01129")=0,"","BAN-01129")</f>
        <v/>
      </c>
      <c r="B1272" s="85" t="str">
        <f>IF(A1272="","",IF(INDEX(EXTRATO!$C$2:$C$3000,MATCH($A1272,EXTRATO!$A$2:$A$3000,0))="","",INDEX(EXTRATO!$C$2:$C$3000,MATCH($A1272,EXTRATO!$A$2:$A$3000,0))))</f>
        <v/>
      </c>
      <c r="C1272" s="86" t="str">
        <f t="shared" si="26"/>
        <v/>
      </c>
      <c r="D1272" s="81"/>
      <c r="E1272" s="79"/>
      <c r="F1272" s="80" t="str">
        <f>IF(A1272="","",SUMIF(EXTRATO!$A$2:$A$3000,$A1272,EXTRATO!$J$2:$J$3000)+SUMIF(EXTRATO!$A$2:$A$3000,$A1272,EXTRATO!$K$2:$K$3000)+SUMIF(EXTRATO!$A$2:$A$3000,$A1272,EXTRATO!$L$2:$L$3000)+SUMIF(EXTRATO!$A$2:$A$3000,$A1272,EXTRATO!$M$2:$M$3000))</f>
        <v/>
      </c>
      <c r="G1272" s="81" t="str">
        <f>IF(A1272="","",IF(INDEX(EXTRATO!$G$2:$G$3000,MATCH($A1272,EXTRATO!$A$2:$A$3000,0))="","",INDEX(EXTRATO!$G$2:$G$3000,MATCH($A1272,EXTRATO!$A$2:$A$3000,0))))</f>
        <v/>
      </c>
      <c r="H1272" s="86" t="str">
        <f>IF(A1272="","",IF(INDEX(EXTRATO!$F$2:$F$3000,MATCH($A1272,EXTRATO!$A$2:$A$3000,0))="","",INDEX(EXTRATO!$F$2:$F$3000,MATCH($A1272,EXTRATO!$A$2:$A$3000,0))))</f>
        <v/>
      </c>
      <c r="I1272" s="88" t="str">
        <f>IF(A1272="","",IF(INDEX(EXTRATO!$H$2:$H$3000,MATCH($A1272,EXTRATO!$A$2:$A$3000,0))="","",INDEX(EXTRATO!$H$2:$H$3000,MATCH($A1272,EXTRATO!$A$2:$A$3000,0))))</f>
        <v/>
      </c>
      <c r="J1272" s="86" t="str">
        <f t="shared" si="27"/>
        <v/>
      </c>
      <c r="K1272" s="86" t="str">
        <f>IF(AND(A1272="",D1272="",E1272="",F1272=""),"",IF(D1272="","SEM CATEGORIA",IF(E1272="","SEM SUBCATEGORIA",IF(COUNTIFS(CADASTROS!$L$7:$L$93,D1272,CADASTROS!$D$7:$D$93,E1272)=0,"INCOMPATÍVEL","OK"))))</f>
        <v/>
      </c>
    </row>
    <row r="1273" spans="1:11" ht="30" hidden="1" customHeight="1" x14ac:dyDescent="0.25">
      <c r="A1273" s="86" t="str">
        <f>IF(COUNTIF(EXTRATO!$A$2:$A$3000,"BAN-01130")=0,"","BAN-01130")</f>
        <v/>
      </c>
      <c r="B1273" s="85" t="str">
        <f>IF(A1273="","",IF(INDEX(EXTRATO!$C$2:$C$3000,MATCH($A1273,EXTRATO!$A$2:$A$3000,0))="","",INDEX(EXTRATO!$C$2:$C$3000,MATCH($A1273,EXTRATO!$A$2:$A$3000,0))))</f>
        <v/>
      </c>
      <c r="C1273" s="86" t="str">
        <f t="shared" si="26"/>
        <v/>
      </c>
      <c r="D1273" s="81"/>
      <c r="E1273" s="79"/>
      <c r="F1273" s="80" t="str">
        <f>IF(A1273="","",SUMIF(EXTRATO!$A$2:$A$3000,$A1273,EXTRATO!$J$2:$J$3000)+SUMIF(EXTRATO!$A$2:$A$3000,$A1273,EXTRATO!$K$2:$K$3000)+SUMIF(EXTRATO!$A$2:$A$3000,$A1273,EXTRATO!$L$2:$L$3000)+SUMIF(EXTRATO!$A$2:$A$3000,$A1273,EXTRATO!$M$2:$M$3000))</f>
        <v/>
      </c>
      <c r="G1273" s="81" t="str">
        <f>IF(A1273="","",IF(INDEX(EXTRATO!$G$2:$G$3000,MATCH($A1273,EXTRATO!$A$2:$A$3000,0))="","",INDEX(EXTRATO!$G$2:$G$3000,MATCH($A1273,EXTRATO!$A$2:$A$3000,0))))</f>
        <v/>
      </c>
      <c r="H1273" s="86" t="str">
        <f>IF(A1273="","",IF(INDEX(EXTRATO!$F$2:$F$3000,MATCH($A1273,EXTRATO!$A$2:$A$3000,0))="","",INDEX(EXTRATO!$F$2:$F$3000,MATCH($A1273,EXTRATO!$A$2:$A$3000,0))))</f>
        <v/>
      </c>
      <c r="I1273" s="88" t="str">
        <f>IF(A1273="","",IF(INDEX(EXTRATO!$H$2:$H$3000,MATCH($A1273,EXTRATO!$A$2:$A$3000,0))="","",INDEX(EXTRATO!$H$2:$H$3000,MATCH($A1273,EXTRATO!$A$2:$A$3000,0))))</f>
        <v/>
      </c>
      <c r="J1273" s="86" t="str">
        <f t="shared" si="27"/>
        <v/>
      </c>
      <c r="K1273" s="86" t="str">
        <f>IF(AND(A1273="",D1273="",E1273="",F1273=""),"",IF(D1273="","SEM CATEGORIA",IF(E1273="","SEM SUBCATEGORIA",IF(COUNTIFS(CADASTROS!$L$7:$L$93,D1273,CADASTROS!$D$7:$D$93,E1273)=0,"INCOMPATÍVEL","OK"))))</f>
        <v/>
      </c>
    </row>
    <row r="1274" spans="1:11" ht="30" hidden="1" customHeight="1" x14ac:dyDescent="0.25">
      <c r="A1274" s="86" t="str">
        <f>IF(COUNTIF(EXTRATO!$A$2:$A$3000,"BAN-01131")=0,"","BAN-01131")</f>
        <v/>
      </c>
      <c r="B1274" s="85" t="str">
        <f>IF(A1274="","",IF(INDEX(EXTRATO!$C$2:$C$3000,MATCH($A1274,EXTRATO!$A$2:$A$3000,0))="","",INDEX(EXTRATO!$C$2:$C$3000,MATCH($A1274,EXTRATO!$A$2:$A$3000,0))))</f>
        <v/>
      </c>
      <c r="C1274" s="86" t="str">
        <f t="shared" si="26"/>
        <v/>
      </c>
      <c r="D1274" s="81"/>
      <c r="E1274" s="79"/>
      <c r="F1274" s="80" t="str">
        <f>IF(A1274="","",SUMIF(EXTRATO!$A$2:$A$3000,$A1274,EXTRATO!$J$2:$J$3000)+SUMIF(EXTRATO!$A$2:$A$3000,$A1274,EXTRATO!$K$2:$K$3000)+SUMIF(EXTRATO!$A$2:$A$3000,$A1274,EXTRATO!$L$2:$L$3000)+SUMIF(EXTRATO!$A$2:$A$3000,$A1274,EXTRATO!$M$2:$M$3000))</f>
        <v/>
      </c>
      <c r="G1274" s="81" t="str">
        <f>IF(A1274="","",IF(INDEX(EXTRATO!$G$2:$G$3000,MATCH($A1274,EXTRATO!$A$2:$A$3000,0))="","",INDEX(EXTRATO!$G$2:$G$3000,MATCH($A1274,EXTRATO!$A$2:$A$3000,0))))</f>
        <v/>
      </c>
      <c r="H1274" s="86" t="str">
        <f>IF(A1274="","",IF(INDEX(EXTRATO!$F$2:$F$3000,MATCH($A1274,EXTRATO!$A$2:$A$3000,0))="","",INDEX(EXTRATO!$F$2:$F$3000,MATCH($A1274,EXTRATO!$A$2:$A$3000,0))))</f>
        <v/>
      </c>
      <c r="I1274" s="88" t="str">
        <f>IF(A1274="","",IF(INDEX(EXTRATO!$H$2:$H$3000,MATCH($A1274,EXTRATO!$A$2:$A$3000,0))="","",INDEX(EXTRATO!$H$2:$H$3000,MATCH($A1274,EXTRATO!$A$2:$A$3000,0))))</f>
        <v/>
      </c>
      <c r="J1274" s="86" t="str">
        <f t="shared" si="27"/>
        <v/>
      </c>
      <c r="K1274" s="86" t="str">
        <f>IF(AND(A1274="",D1274="",E1274="",F1274=""),"",IF(D1274="","SEM CATEGORIA",IF(E1274="","SEM SUBCATEGORIA",IF(COUNTIFS(CADASTROS!$L$7:$L$93,D1274,CADASTROS!$D$7:$D$93,E1274)=0,"INCOMPATÍVEL","OK"))))</f>
        <v/>
      </c>
    </row>
    <row r="1275" spans="1:11" ht="30" hidden="1" customHeight="1" x14ac:dyDescent="0.25">
      <c r="A1275" s="86" t="str">
        <f>IF(COUNTIF(EXTRATO!$A$2:$A$3000,"BAN-01132")=0,"","BAN-01132")</f>
        <v/>
      </c>
      <c r="B1275" s="85" t="str">
        <f>IF(A1275="","",IF(INDEX(EXTRATO!$C$2:$C$3000,MATCH($A1275,EXTRATO!$A$2:$A$3000,0))="","",INDEX(EXTRATO!$C$2:$C$3000,MATCH($A1275,EXTRATO!$A$2:$A$3000,0))))</f>
        <v/>
      </c>
      <c r="C1275" s="86" t="str">
        <f t="shared" si="26"/>
        <v/>
      </c>
      <c r="D1275" s="81"/>
      <c r="E1275" s="79"/>
      <c r="F1275" s="80" t="str">
        <f>IF(A1275="","",SUMIF(EXTRATO!$A$2:$A$3000,$A1275,EXTRATO!$J$2:$J$3000)+SUMIF(EXTRATO!$A$2:$A$3000,$A1275,EXTRATO!$K$2:$K$3000)+SUMIF(EXTRATO!$A$2:$A$3000,$A1275,EXTRATO!$L$2:$L$3000)+SUMIF(EXTRATO!$A$2:$A$3000,$A1275,EXTRATO!$M$2:$M$3000))</f>
        <v/>
      </c>
      <c r="G1275" s="81" t="str">
        <f>IF(A1275="","",IF(INDEX(EXTRATO!$G$2:$G$3000,MATCH($A1275,EXTRATO!$A$2:$A$3000,0))="","",INDEX(EXTRATO!$G$2:$G$3000,MATCH($A1275,EXTRATO!$A$2:$A$3000,0))))</f>
        <v/>
      </c>
      <c r="H1275" s="86" t="str">
        <f>IF(A1275="","",IF(INDEX(EXTRATO!$F$2:$F$3000,MATCH($A1275,EXTRATO!$A$2:$A$3000,0))="","",INDEX(EXTRATO!$F$2:$F$3000,MATCH($A1275,EXTRATO!$A$2:$A$3000,0))))</f>
        <v/>
      </c>
      <c r="I1275" s="88" t="str">
        <f>IF(A1275="","",IF(INDEX(EXTRATO!$H$2:$H$3000,MATCH($A1275,EXTRATO!$A$2:$A$3000,0))="","",INDEX(EXTRATO!$H$2:$H$3000,MATCH($A1275,EXTRATO!$A$2:$A$3000,0))))</f>
        <v/>
      </c>
      <c r="J1275" s="86" t="str">
        <f t="shared" si="27"/>
        <v/>
      </c>
      <c r="K1275" s="86" t="str">
        <f>IF(AND(A1275="",D1275="",E1275="",F1275=""),"",IF(D1275="","SEM CATEGORIA",IF(E1275="","SEM SUBCATEGORIA",IF(COUNTIFS(CADASTROS!$L$7:$L$93,D1275,CADASTROS!$D$7:$D$93,E1275)=0,"INCOMPATÍVEL","OK"))))</f>
        <v/>
      </c>
    </row>
    <row r="1276" spans="1:11" ht="30" hidden="1" customHeight="1" x14ac:dyDescent="0.25">
      <c r="A1276" s="86" t="str">
        <f>IF(COUNTIF(EXTRATO!$A$2:$A$3000,"BAN-01133")=0,"","BAN-01133")</f>
        <v/>
      </c>
      <c r="B1276" s="85" t="str">
        <f>IF(A1276="","",IF(INDEX(EXTRATO!$C$2:$C$3000,MATCH($A1276,EXTRATO!$A$2:$A$3000,0))="","",INDEX(EXTRATO!$C$2:$C$3000,MATCH($A1276,EXTRATO!$A$2:$A$3000,0))))</f>
        <v/>
      </c>
      <c r="C1276" s="86" t="str">
        <f t="shared" si="26"/>
        <v/>
      </c>
      <c r="D1276" s="81"/>
      <c r="E1276" s="79"/>
      <c r="F1276" s="80" t="str">
        <f>IF(A1276="","",SUMIF(EXTRATO!$A$2:$A$3000,$A1276,EXTRATO!$J$2:$J$3000)+SUMIF(EXTRATO!$A$2:$A$3000,$A1276,EXTRATO!$K$2:$K$3000)+SUMIF(EXTRATO!$A$2:$A$3000,$A1276,EXTRATO!$L$2:$L$3000)+SUMIF(EXTRATO!$A$2:$A$3000,$A1276,EXTRATO!$M$2:$M$3000))</f>
        <v/>
      </c>
      <c r="G1276" s="81" t="str">
        <f>IF(A1276="","",IF(INDEX(EXTRATO!$G$2:$G$3000,MATCH($A1276,EXTRATO!$A$2:$A$3000,0))="","",INDEX(EXTRATO!$G$2:$G$3000,MATCH($A1276,EXTRATO!$A$2:$A$3000,0))))</f>
        <v/>
      </c>
      <c r="H1276" s="86" t="str">
        <f>IF(A1276="","",IF(INDEX(EXTRATO!$F$2:$F$3000,MATCH($A1276,EXTRATO!$A$2:$A$3000,0))="","",INDEX(EXTRATO!$F$2:$F$3000,MATCH($A1276,EXTRATO!$A$2:$A$3000,0))))</f>
        <v/>
      </c>
      <c r="I1276" s="88" t="str">
        <f>IF(A1276="","",IF(INDEX(EXTRATO!$H$2:$H$3000,MATCH($A1276,EXTRATO!$A$2:$A$3000,0))="","",INDEX(EXTRATO!$H$2:$H$3000,MATCH($A1276,EXTRATO!$A$2:$A$3000,0))))</f>
        <v/>
      </c>
      <c r="J1276" s="86" t="str">
        <f t="shared" si="27"/>
        <v/>
      </c>
      <c r="K1276" s="86" t="str">
        <f>IF(AND(A1276="",D1276="",E1276="",F1276=""),"",IF(D1276="","SEM CATEGORIA",IF(E1276="","SEM SUBCATEGORIA",IF(COUNTIFS(CADASTROS!$L$7:$L$93,D1276,CADASTROS!$D$7:$D$93,E1276)=0,"INCOMPATÍVEL","OK"))))</f>
        <v/>
      </c>
    </row>
    <row r="1277" spans="1:11" ht="30" hidden="1" customHeight="1" x14ac:dyDescent="0.25">
      <c r="A1277" s="86" t="str">
        <f>IF(COUNTIF(EXTRATO!$A$2:$A$3000,"BAN-01134")=0,"","BAN-01134")</f>
        <v/>
      </c>
      <c r="B1277" s="85" t="str">
        <f>IF(A1277="","",IF(INDEX(EXTRATO!$C$2:$C$3000,MATCH($A1277,EXTRATO!$A$2:$A$3000,0))="","",INDEX(EXTRATO!$C$2:$C$3000,MATCH($A1277,EXTRATO!$A$2:$A$3000,0))))</f>
        <v/>
      </c>
      <c r="C1277" s="86" t="str">
        <f t="shared" si="26"/>
        <v/>
      </c>
      <c r="D1277" s="81"/>
      <c r="E1277" s="79"/>
      <c r="F1277" s="80" t="str">
        <f>IF(A1277="","",SUMIF(EXTRATO!$A$2:$A$3000,$A1277,EXTRATO!$J$2:$J$3000)+SUMIF(EXTRATO!$A$2:$A$3000,$A1277,EXTRATO!$K$2:$K$3000)+SUMIF(EXTRATO!$A$2:$A$3000,$A1277,EXTRATO!$L$2:$L$3000)+SUMIF(EXTRATO!$A$2:$A$3000,$A1277,EXTRATO!$M$2:$M$3000))</f>
        <v/>
      </c>
      <c r="G1277" s="81" t="str">
        <f>IF(A1277="","",IF(INDEX(EXTRATO!$G$2:$G$3000,MATCH($A1277,EXTRATO!$A$2:$A$3000,0))="","",INDEX(EXTRATO!$G$2:$G$3000,MATCH($A1277,EXTRATO!$A$2:$A$3000,0))))</f>
        <v/>
      </c>
      <c r="H1277" s="86" t="str">
        <f>IF(A1277="","",IF(INDEX(EXTRATO!$F$2:$F$3000,MATCH($A1277,EXTRATO!$A$2:$A$3000,0))="","",INDEX(EXTRATO!$F$2:$F$3000,MATCH($A1277,EXTRATO!$A$2:$A$3000,0))))</f>
        <v/>
      </c>
      <c r="I1277" s="88" t="str">
        <f>IF(A1277="","",IF(INDEX(EXTRATO!$H$2:$H$3000,MATCH($A1277,EXTRATO!$A$2:$A$3000,0))="","",INDEX(EXTRATO!$H$2:$H$3000,MATCH($A1277,EXTRATO!$A$2:$A$3000,0))))</f>
        <v/>
      </c>
      <c r="J1277" s="86" t="str">
        <f t="shared" si="27"/>
        <v/>
      </c>
      <c r="K1277" s="86" t="str">
        <f>IF(AND(A1277="",D1277="",E1277="",F1277=""),"",IF(D1277="","SEM CATEGORIA",IF(E1277="","SEM SUBCATEGORIA",IF(COUNTIFS(CADASTROS!$L$7:$L$93,D1277,CADASTROS!$D$7:$D$93,E1277)=0,"INCOMPATÍVEL","OK"))))</f>
        <v/>
      </c>
    </row>
    <row r="1278" spans="1:11" ht="30" hidden="1" customHeight="1" x14ac:dyDescent="0.25">
      <c r="A1278" s="86" t="str">
        <f>IF(COUNTIF(EXTRATO!$A$2:$A$3000,"BAN-01135")=0,"","BAN-01135")</f>
        <v/>
      </c>
      <c r="B1278" s="85" t="str">
        <f>IF(A1278="","",IF(INDEX(EXTRATO!$C$2:$C$3000,MATCH($A1278,EXTRATO!$A$2:$A$3000,0))="","",INDEX(EXTRATO!$C$2:$C$3000,MATCH($A1278,EXTRATO!$A$2:$A$3000,0))))</f>
        <v/>
      </c>
      <c r="C1278" s="86" t="str">
        <f t="shared" si="26"/>
        <v/>
      </c>
      <c r="D1278" s="81"/>
      <c r="E1278" s="79"/>
      <c r="F1278" s="80" t="str">
        <f>IF(A1278="","",SUMIF(EXTRATO!$A$2:$A$3000,$A1278,EXTRATO!$J$2:$J$3000)+SUMIF(EXTRATO!$A$2:$A$3000,$A1278,EXTRATO!$K$2:$K$3000)+SUMIF(EXTRATO!$A$2:$A$3000,$A1278,EXTRATO!$L$2:$L$3000)+SUMIF(EXTRATO!$A$2:$A$3000,$A1278,EXTRATO!$M$2:$M$3000))</f>
        <v/>
      </c>
      <c r="G1278" s="81" t="str">
        <f>IF(A1278="","",IF(INDEX(EXTRATO!$G$2:$G$3000,MATCH($A1278,EXTRATO!$A$2:$A$3000,0))="","",INDEX(EXTRATO!$G$2:$G$3000,MATCH($A1278,EXTRATO!$A$2:$A$3000,0))))</f>
        <v/>
      </c>
      <c r="H1278" s="86" t="str">
        <f>IF(A1278="","",IF(INDEX(EXTRATO!$F$2:$F$3000,MATCH($A1278,EXTRATO!$A$2:$A$3000,0))="","",INDEX(EXTRATO!$F$2:$F$3000,MATCH($A1278,EXTRATO!$A$2:$A$3000,0))))</f>
        <v/>
      </c>
      <c r="I1278" s="88" t="str">
        <f>IF(A1278="","",IF(INDEX(EXTRATO!$H$2:$H$3000,MATCH($A1278,EXTRATO!$A$2:$A$3000,0))="","",INDEX(EXTRATO!$H$2:$H$3000,MATCH($A1278,EXTRATO!$A$2:$A$3000,0))))</f>
        <v/>
      </c>
      <c r="J1278" s="86" t="str">
        <f t="shared" si="27"/>
        <v/>
      </c>
      <c r="K1278" s="86" t="str">
        <f>IF(AND(A1278="",D1278="",E1278="",F1278=""),"",IF(D1278="","SEM CATEGORIA",IF(E1278="","SEM SUBCATEGORIA",IF(COUNTIFS(CADASTROS!$L$7:$L$93,D1278,CADASTROS!$D$7:$D$93,E1278)=0,"INCOMPATÍVEL","OK"))))</f>
        <v/>
      </c>
    </row>
    <row r="1279" spans="1:11" ht="30" hidden="1" customHeight="1" x14ac:dyDescent="0.25">
      <c r="A1279" s="86" t="str">
        <f>IF(COUNTIF(EXTRATO!$A$2:$A$3000,"BAN-01136")=0,"","BAN-01136")</f>
        <v/>
      </c>
      <c r="B1279" s="85" t="str">
        <f>IF(A1279="","",IF(INDEX(EXTRATO!$C$2:$C$3000,MATCH($A1279,EXTRATO!$A$2:$A$3000,0))="","",INDEX(EXTRATO!$C$2:$C$3000,MATCH($A1279,EXTRATO!$A$2:$A$3000,0))))</f>
        <v/>
      </c>
      <c r="C1279" s="86" t="str">
        <f t="shared" si="26"/>
        <v/>
      </c>
      <c r="D1279" s="81"/>
      <c r="E1279" s="79"/>
      <c r="F1279" s="80" t="str">
        <f>IF(A1279="","",SUMIF(EXTRATO!$A$2:$A$3000,$A1279,EXTRATO!$J$2:$J$3000)+SUMIF(EXTRATO!$A$2:$A$3000,$A1279,EXTRATO!$K$2:$K$3000)+SUMIF(EXTRATO!$A$2:$A$3000,$A1279,EXTRATO!$L$2:$L$3000)+SUMIF(EXTRATO!$A$2:$A$3000,$A1279,EXTRATO!$M$2:$M$3000))</f>
        <v/>
      </c>
      <c r="G1279" s="81" t="str">
        <f>IF(A1279="","",IF(INDEX(EXTRATO!$G$2:$G$3000,MATCH($A1279,EXTRATO!$A$2:$A$3000,0))="","",INDEX(EXTRATO!$G$2:$G$3000,MATCH($A1279,EXTRATO!$A$2:$A$3000,0))))</f>
        <v/>
      </c>
      <c r="H1279" s="86" t="str">
        <f>IF(A1279="","",IF(INDEX(EXTRATO!$F$2:$F$3000,MATCH($A1279,EXTRATO!$A$2:$A$3000,0))="","",INDEX(EXTRATO!$F$2:$F$3000,MATCH($A1279,EXTRATO!$A$2:$A$3000,0))))</f>
        <v/>
      </c>
      <c r="I1279" s="88" t="str">
        <f>IF(A1279="","",IF(INDEX(EXTRATO!$H$2:$H$3000,MATCH($A1279,EXTRATO!$A$2:$A$3000,0))="","",INDEX(EXTRATO!$H$2:$H$3000,MATCH($A1279,EXTRATO!$A$2:$A$3000,0))))</f>
        <v/>
      </c>
      <c r="J1279" s="86" t="str">
        <f t="shared" si="27"/>
        <v/>
      </c>
      <c r="K1279" s="86" t="str">
        <f>IF(AND(A1279="",D1279="",E1279="",F1279=""),"",IF(D1279="","SEM CATEGORIA",IF(E1279="","SEM SUBCATEGORIA",IF(COUNTIFS(CADASTROS!$L$7:$L$93,D1279,CADASTROS!$D$7:$D$93,E1279)=0,"INCOMPATÍVEL","OK"))))</f>
        <v/>
      </c>
    </row>
    <row r="1280" spans="1:11" ht="30" hidden="1" customHeight="1" x14ac:dyDescent="0.25">
      <c r="A1280" s="86" t="str">
        <f>IF(COUNTIF(EXTRATO!$A$2:$A$3000,"BAN-01137")=0,"","BAN-01137")</f>
        <v/>
      </c>
      <c r="B1280" s="85" t="str">
        <f>IF(A1280="","",IF(INDEX(EXTRATO!$C$2:$C$3000,MATCH($A1280,EXTRATO!$A$2:$A$3000,0))="","",INDEX(EXTRATO!$C$2:$C$3000,MATCH($A1280,EXTRATO!$A$2:$A$3000,0))))</f>
        <v/>
      </c>
      <c r="C1280" s="86" t="str">
        <f t="shared" si="26"/>
        <v/>
      </c>
      <c r="D1280" s="81"/>
      <c r="E1280" s="79"/>
      <c r="F1280" s="80" t="str">
        <f>IF(A1280="","",SUMIF(EXTRATO!$A$2:$A$3000,$A1280,EXTRATO!$J$2:$J$3000)+SUMIF(EXTRATO!$A$2:$A$3000,$A1280,EXTRATO!$K$2:$K$3000)+SUMIF(EXTRATO!$A$2:$A$3000,$A1280,EXTRATO!$L$2:$L$3000)+SUMIF(EXTRATO!$A$2:$A$3000,$A1280,EXTRATO!$M$2:$M$3000))</f>
        <v/>
      </c>
      <c r="G1280" s="81" t="str">
        <f>IF(A1280="","",IF(INDEX(EXTRATO!$G$2:$G$3000,MATCH($A1280,EXTRATO!$A$2:$A$3000,0))="","",INDEX(EXTRATO!$G$2:$G$3000,MATCH($A1280,EXTRATO!$A$2:$A$3000,0))))</f>
        <v/>
      </c>
      <c r="H1280" s="86" t="str">
        <f>IF(A1280="","",IF(INDEX(EXTRATO!$F$2:$F$3000,MATCH($A1280,EXTRATO!$A$2:$A$3000,0))="","",INDEX(EXTRATO!$F$2:$F$3000,MATCH($A1280,EXTRATO!$A$2:$A$3000,0))))</f>
        <v/>
      </c>
      <c r="I1280" s="88" t="str">
        <f>IF(A1280="","",IF(INDEX(EXTRATO!$H$2:$H$3000,MATCH($A1280,EXTRATO!$A$2:$A$3000,0))="","",INDEX(EXTRATO!$H$2:$H$3000,MATCH($A1280,EXTRATO!$A$2:$A$3000,0))))</f>
        <v/>
      </c>
      <c r="J1280" s="86" t="str">
        <f t="shared" si="27"/>
        <v/>
      </c>
      <c r="K1280" s="86" t="str">
        <f>IF(AND(A1280="",D1280="",E1280="",F1280=""),"",IF(D1280="","SEM CATEGORIA",IF(E1280="","SEM SUBCATEGORIA",IF(COUNTIFS(CADASTROS!$L$7:$L$93,D1280,CADASTROS!$D$7:$D$93,E1280)=0,"INCOMPATÍVEL","OK"))))</f>
        <v/>
      </c>
    </row>
    <row r="1281" spans="1:11" ht="30" hidden="1" customHeight="1" x14ac:dyDescent="0.25">
      <c r="A1281" s="86" t="str">
        <f>IF(COUNTIF(EXTRATO!$A$2:$A$3000,"BAN-01138")=0,"","BAN-01138")</f>
        <v/>
      </c>
      <c r="B1281" s="85" t="str">
        <f>IF(A1281="","",IF(INDEX(EXTRATO!$C$2:$C$3000,MATCH($A1281,EXTRATO!$A$2:$A$3000,0))="","",INDEX(EXTRATO!$C$2:$C$3000,MATCH($A1281,EXTRATO!$A$2:$A$3000,0))))</f>
        <v/>
      </c>
      <c r="C1281" s="86" t="str">
        <f t="shared" si="26"/>
        <v/>
      </c>
      <c r="D1281" s="81"/>
      <c r="E1281" s="79"/>
      <c r="F1281" s="80" t="str">
        <f>IF(A1281="","",SUMIF(EXTRATO!$A$2:$A$3000,$A1281,EXTRATO!$J$2:$J$3000)+SUMIF(EXTRATO!$A$2:$A$3000,$A1281,EXTRATO!$K$2:$K$3000)+SUMIF(EXTRATO!$A$2:$A$3000,$A1281,EXTRATO!$L$2:$L$3000)+SUMIF(EXTRATO!$A$2:$A$3000,$A1281,EXTRATO!$M$2:$M$3000))</f>
        <v/>
      </c>
      <c r="G1281" s="81" t="str">
        <f>IF(A1281="","",IF(INDEX(EXTRATO!$G$2:$G$3000,MATCH($A1281,EXTRATO!$A$2:$A$3000,0))="","",INDEX(EXTRATO!$G$2:$G$3000,MATCH($A1281,EXTRATO!$A$2:$A$3000,0))))</f>
        <v/>
      </c>
      <c r="H1281" s="86" t="str">
        <f>IF(A1281="","",IF(INDEX(EXTRATO!$F$2:$F$3000,MATCH($A1281,EXTRATO!$A$2:$A$3000,0))="","",INDEX(EXTRATO!$F$2:$F$3000,MATCH($A1281,EXTRATO!$A$2:$A$3000,0))))</f>
        <v/>
      </c>
      <c r="I1281" s="88" t="str">
        <f>IF(A1281="","",IF(INDEX(EXTRATO!$H$2:$H$3000,MATCH($A1281,EXTRATO!$A$2:$A$3000,0))="","",INDEX(EXTRATO!$H$2:$H$3000,MATCH($A1281,EXTRATO!$A$2:$A$3000,0))))</f>
        <v/>
      </c>
      <c r="J1281" s="86" t="str">
        <f t="shared" si="27"/>
        <v/>
      </c>
      <c r="K1281" s="86" t="str">
        <f>IF(AND(A1281="",D1281="",E1281="",F1281=""),"",IF(D1281="","SEM CATEGORIA",IF(E1281="","SEM SUBCATEGORIA",IF(COUNTIFS(CADASTROS!$L$7:$L$93,D1281,CADASTROS!$D$7:$D$93,E1281)=0,"INCOMPATÍVEL","OK"))))</f>
        <v/>
      </c>
    </row>
    <row r="1282" spans="1:11" ht="30" hidden="1" customHeight="1" x14ac:dyDescent="0.25">
      <c r="A1282" s="86" t="str">
        <f>IF(COUNTIF(EXTRATO!$A$2:$A$3000,"BAN-01139")=0,"","BAN-01139")</f>
        <v/>
      </c>
      <c r="B1282" s="85" t="str">
        <f>IF(A1282="","",IF(INDEX(EXTRATO!$C$2:$C$3000,MATCH($A1282,EXTRATO!$A$2:$A$3000,0))="","",INDEX(EXTRATO!$C$2:$C$3000,MATCH($A1282,EXTRATO!$A$2:$A$3000,0))))</f>
        <v/>
      </c>
      <c r="C1282" s="86" t="str">
        <f t="shared" si="26"/>
        <v/>
      </c>
      <c r="D1282" s="81"/>
      <c r="E1282" s="79"/>
      <c r="F1282" s="80" t="str">
        <f>IF(A1282="","",SUMIF(EXTRATO!$A$2:$A$3000,$A1282,EXTRATO!$J$2:$J$3000)+SUMIF(EXTRATO!$A$2:$A$3000,$A1282,EXTRATO!$K$2:$K$3000)+SUMIF(EXTRATO!$A$2:$A$3000,$A1282,EXTRATO!$L$2:$L$3000)+SUMIF(EXTRATO!$A$2:$A$3000,$A1282,EXTRATO!$M$2:$M$3000))</f>
        <v/>
      </c>
      <c r="G1282" s="81" t="str">
        <f>IF(A1282="","",IF(INDEX(EXTRATO!$G$2:$G$3000,MATCH($A1282,EXTRATO!$A$2:$A$3000,0))="","",INDEX(EXTRATO!$G$2:$G$3000,MATCH($A1282,EXTRATO!$A$2:$A$3000,0))))</f>
        <v/>
      </c>
      <c r="H1282" s="86" t="str">
        <f>IF(A1282="","",IF(INDEX(EXTRATO!$F$2:$F$3000,MATCH($A1282,EXTRATO!$A$2:$A$3000,0))="","",INDEX(EXTRATO!$F$2:$F$3000,MATCH($A1282,EXTRATO!$A$2:$A$3000,0))))</f>
        <v/>
      </c>
      <c r="I1282" s="88" t="str">
        <f>IF(A1282="","",IF(INDEX(EXTRATO!$H$2:$H$3000,MATCH($A1282,EXTRATO!$A$2:$A$3000,0))="","",INDEX(EXTRATO!$H$2:$H$3000,MATCH($A1282,EXTRATO!$A$2:$A$3000,0))))</f>
        <v/>
      </c>
      <c r="J1282" s="86" t="str">
        <f t="shared" si="27"/>
        <v/>
      </c>
      <c r="K1282" s="86" t="str">
        <f>IF(AND(A1282="",D1282="",E1282="",F1282=""),"",IF(D1282="","SEM CATEGORIA",IF(E1282="","SEM SUBCATEGORIA",IF(COUNTIFS(CADASTROS!$L$7:$L$93,D1282,CADASTROS!$D$7:$D$93,E1282)=0,"INCOMPATÍVEL","OK"))))</f>
        <v/>
      </c>
    </row>
    <row r="1283" spans="1:11" ht="30" hidden="1" customHeight="1" x14ac:dyDescent="0.25">
      <c r="A1283" s="86" t="str">
        <f>IF(COUNTIF(EXTRATO!$A$2:$A$3000,"BAN-01140")=0,"","BAN-01140")</f>
        <v/>
      </c>
      <c r="B1283" s="85" t="str">
        <f>IF(A1283="","",IF(INDEX(EXTRATO!$C$2:$C$3000,MATCH($A1283,EXTRATO!$A$2:$A$3000,0))="","",INDEX(EXTRATO!$C$2:$C$3000,MATCH($A1283,EXTRATO!$A$2:$A$3000,0))))</f>
        <v/>
      </c>
      <c r="C1283" s="86" t="str">
        <f t="shared" si="26"/>
        <v/>
      </c>
      <c r="D1283" s="81"/>
      <c r="E1283" s="79"/>
      <c r="F1283" s="80" t="str">
        <f>IF(A1283="","",SUMIF(EXTRATO!$A$2:$A$3000,$A1283,EXTRATO!$J$2:$J$3000)+SUMIF(EXTRATO!$A$2:$A$3000,$A1283,EXTRATO!$K$2:$K$3000)+SUMIF(EXTRATO!$A$2:$A$3000,$A1283,EXTRATO!$L$2:$L$3000)+SUMIF(EXTRATO!$A$2:$A$3000,$A1283,EXTRATO!$M$2:$M$3000))</f>
        <v/>
      </c>
      <c r="G1283" s="81" t="str">
        <f>IF(A1283="","",IF(INDEX(EXTRATO!$G$2:$G$3000,MATCH($A1283,EXTRATO!$A$2:$A$3000,0))="","",INDEX(EXTRATO!$G$2:$G$3000,MATCH($A1283,EXTRATO!$A$2:$A$3000,0))))</f>
        <v/>
      </c>
      <c r="H1283" s="86" t="str">
        <f>IF(A1283="","",IF(INDEX(EXTRATO!$F$2:$F$3000,MATCH($A1283,EXTRATO!$A$2:$A$3000,0))="","",INDEX(EXTRATO!$F$2:$F$3000,MATCH($A1283,EXTRATO!$A$2:$A$3000,0))))</f>
        <v/>
      </c>
      <c r="I1283" s="88" t="str">
        <f>IF(A1283="","",IF(INDEX(EXTRATO!$H$2:$H$3000,MATCH($A1283,EXTRATO!$A$2:$A$3000,0))="","",INDEX(EXTRATO!$H$2:$H$3000,MATCH($A1283,EXTRATO!$A$2:$A$3000,0))))</f>
        <v/>
      </c>
      <c r="J1283" s="86" t="str">
        <f t="shared" si="27"/>
        <v/>
      </c>
      <c r="K1283" s="86" t="str">
        <f>IF(AND(A1283="",D1283="",E1283="",F1283=""),"",IF(D1283="","SEM CATEGORIA",IF(E1283="","SEM SUBCATEGORIA",IF(COUNTIFS(CADASTROS!$L$7:$L$93,D1283,CADASTROS!$D$7:$D$93,E1283)=0,"INCOMPATÍVEL","OK"))))</f>
        <v/>
      </c>
    </row>
    <row r="1284" spans="1:11" ht="30" hidden="1" customHeight="1" x14ac:dyDescent="0.25">
      <c r="A1284" s="86" t="str">
        <f>IF(COUNTIF(EXTRATO!$A$2:$A$3000,"BAN-01141")=0,"","BAN-01141")</f>
        <v/>
      </c>
      <c r="B1284" s="85" t="str">
        <f>IF(A1284="","",IF(INDEX(EXTRATO!$C$2:$C$3000,MATCH($A1284,EXTRATO!$A$2:$A$3000,0))="","",INDEX(EXTRATO!$C$2:$C$3000,MATCH($A1284,EXTRATO!$A$2:$A$3000,0))))</f>
        <v/>
      </c>
      <c r="C1284" s="86" t="str">
        <f t="shared" si="26"/>
        <v/>
      </c>
      <c r="D1284" s="81"/>
      <c r="E1284" s="79"/>
      <c r="F1284" s="80" t="str">
        <f>IF(A1284="","",SUMIF(EXTRATO!$A$2:$A$3000,$A1284,EXTRATO!$J$2:$J$3000)+SUMIF(EXTRATO!$A$2:$A$3000,$A1284,EXTRATO!$K$2:$K$3000)+SUMIF(EXTRATO!$A$2:$A$3000,$A1284,EXTRATO!$L$2:$L$3000)+SUMIF(EXTRATO!$A$2:$A$3000,$A1284,EXTRATO!$M$2:$M$3000))</f>
        <v/>
      </c>
      <c r="G1284" s="81" t="str">
        <f>IF(A1284="","",IF(INDEX(EXTRATO!$G$2:$G$3000,MATCH($A1284,EXTRATO!$A$2:$A$3000,0))="","",INDEX(EXTRATO!$G$2:$G$3000,MATCH($A1284,EXTRATO!$A$2:$A$3000,0))))</f>
        <v/>
      </c>
      <c r="H1284" s="86" t="str">
        <f>IF(A1284="","",IF(INDEX(EXTRATO!$F$2:$F$3000,MATCH($A1284,EXTRATO!$A$2:$A$3000,0))="","",INDEX(EXTRATO!$F$2:$F$3000,MATCH($A1284,EXTRATO!$A$2:$A$3000,0))))</f>
        <v/>
      </c>
      <c r="I1284" s="88" t="str">
        <f>IF(A1284="","",IF(INDEX(EXTRATO!$H$2:$H$3000,MATCH($A1284,EXTRATO!$A$2:$A$3000,0))="","",INDEX(EXTRATO!$H$2:$H$3000,MATCH($A1284,EXTRATO!$A$2:$A$3000,0))))</f>
        <v/>
      </c>
      <c r="J1284" s="86" t="str">
        <f t="shared" si="27"/>
        <v/>
      </c>
      <c r="K1284" s="86" t="str">
        <f>IF(AND(A1284="",D1284="",E1284="",F1284=""),"",IF(D1284="","SEM CATEGORIA",IF(E1284="","SEM SUBCATEGORIA",IF(COUNTIFS(CADASTROS!$L$7:$L$93,D1284,CADASTROS!$D$7:$D$93,E1284)=0,"INCOMPATÍVEL","OK"))))</f>
        <v/>
      </c>
    </row>
    <row r="1285" spans="1:11" ht="30" hidden="1" customHeight="1" x14ac:dyDescent="0.25">
      <c r="A1285" s="86" t="str">
        <f>IF(COUNTIF(EXTRATO!$A$2:$A$3000,"BAN-01142")=0,"","BAN-01142")</f>
        <v/>
      </c>
      <c r="B1285" s="85" t="str">
        <f>IF(A1285="","",IF(INDEX(EXTRATO!$C$2:$C$3000,MATCH($A1285,EXTRATO!$A$2:$A$3000,0))="","",INDEX(EXTRATO!$C$2:$C$3000,MATCH($A1285,EXTRATO!$A$2:$A$3000,0))))</f>
        <v/>
      </c>
      <c r="C1285" s="86" t="str">
        <f t="shared" si="26"/>
        <v/>
      </c>
      <c r="D1285" s="81"/>
      <c r="E1285" s="79"/>
      <c r="F1285" s="80" t="str">
        <f>IF(A1285="","",SUMIF(EXTRATO!$A$2:$A$3000,$A1285,EXTRATO!$J$2:$J$3000)+SUMIF(EXTRATO!$A$2:$A$3000,$A1285,EXTRATO!$K$2:$K$3000)+SUMIF(EXTRATO!$A$2:$A$3000,$A1285,EXTRATO!$L$2:$L$3000)+SUMIF(EXTRATO!$A$2:$A$3000,$A1285,EXTRATO!$M$2:$M$3000))</f>
        <v/>
      </c>
      <c r="G1285" s="81" t="str">
        <f>IF(A1285="","",IF(INDEX(EXTRATO!$G$2:$G$3000,MATCH($A1285,EXTRATO!$A$2:$A$3000,0))="","",INDEX(EXTRATO!$G$2:$G$3000,MATCH($A1285,EXTRATO!$A$2:$A$3000,0))))</f>
        <v/>
      </c>
      <c r="H1285" s="86" t="str">
        <f>IF(A1285="","",IF(INDEX(EXTRATO!$F$2:$F$3000,MATCH($A1285,EXTRATO!$A$2:$A$3000,0))="","",INDEX(EXTRATO!$F$2:$F$3000,MATCH($A1285,EXTRATO!$A$2:$A$3000,0))))</f>
        <v/>
      </c>
      <c r="I1285" s="88" t="str">
        <f>IF(A1285="","",IF(INDEX(EXTRATO!$H$2:$H$3000,MATCH($A1285,EXTRATO!$A$2:$A$3000,0))="","",INDEX(EXTRATO!$H$2:$H$3000,MATCH($A1285,EXTRATO!$A$2:$A$3000,0))))</f>
        <v/>
      </c>
      <c r="J1285" s="86" t="str">
        <f t="shared" si="27"/>
        <v/>
      </c>
      <c r="K1285" s="86" t="str">
        <f>IF(AND(A1285="",D1285="",E1285="",F1285=""),"",IF(D1285="","SEM CATEGORIA",IF(E1285="","SEM SUBCATEGORIA",IF(COUNTIFS(CADASTROS!$L$7:$L$93,D1285,CADASTROS!$D$7:$D$93,E1285)=0,"INCOMPATÍVEL","OK"))))</f>
        <v/>
      </c>
    </row>
    <row r="1286" spans="1:11" ht="30" hidden="1" customHeight="1" x14ac:dyDescent="0.25">
      <c r="A1286" s="86" t="str">
        <f>IF(COUNTIF(EXTRATO!$A$2:$A$3000,"BAN-01143")=0,"","BAN-01143")</f>
        <v/>
      </c>
      <c r="B1286" s="85" t="str">
        <f>IF(A1286="","",IF(INDEX(EXTRATO!$C$2:$C$3000,MATCH($A1286,EXTRATO!$A$2:$A$3000,0))="","",INDEX(EXTRATO!$C$2:$C$3000,MATCH($A1286,EXTRATO!$A$2:$A$3000,0))))</f>
        <v/>
      </c>
      <c r="C1286" s="86" t="str">
        <f t="shared" si="26"/>
        <v/>
      </c>
      <c r="D1286" s="81"/>
      <c r="E1286" s="79"/>
      <c r="F1286" s="80" t="str">
        <f>IF(A1286="","",SUMIF(EXTRATO!$A$2:$A$3000,$A1286,EXTRATO!$J$2:$J$3000)+SUMIF(EXTRATO!$A$2:$A$3000,$A1286,EXTRATO!$K$2:$K$3000)+SUMIF(EXTRATO!$A$2:$A$3000,$A1286,EXTRATO!$L$2:$L$3000)+SUMIF(EXTRATO!$A$2:$A$3000,$A1286,EXTRATO!$M$2:$M$3000))</f>
        <v/>
      </c>
      <c r="G1286" s="81" t="str">
        <f>IF(A1286="","",IF(INDEX(EXTRATO!$G$2:$G$3000,MATCH($A1286,EXTRATO!$A$2:$A$3000,0))="","",INDEX(EXTRATO!$G$2:$G$3000,MATCH($A1286,EXTRATO!$A$2:$A$3000,0))))</f>
        <v/>
      </c>
      <c r="H1286" s="86" t="str">
        <f>IF(A1286="","",IF(INDEX(EXTRATO!$F$2:$F$3000,MATCH($A1286,EXTRATO!$A$2:$A$3000,0))="","",INDEX(EXTRATO!$F$2:$F$3000,MATCH($A1286,EXTRATO!$A$2:$A$3000,0))))</f>
        <v/>
      </c>
      <c r="I1286" s="88" t="str">
        <f>IF(A1286="","",IF(INDEX(EXTRATO!$H$2:$H$3000,MATCH($A1286,EXTRATO!$A$2:$A$3000,0))="","",INDEX(EXTRATO!$H$2:$H$3000,MATCH($A1286,EXTRATO!$A$2:$A$3000,0))))</f>
        <v/>
      </c>
      <c r="J1286" s="86" t="str">
        <f t="shared" si="27"/>
        <v/>
      </c>
      <c r="K1286" s="86" t="str">
        <f>IF(AND(A1286="",D1286="",E1286="",F1286=""),"",IF(D1286="","SEM CATEGORIA",IF(E1286="","SEM SUBCATEGORIA",IF(COUNTIFS(CADASTROS!$L$7:$L$93,D1286,CADASTROS!$D$7:$D$93,E1286)=0,"INCOMPATÍVEL","OK"))))</f>
        <v/>
      </c>
    </row>
    <row r="1287" spans="1:11" ht="30" hidden="1" customHeight="1" x14ac:dyDescent="0.25">
      <c r="A1287" s="86" t="str">
        <f>IF(COUNTIF(EXTRATO!$A$2:$A$3000,"BAN-01144")=0,"","BAN-01144")</f>
        <v/>
      </c>
      <c r="B1287" s="85" t="str">
        <f>IF(A1287="","",IF(INDEX(EXTRATO!$C$2:$C$3000,MATCH($A1287,EXTRATO!$A$2:$A$3000,0))="","",INDEX(EXTRATO!$C$2:$C$3000,MATCH($A1287,EXTRATO!$A$2:$A$3000,0))))</f>
        <v/>
      </c>
      <c r="C1287" s="86" t="str">
        <f t="shared" si="26"/>
        <v/>
      </c>
      <c r="D1287" s="81"/>
      <c r="E1287" s="79"/>
      <c r="F1287" s="80" t="str">
        <f>IF(A1287="","",SUMIF(EXTRATO!$A$2:$A$3000,$A1287,EXTRATO!$J$2:$J$3000)+SUMIF(EXTRATO!$A$2:$A$3000,$A1287,EXTRATO!$K$2:$K$3000)+SUMIF(EXTRATO!$A$2:$A$3000,$A1287,EXTRATO!$L$2:$L$3000)+SUMIF(EXTRATO!$A$2:$A$3000,$A1287,EXTRATO!$M$2:$M$3000))</f>
        <v/>
      </c>
      <c r="G1287" s="81" t="str">
        <f>IF(A1287="","",IF(INDEX(EXTRATO!$G$2:$G$3000,MATCH($A1287,EXTRATO!$A$2:$A$3000,0))="","",INDEX(EXTRATO!$G$2:$G$3000,MATCH($A1287,EXTRATO!$A$2:$A$3000,0))))</f>
        <v/>
      </c>
      <c r="H1287" s="86" t="str">
        <f>IF(A1287="","",IF(INDEX(EXTRATO!$F$2:$F$3000,MATCH($A1287,EXTRATO!$A$2:$A$3000,0))="","",INDEX(EXTRATO!$F$2:$F$3000,MATCH($A1287,EXTRATO!$A$2:$A$3000,0))))</f>
        <v/>
      </c>
      <c r="I1287" s="88" t="str">
        <f>IF(A1287="","",IF(INDEX(EXTRATO!$H$2:$H$3000,MATCH($A1287,EXTRATO!$A$2:$A$3000,0))="","",INDEX(EXTRATO!$H$2:$H$3000,MATCH($A1287,EXTRATO!$A$2:$A$3000,0))))</f>
        <v/>
      </c>
      <c r="J1287" s="86" t="str">
        <f t="shared" si="27"/>
        <v/>
      </c>
      <c r="K1287" s="86" t="str">
        <f>IF(AND(A1287="",D1287="",E1287="",F1287=""),"",IF(D1287="","SEM CATEGORIA",IF(E1287="","SEM SUBCATEGORIA",IF(COUNTIFS(CADASTROS!$L$7:$L$93,D1287,CADASTROS!$D$7:$D$93,E1287)=0,"INCOMPATÍVEL","OK"))))</f>
        <v/>
      </c>
    </row>
    <row r="1288" spans="1:11" ht="30" hidden="1" customHeight="1" x14ac:dyDescent="0.25">
      <c r="A1288" s="86" t="str">
        <f>IF(COUNTIF(EXTRATO!$A$2:$A$3000,"BAN-01145")=0,"","BAN-01145")</f>
        <v/>
      </c>
      <c r="B1288" s="85" t="str">
        <f>IF(A1288="","",IF(INDEX(EXTRATO!$C$2:$C$3000,MATCH($A1288,EXTRATO!$A$2:$A$3000,0))="","",INDEX(EXTRATO!$C$2:$C$3000,MATCH($A1288,EXTRATO!$A$2:$A$3000,0))))</f>
        <v/>
      </c>
      <c r="C1288" s="86" t="str">
        <f t="shared" si="26"/>
        <v/>
      </c>
      <c r="D1288" s="81"/>
      <c r="E1288" s="79"/>
      <c r="F1288" s="80" t="str">
        <f>IF(A1288="","",SUMIF(EXTRATO!$A$2:$A$3000,$A1288,EXTRATO!$J$2:$J$3000)+SUMIF(EXTRATO!$A$2:$A$3000,$A1288,EXTRATO!$K$2:$K$3000)+SUMIF(EXTRATO!$A$2:$A$3000,$A1288,EXTRATO!$L$2:$L$3000)+SUMIF(EXTRATO!$A$2:$A$3000,$A1288,EXTRATO!$M$2:$M$3000))</f>
        <v/>
      </c>
      <c r="G1288" s="81" t="str">
        <f>IF(A1288="","",IF(INDEX(EXTRATO!$G$2:$G$3000,MATCH($A1288,EXTRATO!$A$2:$A$3000,0))="","",INDEX(EXTRATO!$G$2:$G$3000,MATCH($A1288,EXTRATO!$A$2:$A$3000,0))))</f>
        <v/>
      </c>
      <c r="H1288" s="86" t="str">
        <f>IF(A1288="","",IF(INDEX(EXTRATO!$F$2:$F$3000,MATCH($A1288,EXTRATO!$A$2:$A$3000,0))="","",INDEX(EXTRATO!$F$2:$F$3000,MATCH($A1288,EXTRATO!$A$2:$A$3000,0))))</f>
        <v/>
      </c>
      <c r="I1288" s="88" t="str">
        <f>IF(A1288="","",IF(INDEX(EXTRATO!$H$2:$H$3000,MATCH($A1288,EXTRATO!$A$2:$A$3000,0))="","",INDEX(EXTRATO!$H$2:$H$3000,MATCH($A1288,EXTRATO!$A$2:$A$3000,0))))</f>
        <v/>
      </c>
      <c r="J1288" s="86" t="str">
        <f t="shared" si="27"/>
        <v/>
      </c>
      <c r="K1288" s="86" t="str">
        <f>IF(AND(A1288="",D1288="",E1288="",F1288=""),"",IF(D1288="","SEM CATEGORIA",IF(E1288="","SEM SUBCATEGORIA",IF(COUNTIFS(CADASTROS!$L$7:$L$93,D1288,CADASTROS!$D$7:$D$93,E1288)=0,"INCOMPATÍVEL","OK"))))</f>
        <v/>
      </c>
    </row>
    <row r="1289" spans="1:11" ht="30" hidden="1" customHeight="1" x14ac:dyDescent="0.25">
      <c r="A1289" s="86" t="str">
        <f>IF(COUNTIF(EXTRATO!$A$2:$A$3000,"BAN-01146")=0,"","BAN-01146")</f>
        <v/>
      </c>
      <c r="B1289" s="85" t="str">
        <f>IF(A1289="","",IF(INDEX(EXTRATO!$C$2:$C$3000,MATCH($A1289,EXTRATO!$A$2:$A$3000,0))="","",INDEX(EXTRATO!$C$2:$C$3000,MATCH($A1289,EXTRATO!$A$2:$A$3000,0))))</f>
        <v/>
      </c>
      <c r="C1289" s="86" t="str">
        <f t="shared" si="26"/>
        <v/>
      </c>
      <c r="D1289" s="81"/>
      <c r="E1289" s="79"/>
      <c r="F1289" s="80" t="str">
        <f>IF(A1289="","",SUMIF(EXTRATO!$A$2:$A$3000,$A1289,EXTRATO!$J$2:$J$3000)+SUMIF(EXTRATO!$A$2:$A$3000,$A1289,EXTRATO!$K$2:$K$3000)+SUMIF(EXTRATO!$A$2:$A$3000,$A1289,EXTRATO!$L$2:$L$3000)+SUMIF(EXTRATO!$A$2:$A$3000,$A1289,EXTRATO!$M$2:$M$3000))</f>
        <v/>
      </c>
      <c r="G1289" s="81" t="str">
        <f>IF(A1289="","",IF(INDEX(EXTRATO!$G$2:$G$3000,MATCH($A1289,EXTRATO!$A$2:$A$3000,0))="","",INDEX(EXTRATO!$G$2:$G$3000,MATCH($A1289,EXTRATO!$A$2:$A$3000,0))))</f>
        <v/>
      </c>
      <c r="H1289" s="86" t="str">
        <f>IF(A1289="","",IF(INDEX(EXTRATO!$F$2:$F$3000,MATCH($A1289,EXTRATO!$A$2:$A$3000,0))="","",INDEX(EXTRATO!$F$2:$F$3000,MATCH($A1289,EXTRATO!$A$2:$A$3000,0))))</f>
        <v/>
      </c>
      <c r="I1289" s="88" t="str">
        <f>IF(A1289="","",IF(INDEX(EXTRATO!$H$2:$H$3000,MATCH($A1289,EXTRATO!$A$2:$A$3000,0))="","",INDEX(EXTRATO!$H$2:$H$3000,MATCH($A1289,EXTRATO!$A$2:$A$3000,0))))</f>
        <v/>
      </c>
      <c r="J1289" s="86" t="str">
        <f t="shared" si="27"/>
        <v/>
      </c>
      <c r="K1289" s="86" t="str">
        <f>IF(AND(A1289="",D1289="",E1289="",F1289=""),"",IF(D1289="","SEM CATEGORIA",IF(E1289="","SEM SUBCATEGORIA",IF(COUNTIFS(CADASTROS!$L$7:$L$93,D1289,CADASTROS!$D$7:$D$93,E1289)=0,"INCOMPATÍVEL","OK"))))</f>
        <v/>
      </c>
    </row>
    <row r="1290" spans="1:11" ht="30" hidden="1" customHeight="1" x14ac:dyDescent="0.25">
      <c r="A1290" s="86" t="str">
        <f>IF(COUNTIF(EXTRATO!$A$2:$A$3000,"BAN-01147")=0,"","BAN-01147")</f>
        <v/>
      </c>
      <c r="B1290" s="85" t="str">
        <f>IF(A1290="","",IF(INDEX(EXTRATO!$C$2:$C$3000,MATCH($A1290,EXTRATO!$A$2:$A$3000,0))="","",INDEX(EXTRATO!$C$2:$C$3000,MATCH($A1290,EXTRATO!$A$2:$A$3000,0))))</f>
        <v/>
      </c>
      <c r="C1290" s="86" t="str">
        <f t="shared" si="26"/>
        <v/>
      </c>
      <c r="D1290" s="81"/>
      <c r="E1290" s="79"/>
      <c r="F1290" s="80" t="str">
        <f>IF(A1290="","",SUMIF(EXTRATO!$A$2:$A$3000,$A1290,EXTRATO!$J$2:$J$3000)+SUMIF(EXTRATO!$A$2:$A$3000,$A1290,EXTRATO!$K$2:$K$3000)+SUMIF(EXTRATO!$A$2:$A$3000,$A1290,EXTRATO!$L$2:$L$3000)+SUMIF(EXTRATO!$A$2:$A$3000,$A1290,EXTRATO!$M$2:$M$3000))</f>
        <v/>
      </c>
      <c r="G1290" s="81" t="str">
        <f>IF(A1290="","",IF(INDEX(EXTRATO!$G$2:$G$3000,MATCH($A1290,EXTRATO!$A$2:$A$3000,0))="","",INDEX(EXTRATO!$G$2:$G$3000,MATCH($A1290,EXTRATO!$A$2:$A$3000,0))))</f>
        <v/>
      </c>
      <c r="H1290" s="86" t="str">
        <f>IF(A1290="","",IF(INDEX(EXTRATO!$F$2:$F$3000,MATCH($A1290,EXTRATO!$A$2:$A$3000,0))="","",INDEX(EXTRATO!$F$2:$F$3000,MATCH($A1290,EXTRATO!$A$2:$A$3000,0))))</f>
        <v/>
      </c>
      <c r="I1290" s="88" t="str">
        <f>IF(A1290="","",IF(INDEX(EXTRATO!$H$2:$H$3000,MATCH($A1290,EXTRATO!$A$2:$A$3000,0))="","",INDEX(EXTRATO!$H$2:$H$3000,MATCH($A1290,EXTRATO!$A$2:$A$3000,0))))</f>
        <v/>
      </c>
      <c r="J1290" s="86" t="str">
        <f t="shared" si="27"/>
        <v/>
      </c>
      <c r="K1290" s="86" t="str">
        <f>IF(AND(A1290="",D1290="",E1290="",F1290=""),"",IF(D1290="","SEM CATEGORIA",IF(E1290="","SEM SUBCATEGORIA",IF(COUNTIFS(CADASTROS!$L$7:$L$93,D1290,CADASTROS!$D$7:$D$93,E1290)=0,"INCOMPATÍVEL","OK"))))</f>
        <v/>
      </c>
    </row>
    <row r="1291" spans="1:11" ht="30" hidden="1" customHeight="1" x14ac:dyDescent="0.25">
      <c r="A1291" s="86" t="str">
        <f>IF(COUNTIF(EXTRATO!$A$2:$A$3000,"BAN-01148")=0,"","BAN-01148")</f>
        <v/>
      </c>
      <c r="B1291" s="85" t="str">
        <f>IF(A1291="","",IF(INDEX(EXTRATO!$C$2:$C$3000,MATCH($A1291,EXTRATO!$A$2:$A$3000,0))="","",INDEX(EXTRATO!$C$2:$C$3000,MATCH($A1291,EXTRATO!$A$2:$A$3000,0))))</f>
        <v/>
      </c>
      <c r="C1291" s="86" t="str">
        <f t="shared" si="26"/>
        <v/>
      </c>
      <c r="D1291" s="81"/>
      <c r="E1291" s="79"/>
      <c r="F1291" s="80" t="str">
        <f>IF(A1291="","",SUMIF(EXTRATO!$A$2:$A$3000,$A1291,EXTRATO!$J$2:$J$3000)+SUMIF(EXTRATO!$A$2:$A$3000,$A1291,EXTRATO!$K$2:$K$3000)+SUMIF(EXTRATO!$A$2:$A$3000,$A1291,EXTRATO!$L$2:$L$3000)+SUMIF(EXTRATO!$A$2:$A$3000,$A1291,EXTRATO!$M$2:$M$3000))</f>
        <v/>
      </c>
      <c r="G1291" s="81" t="str">
        <f>IF(A1291="","",IF(INDEX(EXTRATO!$G$2:$G$3000,MATCH($A1291,EXTRATO!$A$2:$A$3000,0))="","",INDEX(EXTRATO!$G$2:$G$3000,MATCH($A1291,EXTRATO!$A$2:$A$3000,0))))</f>
        <v/>
      </c>
      <c r="H1291" s="86" t="str">
        <f>IF(A1291="","",IF(INDEX(EXTRATO!$F$2:$F$3000,MATCH($A1291,EXTRATO!$A$2:$A$3000,0))="","",INDEX(EXTRATO!$F$2:$F$3000,MATCH($A1291,EXTRATO!$A$2:$A$3000,0))))</f>
        <v/>
      </c>
      <c r="I1291" s="88" t="str">
        <f>IF(A1291="","",IF(INDEX(EXTRATO!$H$2:$H$3000,MATCH($A1291,EXTRATO!$A$2:$A$3000,0))="","",INDEX(EXTRATO!$H$2:$H$3000,MATCH($A1291,EXTRATO!$A$2:$A$3000,0))))</f>
        <v/>
      </c>
      <c r="J1291" s="86" t="str">
        <f t="shared" si="27"/>
        <v/>
      </c>
      <c r="K1291" s="86" t="str">
        <f>IF(AND(A1291="",D1291="",E1291="",F1291=""),"",IF(D1291="","SEM CATEGORIA",IF(E1291="","SEM SUBCATEGORIA",IF(COUNTIFS(CADASTROS!$L$7:$L$93,D1291,CADASTROS!$D$7:$D$93,E1291)=0,"INCOMPATÍVEL","OK"))))</f>
        <v/>
      </c>
    </row>
    <row r="1292" spans="1:11" ht="30" hidden="1" customHeight="1" x14ac:dyDescent="0.25">
      <c r="A1292" s="86" t="str">
        <f>IF(COUNTIF(EXTRATO!$A$2:$A$3000,"BAN-01149")=0,"","BAN-01149")</f>
        <v/>
      </c>
      <c r="B1292" s="85" t="str">
        <f>IF(A1292="","",IF(INDEX(EXTRATO!$C$2:$C$3000,MATCH($A1292,EXTRATO!$A$2:$A$3000,0))="","",INDEX(EXTRATO!$C$2:$C$3000,MATCH($A1292,EXTRATO!$A$2:$A$3000,0))))</f>
        <v/>
      </c>
      <c r="C1292" s="86" t="str">
        <f t="shared" si="26"/>
        <v/>
      </c>
      <c r="D1292" s="81"/>
      <c r="E1292" s="79"/>
      <c r="F1292" s="80" t="str">
        <f>IF(A1292="","",SUMIF(EXTRATO!$A$2:$A$3000,$A1292,EXTRATO!$J$2:$J$3000)+SUMIF(EXTRATO!$A$2:$A$3000,$A1292,EXTRATO!$K$2:$K$3000)+SUMIF(EXTRATO!$A$2:$A$3000,$A1292,EXTRATO!$L$2:$L$3000)+SUMIF(EXTRATO!$A$2:$A$3000,$A1292,EXTRATO!$M$2:$M$3000))</f>
        <v/>
      </c>
      <c r="G1292" s="81" t="str">
        <f>IF(A1292="","",IF(INDEX(EXTRATO!$G$2:$G$3000,MATCH($A1292,EXTRATO!$A$2:$A$3000,0))="","",INDEX(EXTRATO!$G$2:$G$3000,MATCH($A1292,EXTRATO!$A$2:$A$3000,0))))</f>
        <v/>
      </c>
      <c r="H1292" s="86" t="str">
        <f>IF(A1292="","",IF(INDEX(EXTRATO!$F$2:$F$3000,MATCH($A1292,EXTRATO!$A$2:$A$3000,0))="","",INDEX(EXTRATO!$F$2:$F$3000,MATCH($A1292,EXTRATO!$A$2:$A$3000,0))))</f>
        <v/>
      </c>
      <c r="I1292" s="88" t="str">
        <f>IF(A1292="","",IF(INDEX(EXTRATO!$H$2:$H$3000,MATCH($A1292,EXTRATO!$A$2:$A$3000,0))="","",INDEX(EXTRATO!$H$2:$H$3000,MATCH($A1292,EXTRATO!$A$2:$A$3000,0))))</f>
        <v/>
      </c>
      <c r="J1292" s="86" t="str">
        <f t="shared" si="27"/>
        <v/>
      </c>
      <c r="K1292" s="86" t="str">
        <f>IF(AND(A1292="",D1292="",E1292="",F1292=""),"",IF(D1292="","SEM CATEGORIA",IF(E1292="","SEM SUBCATEGORIA",IF(COUNTIFS(CADASTROS!$L$7:$L$93,D1292,CADASTROS!$D$7:$D$93,E1292)=0,"INCOMPATÍVEL","OK"))))</f>
        <v/>
      </c>
    </row>
    <row r="1293" spans="1:11" ht="30" hidden="1" customHeight="1" x14ac:dyDescent="0.25">
      <c r="A1293" s="86" t="str">
        <f>IF(COUNTIF(EXTRATO!$A$2:$A$3000,"BAN-01150")=0,"","BAN-01150")</f>
        <v/>
      </c>
      <c r="B1293" s="85" t="str">
        <f>IF(A1293="","",IF(INDEX(EXTRATO!$C$2:$C$3000,MATCH($A1293,EXTRATO!$A$2:$A$3000,0))="","",INDEX(EXTRATO!$C$2:$C$3000,MATCH($A1293,EXTRATO!$A$2:$A$3000,0))))</f>
        <v/>
      </c>
      <c r="C1293" s="86" t="str">
        <f t="shared" si="26"/>
        <v/>
      </c>
      <c r="D1293" s="81"/>
      <c r="E1293" s="79"/>
      <c r="F1293" s="80" t="str">
        <f>IF(A1293="","",SUMIF(EXTRATO!$A$2:$A$3000,$A1293,EXTRATO!$J$2:$J$3000)+SUMIF(EXTRATO!$A$2:$A$3000,$A1293,EXTRATO!$K$2:$K$3000)+SUMIF(EXTRATO!$A$2:$A$3000,$A1293,EXTRATO!$L$2:$L$3000)+SUMIF(EXTRATO!$A$2:$A$3000,$A1293,EXTRATO!$M$2:$M$3000))</f>
        <v/>
      </c>
      <c r="G1293" s="81" t="str">
        <f>IF(A1293="","",IF(INDEX(EXTRATO!$G$2:$G$3000,MATCH($A1293,EXTRATO!$A$2:$A$3000,0))="","",INDEX(EXTRATO!$G$2:$G$3000,MATCH($A1293,EXTRATO!$A$2:$A$3000,0))))</f>
        <v/>
      </c>
      <c r="H1293" s="86" t="str">
        <f>IF(A1293="","",IF(INDEX(EXTRATO!$F$2:$F$3000,MATCH($A1293,EXTRATO!$A$2:$A$3000,0))="","",INDEX(EXTRATO!$F$2:$F$3000,MATCH($A1293,EXTRATO!$A$2:$A$3000,0))))</f>
        <v/>
      </c>
      <c r="I1293" s="88" t="str">
        <f>IF(A1293="","",IF(INDEX(EXTRATO!$H$2:$H$3000,MATCH($A1293,EXTRATO!$A$2:$A$3000,0))="","",INDEX(EXTRATO!$H$2:$H$3000,MATCH($A1293,EXTRATO!$A$2:$A$3000,0))))</f>
        <v/>
      </c>
      <c r="J1293" s="86" t="str">
        <f t="shared" si="27"/>
        <v/>
      </c>
      <c r="K1293" s="86" t="str">
        <f>IF(AND(A1293="",D1293="",E1293="",F1293=""),"",IF(D1293="","SEM CATEGORIA",IF(E1293="","SEM SUBCATEGORIA",IF(COUNTIFS(CADASTROS!$L$7:$L$93,D1293,CADASTROS!$D$7:$D$93,E1293)=0,"INCOMPATÍVEL","OK"))))</f>
        <v/>
      </c>
    </row>
    <row r="1294" spans="1:11" ht="30" hidden="1" customHeight="1" x14ac:dyDescent="0.25">
      <c r="A1294" s="86" t="str">
        <f>IF(COUNTIF(EXTRATO!$A$2:$A$3000,"BAN-01151")=0,"","BAN-01151")</f>
        <v/>
      </c>
      <c r="B1294" s="85" t="str">
        <f>IF(A1294="","",IF(INDEX(EXTRATO!$C$2:$C$3000,MATCH($A1294,EXTRATO!$A$2:$A$3000,0))="","",INDEX(EXTRATO!$C$2:$C$3000,MATCH($A1294,EXTRATO!$A$2:$A$3000,0))))</f>
        <v/>
      </c>
      <c r="C1294" s="86" t="str">
        <f t="shared" si="26"/>
        <v/>
      </c>
      <c r="D1294" s="81"/>
      <c r="E1294" s="79"/>
      <c r="F1294" s="80" t="str">
        <f>IF(A1294="","",SUMIF(EXTRATO!$A$2:$A$3000,$A1294,EXTRATO!$J$2:$J$3000)+SUMIF(EXTRATO!$A$2:$A$3000,$A1294,EXTRATO!$K$2:$K$3000)+SUMIF(EXTRATO!$A$2:$A$3000,$A1294,EXTRATO!$L$2:$L$3000)+SUMIF(EXTRATO!$A$2:$A$3000,$A1294,EXTRATO!$M$2:$M$3000))</f>
        <v/>
      </c>
      <c r="G1294" s="81" t="str">
        <f>IF(A1294="","",IF(INDEX(EXTRATO!$G$2:$G$3000,MATCH($A1294,EXTRATO!$A$2:$A$3000,0))="","",INDEX(EXTRATO!$G$2:$G$3000,MATCH($A1294,EXTRATO!$A$2:$A$3000,0))))</f>
        <v/>
      </c>
      <c r="H1294" s="86" t="str">
        <f>IF(A1294="","",IF(INDEX(EXTRATO!$F$2:$F$3000,MATCH($A1294,EXTRATO!$A$2:$A$3000,0))="","",INDEX(EXTRATO!$F$2:$F$3000,MATCH($A1294,EXTRATO!$A$2:$A$3000,0))))</f>
        <v/>
      </c>
      <c r="I1294" s="88" t="str">
        <f>IF(A1294="","",IF(INDEX(EXTRATO!$H$2:$H$3000,MATCH($A1294,EXTRATO!$A$2:$A$3000,0))="","",INDEX(EXTRATO!$H$2:$H$3000,MATCH($A1294,EXTRATO!$A$2:$A$3000,0))))</f>
        <v/>
      </c>
      <c r="J1294" s="86" t="str">
        <f t="shared" si="27"/>
        <v/>
      </c>
      <c r="K1294" s="86" t="str">
        <f>IF(AND(A1294="",D1294="",E1294="",F1294=""),"",IF(D1294="","SEM CATEGORIA",IF(E1294="","SEM SUBCATEGORIA",IF(COUNTIFS(CADASTROS!$L$7:$L$93,D1294,CADASTROS!$D$7:$D$93,E1294)=0,"INCOMPATÍVEL","OK"))))</f>
        <v/>
      </c>
    </row>
    <row r="1295" spans="1:11" ht="30" hidden="1" customHeight="1" x14ac:dyDescent="0.25">
      <c r="A1295" s="86" t="str">
        <f>IF(COUNTIF(EXTRATO!$A$2:$A$3000,"BAN-01152")=0,"","BAN-01152")</f>
        <v/>
      </c>
      <c r="B1295" s="85" t="str">
        <f>IF(A1295="","",IF(INDEX(EXTRATO!$C$2:$C$3000,MATCH($A1295,EXTRATO!$A$2:$A$3000,0))="","",INDEX(EXTRATO!$C$2:$C$3000,MATCH($A1295,EXTRATO!$A$2:$A$3000,0))))</f>
        <v/>
      </c>
      <c r="C1295" s="86" t="str">
        <f t="shared" si="26"/>
        <v/>
      </c>
      <c r="D1295" s="81"/>
      <c r="E1295" s="79"/>
      <c r="F1295" s="80" t="str">
        <f>IF(A1295="","",SUMIF(EXTRATO!$A$2:$A$3000,$A1295,EXTRATO!$J$2:$J$3000)+SUMIF(EXTRATO!$A$2:$A$3000,$A1295,EXTRATO!$K$2:$K$3000)+SUMIF(EXTRATO!$A$2:$A$3000,$A1295,EXTRATO!$L$2:$L$3000)+SUMIF(EXTRATO!$A$2:$A$3000,$A1295,EXTRATO!$M$2:$M$3000))</f>
        <v/>
      </c>
      <c r="G1295" s="81" t="str">
        <f>IF(A1295="","",IF(INDEX(EXTRATO!$G$2:$G$3000,MATCH($A1295,EXTRATO!$A$2:$A$3000,0))="","",INDEX(EXTRATO!$G$2:$G$3000,MATCH($A1295,EXTRATO!$A$2:$A$3000,0))))</f>
        <v/>
      </c>
      <c r="H1295" s="86" t="str">
        <f>IF(A1295="","",IF(INDEX(EXTRATO!$F$2:$F$3000,MATCH($A1295,EXTRATO!$A$2:$A$3000,0))="","",INDEX(EXTRATO!$F$2:$F$3000,MATCH($A1295,EXTRATO!$A$2:$A$3000,0))))</f>
        <v/>
      </c>
      <c r="I1295" s="88" t="str">
        <f>IF(A1295="","",IF(INDEX(EXTRATO!$H$2:$H$3000,MATCH($A1295,EXTRATO!$A$2:$A$3000,0))="","",INDEX(EXTRATO!$H$2:$H$3000,MATCH($A1295,EXTRATO!$A$2:$A$3000,0))))</f>
        <v/>
      </c>
      <c r="J1295" s="86" t="str">
        <f t="shared" si="27"/>
        <v/>
      </c>
      <c r="K1295" s="86" t="str">
        <f>IF(AND(A1295="",D1295="",E1295="",F1295=""),"",IF(D1295="","SEM CATEGORIA",IF(E1295="","SEM SUBCATEGORIA",IF(COUNTIFS(CADASTROS!$L$7:$L$93,D1295,CADASTROS!$D$7:$D$93,E1295)=0,"INCOMPATÍVEL","OK"))))</f>
        <v/>
      </c>
    </row>
    <row r="1296" spans="1:11" ht="30" hidden="1" customHeight="1" x14ac:dyDescent="0.25">
      <c r="A1296" s="86" t="str">
        <f>IF(COUNTIF(EXTRATO!$A$2:$A$3000,"BAN-01153")=0,"","BAN-01153")</f>
        <v/>
      </c>
      <c r="B1296" s="85" t="str">
        <f>IF(A1296="","",IF(INDEX(EXTRATO!$C$2:$C$3000,MATCH($A1296,EXTRATO!$A$2:$A$3000,0))="","",INDEX(EXTRATO!$C$2:$C$3000,MATCH($A1296,EXTRATO!$A$2:$A$3000,0))))</f>
        <v/>
      </c>
      <c r="C1296" s="86" t="str">
        <f t="shared" si="26"/>
        <v/>
      </c>
      <c r="D1296" s="81"/>
      <c r="E1296" s="79"/>
      <c r="F1296" s="80" t="str">
        <f>IF(A1296="","",SUMIF(EXTRATO!$A$2:$A$3000,$A1296,EXTRATO!$J$2:$J$3000)+SUMIF(EXTRATO!$A$2:$A$3000,$A1296,EXTRATO!$K$2:$K$3000)+SUMIF(EXTRATO!$A$2:$A$3000,$A1296,EXTRATO!$L$2:$L$3000)+SUMIF(EXTRATO!$A$2:$A$3000,$A1296,EXTRATO!$M$2:$M$3000))</f>
        <v/>
      </c>
      <c r="G1296" s="81" t="str">
        <f>IF(A1296="","",IF(INDEX(EXTRATO!$G$2:$G$3000,MATCH($A1296,EXTRATO!$A$2:$A$3000,0))="","",INDEX(EXTRATO!$G$2:$G$3000,MATCH($A1296,EXTRATO!$A$2:$A$3000,0))))</f>
        <v/>
      </c>
      <c r="H1296" s="86" t="str">
        <f>IF(A1296="","",IF(INDEX(EXTRATO!$F$2:$F$3000,MATCH($A1296,EXTRATO!$A$2:$A$3000,0))="","",INDEX(EXTRATO!$F$2:$F$3000,MATCH($A1296,EXTRATO!$A$2:$A$3000,0))))</f>
        <v/>
      </c>
      <c r="I1296" s="88" t="str">
        <f>IF(A1296="","",IF(INDEX(EXTRATO!$H$2:$H$3000,MATCH($A1296,EXTRATO!$A$2:$A$3000,0))="","",INDEX(EXTRATO!$H$2:$H$3000,MATCH($A1296,EXTRATO!$A$2:$A$3000,0))))</f>
        <v/>
      </c>
      <c r="J1296" s="86" t="str">
        <f t="shared" si="27"/>
        <v/>
      </c>
      <c r="K1296" s="86" t="str">
        <f>IF(AND(A1296="",D1296="",E1296="",F1296=""),"",IF(D1296="","SEM CATEGORIA",IF(E1296="","SEM SUBCATEGORIA",IF(COUNTIFS(CADASTROS!$L$7:$L$93,D1296,CADASTROS!$D$7:$D$93,E1296)=0,"INCOMPATÍVEL","OK"))))</f>
        <v/>
      </c>
    </row>
    <row r="1297" spans="1:11" ht="30" hidden="1" customHeight="1" x14ac:dyDescent="0.25">
      <c r="A1297" s="86" t="str">
        <f>IF(COUNTIF(EXTRATO!$A$2:$A$3000,"BAN-01154")=0,"","BAN-01154")</f>
        <v/>
      </c>
      <c r="B1297" s="85" t="str">
        <f>IF(A1297="","",IF(INDEX(EXTRATO!$C$2:$C$3000,MATCH($A1297,EXTRATO!$A$2:$A$3000,0))="","",INDEX(EXTRATO!$C$2:$C$3000,MATCH($A1297,EXTRATO!$A$2:$A$3000,0))))</f>
        <v/>
      </c>
      <c r="C1297" s="86" t="str">
        <f t="shared" si="26"/>
        <v/>
      </c>
      <c r="D1297" s="81"/>
      <c r="E1297" s="79"/>
      <c r="F1297" s="80" t="str">
        <f>IF(A1297="","",SUMIF(EXTRATO!$A$2:$A$3000,$A1297,EXTRATO!$J$2:$J$3000)+SUMIF(EXTRATO!$A$2:$A$3000,$A1297,EXTRATO!$K$2:$K$3000)+SUMIF(EXTRATO!$A$2:$A$3000,$A1297,EXTRATO!$L$2:$L$3000)+SUMIF(EXTRATO!$A$2:$A$3000,$A1297,EXTRATO!$M$2:$M$3000))</f>
        <v/>
      </c>
      <c r="G1297" s="81" t="str">
        <f>IF(A1297="","",IF(INDEX(EXTRATO!$G$2:$G$3000,MATCH($A1297,EXTRATO!$A$2:$A$3000,0))="","",INDEX(EXTRATO!$G$2:$G$3000,MATCH($A1297,EXTRATO!$A$2:$A$3000,0))))</f>
        <v/>
      </c>
      <c r="H1297" s="86" t="str">
        <f>IF(A1297="","",IF(INDEX(EXTRATO!$F$2:$F$3000,MATCH($A1297,EXTRATO!$A$2:$A$3000,0))="","",INDEX(EXTRATO!$F$2:$F$3000,MATCH($A1297,EXTRATO!$A$2:$A$3000,0))))</f>
        <v/>
      </c>
      <c r="I1297" s="88" t="str">
        <f>IF(A1297="","",IF(INDEX(EXTRATO!$H$2:$H$3000,MATCH($A1297,EXTRATO!$A$2:$A$3000,0))="","",INDEX(EXTRATO!$H$2:$H$3000,MATCH($A1297,EXTRATO!$A$2:$A$3000,0))))</f>
        <v/>
      </c>
      <c r="J1297" s="86" t="str">
        <f t="shared" si="27"/>
        <v/>
      </c>
      <c r="K1297" s="86" t="str">
        <f>IF(AND(A1297="",D1297="",E1297="",F1297=""),"",IF(D1297="","SEM CATEGORIA",IF(E1297="","SEM SUBCATEGORIA",IF(COUNTIFS(CADASTROS!$L$7:$L$93,D1297,CADASTROS!$D$7:$D$93,E1297)=0,"INCOMPATÍVEL","OK"))))</f>
        <v/>
      </c>
    </row>
    <row r="1298" spans="1:11" ht="30" hidden="1" customHeight="1" x14ac:dyDescent="0.25">
      <c r="A1298" s="86" t="str">
        <f>IF(COUNTIF(EXTRATO!$A$2:$A$3000,"BAN-01155")=0,"","BAN-01155")</f>
        <v/>
      </c>
      <c r="B1298" s="85" t="str">
        <f>IF(A1298="","",IF(INDEX(EXTRATO!$C$2:$C$3000,MATCH($A1298,EXTRATO!$A$2:$A$3000,0))="","",INDEX(EXTRATO!$C$2:$C$3000,MATCH($A1298,EXTRATO!$A$2:$A$3000,0))))</f>
        <v/>
      </c>
      <c r="C1298" s="86" t="str">
        <f t="shared" si="26"/>
        <v/>
      </c>
      <c r="D1298" s="81"/>
      <c r="E1298" s="79"/>
      <c r="F1298" s="80" t="str">
        <f>IF(A1298="","",SUMIF(EXTRATO!$A$2:$A$3000,$A1298,EXTRATO!$J$2:$J$3000)+SUMIF(EXTRATO!$A$2:$A$3000,$A1298,EXTRATO!$K$2:$K$3000)+SUMIF(EXTRATO!$A$2:$A$3000,$A1298,EXTRATO!$L$2:$L$3000)+SUMIF(EXTRATO!$A$2:$A$3000,$A1298,EXTRATO!$M$2:$M$3000))</f>
        <v/>
      </c>
      <c r="G1298" s="81" t="str">
        <f>IF(A1298="","",IF(INDEX(EXTRATO!$G$2:$G$3000,MATCH($A1298,EXTRATO!$A$2:$A$3000,0))="","",INDEX(EXTRATO!$G$2:$G$3000,MATCH($A1298,EXTRATO!$A$2:$A$3000,0))))</f>
        <v/>
      </c>
      <c r="H1298" s="86" t="str">
        <f>IF(A1298="","",IF(INDEX(EXTRATO!$F$2:$F$3000,MATCH($A1298,EXTRATO!$A$2:$A$3000,0))="","",INDEX(EXTRATO!$F$2:$F$3000,MATCH($A1298,EXTRATO!$A$2:$A$3000,0))))</f>
        <v/>
      </c>
      <c r="I1298" s="88" t="str">
        <f>IF(A1298="","",IF(INDEX(EXTRATO!$H$2:$H$3000,MATCH($A1298,EXTRATO!$A$2:$A$3000,0))="","",INDEX(EXTRATO!$H$2:$H$3000,MATCH($A1298,EXTRATO!$A$2:$A$3000,0))))</f>
        <v/>
      </c>
      <c r="J1298" s="86" t="str">
        <f t="shared" si="27"/>
        <v/>
      </c>
      <c r="K1298" s="86" t="str">
        <f>IF(AND(A1298="",D1298="",E1298="",F1298=""),"",IF(D1298="","SEM CATEGORIA",IF(E1298="","SEM SUBCATEGORIA",IF(COUNTIFS(CADASTROS!$L$7:$L$93,D1298,CADASTROS!$D$7:$D$93,E1298)=0,"INCOMPATÍVEL","OK"))))</f>
        <v/>
      </c>
    </row>
    <row r="1299" spans="1:11" ht="30" hidden="1" customHeight="1" x14ac:dyDescent="0.25">
      <c r="A1299" s="86" t="str">
        <f>IF(COUNTIF(EXTRATO!$A$2:$A$3000,"BAN-01156")=0,"","BAN-01156")</f>
        <v/>
      </c>
      <c r="B1299" s="85" t="str">
        <f>IF(A1299="","",IF(INDEX(EXTRATO!$C$2:$C$3000,MATCH($A1299,EXTRATO!$A$2:$A$3000,0))="","",INDEX(EXTRATO!$C$2:$C$3000,MATCH($A1299,EXTRATO!$A$2:$A$3000,0))))</f>
        <v/>
      </c>
      <c r="C1299" s="86" t="str">
        <f t="shared" si="26"/>
        <v/>
      </c>
      <c r="D1299" s="81"/>
      <c r="E1299" s="79"/>
      <c r="F1299" s="80" t="str">
        <f>IF(A1299="","",SUMIF(EXTRATO!$A$2:$A$3000,$A1299,EXTRATO!$J$2:$J$3000)+SUMIF(EXTRATO!$A$2:$A$3000,$A1299,EXTRATO!$K$2:$K$3000)+SUMIF(EXTRATO!$A$2:$A$3000,$A1299,EXTRATO!$L$2:$L$3000)+SUMIF(EXTRATO!$A$2:$A$3000,$A1299,EXTRATO!$M$2:$M$3000))</f>
        <v/>
      </c>
      <c r="G1299" s="81" t="str">
        <f>IF(A1299="","",IF(INDEX(EXTRATO!$G$2:$G$3000,MATCH($A1299,EXTRATO!$A$2:$A$3000,0))="","",INDEX(EXTRATO!$G$2:$G$3000,MATCH($A1299,EXTRATO!$A$2:$A$3000,0))))</f>
        <v/>
      </c>
      <c r="H1299" s="86" t="str">
        <f>IF(A1299="","",IF(INDEX(EXTRATO!$F$2:$F$3000,MATCH($A1299,EXTRATO!$A$2:$A$3000,0))="","",INDEX(EXTRATO!$F$2:$F$3000,MATCH($A1299,EXTRATO!$A$2:$A$3000,0))))</f>
        <v/>
      </c>
      <c r="I1299" s="88" t="str">
        <f>IF(A1299="","",IF(INDEX(EXTRATO!$H$2:$H$3000,MATCH($A1299,EXTRATO!$A$2:$A$3000,0))="","",INDEX(EXTRATO!$H$2:$H$3000,MATCH($A1299,EXTRATO!$A$2:$A$3000,0))))</f>
        <v/>
      </c>
      <c r="J1299" s="86" t="str">
        <f t="shared" si="27"/>
        <v/>
      </c>
      <c r="K1299" s="86" t="str">
        <f>IF(AND(A1299="",D1299="",E1299="",F1299=""),"",IF(D1299="","SEM CATEGORIA",IF(E1299="","SEM SUBCATEGORIA",IF(COUNTIFS(CADASTROS!$L$7:$L$93,D1299,CADASTROS!$D$7:$D$93,E1299)=0,"INCOMPATÍVEL","OK"))))</f>
        <v/>
      </c>
    </row>
    <row r="1300" spans="1:11" ht="30" hidden="1" customHeight="1" x14ac:dyDescent="0.25">
      <c r="A1300" s="86" t="str">
        <f>IF(COUNTIF(EXTRATO!$A$2:$A$3000,"BAN-01157")=0,"","BAN-01157")</f>
        <v/>
      </c>
      <c r="B1300" s="85" t="str">
        <f>IF(A1300="","",IF(INDEX(EXTRATO!$C$2:$C$3000,MATCH($A1300,EXTRATO!$A$2:$A$3000,0))="","",INDEX(EXTRATO!$C$2:$C$3000,MATCH($A1300,EXTRATO!$A$2:$A$3000,0))))</f>
        <v/>
      </c>
      <c r="C1300" s="86" t="str">
        <f t="shared" si="26"/>
        <v/>
      </c>
      <c r="D1300" s="81"/>
      <c r="E1300" s="79"/>
      <c r="F1300" s="80" t="str">
        <f>IF(A1300="","",SUMIF(EXTRATO!$A$2:$A$3000,$A1300,EXTRATO!$J$2:$J$3000)+SUMIF(EXTRATO!$A$2:$A$3000,$A1300,EXTRATO!$K$2:$K$3000)+SUMIF(EXTRATO!$A$2:$A$3000,$A1300,EXTRATO!$L$2:$L$3000)+SUMIF(EXTRATO!$A$2:$A$3000,$A1300,EXTRATO!$M$2:$M$3000))</f>
        <v/>
      </c>
      <c r="G1300" s="81" t="str">
        <f>IF(A1300="","",IF(INDEX(EXTRATO!$G$2:$G$3000,MATCH($A1300,EXTRATO!$A$2:$A$3000,0))="","",INDEX(EXTRATO!$G$2:$G$3000,MATCH($A1300,EXTRATO!$A$2:$A$3000,0))))</f>
        <v/>
      </c>
      <c r="H1300" s="86" t="str">
        <f>IF(A1300="","",IF(INDEX(EXTRATO!$F$2:$F$3000,MATCH($A1300,EXTRATO!$A$2:$A$3000,0))="","",INDEX(EXTRATO!$F$2:$F$3000,MATCH($A1300,EXTRATO!$A$2:$A$3000,0))))</f>
        <v/>
      </c>
      <c r="I1300" s="88" t="str">
        <f>IF(A1300="","",IF(INDEX(EXTRATO!$H$2:$H$3000,MATCH($A1300,EXTRATO!$A$2:$A$3000,0))="","",INDEX(EXTRATO!$H$2:$H$3000,MATCH($A1300,EXTRATO!$A$2:$A$3000,0))))</f>
        <v/>
      </c>
      <c r="J1300" s="86" t="str">
        <f t="shared" si="27"/>
        <v/>
      </c>
      <c r="K1300" s="86" t="str">
        <f>IF(AND(A1300="",D1300="",E1300="",F1300=""),"",IF(D1300="","SEM CATEGORIA",IF(E1300="","SEM SUBCATEGORIA",IF(COUNTIFS(CADASTROS!$L$7:$L$93,D1300,CADASTROS!$D$7:$D$93,E1300)=0,"INCOMPATÍVEL","OK"))))</f>
        <v/>
      </c>
    </row>
    <row r="1301" spans="1:11" ht="30" hidden="1" customHeight="1" x14ac:dyDescent="0.25">
      <c r="A1301" s="86" t="str">
        <f>IF(COUNTIF(EXTRATO!$A$2:$A$3000,"BAN-01158")=0,"","BAN-01158")</f>
        <v/>
      </c>
      <c r="B1301" s="85" t="str">
        <f>IF(A1301="","",IF(INDEX(EXTRATO!$C$2:$C$3000,MATCH($A1301,EXTRATO!$A$2:$A$3000,0))="","",INDEX(EXTRATO!$C$2:$C$3000,MATCH($A1301,EXTRATO!$A$2:$A$3000,0))))</f>
        <v/>
      </c>
      <c r="C1301" s="86" t="str">
        <f t="shared" ref="C1301:C1364" si="28">IF(B1301="","",MONTH(B1301))</f>
        <v/>
      </c>
      <c r="D1301" s="81"/>
      <c r="E1301" s="79"/>
      <c r="F1301" s="80" t="str">
        <f>IF(A1301="","",SUMIF(EXTRATO!$A$2:$A$3000,$A1301,EXTRATO!$J$2:$J$3000)+SUMIF(EXTRATO!$A$2:$A$3000,$A1301,EXTRATO!$K$2:$K$3000)+SUMIF(EXTRATO!$A$2:$A$3000,$A1301,EXTRATO!$L$2:$L$3000)+SUMIF(EXTRATO!$A$2:$A$3000,$A1301,EXTRATO!$M$2:$M$3000))</f>
        <v/>
      </c>
      <c r="G1301" s="81" t="str">
        <f>IF(A1301="","",IF(INDEX(EXTRATO!$G$2:$G$3000,MATCH($A1301,EXTRATO!$A$2:$A$3000,0))="","",INDEX(EXTRATO!$G$2:$G$3000,MATCH($A1301,EXTRATO!$A$2:$A$3000,0))))</f>
        <v/>
      </c>
      <c r="H1301" s="86" t="str">
        <f>IF(A1301="","",IF(INDEX(EXTRATO!$F$2:$F$3000,MATCH($A1301,EXTRATO!$A$2:$A$3000,0))="","",INDEX(EXTRATO!$F$2:$F$3000,MATCH($A1301,EXTRATO!$A$2:$A$3000,0))))</f>
        <v/>
      </c>
      <c r="I1301" s="88" t="str">
        <f>IF(A1301="","",IF(INDEX(EXTRATO!$H$2:$H$3000,MATCH($A1301,EXTRATO!$A$2:$A$3000,0))="","",INDEX(EXTRATO!$H$2:$H$3000,MATCH($A1301,EXTRATO!$A$2:$A$3000,0))))</f>
        <v/>
      </c>
      <c r="J1301" s="86" t="str">
        <f t="shared" si="27"/>
        <v/>
      </c>
      <c r="K1301" s="86" t="str">
        <f>IF(AND(A1301="",D1301="",E1301="",F1301=""),"",IF(D1301="","SEM CATEGORIA",IF(E1301="","SEM SUBCATEGORIA",IF(COUNTIFS(CADASTROS!$L$7:$L$93,D1301,CADASTROS!$D$7:$D$93,E1301)=0,"INCOMPATÍVEL","OK"))))</f>
        <v/>
      </c>
    </row>
    <row r="1302" spans="1:11" ht="30" hidden="1" customHeight="1" x14ac:dyDescent="0.25">
      <c r="A1302" s="86" t="str">
        <f>IF(COUNTIF(EXTRATO!$A$2:$A$3000,"BAN-01159")=0,"","BAN-01159")</f>
        <v/>
      </c>
      <c r="B1302" s="85" t="str">
        <f>IF(A1302="","",IF(INDEX(EXTRATO!$C$2:$C$3000,MATCH($A1302,EXTRATO!$A$2:$A$3000,0))="","",INDEX(EXTRATO!$C$2:$C$3000,MATCH($A1302,EXTRATO!$A$2:$A$3000,0))))</f>
        <v/>
      </c>
      <c r="C1302" s="86" t="str">
        <f t="shared" si="28"/>
        <v/>
      </c>
      <c r="D1302" s="81"/>
      <c r="E1302" s="79"/>
      <c r="F1302" s="80" t="str">
        <f>IF(A1302="","",SUMIF(EXTRATO!$A$2:$A$3000,$A1302,EXTRATO!$J$2:$J$3000)+SUMIF(EXTRATO!$A$2:$A$3000,$A1302,EXTRATO!$K$2:$K$3000)+SUMIF(EXTRATO!$A$2:$A$3000,$A1302,EXTRATO!$L$2:$L$3000)+SUMIF(EXTRATO!$A$2:$A$3000,$A1302,EXTRATO!$M$2:$M$3000))</f>
        <v/>
      </c>
      <c r="G1302" s="81" t="str">
        <f>IF(A1302="","",IF(INDEX(EXTRATO!$G$2:$G$3000,MATCH($A1302,EXTRATO!$A$2:$A$3000,0))="","",INDEX(EXTRATO!$G$2:$G$3000,MATCH($A1302,EXTRATO!$A$2:$A$3000,0))))</f>
        <v/>
      </c>
      <c r="H1302" s="86" t="str">
        <f>IF(A1302="","",IF(INDEX(EXTRATO!$F$2:$F$3000,MATCH($A1302,EXTRATO!$A$2:$A$3000,0))="","",INDEX(EXTRATO!$F$2:$F$3000,MATCH($A1302,EXTRATO!$A$2:$A$3000,0))))</f>
        <v/>
      </c>
      <c r="I1302" s="88" t="str">
        <f>IF(A1302="","",IF(INDEX(EXTRATO!$H$2:$H$3000,MATCH($A1302,EXTRATO!$A$2:$A$3000,0))="","",INDEX(EXTRATO!$H$2:$H$3000,MATCH($A1302,EXTRATO!$A$2:$A$3000,0))))</f>
        <v/>
      </c>
      <c r="J1302" s="86" t="str">
        <f t="shared" si="27"/>
        <v/>
      </c>
      <c r="K1302" s="86" t="str">
        <f>IF(AND(A1302="",D1302="",E1302="",F1302=""),"",IF(D1302="","SEM CATEGORIA",IF(E1302="","SEM SUBCATEGORIA",IF(COUNTIFS(CADASTROS!$L$7:$L$93,D1302,CADASTROS!$D$7:$D$93,E1302)=0,"INCOMPATÍVEL","OK"))))</f>
        <v/>
      </c>
    </row>
    <row r="1303" spans="1:11" ht="30" hidden="1" customHeight="1" x14ac:dyDescent="0.25">
      <c r="A1303" s="86" t="str">
        <f>IF(COUNTIF(EXTRATO!$A$2:$A$3000,"BAN-01160")=0,"","BAN-01160")</f>
        <v/>
      </c>
      <c r="B1303" s="85" t="str">
        <f>IF(A1303="","",IF(INDEX(EXTRATO!$C$2:$C$3000,MATCH($A1303,EXTRATO!$A$2:$A$3000,0))="","",INDEX(EXTRATO!$C$2:$C$3000,MATCH($A1303,EXTRATO!$A$2:$A$3000,0))))</f>
        <v/>
      </c>
      <c r="C1303" s="86" t="str">
        <f t="shared" si="28"/>
        <v/>
      </c>
      <c r="D1303" s="81"/>
      <c r="E1303" s="79"/>
      <c r="F1303" s="80" t="str">
        <f>IF(A1303="","",SUMIF(EXTRATO!$A$2:$A$3000,$A1303,EXTRATO!$J$2:$J$3000)+SUMIF(EXTRATO!$A$2:$A$3000,$A1303,EXTRATO!$K$2:$K$3000)+SUMIF(EXTRATO!$A$2:$A$3000,$A1303,EXTRATO!$L$2:$L$3000)+SUMIF(EXTRATO!$A$2:$A$3000,$A1303,EXTRATO!$M$2:$M$3000))</f>
        <v/>
      </c>
      <c r="G1303" s="81" t="str">
        <f>IF(A1303="","",IF(INDEX(EXTRATO!$G$2:$G$3000,MATCH($A1303,EXTRATO!$A$2:$A$3000,0))="","",INDEX(EXTRATO!$G$2:$G$3000,MATCH($A1303,EXTRATO!$A$2:$A$3000,0))))</f>
        <v/>
      </c>
      <c r="H1303" s="86" t="str">
        <f>IF(A1303="","",IF(INDEX(EXTRATO!$F$2:$F$3000,MATCH($A1303,EXTRATO!$A$2:$A$3000,0))="","",INDEX(EXTRATO!$F$2:$F$3000,MATCH($A1303,EXTRATO!$A$2:$A$3000,0))))</f>
        <v/>
      </c>
      <c r="I1303" s="88" t="str">
        <f>IF(A1303="","",IF(INDEX(EXTRATO!$H$2:$H$3000,MATCH($A1303,EXTRATO!$A$2:$A$3000,0))="","",INDEX(EXTRATO!$H$2:$H$3000,MATCH($A1303,EXTRATO!$A$2:$A$3000,0))))</f>
        <v/>
      </c>
      <c r="J1303" s="86" t="str">
        <f t="shared" si="27"/>
        <v/>
      </c>
      <c r="K1303" s="86" t="str">
        <f>IF(AND(A1303="",D1303="",E1303="",F1303=""),"",IF(D1303="","SEM CATEGORIA",IF(E1303="","SEM SUBCATEGORIA",IF(COUNTIFS(CADASTROS!$L$7:$L$93,D1303,CADASTROS!$D$7:$D$93,E1303)=0,"INCOMPATÍVEL","OK"))))</f>
        <v/>
      </c>
    </row>
    <row r="1304" spans="1:11" ht="30" hidden="1" customHeight="1" x14ac:dyDescent="0.25">
      <c r="A1304" s="86" t="str">
        <f>IF(COUNTIF(EXTRATO!$A$2:$A$3000,"BAN-01161")=0,"","BAN-01161")</f>
        <v/>
      </c>
      <c r="B1304" s="85" t="str">
        <f>IF(A1304="","",IF(INDEX(EXTRATO!$C$2:$C$3000,MATCH($A1304,EXTRATO!$A$2:$A$3000,0))="","",INDEX(EXTRATO!$C$2:$C$3000,MATCH($A1304,EXTRATO!$A$2:$A$3000,0))))</f>
        <v/>
      </c>
      <c r="C1304" s="86" t="str">
        <f t="shared" si="28"/>
        <v/>
      </c>
      <c r="D1304" s="81"/>
      <c r="E1304" s="79"/>
      <c r="F1304" s="80" t="str">
        <f>IF(A1304="","",SUMIF(EXTRATO!$A$2:$A$3000,$A1304,EXTRATO!$J$2:$J$3000)+SUMIF(EXTRATO!$A$2:$A$3000,$A1304,EXTRATO!$K$2:$K$3000)+SUMIF(EXTRATO!$A$2:$A$3000,$A1304,EXTRATO!$L$2:$L$3000)+SUMIF(EXTRATO!$A$2:$A$3000,$A1304,EXTRATO!$M$2:$M$3000))</f>
        <v/>
      </c>
      <c r="G1304" s="81" t="str">
        <f>IF(A1304="","",IF(INDEX(EXTRATO!$G$2:$G$3000,MATCH($A1304,EXTRATO!$A$2:$A$3000,0))="","",INDEX(EXTRATO!$G$2:$G$3000,MATCH($A1304,EXTRATO!$A$2:$A$3000,0))))</f>
        <v/>
      </c>
      <c r="H1304" s="86" t="str">
        <f>IF(A1304="","",IF(INDEX(EXTRATO!$F$2:$F$3000,MATCH($A1304,EXTRATO!$A$2:$A$3000,0))="","",INDEX(EXTRATO!$F$2:$F$3000,MATCH($A1304,EXTRATO!$A$2:$A$3000,0))))</f>
        <v/>
      </c>
      <c r="I1304" s="88" t="str">
        <f>IF(A1304="","",IF(INDEX(EXTRATO!$H$2:$H$3000,MATCH($A1304,EXTRATO!$A$2:$A$3000,0))="","",INDEX(EXTRATO!$H$2:$H$3000,MATCH($A1304,EXTRATO!$A$2:$A$3000,0))))</f>
        <v/>
      </c>
      <c r="J1304" s="86" t="str">
        <f t="shared" si="27"/>
        <v/>
      </c>
      <c r="K1304" s="86" t="str">
        <f>IF(AND(A1304="",D1304="",E1304="",F1304=""),"",IF(D1304="","SEM CATEGORIA",IF(E1304="","SEM SUBCATEGORIA",IF(COUNTIFS(CADASTROS!$L$7:$L$93,D1304,CADASTROS!$D$7:$D$93,E1304)=0,"INCOMPATÍVEL","OK"))))</f>
        <v/>
      </c>
    </row>
    <row r="1305" spans="1:11" ht="30" hidden="1" customHeight="1" x14ac:dyDescent="0.25">
      <c r="A1305" s="86" t="str">
        <f>IF(COUNTIF(EXTRATO!$A$2:$A$3000,"BAN-01162")=0,"","BAN-01162")</f>
        <v/>
      </c>
      <c r="B1305" s="85" t="str">
        <f>IF(A1305="","",IF(INDEX(EXTRATO!$C$2:$C$3000,MATCH($A1305,EXTRATO!$A$2:$A$3000,0))="","",INDEX(EXTRATO!$C$2:$C$3000,MATCH($A1305,EXTRATO!$A$2:$A$3000,0))))</f>
        <v/>
      </c>
      <c r="C1305" s="86" t="str">
        <f t="shared" si="28"/>
        <v/>
      </c>
      <c r="D1305" s="81"/>
      <c r="E1305" s="79"/>
      <c r="F1305" s="80" t="str">
        <f>IF(A1305="","",SUMIF(EXTRATO!$A$2:$A$3000,$A1305,EXTRATO!$J$2:$J$3000)+SUMIF(EXTRATO!$A$2:$A$3000,$A1305,EXTRATO!$K$2:$K$3000)+SUMIF(EXTRATO!$A$2:$A$3000,$A1305,EXTRATO!$L$2:$L$3000)+SUMIF(EXTRATO!$A$2:$A$3000,$A1305,EXTRATO!$M$2:$M$3000))</f>
        <v/>
      </c>
      <c r="G1305" s="81" t="str">
        <f>IF(A1305="","",IF(INDEX(EXTRATO!$G$2:$G$3000,MATCH($A1305,EXTRATO!$A$2:$A$3000,0))="","",INDEX(EXTRATO!$G$2:$G$3000,MATCH($A1305,EXTRATO!$A$2:$A$3000,0))))</f>
        <v/>
      </c>
      <c r="H1305" s="86" t="str">
        <f>IF(A1305="","",IF(INDEX(EXTRATO!$F$2:$F$3000,MATCH($A1305,EXTRATO!$A$2:$A$3000,0))="","",INDEX(EXTRATO!$F$2:$F$3000,MATCH($A1305,EXTRATO!$A$2:$A$3000,0))))</f>
        <v/>
      </c>
      <c r="I1305" s="88" t="str">
        <f>IF(A1305="","",IF(INDEX(EXTRATO!$H$2:$H$3000,MATCH($A1305,EXTRATO!$A$2:$A$3000,0))="","",INDEX(EXTRATO!$H$2:$H$3000,MATCH($A1305,EXTRATO!$A$2:$A$3000,0))))</f>
        <v/>
      </c>
      <c r="J1305" s="86" t="str">
        <f t="shared" si="27"/>
        <v/>
      </c>
      <c r="K1305" s="86" t="str">
        <f>IF(AND(A1305="",D1305="",E1305="",F1305=""),"",IF(D1305="","SEM CATEGORIA",IF(E1305="","SEM SUBCATEGORIA",IF(COUNTIFS(CADASTROS!$L$7:$L$93,D1305,CADASTROS!$D$7:$D$93,E1305)=0,"INCOMPATÍVEL","OK"))))</f>
        <v/>
      </c>
    </row>
    <row r="1306" spans="1:11" ht="30" hidden="1" customHeight="1" x14ac:dyDescent="0.25">
      <c r="A1306" s="86" t="str">
        <f>IF(COUNTIF(EXTRATO!$A$2:$A$3000,"BAN-01163")=0,"","BAN-01163")</f>
        <v/>
      </c>
      <c r="B1306" s="85" t="str">
        <f>IF(A1306="","",IF(INDEX(EXTRATO!$C$2:$C$3000,MATCH($A1306,EXTRATO!$A$2:$A$3000,0))="","",INDEX(EXTRATO!$C$2:$C$3000,MATCH($A1306,EXTRATO!$A$2:$A$3000,0))))</f>
        <v/>
      </c>
      <c r="C1306" s="86" t="str">
        <f t="shared" si="28"/>
        <v/>
      </c>
      <c r="D1306" s="81"/>
      <c r="E1306" s="79"/>
      <c r="F1306" s="80" t="str">
        <f>IF(A1306="","",SUMIF(EXTRATO!$A$2:$A$3000,$A1306,EXTRATO!$J$2:$J$3000)+SUMIF(EXTRATO!$A$2:$A$3000,$A1306,EXTRATO!$K$2:$K$3000)+SUMIF(EXTRATO!$A$2:$A$3000,$A1306,EXTRATO!$L$2:$L$3000)+SUMIF(EXTRATO!$A$2:$A$3000,$A1306,EXTRATO!$M$2:$M$3000))</f>
        <v/>
      </c>
      <c r="G1306" s="81" t="str">
        <f>IF(A1306="","",IF(INDEX(EXTRATO!$G$2:$G$3000,MATCH($A1306,EXTRATO!$A$2:$A$3000,0))="","",INDEX(EXTRATO!$G$2:$G$3000,MATCH($A1306,EXTRATO!$A$2:$A$3000,0))))</f>
        <v/>
      </c>
      <c r="H1306" s="86" t="str">
        <f>IF(A1306="","",IF(INDEX(EXTRATO!$F$2:$F$3000,MATCH($A1306,EXTRATO!$A$2:$A$3000,0))="","",INDEX(EXTRATO!$F$2:$F$3000,MATCH($A1306,EXTRATO!$A$2:$A$3000,0))))</f>
        <v/>
      </c>
      <c r="I1306" s="88" t="str">
        <f>IF(A1306="","",IF(INDEX(EXTRATO!$H$2:$H$3000,MATCH($A1306,EXTRATO!$A$2:$A$3000,0))="","",INDEX(EXTRATO!$H$2:$H$3000,MATCH($A1306,EXTRATO!$A$2:$A$3000,0))))</f>
        <v/>
      </c>
      <c r="J1306" s="86" t="str">
        <f t="shared" si="27"/>
        <v/>
      </c>
      <c r="K1306" s="86" t="str">
        <f>IF(AND(A1306="",D1306="",E1306="",F1306=""),"",IF(D1306="","SEM CATEGORIA",IF(E1306="","SEM SUBCATEGORIA",IF(COUNTIFS(CADASTROS!$L$7:$L$93,D1306,CADASTROS!$D$7:$D$93,E1306)=0,"INCOMPATÍVEL","OK"))))</f>
        <v/>
      </c>
    </row>
    <row r="1307" spans="1:11" ht="30" hidden="1" customHeight="1" x14ac:dyDescent="0.25">
      <c r="A1307" s="86" t="str">
        <f>IF(COUNTIF(EXTRATO!$A$2:$A$3000,"BAN-01164")=0,"","BAN-01164")</f>
        <v/>
      </c>
      <c r="B1307" s="85" t="str">
        <f>IF(A1307="","",IF(INDEX(EXTRATO!$C$2:$C$3000,MATCH($A1307,EXTRATO!$A$2:$A$3000,0))="","",INDEX(EXTRATO!$C$2:$C$3000,MATCH($A1307,EXTRATO!$A$2:$A$3000,0))))</f>
        <v/>
      </c>
      <c r="C1307" s="86" t="str">
        <f t="shared" si="28"/>
        <v/>
      </c>
      <c r="D1307" s="81"/>
      <c r="E1307" s="79"/>
      <c r="F1307" s="80" t="str">
        <f>IF(A1307="","",SUMIF(EXTRATO!$A$2:$A$3000,$A1307,EXTRATO!$J$2:$J$3000)+SUMIF(EXTRATO!$A$2:$A$3000,$A1307,EXTRATO!$K$2:$K$3000)+SUMIF(EXTRATO!$A$2:$A$3000,$A1307,EXTRATO!$L$2:$L$3000)+SUMIF(EXTRATO!$A$2:$A$3000,$A1307,EXTRATO!$M$2:$M$3000))</f>
        <v/>
      </c>
      <c r="G1307" s="81" t="str">
        <f>IF(A1307="","",IF(INDEX(EXTRATO!$G$2:$G$3000,MATCH($A1307,EXTRATO!$A$2:$A$3000,0))="","",INDEX(EXTRATO!$G$2:$G$3000,MATCH($A1307,EXTRATO!$A$2:$A$3000,0))))</f>
        <v/>
      </c>
      <c r="H1307" s="86" t="str">
        <f>IF(A1307="","",IF(INDEX(EXTRATO!$F$2:$F$3000,MATCH($A1307,EXTRATO!$A$2:$A$3000,0))="","",INDEX(EXTRATO!$F$2:$F$3000,MATCH($A1307,EXTRATO!$A$2:$A$3000,0))))</f>
        <v/>
      </c>
      <c r="I1307" s="88" t="str">
        <f>IF(A1307="","",IF(INDEX(EXTRATO!$H$2:$H$3000,MATCH($A1307,EXTRATO!$A$2:$A$3000,0))="","",INDEX(EXTRATO!$H$2:$H$3000,MATCH($A1307,EXTRATO!$A$2:$A$3000,0))))</f>
        <v/>
      </c>
      <c r="J1307" s="86" t="str">
        <f t="shared" si="27"/>
        <v/>
      </c>
      <c r="K1307" s="86" t="str">
        <f>IF(AND(A1307="",D1307="",E1307="",F1307=""),"",IF(D1307="","SEM CATEGORIA",IF(E1307="","SEM SUBCATEGORIA",IF(COUNTIFS(CADASTROS!$L$7:$L$93,D1307,CADASTROS!$D$7:$D$93,E1307)=0,"INCOMPATÍVEL","OK"))))</f>
        <v/>
      </c>
    </row>
    <row r="1308" spans="1:11" ht="30" hidden="1" customHeight="1" x14ac:dyDescent="0.25">
      <c r="A1308" s="86" t="str">
        <f>IF(COUNTIF(EXTRATO!$A$2:$A$3000,"BAN-01165")=0,"","BAN-01165")</f>
        <v/>
      </c>
      <c r="B1308" s="85" t="str">
        <f>IF(A1308="","",IF(INDEX(EXTRATO!$C$2:$C$3000,MATCH($A1308,EXTRATO!$A$2:$A$3000,0))="","",INDEX(EXTRATO!$C$2:$C$3000,MATCH($A1308,EXTRATO!$A$2:$A$3000,0))))</f>
        <v/>
      </c>
      <c r="C1308" s="86" t="str">
        <f t="shared" si="28"/>
        <v/>
      </c>
      <c r="D1308" s="81"/>
      <c r="E1308" s="79"/>
      <c r="F1308" s="80" t="str">
        <f>IF(A1308="","",SUMIF(EXTRATO!$A$2:$A$3000,$A1308,EXTRATO!$J$2:$J$3000)+SUMIF(EXTRATO!$A$2:$A$3000,$A1308,EXTRATO!$K$2:$K$3000)+SUMIF(EXTRATO!$A$2:$A$3000,$A1308,EXTRATO!$L$2:$L$3000)+SUMIF(EXTRATO!$A$2:$A$3000,$A1308,EXTRATO!$M$2:$M$3000))</f>
        <v/>
      </c>
      <c r="G1308" s="81" t="str">
        <f>IF(A1308="","",IF(INDEX(EXTRATO!$G$2:$G$3000,MATCH($A1308,EXTRATO!$A$2:$A$3000,0))="","",INDEX(EXTRATO!$G$2:$G$3000,MATCH($A1308,EXTRATO!$A$2:$A$3000,0))))</f>
        <v/>
      </c>
      <c r="H1308" s="86" t="str">
        <f>IF(A1308="","",IF(INDEX(EXTRATO!$F$2:$F$3000,MATCH($A1308,EXTRATO!$A$2:$A$3000,0))="","",INDEX(EXTRATO!$F$2:$F$3000,MATCH($A1308,EXTRATO!$A$2:$A$3000,0))))</f>
        <v/>
      </c>
      <c r="I1308" s="88" t="str">
        <f>IF(A1308="","",IF(INDEX(EXTRATO!$H$2:$H$3000,MATCH($A1308,EXTRATO!$A$2:$A$3000,0))="","",INDEX(EXTRATO!$H$2:$H$3000,MATCH($A1308,EXTRATO!$A$2:$A$3000,0))))</f>
        <v/>
      </c>
      <c r="J1308" s="86" t="str">
        <f t="shared" si="27"/>
        <v/>
      </c>
      <c r="K1308" s="86" t="str">
        <f>IF(AND(A1308="",D1308="",E1308="",F1308=""),"",IF(D1308="","SEM CATEGORIA",IF(E1308="","SEM SUBCATEGORIA",IF(COUNTIFS(CADASTROS!$L$7:$L$93,D1308,CADASTROS!$D$7:$D$93,E1308)=0,"INCOMPATÍVEL","OK"))))</f>
        <v/>
      </c>
    </row>
    <row r="1309" spans="1:11" ht="30" hidden="1" customHeight="1" x14ac:dyDescent="0.25">
      <c r="A1309" s="86" t="str">
        <f>IF(COUNTIF(EXTRATO!$A$2:$A$3000,"BAN-01166")=0,"","BAN-01166")</f>
        <v/>
      </c>
      <c r="B1309" s="85" t="str">
        <f>IF(A1309="","",IF(INDEX(EXTRATO!$C$2:$C$3000,MATCH($A1309,EXTRATO!$A$2:$A$3000,0))="","",INDEX(EXTRATO!$C$2:$C$3000,MATCH($A1309,EXTRATO!$A$2:$A$3000,0))))</f>
        <v/>
      </c>
      <c r="C1309" s="86" t="str">
        <f t="shared" si="28"/>
        <v/>
      </c>
      <c r="D1309" s="81"/>
      <c r="E1309" s="79"/>
      <c r="F1309" s="80" t="str">
        <f>IF(A1309="","",SUMIF(EXTRATO!$A$2:$A$3000,$A1309,EXTRATO!$J$2:$J$3000)+SUMIF(EXTRATO!$A$2:$A$3000,$A1309,EXTRATO!$K$2:$K$3000)+SUMIF(EXTRATO!$A$2:$A$3000,$A1309,EXTRATO!$L$2:$L$3000)+SUMIF(EXTRATO!$A$2:$A$3000,$A1309,EXTRATO!$M$2:$M$3000))</f>
        <v/>
      </c>
      <c r="G1309" s="81" t="str">
        <f>IF(A1309="","",IF(INDEX(EXTRATO!$G$2:$G$3000,MATCH($A1309,EXTRATO!$A$2:$A$3000,0))="","",INDEX(EXTRATO!$G$2:$G$3000,MATCH($A1309,EXTRATO!$A$2:$A$3000,0))))</f>
        <v/>
      </c>
      <c r="H1309" s="86" t="str">
        <f>IF(A1309="","",IF(INDEX(EXTRATO!$F$2:$F$3000,MATCH($A1309,EXTRATO!$A$2:$A$3000,0))="","",INDEX(EXTRATO!$F$2:$F$3000,MATCH($A1309,EXTRATO!$A$2:$A$3000,0))))</f>
        <v/>
      </c>
      <c r="I1309" s="88" t="str">
        <f>IF(A1309="","",IF(INDEX(EXTRATO!$H$2:$H$3000,MATCH($A1309,EXTRATO!$A$2:$A$3000,0))="","",INDEX(EXTRATO!$H$2:$H$3000,MATCH($A1309,EXTRATO!$A$2:$A$3000,0))))</f>
        <v/>
      </c>
      <c r="J1309" s="86" t="str">
        <f t="shared" si="27"/>
        <v/>
      </c>
      <c r="K1309" s="86" t="str">
        <f>IF(AND(A1309="",D1309="",E1309="",F1309=""),"",IF(D1309="","SEM CATEGORIA",IF(E1309="","SEM SUBCATEGORIA",IF(COUNTIFS(CADASTROS!$L$7:$L$93,D1309,CADASTROS!$D$7:$D$93,E1309)=0,"INCOMPATÍVEL","OK"))))</f>
        <v/>
      </c>
    </row>
    <row r="1310" spans="1:11" ht="30" hidden="1" customHeight="1" x14ac:dyDescent="0.25">
      <c r="A1310" s="86" t="str">
        <f>IF(COUNTIF(EXTRATO!$A$2:$A$3000,"BAN-01167")=0,"","BAN-01167")</f>
        <v/>
      </c>
      <c r="B1310" s="85" t="str">
        <f>IF(A1310="","",IF(INDEX(EXTRATO!$C$2:$C$3000,MATCH($A1310,EXTRATO!$A$2:$A$3000,0))="","",INDEX(EXTRATO!$C$2:$C$3000,MATCH($A1310,EXTRATO!$A$2:$A$3000,0))))</f>
        <v/>
      </c>
      <c r="C1310" s="86" t="str">
        <f t="shared" si="28"/>
        <v/>
      </c>
      <c r="D1310" s="81"/>
      <c r="E1310" s="79"/>
      <c r="F1310" s="80" t="str">
        <f>IF(A1310="","",SUMIF(EXTRATO!$A$2:$A$3000,$A1310,EXTRATO!$J$2:$J$3000)+SUMIF(EXTRATO!$A$2:$A$3000,$A1310,EXTRATO!$K$2:$K$3000)+SUMIF(EXTRATO!$A$2:$A$3000,$A1310,EXTRATO!$L$2:$L$3000)+SUMIF(EXTRATO!$A$2:$A$3000,$A1310,EXTRATO!$M$2:$M$3000))</f>
        <v/>
      </c>
      <c r="G1310" s="81" t="str">
        <f>IF(A1310="","",IF(INDEX(EXTRATO!$G$2:$G$3000,MATCH($A1310,EXTRATO!$A$2:$A$3000,0))="","",INDEX(EXTRATO!$G$2:$G$3000,MATCH($A1310,EXTRATO!$A$2:$A$3000,0))))</f>
        <v/>
      </c>
      <c r="H1310" s="86" t="str">
        <f>IF(A1310="","",IF(INDEX(EXTRATO!$F$2:$F$3000,MATCH($A1310,EXTRATO!$A$2:$A$3000,0))="","",INDEX(EXTRATO!$F$2:$F$3000,MATCH($A1310,EXTRATO!$A$2:$A$3000,0))))</f>
        <v/>
      </c>
      <c r="I1310" s="88" t="str">
        <f>IF(A1310="","",IF(INDEX(EXTRATO!$H$2:$H$3000,MATCH($A1310,EXTRATO!$A$2:$A$3000,0))="","",INDEX(EXTRATO!$H$2:$H$3000,MATCH($A1310,EXTRATO!$A$2:$A$3000,0))))</f>
        <v/>
      </c>
      <c r="J1310" s="86" t="str">
        <f t="shared" si="27"/>
        <v/>
      </c>
      <c r="K1310" s="86" t="str">
        <f>IF(AND(A1310="",D1310="",E1310="",F1310=""),"",IF(D1310="","SEM CATEGORIA",IF(E1310="","SEM SUBCATEGORIA",IF(COUNTIFS(CADASTROS!$L$7:$L$93,D1310,CADASTROS!$D$7:$D$93,E1310)=0,"INCOMPATÍVEL","OK"))))</f>
        <v/>
      </c>
    </row>
    <row r="1311" spans="1:11" ht="30" hidden="1" customHeight="1" x14ac:dyDescent="0.25">
      <c r="A1311" s="86" t="str">
        <f>IF(COUNTIF(EXTRATO!$A$2:$A$3000,"BAN-01168")=0,"","BAN-01168")</f>
        <v/>
      </c>
      <c r="B1311" s="85" t="str">
        <f>IF(A1311="","",IF(INDEX(EXTRATO!$C$2:$C$3000,MATCH($A1311,EXTRATO!$A$2:$A$3000,0))="","",INDEX(EXTRATO!$C$2:$C$3000,MATCH($A1311,EXTRATO!$A$2:$A$3000,0))))</f>
        <v/>
      </c>
      <c r="C1311" s="86" t="str">
        <f t="shared" si="28"/>
        <v/>
      </c>
      <c r="D1311" s="81"/>
      <c r="E1311" s="79"/>
      <c r="F1311" s="80" t="str">
        <f>IF(A1311="","",SUMIF(EXTRATO!$A$2:$A$3000,$A1311,EXTRATO!$J$2:$J$3000)+SUMIF(EXTRATO!$A$2:$A$3000,$A1311,EXTRATO!$K$2:$K$3000)+SUMIF(EXTRATO!$A$2:$A$3000,$A1311,EXTRATO!$L$2:$L$3000)+SUMIF(EXTRATO!$A$2:$A$3000,$A1311,EXTRATO!$M$2:$M$3000))</f>
        <v/>
      </c>
      <c r="G1311" s="81" t="str">
        <f>IF(A1311="","",IF(INDEX(EXTRATO!$G$2:$G$3000,MATCH($A1311,EXTRATO!$A$2:$A$3000,0))="","",INDEX(EXTRATO!$G$2:$G$3000,MATCH($A1311,EXTRATO!$A$2:$A$3000,0))))</f>
        <v/>
      </c>
      <c r="H1311" s="86" t="str">
        <f>IF(A1311="","",IF(INDEX(EXTRATO!$F$2:$F$3000,MATCH($A1311,EXTRATO!$A$2:$A$3000,0))="","",INDEX(EXTRATO!$F$2:$F$3000,MATCH($A1311,EXTRATO!$A$2:$A$3000,0))))</f>
        <v/>
      </c>
      <c r="I1311" s="88" t="str">
        <f>IF(A1311="","",IF(INDEX(EXTRATO!$H$2:$H$3000,MATCH($A1311,EXTRATO!$A$2:$A$3000,0))="","",INDEX(EXTRATO!$H$2:$H$3000,MATCH($A1311,EXTRATO!$A$2:$A$3000,0))))</f>
        <v/>
      </c>
      <c r="J1311" s="86" t="str">
        <f t="shared" si="27"/>
        <v/>
      </c>
      <c r="K1311" s="86" t="str">
        <f>IF(AND(A1311="",D1311="",E1311="",F1311=""),"",IF(D1311="","SEM CATEGORIA",IF(E1311="","SEM SUBCATEGORIA",IF(COUNTIFS(CADASTROS!$L$7:$L$93,D1311,CADASTROS!$D$7:$D$93,E1311)=0,"INCOMPATÍVEL","OK"))))</f>
        <v/>
      </c>
    </row>
    <row r="1312" spans="1:11" ht="30" hidden="1" customHeight="1" x14ac:dyDescent="0.25">
      <c r="A1312" s="86" t="str">
        <f>IF(COUNTIF(EXTRATO!$A$2:$A$3000,"BAN-01169")=0,"","BAN-01169")</f>
        <v/>
      </c>
      <c r="B1312" s="85" t="str">
        <f>IF(A1312="","",IF(INDEX(EXTRATO!$C$2:$C$3000,MATCH($A1312,EXTRATO!$A$2:$A$3000,0))="","",INDEX(EXTRATO!$C$2:$C$3000,MATCH($A1312,EXTRATO!$A$2:$A$3000,0))))</f>
        <v/>
      </c>
      <c r="C1312" s="86" t="str">
        <f t="shared" si="28"/>
        <v/>
      </c>
      <c r="D1312" s="81"/>
      <c r="E1312" s="79"/>
      <c r="F1312" s="80" t="str">
        <f>IF(A1312="","",SUMIF(EXTRATO!$A$2:$A$3000,$A1312,EXTRATO!$J$2:$J$3000)+SUMIF(EXTRATO!$A$2:$A$3000,$A1312,EXTRATO!$K$2:$K$3000)+SUMIF(EXTRATO!$A$2:$A$3000,$A1312,EXTRATO!$L$2:$L$3000)+SUMIF(EXTRATO!$A$2:$A$3000,$A1312,EXTRATO!$M$2:$M$3000))</f>
        <v/>
      </c>
      <c r="G1312" s="81" t="str">
        <f>IF(A1312="","",IF(INDEX(EXTRATO!$G$2:$G$3000,MATCH($A1312,EXTRATO!$A$2:$A$3000,0))="","",INDEX(EXTRATO!$G$2:$G$3000,MATCH($A1312,EXTRATO!$A$2:$A$3000,0))))</f>
        <v/>
      </c>
      <c r="H1312" s="86" t="str">
        <f>IF(A1312="","",IF(INDEX(EXTRATO!$F$2:$F$3000,MATCH($A1312,EXTRATO!$A$2:$A$3000,0))="","",INDEX(EXTRATO!$F$2:$F$3000,MATCH($A1312,EXTRATO!$A$2:$A$3000,0))))</f>
        <v/>
      </c>
      <c r="I1312" s="88" t="str">
        <f>IF(A1312="","",IF(INDEX(EXTRATO!$H$2:$H$3000,MATCH($A1312,EXTRATO!$A$2:$A$3000,0))="","",INDEX(EXTRATO!$H$2:$H$3000,MATCH($A1312,EXTRATO!$A$2:$A$3000,0))))</f>
        <v/>
      </c>
      <c r="J1312" s="86" t="str">
        <f t="shared" si="27"/>
        <v/>
      </c>
      <c r="K1312" s="86" t="str">
        <f>IF(AND(A1312="",D1312="",E1312="",F1312=""),"",IF(D1312="","SEM CATEGORIA",IF(E1312="","SEM SUBCATEGORIA",IF(COUNTIFS(CADASTROS!$L$7:$L$93,D1312,CADASTROS!$D$7:$D$93,E1312)=0,"INCOMPATÍVEL","OK"))))</f>
        <v/>
      </c>
    </row>
    <row r="1313" spans="1:11" ht="30" hidden="1" customHeight="1" x14ac:dyDescent="0.25">
      <c r="A1313" s="86" t="str">
        <f>IF(COUNTIF(EXTRATO!$A$2:$A$3000,"BAN-01170")=0,"","BAN-01170")</f>
        <v/>
      </c>
      <c r="B1313" s="85" t="str">
        <f>IF(A1313="","",IF(INDEX(EXTRATO!$C$2:$C$3000,MATCH($A1313,EXTRATO!$A$2:$A$3000,0))="","",INDEX(EXTRATO!$C$2:$C$3000,MATCH($A1313,EXTRATO!$A$2:$A$3000,0))))</f>
        <v/>
      </c>
      <c r="C1313" s="86" t="str">
        <f t="shared" si="28"/>
        <v/>
      </c>
      <c r="D1313" s="81"/>
      <c r="E1313" s="79"/>
      <c r="F1313" s="80" t="str">
        <f>IF(A1313="","",SUMIF(EXTRATO!$A$2:$A$3000,$A1313,EXTRATO!$J$2:$J$3000)+SUMIF(EXTRATO!$A$2:$A$3000,$A1313,EXTRATO!$K$2:$K$3000)+SUMIF(EXTRATO!$A$2:$A$3000,$A1313,EXTRATO!$L$2:$L$3000)+SUMIF(EXTRATO!$A$2:$A$3000,$A1313,EXTRATO!$M$2:$M$3000))</f>
        <v/>
      </c>
      <c r="G1313" s="81" t="str">
        <f>IF(A1313="","",IF(INDEX(EXTRATO!$G$2:$G$3000,MATCH($A1313,EXTRATO!$A$2:$A$3000,0))="","",INDEX(EXTRATO!$G$2:$G$3000,MATCH($A1313,EXTRATO!$A$2:$A$3000,0))))</f>
        <v/>
      </c>
      <c r="H1313" s="86" t="str">
        <f>IF(A1313="","",IF(INDEX(EXTRATO!$F$2:$F$3000,MATCH($A1313,EXTRATO!$A$2:$A$3000,0))="","",INDEX(EXTRATO!$F$2:$F$3000,MATCH($A1313,EXTRATO!$A$2:$A$3000,0))))</f>
        <v/>
      </c>
      <c r="I1313" s="88" t="str">
        <f>IF(A1313="","",IF(INDEX(EXTRATO!$H$2:$H$3000,MATCH($A1313,EXTRATO!$A$2:$A$3000,0))="","",INDEX(EXTRATO!$H$2:$H$3000,MATCH($A1313,EXTRATO!$A$2:$A$3000,0))))</f>
        <v/>
      </c>
      <c r="J1313" s="86" t="str">
        <f t="shared" si="27"/>
        <v/>
      </c>
      <c r="K1313" s="86" t="str">
        <f>IF(AND(A1313="",D1313="",E1313="",F1313=""),"",IF(D1313="","SEM CATEGORIA",IF(E1313="","SEM SUBCATEGORIA",IF(COUNTIFS(CADASTROS!$L$7:$L$93,D1313,CADASTROS!$D$7:$D$93,E1313)=0,"INCOMPATÍVEL","OK"))))</f>
        <v/>
      </c>
    </row>
    <row r="1314" spans="1:11" ht="30" hidden="1" customHeight="1" x14ac:dyDescent="0.25">
      <c r="A1314" s="86" t="str">
        <f>IF(COUNTIF(EXTRATO!$A$2:$A$3000,"BAN-01171")=0,"","BAN-01171")</f>
        <v/>
      </c>
      <c r="B1314" s="85" t="str">
        <f>IF(A1314="","",IF(INDEX(EXTRATO!$C$2:$C$3000,MATCH($A1314,EXTRATO!$A$2:$A$3000,0))="","",INDEX(EXTRATO!$C$2:$C$3000,MATCH($A1314,EXTRATO!$A$2:$A$3000,0))))</f>
        <v/>
      </c>
      <c r="C1314" s="86" t="str">
        <f t="shared" si="28"/>
        <v/>
      </c>
      <c r="D1314" s="81"/>
      <c r="E1314" s="79"/>
      <c r="F1314" s="80" t="str">
        <f>IF(A1314="","",SUMIF(EXTRATO!$A$2:$A$3000,$A1314,EXTRATO!$J$2:$J$3000)+SUMIF(EXTRATO!$A$2:$A$3000,$A1314,EXTRATO!$K$2:$K$3000)+SUMIF(EXTRATO!$A$2:$A$3000,$A1314,EXTRATO!$L$2:$L$3000)+SUMIF(EXTRATO!$A$2:$A$3000,$A1314,EXTRATO!$M$2:$M$3000))</f>
        <v/>
      </c>
      <c r="G1314" s="81" t="str">
        <f>IF(A1314="","",IF(INDEX(EXTRATO!$G$2:$G$3000,MATCH($A1314,EXTRATO!$A$2:$A$3000,0))="","",INDEX(EXTRATO!$G$2:$G$3000,MATCH($A1314,EXTRATO!$A$2:$A$3000,0))))</f>
        <v/>
      </c>
      <c r="H1314" s="86" t="str">
        <f>IF(A1314="","",IF(INDEX(EXTRATO!$F$2:$F$3000,MATCH($A1314,EXTRATO!$A$2:$A$3000,0))="","",INDEX(EXTRATO!$F$2:$F$3000,MATCH($A1314,EXTRATO!$A$2:$A$3000,0))))</f>
        <v/>
      </c>
      <c r="I1314" s="88" t="str">
        <f>IF(A1314="","",IF(INDEX(EXTRATO!$H$2:$H$3000,MATCH($A1314,EXTRATO!$A$2:$A$3000,0))="","",INDEX(EXTRATO!$H$2:$H$3000,MATCH($A1314,EXTRATO!$A$2:$A$3000,0))))</f>
        <v/>
      </c>
      <c r="J1314" s="86" t="str">
        <f t="shared" si="27"/>
        <v/>
      </c>
      <c r="K1314" s="86" t="str">
        <f>IF(AND(A1314="",D1314="",E1314="",F1314=""),"",IF(D1314="","SEM CATEGORIA",IF(E1314="","SEM SUBCATEGORIA",IF(COUNTIFS(CADASTROS!$L$7:$L$93,D1314,CADASTROS!$D$7:$D$93,E1314)=0,"INCOMPATÍVEL","OK"))))</f>
        <v/>
      </c>
    </row>
    <row r="1315" spans="1:11" ht="30" hidden="1" customHeight="1" x14ac:dyDescent="0.25">
      <c r="A1315" s="86" t="str">
        <f>IF(COUNTIF(EXTRATO!$A$2:$A$3000,"BAN-01172")=0,"","BAN-01172")</f>
        <v/>
      </c>
      <c r="B1315" s="85" t="str">
        <f>IF(A1315="","",IF(INDEX(EXTRATO!$C$2:$C$3000,MATCH($A1315,EXTRATO!$A$2:$A$3000,0))="","",INDEX(EXTRATO!$C$2:$C$3000,MATCH($A1315,EXTRATO!$A$2:$A$3000,0))))</f>
        <v/>
      </c>
      <c r="C1315" s="86" t="str">
        <f t="shared" si="28"/>
        <v/>
      </c>
      <c r="D1315" s="81"/>
      <c r="E1315" s="79"/>
      <c r="F1315" s="80" t="str">
        <f>IF(A1315="","",SUMIF(EXTRATO!$A$2:$A$3000,$A1315,EXTRATO!$J$2:$J$3000)+SUMIF(EXTRATO!$A$2:$A$3000,$A1315,EXTRATO!$K$2:$K$3000)+SUMIF(EXTRATO!$A$2:$A$3000,$A1315,EXTRATO!$L$2:$L$3000)+SUMIF(EXTRATO!$A$2:$A$3000,$A1315,EXTRATO!$M$2:$M$3000))</f>
        <v/>
      </c>
      <c r="G1315" s="81" t="str">
        <f>IF(A1315="","",IF(INDEX(EXTRATO!$G$2:$G$3000,MATCH($A1315,EXTRATO!$A$2:$A$3000,0))="","",INDEX(EXTRATO!$G$2:$G$3000,MATCH($A1315,EXTRATO!$A$2:$A$3000,0))))</f>
        <v/>
      </c>
      <c r="H1315" s="86" t="str">
        <f>IF(A1315="","",IF(INDEX(EXTRATO!$F$2:$F$3000,MATCH($A1315,EXTRATO!$A$2:$A$3000,0))="","",INDEX(EXTRATO!$F$2:$F$3000,MATCH($A1315,EXTRATO!$A$2:$A$3000,0))))</f>
        <v/>
      </c>
      <c r="I1315" s="88" t="str">
        <f>IF(A1315="","",IF(INDEX(EXTRATO!$H$2:$H$3000,MATCH($A1315,EXTRATO!$A$2:$A$3000,0))="","",INDEX(EXTRATO!$H$2:$H$3000,MATCH($A1315,EXTRATO!$A$2:$A$3000,0))))</f>
        <v/>
      </c>
      <c r="J1315" s="86" t="str">
        <f t="shared" si="27"/>
        <v/>
      </c>
      <c r="K1315" s="86" t="str">
        <f>IF(AND(A1315="",D1315="",E1315="",F1315=""),"",IF(D1315="","SEM CATEGORIA",IF(E1315="","SEM SUBCATEGORIA",IF(COUNTIFS(CADASTROS!$L$7:$L$93,D1315,CADASTROS!$D$7:$D$93,E1315)=0,"INCOMPATÍVEL","OK"))))</f>
        <v/>
      </c>
    </row>
    <row r="1316" spans="1:11" ht="30" hidden="1" customHeight="1" x14ac:dyDescent="0.25">
      <c r="A1316" s="86" t="str">
        <f>IF(COUNTIF(EXTRATO!$A$2:$A$3000,"BAN-01173")=0,"","BAN-01173")</f>
        <v/>
      </c>
      <c r="B1316" s="85" t="str">
        <f>IF(A1316="","",IF(INDEX(EXTRATO!$C$2:$C$3000,MATCH($A1316,EXTRATO!$A$2:$A$3000,0))="","",INDEX(EXTRATO!$C$2:$C$3000,MATCH($A1316,EXTRATO!$A$2:$A$3000,0))))</f>
        <v/>
      </c>
      <c r="C1316" s="86" t="str">
        <f t="shared" si="28"/>
        <v/>
      </c>
      <c r="D1316" s="81"/>
      <c r="E1316" s="79"/>
      <c r="F1316" s="80" t="str">
        <f>IF(A1316="","",SUMIF(EXTRATO!$A$2:$A$3000,$A1316,EXTRATO!$J$2:$J$3000)+SUMIF(EXTRATO!$A$2:$A$3000,$A1316,EXTRATO!$K$2:$K$3000)+SUMIF(EXTRATO!$A$2:$A$3000,$A1316,EXTRATO!$L$2:$L$3000)+SUMIF(EXTRATO!$A$2:$A$3000,$A1316,EXTRATO!$M$2:$M$3000))</f>
        <v/>
      </c>
      <c r="G1316" s="81" t="str">
        <f>IF(A1316="","",IF(INDEX(EXTRATO!$G$2:$G$3000,MATCH($A1316,EXTRATO!$A$2:$A$3000,0))="","",INDEX(EXTRATO!$G$2:$G$3000,MATCH($A1316,EXTRATO!$A$2:$A$3000,0))))</f>
        <v/>
      </c>
      <c r="H1316" s="86" t="str">
        <f>IF(A1316="","",IF(INDEX(EXTRATO!$F$2:$F$3000,MATCH($A1316,EXTRATO!$A$2:$A$3000,0))="","",INDEX(EXTRATO!$F$2:$F$3000,MATCH($A1316,EXTRATO!$A$2:$A$3000,0))))</f>
        <v/>
      </c>
      <c r="I1316" s="88" t="str">
        <f>IF(A1316="","",IF(INDEX(EXTRATO!$H$2:$H$3000,MATCH($A1316,EXTRATO!$A$2:$A$3000,0))="","",INDEX(EXTRATO!$H$2:$H$3000,MATCH($A1316,EXTRATO!$A$2:$A$3000,0))))</f>
        <v/>
      </c>
      <c r="J1316" s="86" t="str">
        <f t="shared" si="27"/>
        <v/>
      </c>
      <c r="K1316" s="86" t="str">
        <f>IF(AND(A1316="",D1316="",E1316="",F1316=""),"",IF(D1316="","SEM CATEGORIA",IF(E1316="","SEM SUBCATEGORIA",IF(COUNTIFS(CADASTROS!$L$7:$L$93,D1316,CADASTROS!$D$7:$D$93,E1316)=0,"INCOMPATÍVEL","OK"))))</f>
        <v/>
      </c>
    </row>
    <row r="1317" spans="1:11" ht="30" hidden="1" customHeight="1" x14ac:dyDescent="0.25">
      <c r="A1317" s="86" t="str">
        <f>IF(COUNTIF(EXTRATO!$A$2:$A$3000,"BAN-01174")=0,"","BAN-01174")</f>
        <v/>
      </c>
      <c r="B1317" s="85" t="str">
        <f>IF(A1317="","",IF(INDEX(EXTRATO!$C$2:$C$3000,MATCH($A1317,EXTRATO!$A$2:$A$3000,0))="","",INDEX(EXTRATO!$C$2:$C$3000,MATCH($A1317,EXTRATO!$A$2:$A$3000,0))))</f>
        <v/>
      </c>
      <c r="C1317" s="86" t="str">
        <f t="shared" si="28"/>
        <v/>
      </c>
      <c r="D1317" s="81"/>
      <c r="E1317" s="79"/>
      <c r="F1317" s="80" t="str">
        <f>IF(A1317="","",SUMIF(EXTRATO!$A$2:$A$3000,$A1317,EXTRATO!$J$2:$J$3000)+SUMIF(EXTRATO!$A$2:$A$3000,$A1317,EXTRATO!$K$2:$K$3000)+SUMIF(EXTRATO!$A$2:$A$3000,$A1317,EXTRATO!$L$2:$L$3000)+SUMIF(EXTRATO!$A$2:$A$3000,$A1317,EXTRATO!$M$2:$M$3000))</f>
        <v/>
      </c>
      <c r="G1317" s="81" t="str">
        <f>IF(A1317="","",IF(INDEX(EXTRATO!$G$2:$G$3000,MATCH($A1317,EXTRATO!$A$2:$A$3000,0))="","",INDEX(EXTRATO!$G$2:$G$3000,MATCH($A1317,EXTRATO!$A$2:$A$3000,0))))</f>
        <v/>
      </c>
      <c r="H1317" s="86" t="str">
        <f>IF(A1317="","",IF(INDEX(EXTRATO!$F$2:$F$3000,MATCH($A1317,EXTRATO!$A$2:$A$3000,0))="","",INDEX(EXTRATO!$F$2:$F$3000,MATCH($A1317,EXTRATO!$A$2:$A$3000,0))))</f>
        <v/>
      </c>
      <c r="I1317" s="88" t="str">
        <f>IF(A1317="","",IF(INDEX(EXTRATO!$H$2:$H$3000,MATCH($A1317,EXTRATO!$A$2:$A$3000,0))="","",INDEX(EXTRATO!$H$2:$H$3000,MATCH($A1317,EXTRATO!$A$2:$A$3000,0))))</f>
        <v/>
      </c>
      <c r="J1317" s="86" t="str">
        <f t="shared" si="27"/>
        <v/>
      </c>
      <c r="K1317" s="86" t="str">
        <f>IF(AND(A1317="",D1317="",E1317="",F1317=""),"",IF(D1317="","SEM CATEGORIA",IF(E1317="","SEM SUBCATEGORIA",IF(COUNTIFS(CADASTROS!$L$7:$L$93,D1317,CADASTROS!$D$7:$D$93,E1317)=0,"INCOMPATÍVEL","OK"))))</f>
        <v/>
      </c>
    </row>
    <row r="1318" spans="1:11" ht="30" hidden="1" customHeight="1" x14ac:dyDescent="0.25">
      <c r="A1318" s="86" t="str">
        <f>IF(COUNTIF(EXTRATO!$A$2:$A$3000,"BAN-01175")=0,"","BAN-01175")</f>
        <v/>
      </c>
      <c r="B1318" s="85" t="str">
        <f>IF(A1318="","",IF(INDEX(EXTRATO!$C$2:$C$3000,MATCH($A1318,EXTRATO!$A$2:$A$3000,0))="","",INDEX(EXTRATO!$C$2:$C$3000,MATCH($A1318,EXTRATO!$A$2:$A$3000,0))))</f>
        <v/>
      </c>
      <c r="C1318" s="86" t="str">
        <f t="shared" si="28"/>
        <v/>
      </c>
      <c r="D1318" s="81"/>
      <c r="E1318" s="79"/>
      <c r="F1318" s="80" t="str">
        <f>IF(A1318="","",SUMIF(EXTRATO!$A$2:$A$3000,$A1318,EXTRATO!$J$2:$J$3000)+SUMIF(EXTRATO!$A$2:$A$3000,$A1318,EXTRATO!$K$2:$K$3000)+SUMIF(EXTRATO!$A$2:$A$3000,$A1318,EXTRATO!$L$2:$L$3000)+SUMIF(EXTRATO!$A$2:$A$3000,$A1318,EXTRATO!$M$2:$M$3000))</f>
        <v/>
      </c>
      <c r="G1318" s="81" t="str">
        <f>IF(A1318="","",IF(INDEX(EXTRATO!$G$2:$G$3000,MATCH($A1318,EXTRATO!$A$2:$A$3000,0))="","",INDEX(EXTRATO!$G$2:$G$3000,MATCH($A1318,EXTRATO!$A$2:$A$3000,0))))</f>
        <v/>
      </c>
      <c r="H1318" s="86" t="str">
        <f>IF(A1318="","",IF(INDEX(EXTRATO!$F$2:$F$3000,MATCH($A1318,EXTRATO!$A$2:$A$3000,0))="","",INDEX(EXTRATO!$F$2:$F$3000,MATCH($A1318,EXTRATO!$A$2:$A$3000,0))))</f>
        <v/>
      </c>
      <c r="I1318" s="88" t="str">
        <f>IF(A1318="","",IF(INDEX(EXTRATO!$H$2:$H$3000,MATCH($A1318,EXTRATO!$A$2:$A$3000,0))="","",INDEX(EXTRATO!$H$2:$H$3000,MATCH($A1318,EXTRATO!$A$2:$A$3000,0))))</f>
        <v/>
      </c>
      <c r="J1318" s="86" t="str">
        <f t="shared" si="27"/>
        <v/>
      </c>
      <c r="K1318" s="86" t="str">
        <f>IF(AND(A1318="",D1318="",E1318="",F1318=""),"",IF(D1318="","SEM CATEGORIA",IF(E1318="","SEM SUBCATEGORIA",IF(COUNTIFS(CADASTROS!$L$7:$L$93,D1318,CADASTROS!$D$7:$D$93,E1318)=0,"INCOMPATÍVEL","OK"))))</f>
        <v/>
      </c>
    </row>
    <row r="1319" spans="1:11" ht="30" hidden="1" customHeight="1" x14ac:dyDescent="0.25">
      <c r="A1319" s="86" t="str">
        <f>IF(COUNTIF(EXTRATO!$A$2:$A$3000,"BAN-01176")=0,"","BAN-01176")</f>
        <v/>
      </c>
      <c r="B1319" s="85" t="str">
        <f>IF(A1319="","",IF(INDEX(EXTRATO!$C$2:$C$3000,MATCH($A1319,EXTRATO!$A$2:$A$3000,0))="","",INDEX(EXTRATO!$C$2:$C$3000,MATCH($A1319,EXTRATO!$A$2:$A$3000,0))))</f>
        <v/>
      </c>
      <c r="C1319" s="86" t="str">
        <f t="shared" si="28"/>
        <v/>
      </c>
      <c r="D1319" s="81"/>
      <c r="E1319" s="79"/>
      <c r="F1319" s="80" t="str">
        <f>IF(A1319="","",SUMIF(EXTRATO!$A$2:$A$3000,$A1319,EXTRATO!$J$2:$J$3000)+SUMIF(EXTRATO!$A$2:$A$3000,$A1319,EXTRATO!$K$2:$K$3000)+SUMIF(EXTRATO!$A$2:$A$3000,$A1319,EXTRATO!$L$2:$L$3000)+SUMIF(EXTRATO!$A$2:$A$3000,$A1319,EXTRATO!$M$2:$M$3000))</f>
        <v/>
      </c>
      <c r="G1319" s="81" t="str">
        <f>IF(A1319="","",IF(INDEX(EXTRATO!$G$2:$G$3000,MATCH($A1319,EXTRATO!$A$2:$A$3000,0))="","",INDEX(EXTRATO!$G$2:$G$3000,MATCH($A1319,EXTRATO!$A$2:$A$3000,0))))</f>
        <v/>
      </c>
      <c r="H1319" s="86" t="str">
        <f>IF(A1319="","",IF(INDEX(EXTRATO!$F$2:$F$3000,MATCH($A1319,EXTRATO!$A$2:$A$3000,0))="","",INDEX(EXTRATO!$F$2:$F$3000,MATCH($A1319,EXTRATO!$A$2:$A$3000,0))))</f>
        <v/>
      </c>
      <c r="I1319" s="88" t="str">
        <f>IF(A1319="","",IF(INDEX(EXTRATO!$H$2:$H$3000,MATCH($A1319,EXTRATO!$A$2:$A$3000,0))="","",INDEX(EXTRATO!$H$2:$H$3000,MATCH($A1319,EXTRATO!$A$2:$A$3000,0))))</f>
        <v/>
      </c>
      <c r="J1319" s="86" t="str">
        <f t="shared" si="27"/>
        <v/>
      </c>
      <c r="K1319" s="86" t="str">
        <f>IF(AND(A1319="",D1319="",E1319="",F1319=""),"",IF(D1319="","SEM CATEGORIA",IF(E1319="","SEM SUBCATEGORIA",IF(COUNTIFS(CADASTROS!$L$7:$L$93,D1319,CADASTROS!$D$7:$D$93,E1319)=0,"INCOMPATÍVEL","OK"))))</f>
        <v/>
      </c>
    </row>
    <row r="1320" spans="1:11" ht="30" hidden="1" customHeight="1" x14ac:dyDescent="0.25">
      <c r="A1320" s="86" t="str">
        <f>IF(COUNTIF(EXTRATO!$A$2:$A$3000,"BAN-01177")=0,"","BAN-01177")</f>
        <v/>
      </c>
      <c r="B1320" s="85" t="str">
        <f>IF(A1320="","",IF(INDEX(EXTRATO!$C$2:$C$3000,MATCH($A1320,EXTRATO!$A$2:$A$3000,0))="","",INDEX(EXTRATO!$C$2:$C$3000,MATCH($A1320,EXTRATO!$A$2:$A$3000,0))))</f>
        <v/>
      </c>
      <c r="C1320" s="86" t="str">
        <f t="shared" si="28"/>
        <v/>
      </c>
      <c r="D1320" s="81"/>
      <c r="E1320" s="79"/>
      <c r="F1320" s="80" t="str">
        <f>IF(A1320="","",SUMIF(EXTRATO!$A$2:$A$3000,$A1320,EXTRATO!$J$2:$J$3000)+SUMIF(EXTRATO!$A$2:$A$3000,$A1320,EXTRATO!$K$2:$K$3000)+SUMIF(EXTRATO!$A$2:$A$3000,$A1320,EXTRATO!$L$2:$L$3000)+SUMIF(EXTRATO!$A$2:$A$3000,$A1320,EXTRATO!$M$2:$M$3000))</f>
        <v/>
      </c>
      <c r="G1320" s="81" t="str">
        <f>IF(A1320="","",IF(INDEX(EXTRATO!$G$2:$G$3000,MATCH($A1320,EXTRATO!$A$2:$A$3000,0))="","",INDEX(EXTRATO!$G$2:$G$3000,MATCH($A1320,EXTRATO!$A$2:$A$3000,0))))</f>
        <v/>
      </c>
      <c r="H1320" s="86" t="str">
        <f>IF(A1320="","",IF(INDEX(EXTRATO!$F$2:$F$3000,MATCH($A1320,EXTRATO!$A$2:$A$3000,0))="","",INDEX(EXTRATO!$F$2:$F$3000,MATCH($A1320,EXTRATO!$A$2:$A$3000,0))))</f>
        <v/>
      </c>
      <c r="I1320" s="88" t="str">
        <f>IF(A1320="","",IF(INDEX(EXTRATO!$H$2:$H$3000,MATCH($A1320,EXTRATO!$A$2:$A$3000,0))="","",INDEX(EXTRATO!$H$2:$H$3000,MATCH($A1320,EXTRATO!$A$2:$A$3000,0))))</f>
        <v/>
      </c>
      <c r="J1320" s="86" t="str">
        <f t="shared" si="27"/>
        <v/>
      </c>
      <c r="K1320" s="86" t="str">
        <f>IF(AND(A1320="",D1320="",E1320="",F1320=""),"",IF(D1320="","SEM CATEGORIA",IF(E1320="","SEM SUBCATEGORIA",IF(COUNTIFS(CADASTROS!$L$7:$L$93,D1320,CADASTROS!$D$7:$D$93,E1320)=0,"INCOMPATÍVEL","OK"))))</f>
        <v/>
      </c>
    </row>
    <row r="1321" spans="1:11" ht="30" hidden="1" customHeight="1" x14ac:dyDescent="0.25">
      <c r="A1321" s="86" t="str">
        <f>IF(COUNTIF(EXTRATO!$A$2:$A$3000,"BAN-01178")=0,"","BAN-01178")</f>
        <v/>
      </c>
      <c r="B1321" s="85" t="str">
        <f>IF(A1321="","",IF(INDEX(EXTRATO!$C$2:$C$3000,MATCH($A1321,EXTRATO!$A$2:$A$3000,0))="","",INDEX(EXTRATO!$C$2:$C$3000,MATCH($A1321,EXTRATO!$A$2:$A$3000,0))))</f>
        <v/>
      </c>
      <c r="C1321" s="86" t="str">
        <f t="shared" si="28"/>
        <v/>
      </c>
      <c r="D1321" s="81"/>
      <c r="E1321" s="79"/>
      <c r="F1321" s="80" t="str">
        <f>IF(A1321="","",SUMIF(EXTRATO!$A$2:$A$3000,$A1321,EXTRATO!$J$2:$J$3000)+SUMIF(EXTRATO!$A$2:$A$3000,$A1321,EXTRATO!$K$2:$K$3000)+SUMIF(EXTRATO!$A$2:$A$3000,$A1321,EXTRATO!$L$2:$L$3000)+SUMIF(EXTRATO!$A$2:$A$3000,$A1321,EXTRATO!$M$2:$M$3000))</f>
        <v/>
      </c>
      <c r="G1321" s="81" t="str">
        <f>IF(A1321="","",IF(INDEX(EXTRATO!$G$2:$G$3000,MATCH($A1321,EXTRATO!$A$2:$A$3000,0))="","",INDEX(EXTRATO!$G$2:$G$3000,MATCH($A1321,EXTRATO!$A$2:$A$3000,0))))</f>
        <v/>
      </c>
      <c r="H1321" s="86" t="str">
        <f>IF(A1321="","",IF(INDEX(EXTRATO!$F$2:$F$3000,MATCH($A1321,EXTRATO!$A$2:$A$3000,0))="","",INDEX(EXTRATO!$F$2:$F$3000,MATCH($A1321,EXTRATO!$A$2:$A$3000,0))))</f>
        <v/>
      </c>
      <c r="I1321" s="88" t="str">
        <f>IF(A1321="","",IF(INDEX(EXTRATO!$H$2:$H$3000,MATCH($A1321,EXTRATO!$A$2:$A$3000,0))="","",INDEX(EXTRATO!$H$2:$H$3000,MATCH($A1321,EXTRATO!$A$2:$A$3000,0))))</f>
        <v/>
      </c>
      <c r="J1321" s="86" t="str">
        <f t="shared" si="27"/>
        <v/>
      </c>
      <c r="K1321" s="86" t="str">
        <f>IF(AND(A1321="",D1321="",E1321="",F1321=""),"",IF(D1321="","SEM CATEGORIA",IF(E1321="","SEM SUBCATEGORIA",IF(COUNTIFS(CADASTROS!$L$7:$L$93,D1321,CADASTROS!$D$7:$D$93,E1321)=0,"INCOMPATÍVEL","OK"))))</f>
        <v/>
      </c>
    </row>
    <row r="1322" spans="1:11" ht="30" hidden="1" customHeight="1" x14ac:dyDescent="0.25">
      <c r="A1322" s="86" t="str">
        <f>IF(COUNTIF(EXTRATO!$A$2:$A$3000,"BAN-01179")=0,"","BAN-01179")</f>
        <v/>
      </c>
      <c r="B1322" s="85" t="str">
        <f>IF(A1322="","",IF(INDEX(EXTRATO!$C$2:$C$3000,MATCH($A1322,EXTRATO!$A$2:$A$3000,0))="","",INDEX(EXTRATO!$C$2:$C$3000,MATCH($A1322,EXTRATO!$A$2:$A$3000,0))))</f>
        <v/>
      </c>
      <c r="C1322" s="86" t="str">
        <f t="shared" si="28"/>
        <v/>
      </c>
      <c r="D1322" s="81"/>
      <c r="E1322" s="79"/>
      <c r="F1322" s="80" t="str">
        <f>IF(A1322="","",SUMIF(EXTRATO!$A$2:$A$3000,$A1322,EXTRATO!$J$2:$J$3000)+SUMIF(EXTRATO!$A$2:$A$3000,$A1322,EXTRATO!$K$2:$K$3000)+SUMIF(EXTRATO!$A$2:$A$3000,$A1322,EXTRATO!$L$2:$L$3000)+SUMIF(EXTRATO!$A$2:$A$3000,$A1322,EXTRATO!$M$2:$M$3000))</f>
        <v/>
      </c>
      <c r="G1322" s="81" t="str">
        <f>IF(A1322="","",IF(INDEX(EXTRATO!$G$2:$G$3000,MATCH($A1322,EXTRATO!$A$2:$A$3000,0))="","",INDEX(EXTRATO!$G$2:$G$3000,MATCH($A1322,EXTRATO!$A$2:$A$3000,0))))</f>
        <v/>
      </c>
      <c r="H1322" s="86" t="str">
        <f>IF(A1322="","",IF(INDEX(EXTRATO!$F$2:$F$3000,MATCH($A1322,EXTRATO!$A$2:$A$3000,0))="","",INDEX(EXTRATO!$F$2:$F$3000,MATCH($A1322,EXTRATO!$A$2:$A$3000,0))))</f>
        <v/>
      </c>
      <c r="I1322" s="88" t="str">
        <f>IF(A1322="","",IF(INDEX(EXTRATO!$H$2:$H$3000,MATCH($A1322,EXTRATO!$A$2:$A$3000,0))="","",INDEX(EXTRATO!$H$2:$H$3000,MATCH($A1322,EXTRATO!$A$2:$A$3000,0))))</f>
        <v/>
      </c>
      <c r="J1322" s="86" t="str">
        <f t="shared" si="27"/>
        <v/>
      </c>
      <c r="K1322" s="86" t="str">
        <f>IF(AND(A1322="",D1322="",E1322="",F1322=""),"",IF(D1322="","SEM CATEGORIA",IF(E1322="","SEM SUBCATEGORIA",IF(COUNTIFS(CADASTROS!$L$7:$L$93,D1322,CADASTROS!$D$7:$D$93,E1322)=0,"INCOMPATÍVEL","OK"))))</f>
        <v/>
      </c>
    </row>
    <row r="1323" spans="1:11" ht="30" hidden="1" customHeight="1" x14ac:dyDescent="0.25">
      <c r="A1323" s="86" t="str">
        <f>IF(COUNTIF(EXTRATO!$A$2:$A$3000,"BAN-01180")=0,"","BAN-01180")</f>
        <v/>
      </c>
      <c r="B1323" s="85" t="str">
        <f>IF(A1323="","",IF(INDEX(EXTRATO!$C$2:$C$3000,MATCH($A1323,EXTRATO!$A$2:$A$3000,0))="","",INDEX(EXTRATO!$C$2:$C$3000,MATCH($A1323,EXTRATO!$A$2:$A$3000,0))))</f>
        <v/>
      </c>
      <c r="C1323" s="86" t="str">
        <f t="shared" si="28"/>
        <v/>
      </c>
      <c r="D1323" s="81"/>
      <c r="E1323" s="79"/>
      <c r="F1323" s="80" t="str">
        <f>IF(A1323="","",SUMIF(EXTRATO!$A$2:$A$3000,$A1323,EXTRATO!$J$2:$J$3000)+SUMIF(EXTRATO!$A$2:$A$3000,$A1323,EXTRATO!$K$2:$K$3000)+SUMIF(EXTRATO!$A$2:$A$3000,$A1323,EXTRATO!$L$2:$L$3000)+SUMIF(EXTRATO!$A$2:$A$3000,$A1323,EXTRATO!$M$2:$M$3000))</f>
        <v/>
      </c>
      <c r="G1323" s="81" t="str">
        <f>IF(A1323="","",IF(INDEX(EXTRATO!$G$2:$G$3000,MATCH($A1323,EXTRATO!$A$2:$A$3000,0))="","",INDEX(EXTRATO!$G$2:$G$3000,MATCH($A1323,EXTRATO!$A$2:$A$3000,0))))</f>
        <v/>
      </c>
      <c r="H1323" s="86" t="str">
        <f>IF(A1323="","",IF(INDEX(EXTRATO!$F$2:$F$3000,MATCH($A1323,EXTRATO!$A$2:$A$3000,0))="","",INDEX(EXTRATO!$F$2:$F$3000,MATCH($A1323,EXTRATO!$A$2:$A$3000,0))))</f>
        <v/>
      </c>
      <c r="I1323" s="88" t="str">
        <f>IF(A1323="","",IF(INDEX(EXTRATO!$H$2:$H$3000,MATCH($A1323,EXTRATO!$A$2:$A$3000,0))="","",INDEX(EXTRATO!$H$2:$H$3000,MATCH($A1323,EXTRATO!$A$2:$A$3000,0))))</f>
        <v/>
      </c>
      <c r="J1323" s="86" t="str">
        <f t="shared" si="27"/>
        <v/>
      </c>
      <c r="K1323" s="86" t="str">
        <f>IF(AND(A1323="",D1323="",E1323="",F1323=""),"",IF(D1323="","SEM CATEGORIA",IF(E1323="","SEM SUBCATEGORIA",IF(COUNTIFS(CADASTROS!$L$7:$L$93,D1323,CADASTROS!$D$7:$D$93,E1323)=0,"INCOMPATÍVEL","OK"))))</f>
        <v/>
      </c>
    </row>
    <row r="1324" spans="1:11" ht="30" hidden="1" customHeight="1" x14ac:dyDescent="0.25">
      <c r="A1324" s="86" t="str">
        <f>IF(COUNTIF(EXTRATO!$A$2:$A$3000,"BAN-01181")=0,"","BAN-01181")</f>
        <v/>
      </c>
      <c r="B1324" s="85" t="str">
        <f>IF(A1324="","",IF(INDEX(EXTRATO!$C$2:$C$3000,MATCH($A1324,EXTRATO!$A$2:$A$3000,0))="","",INDEX(EXTRATO!$C$2:$C$3000,MATCH($A1324,EXTRATO!$A$2:$A$3000,0))))</f>
        <v/>
      </c>
      <c r="C1324" s="86" t="str">
        <f t="shared" si="28"/>
        <v/>
      </c>
      <c r="D1324" s="81"/>
      <c r="E1324" s="79"/>
      <c r="F1324" s="80" t="str">
        <f>IF(A1324="","",SUMIF(EXTRATO!$A$2:$A$3000,$A1324,EXTRATO!$J$2:$J$3000)+SUMIF(EXTRATO!$A$2:$A$3000,$A1324,EXTRATO!$K$2:$K$3000)+SUMIF(EXTRATO!$A$2:$A$3000,$A1324,EXTRATO!$L$2:$L$3000)+SUMIF(EXTRATO!$A$2:$A$3000,$A1324,EXTRATO!$M$2:$M$3000))</f>
        <v/>
      </c>
      <c r="G1324" s="81" t="str">
        <f>IF(A1324="","",IF(INDEX(EXTRATO!$G$2:$G$3000,MATCH($A1324,EXTRATO!$A$2:$A$3000,0))="","",INDEX(EXTRATO!$G$2:$G$3000,MATCH($A1324,EXTRATO!$A$2:$A$3000,0))))</f>
        <v/>
      </c>
      <c r="H1324" s="86" t="str">
        <f>IF(A1324="","",IF(INDEX(EXTRATO!$F$2:$F$3000,MATCH($A1324,EXTRATO!$A$2:$A$3000,0))="","",INDEX(EXTRATO!$F$2:$F$3000,MATCH($A1324,EXTRATO!$A$2:$A$3000,0))))</f>
        <v/>
      </c>
      <c r="I1324" s="88" t="str">
        <f>IF(A1324="","",IF(INDEX(EXTRATO!$H$2:$H$3000,MATCH($A1324,EXTRATO!$A$2:$A$3000,0))="","",INDEX(EXTRATO!$H$2:$H$3000,MATCH($A1324,EXTRATO!$A$2:$A$3000,0))))</f>
        <v/>
      </c>
      <c r="J1324" s="86" t="str">
        <f t="shared" ref="J1324:J1387" si="29">IF(A1324="","",IF(K1324="OK","MANUAL","PENDENTE"))</f>
        <v/>
      </c>
      <c r="K1324" s="86" t="str">
        <f>IF(AND(A1324="",D1324="",E1324="",F1324=""),"",IF(D1324="","SEM CATEGORIA",IF(E1324="","SEM SUBCATEGORIA",IF(COUNTIFS(CADASTROS!$L$7:$L$93,D1324,CADASTROS!$D$7:$D$93,E1324)=0,"INCOMPATÍVEL","OK"))))</f>
        <v/>
      </c>
    </row>
    <row r="1325" spans="1:11" ht="30" hidden="1" customHeight="1" x14ac:dyDescent="0.25">
      <c r="A1325" s="86" t="str">
        <f>IF(COUNTIF(EXTRATO!$A$2:$A$3000,"BAN-01182")=0,"","BAN-01182")</f>
        <v/>
      </c>
      <c r="B1325" s="85" t="str">
        <f>IF(A1325="","",IF(INDEX(EXTRATO!$C$2:$C$3000,MATCH($A1325,EXTRATO!$A$2:$A$3000,0))="","",INDEX(EXTRATO!$C$2:$C$3000,MATCH($A1325,EXTRATO!$A$2:$A$3000,0))))</f>
        <v/>
      </c>
      <c r="C1325" s="86" t="str">
        <f t="shared" si="28"/>
        <v/>
      </c>
      <c r="D1325" s="81"/>
      <c r="E1325" s="79"/>
      <c r="F1325" s="80" t="str">
        <f>IF(A1325="","",SUMIF(EXTRATO!$A$2:$A$3000,$A1325,EXTRATO!$J$2:$J$3000)+SUMIF(EXTRATO!$A$2:$A$3000,$A1325,EXTRATO!$K$2:$K$3000)+SUMIF(EXTRATO!$A$2:$A$3000,$A1325,EXTRATO!$L$2:$L$3000)+SUMIF(EXTRATO!$A$2:$A$3000,$A1325,EXTRATO!$M$2:$M$3000))</f>
        <v/>
      </c>
      <c r="G1325" s="81" t="str">
        <f>IF(A1325="","",IF(INDEX(EXTRATO!$G$2:$G$3000,MATCH($A1325,EXTRATO!$A$2:$A$3000,0))="","",INDEX(EXTRATO!$G$2:$G$3000,MATCH($A1325,EXTRATO!$A$2:$A$3000,0))))</f>
        <v/>
      </c>
      <c r="H1325" s="86" t="str">
        <f>IF(A1325="","",IF(INDEX(EXTRATO!$F$2:$F$3000,MATCH($A1325,EXTRATO!$A$2:$A$3000,0))="","",INDEX(EXTRATO!$F$2:$F$3000,MATCH($A1325,EXTRATO!$A$2:$A$3000,0))))</f>
        <v/>
      </c>
      <c r="I1325" s="88" t="str">
        <f>IF(A1325="","",IF(INDEX(EXTRATO!$H$2:$H$3000,MATCH($A1325,EXTRATO!$A$2:$A$3000,0))="","",INDEX(EXTRATO!$H$2:$H$3000,MATCH($A1325,EXTRATO!$A$2:$A$3000,0))))</f>
        <v/>
      </c>
      <c r="J1325" s="86" t="str">
        <f t="shared" si="29"/>
        <v/>
      </c>
      <c r="K1325" s="86" t="str">
        <f>IF(AND(A1325="",D1325="",E1325="",F1325=""),"",IF(D1325="","SEM CATEGORIA",IF(E1325="","SEM SUBCATEGORIA",IF(COUNTIFS(CADASTROS!$L$7:$L$93,D1325,CADASTROS!$D$7:$D$93,E1325)=0,"INCOMPATÍVEL","OK"))))</f>
        <v/>
      </c>
    </row>
    <row r="1326" spans="1:11" ht="30" hidden="1" customHeight="1" x14ac:dyDescent="0.25">
      <c r="A1326" s="86" t="str">
        <f>IF(COUNTIF(EXTRATO!$A$2:$A$3000,"BAN-01183")=0,"","BAN-01183")</f>
        <v/>
      </c>
      <c r="B1326" s="85" t="str">
        <f>IF(A1326="","",IF(INDEX(EXTRATO!$C$2:$C$3000,MATCH($A1326,EXTRATO!$A$2:$A$3000,0))="","",INDEX(EXTRATO!$C$2:$C$3000,MATCH($A1326,EXTRATO!$A$2:$A$3000,0))))</f>
        <v/>
      </c>
      <c r="C1326" s="86" t="str">
        <f t="shared" si="28"/>
        <v/>
      </c>
      <c r="D1326" s="81"/>
      <c r="E1326" s="79"/>
      <c r="F1326" s="80" t="str">
        <f>IF(A1326="","",SUMIF(EXTRATO!$A$2:$A$3000,$A1326,EXTRATO!$J$2:$J$3000)+SUMIF(EXTRATO!$A$2:$A$3000,$A1326,EXTRATO!$K$2:$K$3000)+SUMIF(EXTRATO!$A$2:$A$3000,$A1326,EXTRATO!$L$2:$L$3000)+SUMIF(EXTRATO!$A$2:$A$3000,$A1326,EXTRATO!$M$2:$M$3000))</f>
        <v/>
      </c>
      <c r="G1326" s="81" t="str">
        <f>IF(A1326="","",IF(INDEX(EXTRATO!$G$2:$G$3000,MATCH($A1326,EXTRATO!$A$2:$A$3000,0))="","",INDEX(EXTRATO!$G$2:$G$3000,MATCH($A1326,EXTRATO!$A$2:$A$3000,0))))</f>
        <v/>
      </c>
      <c r="H1326" s="86" t="str">
        <f>IF(A1326="","",IF(INDEX(EXTRATO!$F$2:$F$3000,MATCH($A1326,EXTRATO!$A$2:$A$3000,0))="","",INDEX(EXTRATO!$F$2:$F$3000,MATCH($A1326,EXTRATO!$A$2:$A$3000,0))))</f>
        <v/>
      </c>
      <c r="I1326" s="88" t="str">
        <f>IF(A1326="","",IF(INDEX(EXTRATO!$H$2:$H$3000,MATCH($A1326,EXTRATO!$A$2:$A$3000,0))="","",INDEX(EXTRATO!$H$2:$H$3000,MATCH($A1326,EXTRATO!$A$2:$A$3000,0))))</f>
        <v/>
      </c>
      <c r="J1326" s="86" t="str">
        <f t="shared" si="29"/>
        <v/>
      </c>
      <c r="K1326" s="86" t="str">
        <f>IF(AND(A1326="",D1326="",E1326="",F1326=""),"",IF(D1326="","SEM CATEGORIA",IF(E1326="","SEM SUBCATEGORIA",IF(COUNTIFS(CADASTROS!$L$7:$L$93,D1326,CADASTROS!$D$7:$D$93,E1326)=0,"INCOMPATÍVEL","OK"))))</f>
        <v/>
      </c>
    </row>
    <row r="1327" spans="1:11" ht="30" hidden="1" customHeight="1" x14ac:dyDescent="0.25">
      <c r="A1327" s="86" t="str">
        <f>IF(COUNTIF(EXTRATO!$A$2:$A$3000,"BAN-01184")=0,"","BAN-01184")</f>
        <v/>
      </c>
      <c r="B1327" s="85" t="str">
        <f>IF(A1327="","",IF(INDEX(EXTRATO!$C$2:$C$3000,MATCH($A1327,EXTRATO!$A$2:$A$3000,0))="","",INDEX(EXTRATO!$C$2:$C$3000,MATCH($A1327,EXTRATO!$A$2:$A$3000,0))))</f>
        <v/>
      </c>
      <c r="C1327" s="86" t="str">
        <f t="shared" si="28"/>
        <v/>
      </c>
      <c r="D1327" s="81"/>
      <c r="E1327" s="79"/>
      <c r="F1327" s="80" t="str">
        <f>IF(A1327="","",SUMIF(EXTRATO!$A$2:$A$3000,$A1327,EXTRATO!$J$2:$J$3000)+SUMIF(EXTRATO!$A$2:$A$3000,$A1327,EXTRATO!$K$2:$K$3000)+SUMIF(EXTRATO!$A$2:$A$3000,$A1327,EXTRATO!$L$2:$L$3000)+SUMIF(EXTRATO!$A$2:$A$3000,$A1327,EXTRATO!$M$2:$M$3000))</f>
        <v/>
      </c>
      <c r="G1327" s="81" t="str">
        <f>IF(A1327="","",IF(INDEX(EXTRATO!$G$2:$G$3000,MATCH($A1327,EXTRATO!$A$2:$A$3000,0))="","",INDEX(EXTRATO!$G$2:$G$3000,MATCH($A1327,EXTRATO!$A$2:$A$3000,0))))</f>
        <v/>
      </c>
      <c r="H1327" s="86" t="str">
        <f>IF(A1327="","",IF(INDEX(EXTRATO!$F$2:$F$3000,MATCH($A1327,EXTRATO!$A$2:$A$3000,0))="","",INDEX(EXTRATO!$F$2:$F$3000,MATCH($A1327,EXTRATO!$A$2:$A$3000,0))))</f>
        <v/>
      </c>
      <c r="I1327" s="88" t="str">
        <f>IF(A1327="","",IF(INDEX(EXTRATO!$H$2:$H$3000,MATCH($A1327,EXTRATO!$A$2:$A$3000,0))="","",INDEX(EXTRATO!$H$2:$H$3000,MATCH($A1327,EXTRATO!$A$2:$A$3000,0))))</f>
        <v/>
      </c>
      <c r="J1327" s="86" t="str">
        <f t="shared" si="29"/>
        <v/>
      </c>
      <c r="K1327" s="86" t="str">
        <f>IF(AND(A1327="",D1327="",E1327="",F1327=""),"",IF(D1327="","SEM CATEGORIA",IF(E1327="","SEM SUBCATEGORIA",IF(COUNTIFS(CADASTROS!$L$7:$L$93,D1327,CADASTROS!$D$7:$D$93,E1327)=0,"INCOMPATÍVEL","OK"))))</f>
        <v/>
      </c>
    </row>
    <row r="1328" spans="1:11" ht="30" hidden="1" customHeight="1" x14ac:dyDescent="0.25">
      <c r="A1328" s="86" t="str">
        <f>IF(COUNTIF(EXTRATO!$A$2:$A$3000,"BAN-01185")=0,"","BAN-01185")</f>
        <v/>
      </c>
      <c r="B1328" s="85" t="str">
        <f>IF(A1328="","",IF(INDEX(EXTRATO!$C$2:$C$3000,MATCH($A1328,EXTRATO!$A$2:$A$3000,0))="","",INDEX(EXTRATO!$C$2:$C$3000,MATCH($A1328,EXTRATO!$A$2:$A$3000,0))))</f>
        <v/>
      </c>
      <c r="C1328" s="86" t="str">
        <f t="shared" si="28"/>
        <v/>
      </c>
      <c r="D1328" s="81"/>
      <c r="E1328" s="79"/>
      <c r="F1328" s="80" t="str">
        <f>IF(A1328="","",SUMIF(EXTRATO!$A$2:$A$3000,$A1328,EXTRATO!$J$2:$J$3000)+SUMIF(EXTRATO!$A$2:$A$3000,$A1328,EXTRATO!$K$2:$K$3000)+SUMIF(EXTRATO!$A$2:$A$3000,$A1328,EXTRATO!$L$2:$L$3000)+SUMIF(EXTRATO!$A$2:$A$3000,$A1328,EXTRATO!$M$2:$M$3000))</f>
        <v/>
      </c>
      <c r="G1328" s="81" t="str">
        <f>IF(A1328="","",IF(INDEX(EXTRATO!$G$2:$G$3000,MATCH($A1328,EXTRATO!$A$2:$A$3000,0))="","",INDEX(EXTRATO!$G$2:$G$3000,MATCH($A1328,EXTRATO!$A$2:$A$3000,0))))</f>
        <v/>
      </c>
      <c r="H1328" s="86" t="str">
        <f>IF(A1328="","",IF(INDEX(EXTRATO!$F$2:$F$3000,MATCH($A1328,EXTRATO!$A$2:$A$3000,0))="","",INDEX(EXTRATO!$F$2:$F$3000,MATCH($A1328,EXTRATO!$A$2:$A$3000,0))))</f>
        <v/>
      </c>
      <c r="I1328" s="88" t="str">
        <f>IF(A1328="","",IF(INDEX(EXTRATO!$H$2:$H$3000,MATCH($A1328,EXTRATO!$A$2:$A$3000,0))="","",INDEX(EXTRATO!$H$2:$H$3000,MATCH($A1328,EXTRATO!$A$2:$A$3000,0))))</f>
        <v/>
      </c>
      <c r="J1328" s="86" t="str">
        <f t="shared" si="29"/>
        <v/>
      </c>
      <c r="K1328" s="86" t="str">
        <f>IF(AND(A1328="",D1328="",E1328="",F1328=""),"",IF(D1328="","SEM CATEGORIA",IF(E1328="","SEM SUBCATEGORIA",IF(COUNTIFS(CADASTROS!$L$7:$L$93,D1328,CADASTROS!$D$7:$D$93,E1328)=0,"INCOMPATÍVEL","OK"))))</f>
        <v/>
      </c>
    </row>
    <row r="1329" spans="1:11" ht="30" hidden="1" customHeight="1" x14ac:dyDescent="0.25">
      <c r="A1329" s="86" t="str">
        <f>IF(COUNTIF(EXTRATO!$A$2:$A$3000,"BAN-01186")=0,"","BAN-01186")</f>
        <v/>
      </c>
      <c r="B1329" s="85" t="str">
        <f>IF(A1329="","",IF(INDEX(EXTRATO!$C$2:$C$3000,MATCH($A1329,EXTRATO!$A$2:$A$3000,0))="","",INDEX(EXTRATO!$C$2:$C$3000,MATCH($A1329,EXTRATO!$A$2:$A$3000,0))))</f>
        <v/>
      </c>
      <c r="C1329" s="86" t="str">
        <f t="shared" si="28"/>
        <v/>
      </c>
      <c r="D1329" s="81"/>
      <c r="E1329" s="79"/>
      <c r="F1329" s="80" t="str">
        <f>IF(A1329="","",SUMIF(EXTRATO!$A$2:$A$3000,$A1329,EXTRATO!$J$2:$J$3000)+SUMIF(EXTRATO!$A$2:$A$3000,$A1329,EXTRATO!$K$2:$K$3000)+SUMIF(EXTRATO!$A$2:$A$3000,$A1329,EXTRATO!$L$2:$L$3000)+SUMIF(EXTRATO!$A$2:$A$3000,$A1329,EXTRATO!$M$2:$M$3000))</f>
        <v/>
      </c>
      <c r="G1329" s="81" t="str">
        <f>IF(A1329="","",IF(INDEX(EXTRATO!$G$2:$G$3000,MATCH($A1329,EXTRATO!$A$2:$A$3000,0))="","",INDEX(EXTRATO!$G$2:$G$3000,MATCH($A1329,EXTRATO!$A$2:$A$3000,0))))</f>
        <v/>
      </c>
      <c r="H1329" s="86" t="str">
        <f>IF(A1329="","",IF(INDEX(EXTRATO!$F$2:$F$3000,MATCH($A1329,EXTRATO!$A$2:$A$3000,0))="","",INDEX(EXTRATO!$F$2:$F$3000,MATCH($A1329,EXTRATO!$A$2:$A$3000,0))))</f>
        <v/>
      </c>
      <c r="I1329" s="88" t="str">
        <f>IF(A1329="","",IF(INDEX(EXTRATO!$H$2:$H$3000,MATCH($A1329,EXTRATO!$A$2:$A$3000,0))="","",INDEX(EXTRATO!$H$2:$H$3000,MATCH($A1329,EXTRATO!$A$2:$A$3000,0))))</f>
        <v/>
      </c>
      <c r="J1329" s="86" t="str">
        <f t="shared" si="29"/>
        <v/>
      </c>
      <c r="K1329" s="86" t="str">
        <f>IF(AND(A1329="",D1329="",E1329="",F1329=""),"",IF(D1329="","SEM CATEGORIA",IF(E1329="","SEM SUBCATEGORIA",IF(COUNTIFS(CADASTROS!$L$7:$L$93,D1329,CADASTROS!$D$7:$D$93,E1329)=0,"INCOMPATÍVEL","OK"))))</f>
        <v/>
      </c>
    </row>
    <row r="1330" spans="1:11" ht="30" hidden="1" customHeight="1" x14ac:dyDescent="0.25">
      <c r="A1330" s="86" t="str">
        <f>IF(COUNTIF(EXTRATO!$A$2:$A$3000,"BAN-01187")=0,"","BAN-01187")</f>
        <v/>
      </c>
      <c r="B1330" s="85" t="str">
        <f>IF(A1330="","",IF(INDEX(EXTRATO!$C$2:$C$3000,MATCH($A1330,EXTRATO!$A$2:$A$3000,0))="","",INDEX(EXTRATO!$C$2:$C$3000,MATCH($A1330,EXTRATO!$A$2:$A$3000,0))))</f>
        <v/>
      </c>
      <c r="C1330" s="86" t="str">
        <f t="shared" si="28"/>
        <v/>
      </c>
      <c r="D1330" s="81"/>
      <c r="E1330" s="79"/>
      <c r="F1330" s="80" t="str">
        <f>IF(A1330="","",SUMIF(EXTRATO!$A$2:$A$3000,$A1330,EXTRATO!$J$2:$J$3000)+SUMIF(EXTRATO!$A$2:$A$3000,$A1330,EXTRATO!$K$2:$K$3000)+SUMIF(EXTRATO!$A$2:$A$3000,$A1330,EXTRATO!$L$2:$L$3000)+SUMIF(EXTRATO!$A$2:$A$3000,$A1330,EXTRATO!$M$2:$M$3000))</f>
        <v/>
      </c>
      <c r="G1330" s="81" t="str">
        <f>IF(A1330="","",IF(INDEX(EXTRATO!$G$2:$G$3000,MATCH($A1330,EXTRATO!$A$2:$A$3000,0))="","",INDEX(EXTRATO!$G$2:$G$3000,MATCH($A1330,EXTRATO!$A$2:$A$3000,0))))</f>
        <v/>
      </c>
      <c r="H1330" s="86" t="str">
        <f>IF(A1330="","",IF(INDEX(EXTRATO!$F$2:$F$3000,MATCH($A1330,EXTRATO!$A$2:$A$3000,0))="","",INDEX(EXTRATO!$F$2:$F$3000,MATCH($A1330,EXTRATO!$A$2:$A$3000,0))))</f>
        <v/>
      </c>
      <c r="I1330" s="88" t="str">
        <f>IF(A1330="","",IF(INDEX(EXTRATO!$H$2:$H$3000,MATCH($A1330,EXTRATO!$A$2:$A$3000,0))="","",INDEX(EXTRATO!$H$2:$H$3000,MATCH($A1330,EXTRATO!$A$2:$A$3000,0))))</f>
        <v/>
      </c>
      <c r="J1330" s="86" t="str">
        <f t="shared" si="29"/>
        <v/>
      </c>
      <c r="K1330" s="86" t="str">
        <f>IF(AND(A1330="",D1330="",E1330="",F1330=""),"",IF(D1330="","SEM CATEGORIA",IF(E1330="","SEM SUBCATEGORIA",IF(COUNTIFS(CADASTROS!$L$7:$L$93,D1330,CADASTROS!$D$7:$D$93,E1330)=0,"INCOMPATÍVEL","OK"))))</f>
        <v/>
      </c>
    </row>
    <row r="1331" spans="1:11" ht="30" hidden="1" customHeight="1" x14ac:dyDescent="0.25">
      <c r="A1331" s="86" t="str">
        <f>IF(COUNTIF(EXTRATO!$A$2:$A$3000,"BAN-01188")=0,"","BAN-01188")</f>
        <v/>
      </c>
      <c r="B1331" s="85" t="str">
        <f>IF(A1331="","",IF(INDEX(EXTRATO!$C$2:$C$3000,MATCH($A1331,EXTRATO!$A$2:$A$3000,0))="","",INDEX(EXTRATO!$C$2:$C$3000,MATCH($A1331,EXTRATO!$A$2:$A$3000,0))))</f>
        <v/>
      </c>
      <c r="C1331" s="86" t="str">
        <f t="shared" si="28"/>
        <v/>
      </c>
      <c r="D1331" s="81"/>
      <c r="E1331" s="79"/>
      <c r="F1331" s="80" t="str">
        <f>IF(A1331="","",SUMIF(EXTRATO!$A$2:$A$3000,$A1331,EXTRATO!$J$2:$J$3000)+SUMIF(EXTRATO!$A$2:$A$3000,$A1331,EXTRATO!$K$2:$K$3000)+SUMIF(EXTRATO!$A$2:$A$3000,$A1331,EXTRATO!$L$2:$L$3000)+SUMIF(EXTRATO!$A$2:$A$3000,$A1331,EXTRATO!$M$2:$M$3000))</f>
        <v/>
      </c>
      <c r="G1331" s="81" t="str">
        <f>IF(A1331="","",IF(INDEX(EXTRATO!$G$2:$G$3000,MATCH($A1331,EXTRATO!$A$2:$A$3000,0))="","",INDEX(EXTRATO!$G$2:$G$3000,MATCH($A1331,EXTRATO!$A$2:$A$3000,0))))</f>
        <v/>
      </c>
      <c r="H1331" s="86" t="str">
        <f>IF(A1331="","",IF(INDEX(EXTRATO!$F$2:$F$3000,MATCH($A1331,EXTRATO!$A$2:$A$3000,0))="","",INDEX(EXTRATO!$F$2:$F$3000,MATCH($A1331,EXTRATO!$A$2:$A$3000,0))))</f>
        <v/>
      </c>
      <c r="I1331" s="88" t="str">
        <f>IF(A1331="","",IF(INDEX(EXTRATO!$H$2:$H$3000,MATCH($A1331,EXTRATO!$A$2:$A$3000,0))="","",INDEX(EXTRATO!$H$2:$H$3000,MATCH($A1331,EXTRATO!$A$2:$A$3000,0))))</f>
        <v/>
      </c>
      <c r="J1331" s="86" t="str">
        <f t="shared" si="29"/>
        <v/>
      </c>
      <c r="K1331" s="86" t="str">
        <f>IF(AND(A1331="",D1331="",E1331="",F1331=""),"",IF(D1331="","SEM CATEGORIA",IF(E1331="","SEM SUBCATEGORIA",IF(COUNTIFS(CADASTROS!$L$7:$L$93,D1331,CADASTROS!$D$7:$D$93,E1331)=0,"INCOMPATÍVEL","OK"))))</f>
        <v/>
      </c>
    </row>
    <row r="1332" spans="1:11" ht="30" hidden="1" customHeight="1" x14ac:dyDescent="0.25">
      <c r="A1332" s="86" t="str">
        <f>IF(COUNTIF(EXTRATO!$A$2:$A$3000,"BAN-01189")=0,"","BAN-01189")</f>
        <v/>
      </c>
      <c r="B1332" s="85" t="str">
        <f>IF(A1332="","",IF(INDEX(EXTRATO!$C$2:$C$3000,MATCH($A1332,EXTRATO!$A$2:$A$3000,0))="","",INDEX(EXTRATO!$C$2:$C$3000,MATCH($A1332,EXTRATO!$A$2:$A$3000,0))))</f>
        <v/>
      </c>
      <c r="C1332" s="86" t="str">
        <f t="shared" si="28"/>
        <v/>
      </c>
      <c r="D1332" s="81"/>
      <c r="E1332" s="79"/>
      <c r="F1332" s="80" t="str">
        <f>IF(A1332="","",SUMIF(EXTRATO!$A$2:$A$3000,$A1332,EXTRATO!$J$2:$J$3000)+SUMIF(EXTRATO!$A$2:$A$3000,$A1332,EXTRATO!$K$2:$K$3000)+SUMIF(EXTRATO!$A$2:$A$3000,$A1332,EXTRATO!$L$2:$L$3000)+SUMIF(EXTRATO!$A$2:$A$3000,$A1332,EXTRATO!$M$2:$M$3000))</f>
        <v/>
      </c>
      <c r="G1332" s="81" t="str">
        <f>IF(A1332="","",IF(INDEX(EXTRATO!$G$2:$G$3000,MATCH($A1332,EXTRATO!$A$2:$A$3000,0))="","",INDEX(EXTRATO!$G$2:$G$3000,MATCH($A1332,EXTRATO!$A$2:$A$3000,0))))</f>
        <v/>
      </c>
      <c r="H1332" s="86" t="str">
        <f>IF(A1332="","",IF(INDEX(EXTRATO!$F$2:$F$3000,MATCH($A1332,EXTRATO!$A$2:$A$3000,0))="","",INDEX(EXTRATO!$F$2:$F$3000,MATCH($A1332,EXTRATO!$A$2:$A$3000,0))))</f>
        <v/>
      </c>
      <c r="I1332" s="88" t="str">
        <f>IF(A1332="","",IF(INDEX(EXTRATO!$H$2:$H$3000,MATCH($A1332,EXTRATO!$A$2:$A$3000,0))="","",INDEX(EXTRATO!$H$2:$H$3000,MATCH($A1332,EXTRATO!$A$2:$A$3000,0))))</f>
        <v/>
      </c>
      <c r="J1332" s="86" t="str">
        <f t="shared" si="29"/>
        <v/>
      </c>
      <c r="K1332" s="86" t="str">
        <f>IF(AND(A1332="",D1332="",E1332="",F1332=""),"",IF(D1332="","SEM CATEGORIA",IF(E1332="","SEM SUBCATEGORIA",IF(COUNTIFS(CADASTROS!$L$7:$L$93,D1332,CADASTROS!$D$7:$D$93,E1332)=0,"INCOMPATÍVEL","OK"))))</f>
        <v/>
      </c>
    </row>
    <row r="1333" spans="1:11" ht="30" hidden="1" customHeight="1" x14ac:dyDescent="0.25">
      <c r="A1333" s="86" t="str">
        <f>IF(COUNTIF(EXTRATO!$A$2:$A$3000,"BAN-01190")=0,"","BAN-01190")</f>
        <v/>
      </c>
      <c r="B1333" s="85" t="str">
        <f>IF(A1333="","",IF(INDEX(EXTRATO!$C$2:$C$3000,MATCH($A1333,EXTRATO!$A$2:$A$3000,0))="","",INDEX(EXTRATO!$C$2:$C$3000,MATCH($A1333,EXTRATO!$A$2:$A$3000,0))))</f>
        <v/>
      </c>
      <c r="C1333" s="86" t="str">
        <f t="shared" si="28"/>
        <v/>
      </c>
      <c r="D1333" s="81"/>
      <c r="E1333" s="79"/>
      <c r="F1333" s="80" t="str">
        <f>IF(A1333="","",SUMIF(EXTRATO!$A$2:$A$3000,$A1333,EXTRATO!$J$2:$J$3000)+SUMIF(EXTRATO!$A$2:$A$3000,$A1333,EXTRATO!$K$2:$K$3000)+SUMIF(EXTRATO!$A$2:$A$3000,$A1333,EXTRATO!$L$2:$L$3000)+SUMIF(EXTRATO!$A$2:$A$3000,$A1333,EXTRATO!$M$2:$M$3000))</f>
        <v/>
      </c>
      <c r="G1333" s="81" t="str">
        <f>IF(A1333="","",IF(INDEX(EXTRATO!$G$2:$G$3000,MATCH($A1333,EXTRATO!$A$2:$A$3000,0))="","",INDEX(EXTRATO!$G$2:$G$3000,MATCH($A1333,EXTRATO!$A$2:$A$3000,0))))</f>
        <v/>
      </c>
      <c r="H1333" s="86" t="str">
        <f>IF(A1333="","",IF(INDEX(EXTRATO!$F$2:$F$3000,MATCH($A1333,EXTRATO!$A$2:$A$3000,0))="","",INDEX(EXTRATO!$F$2:$F$3000,MATCH($A1333,EXTRATO!$A$2:$A$3000,0))))</f>
        <v/>
      </c>
      <c r="I1333" s="88" t="str">
        <f>IF(A1333="","",IF(INDEX(EXTRATO!$H$2:$H$3000,MATCH($A1333,EXTRATO!$A$2:$A$3000,0))="","",INDEX(EXTRATO!$H$2:$H$3000,MATCH($A1333,EXTRATO!$A$2:$A$3000,0))))</f>
        <v/>
      </c>
      <c r="J1333" s="86" t="str">
        <f t="shared" si="29"/>
        <v/>
      </c>
      <c r="K1333" s="86" t="str">
        <f>IF(AND(A1333="",D1333="",E1333="",F1333=""),"",IF(D1333="","SEM CATEGORIA",IF(E1333="","SEM SUBCATEGORIA",IF(COUNTIFS(CADASTROS!$L$7:$L$93,D1333,CADASTROS!$D$7:$D$93,E1333)=0,"INCOMPATÍVEL","OK"))))</f>
        <v/>
      </c>
    </row>
    <row r="1334" spans="1:11" ht="30" hidden="1" customHeight="1" x14ac:dyDescent="0.25">
      <c r="A1334" s="86" t="str">
        <f>IF(COUNTIF(EXTRATO!$A$2:$A$3000,"BAN-01191")=0,"","BAN-01191")</f>
        <v/>
      </c>
      <c r="B1334" s="85" t="str">
        <f>IF(A1334="","",IF(INDEX(EXTRATO!$C$2:$C$3000,MATCH($A1334,EXTRATO!$A$2:$A$3000,0))="","",INDEX(EXTRATO!$C$2:$C$3000,MATCH($A1334,EXTRATO!$A$2:$A$3000,0))))</f>
        <v/>
      </c>
      <c r="C1334" s="86" t="str">
        <f t="shared" si="28"/>
        <v/>
      </c>
      <c r="D1334" s="81"/>
      <c r="E1334" s="79"/>
      <c r="F1334" s="80" t="str">
        <f>IF(A1334="","",SUMIF(EXTRATO!$A$2:$A$3000,$A1334,EXTRATO!$J$2:$J$3000)+SUMIF(EXTRATO!$A$2:$A$3000,$A1334,EXTRATO!$K$2:$K$3000)+SUMIF(EXTRATO!$A$2:$A$3000,$A1334,EXTRATO!$L$2:$L$3000)+SUMIF(EXTRATO!$A$2:$A$3000,$A1334,EXTRATO!$M$2:$M$3000))</f>
        <v/>
      </c>
      <c r="G1334" s="81" t="str">
        <f>IF(A1334="","",IF(INDEX(EXTRATO!$G$2:$G$3000,MATCH($A1334,EXTRATO!$A$2:$A$3000,0))="","",INDEX(EXTRATO!$G$2:$G$3000,MATCH($A1334,EXTRATO!$A$2:$A$3000,0))))</f>
        <v/>
      </c>
      <c r="H1334" s="86" t="str">
        <f>IF(A1334="","",IF(INDEX(EXTRATO!$F$2:$F$3000,MATCH($A1334,EXTRATO!$A$2:$A$3000,0))="","",INDEX(EXTRATO!$F$2:$F$3000,MATCH($A1334,EXTRATO!$A$2:$A$3000,0))))</f>
        <v/>
      </c>
      <c r="I1334" s="88" t="str">
        <f>IF(A1334="","",IF(INDEX(EXTRATO!$H$2:$H$3000,MATCH($A1334,EXTRATO!$A$2:$A$3000,0))="","",INDEX(EXTRATO!$H$2:$H$3000,MATCH($A1334,EXTRATO!$A$2:$A$3000,0))))</f>
        <v/>
      </c>
      <c r="J1334" s="86" t="str">
        <f t="shared" si="29"/>
        <v/>
      </c>
      <c r="K1334" s="86" t="str">
        <f>IF(AND(A1334="",D1334="",E1334="",F1334=""),"",IF(D1334="","SEM CATEGORIA",IF(E1334="","SEM SUBCATEGORIA",IF(COUNTIFS(CADASTROS!$L$7:$L$93,D1334,CADASTROS!$D$7:$D$93,E1334)=0,"INCOMPATÍVEL","OK"))))</f>
        <v/>
      </c>
    </row>
    <row r="1335" spans="1:11" ht="30" hidden="1" customHeight="1" x14ac:dyDescent="0.25">
      <c r="A1335" s="86" t="str">
        <f>IF(COUNTIF(EXTRATO!$A$2:$A$3000,"BAN-01192")=0,"","BAN-01192")</f>
        <v/>
      </c>
      <c r="B1335" s="85" t="str">
        <f>IF(A1335="","",IF(INDEX(EXTRATO!$C$2:$C$3000,MATCH($A1335,EXTRATO!$A$2:$A$3000,0))="","",INDEX(EXTRATO!$C$2:$C$3000,MATCH($A1335,EXTRATO!$A$2:$A$3000,0))))</f>
        <v/>
      </c>
      <c r="C1335" s="86" t="str">
        <f t="shared" si="28"/>
        <v/>
      </c>
      <c r="D1335" s="81"/>
      <c r="E1335" s="79"/>
      <c r="F1335" s="80" t="str">
        <f>IF(A1335="","",SUMIF(EXTRATO!$A$2:$A$3000,$A1335,EXTRATO!$J$2:$J$3000)+SUMIF(EXTRATO!$A$2:$A$3000,$A1335,EXTRATO!$K$2:$K$3000)+SUMIF(EXTRATO!$A$2:$A$3000,$A1335,EXTRATO!$L$2:$L$3000)+SUMIF(EXTRATO!$A$2:$A$3000,$A1335,EXTRATO!$M$2:$M$3000))</f>
        <v/>
      </c>
      <c r="G1335" s="81" t="str">
        <f>IF(A1335="","",IF(INDEX(EXTRATO!$G$2:$G$3000,MATCH($A1335,EXTRATO!$A$2:$A$3000,0))="","",INDEX(EXTRATO!$G$2:$G$3000,MATCH($A1335,EXTRATO!$A$2:$A$3000,0))))</f>
        <v/>
      </c>
      <c r="H1335" s="86" t="str">
        <f>IF(A1335="","",IF(INDEX(EXTRATO!$F$2:$F$3000,MATCH($A1335,EXTRATO!$A$2:$A$3000,0))="","",INDEX(EXTRATO!$F$2:$F$3000,MATCH($A1335,EXTRATO!$A$2:$A$3000,0))))</f>
        <v/>
      </c>
      <c r="I1335" s="88" t="str">
        <f>IF(A1335="","",IF(INDEX(EXTRATO!$H$2:$H$3000,MATCH($A1335,EXTRATO!$A$2:$A$3000,0))="","",INDEX(EXTRATO!$H$2:$H$3000,MATCH($A1335,EXTRATO!$A$2:$A$3000,0))))</f>
        <v/>
      </c>
      <c r="J1335" s="86" t="str">
        <f t="shared" si="29"/>
        <v/>
      </c>
      <c r="K1335" s="86" t="str">
        <f>IF(AND(A1335="",D1335="",E1335="",F1335=""),"",IF(D1335="","SEM CATEGORIA",IF(E1335="","SEM SUBCATEGORIA",IF(COUNTIFS(CADASTROS!$L$7:$L$93,D1335,CADASTROS!$D$7:$D$93,E1335)=0,"INCOMPATÍVEL","OK"))))</f>
        <v/>
      </c>
    </row>
    <row r="1336" spans="1:11" ht="30" hidden="1" customHeight="1" x14ac:dyDescent="0.25">
      <c r="A1336" s="86" t="str">
        <f>IF(COUNTIF(EXTRATO!$A$2:$A$3000,"BAN-01193")=0,"","BAN-01193")</f>
        <v/>
      </c>
      <c r="B1336" s="85" t="str">
        <f>IF(A1336="","",IF(INDEX(EXTRATO!$C$2:$C$3000,MATCH($A1336,EXTRATO!$A$2:$A$3000,0))="","",INDEX(EXTRATO!$C$2:$C$3000,MATCH($A1336,EXTRATO!$A$2:$A$3000,0))))</f>
        <v/>
      </c>
      <c r="C1336" s="86" t="str">
        <f t="shared" si="28"/>
        <v/>
      </c>
      <c r="D1336" s="81"/>
      <c r="E1336" s="79"/>
      <c r="F1336" s="80" t="str">
        <f>IF(A1336="","",SUMIF(EXTRATO!$A$2:$A$3000,$A1336,EXTRATO!$J$2:$J$3000)+SUMIF(EXTRATO!$A$2:$A$3000,$A1336,EXTRATO!$K$2:$K$3000)+SUMIF(EXTRATO!$A$2:$A$3000,$A1336,EXTRATO!$L$2:$L$3000)+SUMIF(EXTRATO!$A$2:$A$3000,$A1336,EXTRATO!$M$2:$M$3000))</f>
        <v/>
      </c>
      <c r="G1336" s="81" t="str">
        <f>IF(A1336="","",IF(INDEX(EXTRATO!$G$2:$G$3000,MATCH($A1336,EXTRATO!$A$2:$A$3000,0))="","",INDEX(EXTRATO!$G$2:$G$3000,MATCH($A1336,EXTRATO!$A$2:$A$3000,0))))</f>
        <v/>
      </c>
      <c r="H1336" s="86" t="str">
        <f>IF(A1336="","",IF(INDEX(EXTRATO!$F$2:$F$3000,MATCH($A1336,EXTRATO!$A$2:$A$3000,0))="","",INDEX(EXTRATO!$F$2:$F$3000,MATCH($A1336,EXTRATO!$A$2:$A$3000,0))))</f>
        <v/>
      </c>
      <c r="I1336" s="88" t="str">
        <f>IF(A1336="","",IF(INDEX(EXTRATO!$H$2:$H$3000,MATCH($A1336,EXTRATO!$A$2:$A$3000,0))="","",INDEX(EXTRATO!$H$2:$H$3000,MATCH($A1336,EXTRATO!$A$2:$A$3000,0))))</f>
        <v/>
      </c>
      <c r="J1336" s="86" t="str">
        <f t="shared" si="29"/>
        <v/>
      </c>
      <c r="K1336" s="86" t="str">
        <f>IF(AND(A1336="",D1336="",E1336="",F1336=""),"",IF(D1336="","SEM CATEGORIA",IF(E1336="","SEM SUBCATEGORIA",IF(COUNTIFS(CADASTROS!$L$7:$L$93,D1336,CADASTROS!$D$7:$D$93,E1336)=0,"INCOMPATÍVEL","OK"))))</f>
        <v/>
      </c>
    </row>
    <row r="1337" spans="1:11" ht="30" hidden="1" customHeight="1" x14ac:dyDescent="0.25">
      <c r="A1337" s="86" t="str">
        <f>IF(COUNTIF(EXTRATO!$A$2:$A$3000,"BAN-01194")=0,"","BAN-01194")</f>
        <v/>
      </c>
      <c r="B1337" s="85" t="str">
        <f>IF(A1337="","",IF(INDEX(EXTRATO!$C$2:$C$3000,MATCH($A1337,EXTRATO!$A$2:$A$3000,0))="","",INDEX(EXTRATO!$C$2:$C$3000,MATCH($A1337,EXTRATO!$A$2:$A$3000,0))))</f>
        <v/>
      </c>
      <c r="C1337" s="86" t="str">
        <f t="shared" si="28"/>
        <v/>
      </c>
      <c r="D1337" s="81"/>
      <c r="E1337" s="79"/>
      <c r="F1337" s="80" t="str">
        <f>IF(A1337="","",SUMIF(EXTRATO!$A$2:$A$3000,$A1337,EXTRATO!$J$2:$J$3000)+SUMIF(EXTRATO!$A$2:$A$3000,$A1337,EXTRATO!$K$2:$K$3000)+SUMIF(EXTRATO!$A$2:$A$3000,$A1337,EXTRATO!$L$2:$L$3000)+SUMIF(EXTRATO!$A$2:$A$3000,$A1337,EXTRATO!$M$2:$M$3000))</f>
        <v/>
      </c>
      <c r="G1337" s="81" t="str">
        <f>IF(A1337="","",IF(INDEX(EXTRATO!$G$2:$G$3000,MATCH($A1337,EXTRATO!$A$2:$A$3000,0))="","",INDEX(EXTRATO!$G$2:$G$3000,MATCH($A1337,EXTRATO!$A$2:$A$3000,0))))</f>
        <v/>
      </c>
      <c r="H1337" s="86" t="str">
        <f>IF(A1337="","",IF(INDEX(EXTRATO!$F$2:$F$3000,MATCH($A1337,EXTRATO!$A$2:$A$3000,0))="","",INDEX(EXTRATO!$F$2:$F$3000,MATCH($A1337,EXTRATO!$A$2:$A$3000,0))))</f>
        <v/>
      </c>
      <c r="I1337" s="88" t="str">
        <f>IF(A1337="","",IF(INDEX(EXTRATO!$H$2:$H$3000,MATCH($A1337,EXTRATO!$A$2:$A$3000,0))="","",INDEX(EXTRATO!$H$2:$H$3000,MATCH($A1337,EXTRATO!$A$2:$A$3000,0))))</f>
        <v/>
      </c>
      <c r="J1337" s="86" t="str">
        <f t="shared" si="29"/>
        <v/>
      </c>
      <c r="K1337" s="86" t="str">
        <f>IF(AND(A1337="",D1337="",E1337="",F1337=""),"",IF(D1337="","SEM CATEGORIA",IF(E1337="","SEM SUBCATEGORIA",IF(COUNTIFS(CADASTROS!$L$7:$L$93,D1337,CADASTROS!$D$7:$D$93,E1337)=0,"INCOMPATÍVEL","OK"))))</f>
        <v/>
      </c>
    </row>
    <row r="1338" spans="1:11" ht="30" hidden="1" customHeight="1" x14ac:dyDescent="0.25">
      <c r="A1338" s="86" t="str">
        <f>IF(COUNTIF(EXTRATO!$A$2:$A$3000,"BAN-01195")=0,"","BAN-01195")</f>
        <v/>
      </c>
      <c r="B1338" s="85" t="str">
        <f>IF(A1338="","",IF(INDEX(EXTRATO!$C$2:$C$3000,MATCH($A1338,EXTRATO!$A$2:$A$3000,0))="","",INDEX(EXTRATO!$C$2:$C$3000,MATCH($A1338,EXTRATO!$A$2:$A$3000,0))))</f>
        <v/>
      </c>
      <c r="C1338" s="86" t="str">
        <f t="shared" si="28"/>
        <v/>
      </c>
      <c r="D1338" s="81"/>
      <c r="E1338" s="79"/>
      <c r="F1338" s="80" t="str">
        <f>IF(A1338="","",SUMIF(EXTRATO!$A$2:$A$3000,$A1338,EXTRATO!$J$2:$J$3000)+SUMIF(EXTRATO!$A$2:$A$3000,$A1338,EXTRATO!$K$2:$K$3000)+SUMIF(EXTRATO!$A$2:$A$3000,$A1338,EXTRATO!$L$2:$L$3000)+SUMIF(EXTRATO!$A$2:$A$3000,$A1338,EXTRATO!$M$2:$M$3000))</f>
        <v/>
      </c>
      <c r="G1338" s="81" t="str">
        <f>IF(A1338="","",IF(INDEX(EXTRATO!$G$2:$G$3000,MATCH($A1338,EXTRATO!$A$2:$A$3000,0))="","",INDEX(EXTRATO!$G$2:$G$3000,MATCH($A1338,EXTRATO!$A$2:$A$3000,0))))</f>
        <v/>
      </c>
      <c r="H1338" s="86" t="str">
        <f>IF(A1338="","",IF(INDEX(EXTRATO!$F$2:$F$3000,MATCH($A1338,EXTRATO!$A$2:$A$3000,0))="","",INDEX(EXTRATO!$F$2:$F$3000,MATCH($A1338,EXTRATO!$A$2:$A$3000,0))))</f>
        <v/>
      </c>
      <c r="I1338" s="88" t="str">
        <f>IF(A1338="","",IF(INDEX(EXTRATO!$H$2:$H$3000,MATCH($A1338,EXTRATO!$A$2:$A$3000,0))="","",INDEX(EXTRATO!$H$2:$H$3000,MATCH($A1338,EXTRATO!$A$2:$A$3000,0))))</f>
        <v/>
      </c>
      <c r="J1338" s="86" t="str">
        <f t="shared" si="29"/>
        <v/>
      </c>
      <c r="K1338" s="86" t="str">
        <f>IF(AND(A1338="",D1338="",E1338="",F1338=""),"",IF(D1338="","SEM CATEGORIA",IF(E1338="","SEM SUBCATEGORIA",IF(COUNTIFS(CADASTROS!$L$7:$L$93,D1338,CADASTROS!$D$7:$D$93,E1338)=0,"INCOMPATÍVEL","OK"))))</f>
        <v/>
      </c>
    </row>
    <row r="1339" spans="1:11" ht="30" hidden="1" customHeight="1" x14ac:dyDescent="0.25">
      <c r="A1339" s="86" t="str">
        <f>IF(COUNTIF(EXTRATO!$A$2:$A$3000,"BAN-01196")=0,"","BAN-01196")</f>
        <v/>
      </c>
      <c r="B1339" s="85" t="str">
        <f>IF(A1339="","",IF(INDEX(EXTRATO!$C$2:$C$3000,MATCH($A1339,EXTRATO!$A$2:$A$3000,0))="","",INDEX(EXTRATO!$C$2:$C$3000,MATCH($A1339,EXTRATO!$A$2:$A$3000,0))))</f>
        <v/>
      </c>
      <c r="C1339" s="86" t="str">
        <f t="shared" si="28"/>
        <v/>
      </c>
      <c r="D1339" s="81"/>
      <c r="E1339" s="79"/>
      <c r="F1339" s="80" t="str">
        <f>IF(A1339="","",SUMIF(EXTRATO!$A$2:$A$3000,$A1339,EXTRATO!$J$2:$J$3000)+SUMIF(EXTRATO!$A$2:$A$3000,$A1339,EXTRATO!$K$2:$K$3000)+SUMIF(EXTRATO!$A$2:$A$3000,$A1339,EXTRATO!$L$2:$L$3000)+SUMIF(EXTRATO!$A$2:$A$3000,$A1339,EXTRATO!$M$2:$M$3000))</f>
        <v/>
      </c>
      <c r="G1339" s="81" t="str">
        <f>IF(A1339="","",IF(INDEX(EXTRATO!$G$2:$G$3000,MATCH($A1339,EXTRATO!$A$2:$A$3000,0))="","",INDEX(EXTRATO!$G$2:$G$3000,MATCH($A1339,EXTRATO!$A$2:$A$3000,0))))</f>
        <v/>
      </c>
      <c r="H1339" s="86" t="str">
        <f>IF(A1339="","",IF(INDEX(EXTRATO!$F$2:$F$3000,MATCH($A1339,EXTRATO!$A$2:$A$3000,0))="","",INDEX(EXTRATO!$F$2:$F$3000,MATCH($A1339,EXTRATO!$A$2:$A$3000,0))))</f>
        <v/>
      </c>
      <c r="I1339" s="88" t="str">
        <f>IF(A1339="","",IF(INDEX(EXTRATO!$H$2:$H$3000,MATCH($A1339,EXTRATO!$A$2:$A$3000,0))="","",INDEX(EXTRATO!$H$2:$H$3000,MATCH($A1339,EXTRATO!$A$2:$A$3000,0))))</f>
        <v/>
      </c>
      <c r="J1339" s="86" t="str">
        <f t="shared" si="29"/>
        <v/>
      </c>
      <c r="K1339" s="86" t="str">
        <f>IF(AND(A1339="",D1339="",E1339="",F1339=""),"",IF(D1339="","SEM CATEGORIA",IF(E1339="","SEM SUBCATEGORIA",IF(COUNTIFS(CADASTROS!$L$7:$L$93,D1339,CADASTROS!$D$7:$D$93,E1339)=0,"INCOMPATÍVEL","OK"))))</f>
        <v/>
      </c>
    </row>
    <row r="1340" spans="1:11" ht="30" hidden="1" customHeight="1" x14ac:dyDescent="0.25">
      <c r="A1340" s="86" t="str">
        <f>IF(COUNTIF(EXTRATO!$A$2:$A$3000,"BAN-01197")=0,"","BAN-01197")</f>
        <v/>
      </c>
      <c r="B1340" s="85" t="str">
        <f>IF(A1340="","",IF(INDEX(EXTRATO!$C$2:$C$3000,MATCH($A1340,EXTRATO!$A$2:$A$3000,0))="","",INDEX(EXTRATO!$C$2:$C$3000,MATCH($A1340,EXTRATO!$A$2:$A$3000,0))))</f>
        <v/>
      </c>
      <c r="C1340" s="86" t="str">
        <f t="shared" si="28"/>
        <v/>
      </c>
      <c r="D1340" s="81"/>
      <c r="E1340" s="79"/>
      <c r="F1340" s="80" t="str">
        <f>IF(A1340="","",SUMIF(EXTRATO!$A$2:$A$3000,$A1340,EXTRATO!$J$2:$J$3000)+SUMIF(EXTRATO!$A$2:$A$3000,$A1340,EXTRATO!$K$2:$K$3000)+SUMIF(EXTRATO!$A$2:$A$3000,$A1340,EXTRATO!$L$2:$L$3000)+SUMIF(EXTRATO!$A$2:$A$3000,$A1340,EXTRATO!$M$2:$M$3000))</f>
        <v/>
      </c>
      <c r="G1340" s="81" t="str">
        <f>IF(A1340="","",IF(INDEX(EXTRATO!$G$2:$G$3000,MATCH($A1340,EXTRATO!$A$2:$A$3000,0))="","",INDEX(EXTRATO!$G$2:$G$3000,MATCH($A1340,EXTRATO!$A$2:$A$3000,0))))</f>
        <v/>
      </c>
      <c r="H1340" s="86" t="str">
        <f>IF(A1340="","",IF(INDEX(EXTRATO!$F$2:$F$3000,MATCH($A1340,EXTRATO!$A$2:$A$3000,0))="","",INDEX(EXTRATO!$F$2:$F$3000,MATCH($A1340,EXTRATO!$A$2:$A$3000,0))))</f>
        <v/>
      </c>
      <c r="I1340" s="88" t="str">
        <f>IF(A1340="","",IF(INDEX(EXTRATO!$H$2:$H$3000,MATCH($A1340,EXTRATO!$A$2:$A$3000,0))="","",INDEX(EXTRATO!$H$2:$H$3000,MATCH($A1340,EXTRATO!$A$2:$A$3000,0))))</f>
        <v/>
      </c>
      <c r="J1340" s="86" t="str">
        <f t="shared" si="29"/>
        <v/>
      </c>
      <c r="K1340" s="86" t="str">
        <f>IF(AND(A1340="",D1340="",E1340="",F1340=""),"",IF(D1340="","SEM CATEGORIA",IF(E1340="","SEM SUBCATEGORIA",IF(COUNTIFS(CADASTROS!$L$7:$L$93,D1340,CADASTROS!$D$7:$D$93,E1340)=0,"INCOMPATÍVEL","OK"))))</f>
        <v/>
      </c>
    </row>
    <row r="1341" spans="1:11" ht="30" hidden="1" customHeight="1" x14ac:dyDescent="0.25">
      <c r="A1341" s="86" t="str">
        <f>IF(COUNTIF(EXTRATO!$A$2:$A$3000,"BAN-01198")=0,"","BAN-01198")</f>
        <v/>
      </c>
      <c r="B1341" s="85" t="str">
        <f>IF(A1341="","",IF(INDEX(EXTRATO!$C$2:$C$3000,MATCH($A1341,EXTRATO!$A$2:$A$3000,0))="","",INDEX(EXTRATO!$C$2:$C$3000,MATCH($A1341,EXTRATO!$A$2:$A$3000,0))))</f>
        <v/>
      </c>
      <c r="C1341" s="86" t="str">
        <f t="shared" si="28"/>
        <v/>
      </c>
      <c r="D1341" s="81"/>
      <c r="E1341" s="79"/>
      <c r="F1341" s="80" t="str">
        <f>IF(A1341="","",SUMIF(EXTRATO!$A$2:$A$3000,$A1341,EXTRATO!$J$2:$J$3000)+SUMIF(EXTRATO!$A$2:$A$3000,$A1341,EXTRATO!$K$2:$K$3000)+SUMIF(EXTRATO!$A$2:$A$3000,$A1341,EXTRATO!$L$2:$L$3000)+SUMIF(EXTRATO!$A$2:$A$3000,$A1341,EXTRATO!$M$2:$M$3000))</f>
        <v/>
      </c>
      <c r="G1341" s="81" t="str">
        <f>IF(A1341="","",IF(INDEX(EXTRATO!$G$2:$G$3000,MATCH($A1341,EXTRATO!$A$2:$A$3000,0))="","",INDEX(EXTRATO!$G$2:$G$3000,MATCH($A1341,EXTRATO!$A$2:$A$3000,0))))</f>
        <v/>
      </c>
      <c r="H1341" s="86" t="str">
        <f>IF(A1341="","",IF(INDEX(EXTRATO!$F$2:$F$3000,MATCH($A1341,EXTRATO!$A$2:$A$3000,0))="","",INDEX(EXTRATO!$F$2:$F$3000,MATCH($A1341,EXTRATO!$A$2:$A$3000,0))))</f>
        <v/>
      </c>
      <c r="I1341" s="88" t="str">
        <f>IF(A1341="","",IF(INDEX(EXTRATO!$H$2:$H$3000,MATCH($A1341,EXTRATO!$A$2:$A$3000,0))="","",INDEX(EXTRATO!$H$2:$H$3000,MATCH($A1341,EXTRATO!$A$2:$A$3000,0))))</f>
        <v/>
      </c>
      <c r="J1341" s="86" t="str">
        <f t="shared" si="29"/>
        <v/>
      </c>
      <c r="K1341" s="86" t="str">
        <f>IF(AND(A1341="",D1341="",E1341="",F1341=""),"",IF(D1341="","SEM CATEGORIA",IF(E1341="","SEM SUBCATEGORIA",IF(COUNTIFS(CADASTROS!$L$7:$L$93,D1341,CADASTROS!$D$7:$D$93,E1341)=0,"INCOMPATÍVEL","OK"))))</f>
        <v/>
      </c>
    </row>
    <row r="1342" spans="1:11" ht="30" hidden="1" customHeight="1" x14ac:dyDescent="0.25">
      <c r="A1342" s="86" t="str">
        <f>IF(COUNTIF(EXTRATO!$A$2:$A$3000,"BAN-01199")=0,"","BAN-01199")</f>
        <v/>
      </c>
      <c r="B1342" s="85" t="str">
        <f>IF(A1342="","",IF(INDEX(EXTRATO!$C$2:$C$3000,MATCH($A1342,EXTRATO!$A$2:$A$3000,0))="","",INDEX(EXTRATO!$C$2:$C$3000,MATCH($A1342,EXTRATO!$A$2:$A$3000,0))))</f>
        <v/>
      </c>
      <c r="C1342" s="86" t="str">
        <f t="shared" si="28"/>
        <v/>
      </c>
      <c r="D1342" s="81"/>
      <c r="E1342" s="79"/>
      <c r="F1342" s="80" t="str">
        <f>IF(A1342="","",SUMIF(EXTRATO!$A$2:$A$3000,$A1342,EXTRATO!$J$2:$J$3000)+SUMIF(EXTRATO!$A$2:$A$3000,$A1342,EXTRATO!$K$2:$K$3000)+SUMIF(EXTRATO!$A$2:$A$3000,$A1342,EXTRATO!$L$2:$L$3000)+SUMIF(EXTRATO!$A$2:$A$3000,$A1342,EXTRATO!$M$2:$M$3000))</f>
        <v/>
      </c>
      <c r="G1342" s="81" t="str">
        <f>IF(A1342="","",IF(INDEX(EXTRATO!$G$2:$G$3000,MATCH($A1342,EXTRATO!$A$2:$A$3000,0))="","",INDEX(EXTRATO!$G$2:$G$3000,MATCH($A1342,EXTRATO!$A$2:$A$3000,0))))</f>
        <v/>
      </c>
      <c r="H1342" s="86" t="str">
        <f>IF(A1342="","",IF(INDEX(EXTRATO!$F$2:$F$3000,MATCH($A1342,EXTRATO!$A$2:$A$3000,0))="","",INDEX(EXTRATO!$F$2:$F$3000,MATCH($A1342,EXTRATO!$A$2:$A$3000,0))))</f>
        <v/>
      </c>
      <c r="I1342" s="88" t="str">
        <f>IF(A1342="","",IF(INDEX(EXTRATO!$H$2:$H$3000,MATCH($A1342,EXTRATO!$A$2:$A$3000,0))="","",INDEX(EXTRATO!$H$2:$H$3000,MATCH($A1342,EXTRATO!$A$2:$A$3000,0))))</f>
        <v/>
      </c>
      <c r="J1342" s="86" t="str">
        <f t="shared" si="29"/>
        <v/>
      </c>
      <c r="K1342" s="86" t="str">
        <f>IF(AND(A1342="",D1342="",E1342="",F1342=""),"",IF(D1342="","SEM CATEGORIA",IF(E1342="","SEM SUBCATEGORIA",IF(COUNTIFS(CADASTROS!$L$7:$L$93,D1342,CADASTROS!$D$7:$D$93,E1342)=0,"INCOMPATÍVEL","OK"))))</f>
        <v/>
      </c>
    </row>
    <row r="1343" spans="1:11" ht="30" hidden="1" customHeight="1" x14ac:dyDescent="0.25">
      <c r="A1343" s="86" t="str">
        <f>IF(COUNTIF(EXTRATO!$A$2:$A$3000,"BAN-01200")=0,"","BAN-01200")</f>
        <v/>
      </c>
      <c r="B1343" s="85" t="str">
        <f>IF(A1343="","",IF(INDEX(EXTRATO!$C$2:$C$3000,MATCH($A1343,EXTRATO!$A$2:$A$3000,0))="","",INDEX(EXTRATO!$C$2:$C$3000,MATCH($A1343,EXTRATO!$A$2:$A$3000,0))))</f>
        <v/>
      </c>
      <c r="C1343" s="86" t="str">
        <f t="shared" si="28"/>
        <v/>
      </c>
      <c r="D1343" s="81"/>
      <c r="E1343" s="79"/>
      <c r="F1343" s="80" t="str">
        <f>IF(A1343="","",SUMIF(EXTRATO!$A$2:$A$3000,$A1343,EXTRATO!$J$2:$J$3000)+SUMIF(EXTRATO!$A$2:$A$3000,$A1343,EXTRATO!$K$2:$K$3000)+SUMIF(EXTRATO!$A$2:$A$3000,$A1343,EXTRATO!$L$2:$L$3000)+SUMIF(EXTRATO!$A$2:$A$3000,$A1343,EXTRATO!$M$2:$M$3000))</f>
        <v/>
      </c>
      <c r="G1343" s="81" t="str">
        <f>IF(A1343="","",IF(INDEX(EXTRATO!$G$2:$G$3000,MATCH($A1343,EXTRATO!$A$2:$A$3000,0))="","",INDEX(EXTRATO!$G$2:$G$3000,MATCH($A1343,EXTRATO!$A$2:$A$3000,0))))</f>
        <v/>
      </c>
      <c r="H1343" s="86" t="str">
        <f>IF(A1343="","",IF(INDEX(EXTRATO!$F$2:$F$3000,MATCH($A1343,EXTRATO!$A$2:$A$3000,0))="","",INDEX(EXTRATO!$F$2:$F$3000,MATCH($A1343,EXTRATO!$A$2:$A$3000,0))))</f>
        <v/>
      </c>
      <c r="I1343" s="88" t="str">
        <f>IF(A1343="","",IF(INDEX(EXTRATO!$H$2:$H$3000,MATCH($A1343,EXTRATO!$A$2:$A$3000,0))="","",INDEX(EXTRATO!$H$2:$H$3000,MATCH($A1343,EXTRATO!$A$2:$A$3000,0))))</f>
        <v/>
      </c>
      <c r="J1343" s="86" t="str">
        <f t="shared" si="29"/>
        <v/>
      </c>
      <c r="K1343" s="86" t="str">
        <f>IF(AND(A1343="",D1343="",E1343="",F1343=""),"",IF(D1343="","SEM CATEGORIA",IF(E1343="","SEM SUBCATEGORIA",IF(COUNTIFS(CADASTROS!$L$7:$L$93,D1343,CADASTROS!$D$7:$D$93,E1343)=0,"INCOMPATÍVEL","OK"))))</f>
        <v/>
      </c>
    </row>
    <row r="1344" spans="1:11" ht="30" hidden="1" customHeight="1" x14ac:dyDescent="0.25">
      <c r="A1344" s="86" t="str">
        <f>IF(COUNTIF(EXTRATO!$A$2:$A$3000,"BAN-01201")=0,"","BAN-01201")</f>
        <v/>
      </c>
      <c r="B1344" s="85" t="str">
        <f>IF(A1344="","",IF(INDEX(EXTRATO!$C$2:$C$3000,MATCH($A1344,EXTRATO!$A$2:$A$3000,0))="","",INDEX(EXTRATO!$C$2:$C$3000,MATCH($A1344,EXTRATO!$A$2:$A$3000,0))))</f>
        <v/>
      </c>
      <c r="C1344" s="86" t="str">
        <f t="shared" si="28"/>
        <v/>
      </c>
      <c r="D1344" s="81"/>
      <c r="E1344" s="79"/>
      <c r="F1344" s="80" t="str">
        <f>IF(A1344="","",SUMIF(EXTRATO!$A$2:$A$3000,$A1344,EXTRATO!$J$2:$J$3000)+SUMIF(EXTRATO!$A$2:$A$3000,$A1344,EXTRATO!$K$2:$K$3000)+SUMIF(EXTRATO!$A$2:$A$3000,$A1344,EXTRATO!$L$2:$L$3000)+SUMIF(EXTRATO!$A$2:$A$3000,$A1344,EXTRATO!$M$2:$M$3000))</f>
        <v/>
      </c>
      <c r="G1344" s="81" t="str">
        <f>IF(A1344="","",IF(INDEX(EXTRATO!$G$2:$G$3000,MATCH($A1344,EXTRATO!$A$2:$A$3000,0))="","",INDEX(EXTRATO!$G$2:$G$3000,MATCH($A1344,EXTRATO!$A$2:$A$3000,0))))</f>
        <v/>
      </c>
      <c r="H1344" s="86" t="str">
        <f>IF(A1344="","",IF(INDEX(EXTRATO!$F$2:$F$3000,MATCH($A1344,EXTRATO!$A$2:$A$3000,0))="","",INDEX(EXTRATO!$F$2:$F$3000,MATCH($A1344,EXTRATO!$A$2:$A$3000,0))))</f>
        <v/>
      </c>
      <c r="I1344" s="88" t="str">
        <f>IF(A1344="","",IF(INDEX(EXTRATO!$H$2:$H$3000,MATCH($A1344,EXTRATO!$A$2:$A$3000,0))="","",INDEX(EXTRATO!$H$2:$H$3000,MATCH($A1344,EXTRATO!$A$2:$A$3000,0))))</f>
        <v/>
      </c>
      <c r="J1344" s="86" t="str">
        <f t="shared" si="29"/>
        <v/>
      </c>
      <c r="K1344" s="86" t="str">
        <f>IF(AND(A1344="",D1344="",E1344="",F1344=""),"",IF(D1344="","SEM CATEGORIA",IF(E1344="","SEM SUBCATEGORIA",IF(COUNTIFS(CADASTROS!$L$7:$L$93,D1344,CADASTROS!$D$7:$D$93,E1344)=0,"INCOMPATÍVEL","OK"))))</f>
        <v/>
      </c>
    </row>
    <row r="1345" spans="1:11" ht="30" hidden="1" customHeight="1" x14ac:dyDescent="0.25">
      <c r="A1345" s="86" t="str">
        <f>IF(COUNTIF(EXTRATO!$A$2:$A$3000,"BAN-01202")=0,"","BAN-01202")</f>
        <v/>
      </c>
      <c r="B1345" s="85" t="str">
        <f>IF(A1345="","",IF(INDEX(EXTRATO!$C$2:$C$3000,MATCH($A1345,EXTRATO!$A$2:$A$3000,0))="","",INDEX(EXTRATO!$C$2:$C$3000,MATCH($A1345,EXTRATO!$A$2:$A$3000,0))))</f>
        <v/>
      </c>
      <c r="C1345" s="86" t="str">
        <f t="shared" si="28"/>
        <v/>
      </c>
      <c r="D1345" s="81"/>
      <c r="E1345" s="79"/>
      <c r="F1345" s="80" t="str">
        <f>IF(A1345="","",SUMIF(EXTRATO!$A$2:$A$3000,$A1345,EXTRATO!$J$2:$J$3000)+SUMIF(EXTRATO!$A$2:$A$3000,$A1345,EXTRATO!$K$2:$K$3000)+SUMIF(EXTRATO!$A$2:$A$3000,$A1345,EXTRATO!$L$2:$L$3000)+SUMIF(EXTRATO!$A$2:$A$3000,$A1345,EXTRATO!$M$2:$M$3000))</f>
        <v/>
      </c>
      <c r="G1345" s="81" t="str">
        <f>IF(A1345="","",IF(INDEX(EXTRATO!$G$2:$G$3000,MATCH($A1345,EXTRATO!$A$2:$A$3000,0))="","",INDEX(EXTRATO!$G$2:$G$3000,MATCH($A1345,EXTRATO!$A$2:$A$3000,0))))</f>
        <v/>
      </c>
      <c r="H1345" s="86" t="str">
        <f>IF(A1345="","",IF(INDEX(EXTRATO!$F$2:$F$3000,MATCH($A1345,EXTRATO!$A$2:$A$3000,0))="","",INDEX(EXTRATO!$F$2:$F$3000,MATCH($A1345,EXTRATO!$A$2:$A$3000,0))))</f>
        <v/>
      </c>
      <c r="I1345" s="88" t="str">
        <f>IF(A1345="","",IF(INDEX(EXTRATO!$H$2:$H$3000,MATCH($A1345,EXTRATO!$A$2:$A$3000,0))="","",INDEX(EXTRATO!$H$2:$H$3000,MATCH($A1345,EXTRATO!$A$2:$A$3000,0))))</f>
        <v/>
      </c>
      <c r="J1345" s="86" t="str">
        <f t="shared" si="29"/>
        <v/>
      </c>
      <c r="K1345" s="86" t="str">
        <f>IF(AND(A1345="",D1345="",E1345="",F1345=""),"",IF(D1345="","SEM CATEGORIA",IF(E1345="","SEM SUBCATEGORIA",IF(COUNTIFS(CADASTROS!$L$7:$L$93,D1345,CADASTROS!$D$7:$D$93,E1345)=0,"INCOMPATÍVEL","OK"))))</f>
        <v/>
      </c>
    </row>
    <row r="1346" spans="1:11" ht="30" hidden="1" customHeight="1" x14ac:dyDescent="0.25">
      <c r="A1346" s="86" t="str">
        <f>IF(COUNTIF(EXTRATO!$A$2:$A$3000,"BAN-01203")=0,"","BAN-01203")</f>
        <v/>
      </c>
      <c r="B1346" s="85" t="str">
        <f>IF(A1346="","",IF(INDEX(EXTRATO!$C$2:$C$3000,MATCH($A1346,EXTRATO!$A$2:$A$3000,0))="","",INDEX(EXTRATO!$C$2:$C$3000,MATCH($A1346,EXTRATO!$A$2:$A$3000,0))))</f>
        <v/>
      </c>
      <c r="C1346" s="86" t="str">
        <f t="shared" si="28"/>
        <v/>
      </c>
      <c r="D1346" s="81"/>
      <c r="E1346" s="79"/>
      <c r="F1346" s="80" t="str">
        <f>IF(A1346="","",SUMIF(EXTRATO!$A$2:$A$3000,$A1346,EXTRATO!$J$2:$J$3000)+SUMIF(EXTRATO!$A$2:$A$3000,$A1346,EXTRATO!$K$2:$K$3000)+SUMIF(EXTRATO!$A$2:$A$3000,$A1346,EXTRATO!$L$2:$L$3000)+SUMIF(EXTRATO!$A$2:$A$3000,$A1346,EXTRATO!$M$2:$M$3000))</f>
        <v/>
      </c>
      <c r="G1346" s="81" t="str">
        <f>IF(A1346="","",IF(INDEX(EXTRATO!$G$2:$G$3000,MATCH($A1346,EXTRATO!$A$2:$A$3000,0))="","",INDEX(EXTRATO!$G$2:$G$3000,MATCH($A1346,EXTRATO!$A$2:$A$3000,0))))</f>
        <v/>
      </c>
      <c r="H1346" s="86" t="str">
        <f>IF(A1346="","",IF(INDEX(EXTRATO!$F$2:$F$3000,MATCH($A1346,EXTRATO!$A$2:$A$3000,0))="","",INDEX(EXTRATO!$F$2:$F$3000,MATCH($A1346,EXTRATO!$A$2:$A$3000,0))))</f>
        <v/>
      </c>
      <c r="I1346" s="88" t="str">
        <f>IF(A1346="","",IF(INDEX(EXTRATO!$H$2:$H$3000,MATCH($A1346,EXTRATO!$A$2:$A$3000,0))="","",INDEX(EXTRATO!$H$2:$H$3000,MATCH($A1346,EXTRATO!$A$2:$A$3000,0))))</f>
        <v/>
      </c>
      <c r="J1346" s="86" t="str">
        <f t="shared" si="29"/>
        <v/>
      </c>
      <c r="K1346" s="86" t="str">
        <f>IF(AND(A1346="",D1346="",E1346="",F1346=""),"",IF(D1346="","SEM CATEGORIA",IF(E1346="","SEM SUBCATEGORIA",IF(COUNTIFS(CADASTROS!$L$7:$L$93,D1346,CADASTROS!$D$7:$D$93,E1346)=0,"INCOMPATÍVEL","OK"))))</f>
        <v/>
      </c>
    </row>
    <row r="1347" spans="1:11" ht="30" hidden="1" customHeight="1" x14ac:dyDescent="0.25">
      <c r="A1347" s="86" t="str">
        <f>IF(COUNTIF(EXTRATO!$A$2:$A$3000,"BAN-01204")=0,"","BAN-01204")</f>
        <v/>
      </c>
      <c r="B1347" s="85" t="str">
        <f>IF(A1347="","",IF(INDEX(EXTRATO!$C$2:$C$3000,MATCH($A1347,EXTRATO!$A$2:$A$3000,0))="","",INDEX(EXTRATO!$C$2:$C$3000,MATCH($A1347,EXTRATO!$A$2:$A$3000,0))))</f>
        <v/>
      </c>
      <c r="C1347" s="86" t="str">
        <f t="shared" si="28"/>
        <v/>
      </c>
      <c r="D1347" s="81"/>
      <c r="E1347" s="79"/>
      <c r="F1347" s="80" t="str">
        <f>IF(A1347="","",SUMIF(EXTRATO!$A$2:$A$3000,$A1347,EXTRATO!$J$2:$J$3000)+SUMIF(EXTRATO!$A$2:$A$3000,$A1347,EXTRATO!$K$2:$K$3000)+SUMIF(EXTRATO!$A$2:$A$3000,$A1347,EXTRATO!$L$2:$L$3000)+SUMIF(EXTRATO!$A$2:$A$3000,$A1347,EXTRATO!$M$2:$M$3000))</f>
        <v/>
      </c>
      <c r="G1347" s="81" t="str">
        <f>IF(A1347="","",IF(INDEX(EXTRATO!$G$2:$G$3000,MATCH($A1347,EXTRATO!$A$2:$A$3000,0))="","",INDEX(EXTRATO!$G$2:$G$3000,MATCH($A1347,EXTRATO!$A$2:$A$3000,0))))</f>
        <v/>
      </c>
      <c r="H1347" s="86" t="str">
        <f>IF(A1347="","",IF(INDEX(EXTRATO!$F$2:$F$3000,MATCH($A1347,EXTRATO!$A$2:$A$3000,0))="","",INDEX(EXTRATO!$F$2:$F$3000,MATCH($A1347,EXTRATO!$A$2:$A$3000,0))))</f>
        <v/>
      </c>
      <c r="I1347" s="88" t="str">
        <f>IF(A1347="","",IF(INDEX(EXTRATO!$H$2:$H$3000,MATCH($A1347,EXTRATO!$A$2:$A$3000,0))="","",INDEX(EXTRATO!$H$2:$H$3000,MATCH($A1347,EXTRATO!$A$2:$A$3000,0))))</f>
        <v/>
      </c>
      <c r="J1347" s="86" t="str">
        <f t="shared" si="29"/>
        <v/>
      </c>
      <c r="K1347" s="86" t="str">
        <f>IF(AND(A1347="",D1347="",E1347="",F1347=""),"",IF(D1347="","SEM CATEGORIA",IF(E1347="","SEM SUBCATEGORIA",IF(COUNTIFS(CADASTROS!$L$7:$L$93,D1347,CADASTROS!$D$7:$D$93,E1347)=0,"INCOMPATÍVEL","OK"))))</f>
        <v/>
      </c>
    </row>
    <row r="1348" spans="1:11" ht="30" hidden="1" customHeight="1" x14ac:dyDescent="0.25">
      <c r="A1348" s="86" t="str">
        <f>IF(COUNTIF(EXTRATO!$A$2:$A$3000,"BAN-01205")=0,"","BAN-01205")</f>
        <v/>
      </c>
      <c r="B1348" s="85" t="str">
        <f>IF(A1348="","",IF(INDEX(EXTRATO!$C$2:$C$3000,MATCH($A1348,EXTRATO!$A$2:$A$3000,0))="","",INDEX(EXTRATO!$C$2:$C$3000,MATCH($A1348,EXTRATO!$A$2:$A$3000,0))))</f>
        <v/>
      </c>
      <c r="C1348" s="86" t="str">
        <f t="shared" si="28"/>
        <v/>
      </c>
      <c r="D1348" s="81"/>
      <c r="E1348" s="79"/>
      <c r="F1348" s="80" t="str">
        <f>IF(A1348="","",SUMIF(EXTRATO!$A$2:$A$3000,$A1348,EXTRATO!$J$2:$J$3000)+SUMIF(EXTRATO!$A$2:$A$3000,$A1348,EXTRATO!$K$2:$K$3000)+SUMIF(EXTRATO!$A$2:$A$3000,$A1348,EXTRATO!$L$2:$L$3000)+SUMIF(EXTRATO!$A$2:$A$3000,$A1348,EXTRATO!$M$2:$M$3000))</f>
        <v/>
      </c>
      <c r="G1348" s="81" t="str">
        <f>IF(A1348="","",IF(INDEX(EXTRATO!$G$2:$G$3000,MATCH($A1348,EXTRATO!$A$2:$A$3000,0))="","",INDEX(EXTRATO!$G$2:$G$3000,MATCH($A1348,EXTRATO!$A$2:$A$3000,0))))</f>
        <v/>
      </c>
      <c r="H1348" s="86" t="str">
        <f>IF(A1348="","",IF(INDEX(EXTRATO!$F$2:$F$3000,MATCH($A1348,EXTRATO!$A$2:$A$3000,0))="","",INDEX(EXTRATO!$F$2:$F$3000,MATCH($A1348,EXTRATO!$A$2:$A$3000,0))))</f>
        <v/>
      </c>
      <c r="I1348" s="88" t="str">
        <f>IF(A1348="","",IF(INDEX(EXTRATO!$H$2:$H$3000,MATCH($A1348,EXTRATO!$A$2:$A$3000,0))="","",INDEX(EXTRATO!$H$2:$H$3000,MATCH($A1348,EXTRATO!$A$2:$A$3000,0))))</f>
        <v/>
      </c>
      <c r="J1348" s="86" t="str">
        <f t="shared" si="29"/>
        <v/>
      </c>
      <c r="K1348" s="86" t="str">
        <f>IF(AND(A1348="",D1348="",E1348="",F1348=""),"",IF(D1348="","SEM CATEGORIA",IF(E1348="","SEM SUBCATEGORIA",IF(COUNTIFS(CADASTROS!$L$7:$L$93,D1348,CADASTROS!$D$7:$D$93,E1348)=0,"INCOMPATÍVEL","OK"))))</f>
        <v/>
      </c>
    </row>
    <row r="1349" spans="1:11" ht="30" hidden="1" customHeight="1" x14ac:dyDescent="0.25">
      <c r="A1349" s="86" t="str">
        <f>IF(COUNTIF(EXTRATO!$A$2:$A$3000,"BAN-01206")=0,"","BAN-01206")</f>
        <v/>
      </c>
      <c r="B1349" s="85" t="str">
        <f>IF(A1349="","",IF(INDEX(EXTRATO!$C$2:$C$3000,MATCH($A1349,EXTRATO!$A$2:$A$3000,0))="","",INDEX(EXTRATO!$C$2:$C$3000,MATCH($A1349,EXTRATO!$A$2:$A$3000,0))))</f>
        <v/>
      </c>
      <c r="C1349" s="86" t="str">
        <f t="shared" si="28"/>
        <v/>
      </c>
      <c r="D1349" s="81"/>
      <c r="E1349" s="79"/>
      <c r="F1349" s="80" t="str">
        <f>IF(A1349="","",SUMIF(EXTRATO!$A$2:$A$3000,$A1349,EXTRATO!$J$2:$J$3000)+SUMIF(EXTRATO!$A$2:$A$3000,$A1349,EXTRATO!$K$2:$K$3000)+SUMIF(EXTRATO!$A$2:$A$3000,$A1349,EXTRATO!$L$2:$L$3000)+SUMIF(EXTRATO!$A$2:$A$3000,$A1349,EXTRATO!$M$2:$M$3000))</f>
        <v/>
      </c>
      <c r="G1349" s="81" t="str">
        <f>IF(A1349="","",IF(INDEX(EXTRATO!$G$2:$G$3000,MATCH($A1349,EXTRATO!$A$2:$A$3000,0))="","",INDEX(EXTRATO!$G$2:$G$3000,MATCH($A1349,EXTRATO!$A$2:$A$3000,0))))</f>
        <v/>
      </c>
      <c r="H1349" s="86" t="str">
        <f>IF(A1349="","",IF(INDEX(EXTRATO!$F$2:$F$3000,MATCH($A1349,EXTRATO!$A$2:$A$3000,0))="","",INDEX(EXTRATO!$F$2:$F$3000,MATCH($A1349,EXTRATO!$A$2:$A$3000,0))))</f>
        <v/>
      </c>
      <c r="I1349" s="88" t="str">
        <f>IF(A1349="","",IF(INDEX(EXTRATO!$H$2:$H$3000,MATCH($A1349,EXTRATO!$A$2:$A$3000,0))="","",INDEX(EXTRATO!$H$2:$H$3000,MATCH($A1349,EXTRATO!$A$2:$A$3000,0))))</f>
        <v/>
      </c>
      <c r="J1349" s="86" t="str">
        <f t="shared" si="29"/>
        <v/>
      </c>
      <c r="K1349" s="86" t="str">
        <f>IF(AND(A1349="",D1349="",E1349="",F1349=""),"",IF(D1349="","SEM CATEGORIA",IF(E1349="","SEM SUBCATEGORIA",IF(COUNTIFS(CADASTROS!$L$7:$L$93,D1349,CADASTROS!$D$7:$D$93,E1349)=0,"INCOMPATÍVEL","OK"))))</f>
        <v/>
      </c>
    </row>
    <row r="1350" spans="1:11" ht="30" hidden="1" customHeight="1" x14ac:dyDescent="0.25">
      <c r="A1350" s="86" t="str">
        <f>IF(COUNTIF(EXTRATO!$A$2:$A$3000,"BAN-01207")=0,"","BAN-01207")</f>
        <v/>
      </c>
      <c r="B1350" s="85" t="str">
        <f>IF(A1350="","",IF(INDEX(EXTRATO!$C$2:$C$3000,MATCH($A1350,EXTRATO!$A$2:$A$3000,0))="","",INDEX(EXTRATO!$C$2:$C$3000,MATCH($A1350,EXTRATO!$A$2:$A$3000,0))))</f>
        <v/>
      </c>
      <c r="C1350" s="86" t="str">
        <f t="shared" si="28"/>
        <v/>
      </c>
      <c r="D1350" s="81"/>
      <c r="E1350" s="79"/>
      <c r="F1350" s="80" t="str">
        <f>IF(A1350="","",SUMIF(EXTRATO!$A$2:$A$3000,$A1350,EXTRATO!$J$2:$J$3000)+SUMIF(EXTRATO!$A$2:$A$3000,$A1350,EXTRATO!$K$2:$K$3000)+SUMIF(EXTRATO!$A$2:$A$3000,$A1350,EXTRATO!$L$2:$L$3000)+SUMIF(EXTRATO!$A$2:$A$3000,$A1350,EXTRATO!$M$2:$M$3000))</f>
        <v/>
      </c>
      <c r="G1350" s="81" t="str">
        <f>IF(A1350="","",IF(INDEX(EXTRATO!$G$2:$G$3000,MATCH($A1350,EXTRATO!$A$2:$A$3000,0))="","",INDEX(EXTRATO!$G$2:$G$3000,MATCH($A1350,EXTRATO!$A$2:$A$3000,0))))</f>
        <v/>
      </c>
      <c r="H1350" s="86" t="str">
        <f>IF(A1350="","",IF(INDEX(EXTRATO!$F$2:$F$3000,MATCH($A1350,EXTRATO!$A$2:$A$3000,0))="","",INDEX(EXTRATO!$F$2:$F$3000,MATCH($A1350,EXTRATO!$A$2:$A$3000,0))))</f>
        <v/>
      </c>
      <c r="I1350" s="88" t="str">
        <f>IF(A1350="","",IF(INDEX(EXTRATO!$H$2:$H$3000,MATCH($A1350,EXTRATO!$A$2:$A$3000,0))="","",INDEX(EXTRATO!$H$2:$H$3000,MATCH($A1350,EXTRATO!$A$2:$A$3000,0))))</f>
        <v/>
      </c>
      <c r="J1350" s="86" t="str">
        <f t="shared" si="29"/>
        <v/>
      </c>
      <c r="K1350" s="86" t="str">
        <f>IF(AND(A1350="",D1350="",E1350="",F1350=""),"",IF(D1350="","SEM CATEGORIA",IF(E1350="","SEM SUBCATEGORIA",IF(COUNTIFS(CADASTROS!$L$7:$L$93,D1350,CADASTROS!$D$7:$D$93,E1350)=0,"INCOMPATÍVEL","OK"))))</f>
        <v/>
      </c>
    </row>
    <row r="1351" spans="1:11" ht="30" hidden="1" customHeight="1" x14ac:dyDescent="0.25">
      <c r="A1351" s="86" t="str">
        <f>IF(COUNTIF(EXTRATO!$A$2:$A$3000,"BAN-01208")=0,"","BAN-01208")</f>
        <v/>
      </c>
      <c r="B1351" s="85" t="str">
        <f>IF(A1351="","",IF(INDEX(EXTRATO!$C$2:$C$3000,MATCH($A1351,EXTRATO!$A$2:$A$3000,0))="","",INDEX(EXTRATO!$C$2:$C$3000,MATCH($A1351,EXTRATO!$A$2:$A$3000,0))))</f>
        <v/>
      </c>
      <c r="C1351" s="86" t="str">
        <f t="shared" si="28"/>
        <v/>
      </c>
      <c r="D1351" s="81"/>
      <c r="E1351" s="79"/>
      <c r="F1351" s="80" t="str">
        <f>IF(A1351="","",SUMIF(EXTRATO!$A$2:$A$3000,$A1351,EXTRATO!$J$2:$J$3000)+SUMIF(EXTRATO!$A$2:$A$3000,$A1351,EXTRATO!$K$2:$K$3000)+SUMIF(EXTRATO!$A$2:$A$3000,$A1351,EXTRATO!$L$2:$L$3000)+SUMIF(EXTRATO!$A$2:$A$3000,$A1351,EXTRATO!$M$2:$M$3000))</f>
        <v/>
      </c>
      <c r="G1351" s="81" t="str">
        <f>IF(A1351="","",IF(INDEX(EXTRATO!$G$2:$G$3000,MATCH($A1351,EXTRATO!$A$2:$A$3000,0))="","",INDEX(EXTRATO!$G$2:$G$3000,MATCH($A1351,EXTRATO!$A$2:$A$3000,0))))</f>
        <v/>
      </c>
      <c r="H1351" s="86" t="str">
        <f>IF(A1351="","",IF(INDEX(EXTRATO!$F$2:$F$3000,MATCH($A1351,EXTRATO!$A$2:$A$3000,0))="","",INDEX(EXTRATO!$F$2:$F$3000,MATCH($A1351,EXTRATO!$A$2:$A$3000,0))))</f>
        <v/>
      </c>
      <c r="I1351" s="88" t="str">
        <f>IF(A1351="","",IF(INDEX(EXTRATO!$H$2:$H$3000,MATCH($A1351,EXTRATO!$A$2:$A$3000,0))="","",INDEX(EXTRATO!$H$2:$H$3000,MATCH($A1351,EXTRATO!$A$2:$A$3000,0))))</f>
        <v/>
      </c>
      <c r="J1351" s="86" t="str">
        <f t="shared" si="29"/>
        <v/>
      </c>
      <c r="K1351" s="86" t="str">
        <f>IF(AND(A1351="",D1351="",E1351="",F1351=""),"",IF(D1351="","SEM CATEGORIA",IF(E1351="","SEM SUBCATEGORIA",IF(COUNTIFS(CADASTROS!$L$7:$L$93,D1351,CADASTROS!$D$7:$D$93,E1351)=0,"INCOMPATÍVEL","OK"))))</f>
        <v/>
      </c>
    </row>
    <row r="1352" spans="1:11" ht="30" hidden="1" customHeight="1" x14ac:dyDescent="0.25">
      <c r="A1352" s="86" t="str">
        <f>IF(COUNTIF(EXTRATO!$A$2:$A$3000,"BAN-01209")=0,"","BAN-01209")</f>
        <v/>
      </c>
      <c r="B1352" s="85" t="str">
        <f>IF(A1352="","",IF(INDEX(EXTRATO!$C$2:$C$3000,MATCH($A1352,EXTRATO!$A$2:$A$3000,0))="","",INDEX(EXTRATO!$C$2:$C$3000,MATCH($A1352,EXTRATO!$A$2:$A$3000,0))))</f>
        <v/>
      </c>
      <c r="C1352" s="86" t="str">
        <f t="shared" si="28"/>
        <v/>
      </c>
      <c r="D1352" s="81"/>
      <c r="E1352" s="79"/>
      <c r="F1352" s="80" t="str">
        <f>IF(A1352="","",SUMIF(EXTRATO!$A$2:$A$3000,$A1352,EXTRATO!$J$2:$J$3000)+SUMIF(EXTRATO!$A$2:$A$3000,$A1352,EXTRATO!$K$2:$K$3000)+SUMIF(EXTRATO!$A$2:$A$3000,$A1352,EXTRATO!$L$2:$L$3000)+SUMIF(EXTRATO!$A$2:$A$3000,$A1352,EXTRATO!$M$2:$M$3000))</f>
        <v/>
      </c>
      <c r="G1352" s="81" t="str">
        <f>IF(A1352="","",IF(INDEX(EXTRATO!$G$2:$G$3000,MATCH($A1352,EXTRATO!$A$2:$A$3000,0))="","",INDEX(EXTRATO!$G$2:$G$3000,MATCH($A1352,EXTRATO!$A$2:$A$3000,0))))</f>
        <v/>
      </c>
      <c r="H1352" s="86" t="str">
        <f>IF(A1352="","",IF(INDEX(EXTRATO!$F$2:$F$3000,MATCH($A1352,EXTRATO!$A$2:$A$3000,0))="","",INDEX(EXTRATO!$F$2:$F$3000,MATCH($A1352,EXTRATO!$A$2:$A$3000,0))))</f>
        <v/>
      </c>
      <c r="I1352" s="88" t="str">
        <f>IF(A1352="","",IF(INDEX(EXTRATO!$H$2:$H$3000,MATCH($A1352,EXTRATO!$A$2:$A$3000,0))="","",INDEX(EXTRATO!$H$2:$H$3000,MATCH($A1352,EXTRATO!$A$2:$A$3000,0))))</f>
        <v/>
      </c>
      <c r="J1352" s="86" t="str">
        <f t="shared" si="29"/>
        <v/>
      </c>
      <c r="K1352" s="86" t="str">
        <f>IF(AND(A1352="",D1352="",E1352="",F1352=""),"",IF(D1352="","SEM CATEGORIA",IF(E1352="","SEM SUBCATEGORIA",IF(COUNTIFS(CADASTROS!$L$7:$L$93,D1352,CADASTROS!$D$7:$D$93,E1352)=0,"INCOMPATÍVEL","OK"))))</f>
        <v/>
      </c>
    </row>
    <row r="1353" spans="1:11" ht="30" hidden="1" customHeight="1" x14ac:dyDescent="0.25">
      <c r="A1353" s="86" t="str">
        <f>IF(COUNTIF(EXTRATO!$A$2:$A$3000,"BAN-01210")=0,"","BAN-01210")</f>
        <v/>
      </c>
      <c r="B1353" s="85" t="str">
        <f>IF(A1353="","",IF(INDEX(EXTRATO!$C$2:$C$3000,MATCH($A1353,EXTRATO!$A$2:$A$3000,0))="","",INDEX(EXTRATO!$C$2:$C$3000,MATCH($A1353,EXTRATO!$A$2:$A$3000,0))))</f>
        <v/>
      </c>
      <c r="C1353" s="86" t="str">
        <f t="shared" si="28"/>
        <v/>
      </c>
      <c r="D1353" s="81"/>
      <c r="E1353" s="79"/>
      <c r="F1353" s="80" t="str">
        <f>IF(A1353="","",SUMIF(EXTRATO!$A$2:$A$3000,$A1353,EXTRATO!$J$2:$J$3000)+SUMIF(EXTRATO!$A$2:$A$3000,$A1353,EXTRATO!$K$2:$K$3000)+SUMIF(EXTRATO!$A$2:$A$3000,$A1353,EXTRATO!$L$2:$L$3000)+SUMIF(EXTRATO!$A$2:$A$3000,$A1353,EXTRATO!$M$2:$M$3000))</f>
        <v/>
      </c>
      <c r="G1353" s="81" t="str">
        <f>IF(A1353="","",IF(INDEX(EXTRATO!$G$2:$G$3000,MATCH($A1353,EXTRATO!$A$2:$A$3000,0))="","",INDEX(EXTRATO!$G$2:$G$3000,MATCH($A1353,EXTRATO!$A$2:$A$3000,0))))</f>
        <v/>
      </c>
      <c r="H1353" s="86" t="str">
        <f>IF(A1353="","",IF(INDEX(EXTRATO!$F$2:$F$3000,MATCH($A1353,EXTRATO!$A$2:$A$3000,0))="","",INDEX(EXTRATO!$F$2:$F$3000,MATCH($A1353,EXTRATO!$A$2:$A$3000,0))))</f>
        <v/>
      </c>
      <c r="I1353" s="88" t="str">
        <f>IF(A1353="","",IF(INDEX(EXTRATO!$H$2:$H$3000,MATCH($A1353,EXTRATO!$A$2:$A$3000,0))="","",INDEX(EXTRATO!$H$2:$H$3000,MATCH($A1353,EXTRATO!$A$2:$A$3000,0))))</f>
        <v/>
      </c>
      <c r="J1353" s="86" t="str">
        <f t="shared" si="29"/>
        <v/>
      </c>
      <c r="K1353" s="86" t="str">
        <f>IF(AND(A1353="",D1353="",E1353="",F1353=""),"",IF(D1353="","SEM CATEGORIA",IF(E1353="","SEM SUBCATEGORIA",IF(COUNTIFS(CADASTROS!$L$7:$L$93,D1353,CADASTROS!$D$7:$D$93,E1353)=0,"INCOMPATÍVEL","OK"))))</f>
        <v/>
      </c>
    </row>
    <row r="1354" spans="1:11" ht="30" hidden="1" customHeight="1" x14ac:dyDescent="0.25">
      <c r="A1354" s="86" t="str">
        <f>IF(COUNTIF(EXTRATO!$A$2:$A$3000,"BAN-01211")=0,"","BAN-01211")</f>
        <v/>
      </c>
      <c r="B1354" s="85" t="str">
        <f>IF(A1354="","",IF(INDEX(EXTRATO!$C$2:$C$3000,MATCH($A1354,EXTRATO!$A$2:$A$3000,0))="","",INDEX(EXTRATO!$C$2:$C$3000,MATCH($A1354,EXTRATO!$A$2:$A$3000,0))))</f>
        <v/>
      </c>
      <c r="C1354" s="86" t="str">
        <f t="shared" si="28"/>
        <v/>
      </c>
      <c r="D1354" s="81"/>
      <c r="E1354" s="79"/>
      <c r="F1354" s="80" t="str">
        <f>IF(A1354="","",SUMIF(EXTRATO!$A$2:$A$3000,$A1354,EXTRATO!$J$2:$J$3000)+SUMIF(EXTRATO!$A$2:$A$3000,$A1354,EXTRATO!$K$2:$K$3000)+SUMIF(EXTRATO!$A$2:$A$3000,$A1354,EXTRATO!$L$2:$L$3000)+SUMIF(EXTRATO!$A$2:$A$3000,$A1354,EXTRATO!$M$2:$M$3000))</f>
        <v/>
      </c>
      <c r="G1354" s="81" t="str">
        <f>IF(A1354="","",IF(INDEX(EXTRATO!$G$2:$G$3000,MATCH($A1354,EXTRATO!$A$2:$A$3000,0))="","",INDEX(EXTRATO!$G$2:$G$3000,MATCH($A1354,EXTRATO!$A$2:$A$3000,0))))</f>
        <v/>
      </c>
      <c r="H1354" s="86" t="str">
        <f>IF(A1354="","",IF(INDEX(EXTRATO!$F$2:$F$3000,MATCH($A1354,EXTRATO!$A$2:$A$3000,0))="","",INDEX(EXTRATO!$F$2:$F$3000,MATCH($A1354,EXTRATO!$A$2:$A$3000,0))))</f>
        <v/>
      </c>
      <c r="I1354" s="88" t="str">
        <f>IF(A1354="","",IF(INDEX(EXTRATO!$H$2:$H$3000,MATCH($A1354,EXTRATO!$A$2:$A$3000,0))="","",INDEX(EXTRATO!$H$2:$H$3000,MATCH($A1354,EXTRATO!$A$2:$A$3000,0))))</f>
        <v/>
      </c>
      <c r="J1354" s="86" t="str">
        <f t="shared" si="29"/>
        <v/>
      </c>
      <c r="K1354" s="86" t="str">
        <f>IF(AND(A1354="",D1354="",E1354="",F1354=""),"",IF(D1354="","SEM CATEGORIA",IF(E1354="","SEM SUBCATEGORIA",IF(COUNTIFS(CADASTROS!$L$7:$L$93,D1354,CADASTROS!$D$7:$D$93,E1354)=0,"INCOMPATÍVEL","OK"))))</f>
        <v/>
      </c>
    </row>
    <row r="1355" spans="1:11" ht="30" hidden="1" customHeight="1" x14ac:dyDescent="0.25">
      <c r="A1355" s="86" t="str">
        <f>IF(COUNTIF(EXTRATO!$A$2:$A$3000,"BAN-01212")=0,"","BAN-01212")</f>
        <v/>
      </c>
      <c r="B1355" s="85" t="str">
        <f>IF(A1355="","",IF(INDEX(EXTRATO!$C$2:$C$3000,MATCH($A1355,EXTRATO!$A$2:$A$3000,0))="","",INDEX(EXTRATO!$C$2:$C$3000,MATCH($A1355,EXTRATO!$A$2:$A$3000,0))))</f>
        <v/>
      </c>
      <c r="C1355" s="86" t="str">
        <f t="shared" si="28"/>
        <v/>
      </c>
      <c r="D1355" s="81"/>
      <c r="E1355" s="79"/>
      <c r="F1355" s="80" t="str">
        <f>IF(A1355="","",SUMIF(EXTRATO!$A$2:$A$3000,$A1355,EXTRATO!$J$2:$J$3000)+SUMIF(EXTRATO!$A$2:$A$3000,$A1355,EXTRATO!$K$2:$K$3000)+SUMIF(EXTRATO!$A$2:$A$3000,$A1355,EXTRATO!$L$2:$L$3000)+SUMIF(EXTRATO!$A$2:$A$3000,$A1355,EXTRATO!$M$2:$M$3000))</f>
        <v/>
      </c>
      <c r="G1355" s="81" t="str">
        <f>IF(A1355="","",IF(INDEX(EXTRATO!$G$2:$G$3000,MATCH($A1355,EXTRATO!$A$2:$A$3000,0))="","",INDEX(EXTRATO!$G$2:$G$3000,MATCH($A1355,EXTRATO!$A$2:$A$3000,0))))</f>
        <v/>
      </c>
      <c r="H1355" s="86" t="str">
        <f>IF(A1355="","",IF(INDEX(EXTRATO!$F$2:$F$3000,MATCH($A1355,EXTRATO!$A$2:$A$3000,0))="","",INDEX(EXTRATO!$F$2:$F$3000,MATCH($A1355,EXTRATO!$A$2:$A$3000,0))))</f>
        <v/>
      </c>
      <c r="I1355" s="88" t="str">
        <f>IF(A1355="","",IF(INDEX(EXTRATO!$H$2:$H$3000,MATCH($A1355,EXTRATO!$A$2:$A$3000,0))="","",INDEX(EXTRATO!$H$2:$H$3000,MATCH($A1355,EXTRATO!$A$2:$A$3000,0))))</f>
        <v/>
      </c>
      <c r="J1355" s="86" t="str">
        <f t="shared" si="29"/>
        <v/>
      </c>
      <c r="K1355" s="86" t="str">
        <f>IF(AND(A1355="",D1355="",E1355="",F1355=""),"",IF(D1355="","SEM CATEGORIA",IF(E1355="","SEM SUBCATEGORIA",IF(COUNTIFS(CADASTROS!$L$7:$L$93,D1355,CADASTROS!$D$7:$D$93,E1355)=0,"INCOMPATÍVEL","OK"))))</f>
        <v/>
      </c>
    </row>
    <row r="1356" spans="1:11" ht="30" hidden="1" customHeight="1" x14ac:dyDescent="0.25">
      <c r="A1356" s="86" t="str">
        <f>IF(COUNTIF(EXTRATO!$A$2:$A$3000,"BAN-01213")=0,"","BAN-01213")</f>
        <v/>
      </c>
      <c r="B1356" s="85" t="str">
        <f>IF(A1356="","",IF(INDEX(EXTRATO!$C$2:$C$3000,MATCH($A1356,EXTRATO!$A$2:$A$3000,0))="","",INDEX(EXTRATO!$C$2:$C$3000,MATCH($A1356,EXTRATO!$A$2:$A$3000,0))))</f>
        <v/>
      </c>
      <c r="C1356" s="86" t="str">
        <f t="shared" si="28"/>
        <v/>
      </c>
      <c r="D1356" s="81"/>
      <c r="E1356" s="79"/>
      <c r="F1356" s="80" t="str">
        <f>IF(A1356="","",SUMIF(EXTRATO!$A$2:$A$3000,$A1356,EXTRATO!$J$2:$J$3000)+SUMIF(EXTRATO!$A$2:$A$3000,$A1356,EXTRATO!$K$2:$K$3000)+SUMIF(EXTRATO!$A$2:$A$3000,$A1356,EXTRATO!$L$2:$L$3000)+SUMIF(EXTRATO!$A$2:$A$3000,$A1356,EXTRATO!$M$2:$M$3000))</f>
        <v/>
      </c>
      <c r="G1356" s="81" t="str">
        <f>IF(A1356="","",IF(INDEX(EXTRATO!$G$2:$G$3000,MATCH($A1356,EXTRATO!$A$2:$A$3000,0))="","",INDEX(EXTRATO!$G$2:$G$3000,MATCH($A1356,EXTRATO!$A$2:$A$3000,0))))</f>
        <v/>
      </c>
      <c r="H1356" s="86" t="str">
        <f>IF(A1356="","",IF(INDEX(EXTRATO!$F$2:$F$3000,MATCH($A1356,EXTRATO!$A$2:$A$3000,0))="","",INDEX(EXTRATO!$F$2:$F$3000,MATCH($A1356,EXTRATO!$A$2:$A$3000,0))))</f>
        <v/>
      </c>
      <c r="I1356" s="88" t="str">
        <f>IF(A1356="","",IF(INDEX(EXTRATO!$H$2:$H$3000,MATCH($A1356,EXTRATO!$A$2:$A$3000,0))="","",INDEX(EXTRATO!$H$2:$H$3000,MATCH($A1356,EXTRATO!$A$2:$A$3000,0))))</f>
        <v/>
      </c>
      <c r="J1356" s="86" t="str">
        <f t="shared" si="29"/>
        <v/>
      </c>
      <c r="K1356" s="86" t="str">
        <f>IF(AND(A1356="",D1356="",E1356="",F1356=""),"",IF(D1356="","SEM CATEGORIA",IF(E1356="","SEM SUBCATEGORIA",IF(COUNTIFS(CADASTROS!$L$7:$L$93,D1356,CADASTROS!$D$7:$D$93,E1356)=0,"INCOMPATÍVEL","OK"))))</f>
        <v/>
      </c>
    </row>
    <row r="1357" spans="1:11" ht="30" hidden="1" customHeight="1" x14ac:dyDescent="0.25">
      <c r="A1357" s="86" t="str">
        <f>IF(COUNTIF(EXTRATO!$A$2:$A$3000,"BAN-01214")=0,"","BAN-01214")</f>
        <v/>
      </c>
      <c r="B1357" s="85" t="str">
        <f>IF(A1357="","",IF(INDEX(EXTRATO!$C$2:$C$3000,MATCH($A1357,EXTRATO!$A$2:$A$3000,0))="","",INDEX(EXTRATO!$C$2:$C$3000,MATCH($A1357,EXTRATO!$A$2:$A$3000,0))))</f>
        <v/>
      </c>
      <c r="C1357" s="86" t="str">
        <f t="shared" si="28"/>
        <v/>
      </c>
      <c r="D1357" s="81"/>
      <c r="E1357" s="79"/>
      <c r="F1357" s="80" t="str">
        <f>IF(A1357="","",SUMIF(EXTRATO!$A$2:$A$3000,$A1357,EXTRATO!$J$2:$J$3000)+SUMIF(EXTRATO!$A$2:$A$3000,$A1357,EXTRATO!$K$2:$K$3000)+SUMIF(EXTRATO!$A$2:$A$3000,$A1357,EXTRATO!$L$2:$L$3000)+SUMIF(EXTRATO!$A$2:$A$3000,$A1357,EXTRATO!$M$2:$M$3000))</f>
        <v/>
      </c>
      <c r="G1357" s="81" t="str">
        <f>IF(A1357="","",IF(INDEX(EXTRATO!$G$2:$G$3000,MATCH($A1357,EXTRATO!$A$2:$A$3000,0))="","",INDEX(EXTRATO!$G$2:$G$3000,MATCH($A1357,EXTRATO!$A$2:$A$3000,0))))</f>
        <v/>
      </c>
      <c r="H1357" s="86" t="str">
        <f>IF(A1357="","",IF(INDEX(EXTRATO!$F$2:$F$3000,MATCH($A1357,EXTRATO!$A$2:$A$3000,0))="","",INDEX(EXTRATO!$F$2:$F$3000,MATCH($A1357,EXTRATO!$A$2:$A$3000,0))))</f>
        <v/>
      </c>
      <c r="I1357" s="88" t="str">
        <f>IF(A1357="","",IF(INDEX(EXTRATO!$H$2:$H$3000,MATCH($A1357,EXTRATO!$A$2:$A$3000,0))="","",INDEX(EXTRATO!$H$2:$H$3000,MATCH($A1357,EXTRATO!$A$2:$A$3000,0))))</f>
        <v/>
      </c>
      <c r="J1357" s="86" t="str">
        <f t="shared" si="29"/>
        <v/>
      </c>
      <c r="K1357" s="86" t="str">
        <f>IF(AND(A1357="",D1357="",E1357="",F1357=""),"",IF(D1357="","SEM CATEGORIA",IF(E1357="","SEM SUBCATEGORIA",IF(COUNTIFS(CADASTROS!$L$7:$L$93,D1357,CADASTROS!$D$7:$D$93,E1357)=0,"INCOMPATÍVEL","OK"))))</f>
        <v/>
      </c>
    </row>
    <row r="1358" spans="1:11" ht="30" hidden="1" customHeight="1" x14ac:dyDescent="0.25">
      <c r="A1358" s="86" t="str">
        <f>IF(COUNTIF(EXTRATO!$A$2:$A$3000,"BAN-01215")=0,"","BAN-01215")</f>
        <v/>
      </c>
      <c r="B1358" s="85" t="str">
        <f>IF(A1358="","",IF(INDEX(EXTRATO!$C$2:$C$3000,MATCH($A1358,EXTRATO!$A$2:$A$3000,0))="","",INDEX(EXTRATO!$C$2:$C$3000,MATCH($A1358,EXTRATO!$A$2:$A$3000,0))))</f>
        <v/>
      </c>
      <c r="C1358" s="86" t="str">
        <f t="shared" si="28"/>
        <v/>
      </c>
      <c r="D1358" s="81"/>
      <c r="E1358" s="79"/>
      <c r="F1358" s="80" t="str">
        <f>IF(A1358="","",SUMIF(EXTRATO!$A$2:$A$3000,$A1358,EXTRATO!$J$2:$J$3000)+SUMIF(EXTRATO!$A$2:$A$3000,$A1358,EXTRATO!$K$2:$K$3000)+SUMIF(EXTRATO!$A$2:$A$3000,$A1358,EXTRATO!$L$2:$L$3000)+SUMIF(EXTRATO!$A$2:$A$3000,$A1358,EXTRATO!$M$2:$M$3000))</f>
        <v/>
      </c>
      <c r="G1358" s="81" t="str">
        <f>IF(A1358="","",IF(INDEX(EXTRATO!$G$2:$G$3000,MATCH($A1358,EXTRATO!$A$2:$A$3000,0))="","",INDEX(EXTRATO!$G$2:$G$3000,MATCH($A1358,EXTRATO!$A$2:$A$3000,0))))</f>
        <v/>
      </c>
      <c r="H1358" s="86" t="str">
        <f>IF(A1358="","",IF(INDEX(EXTRATO!$F$2:$F$3000,MATCH($A1358,EXTRATO!$A$2:$A$3000,0))="","",INDEX(EXTRATO!$F$2:$F$3000,MATCH($A1358,EXTRATO!$A$2:$A$3000,0))))</f>
        <v/>
      </c>
      <c r="I1358" s="88" t="str">
        <f>IF(A1358="","",IF(INDEX(EXTRATO!$H$2:$H$3000,MATCH($A1358,EXTRATO!$A$2:$A$3000,0))="","",INDEX(EXTRATO!$H$2:$H$3000,MATCH($A1358,EXTRATO!$A$2:$A$3000,0))))</f>
        <v/>
      </c>
      <c r="J1358" s="86" t="str">
        <f t="shared" si="29"/>
        <v/>
      </c>
      <c r="K1358" s="86" t="str">
        <f>IF(AND(A1358="",D1358="",E1358="",F1358=""),"",IF(D1358="","SEM CATEGORIA",IF(E1358="","SEM SUBCATEGORIA",IF(COUNTIFS(CADASTROS!$L$7:$L$93,D1358,CADASTROS!$D$7:$D$93,E1358)=0,"INCOMPATÍVEL","OK"))))</f>
        <v/>
      </c>
    </row>
    <row r="1359" spans="1:11" ht="30" hidden="1" customHeight="1" x14ac:dyDescent="0.25">
      <c r="A1359" s="86" t="str">
        <f>IF(COUNTIF(EXTRATO!$A$2:$A$3000,"BAN-01216")=0,"","BAN-01216")</f>
        <v/>
      </c>
      <c r="B1359" s="85" t="str">
        <f>IF(A1359="","",IF(INDEX(EXTRATO!$C$2:$C$3000,MATCH($A1359,EXTRATO!$A$2:$A$3000,0))="","",INDEX(EXTRATO!$C$2:$C$3000,MATCH($A1359,EXTRATO!$A$2:$A$3000,0))))</f>
        <v/>
      </c>
      <c r="C1359" s="86" t="str">
        <f t="shared" si="28"/>
        <v/>
      </c>
      <c r="D1359" s="81"/>
      <c r="E1359" s="79"/>
      <c r="F1359" s="80" t="str">
        <f>IF(A1359="","",SUMIF(EXTRATO!$A$2:$A$3000,$A1359,EXTRATO!$J$2:$J$3000)+SUMIF(EXTRATO!$A$2:$A$3000,$A1359,EXTRATO!$K$2:$K$3000)+SUMIF(EXTRATO!$A$2:$A$3000,$A1359,EXTRATO!$L$2:$L$3000)+SUMIF(EXTRATO!$A$2:$A$3000,$A1359,EXTRATO!$M$2:$M$3000))</f>
        <v/>
      </c>
      <c r="G1359" s="81" t="str">
        <f>IF(A1359="","",IF(INDEX(EXTRATO!$G$2:$G$3000,MATCH($A1359,EXTRATO!$A$2:$A$3000,0))="","",INDEX(EXTRATO!$G$2:$G$3000,MATCH($A1359,EXTRATO!$A$2:$A$3000,0))))</f>
        <v/>
      </c>
      <c r="H1359" s="86" t="str">
        <f>IF(A1359="","",IF(INDEX(EXTRATO!$F$2:$F$3000,MATCH($A1359,EXTRATO!$A$2:$A$3000,0))="","",INDEX(EXTRATO!$F$2:$F$3000,MATCH($A1359,EXTRATO!$A$2:$A$3000,0))))</f>
        <v/>
      </c>
      <c r="I1359" s="88" t="str">
        <f>IF(A1359="","",IF(INDEX(EXTRATO!$H$2:$H$3000,MATCH($A1359,EXTRATO!$A$2:$A$3000,0))="","",INDEX(EXTRATO!$H$2:$H$3000,MATCH($A1359,EXTRATO!$A$2:$A$3000,0))))</f>
        <v/>
      </c>
      <c r="J1359" s="86" t="str">
        <f t="shared" si="29"/>
        <v/>
      </c>
      <c r="K1359" s="86" t="str">
        <f>IF(AND(A1359="",D1359="",E1359="",F1359=""),"",IF(D1359="","SEM CATEGORIA",IF(E1359="","SEM SUBCATEGORIA",IF(COUNTIFS(CADASTROS!$L$7:$L$93,D1359,CADASTROS!$D$7:$D$93,E1359)=0,"INCOMPATÍVEL","OK"))))</f>
        <v/>
      </c>
    </row>
    <row r="1360" spans="1:11" ht="30" hidden="1" customHeight="1" x14ac:dyDescent="0.25">
      <c r="A1360" s="86" t="str">
        <f>IF(COUNTIF(EXTRATO!$A$2:$A$3000,"BAN-01217")=0,"","BAN-01217")</f>
        <v/>
      </c>
      <c r="B1360" s="85" t="str">
        <f>IF(A1360="","",IF(INDEX(EXTRATO!$C$2:$C$3000,MATCH($A1360,EXTRATO!$A$2:$A$3000,0))="","",INDEX(EXTRATO!$C$2:$C$3000,MATCH($A1360,EXTRATO!$A$2:$A$3000,0))))</f>
        <v/>
      </c>
      <c r="C1360" s="86" t="str">
        <f t="shared" si="28"/>
        <v/>
      </c>
      <c r="D1360" s="81"/>
      <c r="E1360" s="79"/>
      <c r="F1360" s="80" t="str">
        <f>IF(A1360="","",SUMIF(EXTRATO!$A$2:$A$3000,$A1360,EXTRATO!$J$2:$J$3000)+SUMIF(EXTRATO!$A$2:$A$3000,$A1360,EXTRATO!$K$2:$K$3000)+SUMIF(EXTRATO!$A$2:$A$3000,$A1360,EXTRATO!$L$2:$L$3000)+SUMIF(EXTRATO!$A$2:$A$3000,$A1360,EXTRATO!$M$2:$M$3000))</f>
        <v/>
      </c>
      <c r="G1360" s="81" t="str">
        <f>IF(A1360="","",IF(INDEX(EXTRATO!$G$2:$G$3000,MATCH($A1360,EXTRATO!$A$2:$A$3000,0))="","",INDEX(EXTRATO!$G$2:$G$3000,MATCH($A1360,EXTRATO!$A$2:$A$3000,0))))</f>
        <v/>
      </c>
      <c r="H1360" s="86" t="str">
        <f>IF(A1360="","",IF(INDEX(EXTRATO!$F$2:$F$3000,MATCH($A1360,EXTRATO!$A$2:$A$3000,0))="","",INDEX(EXTRATO!$F$2:$F$3000,MATCH($A1360,EXTRATO!$A$2:$A$3000,0))))</f>
        <v/>
      </c>
      <c r="I1360" s="88" t="str">
        <f>IF(A1360="","",IF(INDEX(EXTRATO!$H$2:$H$3000,MATCH($A1360,EXTRATO!$A$2:$A$3000,0))="","",INDEX(EXTRATO!$H$2:$H$3000,MATCH($A1360,EXTRATO!$A$2:$A$3000,0))))</f>
        <v/>
      </c>
      <c r="J1360" s="86" t="str">
        <f t="shared" si="29"/>
        <v/>
      </c>
      <c r="K1360" s="86" t="str">
        <f>IF(AND(A1360="",D1360="",E1360="",F1360=""),"",IF(D1360="","SEM CATEGORIA",IF(E1360="","SEM SUBCATEGORIA",IF(COUNTIFS(CADASTROS!$L$7:$L$93,D1360,CADASTROS!$D$7:$D$93,E1360)=0,"INCOMPATÍVEL","OK"))))</f>
        <v/>
      </c>
    </row>
    <row r="1361" spans="1:11" ht="30" hidden="1" customHeight="1" x14ac:dyDescent="0.25">
      <c r="A1361" s="86" t="str">
        <f>IF(COUNTIF(EXTRATO!$A$2:$A$3000,"BAN-01218")=0,"","BAN-01218")</f>
        <v/>
      </c>
      <c r="B1361" s="85" t="str">
        <f>IF(A1361="","",IF(INDEX(EXTRATO!$C$2:$C$3000,MATCH($A1361,EXTRATO!$A$2:$A$3000,0))="","",INDEX(EXTRATO!$C$2:$C$3000,MATCH($A1361,EXTRATO!$A$2:$A$3000,0))))</f>
        <v/>
      </c>
      <c r="C1361" s="86" t="str">
        <f t="shared" si="28"/>
        <v/>
      </c>
      <c r="D1361" s="81"/>
      <c r="E1361" s="79"/>
      <c r="F1361" s="80" t="str">
        <f>IF(A1361="","",SUMIF(EXTRATO!$A$2:$A$3000,$A1361,EXTRATO!$J$2:$J$3000)+SUMIF(EXTRATO!$A$2:$A$3000,$A1361,EXTRATO!$K$2:$K$3000)+SUMIF(EXTRATO!$A$2:$A$3000,$A1361,EXTRATO!$L$2:$L$3000)+SUMIF(EXTRATO!$A$2:$A$3000,$A1361,EXTRATO!$M$2:$M$3000))</f>
        <v/>
      </c>
      <c r="G1361" s="81" t="str">
        <f>IF(A1361="","",IF(INDEX(EXTRATO!$G$2:$G$3000,MATCH($A1361,EXTRATO!$A$2:$A$3000,0))="","",INDEX(EXTRATO!$G$2:$G$3000,MATCH($A1361,EXTRATO!$A$2:$A$3000,0))))</f>
        <v/>
      </c>
      <c r="H1361" s="86" t="str">
        <f>IF(A1361="","",IF(INDEX(EXTRATO!$F$2:$F$3000,MATCH($A1361,EXTRATO!$A$2:$A$3000,0))="","",INDEX(EXTRATO!$F$2:$F$3000,MATCH($A1361,EXTRATO!$A$2:$A$3000,0))))</f>
        <v/>
      </c>
      <c r="I1361" s="88" t="str">
        <f>IF(A1361="","",IF(INDEX(EXTRATO!$H$2:$H$3000,MATCH($A1361,EXTRATO!$A$2:$A$3000,0))="","",INDEX(EXTRATO!$H$2:$H$3000,MATCH($A1361,EXTRATO!$A$2:$A$3000,0))))</f>
        <v/>
      </c>
      <c r="J1361" s="86" t="str">
        <f t="shared" si="29"/>
        <v/>
      </c>
      <c r="K1361" s="86" t="str">
        <f>IF(AND(A1361="",D1361="",E1361="",F1361=""),"",IF(D1361="","SEM CATEGORIA",IF(E1361="","SEM SUBCATEGORIA",IF(COUNTIFS(CADASTROS!$L$7:$L$93,D1361,CADASTROS!$D$7:$D$93,E1361)=0,"INCOMPATÍVEL","OK"))))</f>
        <v/>
      </c>
    </row>
    <row r="1362" spans="1:11" ht="30" hidden="1" customHeight="1" x14ac:dyDescent="0.25">
      <c r="A1362" s="86" t="str">
        <f>IF(COUNTIF(EXTRATO!$A$2:$A$3000,"BAN-01219")=0,"","BAN-01219")</f>
        <v/>
      </c>
      <c r="B1362" s="85" t="str">
        <f>IF(A1362="","",IF(INDEX(EXTRATO!$C$2:$C$3000,MATCH($A1362,EXTRATO!$A$2:$A$3000,0))="","",INDEX(EXTRATO!$C$2:$C$3000,MATCH($A1362,EXTRATO!$A$2:$A$3000,0))))</f>
        <v/>
      </c>
      <c r="C1362" s="86" t="str">
        <f t="shared" si="28"/>
        <v/>
      </c>
      <c r="D1362" s="81"/>
      <c r="E1362" s="79"/>
      <c r="F1362" s="80" t="str">
        <f>IF(A1362="","",SUMIF(EXTRATO!$A$2:$A$3000,$A1362,EXTRATO!$J$2:$J$3000)+SUMIF(EXTRATO!$A$2:$A$3000,$A1362,EXTRATO!$K$2:$K$3000)+SUMIF(EXTRATO!$A$2:$A$3000,$A1362,EXTRATO!$L$2:$L$3000)+SUMIF(EXTRATO!$A$2:$A$3000,$A1362,EXTRATO!$M$2:$M$3000))</f>
        <v/>
      </c>
      <c r="G1362" s="81" t="str">
        <f>IF(A1362="","",IF(INDEX(EXTRATO!$G$2:$G$3000,MATCH($A1362,EXTRATO!$A$2:$A$3000,0))="","",INDEX(EXTRATO!$G$2:$G$3000,MATCH($A1362,EXTRATO!$A$2:$A$3000,0))))</f>
        <v/>
      </c>
      <c r="H1362" s="86" t="str">
        <f>IF(A1362="","",IF(INDEX(EXTRATO!$F$2:$F$3000,MATCH($A1362,EXTRATO!$A$2:$A$3000,0))="","",INDEX(EXTRATO!$F$2:$F$3000,MATCH($A1362,EXTRATO!$A$2:$A$3000,0))))</f>
        <v/>
      </c>
      <c r="I1362" s="88" t="str">
        <f>IF(A1362="","",IF(INDEX(EXTRATO!$H$2:$H$3000,MATCH($A1362,EXTRATO!$A$2:$A$3000,0))="","",INDEX(EXTRATO!$H$2:$H$3000,MATCH($A1362,EXTRATO!$A$2:$A$3000,0))))</f>
        <v/>
      </c>
      <c r="J1362" s="86" t="str">
        <f t="shared" si="29"/>
        <v/>
      </c>
      <c r="K1362" s="86" t="str">
        <f>IF(AND(A1362="",D1362="",E1362="",F1362=""),"",IF(D1362="","SEM CATEGORIA",IF(E1362="","SEM SUBCATEGORIA",IF(COUNTIFS(CADASTROS!$L$7:$L$93,D1362,CADASTROS!$D$7:$D$93,E1362)=0,"INCOMPATÍVEL","OK"))))</f>
        <v/>
      </c>
    </row>
    <row r="1363" spans="1:11" ht="30" hidden="1" customHeight="1" x14ac:dyDescent="0.25">
      <c r="A1363" s="86" t="str">
        <f>IF(COUNTIF(EXTRATO!$A$2:$A$3000,"BAN-01220")=0,"","BAN-01220")</f>
        <v/>
      </c>
      <c r="B1363" s="85" t="str">
        <f>IF(A1363="","",IF(INDEX(EXTRATO!$C$2:$C$3000,MATCH($A1363,EXTRATO!$A$2:$A$3000,0))="","",INDEX(EXTRATO!$C$2:$C$3000,MATCH($A1363,EXTRATO!$A$2:$A$3000,0))))</f>
        <v/>
      </c>
      <c r="C1363" s="86" t="str">
        <f t="shared" si="28"/>
        <v/>
      </c>
      <c r="D1363" s="81"/>
      <c r="E1363" s="79"/>
      <c r="F1363" s="80" t="str">
        <f>IF(A1363="","",SUMIF(EXTRATO!$A$2:$A$3000,$A1363,EXTRATO!$J$2:$J$3000)+SUMIF(EXTRATO!$A$2:$A$3000,$A1363,EXTRATO!$K$2:$K$3000)+SUMIF(EXTRATO!$A$2:$A$3000,$A1363,EXTRATO!$L$2:$L$3000)+SUMIF(EXTRATO!$A$2:$A$3000,$A1363,EXTRATO!$M$2:$M$3000))</f>
        <v/>
      </c>
      <c r="G1363" s="81" t="str">
        <f>IF(A1363="","",IF(INDEX(EXTRATO!$G$2:$G$3000,MATCH($A1363,EXTRATO!$A$2:$A$3000,0))="","",INDEX(EXTRATO!$G$2:$G$3000,MATCH($A1363,EXTRATO!$A$2:$A$3000,0))))</f>
        <v/>
      </c>
      <c r="H1363" s="86" t="str">
        <f>IF(A1363="","",IF(INDEX(EXTRATO!$F$2:$F$3000,MATCH($A1363,EXTRATO!$A$2:$A$3000,0))="","",INDEX(EXTRATO!$F$2:$F$3000,MATCH($A1363,EXTRATO!$A$2:$A$3000,0))))</f>
        <v/>
      </c>
      <c r="I1363" s="88" t="str">
        <f>IF(A1363="","",IF(INDEX(EXTRATO!$H$2:$H$3000,MATCH($A1363,EXTRATO!$A$2:$A$3000,0))="","",INDEX(EXTRATO!$H$2:$H$3000,MATCH($A1363,EXTRATO!$A$2:$A$3000,0))))</f>
        <v/>
      </c>
      <c r="J1363" s="86" t="str">
        <f t="shared" si="29"/>
        <v/>
      </c>
      <c r="K1363" s="86" t="str">
        <f>IF(AND(A1363="",D1363="",E1363="",F1363=""),"",IF(D1363="","SEM CATEGORIA",IF(E1363="","SEM SUBCATEGORIA",IF(COUNTIFS(CADASTROS!$L$7:$L$93,D1363,CADASTROS!$D$7:$D$93,E1363)=0,"INCOMPATÍVEL","OK"))))</f>
        <v/>
      </c>
    </row>
    <row r="1364" spans="1:11" ht="30" hidden="1" customHeight="1" x14ac:dyDescent="0.25">
      <c r="A1364" s="86" t="str">
        <f>IF(COUNTIF(EXTRATO!$A$2:$A$3000,"BAN-01221")=0,"","BAN-01221")</f>
        <v/>
      </c>
      <c r="B1364" s="85" t="str">
        <f>IF(A1364="","",IF(INDEX(EXTRATO!$C$2:$C$3000,MATCH($A1364,EXTRATO!$A$2:$A$3000,0))="","",INDEX(EXTRATO!$C$2:$C$3000,MATCH($A1364,EXTRATO!$A$2:$A$3000,0))))</f>
        <v/>
      </c>
      <c r="C1364" s="86" t="str">
        <f t="shared" si="28"/>
        <v/>
      </c>
      <c r="D1364" s="81"/>
      <c r="E1364" s="79"/>
      <c r="F1364" s="80" t="str">
        <f>IF(A1364="","",SUMIF(EXTRATO!$A$2:$A$3000,$A1364,EXTRATO!$J$2:$J$3000)+SUMIF(EXTRATO!$A$2:$A$3000,$A1364,EXTRATO!$K$2:$K$3000)+SUMIF(EXTRATO!$A$2:$A$3000,$A1364,EXTRATO!$L$2:$L$3000)+SUMIF(EXTRATO!$A$2:$A$3000,$A1364,EXTRATO!$M$2:$M$3000))</f>
        <v/>
      </c>
      <c r="G1364" s="81" t="str">
        <f>IF(A1364="","",IF(INDEX(EXTRATO!$G$2:$G$3000,MATCH($A1364,EXTRATO!$A$2:$A$3000,0))="","",INDEX(EXTRATO!$G$2:$G$3000,MATCH($A1364,EXTRATO!$A$2:$A$3000,0))))</f>
        <v/>
      </c>
      <c r="H1364" s="86" t="str">
        <f>IF(A1364="","",IF(INDEX(EXTRATO!$F$2:$F$3000,MATCH($A1364,EXTRATO!$A$2:$A$3000,0))="","",INDEX(EXTRATO!$F$2:$F$3000,MATCH($A1364,EXTRATO!$A$2:$A$3000,0))))</f>
        <v/>
      </c>
      <c r="I1364" s="88" t="str">
        <f>IF(A1364="","",IF(INDEX(EXTRATO!$H$2:$H$3000,MATCH($A1364,EXTRATO!$A$2:$A$3000,0))="","",INDEX(EXTRATO!$H$2:$H$3000,MATCH($A1364,EXTRATO!$A$2:$A$3000,0))))</f>
        <v/>
      </c>
      <c r="J1364" s="86" t="str">
        <f t="shared" si="29"/>
        <v/>
      </c>
      <c r="K1364" s="86" t="str">
        <f>IF(AND(A1364="",D1364="",E1364="",F1364=""),"",IF(D1364="","SEM CATEGORIA",IF(E1364="","SEM SUBCATEGORIA",IF(COUNTIFS(CADASTROS!$L$7:$L$93,D1364,CADASTROS!$D$7:$D$93,E1364)=0,"INCOMPATÍVEL","OK"))))</f>
        <v/>
      </c>
    </row>
    <row r="1365" spans="1:11" ht="30" hidden="1" customHeight="1" x14ac:dyDescent="0.25">
      <c r="A1365" s="86" t="str">
        <f>IF(COUNTIF(EXTRATO!$A$2:$A$3000,"BAN-01222")=0,"","BAN-01222")</f>
        <v/>
      </c>
      <c r="B1365" s="85" t="str">
        <f>IF(A1365="","",IF(INDEX(EXTRATO!$C$2:$C$3000,MATCH($A1365,EXTRATO!$A$2:$A$3000,0))="","",INDEX(EXTRATO!$C$2:$C$3000,MATCH($A1365,EXTRATO!$A$2:$A$3000,0))))</f>
        <v/>
      </c>
      <c r="C1365" s="86" t="str">
        <f t="shared" ref="C1365:C1428" si="30">IF(B1365="","",MONTH(B1365))</f>
        <v/>
      </c>
      <c r="D1365" s="81"/>
      <c r="E1365" s="79"/>
      <c r="F1365" s="80" t="str">
        <f>IF(A1365="","",SUMIF(EXTRATO!$A$2:$A$3000,$A1365,EXTRATO!$J$2:$J$3000)+SUMIF(EXTRATO!$A$2:$A$3000,$A1365,EXTRATO!$K$2:$K$3000)+SUMIF(EXTRATO!$A$2:$A$3000,$A1365,EXTRATO!$L$2:$L$3000)+SUMIF(EXTRATO!$A$2:$A$3000,$A1365,EXTRATO!$M$2:$M$3000))</f>
        <v/>
      </c>
      <c r="G1365" s="81" t="str">
        <f>IF(A1365="","",IF(INDEX(EXTRATO!$G$2:$G$3000,MATCH($A1365,EXTRATO!$A$2:$A$3000,0))="","",INDEX(EXTRATO!$G$2:$G$3000,MATCH($A1365,EXTRATO!$A$2:$A$3000,0))))</f>
        <v/>
      </c>
      <c r="H1365" s="86" t="str">
        <f>IF(A1365="","",IF(INDEX(EXTRATO!$F$2:$F$3000,MATCH($A1365,EXTRATO!$A$2:$A$3000,0))="","",INDEX(EXTRATO!$F$2:$F$3000,MATCH($A1365,EXTRATO!$A$2:$A$3000,0))))</f>
        <v/>
      </c>
      <c r="I1365" s="88" t="str">
        <f>IF(A1365="","",IF(INDEX(EXTRATO!$H$2:$H$3000,MATCH($A1365,EXTRATO!$A$2:$A$3000,0))="","",INDEX(EXTRATO!$H$2:$H$3000,MATCH($A1365,EXTRATO!$A$2:$A$3000,0))))</f>
        <v/>
      </c>
      <c r="J1365" s="86" t="str">
        <f t="shared" si="29"/>
        <v/>
      </c>
      <c r="K1365" s="86" t="str">
        <f>IF(AND(A1365="",D1365="",E1365="",F1365=""),"",IF(D1365="","SEM CATEGORIA",IF(E1365="","SEM SUBCATEGORIA",IF(COUNTIFS(CADASTROS!$L$7:$L$93,D1365,CADASTROS!$D$7:$D$93,E1365)=0,"INCOMPATÍVEL","OK"))))</f>
        <v/>
      </c>
    </row>
    <row r="1366" spans="1:11" ht="30" hidden="1" customHeight="1" x14ac:dyDescent="0.25">
      <c r="A1366" s="86" t="str">
        <f>IF(COUNTIF(EXTRATO!$A$2:$A$3000,"BAN-01223")=0,"","BAN-01223")</f>
        <v/>
      </c>
      <c r="B1366" s="85" t="str">
        <f>IF(A1366="","",IF(INDEX(EXTRATO!$C$2:$C$3000,MATCH($A1366,EXTRATO!$A$2:$A$3000,0))="","",INDEX(EXTRATO!$C$2:$C$3000,MATCH($A1366,EXTRATO!$A$2:$A$3000,0))))</f>
        <v/>
      </c>
      <c r="C1366" s="86" t="str">
        <f t="shared" si="30"/>
        <v/>
      </c>
      <c r="D1366" s="81"/>
      <c r="E1366" s="79"/>
      <c r="F1366" s="80" t="str">
        <f>IF(A1366="","",SUMIF(EXTRATO!$A$2:$A$3000,$A1366,EXTRATO!$J$2:$J$3000)+SUMIF(EXTRATO!$A$2:$A$3000,$A1366,EXTRATO!$K$2:$K$3000)+SUMIF(EXTRATO!$A$2:$A$3000,$A1366,EXTRATO!$L$2:$L$3000)+SUMIF(EXTRATO!$A$2:$A$3000,$A1366,EXTRATO!$M$2:$M$3000))</f>
        <v/>
      </c>
      <c r="G1366" s="81" t="str">
        <f>IF(A1366="","",IF(INDEX(EXTRATO!$G$2:$G$3000,MATCH($A1366,EXTRATO!$A$2:$A$3000,0))="","",INDEX(EXTRATO!$G$2:$G$3000,MATCH($A1366,EXTRATO!$A$2:$A$3000,0))))</f>
        <v/>
      </c>
      <c r="H1366" s="86" t="str">
        <f>IF(A1366="","",IF(INDEX(EXTRATO!$F$2:$F$3000,MATCH($A1366,EXTRATO!$A$2:$A$3000,0))="","",INDEX(EXTRATO!$F$2:$F$3000,MATCH($A1366,EXTRATO!$A$2:$A$3000,0))))</f>
        <v/>
      </c>
      <c r="I1366" s="88" t="str">
        <f>IF(A1366="","",IF(INDEX(EXTRATO!$H$2:$H$3000,MATCH($A1366,EXTRATO!$A$2:$A$3000,0))="","",INDEX(EXTRATO!$H$2:$H$3000,MATCH($A1366,EXTRATO!$A$2:$A$3000,0))))</f>
        <v/>
      </c>
      <c r="J1366" s="86" t="str">
        <f t="shared" si="29"/>
        <v/>
      </c>
      <c r="K1366" s="86" t="str">
        <f>IF(AND(A1366="",D1366="",E1366="",F1366=""),"",IF(D1366="","SEM CATEGORIA",IF(E1366="","SEM SUBCATEGORIA",IF(COUNTIFS(CADASTROS!$L$7:$L$93,D1366,CADASTROS!$D$7:$D$93,E1366)=0,"INCOMPATÍVEL","OK"))))</f>
        <v/>
      </c>
    </row>
    <row r="1367" spans="1:11" ht="30" hidden="1" customHeight="1" x14ac:dyDescent="0.25">
      <c r="A1367" s="86" t="str">
        <f>IF(COUNTIF(EXTRATO!$A$2:$A$3000,"BAN-01224")=0,"","BAN-01224")</f>
        <v/>
      </c>
      <c r="B1367" s="85" t="str">
        <f>IF(A1367="","",IF(INDEX(EXTRATO!$C$2:$C$3000,MATCH($A1367,EXTRATO!$A$2:$A$3000,0))="","",INDEX(EXTRATO!$C$2:$C$3000,MATCH($A1367,EXTRATO!$A$2:$A$3000,0))))</f>
        <v/>
      </c>
      <c r="C1367" s="86" t="str">
        <f t="shared" si="30"/>
        <v/>
      </c>
      <c r="D1367" s="81"/>
      <c r="E1367" s="79"/>
      <c r="F1367" s="80" t="str">
        <f>IF(A1367="","",SUMIF(EXTRATO!$A$2:$A$3000,$A1367,EXTRATO!$J$2:$J$3000)+SUMIF(EXTRATO!$A$2:$A$3000,$A1367,EXTRATO!$K$2:$K$3000)+SUMIF(EXTRATO!$A$2:$A$3000,$A1367,EXTRATO!$L$2:$L$3000)+SUMIF(EXTRATO!$A$2:$A$3000,$A1367,EXTRATO!$M$2:$M$3000))</f>
        <v/>
      </c>
      <c r="G1367" s="81" t="str">
        <f>IF(A1367="","",IF(INDEX(EXTRATO!$G$2:$G$3000,MATCH($A1367,EXTRATO!$A$2:$A$3000,0))="","",INDEX(EXTRATO!$G$2:$G$3000,MATCH($A1367,EXTRATO!$A$2:$A$3000,0))))</f>
        <v/>
      </c>
      <c r="H1367" s="86" t="str">
        <f>IF(A1367="","",IF(INDEX(EXTRATO!$F$2:$F$3000,MATCH($A1367,EXTRATO!$A$2:$A$3000,0))="","",INDEX(EXTRATO!$F$2:$F$3000,MATCH($A1367,EXTRATO!$A$2:$A$3000,0))))</f>
        <v/>
      </c>
      <c r="I1367" s="88" t="str">
        <f>IF(A1367="","",IF(INDEX(EXTRATO!$H$2:$H$3000,MATCH($A1367,EXTRATO!$A$2:$A$3000,0))="","",INDEX(EXTRATO!$H$2:$H$3000,MATCH($A1367,EXTRATO!$A$2:$A$3000,0))))</f>
        <v/>
      </c>
      <c r="J1367" s="86" t="str">
        <f t="shared" si="29"/>
        <v/>
      </c>
      <c r="K1367" s="86" t="str">
        <f>IF(AND(A1367="",D1367="",E1367="",F1367=""),"",IF(D1367="","SEM CATEGORIA",IF(E1367="","SEM SUBCATEGORIA",IF(COUNTIFS(CADASTROS!$L$7:$L$93,D1367,CADASTROS!$D$7:$D$93,E1367)=0,"INCOMPATÍVEL","OK"))))</f>
        <v/>
      </c>
    </row>
    <row r="1368" spans="1:11" ht="30" hidden="1" customHeight="1" x14ac:dyDescent="0.25">
      <c r="A1368" s="86" t="str">
        <f>IF(COUNTIF(EXTRATO!$A$2:$A$3000,"BAN-01225")=0,"","BAN-01225")</f>
        <v/>
      </c>
      <c r="B1368" s="85" t="str">
        <f>IF(A1368="","",IF(INDEX(EXTRATO!$C$2:$C$3000,MATCH($A1368,EXTRATO!$A$2:$A$3000,0))="","",INDEX(EXTRATO!$C$2:$C$3000,MATCH($A1368,EXTRATO!$A$2:$A$3000,0))))</f>
        <v/>
      </c>
      <c r="C1368" s="86" t="str">
        <f t="shared" si="30"/>
        <v/>
      </c>
      <c r="D1368" s="81"/>
      <c r="E1368" s="79"/>
      <c r="F1368" s="80" t="str">
        <f>IF(A1368="","",SUMIF(EXTRATO!$A$2:$A$3000,$A1368,EXTRATO!$J$2:$J$3000)+SUMIF(EXTRATO!$A$2:$A$3000,$A1368,EXTRATO!$K$2:$K$3000)+SUMIF(EXTRATO!$A$2:$A$3000,$A1368,EXTRATO!$L$2:$L$3000)+SUMIF(EXTRATO!$A$2:$A$3000,$A1368,EXTRATO!$M$2:$M$3000))</f>
        <v/>
      </c>
      <c r="G1368" s="81" t="str">
        <f>IF(A1368="","",IF(INDEX(EXTRATO!$G$2:$G$3000,MATCH($A1368,EXTRATO!$A$2:$A$3000,0))="","",INDEX(EXTRATO!$G$2:$G$3000,MATCH($A1368,EXTRATO!$A$2:$A$3000,0))))</f>
        <v/>
      </c>
      <c r="H1368" s="86" t="str">
        <f>IF(A1368="","",IF(INDEX(EXTRATO!$F$2:$F$3000,MATCH($A1368,EXTRATO!$A$2:$A$3000,0))="","",INDEX(EXTRATO!$F$2:$F$3000,MATCH($A1368,EXTRATO!$A$2:$A$3000,0))))</f>
        <v/>
      </c>
      <c r="I1368" s="88" t="str">
        <f>IF(A1368="","",IF(INDEX(EXTRATO!$H$2:$H$3000,MATCH($A1368,EXTRATO!$A$2:$A$3000,0))="","",INDEX(EXTRATO!$H$2:$H$3000,MATCH($A1368,EXTRATO!$A$2:$A$3000,0))))</f>
        <v/>
      </c>
      <c r="J1368" s="86" t="str">
        <f t="shared" si="29"/>
        <v/>
      </c>
      <c r="K1368" s="86" t="str">
        <f>IF(AND(A1368="",D1368="",E1368="",F1368=""),"",IF(D1368="","SEM CATEGORIA",IF(E1368="","SEM SUBCATEGORIA",IF(COUNTIFS(CADASTROS!$L$7:$L$93,D1368,CADASTROS!$D$7:$D$93,E1368)=0,"INCOMPATÍVEL","OK"))))</f>
        <v/>
      </c>
    </row>
    <row r="1369" spans="1:11" ht="30" hidden="1" customHeight="1" x14ac:dyDescent="0.25">
      <c r="A1369" s="86" t="str">
        <f>IF(COUNTIF(EXTRATO!$A$2:$A$3000,"BAN-01226")=0,"","BAN-01226")</f>
        <v/>
      </c>
      <c r="B1369" s="85" t="str">
        <f>IF(A1369="","",IF(INDEX(EXTRATO!$C$2:$C$3000,MATCH($A1369,EXTRATO!$A$2:$A$3000,0))="","",INDEX(EXTRATO!$C$2:$C$3000,MATCH($A1369,EXTRATO!$A$2:$A$3000,0))))</f>
        <v/>
      </c>
      <c r="C1369" s="86" t="str">
        <f t="shared" si="30"/>
        <v/>
      </c>
      <c r="D1369" s="81"/>
      <c r="E1369" s="79"/>
      <c r="F1369" s="80" t="str">
        <f>IF(A1369="","",SUMIF(EXTRATO!$A$2:$A$3000,$A1369,EXTRATO!$J$2:$J$3000)+SUMIF(EXTRATO!$A$2:$A$3000,$A1369,EXTRATO!$K$2:$K$3000)+SUMIF(EXTRATO!$A$2:$A$3000,$A1369,EXTRATO!$L$2:$L$3000)+SUMIF(EXTRATO!$A$2:$A$3000,$A1369,EXTRATO!$M$2:$M$3000))</f>
        <v/>
      </c>
      <c r="G1369" s="81" t="str">
        <f>IF(A1369="","",IF(INDEX(EXTRATO!$G$2:$G$3000,MATCH($A1369,EXTRATO!$A$2:$A$3000,0))="","",INDEX(EXTRATO!$G$2:$G$3000,MATCH($A1369,EXTRATO!$A$2:$A$3000,0))))</f>
        <v/>
      </c>
      <c r="H1369" s="86" t="str">
        <f>IF(A1369="","",IF(INDEX(EXTRATO!$F$2:$F$3000,MATCH($A1369,EXTRATO!$A$2:$A$3000,0))="","",INDEX(EXTRATO!$F$2:$F$3000,MATCH($A1369,EXTRATO!$A$2:$A$3000,0))))</f>
        <v/>
      </c>
      <c r="I1369" s="88" t="str">
        <f>IF(A1369="","",IF(INDEX(EXTRATO!$H$2:$H$3000,MATCH($A1369,EXTRATO!$A$2:$A$3000,0))="","",INDEX(EXTRATO!$H$2:$H$3000,MATCH($A1369,EXTRATO!$A$2:$A$3000,0))))</f>
        <v/>
      </c>
      <c r="J1369" s="86" t="str">
        <f t="shared" si="29"/>
        <v/>
      </c>
      <c r="K1369" s="86" t="str">
        <f>IF(AND(A1369="",D1369="",E1369="",F1369=""),"",IF(D1369="","SEM CATEGORIA",IF(E1369="","SEM SUBCATEGORIA",IF(COUNTIFS(CADASTROS!$L$7:$L$93,D1369,CADASTROS!$D$7:$D$93,E1369)=0,"INCOMPATÍVEL","OK"))))</f>
        <v/>
      </c>
    </row>
    <row r="1370" spans="1:11" ht="30" hidden="1" customHeight="1" x14ac:dyDescent="0.25">
      <c r="A1370" s="86" t="str">
        <f>IF(COUNTIF(EXTRATO!$A$2:$A$3000,"BAN-01227")=0,"","BAN-01227")</f>
        <v/>
      </c>
      <c r="B1370" s="85" t="str">
        <f>IF(A1370="","",IF(INDEX(EXTRATO!$C$2:$C$3000,MATCH($A1370,EXTRATO!$A$2:$A$3000,0))="","",INDEX(EXTRATO!$C$2:$C$3000,MATCH($A1370,EXTRATO!$A$2:$A$3000,0))))</f>
        <v/>
      </c>
      <c r="C1370" s="86" t="str">
        <f t="shared" si="30"/>
        <v/>
      </c>
      <c r="D1370" s="81"/>
      <c r="E1370" s="79"/>
      <c r="F1370" s="80" t="str">
        <f>IF(A1370="","",SUMIF(EXTRATO!$A$2:$A$3000,$A1370,EXTRATO!$J$2:$J$3000)+SUMIF(EXTRATO!$A$2:$A$3000,$A1370,EXTRATO!$K$2:$K$3000)+SUMIF(EXTRATO!$A$2:$A$3000,$A1370,EXTRATO!$L$2:$L$3000)+SUMIF(EXTRATO!$A$2:$A$3000,$A1370,EXTRATO!$M$2:$M$3000))</f>
        <v/>
      </c>
      <c r="G1370" s="81" t="str">
        <f>IF(A1370="","",IF(INDEX(EXTRATO!$G$2:$G$3000,MATCH($A1370,EXTRATO!$A$2:$A$3000,0))="","",INDEX(EXTRATO!$G$2:$G$3000,MATCH($A1370,EXTRATO!$A$2:$A$3000,0))))</f>
        <v/>
      </c>
      <c r="H1370" s="86" t="str">
        <f>IF(A1370="","",IF(INDEX(EXTRATO!$F$2:$F$3000,MATCH($A1370,EXTRATO!$A$2:$A$3000,0))="","",INDEX(EXTRATO!$F$2:$F$3000,MATCH($A1370,EXTRATO!$A$2:$A$3000,0))))</f>
        <v/>
      </c>
      <c r="I1370" s="88" t="str">
        <f>IF(A1370="","",IF(INDEX(EXTRATO!$H$2:$H$3000,MATCH($A1370,EXTRATO!$A$2:$A$3000,0))="","",INDEX(EXTRATO!$H$2:$H$3000,MATCH($A1370,EXTRATO!$A$2:$A$3000,0))))</f>
        <v/>
      </c>
      <c r="J1370" s="86" t="str">
        <f t="shared" si="29"/>
        <v/>
      </c>
      <c r="K1370" s="86" t="str">
        <f>IF(AND(A1370="",D1370="",E1370="",F1370=""),"",IF(D1370="","SEM CATEGORIA",IF(E1370="","SEM SUBCATEGORIA",IF(COUNTIFS(CADASTROS!$L$7:$L$93,D1370,CADASTROS!$D$7:$D$93,E1370)=0,"INCOMPATÍVEL","OK"))))</f>
        <v/>
      </c>
    </row>
    <row r="1371" spans="1:11" ht="30" hidden="1" customHeight="1" x14ac:dyDescent="0.25">
      <c r="A1371" s="86" t="str">
        <f>IF(COUNTIF(EXTRATO!$A$2:$A$3000,"BAN-01228")=0,"","BAN-01228")</f>
        <v/>
      </c>
      <c r="B1371" s="85" t="str">
        <f>IF(A1371="","",IF(INDEX(EXTRATO!$C$2:$C$3000,MATCH($A1371,EXTRATO!$A$2:$A$3000,0))="","",INDEX(EXTRATO!$C$2:$C$3000,MATCH($A1371,EXTRATO!$A$2:$A$3000,0))))</f>
        <v/>
      </c>
      <c r="C1371" s="86" t="str">
        <f t="shared" si="30"/>
        <v/>
      </c>
      <c r="D1371" s="81"/>
      <c r="E1371" s="79"/>
      <c r="F1371" s="80" t="str">
        <f>IF(A1371="","",SUMIF(EXTRATO!$A$2:$A$3000,$A1371,EXTRATO!$J$2:$J$3000)+SUMIF(EXTRATO!$A$2:$A$3000,$A1371,EXTRATO!$K$2:$K$3000)+SUMIF(EXTRATO!$A$2:$A$3000,$A1371,EXTRATO!$L$2:$L$3000)+SUMIF(EXTRATO!$A$2:$A$3000,$A1371,EXTRATO!$M$2:$M$3000))</f>
        <v/>
      </c>
      <c r="G1371" s="81" t="str">
        <f>IF(A1371="","",IF(INDEX(EXTRATO!$G$2:$G$3000,MATCH($A1371,EXTRATO!$A$2:$A$3000,0))="","",INDEX(EXTRATO!$G$2:$G$3000,MATCH($A1371,EXTRATO!$A$2:$A$3000,0))))</f>
        <v/>
      </c>
      <c r="H1371" s="86" t="str">
        <f>IF(A1371="","",IF(INDEX(EXTRATO!$F$2:$F$3000,MATCH($A1371,EXTRATO!$A$2:$A$3000,0))="","",INDEX(EXTRATO!$F$2:$F$3000,MATCH($A1371,EXTRATO!$A$2:$A$3000,0))))</f>
        <v/>
      </c>
      <c r="I1371" s="88" t="str">
        <f>IF(A1371="","",IF(INDEX(EXTRATO!$H$2:$H$3000,MATCH($A1371,EXTRATO!$A$2:$A$3000,0))="","",INDEX(EXTRATO!$H$2:$H$3000,MATCH($A1371,EXTRATO!$A$2:$A$3000,0))))</f>
        <v/>
      </c>
      <c r="J1371" s="86" t="str">
        <f t="shared" si="29"/>
        <v/>
      </c>
      <c r="K1371" s="86" t="str">
        <f>IF(AND(A1371="",D1371="",E1371="",F1371=""),"",IF(D1371="","SEM CATEGORIA",IF(E1371="","SEM SUBCATEGORIA",IF(COUNTIFS(CADASTROS!$L$7:$L$93,D1371,CADASTROS!$D$7:$D$93,E1371)=0,"INCOMPATÍVEL","OK"))))</f>
        <v/>
      </c>
    </row>
    <row r="1372" spans="1:11" ht="30" hidden="1" customHeight="1" x14ac:dyDescent="0.25">
      <c r="A1372" s="86" t="str">
        <f>IF(COUNTIF(EXTRATO!$A$2:$A$3000,"BAN-01229")=0,"","BAN-01229")</f>
        <v/>
      </c>
      <c r="B1372" s="85" t="str">
        <f>IF(A1372="","",IF(INDEX(EXTRATO!$C$2:$C$3000,MATCH($A1372,EXTRATO!$A$2:$A$3000,0))="","",INDEX(EXTRATO!$C$2:$C$3000,MATCH($A1372,EXTRATO!$A$2:$A$3000,0))))</f>
        <v/>
      </c>
      <c r="C1372" s="86" t="str">
        <f t="shared" si="30"/>
        <v/>
      </c>
      <c r="D1372" s="81"/>
      <c r="E1372" s="79"/>
      <c r="F1372" s="80" t="str">
        <f>IF(A1372="","",SUMIF(EXTRATO!$A$2:$A$3000,$A1372,EXTRATO!$J$2:$J$3000)+SUMIF(EXTRATO!$A$2:$A$3000,$A1372,EXTRATO!$K$2:$K$3000)+SUMIF(EXTRATO!$A$2:$A$3000,$A1372,EXTRATO!$L$2:$L$3000)+SUMIF(EXTRATO!$A$2:$A$3000,$A1372,EXTRATO!$M$2:$M$3000))</f>
        <v/>
      </c>
      <c r="G1372" s="81" t="str">
        <f>IF(A1372="","",IF(INDEX(EXTRATO!$G$2:$G$3000,MATCH($A1372,EXTRATO!$A$2:$A$3000,0))="","",INDEX(EXTRATO!$G$2:$G$3000,MATCH($A1372,EXTRATO!$A$2:$A$3000,0))))</f>
        <v/>
      </c>
      <c r="H1372" s="86" t="str">
        <f>IF(A1372="","",IF(INDEX(EXTRATO!$F$2:$F$3000,MATCH($A1372,EXTRATO!$A$2:$A$3000,0))="","",INDEX(EXTRATO!$F$2:$F$3000,MATCH($A1372,EXTRATO!$A$2:$A$3000,0))))</f>
        <v/>
      </c>
      <c r="I1372" s="88" t="str">
        <f>IF(A1372="","",IF(INDEX(EXTRATO!$H$2:$H$3000,MATCH($A1372,EXTRATO!$A$2:$A$3000,0))="","",INDEX(EXTRATO!$H$2:$H$3000,MATCH($A1372,EXTRATO!$A$2:$A$3000,0))))</f>
        <v/>
      </c>
      <c r="J1372" s="86" t="str">
        <f t="shared" si="29"/>
        <v/>
      </c>
      <c r="K1372" s="86" t="str">
        <f>IF(AND(A1372="",D1372="",E1372="",F1372=""),"",IF(D1372="","SEM CATEGORIA",IF(E1372="","SEM SUBCATEGORIA",IF(COUNTIFS(CADASTROS!$L$7:$L$93,D1372,CADASTROS!$D$7:$D$93,E1372)=0,"INCOMPATÍVEL","OK"))))</f>
        <v/>
      </c>
    </row>
    <row r="1373" spans="1:11" ht="30" hidden="1" customHeight="1" x14ac:dyDescent="0.25">
      <c r="A1373" s="86" t="str">
        <f>IF(COUNTIF(EXTRATO!$A$2:$A$3000,"BAN-01230")=0,"","BAN-01230")</f>
        <v/>
      </c>
      <c r="B1373" s="85" t="str">
        <f>IF(A1373="","",IF(INDEX(EXTRATO!$C$2:$C$3000,MATCH($A1373,EXTRATO!$A$2:$A$3000,0))="","",INDEX(EXTRATO!$C$2:$C$3000,MATCH($A1373,EXTRATO!$A$2:$A$3000,0))))</f>
        <v/>
      </c>
      <c r="C1373" s="86" t="str">
        <f t="shared" si="30"/>
        <v/>
      </c>
      <c r="D1373" s="81"/>
      <c r="E1373" s="79"/>
      <c r="F1373" s="80" t="str">
        <f>IF(A1373="","",SUMIF(EXTRATO!$A$2:$A$3000,$A1373,EXTRATO!$J$2:$J$3000)+SUMIF(EXTRATO!$A$2:$A$3000,$A1373,EXTRATO!$K$2:$K$3000)+SUMIF(EXTRATO!$A$2:$A$3000,$A1373,EXTRATO!$L$2:$L$3000)+SUMIF(EXTRATO!$A$2:$A$3000,$A1373,EXTRATO!$M$2:$M$3000))</f>
        <v/>
      </c>
      <c r="G1373" s="81" t="str">
        <f>IF(A1373="","",IF(INDEX(EXTRATO!$G$2:$G$3000,MATCH($A1373,EXTRATO!$A$2:$A$3000,0))="","",INDEX(EXTRATO!$G$2:$G$3000,MATCH($A1373,EXTRATO!$A$2:$A$3000,0))))</f>
        <v/>
      </c>
      <c r="H1373" s="86" t="str">
        <f>IF(A1373="","",IF(INDEX(EXTRATO!$F$2:$F$3000,MATCH($A1373,EXTRATO!$A$2:$A$3000,0))="","",INDEX(EXTRATO!$F$2:$F$3000,MATCH($A1373,EXTRATO!$A$2:$A$3000,0))))</f>
        <v/>
      </c>
      <c r="I1373" s="88" t="str">
        <f>IF(A1373="","",IF(INDEX(EXTRATO!$H$2:$H$3000,MATCH($A1373,EXTRATO!$A$2:$A$3000,0))="","",INDEX(EXTRATO!$H$2:$H$3000,MATCH($A1373,EXTRATO!$A$2:$A$3000,0))))</f>
        <v/>
      </c>
      <c r="J1373" s="86" t="str">
        <f t="shared" si="29"/>
        <v/>
      </c>
      <c r="K1373" s="86" t="str">
        <f>IF(AND(A1373="",D1373="",E1373="",F1373=""),"",IF(D1373="","SEM CATEGORIA",IF(E1373="","SEM SUBCATEGORIA",IF(COUNTIFS(CADASTROS!$L$7:$L$93,D1373,CADASTROS!$D$7:$D$93,E1373)=0,"INCOMPATÍVEL","OK"))))</f>
        <v/>
      </c>
    </row>
    <row r="1374" spans="1:11" ht="30" hidden="1" customHeight="1" x14ac:dyDescent="0.25">
      <c r="A1374" s="86" t="str">
        <f>IF(COUNTIF(EXTRATO!$A$2:$A$3000,"BAN-01231")=0,"","BAN-01231")</f>
        <v/>
      </c>
      <c r="B1374" s="85" t="str">
        <f>IF(A1374="","",IF(INDEX(EXTRATO!$C$2:$C$3000,MATCH($A1374,EXTRATO!$A$2:$A$3000,0))="","",INDEX(EXTRATO!$C$2:$C$3000,MATCH($A1374,EXTRATO!$A$2:$A$3000,0))))</f>
        <v/>
      </c>
      <c r="C1374" s="86" t="str">
        <f t="shared" si="30"/>
        <v/>
      </c>
      <c r="D1374" s="81"/>
      <c r="E1374" s="79"/>
      <c r="F1374" s="80" t="str">
        <f>IF(A1374="","",SUMIF(EXTRATO!$A$2:$A$3000,$A1374,EXTRATO!$J$2:$J$3000)+SUMIF(EXTRATO!$A$2:$A$3000,$A1374,EXTRATO!$K$2:$K$3000)+SUMIF(EXTRATO!$A$2:$A$3000,$A1374,EXTRATO!$L$2:$L$3000)+SUMIF(EXTRATO!$A$2:$A$3000,$A1374,EXTRATO!$M$2:$M$3000))</f>
        <v/>
      </c>
      <c r="G1374" s="81" t="str">
        <f>IF(A1374="","",IF(INDEX(EXTRATO!$G$2:$G$3000,MATCH($A1374,EXTRATO!$A$2:$A$3000,0))="","",INDEX(EXTRATO!$G$2:$G$3000,MATCH($A1374,EXTRATO!$A$2:$A$3000,0))))</f>
        <v/>
      </c>
      <c r="H1374" s="86" t="str">
        <f>IF(A1374="","",IF(INDEX(EXTRATO!$F$2:$F$3000,MATCH($A1374,EXTRATO!$A$2:$A$3000,0))="","",INDEX(EXTRATO!$F$2:$F$3000,MATCH($A1374,EXTRATO!$A$2:$A$3000,0))))</f>
        <v/>
      </c>
      <c r="I1374" s="88" t="str">
        <f>IF(A1374="","",IF(INDEX(EXTRATO!$H$2:$H$3000,MATCH($A1374,EXTRATO!$A$2:$A$3000,0))="","",INDEX(EXTRATO!$H$2:$H$3000,MATCH($A1374,EXTRATO!$A$2:$A$3000,0))))</f>
        <v/>
      </c>
      <c r="J1374" s="86" t="str">
        <f t="shared" si="29"/>
        <v/>
      </c>
      <c r="K1374" s="86" t="str">
        <f>IF(AND(A1374="",D1374="",E1374="",F1374=""),"",IF(D1374="","SEM CATEGORIA",IF(E1374="","SEM SUBCATEGORIA",IF(COUNTIFS(CADASTROS!$L$7:$L$93,D1374,CADASTROS!$D$7:$D$93,E1374)=0,"INCOMPATÍVEL","OK"))))</f>
        <v/>
      </c>
    </row>
    <row r="1375" spans="1:11" ht="30" hidden="1" customHeight="1" x14ac:dyDescent="0.25">
      <c r="A1375" s="86" t="str">
        <f>IF(COUNTIF(EXTRATO!$A$2:$A$3000,"BAN-01232")=0,"","BAN-01232")</f>
        <v/>
      </c>
      <c r="B1375" s="85" t="str">
        <f>IF(A1375="","",IF(INDEX(EXTRATO!$C$2:$C$3000,MATCH($A1375,EXTRATO!$A$2:$A$3000,0))="","",INDEX(EXTRATO!$C$2:$C$3000,MATCH($A1375,EXTRATO!$A$2:$A$3000,0))))</f>
        <v/>
      </c>
      <c r="C1375" s="86" t="str">
        <f t="shared" si="30"/>
        <v/>
      </c>
      <c r="D1375" s="81"/>
      <c r="E1375" s="79"/>
      <c r="F1375" s="80" t="str">
        <f>IF(A1375="","",SUMIF(EXTRATO!$A$2:$A$3000,$A1375,EXTRATO!$J$2:$J$3000)+SUMIF(EXTRATO!$A$2:$A$3000,$A1375,EXTRATO!$K$2:$K$3000)+SUMIF(EXTRATO!$A$2:$A$3000,$A1375,EXTRATO!$L$2:$L$3000)+SUMIF(EXTRATO!$A$2:$A$3000,$A1375,EXTRATO!$M$2:$M$3000))</f>
        <v/>
      </c>
      <c r="G1375" s="81" t="str">
        <f>IF(A1375="","",IF(INDEX(EXTRATO!$G$2:$G$3000,MATCH($A1375,EXTRATO!$A$2:$A$3000,0))="","",INDEX(EXTRATO!$G$2:$G$3000,MATCH($A1375,EXTRATO!$A$2:$A$3000,0))))</f>
        <v/>
      </c>
      <c r="H1375" s="86" t="str">
        <f>IF(A1375="","",IF(INDEX(EXTRATO!$F$2:$F$3000,MATCH($A1375,EXTRATO!$A$2:$A$3000,0))="","",INDEX(EXTRATO!$F$2:$F$3000,MATCH($A1375,EXTRATO!$A$2:$A$3000,0))))</f>
        <v/>
      </c>
      <c r="I1375" s="88" t="str">
        <f>IF(A1375="","",IF(INDEX(EXTRATO!$H$2:$H$3000,MATCH($A1375,EXTRATO!$A$2:$A$3000,0))="","",INDEX(EXTRATO!$H$2:$H$3000,MATCH($A1375,EXTRATO!$A$2:$A$3000,0))))</f>
        <v/>
      </c>
      <c r="J1375" s="86" t="str">
        <f t="shared" si="29"/>
        <v/>
      </c>
      <c r="K1375" s="86" t="str">
        <f>IF(AND(A1375="",D1375="",E1375="",F1375=""),"",IF(D1375="","SEM CATEGORIA",IF(E1375="","SEM SUBCATEGORIA",IF(COUNTIFS(CADASTROS!$L$7:$L$93,D1375,CADASTROS!$D$7:$D$93,E1375)=0,"INCOMPATÍVEL","OK"))))</f>
        <v/>
      </c>
    </row>
    <row r="1376" spans="1:11" ht="30" hidden="1" customHeight="1" x14ac:dyDescent="0.25">
      <c r="A1376" s="86" t="str">
        <f>IF(COUNTIF(EXTRATO!$A$2:$A$3000,"BAN-01233")=0,"","BAN-01233")</f>
        <v/>
      </c>
      <c r="B1376" s="85" t="str">
        <f>IF(A1376="","",IF(INDEX(EXTRATO!$C$2:$C$3000,MATCH($A1376,EXTRATO!$A$2:$A$3000,0))="","",INDEX(EXTRATO!$C$2:$C$3000,MATCH($A1376,EXTRATO!$A$2:$A$3000,0))))</f>
        <v/>
      </c>
      <c r="C1376" s="86" t="str">
        <f t="shared" si="30"/>
        <v/>
      </c>
      <c r="D1376" s="81"/>
      <c r="E1376" s="79"/>
      <c r="F1376" s="80" t="str">
        <f>IF(A1376="","",SUMIF(EXTRATO!$A$2:$A$3000,$A1376,EXTRATO!$J$2:$J$3000)+SUMIF(EXTRATO!$A$2:$A$3000,$A1376,EXTRATO!$K$2:$K$3000)+SUMIF(EXTRATO!$A$2:$A$3000,$A1376,EXTRATO!$L$2:$L$3000)+SUMIF(EXTRATO!$A$2:$A$3000,$A1376,EXTRATO!$M$2:$M$3000))</f>
        <v/>
      </c>
      <c r="G1376" s="81" t="str">
        <f>IF(A1376="","",IF(INDEX(EXTRATO!$G$2:$G$3000,MATCH($A1376,EXTRATO!$A$2:$A$3000,0))="","",INDEX(EXTRATO!$G$2:$G$3000,MATCH($A1376,EXTRATO!$A$2:$A$3000,0))))</f>
        <v/>
      </c>
      <c r="H1376" s="86" t="str">
        <f>IF(A1376="","",IF(INDEX(EXTRATO!$F$2:$F$3000,MATCH($A1376,EXTRATO!$A$2:$A$3000,0))="","",INDEX(EXTRATO!$F$2:$F$3000,MATCH($A1376,EXTRATO!$A$2:$A$3000,0))))</f>
        <v/>
      </c>
      <c r="I1376" s="88" t="str">
        <f>IF(A1376="","",IF(INDEX(EXTRATO!$H$2:$H$3000,MATCH($A1376,EXTRATO!$A$2:$A$3000,0))="","",INDEX(EXTRATO!$H$2:$H$3000,MATCH($A1376,EXTRATO!$A$2:$A$3000,0))))</f>
        <v/>
      </c>
      <c r="J1376" s="86" t="str">
        <f t="shared" si="29"/>
        <v/>
      </c>
      <c r="K1376" s="86" t="str">
        <f>IF(AND(A1376="",D1376="",E1376="",F1376=""),"",IF(D1376="","SEM CATEGORIA",IF(E1376="","SEM SUBCATEGORIA",IF(COUNTIFS(CADASTROS!$L$7:$L$93,D1376,CADASTROS!$D$7:$D$93,E1376)=0,"INCOMPATÍVEL","OK"))))</f>
        <v/>
      </c>
    </row>
    <row r="1377" spans="1:11" ht="30" hidden="1" customHeight="1" x14ac:dyDescent="0.25">
      <c r="A1377" s="86" t="str">
        <f>IF(COUNTIF(EXTRATO!$A$2:$A$3000,"BAN-01234")=0,"","BAN-01234")</f>
        <v/>
      </c>
      <c r="B1377" s="85" t="str">
        <f>IF(A1377="","",IF(INDEX(EXTRATO!$C$2:$C$3000,MATCH($A1377,EXTRATO!$A$2:$A$3000,0))="","",INDEX(EXTRATO!$C$2:$C$3000,MATCH($A1377,EXTRATO!$A$2:$A$3000,0))))</f>
        <v/>
      </c>
      <c r="C1377" s="86" t="str">
        <f t="shared" si="30"/>
        <v/>
      </c>
      <c r="D1377" s="81"/>
      <c r="E1377" s="79"/>
      <c r="F1377" s="80" t="str">
        <f>IF(A1377="","",SUMIF(EXTRATO!$A$2:$A$3000,$A1377,EXTRATO!$J$2:$J$3000)+SUMIF(EXTRATO!$A$2:$A$3000,$A1377,EXTRATO!$K$2:$K$3000)+SUMIF(EXTRATO!$A$2:$A$3000,$A1377,EXTRATO!$L$2:$L$3000)+SUMIF(EXTRATO!$A$2:$A$3000,$A1377,EXTRATO!$M$2:$M$3000))</f>
        <v/>
      </c>
      <c r="G1377" s="81" t="str">
        <f>IF(A1377="","",IF(INDEX(EXTRATO!$G$2:$G$3000,MATCH($A1377,EXTRATO!$A$2:$A$3000,0))="","",INDEX(EXTRATO!$G$2:$G$3000,MATCH($A1377,EXTRATO!$A$2:$A$3000,0))))</f>
        <v/>
      </c>
      <c r="H1377" s="86" t="str">
        <f>IF(A1377="","",IF(INDEX(EXTRATO!$F$2:$F$3000,MATCH($A1377,EXTRATO!$A$2:$A$3000,0))="","",INDEX(EXTRATO!$F$2:$F$3000,MATCH($A1377,EXTRATO!$A$2:$A$3000,0))))</f>
        <v/>
      </c>
      <c r="I1377" s="88" t="str">
        <f>IF(A1377="","",IF(INDEX(EXTRATO!$H$2:$H$3000,MATCH($A1377,EXTRATO!$A$2:$A$3000,0))="","",INDEX(EXTRATO!$H$2:$H$3000,MATCH($A1377,EXTRATO!$A$2:$A$3000,0))))</f>
        <v/>
      </c>
      <c r="J1377" s="86" t="str">
        <f t="shared" si="29"/>
        <v/>
      </c>
      <c r="K1377" s="86" t="str">
        <f>IF(AND(A1377="",D1377="",E1377="",F1377=""),"",IF(D1377="","SEM CATEGORIA",IF(E1377="","SEM SUBCATEGORIA",IF(COUNTIFS(CADASTROS!$L$7:$L$93,D1377,CADASTROS!$D$7:$D$93,E1377)=0,"INCOMPATÍVEL","OK"))))</f>
        <v/>
      </c>
    </row>
    <row r="1378" spans="1:11" ht="30" hidden="1" customHeight="1" x14ac:dyDescent="0.25">
      <c r="A1378" s="86" t="str">
        <f>IF(COUNTIF(EXTRATO!$A$2:$A$3000,"BAN-01235")=0,"","BAN-01235")</f>
        <v/>
      </c>
      <c r="B1378" s="85" t="str">
        <f>IF(A1378="","",IF(INDEX(EXTRATO!$C$2:$C$3000,MATCH($A1378,EXTRATO!$A$2:$A$3000,0))="","",INDEX(EXTRATO!$C$2:$C$3000,MATCH($A1378,EXTRATO!$A$2:$A$3000,0))))</f>
        <v/>
      </c>
      <c r="C1378" s="86" t="str">
        <f t="shared" si="30"/>
        <v/>
      </c>
      <c r="D1378" s="81"/>
      <c r="E1378" s="79"/>
      <c r="F1378" s="80" t="str">
        <f>IF(A1378="","",SUMIF(EXTRATO!$A$2:$A$3000,$A1378,EXTRATO!$J$2:$J$3000)+SUMIF(EXTRATO!$A$2:$A$3000,$A1378,EXTRATO!$K$2:$K$3000)+SUMIF(EXTRATO!$A$2:$A$3000,$A1378,EXTRATO!$L$2:$L$3000)+SUMIF(EXTRATO!$A$2:$A$3000,$A1378,EXTRATO!$M$2:$M$3000))</f>
        <v/>
      </c>
      <c r="G1378" s="81" t="str">
        <f>IF(A1378="","",IF(INDEX(EXTRATO!$G$2:$G$3000,MATCH($A1378,EXTRATO!$A$2:$A$3000,0))="","",INDEX(EXTRATO!$G$2:$G$3000,MATCH($A1378,EXTRATO!$A$2:$A$3000,0))))</f>
        <v/>
      </c>
      <c r="H1378" s="86" t="str">
        <f>IF(A1378="","",IF(INDEX(EXTRATO!$F$2:$F$3000,MATCH($A1378,EXTRATO!$A$2:$A$3000,0))="","",INDEX(EXTRATO!$F$2:$F$3000,MATCH($A1378,EXTRATO!$A$2:$A$3000,0))))</f>
        <v/>
      </c>
      <c r="I1378" s="88" t="str">
        <f>IF(A1378="","",IF(INDEX(EXTRATO!$H$2:$H$3000,MATCH($A1378,EXTRATO!$A$2:$A$3000,0))="","",INDEX(EXTRATO!$H$2:$H$3000,MATCH($A1378,EXTRATO!$A$2:$A$3000,0))))</f>
        <v/>
      </c>
      <c r="J1378" s="86" t="str">
        <f t="shared" si="29"/>
        <v/>
      </c>
      <c r="K1378" s="86" t="str">
        <f>IF(AND(A1378="",D1378="",E1378="",F1378=""),"",IF(D1378="","SEM CATEGORIA",IF(E1378="","SEM SUBCATEGORIA",IF(COUNTIFS(CADASTROS!$L$7:$L$93,D1378,CADASTROS!$D$7:$D$93,E1378)=0,"INCOMPATÍVEL","OK"))))</f>
        <v/>
      </c>
    </row>
    <row r="1379" spans="1:11" ht="30" hidden="1" customHeight="1" x14ac:dyDescent="0.25">
      <c r="A1379" s="86" t="str">
        <f>IF(COUNTIF(EXTRATO!$A$2:$A$3000,"BAN-01236")=0,"","BAN-01236")</f>
        <v/>
      </c>
      <c r="B1379" s="85" t="str">
        <f>IF(A1379="","",IF(INDEX(EXTRATO!$C$2:$C$3000,MATCH($A1379,EXTRATO!$A$2:$A$3000,0))="","",INDEX(EXTRATO!$C$2:$C$3000,MATCH($A1379,EXTRATO!$A$2:$A$3000,0))))</f>
        <v/>
      </c>
      <c r="C1379" s="86" t="str">
        <f t="shared" si="30"/>
        <v/>
      </c>
      <c r="D1379" s="81"/>
      <c r="E1379" s="79"/>
      <c r="F1379" s="80" t="str">
        <f>IF(A1379="","",SUMIF(EXTRATO!$A$2:$A$3000,$A1379,EXTRATO!$J$2:$J$3000)+SUMIF(EXTRATO!$A$2:$A$3000,$A1379,EXTRATO!$K$2:$K$3000)+SUMIF(EXTRATO!$A$2:$A$3000,$A1379,EXTRATO!$L$2:$L$3000)+SUMIF(EXTRATO!$A$2:$A$3000,$A1379,EXTRATO!$M$2:$M$3000))</f>
        <v/>
      </c>
      <c r="G1379" s="81" t="str">
        <f>IF(A1379="","",IF(INDEX(EXTRATO!$G$2:$G$3000,MATCH($A1379,EXTRATO!$A$2:$A$3000,0))="","",INDEX(EXTRATO!$G$2:$G$3000,MATCH($A1379,EXTRATO!$A$2:$A$3000,0))))</f>
        <v/>
      </c>
      <c r="H1379" s="86" t="str">
        <f>IF(A1379="","",IF(INDEX(EXTRATO!$F$2:$F$3000,MATCH($A1379,EXTRATO!$A$2:$A$3000,0))="","",INDEX(EXTRATO!$F$2:$F$3000,MATCH($A1379,EXTRATO!$A$2:$A$3000,0))))</f>
        <v/>
      </c>
      <c r="I1379" s="88" t="str">
        <f>IF(A1379="","",IF(INDEX(EXTRATO!$H$2:$H$3000,MATCH($A1379,EXTRATO!$A$2:$A$3000,0))="","",INDEX(EXTRATO!$H$2:$H$3000,MATCH($A1379,EXTRATO!$A$2:$A$3000,0))))</f>
        <v/>
      </c>
      <c r="J1379" s="86" t="str">
        <f t="shared" si="29"/>
        <v/>
      </c>
      <c r="K1379" s="86" t="str">
        <f>IF(AND(A1379="",D1379="",E1379="",F1379=""),"",IF(D1379="","SEM CATEGORIA",IF(E1379="","SEM SUBCATEGORIA",IF(COUNTIFS(CADASTROS!$L$7:$L$93,D1379,CADASTROS!$D$7:$D$93,E1379)=0,"INCOMPATÍVEL","OK"))))</f>
        <v/>
      </c>
    </row>
    <row r="1380" spans="1:11" ht="30" hidden="1" customHeight="1" x14ac:dyDescent="0.25">
      <c r="A1380" s="86" t="str">
        <f>IF(COUNTIF(EXTRATO!$A$2:$A$3000,"BAN-01237")=0,"","BAN-01237")</f>
        <v/>
      </c>
      <c r="B1380" s="85" t="str">
        <f>IF(A1380="","",IF(INDEX(EXTRATO!$C$2:$C$3000,MATCH($A1380,EXTRATO!$A$2:$A$3000,0))="","",INDEX(EXTRATO!$C$2:$C$3000,MATCH($A1380,EXTRATO!$A$2:$A$3000,0))))</f>
        <v/>
      </c>
      <c r="C1380" s="86" t="str">
        <f t="shared" si="30"/>
        <v/>
      </c>
      <c r="D1380" s="81"/>
      <c r="E1380" s="79"/>
      <c r="F1380" s="80" t="str">
        <f>IF(A1380="","",SUMIF(EXTRATO!$A$2:$A$3000,$A1380,EXTRATO!$J$2:$J$3000)+SUMIF(EXTRATO!$A$2:$A$3000,$A1380,EXTRATO!$K$2:$K$3000)+SUMIF(EXTRATO!$A$2:$A$3000,$A1380,EXTRATO!$L$2:$L$3000)+SUMIF(EXTRATO!$A$2:$A$3000,$A1380,EXTRATO!$M$2:$M$3000))</f>
        <v/>
      </c>
      <c r="G1380" s="81" t="str">
        <f>IF(A1380="","",IF(INDEX(EXTRATO!$G$2:$G$3000,MATCH($A1380,EXTRATO!$A$2:$A$3000,0))="","",INDEX(EXTRATO!$G$2:$G$3000,MATCH($A1380,EXTRATO!$A$2:$A$3000,0))))</f>
        <v/>
      </c>
      <c r="H1380" s="86" t="str">
        <f>IF(A1380="","",IF(INDEX(EXTRATO!$F$2:$F$3000,MATCH($A1380,EXTRATO!$A$2:$A$3000,0))="","",INDEX(EXTRATO!$F$2:$F$3000,MATCH($A1380,EXTRATO!$A$2:$A$3000,0))))</f>
        <v/>
      </c>
      <c r="I1380" s="88" t="str">
        <f>IF(A1380="","",IF(INDEX(EXTRATO!$H$2:$H$3000,MATCH($A1380,EXTRATO!$A$2:$A$3000,0))="","",INDEX(EXTRATO!$H$2:$H$3000,MATCH($A1380,EXTRATO!$A$2:$A$3000,0))))</f>
        <v/>
      </c>
      <c r="J1380" s="86" t="str">
        <f t="shared" si="29"/>
        <v/>
      </c>
      <c r="K1380" s="86" t="str">
        <f>IF(AND(A1380="",D1380="",E1380="",F1380=""),"",IF(D1380="","SEM CATEGORIA",IF(E1380="","SEM SUBCATEGORIA",IF(COUNTIFS(CADASTROS!$L$7:$L$93,D1380,CADASTROS!$D$7:$D$93,E1380)=0,"INCOMPATÍVEL","OK"))))</f>
        <v/>
      </c>
    </row>
    <row r="1381" spans="1:11" ht="30" hidden="1" customHeight="1" x14ac:dyDescent="0.25">
      <c r="A1381" s="86" t="str">
        <f>IF(COUNTIF(EXTRATO!$A$2:$A$3000,"BAN-01238")=0,"","BAN-01238")</f>
        <v/>
      </c>
      <c r="B1381" s="85" t="str">
        <f>IF(A1381="","",IF(INDEX(EXTRATO!$C$2:$C$3000,MATCH($A1381,EXTRATO!$A$2:$A$3000,0))="","",INDEX(EXTRATO!$C$2:$C$3000,MATCH($A1381,EXTRATO!$A$2:$A$3000,0))))</f>
        <v/>
      </c>
      <c r="C1381" s="86" t="str">
        <f t="shared" si="30"/>
        <v/>
      </c>
      <c r="D1381" s="81"/>
      <c r="E1381" s="79"/>
      <c r="F1381" s="80" t="str">
        <f>IF(A1381="","",SUMIF(EXTRATO!$A$2:$A$3000,$A1381,EXTRATO!$J$2:$J$3000)+SUMIF(EXTRATO!$A$2:$A$3000,$A1381,EXTRATO!$K$2:$K$3000)+SUMIF(EXTRATO!$A$2:$A$3000,$A1381,EXTRATO!$L$2:$L$3000)+SUMIF(EXTRATO!$A$2:$A$3000,$A1381,EXTRATO!$M$2:$M$3000))</f>
        <v/>
      </c>
      <c r="G1381" s="81" t="str">
        <f>IF(A1381="","",IF(INDEX(EXTRATO!$G$2:$G$3000,MATCH($A1381,EXTRATO!$A$2:$A$3000,0))="","",INDEX(EXTRATO!$G$2:$G$3000,MATCH($A1381,EXTRATO!$A$2:$A$3000,0))))</f>
        <v/>
      </c>
      <c r="H1381" s="86" t="str">
        <f>IF(A1381="","",IF(INDEX(EXTRATO!$F$2:$F$3000,MATCH($A1381,EXTRATO!$A$2:$A$3000,0))="","",INDEX(EXTRATO!$F$2:$F$3000,MATCH($A1381,EXTRATO!$A$2:$A$3000,0))))</f>
        <v/>
      </c>
      <c r="I1381" s="88" t="str">
        <f>IF(A1381="","",IF(INDEX(EXTRATO!$H$2:$H$3000,MATCH($A1381,EXTRATO!$A$2:$A$3000,0))="","",INDEX(EXTRATO!$H$2:$H$3000,MATCH($A1381,EXTRATO!$A$2:$A$3000,0))))</f>
        <v/>
      </c>
      <c r="J1381" s="86" t="str">
        <f t="shared" si="29"/>
        <v/>
      </c>
      <c r="K1381" s="86" t="str">
        <f>IF(AND(A1381="",D1381="",E1381="",F1381=""),"",IF(D1381="","SEM CATEGORIA",IF(E1381="","SEM SUBCATEGORIA",IF(COUNTIFS(CADASTROS!$L$7:$L$93,D1381,CADASTROS!$D$7:$D$93,E1381)=0,"INCOMPATÍVEL","OK"))))</f>
        <v/>
      </c>
    </row>
    <row r="1382" spans="1:11" ht="30" hidden="1" customHeight="1" x14ac:dyDescent="0.25">
      <c r="A1382" s="86" t="str">
        <f>IF(COUNTIF(EXTRATO!$A$2:$A$3000,"BAN-01239")=0,"","BAN-01239")</f>
        <v/>
      </c>
      <c r="B1382" s="85" t="str">
        <f>IF(A1382="","",IF(INDEX(EXTRATO!$C$2:$C$3000,MATCH($A1382,EXTRATO!$A$2:$A$3000,0))="","",INDEX(EXTRATO!$C$2:$C$3000,MATCH($A1382,EXTRATO!$A$2:$A$3000,0))))</f>
        <v/>
      </c>
      <c r="C1382" s="86" t="str">
        <f t="shared" si="30"/>
        <v/>
      </c>
      <c r="D1382" s="81"/>
      <c r="E1382" s="79"/>
      <c r="F1382" s="80" t="str">
        <f>IF(A1382="","",SUMIF(EXTRATO!$A$2:$A$3000,$A1382,EXTRATO!$J$2:$J$3000)+SUMIF(EXTRATO!$A$2:$A$3000,$A1382,EXTRATO!$K$2:$K$3000)+SUMIF(EXTRATO!$A$2:$A$3000,$A1382,EXTRATO!$L$2:$L$3000)+SUMIF(EXTRATO!$A$2:$A$3000,$A1382,EXTRATO!$M$2:$M$3000))</f>
        <v/>
      </c>
      <c r="G1382" s="81" t="str">
        <f>IF(A1382="","",IF(INDEX(EXTRATO!$G$2:$G$3000,MATCH($A1382,EXTRATO!$A$2:$A$3000,0))="","",INDEX(EXTRATO!$G$2:$G$3000,MATCH($A1382,EXTRATO!$A$2:$A$3000,0))))</f>
        <v/>
      </c>
      <c r="H1382" s="86" t="str">
        <f>IF(A1382="","",IF(INDEX(EXTRATO!$F$2:$F$3000,MATCH($A1382,EXTRATO!$A$2:$A$3000,0))="","",INDEX(EXTRATO!$F$2:$F$3000,MATCH($A1382,EXTRATO!$A$2:$A$3000,0))))</f>
        <v/>
      </c>
      <c r="I1382" s="88" t="str">
        <f>IF(A1382="","",IF(INDEX(EXTRATO!$H$2:$H$3000,MATCH($A1382,EXTRATO!$A$2:$A$3000,0))="","",INDEX(EXTRATO!$H$2:$H$3000,MATCH($A1382,EXTRATO!$A$2:$A$3000,0))))</f>
        <v/>
      </c>
      <c r="J1382" s="86" t="str">
        <f t="shared" si="29"/>
        <v/>
      </c>
      <c r="K1382" s="86" t="str">
        <f>IF(AND(A1382="",D1382="",E1382="",F1382=""),"",IF(D1382="","SEM CATEGORIA",IF(E1382="","SEM SUBCATEGORIA",IF(COUNTIFS(CADASTROS!$L$7:$L$93,D1382,CADASTROS!$D$7:$D$93,E1382)=0,"INCOMPATÍVEL","OK"))))</f>
        <v/>
      </c>
    </row>
    <row r="1383" spans="1:11" ht="30" hidden="1" customHeight="1" x14ac:dyDescent="0.25">
      <c r="A1383" s="86" t="str">
        <f>IF(COUNTIF(EXTRATO!$A$2:$A$3000,"BAN-01240")=0,"","BAN-01240")</f>
        <v/>
      </c>
      <c r="B1383" s="85" t="str">
        <f>IF(A1383="","",IF(INDEX(EXTRATO!$C$2:$C$3000,MATCH($A1383,EXTRATO!$A$2:$A$3000,0))="","",INDEX(EXTRATO!$C$2:$C$3000,MATCH($A1383,EXTRATO!$A$2:$A$3000,0))))</f>
        <v/>
      </c>
      <c r="C1383" s="86" t="str">
        <f t="shared" si="30"/>
        <v/>
      </c>
      <c r="D1383" s="81"/>
      <c r="E1383" s="79"/>
      <c r="F1383" s="80" t="str">
        <f>IF(A1383="","",SUMIF(EXTRATO!$A$2:$A$3000,$A1383,EXTRATO!$J$2:$J$3000)+SUMIF(EXTRATO!$A$2:$A$3000,$A1383,EXTRATO!$K$2:$K$3000)+SUMIF(EXTRATO!$A$2:$A$3000,$A1383,EXTRATO!$L$2:$L$3000)+SUMIF(EXTRATO!$A$2:$A$3000,$A1383,EXTRATO!$M$2:$M$3000))</f>
        <v/>
      </c>
      <c r="G1383" s="81" t="str">
        <f>IF(A1383="","",IF(INDEX(EXTRATO!$G$2:$G$3000,MATCH($A1383,EXTRATO!$A$2:$A$3000,0))="","",INDEX(EXTRATO!$G$2:$G$3000,MATCH($A1383,EXTRATO!$A$2:$A$3000,0))))</f>
        <v/>
      </c>
      <c r="H1383" s="86" t="str">
        <f>IF(A1383="","",IF(INDEX(EXTRATO!$F$2:$F$3000,MATCH($A1383,EXTRATO!$A$2:$A$3000,0))="","",INDEX(EXTRATO!$F$2:$F$3000,MATCH($A1383,EXTRATO!$A$2:$A$3000,0))))</f>
        <v/>
      </c>
      <c r="I1383" s="88" t="str">
        <f>IF(A1383="","",IF(INDEX(EXTRATO!$H$2:$H$3000,MATCH($A1383,EXTRATO!$A$2:$A$3000,0))="","",INDEX(EXTRATO!$H$2:$H$3000,MATCH($A1383,EXTRATO!$A$2:$A$3000,0))))</f>
        <v/>
      </c>
      <c r="J1383" s="86" t="str">
        <f t="shared" si="29"/>
        <v/>
      </c>
      <c r="K1383" s="86" t="str">
        <f>IF(AND(A1383="",D1383="",E1383="",F1383=""),"",IF(D1383="","SEM CATEGORIA",IF(E1383="","SEM SUBCATEGORIA",IF(COUNTIFS(CADASTROS!$L$7:$L$93,D1383,CADASTROS!$D$7:$D$93,E1383)=0,"INCOMPATÍVEL","OK"))))</f>
        <v/>
      </c>
    </row>
    <row r="1384" spans="1:11" ht="30" hidden="1" customHeight="1" x14ac:dyDescent="0.25">
      <c r="A1384" s="86" t="str">
        <f>IF(COUNTIF(EXTRATO!$A$2:$A$3000,"BAN-01241")=0,"","BAN-01241")</f>
        <v/>
      </c>
      <c r="B1384" s="85" t="str">
        <f>IF(A1384="","",IF(INDEX(EXTRATO!$C$2:$C$3000,MATCH($A1384,EXTRATO!$A$2:$A$3000,0))="","",INDEX(EXTRATO!$C$2:$C$3000,MATCH($A1384,EXTRATO!$A$2:$A$3000,0))))</f>
        <v/>
      </c>
      <c r="C1384" s="86" t="str">
        <f t="shared" si="30"/>
        <v/>
      </c>
      <c r="D1384" s="81"/>
      <c r="E1384" s="79"/>
      <c r="F1384" s="80" t="str">
        <f>IF(A1384="","",SUMIF(EXTRATO!$A$2:$A$3000,$A1384,EXTRATO!$J$2:$J$3000)+SUMIF(EXTRATO!$A$2:$A$3000,$A1384,EXTRATO!$K$2:$K$3000)+SUMIF(EXTRATO!$A$2:$A$3000,$A1384,EXTRATO!$L$2:$L$3000)+SUMIF(EXTRATO!$A$2:$A$3000,$A1384,EXTRATO!$M$2:$M$3000))</f>
        <v/>
      </c>
      <c r="G1384" s="81" t="str">
        <f>IF(A1384="","",IF(INDEX(EXTRATO!$G$2:$G$3000,MATCH($A1384,EXTRATO!$A$2:$A$3000,0))="","",INDEX(EXTRATO!$G$2:$G$3000,MATCH($A1384,EXTRATO!$A$2:$A$3000,0))))</f>
        <v/>
      </c>
      <c r="H1384" s="86" t="str">
        <f>IF(A1384="","",IF(INDEX(EXTRATO!$F$2:$F$3000,MATCH($A1384,EXTRATO!$A$2:$A$3000,0))="","",INDEX(EXTRATO!$F$2:$F$3000,MATCH($A1384,EXTRATO!$A$2:$A$3000,0))))</f>
        <v/>
      </c>
      <c r="I1384" s="88" t="str">
        <f>IF(A1384="","",IF(INDEX(EXTRATO!$H$2:$H$3000,MATCH($A1384,EXTRATO!$A$2:$A$3000,0))="","",INDEX(EXTRATO!$H$2:$H$3000,MATCH($A1384,EXTRATO!$A$2:$A$3000,0))))</f>
        <v/>
      </c>
      <c r="J1384" s="86" t="str">
        <f t="shared" si="29"/>
        <v/>
      </c>
      <c r="K1384" s="86" t="str">
        <f>IF(AND(A1384="",D1384="",E1384="",F1384=""),"",IF(D1384="","SEM CATEGORIA",IF(E1384="","SEM SUBCATEGORIA",IF(COUNTIFS(CADASTROS!$L$7:$L$93,D1384,CADASTROS!$D$7:$D$93,E1384)=0,"INCOMPATÍVEL","OK"))))</f>
        <v/>
      </c>
    </row>
    <row r="1385" spans="1:11" ht="30" hidden="1" customHeight="1" x14ac:dyDescent="0.25">
      <c r="A1385" s="86" t="str">
        <f>IF(COUNTIF(EXTRATO!$A$2:$A$3000,"BAN-01242")=0,"","BAN-01242")</f>
        <v/>
      </c>
      <c r="B1385" s="85" t="str">
        <f>IF(A1385="","",IF(INDEX(EXTRATO!$C$2:$C$3000,MATCH($A1385,EXTRATO!$A$2:$A$3000,0))="","",INDEX(EXTRATO!$C$2:$C$3000,MATCH($A1385,EXTRATO!$A$2:$A$3000,0))))</f>
        <v/>
      </c>
      <c r="C1385" s="86" t="str">
        <f t="shared" si="30"/>
        <v/>
      </c>
      <c r="D1385" s="81"/>
      <c r="E1385" s="79"/>
      <c r="F1385" s="80" t="str">
        <f>IF(A1385="","",SUMIF(EXTRATO!$A$2:$A$3000,$A1385,EXTRATO!$J$2:$J$3000)+SUMIF(EXTRATO!$A$2:$A$3000,$A1385,EXTRATO!$K$2:$K$3000)+SUMIF(EXTRATO!$A$2:$A$3000,$A1385,EXTRATO!$L$2:$L$3000)+SUMIF(EXTRATO!$A$2:$A$3000,$A1385,EXTRATO!$M$2:$M$3000))</f>
        <v/>
      </c>
      <c r="G1385" s="81" t="str">
        <f>IF(A1385="","",IF(INDEX(EXTRATO!$G$2:$G$3000,MATCH($A1385,EXTRATO!$A$2:$A$3000,0))="","",INDEX(EXTRATO!$G$2:$G$3000,MATCH($A1385,EXTRATO!$A$2:$A$3000,0))))</f>
        <v/>
      </c>
      <c r="H1385" s="86" t="str">
        <f>IF(A1385="","",IF(INDEX(EXTRATO!$F$2:$F$3000,MATCH($A1385,EXTRATO!$A$2:$A$3000,0))="","",INDEX(EXTRATO!$F$2:$F$3000,MATCH($A1385,EXTRATO!$A$2:$A$3000,0))))</f>
        <v/>
      </c>
      <c r="I1385" s="88" t="str">
        <f>IF(A1385="","",IF(INDEX(EXTRATO!$H$2:$H$3000,MATCH($A1385,EXTRATO!$A$2:$A$3000,0))="","",INDEX(EXTRATO!$H$2:$H$3000,MATCH($A1385,EXTRATO!$A$2:$A$3000,0))))</f>
        <v/>
      </c>
      <c r="J1385" s="86" t="str">
        <f t="shared" si="29"/>
        <v/>
      </c>
      <c r="K1385" s="86" t="str">
        <f>IF(AND(A1385="",D1385="",E1385="",F1385=""),"",IF(D1385="","SEM CATEGORIA",IF(E1385="","SEM SUBCATEGORIA",IF(COUNTIFS(CADASTROS!$L$7:$L$93,D1385,CADASTROS!$D$7:$D$93,E1385)=0,"INCOMPATÍVEL","OK"))))</f>
        <v/>
      </c>
    </row>
    <row r="1386" spans="1:11" ht="30" hidden="1" customHeight="1" x14ac:dyDescent="0.25">
      <c r="A1386" s="86" t="str">
        <f>IF(COUNTIF(EXTRATO!$A$2:$A$3000,"BAN-01243")=0,"","BAN-01243")</f>
        <v/>
      </c>
      <c r="B1386" s="85" t="str">
        <f>IF(A1386="","",IF(INDEX(EXTRATO!$C$2:$C$3000,MATCH($A1386,EXTRATO!$A$2:$A$3000,0))="","",INDEX(EXTRATO!$C$2:$C$3000,MATCH($A1386,EXTRATO!$A$2:$A$3000,0))))</f>
        <v/>
      </c>
      <c r="C1386" s="86" t="str">
        <f t="shared" si="30"/>
        <v/>
      </c>
      <c r="D1386" s="81"/>
      <c r="E1386" s="79"/>
      <c r="F1386" s="80" t="str">
        <f>IF(A1386="","",SUMIF(EXTRATO!$A$2:$A$3000,$A1386,EXTRATO!$J$2:$J$3000)+SUMIF(EXTRATO!$A$2:$A$3000,$A1386,EXTRATO!$K$2:$K$3000)+SUMIF(EXTRATO!$A$2:$A$3000,$A1386,EXTRATO!$L$2:$L$3000)+SUMIF(EXTRATO!$A$2:$A$3000,$A1386,EXTRATO!$M$2:$M$3000))</f>
        <v/>
      </c>
      <c r="G1386" s="81" t="str">
        <f>IF(A1386="","",IF(INDEX(EXTRATO!$G$2:$G$3000,MATCH($A1386,EXTRATO!$A$2:$A$3000,0))="","",INDEX(EXTRATO!$G$2:$G$3000,MATCH($A1386,EXTRATO!$A$2:$A$3000,0))))</f>
        <v/>
      </c>
      <c r="H1386" s="86" t="str">
        <f>IF(A1386="","",IF(INDEX(EXTRATO!$F$2:$F$3000,MATCH($A1386,EXTRATO!$A$2:$A$3000,0))="","",INDEX(EXTRATO!$F$2:$F$3000,MATCH($A1386,EXTRATO!$A$2:$A$3000,0))))</f>
        <v/>
      </c>
      <c r="I1386" s="88" t="str">
        <f>IF(A1386="","",IF(INDEX(EXTRATO!$H$2:$H$3000,MATCH($A1386,EXTRATO!$A$2:$A$3000,0))="","",INDEX(EXTRATO!$H$2:$H$3000,MATCH($A1386,EXTRATO!$A$2:$A$3000,0))))</f>
        <v/>
      </c>
      <c r="J1386" s="86" t="str">
        <f t="shared" si="29"/>
        <v/>
      </c>
      <c r="K1386" s="86" t="str">
        <f>IF(AND(A1386="",D1386="",E1386="",F1386=""),"",IF(D1386="","SEM CATEGORIA",IF(E1386="","SEM SUBCATEGORIA",IF(COUNTIFS(CADASTROS!$L$7:$L$93,D1386,CADASTROS!$D$7:$D$93,E1386)=0,"INCOMPATÍVEL","OK"))))</f>
        <v/>
      </c>
    </row>
    <row r="1387" spans="1:11" ht="30" hidden="1" customHeight="1" x14ac:dyDescent="0.25">
      <c r="A1387" s="86" t="str">
        <f>IF(COUNTIF(EXTRATO!$A$2:$A$3000,"BAN-01244")=0,"","BAN-01244")</f>
        <v/>
      </c>
      <c r="B1387" s="85" t="str">
        <f>IF(A1387="","",IF(INDEX(EXTRATO!$C$2:$C$3000,MATCH($A1387,EXTRATO!$A$2:$A$3000,0))="","",INDEX(EXTRATO!$C$2:$C$3000,MATCH($A1387,EXTRATO!$A$2:$A$3000,0))))</f>
        <v/>
      </c>
      <c r="C1387" s="86" t="str">
        <f t="shared" si="30"/>
        <v/>
      </c>
      <c r="D1387" s="81"/>
      <c r="E1387" s="79"/>
      <c r="F1387" s="80" t="str">
        <f>IF(A1387="","",SUMIF(EXTRATO!$A$2:$A$3000,$A1387,EXTRATO!$J$2:$J$3000)+SUMIF(EXTRATO!$A$2:$A$3000,$A1387,EXTRATO!$K$2:$K$3000)+SUMIF(EXTRATO!$A$2:$A$3000,$A1387,EXTRATO!$L$2:$L$3000)+SUMIF(EXTRATO!$A$2:$A$3000,$A1387,EXTRATO!$M$2:$M$3000))</f>
        <v/>
      </c>
      <c r="G1387" s="81" t="str">
        <f>IF(A1387="","",IF(INDEX(EXTRATO!$G$2:$G$3000,MATCH($A1387,EXTRATO!$A$2:$A$3000,0))="","",INDEX(EXTRATO!$G$2:$G$3000,MATCH($A1387,EXTRATO!$A$2:$A$3000,0))))</f>
        <v/>
      </c>
      <c r="H1387" s="86" t="str">
        <f>IF(A1387="","",IF(INDEX(EXTRATO!$F$2:$F$3000,MATCH($A1387,EXTRATO!$A$2:$A$3000,0))="","",INDEX(EXTRATO!$F$2:$F$3000,MATCH($A1387,EXTRATO!$A$2:$A$3000,0))))</f>
        <v/>
      </c>
      <c r="I1387" s="88" t="str">
        <f>IF(A1387="","",IF(INDEX(EXTRATO!$H$2:$H$3000,MATCH($A1387,EXTRATO!$A$2:$A$3000,0))="","",INDEX(EXTRATO!$H$2:$H$3000,MATCH($A1387,EXTRATO!$A$2:$A$3000,0))))</f>
        <v/>
      </c>
      <c r="J1387" s="86" t="str">
        <f t="shared" si="29"/>
        <v/>
      </c>
      <c r="K1387" s="86" t="str">
        <f>IF(AND(A1387="",D1387="",E1387="",F1387=""),"",IF(D1387="","SEM CATEGORIA",IF(E1387="","SEM SUBCATEGORIA",IF(COUNTIFS(CADASTROS!$L$7:$L$93,D1387,CADASTROS!$D$7:$D$93,E1387)=0,"INCOMPATÍVEL","OK"))))</f>
        <v/>
      </c>
    </row>
    <row r="1388" spans="1:11" ht="30" hidden="1" customHeight="1" x14ac:dyDescent="0.25">
      <c r="A1388" s="86" t="str">
        <f>IF(COUNTIF(EXTRATO!$A$2:$A$3000,"BAN-01245")=0,"","BAN-01245")</f>
        <v/>
      </c>
      <c r="B1388" s="85" t="str">
        <f>IF(A1388="","",IF(INDEX(EXTRATO!$C$2:$C$3000,MATCH($A1388,EXTRATO!$A$2:$A$3000,0))="","",INDEX(EXTRATO!$C$2:$C$3000,MATCH($A1388,EXTRATO!$A$2:$A$3000,0))))</f>
        <v/>
      </c>
      <c r="C1388" s="86" t="str">
        <f t="shared" si="30"/>
        <v/>
      </c>
      <c r="D1388" s="81"/>
      <c r="E1388" s="79"/>
      <c r="F1388" s="80" t="str">
        <f>IF(A1388="","",SUMIF(EXTRATO!$A$2:$A$3000,$A1388,EXTRATO!$J$2:$J$3000)+SUMIF(EXTRATO!$A$2:$A$3000,$A1388,EXTRATO!$K$2:$K$3000)+SUMIF(EXTRATO!$A$2:$A$3000,$A1388,EXTRATO!$L$2:$L$3000)+SUMIF(EXTRATO!$A$2:$A$3000,$A1388,EXTRATO!$M$2:$M$3000))</f>
        <v/>
      </c>
      <c r="G1388" s="81" t="str">
        <f>IF(A1388="","",IF(INDEX(EXTRATO!$G$2:$G$3000,MATCH($A1388,EXTRATO!$A$2:$A$3000,0))="","",INDEX(EXTRATO!$G$2:$G$3000,MATCH($A1388,EXTRATO!$A$2:$A$3000,0))))</f>
        <v/>
      </c>
      <c r="H1388" s="86" t="str">
        <f>IF(A1388="","",IF(INDEX(EXTRATO!$F$2:$F$3000,MATCH($A1388,EXTRATO!$A$2:$A$3000,0))="","",INDEX(EXTRATO!$F$2:$F$3000,MATCH($A1388,EXTRATO!$A$2:$A$3000,0))))</f>
        <v/>
      </c>
      <c r="I1388" s="88" t="str">
        <f>IF(A1388="","",IF(INDEX(EXTRATO!$H$2:$H$3000,MATCH($A1388,EXTRATO!$A$2:$A$3000,0))="","",INDEX(EXTRATO!$H$2:$H$3000,MATCH($A1388,EXTRATO!$A$2:$A$3000,0))))</f>
        <v/>
      </c>
      <c r="J1388" s="86" t="str">
        <f t="shared" ref="J1388:J1451" si="31">IF(A1388="","",IF(K1388="OK","MANUAL","PENDENTE"))</f>
        <v/>
      </c>
      <c r="K1388" s="86" t="str">
        <f>IF(AND(A1388="",D1388="",E1388="",F1388=""),"",IF(D1388="","SEM CATEGORIA",IF(E1388="","SEM SUBCATEGORIA",IF(COUNTIFS(CADASTROS!$L$7:$L$93,D1388,CADASTROS!$D$7:$D$93,E1388)=0,"INCOMPATÍVEL","OK"))))</f>
        <v/>
      </c>
    </row>
    <row r="1389" spans="1:11" ht="30" hidden="1" customHeight="1" x14ac:dyDescent="0.25">
      <c r="A1389" s="86" t="str">
        <f>IF(COUNTIF(EXTRATO!$A$2:$A$3000,"BAN-01246")=0,"","BAN-01246")</f>
        <v/>
      </c>
      <c r="B1389" s="85" t="str">
        <f>IF(A1389="","",IF(INDEX(EXTRATO!$C$2:$C$3000,MATCH($A1389,EXTRATO!$A$2:$A$3000,0))="","",INDEX(EXTRATO!$C$2:$C$3000,MATCH($A1389,EXTRATO!$A$2:$A$3000,0))))</f>
        <v/>
      </c>
      <c r="C1389" s="86" t="str">
        <f t="shared" si="30"/>
        <v/>
      </c>
      <c r="D1389" s="81"/>
      <c r="E1389" s="79"/>
      <c r="F1389" s="80" t="str">
        <f>IF(A1389="","",SUMIF(EXTRATO!$A$2:$A$3000,$A1389,EXTRATO!$J$2:$J$3000)+SUMIF(EXTRATO!$A$2:$A$3000,$A1389,EXTRATO!$K$2:$K$3000)+SUMIF(EXTRATO!$A$2:$A$3000,$A1389,EXTRATO!$L$2:$L$3000)+SUMIF(EXTRATO!$A$2:$A$3000,$A1389,EXTRATO!$M$2:$M$3000))</f>
        <v/>
      </c>
      <c r="G1389" s="81" t="str">
        <f>IF(A1389="","",IF(INDEX(EXTRATO!$G$2:$G$3000,MATCH($A1389,EXTRATO!$A$2:$A$3000,0))="","",INDEX(EXTRATO!$G$2:$G$3000,MATCH($A1389,EXTRATO!$A$2:$A$3000,0))))</f>
        <v/>
      </c>
      <c r="H1389" s="86" t="str">
        <f>IF(A1389="","",IF(INDEX(EXTRATO!$F$2:$F$3000,MATCH($A1389,EXTRATO!$A$2:$A$3000,0))="","",INDEX(EXTRATO!$F$2:$F$3000,MATCH($A1389,EXTRATO!$A$2:$A$3000,0))))</f>
        <v/>
      </c>
      <c r="I1389" s="88" t="str">
        <f>IF(A1389="","",IF(INDEX(EXTRATO!$H$2:$H$3000,MATCH($A1389,EXTRATO!$A$2:$A$3000,0))="","",INDEX(EXTRATO!$H$2:$H$3000,MATCH($A1389,EXTRATO!$A$2:$A$3000,0))))</f>
        <v/>
      </c>
      <c r="J1389" s="86" t="str">
        <f t="shared" si="31"/>
        <v/>
      </c>
      <c r="K1389" s="86" t="str">
        <f>IF(AND(A1389="",D1389="",E1389="",F1389=""),"",IF(D1389="","SEM CATEGORIA",IF(E1389="","SEM SUBCATEGORIA",IF(COUNTIFS(CADASTROS!$L$7:$L$93,D1389,CADASTROS!$D$7:$D$93,E1389)=0,"INCOMPATÍVEL","OK"))))</f>
        <v/>
      </c>
    </row>
    <row r="1390" spans="1:11" ht="30" hidden="1" customHeight="1" x14ac:dyDescent="0.25">
      <c r="A1390" s="86" t="str">
        <f>IF(COUNTIF(EXTRATO!$A$2:$A$3000,"BAN-01247")=0,"","BAN-01247")</f>
        <v/>
      </c>
      <c r="B1390" s="85" t="str">
        <f>IF(A1390="","",IF(INDEX(EXTRATO!$C$2:$C$3000,MATCH($A1390,EXTRATO!$A$2:$A$3000,0))="","",INDEX(EXTRATO!$C$2:$C$3000,MATCH($A1390,EXTRATO!$A$2:$A$3000,0))))</f>
        <v/>
      </c>
      <c r="C1390" s="86" t="str">
        <f t="shared" si="30"/>
        <v/>
      </c>
      <c r="D1390" s="81"/>
      <c r="E1390" s="79"/>
      <c r="F1390" s="80" t="str">
        <f>IF(A1390="","",SUMIF(EXTRATO!$A$2:$A$3000,$A1390,EXTRATO!$J$2:$J$3000)+SUMIF(EXTRATO!$A$2:$A$3000,$A1390,EXTRATO!$K$2:$K$3000)+SUMIF(EXTRATO!$A$2:$A$3000,$A1390,EXTRATO!$L$2:$L$3000)+SUMIF(EXTRATO!$A$2:$A$3000,$A1390,EXTRATO!$M$2:$M$3000))</f>
        <v/>
      </c>
      <c r="G1390" s="81" t="str">
        <f>IF(A1390="","",IF(INDEX(EXTRATO!$G$2:$G$3000,MATCH($A1390,EXTRATO!$A$2:$A$3000,0))="","",INDEX(EXTRATO!$G$2:$G$3000,MATCH($A1390,EXTRATO!$A$2:$A$3000,0))))</f>
        <v/>
      </c>
      <c r="H1390" s="86" t="str">
        <f>IF(A1390="","",IF(INDEX(EXTRATO!$F$2:$F$3000,MATCH($A1390,EXTRATO!$A$2:$A$3000,0))="","",INDEX(EXTRATO!$F$2:$F$3000,MATCH($A1390,EXTRATO!$A$2:$A$3000,0))))</f>
        <v/>
      </c>
      <c r="I1390" s="88" t="str">
        <f>IF(A1390="","",IF(INDEX(EXTRATO!$H$2:$H$3000,MATCH($A1390,EXTRATO!$A$2:$A$3000,0))="","",INDEX(EXTRATO!$H$2:$H$3000,MATCH($A1390,EXTRATO!$A$2:$A$3000,0))))</f>
        <v/>
      </c>
      <c r="J1390" s="86" t="str">
        <f t="shared" si="31"/>
        <v/>
      </c>
      <c r="K1390" s="86" t="str">
        <f>IF(AND(A1390="",D1390="",E1390="",F1390=""),"",IF(D1390="","SEM CATEGORIA",IF(E1390="","SEM SUBCATEGORIA",IF(COUNTIFS(CADASTROS!$L$7:$L$93,D1390,CADASTROS!$D$7:$D$93,E1390)=0,"INCOMPATÍVEL","OK"))))</f>
        <v/>
      </c>
    </row>
    <row r="1391" spans="1:11" ht="30" hidden="1" customHeight="1" x14ac:dyDescent="0.25">
      <c r="A1391" s="86" t="str">
        <f>IF(COUNTIF(EXTRATO!$A$2:$A$3000,"BAN-01248")=0,"","BAN-01248")</f>
        <v/>
      </c>
      <c r="B1391" s="85" t="str">
        <f>IF(A1391="","",IF(INDEX(EXTRATO!$C$2:$C$3000,MATCH($A1391,EXTRATO!$A$2:$A$3000,0))="","",INDEX(EXTRATO!$C$2:$C$3000,MATCH($A1391,EXTRATO!$A$2:$A$3000,0))))</f>
        <v/>
      </c>
      <c r="C1391" s="86" t="str">
        <f t="shared" si="30"/>
        <v/>
      </c>
      <c r="D1391" s="81"/>
      <c r="E1391" s="79"/>
      <c r="F1391" s="80" t="str">
        <f>IF(A1391="","",SUMIF(EXTRATO!$A$2:$A$3000,$A1391,EXTRATO!$J$2:$J$3000)+SUMIF(EXTRATO!$A$2:$A$3000,$A1391,EXTRATO!$K$2:$K$3000)+SUMIF(EXTRATO!$A$2:$A$3000,$A1391,EXTRATO!$L$2:$L$3000)+SUMIF(EXTRATO!$A$2:$A$3000,$A1391,EXTRATO!$M$2:$M$3000))</f>
        <v/>
      </c>
      <c r="G1391" s="81" t="str">
        <f>IF(A1391="","",IF(INDEX(EXTRATO!$G$2:$G$3000,MATCH($A1391,EXTRATO!$A$2:$A$3000,0))="","",INDEX(EXTRATO!$G$2:$G$3000,MATCH($A1391,EXTRATO!$A$2:$A$3000,0))))</f>
        <v/>
      </c>
      <c r="H1391" s="86" t="str">
        <f>IF(A1391="","",IF(INDEX(EXTRATO!$F$2:$F$3000,MATCH($A1391,EXTRATO!$A$2:$A$3000,0))="","",INDEX(EXTRATO!$F$2:$F$3000,MATCH($A1391,EXTRATO!$A$2:$A$3000,0))))</f>
        <v/>
      </c>
      <c r="I1391" s="88" t="str">
        <f>IF(A1391="","",IF(INDEX(EXTRATO!$H$2:$H$3000,MATCH($A1391,EXTRATO!$A$2:$A$3000,0))="","",INDEX(EXTRATO!$H$2:$H$3000,MATCH($A1391,EXTRATO!$A$2:$A$3000,0))))</f>
        <v/>
      </c>
      <c r="J1391" s="86" t="str">
        <f t="shared" si="31"/>
        <v/>
      </c>
      <c r="K1391" s="86" t="str">
        <f>IF(AND(A1391="",D1391="",E1391="",F1391=""),"",IF(D1391="","SEM CATEGORIA",IF(E1391="","SEM SUBCATEGORIA",IF(COUNTIFS(CADASTROS!$L$7:$L$93,D1391,CADASTROS!$D$7:$D$93,E1391)=0,"INCOMPATÍVEL","OK"))))</f>
        <v/>
      </c>
    </row>
    <row r="1392" spans="1:11" ht="30" hidden="1" customHeight="1" x14ac:dyDescent="0.25">
      <c r="A1392" s="86" t="str">
        <f>IF(COUNTIF(EXTRATO!$A$2:$A$3000,"BAN-01249")=0,"","BAN-01249")</f>
        <v/>
      </c>
      <c r="B1392" s="85" t="str">
        <f>IF(A1392="","",IF(INDEX(EXTRATO!$C$2:$C$3000,MATCH($A1392,EXTRATO!$A$2:$A$3000,0))="","",INDEX(EXTRATO!$C$2:$C$3000,MATCH($A1392,EXTRATO!$A$2:$A$3000,0))))</f>
        <v/>
      </c>
      <c r="C1392" s="86" t="str">
        <f t="shared" si="30"/>
        <v/>
      </c>
      <c r="D1392" s="81"/>
      <c r="E1392" s="79"/>
      <c r="F1392" s="80" t="str">
        <f>IF(A1392="","",SUMIF(EXTRATO!$A$2:$A$3000,$A1392,EXTRATO!$J$2:$J$3000)+SUMIF(EXTRATO!$A$2:$A$3000,$A1392,EXTRATO!$K$2:$K$3000)+SUMIF(EXTRATO!$A$2:$A$3000,$A1392,EXTRATO!$L$2:$L$3000)+SUMIF(EXTRATO!$A$2:$A$3000,$A1392,EXTRATO!$M$2:$M$3000))</f>
        <v/>
      </c>
      <c r="G1392" s="81" t="str">
        <f>IF(A1392="","",IF(INDEX(EXTRATO!$G$2:$G$3000,MATCH($A1392,EXTRATO!$A$2:$A$3000,0))="","",INDEX(EXTRATO!$G$2:$G$3000,MATCH($A1392,EXTRATO!$A$2:$A$3000,0))))</f>
        <v/>
      </c>
      <c r="H1392" s="86" t="str">
        <f>IF(A1392="","",IF(INDEX(EXTRATO!$F$2:$F$3000,MATCH($A1392,EXTRATO!$A$2:$A$3000,0))="","",INDEX(EXTRATO!$F$2:$F$3000,MATCH($A1392,EXTRATO!$A$2:$A$3000,0))))</f>
        <v/>
      </c>
      <c r="I1392" s="88" t="str">
        <f>IF(A1392="","",IF(INDEX(EXTRATO!$H$2:$H$3000,MATCH($A1392,EXTRATO!$A$2:$A$3000,0))="","",INDEX(EXTRATO!$H$2:$H$3000,MATCH($A1392,EXTRATO!$A$2:$A$3000,0))))</f>
        <v/>
      </c>
      <c r="J1392" s="86" t="str">
        <f t="shared" si="31"/>
        <v/>
      </c>
      <c r="K1392" s="86" t="str">
        <f>IF(AND(A1392="",D1392="",E1392="",F1392=""),"",IF(D1392="","SEM CATEGORIA",IF(E1392="","SEM SUBCATEGORIA",IF(COUNTIFS(CADASTROS!$L$7:$L$93,D1392,CADASTROS!$D$7:$D$93,E1392)=0,"INCOMPATÍVEL","OK"))))</f>
        <v/>
      </c>
    </row>
    <row r="1393" spans="1:11" ht="30" hidden="1" customHeight="1" x14ac:dyDescent="0.25">
      <c r="A1393" s="86" t="str">
        <f>IF(COUNTIF(EXTRATO!$A$2:$A$3000,"BAN-01250")=0,"","BAN-01250")</f>
        <v/>
      </c>
      <c r="B1393" s="85" t="str">
        <f>IF(A1393="","",IF(INDEX(EXTRATO!$C$2:$C$3000,MATCH($A1393,EXTRATO!$A$2:$A$3000,0))="","",INDEX(EXTRATO!$C$2:$C$3000,MATCH($A1393,EXTRATO!$A$2:$A$3000,0))))</f>
        <v/>
      </c>
      <c r="C1393" s="86" t="str">
        <f t="shared" si="30"/>
        <v/>
      </c>
      <c r="D1393" s="81"/>
      <c r="E1393" s="79"/>
      <c r="F1393" s="80" t="str">
        <f>IF(A1393="","",SUMIF(EXTRATO!$A$2:$A$3000,$A1393,EXTRATO!$J$2:$J$3000)+SUMIF(EXTRATO!$A$2:$A$3000,$A1393,EXTRATO!$K$2:$K$3000)+SUMIF(EXTRATO!$A$2:$A$3000,$A1393,EXTRATO!$L$2:$L$3000)+SUMIF(EXTRATO!$A$2:$A$3000,$A1393,EXTRATO!$M$2:$M$3000))</f>
        <v/>
      </c>
      <c r="G1393" s="81" t="str">
        <f>IF(A1393="","",IF(INDEX(EXTRATO!$G$2:$G$3000,MATCH($A1393,EXTRATO!$A$2:$A$3000,0))="","",INDEX(EXTRATO!$G$2:$G$3000,MATCH($A1393,EXTRATO!$A$2:$A$3000,0))))</f>
        <v/>
      </c>
      <c r="H1393" s="86" t="str">
        <f>IF(A1393="","",IF(INDEX(EXTRATO!$F$2:$F$3000,MATCH($A1393,EXTRATO!$A$2:$A$3000,0))="","",INDEX(EXTRATO!$F$2:$F$3000,MATCH($A1393,EXTRATO!$A$2:$A$3000,0))))</f>
        <v/>
      </c>
      <c r="I1393" s="88" t="str">
        <f>IF(A1393="","",IF(INDEX(EXTRATO!$H$2:$H$3000,MATCH($A1393,EXTRATO!$A$2:$A$3000,0))="","",INDEX(EXTRATO!$H$2:$H$3000,MATCH($A1393,EXTRATO!$A$2:$A$3000,0))))</f>
        <v/>
      </c>
      <c r="J1393" s="86" t="str">
        <f t="shared" si="31"/>
        <v/>
      </c>
      <c r="K1393" s="86" t="str">
        <f>IF(AND(A1393="",D1393="",E1393="",F1393=""),"",IF(D1393="","SEM CATEGORIA",IF(E1393="","SEM SUBCATEGORIA",IF(COUNTIFS(CADASTROS!$L$7:$L$93,D1393,CADASTROS!$D$7:$D$93,E1393)=0,"INCOMPATÍVEL","OK"))))</f>
        <v/>
      </c>
    </row>
    <row r="1394" spans="1:11" ht="30" hidden="1" customHeight="1" x14ac:dyDescent="0.25">
      <c r="A1394" s="86" t="str">
        <f>IF(COUNTIF(EXTRATO!$A$2:$A$3000,"BAN-01251")=0,"","BAN-01251")</f>
        <v/>
      </c>
      <c r="B1394" s="85" t="str">
        <f>IF(A1394="","",IF(INDEX(EXTRATO!$C$2:$C$3000,MATCH($A1394,EXTRATO!$A$2:$A$3000,0))="","",INDEX(EXTRATO!$C$2:$C$3000,MATCH($A1394,EXTRATO!$A$2:$A$3000,0))))</f>
        <v/>
      </c>
      <c r="C1394" s="86" t="str">
        <f t="shared" si="30"/>
        <v/>
      </c>
      <c r="D1394" s="81"/>
      <c r="E1394" s="79"/>
      <c r="F1394" s="80" t="str">
        <f>IF(A1394="","",SUMIF(EXTRATO!$A$2:$A$3000,$A1394,EXTRATO!$J$2:$J$3000)+SUMIF(EXTRATO!$A$2:$A$3000,$A1394,EXTRATO!$K$2:$K$3000)+SUMIF(EXTRATO!$A$2:$A$3000,$A1394,EXTRATO!$L$2:$L$3000)+SUMIF(EXTRATO!$A$2:$A$3000,$A1394,EXTRATO!$M$2:$M$3000))</f>
        <v/>
      </c>
      <c r="G1394" s="81" t="str">
        <f>IF(A1394="","",IF(INDEX(EXTRATO!$G$2:$G$3000,MATCH($A1394,EXTRATO!$A$2:$A$3000,0))="","",INDEX(EXTRATO!$G$2:$G$3000,MATCH($A1394,EXTRATO!$A$2:$A$3000,0))))</f>
        <v/>
      </c>
      <c r="H1394" s="86" t="str">
        <f>IF(A1394="","",IF(INDEX(EXTRATO!$F$2:$F$3000,MATCH($A1394,EXTRATO!$A$2:$A$3000,0))="","",INDEX(EXTRATO!$F$2:$F$3000,MATCH($A1394,EXTRATO!$A$2:$A$3000,0))))</f>
        <v/>
      </c>
      <c r="I1394" s="88" t="str">
        <f>IF(A1394="","",IF(INDEX(EXTRATO!$H$2:$H$3000,MATCH($A1394,EXTRATO!$A$2:$A$3000,0))="","",INDEX(EXTRATO!$H$2:$H$3000,MATCH($A1394,EXTRATO!$A$2:$A$3000,0))))</f>
        <v/>
      </c>
      <c r="J1394" s="86" t="str">
        <f t="shared" si="31"/>
        <v/>
      </c>
      <c r="K1394" s="86" t="str">
        <f>IF(AND(A1394="",D1394="",E1394="",F1394=""),"",IF(D1394="","SEM CATEGORIA",IF(E1394="","SEM SUBCATEGORIA",IF(COUNTIFS(CADASTROS!$L$7:$L$93,D1394,CADASTROS!$D$7:$D$93,E1394)=0,"INCOMPATÍVEL","OK"))))</f>
        <v/>
      </c>
    </row>
    <row r="1395" spans="1:11" ht="30" hidden="1" customHeight="1" x14ac:dyDescent="0.25">
      <c r="A1395" s="86" t="str">
        <f>IF(COUNTIF(EXTRATO!$A$2:$A$3000,"BAN-01252")=0,"","BAN-01252")</f>
        <v/>
      </c>
      <c r="B1395" s="85" t="str">
        <f>IF(A1395="","",IF(INDEX(EXTRATO!$C$2:$C$3000,MATCH($A1395,EXTRATO!$A$2:$A$3000,0))="","",INDEX(EXTRATO!$C$2:$C$3000,MATCH($A1395,EXTRATO!$A$2:$A$3000,0))))</f>
        <v/>
      </c>
      <c r="C1395" s="86" t="str">
        <f t="shared" si="30"/>
        <v/>
      </c>
      <c r="D1395" s="81"/>
      <c r="E1395" s="79"/>
      <c r="F1395" s="80" t="str">
        <f>IF(A1395="","",SUMIF(EXTRATO!$A$2:$A$3000,$A1395,EXTRATO!$J$2:$J$3000)+SUMIF(EXTRATO!$A$2:$A$3000,$A1395,EXTRATO!$K$2:$K$3000)+SUMIF(EXTRATO!$A$2:$A$3000,$A1395,EXTRATO!$L$2:$L$3000)+SUMIF(EXTRATO!$A$2:$A$3000,$A1395,EXTRATO!$M$2:$M$3000))</f>
        <v/>
      </c>
      <c r="G1395" s="81" t="str">
        <f>IF(A1395="","",IF(INDEX(EXTRATO!$G$2:$G$3000,MATCH($A1395,EXTRATO!$A$2:$A$3000,0))="","",INDEX(EXTRATO!$G$2:$G$3000,MATCH($A1395,EXTRATO!$A$2:$A$3000,0))))</f>
        <v/>
      </c>
      <c r="H1395" s="86" t="str">
        <f>IF(A1395="","",IF(INDEX(EXTRATO!$F$2:$F$3000,MATCH($A1395,EXTRATO!$A$2:$A$3000,0))="","",INDEX(EXTRATO!$F$2:$F$3000,MATCH($A1395,EXTRATO!$A$2:$A$3000,0))))</f>
        <v/>
      </c>
      <c r="I1395" s="88" t="str">
        <f>IF(A1395="","",IF(INDEX(EXTRATO!$H$2:$H$3000,MATCH($A1395,EXTRATO!$A$2:$A$3000,0))="","",INDEX(EXTRATO!$H$2:$H$3000,MATCH($A1395,EXTRATO!$A$2:$A$3000,0))))</f>
        <v/>
      </c>
      <c r="J1395" s="86" t="str">
        <f t="shared" si="31"/>
        <v/>
      </c>
      <c r="K1395" s="86" t="str">
        <f>IF(AND(A1395="",D1395="",E1395="",F1395=""),"",IF(D1395="","SEM CATEGORIA",IF(E1395="","SEM SUBCATEGORIA",IF(COUNTIFS(CADASTROS!$L$7:$L$93,D1395,CADASTROS!$D$7:$D$93,E1395)=0,"INCOMPATÍVEL","OK"))))</f>
        <v/>
      </c>
    </row>
    <row r="1396" spans="1:11" ht="30" hidden="1" customHeight="1" x14ac:dyDescent="0.25">
      <c r="A1396" s="86" t="str">
        <f>IF(COUNTIF(EXTRATO!$A$2:$A$3000,"BAN-01253")=0,"","BAN-01253")</f>
        <v/>
      </c>
      <c r="B1396" s="85" t="str">
        <f>IF(A1396="","",IF(INDEX(EXTRATO!$C$2:$C$3000,MATCH($A1396,EXTRATO!$A$2:$A$3000,0))="","",INDEX(EXTRATO!$C$2:$C$3000,MATCH($A1396,EXTRATO!$A$2:$A$3000,0))))</f>
        <v/>
      </c>
      <c r="C1396" s="86" t="str">
        <f t="shared" si="30"/>
        <v/>
      </c>
      <c r="D1396" s="81"/>
      <c r="E1396" s="79"/>
      <c r="F1396" s="80" t="str">
        <f>IF(A1396="","",SUMIF(EXTRATO!$A$2:$A$3000,$A1396,EXTRATO!$J$2:$J$3000)+SUMIF(EXTRATO!$A$2:$A$3000,$A1396,EXTRATO!$K$2:$K$3000)+SUMIF(EXTRATO!$A$2:$A$3000,$A1396,EXTRATO!$L$2:$L$3000)+SUMIF(EXTRATO!$A$2:$A$3000,$A1396,EXTRATO!$M$2:$M$3000))</f>
        <v/>
      </c>
      <c r="G1396" s="81" t="str">
        <f>IF(A1396="","",IF(INDEX(EXTRATO!$G$2:$G$3000,MATCH($A1396,EXTRATO!$A$2:$A$3000,0))="","",INDEX(EXTRATO!$G$2:$G$3000,MATCH($A1396,EXTRATO!$A$2:$A$3000,0))))</f>
        <v/>
      </c>
      <c r="H1396" s="86" t="str">
        <f>IF(A1396="","",IF(INDEX(EXTRATO!$F$2:$F$3000,MATCH($A1396,EXTRATO!$A$2:$A$3000,0))="","",INDEX(EXTRATO!$F$2:$F$3000,MATCH($A1396,EXTRATO!$A$2:$A$3000,0))))</f>
        <v/>
      </c>
      <c r="I1396" s="88" t="str">
        <f>IF(A1396="","",IF(INDEX(EXTRATO!$H$2:$H$3000,MATCH($A1396,EXTRATO!$A$2:$A$3000,0))="","",INDEX(EXTRATO!$H$2:$H$3000,MATCH($A1396,EXTRATO!$A$2:$A$3000,0))))</f>
        <v/>
      </c>
      <c r="J1396" s="86" t="str">
        <f t="shared" si="31"/>
        <v/>
      </c>
      <c r="K1396" s="86" t="str">
        <f>IF(AND(A1396="",D1396="",E1396="",F1396=""),"",IF(D1396="","SEM CATEGORIA",IF(E1396="","SEM SUBCATEGORIA",IF(COUNTIFS(CADASTROS!$L$7:$L$93,D1396,CADASTROS!$D$7:$D$93,E1396)=0,"INCOMPATÍVEL","OK"))))</f>
        <v/>
      </c>
    </row>
    <row r="1397" spans="1:11" ht="30" hidden="1" customHeight="1" x14ac:dyDescent="0.25">
      <c r="A1397" s="86" t="str">
        <f>IF(COUNTIF(EXTRATO!$A$2:$A$3000,"BAN-01254")=0,"","BAN-01254")</f>
        <v/>
      </c>
      <c r="B1397" s="85" t="str">
        <f>IF(A1397="","",IF(INDEX(EXTRATO!$C$2:$C$3000,MATCH($A1397,EXTRATO!$A$2:$A$3000,0))="","",INDEX(EXTRATO!$C$2:$C$3000,MATCH($A1397,EXTRATO!$A$2:$A$3000,0))))</f>
        <v/>
      </c>
      <c r="C1397" s="86" t="str">
        <f t="shared" si="30"/>
        <v/>
      </c>
      <c r="D1397" s="81"/>
      <c r="E1397" s="79"/>
      <c r="F1397" s="80" t="str">
        <f>IF(A1397="","",SUMIF(EXTRATO!$A$2:$A$3000,$A1397,EXTRATO!$J$2:$J$3000)+SUMIF(EXTRATO!$A$2:$A$3000,$A1397,EXTRATO!$K$2:$K$3000)+SUMIF(EXTRATO!$A$2:$A$3000,$A1397,EXTRATO!$L$2:$L$3000)+SUMIF(EXTRATO!$A$2:$A$3000,$A1397,EXTRATO!$M$2:$M$3000))</f>
        <v/>
      </c>
      <c r="G1397" s="81" t="str">
        <f>IF(A1397="","",IF(INDEX(EXTRATO!$G$2:$G$3000,MATCH($A1397,EXTRATO!$A$2:$A$3000,0))="","",INDEX(EXTRATO!$G$2:$G$3000,MATCH($A1397,EXTRATO!$A$2:$A$3000,0))))</f>
        <v/>
      </c>
      <c r="H1397" s="86" t="str">
        <f>IF(A1397="","",IF(INDEX(EXTRATO!$F$2:$F$3000,MATCH($A1397,EXTRATO!$A$2:$A$3000,0))="","",INDEX(EXTRATO!$F$2:$F$3000,MATCH($A1397,EXTRATO!$A$2:$A$3000,0))))</f>
        <v/>
      </c>
      <c r="I1397" s="88" t="str">
        <f>IF(A1397="","",IF(INDEX(EXTRATO!$H$2:$H$3000,MATCH($A1397,EXTRATO!$A$2:$A$3000,0))="","",INDEX(EXTRATO!$H$2:$H$3000,MATCH($A1397,EXTRATO!$A$2:$A$3000,0))))</f>
        <v/>
      </c>
      <c r="J1397" s="86" t="str">
        <f t="shared" si="31"/>
        <v/>
      </c>
      <c r="K1397" s="86" t="str">
        <f>IF(AND(A1397="",D1397="",E1397="",F1397=""),"",IF(D1397="","SEM CATEGORIA",IF(E1397="","SEM SUBCATEGORIA",IF(COUNTIFS(CADASTROS!$L$7:$L$93,D1397,CADASTROS!$D$7:$D$93,E1397)=0,"INCOMPATÍVEL","OK"))))</f>
        <v/>
      </c>
    </row>
    <row r="1398" spans="1:11" ht="30" hidden="1" customHeight="1" x14ac:dyDescent="0.25">
      <c r="A1398" s="86" t="str">
        <f>IF(COUNTIF(EXTRATO!$A$2:$A$3000,"BAN-01255")=0,"","BAN-01255")</f>
        <v/>
      </c>
      <c r="B1398" s="85" t="str">
        <f>IF(A1398="","",IF(INDEX(EXTRATO!$C$2:$C$3000,MATCH($A1398,EXTRATO!$A$2:$A$3000,0))="","",INDEX(EXTRATO!$C$2:$C$3000,MATCH($A1398,EXTRATO!$A$2:$A$3000,0))))</f>
        <v/>
      </c>
      <c r="C1398" s="86" t="str">
        <f t="shared" si="30"/>
        <v/>
      </c>
      <c r="D1398" s="81"/>
      <c r="E1398" s="79"/>
      <c r="F1398" s="80" t="str">
        <f>IF(A1398="","",SUMIF(EXTRATO!$A$2:$A$3000,$A1398,EXTRATO!$J$2:$J$3000)+SUMIF(EXTRATO!$A$2:$A$3000,$A1398,EXTRATO!$K$2:$K$3000)+SUMIF(EXTRATO!$A$2:$A$3000,$A1398,EXTRATO!$L$2:$L$3000)+SUMIF(EXTRATO!$A$2:$A$3000,$A1398,EXTRATO!$M$2:$M$3000))</f>
        <v/>
      </c>
      <c r="G1398" s="81" t="str">
        <f>IF(A1398="","",IF(INDEX(EXTRATO!$G$2:$G$3000,MATCH($A1398,EXTRATO!$A$2:$A$3000,0))="","",INDEX(EXTRATO!$G$2:$G$3000,MATCH($A1398,EXTRATO!$A$2:$A$3000,0))))</f>
        <v/>
      </c>
      <c r="H1398" s="86" t="str">
        <f>IF(A1398="","",IF(INDEX(EXTRATO!$F$2:$F$3000,MATCH($A1398,EXTRATO!$A$2:$A$3000,0))="","",INDEX(EXTRATO!$F$2:$F$3000,MATCH($A1398,EXTRATO!$A$2:$A$3000,0))))</f>
        <v/>
      </c>
      <c r="I1398" s="88" t="str">
        <f>IF(A1398="","",IF(INDEX(EXTRATO!$H$2:$H$3000,MATCH($A1398,EXTRATO!$A$2:$A$3000,0))="","",INDEX(EXTRATO!$H$2:$H$3000,MATCH($A1398,EXTRATO!$A$2:$A$3000,0))))</f>
        <v/>
      </c>
      <c r="J1398" s="86" t="str">
        <f t="shared" si="31"/>
        <v/>
      </c>
      <c r="K1398" s="86" t="str">
        <f>IF(AND(A1398="",D1398="",E1398="",F1398=""),"",IF(D1398="","SEM CATEGORIA",IF(E1398="","SEM SUBCATEGORIA",IF(COUNTIFS(CADASTROS!$L$7:$L$93,D1398,CADASTROS!$D$7:$D$93,E1398)=0,"INCOMPATÍVEL","OK"))))</f>
        <v/>
      </c>
    </row>
    <row r="1399" spans="1:11" ht="30" hidden="1" customHeight="1" x14ac:dyDescent="0.25">
      <c r="A1399" s="86" t="str">
        <f>IF(COUNTIF(EXTRATO!$A$2:$A$3000,"BAN-01256")=0,"","BAN-01256")</f>
        <v/>
      </c>
      <c r="B1399" s="85" t="str">
        <f>IF(A1399="","",IF(INDEX(EXTRATO!$C$2:$C$3000,MATCH($A1399,EXTRATO!$A$2:$A$3000,0))="","",INDEX(EXTRATO!$C$2:$C$3000,MATCH($A1399,EXTRATO!$A$2:$A$3000,0))))</f>
        <v/>
      </c>
      <c r="C1399" s="86" t="str">
        <f t="shared" si="30"/>
        <v/>
      </c>
      <c r="D1399" s="81"/>
      <c r="E1399" s="79"/>
      <c r="F1399" s="80" t="str">
        <f>IF(A1399="","",SUMIF(EXTRATO!$A$2:$A$3000,$A1399,EXTRATO!$J$2:$J$3000)+SUMIF(EXTRATO!$A$2:$A$3000,$A1399,EXTRATO!$K$2:$K$3000)+SUMIF(EXTRATO!$A$2:$A$3000,$A1399,EXTRATO!$L$2:$L$3000)+SUMIF(EXTRATO!$A$2:$A$3000,$A1399,EXTRATO!$M$2:$M$3000))</f>
        <v/>
      </c>
      <c r="G1399" s="81" t="str">
        <f>IF(A1399="","",IF(INDEX(EXTRATO!$G$2:$G$3000,MATCH($A1399,EXTRATO!$A$2:$A$3000,0))="","",INDEX(EXTRATO!$G$2:$G$3000,MATCH($A1399,EXTRATO!$A$2:$A$3000,0))))</f>
        <v/>
      </c>
      <c r="H1399" s="86" t="str">
        <f>IF(A1399="","",IF(INDEX(EXTRATO!$F$2:$F$3000,MATCH($A1399,EXTRATO!$A$2:$A$3000,0))="","",INDEX(EXTRATO!$F$2:$F$3000,MATCH($A1399,EXTRATO!$A$2:$A$3000,0))))</f>
        <v/>
      </c>
      <c r="I1399" s="88" t="str">
        <f>IF(A1399="","",IF(INDEX(EXTRATO!$H$2:$H$3000,MATCH($A1399,EXTRATO!$A$2:$A$3000,0))="","",INDEX(EXTRATO!$H$2:$H$3000,MATCH($A1399,EXTRATO!$A$2:$A$3000,0))))</f>
        <v/>
      </c>
      <c r="J1399" s="86" t="str">
        <f t="shared" si="31"/>
        <v/>
      </c>
      <c r="K1399" s="86" t="str">
        <f>IF(AND(A1399="",D1399="",E1399="",F1399=""),"",IF(D1399="","SEM CATEGORIA",IF(E1399="","SEM SUBCATEGORIA",IF(COUNTIFS(CADASTROS!$L$7:$L$93,D1399,CADASTROS!$D$7:$D$93,E1399)=0,"INCOMPATÍVEL","OK"))))</f>
        <v/>
      </c>
    </row>
    <row r="1400" spans="1:11" ht="30" hidden="1" customHeight="1" x14ac:dyDescent="0.25">
      <c r="A1400" s="86" t="str">
        <f>IF(COUNTIF(EXTRATO!$A$2:$A$3000,"BAN-01257")=0,"","BAN-01257")</f>
        <v/>
      </c>
      <c r="B1400" s="85" t="str">
        <f>IF(A1400="","",IF(INDEX(EXTRATO!$C$2:$C$3000,MATCH($A1400,EXTRATO!$A$2:$A$3000,0))="","",INDEX(EXTRATO!$C$2:$C$3000,MATCH($A1400,EXTRATO!$A$2:$A$3000,0))))</f>
        <v/>
      </c>
      <c r="C1400" s="86" t="str">
        <f t="shared" si="30"/>
        <v/>
      </c>
      <c r="D1400" s="81"/>
      <c r="E1400" s="79"/>
      <c r="F1400" s="80" t="str">
        <f>IF(A1400="","",SUMIF(EXTRATO!$A$2:$A$3000,$A1400,EXTRATO!$J$2:$J$3000)+SUMIF(EXTRATO!$A$2:$A$3000,$A1400,EXTRATO!$K$2:$K$3000)+SUMIF(EXTRATO!$A$2:$A$3000,$A1400,EXTRATO!$L$2:$L$3000)+SUMIF(EXTRATO!$A$2:$A$3000,$A1400,EXTRATO!$M$2:$M$3000))</f>
        <v/>
      </c>
      <c r="G1400" s="81" t="str">
        <f>IF(A1400="","",IF(INDEX(EXTRATO!$G$2:$G$3000,MATCH($A1400,EXTRATO!$A$2:$A$3000,0))="","",INDEX(EXTRATO!$G$2:$G$3000,MATCH($A1400,EXTRATO!$A$2:$A$3000,0))))</f>
        <v/>
      </c>
      <c r="H1400" s="86" t="str">
        <f>IF(A1400="","",IF(INDEX(EXTRATO!$F$2:$F$3000,MATCH($A1400,EXTRATO!$A$2:$A$3000,0))="","",INDEX(EXTRATO!$F$2:$F$3000,MATCH($A1400,EXTRATO!$A$2:$A$3000,0))))</f>
        <v/>
      </c>
      <c r="I1400" s="88" t="str">
        <f>IF(A1400="","",IF(INDEX(EXTRATO!$H$2:$H$3000,MATCH($A1400,EXTRATO!$A$2:$A$3000,0))="","",INDEX(EXTRATO!$H$2:$H$3000,MATCH($A1400,EXTRATO!$A$2:$A$3000,0))))</f>
        <v/>
      </c>
      <c r="J1400" s="86" t="str">
        <f t="shared" si="31"/>
        <v/>
      </c>
      <c r="K1400" s="86" t="str">
        <f>IF(AND(A1400="",D1400="",E1400="",F1400=""),"",IF(D1400="","SEM CATEGORIA",IF(E1400="","SEM SUBCATEGORIA",IF(COUNTIFS(CADASTROS!$L$7:$L$93,D1400,CADASTROS!$D$7:$D$93,E1400)=0,"INCOMPATÍVEL","OK"))))</f>
        <v/>
      </c>
    </row>
    <row r="1401" spans="1:11" ht="30" hidden="1" customHeight="1" x14ac:dyDescent="0.25">
      <c r="A1401" s="86" t="str">
        <f>IF(COUNTIF(EXTRATO!$A$2:$A$3000,"BAN-01258")=0,"","BAN-01258")</f>
        <v/>
      </c>
      <c r="B1401" s="85" t="str">
        <f>IF(A1401="","",IF(INDEX(EXTRATO!$C$2:$C$3000,MATCH($A1401,EXTRATO!$A$2:$A$3000,0))="","",INDEX(EXTRATO!$C$2:$C$3000,MATCH($A1401,EXTRATO!$A$2:$A$3000,0))))</f>
        <v/>
      </c>
      <c r="C1401" s="86" t="str">
        <f t="shared" si="30"/>
        <v/>
      </c>
      <c r="D1401" s="81"/>
      <c r="E1401" s="79"/>
      <c r="F1401" s="80" t="str">
        <f>IF(A1401="","",SUMIF(EXTRATO!$A$2:$A$3000,$A1401,EXTRATO!$J$2:$J$3000)+SUMIF(EXTRATO!$A$2:$A$3000,$A1401,EXTRATO!$K$2:$K$3000)+SUMIF(EXTRATO!$A$2:$A$3000,$A1401,EXTRATO!$L$2:$L$3000)+SUMIF(EXTRATO!$A$2:$A$3000,$A1401,EXTRATO!$M$2:$M$3000))</f>
        <v/>
      </c>
      <c r="G1401" s="81" t="str">
        <f>IF(A1401="","",IF(INDEX(EXTRATO!$G$2:$G$3000,MATCH($A1401,EXTRATO!$A$2:$A$3000,0))="","",INDEX(EXTRATO!$G$2:$G$3000,MATCH($A1401,EXTRATO!$A$2:$A$3000,0))))</f>
        <v/>
      </c>
      <c r="H1401" s="86" t="str">
        <f>IF(A1401="","",IF(INDEX(EXTRATO!$F$2:$F$3000,MATCH($A1401,EXTRATO!$A$2:$A$3000,0))="","",INDEX(EXTRATO!$F$2:$F$3000,MATCH($A1401,EXTRATO!$A$2:$A$3000,0))))</f>
        <v/>
      </c>
      <c r="I1401" s="88" t="str">
        <f>IF(A1401="","",IF(INDEX(EXTRATO!$H$2:$H$3000,MATCH($A1401,EXTRATO!$A$2:$A$3000,0))="","",INDEX(EXTRATO!$H$2:$H$3000,MATCH($A1401,EXTRATO!$A$2:$A$3000,0))))</f>
        <v/>
      </c>
      <c r="J1401" s="86" t="str">
        <f t="shared" si="31"/>
        <v/>
      </c>
      <c r="K1401" s="86" t="str">
        <f>IF(AND(A1401="",D1401="",E1401="",F1401=""),"",IF(D1401="","SEM CATEGORIA",IF(E1401="","SEM SUBCATEGORIA",IF(COUNTIFS(CADASTROS!$L$7:$L$93,D1401,CADASTROS!$D$7:$D$93,E1401)=0,"INCOMPATÍVEL","OK"))))</f>
        <v/>
      </c>
    </row>
    <row r="1402" spans="1:11" ht="30" hidden="1" customHeight="1" x14ac:dyDescent="0.25">
      <c r="A1402" s="86" t="str">
        <f>IF(COUNTIF(EXTRATO!$A$2:$A$3000,"BAN-01259")=0,"","BAN-01259")</f>
        <v/>
      </c>
      <c r="B1402" s="85" t="str">
        <f>IF(A1402="","",IF(INDEX(EXTRATO!$C$2:$C$3000,MATCH($A1402,EXTRATO!$A$2:$A$3000,0))="","",INDEX(EXTRATO!$C$2:$C$3000,MATCH($A1402,EXTRATO!$A$2:$A$3000,0))))</f>
        <v/>
      </c>
      <c r="C1402" s="86" t="str">
        <f t="shared" si="30"/>
        <v/>
      </c>
      <c r="D1402" s="81"/>
      <c r="E1402" s="79"/>
      <c r="F1402" s="80" t="str">
        <f>IF(A1402="","",SUMIF(EXTRATO!$A$2:$A$3000,$A1402,EXTRATO!$J$2:$J$3000)+SUMIF(EXTRATO!$A$2:$A$3000,$A1402,EXTRATO!$K$2:$K$3000)+SUMIF(EXTRATO!$A$2:$A$3000,$A1402,EXTRATO!$L$2:$L$3000)+SUMIF(EXTRATO!$A$2:$A$3000,$A1402,EXTRATO!$M$2:$M$3000))</f>
        <v/>
      </c>
      <c r="G1402" s="81" t="str">
        <f>IF(A1402="","",IF(INDEX(EXTRATO!$G$2:$G$3000,MATCH($A1402,EXTRATO!$A$2:$A$3000,0))="","",INDEX(EXTRATO!$G$2:$G$3000,MATCH($A1402,EXTRATO!$A$2:$A$3000,0))))</f>
        <v/>
      </c>
      <c r="H1402" s="86" t="str">
        <f>IF(A1402="","",IF(INDEX(EXTRATO!$F$2:$F$3000,MATCH($A1402,EXTRATO!$A$2:$A$3000,0))="","",INDEX(EXTRATO!$F$2:$F$3000,MATCH($A1402,EXTRATO!$A$2:$A$3000,0))))</f>
        <v/>
      </c>
      <c r="I1402" s="88" t="str">
        <f>IF(A1402="","",IF(INDEX(EXTRATO!$H$2:$H$3000,MATCH($A1402,EXTRATO!$A$2:$A$3000,0))="","",INDEX(EXTRATO!$H$2:$H$3000,MATCH($A1402,EXTRATO!$A$2:$A$3000,0))))</f>
        <v/>
      </c>
      <c r="J1402" s="86" t="str">
        <f t="shared" si="31"/>
        <v/>
      </c>
      <c r="K1402" s="86" t="str">
        <f>IF(AND(A1402="",D1402="",E1402="",F1402=""),"",IF(D1402="","SEM CATEGORIA",IF(E1402="","SEM SUBCATEGORIA",IF(COUNTIFS(CADASTROS!$L$7:$L$93,D1402,CADASTROS!$D$7:$D$93,E1402)=0,"INCOMPATÍVEL","OK"))))</f>
        <v/>
      </c>
    </row>
    <row r="1403" spans="1:11" ht="30" hidden="1" customHeight="1" x14ac:dyDescent="0.25">
      <c r="A1403" s="86" t="str">
        <f>IF(COUNTIF(EXTRATO!$A$2:$A$3000,"BAN-01260")=0,"","BAN-01260")</f>
        <v/>
      </c>
      <c r="B1403" s="85" t="str">
        <f>IF(A1403="","",IF(INDEX(EXTRATO!$C$2:$C$3000,MATCH($A1403,EXTRATO!$A$2:$A$3000,0))="","",INDEX(EXTRATO!$C$2:$C$3000,MATCH($A1403,EXTRATO!$A$2:$A$3000,0))))</f>
        <v/>
      </c>
      <c r="C1403" s="86" t="str">
        <f t="shared" si="30"/>
        <v/>
      </c>
      <c r="D1403" s="81"/>
      <c r="E1403" s="79"/>
      <c r="F1403" s="80" t="str">
        <f>IF(A1403="","",SUMIF(EXTRATO!$A$2:$A$3000,$A1403,EXTRATO!$J$2:$J$3000)+SUMIF(EXTRATO!$A$2:$A$3000,$A1403,EXTRATO!$K$2:$K$3000)+SUMIF(EXTRATO!$A$2:$A$3000,$A1403,EXTRATO!$L$2:$L$3000)+SUMIF(EXTRATO!$A$2:$A$3000,$A1403,EXTRATO!$M$2:$M$3000))</f>
        <v/>
      </c>
      <c r="G1403" s="81" t="str">
        <f>IF(A1403="","",IF(INDEX(EXTRATO!$G$2:$G$3000,MATCH($A1403,EXTRATO!$A$2:$A$3000,0))="","",INDEX(EXTRATO!$G$2:$G$3000,MATCH($A1403,EXTRATO!$A$2:$A$3000,0))))</f>
        <v/>
      </c>
      <c r="H1403" s="86" t="str">
        <f>IF(A1403="","",IF(INDEX(EXTRATO!$F$2:$F$3000,MATCH($A1403,EXTRATO!$A$2:$A$3000,0))="","",INDEX(EXTRATO!$F$2:$F$3000,MATCH($A1403,EXTRATO!$A$2:$A$3000,0))))</f>
        <v/>
      </c>
      <c r="I1403" s="88" t="str">
        <f>IF(A1403="","",IF(INDEX(EXTRATO!$H$2:$H$3000,MATCH($A1403,EXTRATO!$A$2:$A$3000,0))="","",INDEX(EXTRATO!$H$2:$H$3000,MATCH($A1403,EXTRATO!$A$2:$A$3000,0))))</f>
        <v/>
      </c>
      <c r="J1403" s="86" t="str">
        <f t="shared" si="31"/>
        <v/>
      </c>
      <c r="K1403" s="86" t="str">
        <f>IF(AND(A1403="",D1403="",E1403="",F1403=""),"",IF(D1403="","SEM CATEGORIA",IF(E1403="","SEM SUBCATEGORIA",IF(COUNTIFS(CADASTROS!$L$7:$L$93,D1403,CADASTROS!$D$7:$D$93,E1403)=0,"INCOMPATÍVEL","OK"))))</f>
        <v/>
      </c>
    </row>
    <row r="1404" spans="1:11" ht="30" hidden="1" customHeight="1" x14ac:dyDescent="0.25">
      <c r="A1404" s="86" t="str">
        <f>IF(COUNTIF(EXTRATO!$A$2:$A$3000,"BAN-01261")=0,"","BAN-01261")</f>
        <v/>
      </c>
      <c r="B1404" s="85" t="str">
        <f>IF(A1404="","",IF(INDEX(EXTRATO!$C$2:$C$3000,MATCH($A1404,EXTRATO!$A$2:$A$3000,0))="","",INDEX(EXTRATO!$C$2:$C$3000,MATCH($A1404,EXTRATO!$A$2:$A$3000,0))))</f>
        <v/>
      </c>
      <c r="C1404" s="86" t="str">
        <f t="shared" si="30"/>
        <v/>
      </c>
      <c r="D1404" s="81"/>
      <c r="E1404" s="79"/>
      <c r="F1404" s="80" t="str">
        <f>IF(A1404="","",SUMIF(EXTRATO!$A$2:$A$3000,$A1404,EXTRATO!$J$2:$J$3000)+SUMIF(EXTRATO!$A$2:$A$3000,$A1404,EXTRATO!$K$2:$K$3000)+SUMIF(EXTRATO!$A$2:$A$3000,$A1404,EXTRATO!$L$2:$L$3000)+SUMIF(EXTRATO!$A$2:$A$3000,$A1404,EXTRATO!$M$2:$M$3000))</f>
        <v/>
      </c>
      <c r="G1404" s="81" t="str">
        <f>IF(A1404="","",IF(INDEX(EXTRATO!$G$2:$G$3000,MATCH($A1404,EXTRATO!$A$2:$A$3000,0))="","",INDEX(EXTRATO!$G$2:$G$3000,MATCH($A1404,EXTRATO!$A$2:$A$3000,0))))</f>
        <v/>
      </c>
      <c r="H1404" s="86" t="str">
        <f>IF(A1404="","",IF(INDEX(EXTRATO!$F$2:$F$3000,MATCH($A1404,EXTRATO!$A$2:$A$3000,0))="","",INDEX(EXTRATO!$F$2:$F$3000,MATCH($A1404,EXTRATO!$A$2:$A$3000,0))))</f>
        <v/>
      </c>
      <c r="I1404" s="88" t="str">
        <f>IF(A1404="","",IF(INDEX(EXTRATO!$H$2:$H$3000,MATCH($A1404,EXTRATO!$A$2:$A$3000,0))="","",INDEX(EXTRATO!$H$2:$H$3000,MATCH($A1404,EXTRATO!$A$2:$A$3000,0))))</f>
        <v/>
      </c>
      <c r="J1404" s="86" t="str">
        <f t="shared" si="31"/>
        <v/>
      </c>
      <c r="K1404" s="86" t="str">
        <f>IF(AND(A1404="",D1404="",E1404="",F1404=""),"",IF(D1404="","SEM CATEGORIA",IF(E1404="","SEM SUBCATEGORIA",IF(COUNTIFS(CADASTROS!$L$7:$L$93,D1404,CADASTROS!$D$7:$D$93,E1404)=0,"INCOMPATÍVEL","OK"))))</f>
        <v/>
      </c>
    </row>
    <row r="1405" spans="1:11" ht="30" hidden="1" customHeight="1" x14ac:dyDescent="0.25">
      <c r="A1405" s="86" t="str">
        <f>IF(COUNTIF(EXTRATO!$A$2:$A$3000,"BAN-01262")=0,"","BAN-01262")</f>
        <v/>
      </c>
      <c r="B1405" s="85" t="str">
        <f>IF(A1405="","",IF(INDEX(EXTRATO!$C$2:$C$3000,MATCH($A1405,EXTRATO!$A$2:$A$3000,0))="","",INDEX(EXTRATO!$C$2:$C$3000,MATCH($A1405,EXTRATO!$A$2:$A$3000,0))))</f>
        <v/>
      </c>
      <c r="C1405" s="86" t="str">
        <f t="shared" si="30"/>
        <v/>
      </c>
      <c r="D1405" s="81"/>
      <c r="E1405" s="79"/>
      <c r="F1405" s="80" t="str">
        <f>IF(A1405="","",SUMIF(EXTRATO!$A$2:$A$3000,$A1405,EXTRATO!$J$2:$J$3000)+SUMIF(EXTRATO!$A$2:$A$3000,$A1405,EXTRATO!$K$2:$K$3000)+SUMIF(EXTRATO!$A$2:$A$3000,$A1405,EXTRATO!$L$2:$L$3000)+SUMIF(EXTRATO!$A$2:$A$3000,$A1405,EXTRATO!$M$2:$M$3000))</f>
        <v/>
      </c>
      <c r="G1405" s="81" t="str">
        <f>IF(A1405="","",IF(INDEX(EXTRATO!$G$2:$G$3000,MATCH($A1405,EXTRATO!$A$2:$A$3000,0))="","",INDEX(EXTRATO!$G$2:$G$3000,MATCH($A1405,EXTRATO!$A$2:$A$3000,0))))</f>
        <v/>
      </c>
      <c r="H1405" s="86" t="str">
        <f>IF(A1405="","",IF(INDEX(EXTRATO!$F$2:$F$3000,MATCH($A1405,EXTRATO!$A$2:$A$3000,0))="","",INDEX(EXTRATO!$F$2:$F$3000,MATCH($A1405,EXTRATO!$A$2:$A$3000,0))))</f>
        <v/>
      </c>
      <c r="I1405" s="88" t="str">
        <f>IF(A1405="","",IF(INDEX(EXTRATO!$H$2:$H$3000,MATCH($A1405,EXTRATO!$A$2:$A$3000,0))="","",INDEX(EXTRATO!$H$2:$H$3000,MATCH($A1405,EXTRATO!$A$2:$A$3000,0))))</f>
        <v/>
      </c>
      <c r="J1405" s="86" t="str">
        <f t="shared" si="31"/>
        <v/>
      </c>
      <c r="K1405" s="86" t="str">
        <f>IF(AND(A1405="",D1405="",E1405="",F1405=""),"",IF(D1405="","SEM CATEGORIA",IF(E1405="","SEM SUBCATEGORIA",IF(COUNTIFS(CADASTROS!$L$7:$L$93,D1405,CADASTROS!$D$7:$D$93,E1405)=0,"INCOMPATÍVEL","OK"))))</f>
        <v/>
      </c>
    </row>
    <row r="1406" spans="1:11" ht="30" hidden="1" customHeight="1" x14ac:dyDescent="0.25">
      <c r="A1406" s="86" t="str">
        <f>IF(COUNTIF(EXTRATO!$A$2:$A$3000,"BAN-01263")=0,"","BAN-01263")</f>
        <v/>
      </c>
      <c r="B1406" s="85" t="str">
        <f>IF(A1406="","",IF(INDEX(EXTRATO!$C$2:$C$3000,MATCH($A1406,EXTRATO!$A$2:$A$3000,0))="","",INDEX(EXTRATO!$C$2:$C$3000,MATCH($A1406,EXTRATO!$A$2:$A$3000,0))))</f>
        <v/>
      </c>
      <c r="C1406" s="86" t="str">
        <f t="shared" si="30"/>
        <v/>
      </c>
      <c r="D1406" s="81"/>
      <c r="E1406" s="79"/>
      <c r="F1406" s="80" t="str">
        <f>IF(A1406="","",SUMIF(EXTRATO!$A$2:$A$3000,$A1406,EXTRATO!$J$2:$J$3000)+SUMIF(EXTRATO!$A$2:$A$3000,$A1406,EXTRATO!$K$2:$K$3000)+SUMIF(EXTRATO!$A$2:$A$3000,$A1406,EXTRATO!$L$2:$L$3000)+SUMIF(EXTRATO!$A$2:$A$3000,$A1406,EXTRATO!$M$2:$M$3000))</f>
        <v/>
      </c>
      <c r="G1406" s="81" t="str">
        <f>IF(A1406="","",IF(INDEX(EXTRATO!$G$2:$G$3000,MATCH($A1406,EXTRATO!$A$2:$A$3000,0))="","",INDEX(EXTRATO!$G$2:$G$3000,MATCH($A1406,EXTRATO!$A$2:$A$3000,0))))</f>
        <v/>
      </c>
      <c r="H1406" s="86" t="str">
        <f>IF(A1406="","",IF(INDEX(EXTRATO!$F$2:$F$3000,MATCH($A1406,EXTRATO!$A$2:$A$3000,0))="","",INDEX(EXTRATO!$F$2:$F$3000,MATCH($A1406,EXTRATO!$A$2:$A$3000,0))))</f>
        <v/>
      </c>
      <c r="I1406" s="88" t="str">
        <f>IF(A1406="","",IF(INDEX(EXTRATO!$H$2:$H$3000,MATCH($A1406,EXTRATO!$A$2:$A$3000,0))="","",INDEX(EXTRATO!$H$2:$H$3000,MATCH($A1406,EXTRATO!$A$2:$A$3000,0))))</f>
        <v/>
      </c>
      <c r="J1406" s="86" t="str">
        <f t="shared" si="31"/>
        <v/>
      </c>
      <c r="K1406" s="86" t="str">
        <f>IF(AND(A1406="",D1406="",E1406="",F1406=""),"",IF(D1406="","SEM CATEGORIA",IF(E1406="","SEM SUBCATEGORIA",IF(COUNTIFS(CADASTROS!$L$7:$L$93,D1406,CADASTROS!$D$7:$D$93,E1406)=0,"INCOMPATÍVEL","OK"))))</f>
        <v/>
      </c>
    </row>
    <row r="1407" spans="1:11" ht="30" hidden="1" customHeight="1" x14ac:dyDescent="0.25">
      <c r="A1407" s="86" t="str">
        <f>IF(COUNTIF(EXTRATO!$A$2:$A$3000,"BAN-01264")=0,"","BAN-01264")</f>
        <v/>
      </c>
      <c r="B1407" s="85" t="str">
        <f>IF(A1407="","",IF(INDEX(EXTRATO!$C$2:$C$3000,MATCH($A1407,EXTRATO!$A$2:$A$3000,0))="","",INDEX(EXTRATO!$C$2:$C$3000,MATCH($A1407,EXTRATO!$A$2:$A$3000,0))))</f>
        <v/>
      </c>
      <c r="C1407" s="86" t="str">
        <f t="shared" si="30"/>
        <v/>
      </c>
      <c r="D1407" s="81"/>
      <c r="E1407" s="79"/>
      <c r="F1407" s="80" t="str">
        <f>IF(A1407="","",SUMIF(EXTRATO!$A$2:$A$3000,$A1407,EXTRATO!$J$2:$J$3000)+SUMIF(EXTRATO!$A$2:$A$3000,$A1407,EXTRATO!$K$2:$K$3000)+SUMIF(EXTRATO!$A$2:$A$3000,$A1407,EXTRATO!$L$2:$L$3000)+SUMIF(EXTRATO!$A$2:$A$3000,$A1407,EXTRATO!$M$2:$M$3000))</f>
        <v/>
      </c>
      <c r="G1407" s="81" t="str">
        <f>IF(A1407="","",IF(INDEX(EXTRATO!$G$2:$G$3000,MATCH($A1407,EXTRATO!$A$2:$A$3000,0))="","",INDEX(EXTRATO!$G$2:$G$3000,MATCH($A1407,EXTRATO!$A$2:$A$3000,0))))</f>
        <v/>
      </c>
      <c r="H1407" s="86" t="str">
        <f>IF(A1407="","",IF(INDEX(EXTRATO!$F$2:$F$3000,MATCH($A1407,EXTRATO!$A$2:$A$3000,0))="","",INDEX(EXTRATO!$F$2:$F$3000,MATCH($A1407,EXTRATO!$A$2:$A$3000,0))))</f>
        <v/>
      </c>
      <c r="I1407" s="88" t="str">
        <f>IF(A1407="","",IF(INDEX(EXTRATO!$H$2:$H$3000,MATCH($A1407,EXTRATO!$A$2:$A$3000,0))="","",INDEX(EXTRATO!$H$2:$H$3000,MATCH($A1407,EXTRATO!$A$2:$A$3000,0))))</f>
        <v/>
      </c>
      <c r="J1407" s="86" t="str">
        <f t="shared" si="31"/>
        <v/>
      </c>
      <c r="K1407" s="86" t="str">
        <f>IF(AND(A1407="",D1407="",E1407="",F1407=""),"",IF(D1407="","SEM CATEGORIA",IF(E1407="","SEM SUBCATEGORIA",IF(COUNTIFS(CADASTROS!$L$7:$L$93,D1407,CADASTROS!$D$7:$D$93,E1407)=0,"INCOMPATÍVEL","OK"))))</f>
        <v/>
      </c>
    </row>
    <row r="1408" spans="1:11" ht="30" hidden="1" customHeight="1" x14ac:dyDescent="0.25">
      <c r="A1408" s="86" t="str">
        <f>IF(COUNTIF(EXTRATO!$A$2:$A$3000,"BAN-01265")=0,"","BAN-01265")</f>
        <v/>
      </c>
      <c r="B1408" s="85" t="str">
        <f>IF(A1408="","",IF(INDEX(EXTRATO!$C$2:$C$3000,MATCH($A1408,EXTRATO!$A$2:$A$3000,0))="","",INDEX(EXTRATO!$C$2:$C$3000,MATCH($A1408,EXTRATO!$A$2:$A$3000,0))))</f>
        <v/>
      </c>
      <c r="C1408" s="86" t="str">
        <f t="shared" si="30"/>
        <v/>
      </c>
      <c r="D1408" s="81"/>
      <c r="E1408" s="79"/>
      <c r="F1408" s="80" t="str">
        <f>IF(A1408="","",SUMIF(EXTRATO!$A$2:$A$3000,$A1408,EXTRATO!$J$2:$J$3000)+SUMIF(EXTRATO!$A$2:$A$3000,$A1408,EXTRATO!$K$2:$K$3000)+SUMIF(EXTRATO!$A$2:$A$3000,$A1408,EXTRATO!$L$2:$L$3000)+SUMIF(EXTRATO!$A$2:$A$3000,$A1408,EXTRATO!$M$2:$M$3000))</f>
        <v/>
      </c>
      <c r="G1408" s="81" t="str">
        <f>IF(A1408="","",IF(INDEX(EXTRATO!$G$2:$G$3000,MATCH($A1408,EXTRATO!$A$2:$A$3000,0))="","",INDEX(EXTRATO!$G$2:$G$3000,MATCH($A1408,EXTRATO!$A$2:$A$3000,0))))</f>
        <v/>
      </c>
      <c r="H1408" s="86" t="str">
        <f>IF(A1408="","",IF(INDEX(EXTRATO!$F$2:$F$3000,MATCH($A1408,EXTRATO!$A$2:$A$3000,0))="","",INDEX(EXTRATO!$F$2:$F$3000,MATCH($A1408,EXTRATO!$A$2:$A$3000,0))))</f>
        <v/>
      </c>
      <c r="I1408" s="88" t="str">
        <f>IF(A1408="","",IF(INDEX(EXTRATO!$H$2:$H$3000,MATCH($A1408,EXTRATO!$A$2:$A$3000,0))="","",INDEX(EXTRATO!$H$2:$H$3000,MATCH($A1408,EXTRATO!$A$2:$A$3000,0))))</f>
        <v/>
      </c>
      <c r="J1408" s="86" t="str">
        <f t="shared" si="31"/>
        <v/>
      </c>
      <c r="K1408" s="86" t="str">
        <f>IF(AND(A1408="",D1408="",E1408="",F1408=""),"",IF(D1408="","SEM CATEGORIA",IF(E1408="","SEM SUBCATEGORIA",IF(COUNTIFS(CADASTROS!$L$7:$L$93,D1408,CADASTROS!$D$7:$D$93,E1408)=0,"INCOMPATÍVEL","OK"))))</f>
        <v/>
      </c>
    </row>
    <row r="1409" spans="1:11" ht="30" hidden="1" customHeight="1" x14ac:dyDescent="0.25">
      <c r="A1409" s="86" t="str">
        <f>IF(COUNTIF(EXTRATO!$A$2:$A$3000,"BAN-01266")=0,"","BAN-01266")</f>
        <v/>
      </c>
      <c r="B1409" s="85" t="str">
        <f>IF(A1409="","",IF(INDEX(EXTRATO!$C$2:$C$3000,MATCH($A1409,EXTRATO!$A$2:$A$3000,0))="","",INDEX(EXTRATO!$C$2:$C$3000,MATCH($A1409,EXTRATO!$A$2:$A$3000,0))))</f>
        <v/>
      </c>
      <c r="C1409" s="86" t="str">
        <f t="shared" si="30"/>
        <v/>
      </c>
      <c r="D1409" s="81"/>
      <c r="E1409" s="79"/>
      <c r="F1409" s="80" t="str">
        <f>IF(A1409="","",SUMIF(EXTRATO!$A$2:$A$3000,$A1409,EXTRATO!$J$2:$J$3000)+SUMIF(EXTRATO!$A$2:$A$3000,$A1409,EXTRATO!$K$2:$K$3000)+SUMIF(EXTRATO!$A$2:$A$3000,$A1409,EXTRATO!$L$2:$L$3000)+SUMIF(EXTRATO!$A$2:$A$3000,$A1409,EXTRATO!$M$2:$M$3000))</f>
        <v/>
      </c>
      <c r="G1409" s="81" t="str">
        <f>IF(A1409="","",IF(INDEX(EXTRATO!$G$2:$G$3000,MATCH($A1409,EXTRATO!$A$2:$A$3000,0))="","",INDEX(EXTRATO!$G$2:$G$3000,MATCH($A1409,EXTRATO!$A$2:$A$3000,0))))</f>
        <v/>
      </c>
      <c r="H1409" s="86" t="str">
        <f>IF(A1409="","",IF(INDEX(EXTRATO!$F$2:$F$3000,MATCH($A1409,EXTRATO!$A$2:$A$3000,0))="","",INDEX(EXTRATO!$F$2:$F$3000,MATCH($A1409,EXTRATO!$A$2:$A$3000,0))))</f>
        <v/>
      </c>
      <c r="I1409" s="88" t="str">
        <f>IF(A1409="","",IF(INDEX(EXTRATO!$H$2:$H$3000,MATCH($A1409,EXTRATO!$A$2:$A$3000,0))="","",INDEX(EXTRATO!$H$2:$H$3000,MATCH($A1409,EXTRATO!$A$2:$A$3000,0))))</f>
        <v/>
      </c>
      <c r="J1409" s="86" t="str">
        <f t="shared" si="31"/>
        <v/>
      </c>
      <c r="K1409" s="86" t="str">
        <f>IF(AND(A1409="",D1409="",E1409="",F1409=""),"",IF(D1409="","SEM CATEGORIA",IF(E1409="","SEM SUBCATEGORIA",IF(COUNTIFS(CADASTROS!$L$7:$L$93,D1409,CADASTROS!$D$7:$D$93,E1409)=0,"INCOMPATÍVEL","OK"))))</f>
        <v/>
      </c>
    </row>
    <row r="1410" spans="1:11" ht="30" hidden="1" customHeight="1" x14ac:dyDescent="0.25">
      <c r="A1410" s="86" t="str">
        <f>IF(COUNTIF(EXTRATO!$A$2:$A$3000,"BAN-01267")=0,"","BAN-01267")</f>
        <v/>
      </c>
      <c r="B1410" s="85" t="str">
        <f>IF(A1410="","",IF(INDEX(EXTRATO!$C$2:$C$3000,MATCH($A1410,EXTRATO!$A$2:$A$3000,0))="","",INDEX(EXTRATO!$C$2:$C$3000,MATCH($A1410,EXTRATO!$A$2:$A$3000,0))))</f>
        <v/>
      </c>
      <c r="C1410" s="86" t="str">
        <f t="shared" si="30"/>
        <v/>
      </c>
      <c r="D1410" s="81"/>
      <c r="E1410" s="79"/>
      <c r="F1410" s="80" t="str">
        <f>IF(A1410="","",SUMIF(EXTRATO!$A$2:$A$3000,$A1410,EXTRATO!$J$2:$J$3000)+SUMIF(EXTRATO!$A$2:$A$3000,$A1410,EXTRATO!$K$2:$K$3000)+SUMIF(EXTRATO!$A$2:$A$3000,$A1410,EXTRATO!$L$2:$L$3000)+SUMIF(EXTRATO!$A$2:$A$3000,$A1410,EXTRATO!$M$2:$M$3000))</f>
        <v/>
      </c>
      <c r="G1410" s="81" t="str">
        <f>IF(A1410="","",IF(INDEX(EXTRATO!$G$2:$G$3000,MATCH($A1410,EXTRATO!$A$2:$A$3000,0))="","",INDEX(EXTRATO!$G$2:$G$3000,MATCH($A1410,EXTRATO!$A$2:$A$3000,0))))</f>
        <v/>
      </c>
      <c r="H1410" s="86" t="str">
        <f>IF(A1410="","",IF(INDEX(EXTRATO!$F$2:$F$3000,MATCH($A1410,EXTRATO!$A$2:$A$3000,0))="","",INDEX(EXTRATO!$F$2:$F$3000,MATCH($A1410,EXTRATO!$A$2:$A$3000,0))))</f>
        <v/>
      </c>
      <c r="I1410" s="88" t="str">
        <f>IF(A1410="","",IF(INDEX(EXTRATO!$H$2:$H$3000,MATCH($A1410,EXTRATO!$A$2:$A$3000,0))="","",INDEX(EXTRATO!$H$2:$H$3000,MATCH($A1410,EXTRATO!$A$2:$A$3000,0))))</f>
        <v/>
      </c>
      <c r="J1410" s="86" t="str">
        <f t="shared" si="31"/>
        <v/>
      </c>
      <c r="K1410" s="86" t="str">
        <f>IF(AND(A1410="",D1410="",E1410="",F1410=""),"",IF(D1410="","SEM CATEGORIA",IF(E1410="","SEM SUBCATEGORIA",IF(COUNTIFS(CADASTROS!$L$7:$L$93,D1410,CADASTROS!$D$7:$D$93,E1410)=0,"INCOMPATÍVEL","OK"))))</f>
        <v/>
      </c>
    </row>
    <row r="1411" spans="1:11" ht="30" hidden="1" customHeight="1" x14ac:dyDescent="0.25">
      <c r="A1411" s="86" t="str">
        <f>IF(COUNTIF(EXTRATO!$A$2:$A$3000,"BAN-01268")=0,"","BAN-01268")</f>
        <v/>
      </c>
      <c r="B1411" s="85" t="str">
        <f>IF(A1411="","",IF(INDEX(EXTRATO!$C$2:$C$3000,MATCH($A1411,EXTRATO!$A$2:$A$3000,0))="","",INDEX(EXTRATO!$C$2:$C$3000,MATCH($A1411,EXTRATO!$A$2:$A$3000,0))))</f>
        <v/>
      </c>
      <c r="C1411" s="86" t="str">
        <f t="shared" si="30"/>
        <v/>
      </c>
      <c r="D1411" s="81"/>
      <c r="E1411" s="79"/>
      <c r="F1411" s="80" t="str">
        <f>IF(A1411="","",SUMIF(EXTRATO!$A$2:$A$3000,$A1411,EXTRATO!$J$2:$J$3000)+SUMIF(EXTRATO!$A$2:$A$3000,$A1411,EXTRATO!$K$2:$K$3000)+SUMIF(EXTRATO!$A$2:$A$3000,$A1411,EXTRATO!$L$2:$L$3000)+SUMIF(EXTRATO!$A$2:$A$3000,$A1411,EXTRATO!$M$2:$M$3000))</f>
        <v/>
      </c>
      <c r="G1411" s="81" t="str">
        <f>IF(A1411="","",IF(INDEX(EXTRATO!$G$2:$G$3000,MATCH($A1411,EXTRATO!$A$2:$A$3000,0))="","",INDEX(EXTRATO!$G$2:$G$3000,MATCH($A1411,EXTRATO!$A$2:$A$3000,0))))</f>
        <v/>
      </c>
      <c r="H1411" s="86" t="str">
        <f>IF(A1411="","",IF(INDEX(EXTRATO!$F$2:$F$3000,MATCH($A1411,EXTRATO!$A$2:$A$3000,0))="","",INDEX(EXTRATO!$F$2:$F$3000,MATCH($A1411,EXTRATO!$A$2:$A$3000,0))))</f>
        <v/>
      </c>
      <c r="I1411" s="88" t="str">
        <f>IF(A1411="","",IF(INDEX(EXTRATO!$H$2:$H$3000,MATCH($A1411,EXTRATO!$A$2:$A$3000,0))="","",INDEX(EXTRATO!$H$2:$H$3000,MATCH($A1411,EXTRATO!$A$2:$A$3000,0))))</f>
        <v/>
      </c>
      <c r="J1411" s="86" t="str">
        <f t="shared" si="31"/>
        <v/>
      </c>
      <c r="K1411" s="86" t="str">
        <f>IF(AND(A1411="",D1411="",E1411="",F1411=""),"",IF(D1411="","SEM CATEGORIA",IF(E1411="","SEM SUBCATEGORIA",IF(COUNTIFS(CADASTROS!$L$7:$L$93,D1411,CADASTROS!$D$7:$D$93,E1411)=0,"INCOMPATÍVEL","OK"))))</f>
        <v/>
      </c>
    </row>
    <row r="1412" spans="1:11" ht="30" hidden="1" customHeight="1" x14ac:dyDescent="0.25">
      <c r="A1412" s="86" t="str">
        <f>IF(COUNTIF(EXTRATO!$A$2:$A$3000,"BAN-01269")=0,"","BAN-01269")</f>
        <v/>
      </c>
      <c r="B1412" s="85" t="str">
        <f>IF(A1412="","",IF(INDEX(EXTRATO!$C$2:$C$3000,MATCH($A1412,EXTRATO!$A$2:$A$3000,0))="","",INDEX(EXTRATO!$C$2:$C$3000,MATCH($A1412,EXTRATO!$A$2:$A$3000,0))))</f>
        <v/>
      </c>
      <c r="C1412" s="86" t="str">
        <f t="shared" si="30"/>
        <v/>
      </c>
      <c r="D1412" s="81"/>
      <c r="E1412" s="79"/>
      <c r="F1412" s="80" t="str">
        <f>IF(A1412="","",SUMIF(EXTRATO!$A$2:$A$3000,$A1412,EXTRATO!$J$2:$J$3000)+SUMIF(EXTRATO!$A$2:$A$3000,$A1412,EXTRATO!$K$2:$K$3000)+SUMIF(EXTRATO!$A$2:$A$3000,$A1412,EXTRATO!$L$2:$L$3000)+SUMIF(EXTRATO!$A$2:$A$3000,$A1412,EXTRATO!$M$2:$M$3000))</f>
        <v/>
      </c>
      <c r="G1412" s="81" t="str">
        <f>IF(A1412="","",IF(INDEX(EXTRATO!$G$2:$G$3000,MATCH($A1412,EXTRATO!$A$2:$A$3000,0))="","",INDEX(EXTRATO!$G$2:$G$3000,MATCH($A1412,EXTRATO!$A$2:$A$3000,0))))</f>
        <v/>
      </c>
      <c r="H1412" s="86" t="str">
        <f>IF(A1412="","",IF(INDEX(EXTRATO!$F$2:$F$3000,MATCH($A1412,EXTRATO!$A$2:$A$3000,0))="","",INDEX(EXTRATO!$F$2:$F$3000,MATCH($A1412,EXTRATO!$A$2:$A$3000,0))))</f>
        <v/>
      </c>
      <c r="I1412" s="88" t="str">
        <f>IF(A1412="","",IF(INDEX(EXTRATO!$H$2:$H$3000,MATCH($A1412,EXTRATO!$A$2:$A$3000,0))="","",INDEX(EXTRATO!$H$2:$H$3000,MATCH($A1412,EXTRATO!$A$2:$A$3000,0))))</f>
        <v/>
      </c>
      <c r="J1412" s="86" t="str">
        <f t="shared" si="31"/>
        <v/>
      </c>
      <c r="K1412" s="86" t="str">
        <f>IF(AND(A1412="",D1412="",E1412="",F1412=""),"",IF(D1412="","SEM CATEGORIA",IF(E1412="","SEM SUBCATEGORIA",IF(COUNTIFS(CADASTROS!$L$7:$L$93,D1412,CADASTROS!$D$7:$D$93,E1412)=0,"INCOMPATÍVEL","OK"))))</f>
        <v/>
      </c>
    </row>
    <row r="1413" spans="1:11" ht="30" hidden="1" customHeight="1" x14ac:dyDescent="0.25">
      <c r="A1413" s="86" t="str">
        <f>IF(COUNTIF(EXTRATO!$A$2:$A$3000,"BAN-01270")=0,"","BAN-01270")</f>
        <v/>
      </c>
      <c r="B1413" s="85" t="str">
        <f>IF(A1413="","",IF(INDEX(EXTRATO!$C$2:$C$3000,MATCH($A1413,EXTRATO!$A$2:$A$3000,0))="","",INDEX(EXTRATO!$C$2:$C$3000,MATCH($A1413,EXTRATO!$A$2:$A$3000,0))))</f>
        <v/>
      </c>
      <c r="C1413" s="86" t="str">
        <f t="shared" si="30"/>
        <v/>
      </c>
      <c r="D1413" s="81"/>
      <c r="E1413" s="79"/>
      <c r="F1413" s="80" t="str">
        <f>IF(A1413="","",SUMIF(EXTRATO!$A$2:$A$3000,$A1413,EXTRATO!$J$2:$J$3000)+SUMIF(EXTRATO!$A$2:$A$3000,$A1413,EXTRATO!$K$2:$K$3000)+SUMIF(EXTRATO!$A$2:$A$3000,$A1413,EXTRATO!$L$2:$L$3000)+SUMIF(EXTRATO!$A$2:$A$3000,$A1413,EXTRATO!$M$2:$M$3000))</f>
        <v/>
      </c>
      <c r="G1413" s="81" t="str">
        <f>IF(A1413="","",IF(INDEX(EXTRATO!$G$2:$G$3000,MATCH($A1413,EXTRATO!$A$2:$A$3000,0))="","",INDEX(EXTRATO!$G$2:$G$3000,MATCH($A1413,EXTRATO!$A$2:$A$3000,0))))</f>
        <v/>
      </c>
      <c r="H1413" s="86" t="str">
        <f>IF(A1413="","",IF(INDEX(EXTRATO!$F$2:$F$3000,MATCH($A1413,EXTRATO!$A$2:$A$3000,0))="","",INDEX(EXTRATO!$F$2:$F$3000,MATCH($A1413,EXTRATO!$A$2:$A$3000,0))))</f>
        <v/>
      </c>
      <c r="I1413" s="88" t="str">
        <f>IF(A1413="","",IF(INDEX(EXTRATO!$H$2:$H$3000,MATCH($A1413,EXTRATO!$A$2:$A$3000,0))="","",INDEX(EXTRATO!$H$2:$H$3000,MATCH($A1413,EXTRATO!$A$2:$A$3000,0))))</f>
        <v/>
      </c>
      <c r="J1413" s="86" t="str">
        <f t="shared" si="31"/>
        <v/>
      </c>
      <c r="K1413" s="86" t="str">
        <f>IF(AND(A1413="",D1413="",E1413="",F1413=""),"",IF(D1413="","SEM CATEGORIA",IF(E1413="","SEM SUBCATEGORIA",IF(COUNTIFS(CADASTROS!$L$7:$L$93,D1413,CADASTROS!$D$7:$D$93,E1413)=0,"INCOMPATÍVEL","OK"))))</f>
        <v/>
      </c>
    </row>
    <row r="1414" spans="1:11" ht="30" hidden="1" customHeight="1" x14ac:dyDescent="0.25">
      <c r="A1414" s="86" t="str">
        <f>IF(COUNTIF(EXTRATO!$A$2:$A$3000,"BAN-01271")=0,"","BAN-01271")</f>
        <v/>
      </c>
      <c r="B1414" s="85" t="str">
        <f>IF(A1414="","",IF(INDEX(EXTRATO!$C$2:$C$3000,MATCH($A1414,EXTRATO!$A$2:$A$3000,0))="","",INDEX(EXTRATO!$C$2:$C$3000,MATCH($A1414,EXTRATO!$A$2:$A$3000,0))))</f>
        <v/>
      </c>
      <c r="C1414" s="86" t="str">
        <f t="shared" si="30"/>
        <v/>
      </c>
      <c r="D1414" s="81"/>
      <c r="E1414" s="79"/>
      <c r="F1414" s="80" t="str">
        <f>IF(A1414="","",SUMIF(EXTRATO!$A$2:$A$3000,$A1414,EXTRATO!$J$2:$J$3000)+SUMIF(EXTRATO!$A$2:$A$3000,$A1414,EXTRATO!$K$2:$K$3000)+SUMIF(EXTRATO!$A$2:$A$3000,$A1414,EXTRATO!$L$2:$L$3000)+SUMIF(EXTRATO!$A$2:$A$3000,$A1414,EXTRATO!$M$2:$M$3000))</f>
        <v/>
      </c>
      <c r="G1414" s="81" t="str">
        <f>IF(A1414="","",IF(INDEX(EXTRATO!$G$2:$G$3000,MATCH($A1414,EXTRATO!$A$2:$A$3000,0))="","",INDEX(EXTRATO!$G$2:$G$3000,MATCH($A1414,EXTRATO!$A$2:$A$3000,0))))</f>
        <v/>
      </c>
      <c r="H1414" s="86" t="str">
        <f>IF(A1414="","",IF(INDEX(EXTRATO!$F$2:$F$3000,MATCH($A1414,EXTRATO!$A$2:$A$3000,0))="","",INDEX(EXTRATO!$F$2:$F$3000,MATCH($A1414,EXTRATO!$A$2:$A$3000,0))))</f>
        <v/>
      </c>
      <c r="I1414" s="88" t="str">
        <f>IF(A1414="","",IF(INDEX(EXTRATO!$H$2:$H$3000,MATCH($A1414,EXTRATO!$A$2:$A$3000,0))="","",INDEX(EXTRATO!$H$2:$H$3000,MATCH($A1414,EXTRATO!$A$2:$A$3000,0))))</f>
        <v/>
      </c>
      <c r="J1414" s="86" t="str">
        <f t="shared" si="31"/>
        <v/>
      </c>
      <c r="K1414" s="86" t="str">
        <f>IF(AND(A1414="",D1414="",E1414="",F1414=""),"",IF(D1414="","SEM CATEGORIA",IF(E1414="","SEM SUBCATEGORIA",IF(COUNTIFS(CADASTROS!$L$7:$L$93,D1414,CADASTROS!$D$7:$D$93,E1414)=0,"INCOMPATÍVEL","OK"))))</f>
        <v/>
      </c>
    </row>
    <row r="1415" spans="1:11" ht="30" hidden="1" customHeight="1" x14ac:dyDescent="0.25">
      <c r="A1415" s="86" t="str">
        <f>IF(COUNTIF(EXTRATO!$A$2:$A$3000,"BAN-01272")=0,"","BAN-01272")</f>
        <v/>
      </c>
      <c r="B1415" s="85" t="str">
        <f>IF(A1415="","",IF(INDEX(EXTRATO!$C$2:$C$3000,MATCH($A1415,EXTRATO!$A$2:$A$3000,0))="","",INDEX(EXTRATO!$C$2:$C$3000,MATCH($A1415,EXTRATO!$A$2:$A$3000,0))))</f>
        <v/>
      </c>
      <c r="C1415" s="86" t="str">
        <f t="shared" si="30"/>
        <v/>
      </c>
      <c r="D1415" s="81"/>
      <c r="E1415" s="79"/>
      <c r="F1415" s="80" t="str">
        <f>IF(A1415="","",SUMIF(EXTRATO!$A$2:$A$3000,$A1415,EXTRATO!$J$2:$J$3000)+SUMIF(EXTRATO!$A$2:$A$3000,$A1415,EXTRATO!$K$2:$K$3000)+SUMIF(EXTRATO!$A$2:$A$3000,$A1415,EXTRATO!$L$2:$L$3000)+SUMIF(EXTRATO!$A$2:$A$3000,$A1415,EXTRATO!$M$2:$M$3000))</f>
        <v/>
      </c>
      <c r="G1415" s="81" t="str">
        <f>IF(A1415="","",IF(INDEX(EXTRATO!$G$2:$G$3000,MATCH($A1415,EXTRATO!$A$2:$A$3000,0))="","",INDEX(EXTRATO!$G$2:$G$3000,MATCH($A1415,EXTRATO!$A$2:$A$3000,0))))</f>
        <v/>
      </c>
      <c r="H1415" s="86" t="str">
        <f>IF(A1415="","",IF(INDEX(EXTRATO!$F$2:$F$3000,MATCH($A1415,EXTRATO!$A$2:$A$3000,0))="","",INDEX(EXTRATO!$F$2:$F$3000,MATCH($A1415,EXTRATO!$A$2:$A$3000,0))))</f>
        <v/>
      </c>
      <c r="I1415" s="88" t="str">
        <f>IF(A1415="","",IF(INDEX(EXTRATO!$H$2:$H$3000,MATCH($A1415,EXTRATO!$A$2:$A$3000,0))="","",INDEX(EXTRATO!$H$2:$H$3000,MATCH($A1415,EXTRATO!$A$2:$A$3000,0))))</f>
        <v/>
      </c>
      <c r="J1415" s="86" t="str">
        <f t="shared" si="31"/>
        <v/>
      </c>
      <c r="K1415" s="86" t="str">
        <f>IF(AND(A1415="",D1415="",E1415="",F1415=""),"",IF(D1415="","SEM CATEGORIA",IF(E1415="","SEM SUBCATEGORIA",IF(COUNTIFS(CADASTROS!$L$7:$L$93,D1415,CADASTROS!$D$7:$D$93,E1415)=0,"INCOMPATÍVEL","OK"))))</f>
        <v/>
      </c>
    </row>
    <row r="1416" spans="1:11" ht="30" hidden="1" customHeight="1" x14ac:dyDescent="0.25">
      <c r="A1416" s="86" t="str">
        <f>IF(COUNTIF(EXTRATO!$A$2:$A$3000,"BAN-01273")=0,"","BAN-01273")</f>
        <v/>
      </c>
      <c r="B1416" s="85" t="str">
        <f>IF(A1416="","",IF(INDEX(EXTRATO!$C$2:$C$3000,MATCH($A1416,EXTRATO!$A$2:$A$3000,0))="","",INDEX(EXTRATO!$C$2:$C$3000,MATCH($A1416,EXTRATO!$A$2:$A$3000,0))))</f>
        <v/>
      </c>
      <c r="C1416" s="86" t="str">
        <f t="shared" si="30"/>
        <v/>
      </c>
      <c r="D1416" s="81"/>
      <c r="E1416" s="79"/>
      <c r="F1416" s="80" t="str">
        <f>IF(A1416="","",SUMIF(EXTRATO!$A$2:$A$3000,$A1416,EXTRATO!$J$2:$J$3000)+SUMIF(EXTRATO!$A$2:$A$3000,$A1416,EXTRATO!$K$2:$K$3000)+SUMIF(EXTRATO!$A$2:$A$3000,$A1416,EXTRATO!$L$2:$L$3000)+SUMIF(EXTRATO!$A$2:$A$3000,$A1416,EXTRATO!$M$2:$M$3000))</f>
        <v/>
      </c>
      <c r="G1416" s="81" t="str">
        <f>IF(A1416="","",IF(INDEX(EXTRATO!$G$2:$G$3000,MATCH($A1416,EXTRATO!$A$2:$A$3000,0))="","",INDEX(EXTRATO!$G$2:$G$3000,MATCH($A1416,EXTRATO!$A$2:$A$3000,0))))</f>
        <v/>
      </c>
      <c r="H1416" s="86" t="str">
        <f>IF(A1416="","",IF(INDEX(EXTRATO!$F$2:$F$3000,MATCH($A1416,EXTRATO!$A$2:$A$3000,0))="","",INDEX(EXTRATO!$F$2:$F$3000,MATCH($A1416,EXTRATO!$A$2:$A$3000,0))))</f>
        <v/>
      </c>
      <c r="I1416" s="88" t="str">
        <f>IF(A1416="","",IF(INDEX(EXTRATO!$H$2:$H$3000,MATCH($A1416,EXTRATO!$A$2:$A$3000,0))="","",INDEX(EXTRATO!$H$2:$H$3000,MATCH($A1416,EXTRATO!$A$2:$A$3000,0))))</f>
        <v/>
      </c>
      <c r="J1416" s="86" t="str">
        <f t="shared" si="31"/>
        <v/>
      </c>
      <c r="K1416" s="86" t="str">
        <f>IF(AND(A1416="",D1416="",E1416="",F1416=""),"",IF(D1416="","SEM CATEGORIA",IF(E1416="","SEM SUBCATEGORIA",IF(COUNTIFS(CADASTROS!$L$7:$L$93,D1416,CADASTROS!$D$7:$D$93,E1416)=0,"INCOMPATÍVEL","OK"))))</f>
        <v/>
      </c>
    </row>
    <row r="1417" spans="1:11" ht="30" hidden="1" customHeight="1" x14ac:dyDescent="0.25">
      <c r="A1417" s="86" t="str">
        <f>IF(COUNTIF(EXTRATO!$A$2:$A$3000,"BAN-01274")=0,"","BAN-01274")</f>
        <v/>
      </c>
      <c r="B1417" s="85" t="str">
        <f>IF(A1417="","",IF(INDEX(EXTRATO!$C$2:$C$3000,MATCH($A1417,EXTRATO!$A$2:$A$3000,0))="","",INDEX(EXTRATO!$C$2:$C$3000,MATCH($A1417,EXTRATO!$A$2:$A$3000,0))))</f>
        <v/>
      </c>
      <c r="C1417" s="86" t="str">
        <f t="shared" si="30"/>
        <v/>
      </c>
      <c r="D1417" s="81"/>
      <c r="E1417" s="79"/>
      <c r="F1417" s="80" t="str">
        <f>IF(A1417="","",SUMIF(EXTRATO!$A$2:$A$3000,$A1417,EXTRATO!$J$2:$J$3000)+SUMIF(EXTRATO!$A$2:$A$3000,$A1417,EXTRATO!$K$2:$K$3000)+SUMIF(EXTRATO!$A$2:$A$3000,$A1417,EXTRATO!$L$2:$L$3000)+SUMIF(EXTRATO!$A$2:$A$3000,$A1417,EXTRATO!$M$2:$M$3000))</f>
        <v/>
      </c>
      <c r="G1417" s="81" t="str">
        <f>IF(A1417="","",IF(INDEX(EXTRATO!$G$2:$G$3000,MATCH($A1417,EXTRATO!$A$2:$A$3000,0))="","",INDEX(EXTRATO!$G$2:$G$3000,MATCH($A1417,EXTRATO!$A$2:$A$3000,0))))</f>
        <v/>
      </c>
      <c r="H1417" s="86" t="str">
        <f>IF(A1417="","",IF(INDEX(EXTRATO!$F$2:$F$3000,MATCH($A1417,EXTRATO!$A$2:$A$3000,0))="","",INDEX(EXTRATO!$F$2:$F$3000,MATCH($A1417,EXTRATO!$A$2:$A$3000,0))))</f>
        <v/>
      </c>
      <c r="I1417" s="88" t="str">
        <f>IF(A1417="","",IF(INDEX(EXTRATO!$H$2:$H$3000,MATCH($A1417,EXTRATO!$A$2:$A$3000,0))="","",INDEX(EXTRATO!$H$2:$H$3000,MATCH($A1417,EXTRATO!$A$2:$A$3000,0))))</f>
        <v/>
      </c>
      <c r="J1417" s="86" t="str">
        <f t="shared" si="31"/>
        <v/>
      </c>
      <c r="K1417" s="86" t="str">
        <f>IF(AND(A1417="",D1417="",E1417="",F1417=""),"",IF(D1417="","SEM CATEGORIA",IF(E1417="","SEM SUBCATEGORIA",IF(COUNTIFS(CADASTROS!$L$7:$L$93,D1417,CADASTROS!$D$7:$D$93,E1417)=0,"INCOMPATÍVEL","OK"))))</f>
        <v/>
      </c>
    </row>
    <row r="1418" spans="1:11" ht="30" hidden="1" customHeight="1" x14ac:dyDescent="0.25">
      <c r="A1418" s="86" t="str">
        <f>IF(COUNTIF(EXTRATO!$A$2:$A$3000,"BAN-01275")=0,"","BAN-01275")</f>
        <v/>
      </c>
      <c r="B1418" s="85" t="str">
        <f>IF(A1418="","",IF(INDEX(EXTRATO!$C$2:$C$3000,MATCH($A1418,EXTRATO!$A$2:$A$3000,0))="","",INDEX(EXTRATO!$C$2:$C$3000,MATCH($A1418,EXTRATO!$A$2:$A$3000,0))))</f>
        <v/>
      </c>
      <c r="C1418" s="86" t="str">
        <f t="shared" si="30"/>
        <v/>
      </c>
      <c r="D1418" s="81"/>
      <c r="E1418" s="79"/>
      <c r="F1418" s="80" t="str">
        <f>IF(A1418="","",SUMIF(EXTRATO!$A$2:$A$3000,$A1418,EXTRATO!$J$2:$J$3000)+SUMIF(EXTRATO!$A$2:$A$3000,$A1418,EXTRATO!$K$2:$K$3000)+SUMIF(EXTRATO!$A$2:$A$3000,$A1418,EXTRATO!$L$2:$L$3000)+SUMIF(EXTRATO!$A$2:$A$3000,$A1418,EXTRATO!$M$2:$M$3000))</f>
        <v/>
      </c>
      <c r="G1418" s="81" t="str">
        <f>IF(A1418="","",IF(INDEX(EXTRATO!$G$2:$G$3000,MATCH($A1418,EXTRATO!$A$2:$A$3000,0))="","",INDEX(EXTRATO!$G$2:$G$3000,MATCH($A1418,EXTRATO!$A$2:$A$3000,0))))</f>
        <v/>
      </c>
      <c r="H1418" s="86" t="str">
        <f>IF(A1418="","",IF(INDEX(EXTRATO!$F$2:$F$3000,MATCH($A1418,EXTRATO!$A$2:$A$3000,0))="","",INDEX(EXTRATO!$F$2:$F$3000,MATCH($A1418,EXTRATO!$A$2:$A$3000,0))))</f>
        <v/>
      </c>
      <c r="I1418" s="88" t="str">
        <f>IF(A1418="","",IF(INDEX(EXTRATO!$H$2:$H$3000,MATCH($A1418,EXTRATO!$A$2:$A$3000,0))="","",INDEX(EXTRATO!$H$2:$H$3000,MATCH($A1418,EXTRATO!$A$2:$A$3000,0))))</f>
        <v/>
      </c>
      <c r="J1418" s="86" t="str">
        <f t="shared" si="31"/>
        <v/>
      </c>
      <c r="K1418" s="86" t="str">
        <f>IF(AND(A1418="",D1418="",E1418="",F1418=""),"",IF(D1418="","SEM CATEGORIA",IF(E1418="","SEM SUBCATEGORIA",IF(COUNTIFS(CADASTROS!$L$7:$L$93,D1418,CADASTROS!$D$7:$D$93,E1418)=0,"INCOMPATÍVEL","OK"))))</f>
        <v/>
      </c>
    </row>
    <row r="1419" spans="1:11" ht="30" hidden="1" customHeight="1" x14ac:dyDescent="0.25">
      <c r="A1419" s="86" t="str">
        <f>IF(COUNTIF(EXTRATO!$A$2:$A$3000,"BAN-01276")=0,"","BAN-01276")</f>
        <v/>
      </c>
      <c r="B1419" s="85" t="str">
        <f>IF(A1419="","",IF(INDEX(EXTRATO!$C$2:$C$3000,MATCH($A1419,EXTRATO!$A$2:$A$3000,0))="","",INDEX(EXTRATO!$C$2:$C$3000,MATCH($A1419,EXTRATO!$A$2:$A$3000,0))))</f>
        <v/>
      </c>
      <c r="C1419" s="86" t="str">
        <f t="shared" si="30"/>
        <v/>
      </c>
      <c r="D1419" s="81"/>
      <c r="E1419" s="79"/>
      <c r="F1419" s="80" t="str">
        <f>IF(A1419="","",SUMIF(EXTRATO!$A$2:$A$3000,$A1419,EXTRATO!$J$2:$J$3000)+SUMIF(EXTRATO!$A$2:$A$3000,$A1419,EXTRATO!$K$2:$K$3000)+SUMIF(EXTRATO!$A$2:$A$3000,$A1419,EXTRATO!$L$2:$L$3000)+SUMIF(EXTRATO!$A$2:$A$3000,$A1419,EXTRATO!$M$2:$M$3000))</f>
        <v/>
      </c>
      <c r="G1419" s="81" t="str">
        <f>IF(A1419="","",IF(INDEX(EXTRATO!$G$2:$G$3000,MATCH($A1419,EXTRATO!$A$2:$A$3000,0))="","",INDEX(EXTRATO!$G$2:$G$3000,MATCH($A1419,EXTRATO!$A$2:$A$3000,0))))</f>
        <v/>
      </c>
      <c r="H1419" s="86" t="str">
        <f>IF(A1419="","",IF(INDEX(EXTRATO!$F$2:$F$3000,MATCH($A1419,EXTRATO!$A$2:$A$3000,0))="","",INDEX(EXTRATO!$F$2:$F$3000,MATCH($A1419,EXTRATO!$A$2:$A$3000,0))))</f>
        <v/>
      </c>
      <c r="I1419" s="88" t="str">
        <f>IF(A1419="","",IF(INDEX(EXTRATO!$H$2:$H$3000,MATCH($A1419,EXTRATO!$A$2:$A$3000,0))="","",INDEX(EXTRATO!$H$2:$H$3000,MATCH($A1419,EXTRATO!$A$2:$A$3000,0))))</f>
        <v/>
      </c>
      <c r="J1419" s="86" t="str">
        <f t="shared" si="31"/>
        <v/>
      </c>
      <c r="K1419" s="86" t="str">
        <f>IF(AND(A1419="",D1419="",E1419="",F1419=""),"",IF(D1419="","SEM CATEGORIA",IF(E1419="","SEM SUBCATEGORIA",IF(COUNTIFS(CADASTROS!$L$7:$L$93,D1419,CADASTROS!$D$7:$D$93,E1419)=0,"INCOMPATÍVEL","OK"))))</f>
        <v/>
      </c>
    </row>
    <row r="1420" spans="1:11" ht="30" hidden="1" customHeight="1" x14ac:dyDescent="0.25">
      <c r="A1420" s="86" t="str">
        <f>IF(COUNTIF(EXTRATO!$A$2:$A$3000,"BAN-01277")=0,"","BAN-01277")</f>
        <v/>
      </c>
      <c r="B1420" s="85" t="str">
        <f>IF(A1420="","",IF(INDEX(EXTRATO!$C$2:$C$3000,MATCH($A1420,EXTRATO!$A$2:$A$3000,0))="","",INDEX(EXTRATO!$C$2:$C$3000,MATCH($A1420,EXTRATO!$A$2:$A$3000,0))))</f>
        <v/>
      </c>
      <c r="C1420" s="86" t="str">
        <f t="shared" si="30"/>
        <v/>
      </c>
      <c r="D1420" s="81"/>
      <c r="E1420" s="79"/>
      <c r="F1420" s="80" t="str">
        <f>IF(A1420="","",SUMIF(EXTRATO!$A$2:$A$3000,$A1420,EXTRATO!$J$2:$J$3000)+SUMIF(EXTRATO!$A$2:$A$3000,$A1420,EXTRATO!$K$2:$K$3000)+SUMIF(EXTRATO!$A$2:$A$3000,$A1420,EXTRATO!$L$2:$L$3000)+SUMIF(EXTRATO!$A$2:$A$3000,$A1420,EXTRATO!$M$2:$M$3000))</f>
        <v/>
      </c>
      <c r="G1420" s="81" t="str">
        <f>IF(A1420="","",IF(INDEX(EXTRATO!$G$2:$G$3000,MATCH($A1420,EXTRATO!$A$2:$A$3000,0))="","",INDEX(EXTRATO!$G$2:$G$3000,MATCH($A1420,EXTRATO!$A$2:$A$3000,0))))</f>
        <v/>
      </c>
      <c r="H1420" s="86" t="str">
        <f>IF(A1420="","",IF(INDEX(EXTRATO!$F$2:$F$3000,MATCH($A1420,EXTRATO!$A$2:$A$3000,0))="","",INDEX(EXTRATO!$F$2:$F$3000,MATCH($A1420,EXTRATO!$A$2:$A$3000,0))))</f>
        <v/>
      </c>
      <c r="I1420" s="88" t="str">
        <f>IF(A1420="","",IF(INDEX(EXTRATO!$H$2:$H$3000,MATCH($A1420,EXTRATO!$A$2:$A$3000,0))="","",INDEX(EXTRATO!$H$2:$H$3000,MATCH($A1420,EXTRATO!$A$2:$A$3000,0))))</f>
        <v/>
      </c>
      <c r="J1420" s="86" t="str">
        <f t="shared" si="31"/>
        <v/>
      </c>
      <c r="K1420" s="86" t="str">
        <f>IF(AND(A1420="",D1420="",E1420="",F1420=""),"",IF(D1420="","SEM CATEGORIA",IF(E1420="","SEM SUBCATEGORIA",IF(COUNTIFS(CADASTROS!$L$7:$L$93,D1420,CADASTROS!$D$7:$D$93,E1420)=0,"INCOMPATÍVEL","OK"))))</f>
        <v/>
      </c>
    </row>
    <row r="1421" spans="1:11" ht="30" hidden="1" customHeight="1" x14ac:dyDescent="0.25">
      <c r="A1421" s="86" t="str">
        <f>IF(COUNTIF(EXTRATO!$A$2:$A$3000,"BAN-01278")=0,"","BAN-01278")</f>
        <v/>
      </c>
      <c r="B1421" s="85" t="str">
        <f>IF(A1421="","",IF(INDEX(EXTRATO!$C$2:$C$3000,MATCH($A1421,EXTRATO!$A$2:$A$3000,0))="","",INDEX(EXTRATO!$C$2:$C$3000,MATCH($A1421,EXTRATO!$A$2:$A$3000,0))))</f>
        <v/>
      </c>
      <c r="C1421" s="86" t="str">
        <f t="shared" si="30"/>
        <v/>
      </c>
      <c r="D1421" s="81"/>
      <c r="E1421" s="79"/>
      <c r="F1421" s="80" t="str">
        <f>IF(A1421="","",SUMIF(EXTRATO!$A$2:$A$3000,$A1421,EXTRATO!$J$2:$J$3000)+SUMIF(EXTRATO!$A$2:$A$3000,$A1421,EXTRATO!$K$2:$K$3000)+SUMIF(EXTRATO!$A$2:$A$3000,$A1421,EXTRATO!$L$2:$L$3000)+SUMIF(EXTRATO!$A$2:$A$3000,$A1421,EXTRATO!$M$2:$M$3000))</f>
        <v/>
      </c>
      <c r="G1421" s="81" t="str">
        <f>IF(A1421="","",IF(INDEX(EXTRATO!$G$2:$G$3000,MATCH($A1421,EXTRATO!$A$2:$A$3000,0))="","",INDEX(EXTRATO!$G$2:$G$3000,MATCH($A1421,EXTRATO!$A$2:$A$3000,0))))</f>
        <v/>
      </c>
      <c r="H1421" s="86" t="str">
        <f>IF(A1421="","",IF(INDEX(EXTRATO!$F$2:$F$3000,MATCH($A1421,EXTRATO!$A$2:$A$3000,0))="","",INDEX(EXTRATO!$F$2:$F$3000,MATCH($A1421,EXTRATO!$A$2:$A$3000,0))))</f>
        <v/>
      </c>
      <c r="I1421" s="88" t="str">
        <f>IF(A1421="","",IF(INDEX(EXTRATO!$H$2:$H$3000,MATCH($A1421,EXTRATO!$A$2:$A$3000,0))="","",INDEX(EXTRATO!$H$2:$H$3000,MATCH($A1421,EXTRATO!$A$2:$A$3000,0))))</f>
        <v/>
      </c>
      <c r="J1421" s="86" t="str">
        <f t="shared" si="31"/>
        <v/>
      </c>
      <c r="K1421" s="86" t="str">
        <f>IF(AND(A1421="",D1421="",E1421="",F1421=""),"",IF(D1421="","SEM CATEGORIA",IF(E1421="","SEM SUBCATEGORIA",IF(COUNTIFS(CADASTROS!$L$7:$L$93,D1421,CADASTROS!$D$7:$D$93,E1421)=0,"INCOMPATÍVEL","OK"))))</f>
        <v/>
      </c>
    </row>
    <row r="1422" spans="1:11" ht="30" hidden="1" customHeight="1" x14ac:dyDescent="0.25">
      <c r="A1422" s="86" t="str">
        <f>IF(COUNTIF(EXTRATO!$A$2:$A$3000,"BAN-01279")=0,"","BAN-01279")</f>
        <v/>
      </c>
      <c r="B1422" s="85" t="str">
        <f>IF(A1422="","",IF(INDEX(EXTRATO!$C$2:$C$3000,MATCH($A1422,EXTRATO!$A$2:$A$3000,0))="","",INDEX(EXTRATO!$C$2:$C$3000,MATCH($A1422,EXTRATO!$A$2:$A$3000,0))))</f>
        <v/>
      </c>
      <c r="C1422" s="86" t="str">
        <f t="shared" si="30"/>
        <v/>
      </c>
      <c r="D1422" s="81"/>
      <c r="E1422" s="79"/>
      <c r="F1422" s="80" t="str">
        <f>IF(A1422="","",SUMIF(EXTRATO!$A$2:$A$3000,$A1422,EXTRATO!$J$2:$J$3000)+SUMIF(EXTRATO!$A$2:$A$3000,$A1422,EXTRATO!$K$2:$K$3000)+SUMIF(EXTRATO!$A$2:$A$3000,$A1422,EXTRATO!$L$2:$L$3000)+SUMIF(EXTRATO!$A$2:$A$3000,$A1422,EXTRATO!$M$2:$M$3000))</f>
        <v/>
      </c>
      <c r="G1422" s="81" t="str">
        <f>IF(A1422="","",IF(INDEX(EXTRATO!$G$2:$G$3000,MATCH($A1422,EXTRATO!$A$2:$A$3000,0))="","",INDEX(EXTRATO!$G$2:$G$3000,MATCH($A1422,EXTRATO!$A$2:$A$3000,0))))</f>
        <v/>
      </c>
      <c r="H1422" s="86" t="str">
        <f>IF(A1422="","",IF(INDEX(EXTRATO!$F$2:$F$3000,MATCH($A1422,EXTRATO!$A$2:$A$3000,0))="","",INDEX(EXTRATO!$F$2:$F$3000,MATCH($A1422,EXTRATO!$A$2:$A$3000,0))))</f>
        <v/>
      </c>
      <c r="I1422" s="88" t="str">
        <f>IF(A1422="","",IF(INDEX(EXTRATO!$H$2:$H$3000,MATCH($A1422,EXTRATO!$A$2:$A$3000,0))="","",INDEX(EXTRATO!$H$2:$H$3000,MATCH($A1422,EXTRATO!$A$2:$A$3000,0))))</f>
        <v/>
      </c>
      <c r="J1422" s="86" t="str">
        <f t="shared" si="31"/>
        <v/>
      </c>
      <c r="K1422" s="86" t="str">
        <f>IF(AND(A1422="",D1422="",E1422="",F1422=""),"",IF(D1422="","SEM CATEGORIA",IF(E1422="","SEM SUBCATEGORIA",IF(COUNTIFS(CADASTROS!$L$7:$L$93,D1422,CADASTROS!$D$7:$D$93,E1422)=0,"INCOMPATÍVEL","OK"))))</f>
        <v/>
      </c>
    </row>
    <row r="1423" spans="1:11" ht="30" hidden="1" customHeight="1" x14ac:dyDescent="0.25">
      <c r="A1423" s="86" t="str">
        <f>IF(COUNTIF(EXTRATO!$A$2:$A$3000,"BAN-01280")=0,"","BAN-01280")</f>
        <v/>
      </c>
      <c r="B1423" s="85" t="str">
        <f>IF(A1423="","",IF(INDEX(EXTRATO!$C$2:$C$3000,MATCH($A1423,EXTRATO!$A$2:$A$3000,0))="","",INDEX(EXTRATO!$C$2:$C$3000,MATCH($A1423,EXTRATO!$A$2:$A$3000,0))))</f>
        <v/>
      </c>
      <c r="C1423" s="86" t="str">
        <f t="shared" si="30"/>
        <v/>
      </c>
      <c r="D1423" s="81"/>
      <c r="E1423" s="79"/>
      <c r="F1423" s="80" t="str">
        <f>IF(A1423="","",SUMIF(EXTRATO!$A$2:$A$3000,$A1423,EXTRATO!$J$2:$J$3000)+SUMIF(EXTRATO!$A$2:$A$3000,$A1423,EXTRATO!$K$2:$K$3000)+SUMIF(EXTRATO!$A$2:$A$3000,$A1423,EXTRATO!$L$2:$L$3000)+SUMIF(EXTRATO!$A$2:$A$3000,$A1423,EXTRATO!$M$2:$M$3000))</f>
        <v/>
      </c>
      <c r="G1423" s="81" t="str">
        <f>IF(A1423="","",IF(INDEX(EXTRATO!$G$2:$G$3000,MATCH($A1423,EXTRATO!$A$2:$A$3000,0))="","",INDEX(EXTRATO!$G$2:$G$3000,MATCH($A1423,EXTRATO!$A$2:$A$3000,0))))</f>
        <v/>
      </c>
      <c r="H1423" s="86" t="str">
        <f>IF(A1423="","",IF(INDEX(EXTRATO!$F$2:$F$3000,MATCH($A1423,EXTRATO!$A$2:$A$3000,0))="","",INDEX(EXTRATO!$F$2:$F$3000,MATCH($A1423,EXTRATO!$A$2:$A$3000,0))))</f>
        <v/>
      </c>
      <c r="I1423" s="88" t="str">
        <f>IF(A1423="","",IF(INDEX(EXTRATO!$H$2:$H$3000,MATCH($A1423,EXTRATO!$A$2:$A$3000,0))="","",INDEX(EXTRATO!$H$2:$H$3000,MATCH($A1423,EXTRATO!$A$2:$A$3000,0))))</f>
        <v/>
      </c>
      <c r="J1423" s="86" t="str">
        <f t="shared" si="31"/>
        <v/>
      </c>
      <c r="K1423" s="86" t="str">
        <f>IF(AND(A1423="",D1423="",E1423="",F1423=""),"",IF(D1423="","SEM CATEGORIA",IF(E1423="","SEM SUBCATEGORIA",IF(COUNTIFS(CADASTROS!$L$7:$L$93,D1423,CADASTROS!$D$7:$D$93,E1423)=0,"INCOMPATÍVEL","OK"))))</f>
        <v/>
      </c>
    </row>
    <row r="1424" spans="1:11" ht="30" hidden="1" customHeight="1" x14ac:dyDescent="0.25">
      <c r="A1424" s="86" t="str">
        <f>IF(COUNTIF(EXTRATO!$A$2:$A$3000,"BAN-01281")=0,"","BAN-01281")</f>
        <v/>
      </c>
      <c r="B1424" s="85" t="str">
        <f>IF(A1424="","",IF(INDEX(EXTRATO!$C$2:$C$3000,MATCH($A1424,EXTRATO!$A$2:$A$3000,0))="","",INDEX(EXTRATO!$C$2:$C$3000,MATCH($A1424,EXTRATO!$A$2:$A$3000,0))))</f>
        <v/>
      </c>
      <c r="C1424" s="86" t="str">
        <f t="shared" si="30"/>
        <v/>
      </c>
      <c r="D1424" s="81"/>
      <c r="E1424" s="79"/>
      <c r="F1424" s="80" t="str">
        <f>IF(A1424="","",SUMIF(EXTRATO!$A$2:$A$3000,$A1424,EXTRATO!$J$2:$J$3000)+SUMIF(EXTRATO!$A$2:$A$3000,$A1424,EXTRATO!$K$2:$K$3000)+SUMIF(EXTRATO!$A$2:$A$3000,$A1424,EXTRATO!$L$2:$L$3000)+SUMIF(EXTRATO!$A$2:$A$3000,$A1424,EXTRATO!$M$2:$M$3000))</f>
        <v/>
      </c>
      <c r="G1424" s="81" t="str">
        <f>IF(A1424="","",IF(INDEX(EXTRATO!$G$2:$G$3000,MATCH($A1424,EXTRATO!$A$2:$A$3000,0))="","",INDEX(EXTRATO!$G$2:$G$3000,MATCH($A1424,EXTRATO!$A$2:$A$3000,0))))</f>
        <v/>
      </c>
      <c r="H1424" s="86" t="str">
        <f>IF(A1424="","",IF(INDEX(EXTRATO!$F$2:$F$3000,MATCH($A1424,EXTRATO!$A$2:$A$3000,0))="","",INDEX(EXTRATO!$F$2:$F$3000,MATCH($A1424,EXTRATO!$A$2:$A$3000,0))))</f>
        <v/>
      </c>
      <c r="I1424" s="88" t="str">
        <f>IF(A1424="","",IF(INDEX(EXTRATO!$H$2:$H$3000,MATCH($A1424,EXTRATO!$A$2:$A$3000,0))="","",INDEX(EXTRATO!$H$2:$H$3000,MATCH($A1424,EXTRATO!$A$2:$A$3000,0))))</f>
        <v/>
      </c>
      <c r="J1424" s="86" t="str">
        <f t="shared" si="31"/>
        <v/>
      </c>
      <c r="K1424" s="86" t="str">
        <f>IF(AND(A1424="",D1424="",E1424="",F1424=""),"",IF(D1424="","SEM CATEGORIA",IF(E1424="","SEM SUBCATEGORIA",IF(COUNTIFS(CADASTROS!$L$7:$L$93,D1424,CADASTROS!$D$7:$D$93,E1424)=0,"INCOMPATÍVEL","OK"))))</f>
        <v/>
      </c>
    </row>
    <row r="1425" spans="1:11" ht="30" hidden="1" customHeight="1" x14ac:dyDescent="0.25">
      <c r="A1425" s="86" t="str">
        <f>IF(COUNTIF(EXTRATO!$A$2:$A$3000,"BAN-01282")=0,"","BAN-01282")</f>
        <v/>
      </c>
      <c r="B1425" s="85" t="str">
        <f>IF(A1425="","",IF(INDEX(EXTRATO!$C$2:$C$3000,MATCH($A1425,EXTRATO!$A$2:$A$3000,0))="","",INDEX(EXTRATO!$C$2:$C$3000,MATCH($A1425,EXTRATO!$A$2:$A$3000,0))))</f>
        <v/>
      </c>
      <c r="C1425" s="86" t="str">
        <f t="shared" si="30"/>
        <v/>
      </c>
      <c r="D1425" s="81"/>
      <c r="E1425" s="79"/>
      <c r="F1425" s="80" t="str">
        <f>IF(A1425="","",SUMIF(EXTRATO!$A$2:$A$3000,$A1425,EXTRATO!$J$2:$J$3000)+SUMIF(EXTRATO!$A$2:$A$3000,$A1425,EXTRATO!$K$2:$K$3000)+SUMIF(EXTRATO!$A$2:$A$3000,$A1425,EXTRATO!$L$2:$L$3000)+SUMIF(EXTRATO!$A$2:$A$3000,$A1425,EXTRATO!$M$2:$M$3000))</f>
        <v/>
      </c>
      <c r="G1425" s="81" t="str">
        <f>IF(A1425="","",IF(INDEX(EXTRATO!$G$2:$G$3000,MATCH($A1425,EXTRATO!$A$2:$A$3000,0))="","",INDEX(EXTRATO!$G$2:$G$3000,MATCH($A1425,EXTRATO!$A$2:$A$3000,0))))</f>
        <v/>
      </c>
      <c r="H1425" s="86" t="str">
        <f>IF(A1425="","",IF(INDEX(EXTRATO!$F$2:$F$3000,MATCH($A1425,EXTRATO!$A$2:$A$3000,0))="","",INDEX(EXTRATO!$F$2:$F$3000,MATCH($A1425,EXTRATO!$A$2:$A$3000,0))))</f>
        <v/>
      </c>
      <c r="I1425" s="88" t="str">
        <f>IF(A1425="","",IF(INDEX(EXTRATO!$H$2:$H$3000,MATCH($A1425,EXTRATO!$A$2:$A$3000,0))="","",INDEX(EXTRATO!$H$2:$H$3000,MATCH($A1425,EXTRATO!$A$2:$A$3000,0))))</f>
        <v/>
      </c>
      <c r="J1425" s="86" t="str">
        <f t="shared" si="31"/>
        <v/>
      </c>
      <c r="K1425" s="86" t="str">
        <f>IF(AND(A1425="",D1425="",E1425="",F1425=""),"",IF(D1425="","SEM CATEGORIA",IF(E1425="","SEM SUBCATEGORIA",IF(COUNTIFS(CADASTROS!$L$7:$L$93,D1425,CADASTROS!$D$7:$D$93,E1425)=0,"INCOMPATÍVEL","OK"))))</f>
        <v/>
      </c>
    </row>
    <row r="1426" spans="1:11" ht="30" hidden="1" customHeight="1" x14ac:dyDescent="0.25">
      <c r="A1426" s="86" t="str">
        <f>IF(COUNTIF(EXTRATO!$A$2:$A$3000,"BAN-01283")=0,"","BAN-01283")</f>
        <v/>
      </c>
      <c r="B1426" s="85" t="str">
        <f>IF(A1426="","",IF(INDEX(EXTRATO!$C$2:$C$3000,MATCH($A1426,EXTRATO!$A$2:$A$3000,0))="","",INDEX(EXTRATO!$C$2:$C$3000,MATCH($A1426,EXTRATO!$A$2:$A$3000,0))))</f>
        <v/>
      </c>
      <c r="C1426" s="86" t="str">
        <f t="shared" si="30"/>
        <v/>
      </c>
      <c r="D1426" s="81"/>
      <c r="E1426" s="79"/>
      <c r="F1426" s="80" t="str">
        <f>IF(A1426="","",SUMIF(EXTRATO!$A$2:$A$3000,$A1426,EXTRATO!$J$2:$J$3000)+SUMIF(EXTRATO!$A$2:$A$3000,$A1426,EXTRATO!$K$2:$K$3000)+SUMIF(EXTRATO!$A$2:$A$3000,$A1426,EXTRATO!$L$2:$L$3000)+SUMIF(EXTRATO!$A$2:$A$3000,$A1426,EXTRATO!$M$2:$M$3000))</f>
        <v/>
      </c>
      <c r="G1426" s="81" t="str">
        <f>IF(A1426="","",IF(INDEX(EXTRATO!$G$2:$G$3000,MATCH($A1426,EXTRATO!$A$2:$A$3000,0))="","",INDEX(EXTRATO!$G$2:$G$3000,MATCH($A1426,EXTRATO!$A$2:$A$3000,0))))</f>
        <v/>
      </c>
      <c r="H1426" s="86" t="str">
        <f>IF(A1426="","",IF(INDEX(EXTRATO!$F$2:$F$3000,MATCH($A1426,EXTRATO!$A$2:$A$3000,0))="","",INDEX(EXTRATO!$F$2:$F$3000,MATCH($A1426,EXTRATO!$A$2:$A$3000,0))))</f>
        <v/>
      </c>
      <c r="I1426" s="88" t="str">
        <f>IF(A1426="","",IF(INDEX(EXTRATO!$H$2:$H$3000,MATCH($A1426,EXTRATO!$A$2:$A$3000,0))="","",INDEX(EXTRATO!$H$2:$H$3000,MATCH($A1426,EXTRATO!$A$2:$A$3000,0))))</f>
        <v/>
      </c>
      <c r="J1426" s="86" t="str">
        <f t="shared" si="31"/>
        <v/>
      </c>
      <c r="K1426" s="86" t="str">
        <f>IF(AND(A1426="",D1426="",E1426="",F1426=""),"",IF(D1426="","SEM CATEGORIA",IF(E1426="","SEM SUBCATEGORIA",IF(COUNTIFS(CADASTROS!$L$7:$L$93,D1426,CADASTROS!$D$7:$D$93,E1426)=0,"INCOMPATÍVEL","OK"))))</f>
        <v/>
      </c>
    </row>
    <row r="1427" spans="1:11" ht="30" hidden="1" customHeight="1" x14ac:dyDescent="0.25">
      <c r="A1427" s="86" t="str">
        <f>IF(COUNTIF(EXTRATO!$A$2:$A$3000,"BAN-01284")=0,"","BAN-01284")</f>
        <v/>
      </c>
      <c r="B1427" s="85" t="str">
        <f>IF(A1427="","",IF(INDEX(EXTRATO!$C$2:$C$3000,MATCH($A1427,EXTRATO!$A$2:$A$3000,0))="","",INDEX(EXTRATO!$C$2:$C$3000,MATCH($A1427,EXTRATO!$A$2:$A$3000,0))))</f>
        <v/>
      </c>
      <c r="C1427" s="86" t="str">
        <f t="shared" si="30"/>
        <v/>
      </c>
      <c r="D1427" s="81"/>
      <c r="E1427" s="79"/>
      <c r="F1427" s="80" t="str">
        <f>IF(A1427="","",SUMIF(EXTRATO!$A$2:$A$3000,$A1427,EXTRATO!$J$2:$J$3000)+SUMIF(EXTRATO!$A$2:$A$3000,$A1427,EXTRATO!$K$2:$K$3000)+SUMIF(EXTRATO!$A$2:$A$3000,$A1427,EXTRATO!$L$2:$L$3000)+SUMIF(EXTRATO!$A$2:$A$3000,$A1427,EXTRATO!$M$2:$M$3000))</f>
        <v/>
      </c>
      <c r="G1427" s="81" t="str">
        <f>IF(A1427="","",IF(INDEX(EXTRATO!$G$2:$G$3000,MATCH($A1427,EXTRATO!$A$2:$A$3000,0))="","",INDEX(EXTRATO!$G$2:$G$3000,MATCH($A1427,EXTRATO!$A$2:$A$3000,0))))</f>
        <v/>
      </c>
      <c r="H1427" s="86" t="str">
        <f>IF(A1427="","",IF(INDEX(EXTRATO!$F$2:$F$3000,MATCH($A1427,EXTRATO!$A$2:$A$3000,0))="","",INDEX(EXTRATO!$F$2:$F$3000,MATCH($A1427,EXTRATO!$A$2:$A$3000,0))))</f>
        <v/>
      </c>
      <c r="I1427" s="88" t="str">
        <f>IF(A1427="","",IF(INDEX(EXTRATO!$H$2:$H$3000,MATCH($A1427,EXTRATO!$A$2:$A$3000,0))="","",INDEX(EXTRATO!$H$2:$H$3000,MATCH($A1427,EXTRATO!$A$2:$A$3000,0))))</f>
        <v/>
      </c>
      <c r="J1427" s="86" t="str">
        <f t="shared" si="31"/>
        <v/>
      </c>
      <c r="K1427" s="86" t="str">
        <f>IF(AND(A1427="",D1427="",E1427="",F1427=""),"",IF(D1427="","SEM CATEGORIA",IF(E1427="","SEM SUBCATEGORIA",IF(COUNTIFS(CADASTROS!$L$7:$L$93,D1427,CADASTROS!$D$7:$D$93,E1427)=0,"INCOMPATÍVEL","OK"))))</f>
        <v/>
      </c>
    </row>
    <row r="1428" spans="1:11" ht="30" hidden="1" customHeight="1" x14ac:dyDescent="0.25">
      <c r="A1428" s="86" t="str">
        <f>IF(COUNTIF(EXTRATO!$A$2:$A$3000,"BAN-01285")=0,"","BAN-01285")</f>
        <v/>
      </c>
      <c r="B1428" s="85" t="str">
        <f>IF(A1428="","",IF(INDEX(EXTRATO!$C$2:$C$3000,MATCH($A1428,EXTRATO!$A$2:$A$3000,0))="","",INDEX(EXTRATO!$C$2:$C$3000,MATCH($A1428,EXTRATO!$A$2:$A$3000,0))))</f>
        <v/>
      </c>
      <c r="C1428" s="86" t="str">
        <f t="shared" si="30"/>
        <v/>
      </c>
      <c r="D1428" s="81"/>
      <c r="E1428" s="79"/>
      <c r="F1428" s="80" t="str">
        <f>IF(A1428="","",SUMIF(EXTRATO!$A$2:$A$3000,$A1428,EXTRATO!$J$2:$J$3000)+SUMIF(EXTRATO!$A$2:$A$3000,$A1428,EXTRATO!$K$2:$K$3000)+SUMIF(EXTRATO!$A$2:$A$3000,$A1428,EXTRATO!$L$2:$L$3000)+SUMIF(EXTRATO!$A$2:$A$3000,$A1428,EXTRATO!$M$2:$M$3000))</f>
        <v/>
      </c>
      <c r="G1428" s="81" t="str">
        <f>IF(A1428="","",IF(INDEX(EXTRATO!$G$2:$G$3000,MATCH($A1428,EXTRATO!$A$2:$A$3000,0))="","",INDEX(EXTRATO!$G$2:$G$3000,MATCH($A1428,EXTRATO!$A$2:$A$3000,0))))</f>
        <v/>
      </c>
      <c r="H1428" s="86" t="str">
        <f>IF(A1428="","",IF(INDEX(EXTRATO!$F$2:$F$3000,MATCH($A1428,EXTRATO!$A$2:$A$3000,0))="","",INDEX(EXTRATO!$F$2:$F$3000,MATCH($A1428,EXTRATO!$A$2:$A$3000,0))))</f>
        <v/>
      </c>
      <c r="I1428" s="88" t="str">
        <f>IF(A1428="","",IF(INDEX(EXTRATO!$H$2:$H$3000,MATCH($A1428,EXTRATO!$A$2:$A$3000,0))="","",INDEX(EXTRATO!$H$2:$H$3000,MATCH($A1428,EXTRATO!$A$2:$A$3000,0))))</f>
        <v/>
      </c>
      <c r="J1428" s="86" t="str">
        <f t="shared" si="31"/>
        <v/>
      </c>
      <c r="K1428" s="86" t="str">
        <f>IF(AND(A1428="",D1428="",E1428="",F1428=""),"",IF(D1428="","SEM CATEGORIA",IF(E1428="","SEM SUBCATEGORIA",IF(COUNTIFS(CADASTROS!$L$7:$L$93,D1428,CADASTROS!$D$7:$D$93,E1428)=0,"INCOMPATÍVEL","OK"))))</f>
        <v/>
      </c>
    </row>
    <row r="1429" spans="1:11" ht="30" hidden="1" customHeight="1" x14ac:dyDescent="0.25">
      <c r="A1429" s="86" t="str">
        <f>IF(COUNTIF(EXTRATO!$A$2:$A$3000,"BAN-01286")=0,"","BAN-01286")</f>
        <v/>
      </c>
      <c r="B1429" s="85" t="str">
        <f>IF(A1429="","",IF(INDEX(EXTRATO!$C$2:$C$3000,MATCH($A1429,EXTRATO!$A$2:$A$3000,0))="","",INDEX(EXTRATO!$C$2:$C$3000,MATCH($A1429,EXTRATO!$A$2:$A$3000,0))))</f>
        <v/>
      </c>
      <c r="C1429" s="86" t="str">
        <f t="shared" ref="C1429:C1492" si="32">IF(B1429="","",MONTH(B1429))</f>
        <v/>
      </c>
      <c r="D1429" s="81"/>
      <c r="E1429" s="79"/>
      <c r="F1429" s="80" t="str">
        <f>IF(A1429="","",SUMIF(EXTRATO!$A$2:$A$3000,$A1429,EXTRATO!$J$2:$J$3000)+SUMIF(EXTRATO!$A$2:$A$3000,$A1429,EXTRATO!$K$2:$K$3000)+SUMIF(EXTRATO!$A$2:$A$3000,$A1429,EXTRATO!$L$2:$L$3000)+SUMIF(EXTRATO!$A$2:$A$3000,$A1429,EXTRATO!$M$2:$M$3000))</f>
        <v/>
      </c>
      <c r="G1429" s="81" t="str">
        <f>IF(A1429="","",IF(INDEX(EXTRATO!$G$2:$G$3000,MATCH($A1429,EXTRATO!$A$2:$A$3000,0))="","",INDEX(EXTRATO!$G$2:$G$3000,MATCH($A1429,EXTRATO!$A$2:$A$3000,0))))</f>
        <v/>
      </c>
      <c r="H1429" s="86" t="str">
        <f>IF(A1429="","",IF(INDEX(EXTRATO!$F$2:$F$3000,MATCH($A1429,EXTRATO!$A$2:$A$3000,0))="","",INDEX(EXTRATO!$F$2:$F$3000,MATCH($A1429,EXTRATO!$A$2:$A$3000,0))))</f>
        <v/>
      </c>
      <c r="I1429" s="88" t="str">
        <f>IF(A1429="","",IF(INDEX(EXTRATO!$H$2:$H$3000,MATCH($A1429,EXTRATO!$A$2:$A$3000,0))="","",INDEX(EXTRATO!$H$2:$H$3000,MATCH($A1429,EXTRATO!$A$2:$A$3000,0))))</f>
        <v/>
      </c>
      <c r="J1429" s="86" t="str">
        <f t="shared" si="31"/>
        <v/>
      </c>
      <c r="K1429" s="86" t="str">
        <f>IF(AND(A1429="",D1429="",E1429="",F1429=""),"",IF(D1429="","SEM CATEGORIA",IF(E1429="","SEM SUBCATEGORIA",IF(COUNTIFS(CADASTROS!$L$7:$L$93,D1429,CADASTROS!$D$7:$D$93,E1429)=0,"INCOMPATÍVEL","OK"))))</f>
        <v/>
      </c>
    </row>
    <row r="1430" spans="1:11" ht="30" hidden="1" customHeight="1" x14ac:dyDescent="0.25">
      <c r="A1430" s="86" t="str">
        <f>IF(COUNTIF(EXTRATO!$A$2:$A$3000,"BAN-01287")=0,"","BAN-01287")</f>
        <v/>
      </c>
      <c r="B1430" s="85" t="str">
        <f>IF(A1430="","",IF(INDEX(EXTRATO!$C$2:$C$3000,MATCH($A1430,EXTRATO!$A$2:$A$3000,0))="","",INDEX(EXTRATO!$C$2:$C$3000,MATCH($A1430,EXTRATO!$A$2:$A$3000,0))))</f>
        <v/>
      </c>
      <c r="C1430" s="86" t="str">
        <f t="shared" si="32"/>
        <v/>
      </c>
      <c r="D1430" s="81"/>
      <c r="E1430" s="79"/>
      <c r="F1430" s="80" t="str">
        <f>IF(A1430="","",SUMIF(EXTRATO!$A$2:$A$3000,$A1430,EXTRATO!$J$2:$J$3000)+SUMIF(EXTRATO!$A$2:$A$3000,$A1430,EXTRATO!$K$2:$K$3000)+SUMIF(EXTRATO!$A$2:$A$3000,$A1430,EXTRATO!$L$2:$L$3000)+SUMIF(EXTRATO!$A$2:$A$3000,$A1430,EXTRATO!$M$2:$M$3000))</f>
        <v/>
      </c>
      <c r="G1430" s="81" t="str">
        <f>IF(A1430="","",IF(INDEX(EXTRATO!$G$2:$G$3000,MATCH($A1430,EXTRATO!$A$2:$A$3000,0))="","",INDEX(EXTRATO!$G$2:$G$3000,MATCH($A1430,EXTRATO!$A$2:$A$3000,0))))</f>
        <v/>
      </c>
      <c r="H1430" s="86" t="str">
        <f>IF(A1430="","",IF(INDEX(EXTRATO!$F$2:$F$3000,MATCH($A1430,EXTRATO!$A$2:$A$3000,0))="","",INDEX(EXTRATO!$F$2:$F$3000,MATCH($A1430,EXTRATO!$A$2:$A$3000,0))))</f>
        <v/>
      </c>
      <c r="I1430" s="88" t="str">
        <f>IF(A1430="","",IF(INDEX(EXTRATO!$H$2:$H$3000,MATCH($A1430,EXTRATO!$A$2:$A$3000,0))="","",INDEX(EXTRATO!$H$2:$H$3000,MATCH($A1430,EXTRATO!$A$2:$A$3000,0))))</f>
        <v/>
      </c>
      <c r="J1430" s="86" t="str">
        <f t="shared" si="31"/>
        <v/>
      </c>
      <c r="K1430" s="86" t="str">
        <f>IF(AND(A1430="",D1430="",E1430="",F1430=""),"",IF(D1430="","SEM CATEGORIA",IF(E1430="","SEM SUBCATEGORIA",IF(COUNTIFS(CADASTROS!$L$7:$L$93,D1430,CADASTROS!$D$7:$D$93,E1430)=0,"INCOMPATÍVEL","OK"))))</f>
        <v/>
      </c>
    </row>
    <row r="1431" spans="1:11" ht="30" hidden="1" customHeight="1" x14ac:dyDescent="0.25">
      <c r="A1431" s="86" t="str">
        <f>IF(COUNTIF(EXTRATO!$A$2:$A$3000,"BAN-01288")=0,"","BAN-01288")</f>
        <v/>
      </c>
      <c r="B1431" s="85" t="str">
        <f>IF(A1431="","",IF(INDEX(EXTRATO!$C$2:$C$3000,MATCH($A1431,EXTRATO!$A$2:$A$3000,0))="","",INDEX(EXTRATO!$C$2:$C$3000,MATCH($A1431,EXTRATO!$A$2:$A$3000,0))))</f>
        <v/>
      </c>
      <c r="C1431" s="86" t="str">
        <f t="shared" si="32"/>
        <v/>
      </c>
      <c r="D1431" s="81"/>
      <c r="E1431" s="79"/>
      <c r="F1431" s="80" t="str">
        <f>IF(A1431="","",SUMIF(EXTRATO!$A$2:$A$3000,$A1431,EXTRATO!$J$2:$J$3000)+SUMIF(EXTRATO!$A$2:$A$3000,$A1431,EXTRATO!$K$2:$K$3000)+SUMIF(EXTRATO!$A$2:$A$3000,$A1431,EXTRATO!$L$2:$L$3000)+SUMIF(EXTRATO!$A$2:$A$3000,$A1431,EXTRATO!$M$2:$M$3000))</f>
        <v/>
      </c>
      <c r="G1431" s="81" t="str">
        <f>IF(A1431="","",IF(INDEX(EXTRATO!$G$2:$G$3000,MATCH($A1431,EXTRATO!$A$2:$A$3000,0))="","",INDEX(EXTRATO!$G$2:$G$3000,MATCH($A1431,EXTRATO!$A$2:$A$3000,0))))</f>
        <v/>
      </c>
      <c r="H1431" s="86" t="str">
        <f>IF(A1431="","",IF(INDEX(EXTRATO!$F$2:$F$3000,MATCH($A1431,EXTRATO!$A$2:$A$3000,0))="","",INDEX(EXTRATO!$F$2:$F$3000,MATCH($A1431,EXTRATO!$A$2:$A$3000,0))))</f>
        <v/>
      </c>
      <c r="I1431" s="88" t="str">
        <f>IF(A1431="","",IF(INDEX(EXTRATO!$H$2:$H$3000,MATCH($A1431,EXTRATO!$A$2:$A$3000,0))="","",INDEX(EXTRATO!$H$2:$H$3000,MATCH($A1431,EXTRATO!$A$2:$A$3000,0))))</f>
        <v/>
      </c>
      <c r="J1431" s="86" t="str">
        <f t="shared" si="31"/>
        <v/>
      </c>
      <c r="K1431" s="86" t="str">
        <f>IF(AND(A1431="",D1431="",E1431="",F1431=""),"",IF(D1431="","SEM CATEGORIA",IF(E1431="","SEM SUBCATEGORIA",IF(COUNTIFS(CADASTROS!$L$7:$L$93,D1431,CADASTROS!$D$7:$D$93,E1431)=0,"INCOMPATÍVEL","OK"))))</f>
        <v/>
      </c>
    </row>
    <row r="1432" spans="1:11" ht="30" hidden="1" customHeight="1" x14ac:dyDescent="0.25">
      <c r="A1432" s="86" t="str">
        <f>IF(COUNTIF(EXTRATO!$A$2:$A$3000,"BAN-01289")=0,"","BAN-01289")</f>
        <v/>
      </c>
      <c r="B1432" s="85" t="str">
        <f>IF(A1432="","",IF(INDEX(EXTRATO!$C$2:$C$3000,MATCH($A1432,EXTRATO!$A$2:$A$3000,0))="","",INDEX(EXTRATO!$C$2:$C$3000,MATCH($A1432,EXTRATO!$A$2:$A$3000,0))))</f>
        <v/>
      </c>
      <c r="C1432" s="86" t="str">
        <f t="shared" si="32"/>
        <v/>
      </c>
      <c r="D1432" s="81"/>
      <c r="E1432" s="79"/>
      <c r="F1432" s="80" t="str">
        <f>IF(A1432="","",SUMIF(EXTRATO!$A$2:$A$3000,$A1432,EXTRATO!$J$2:$J$3000)+SUMIF(EXTRATO!$A$2:$A$3000,$A1432,EXTRATO!$K$2:$K$3000)+SUMIF(EXTRATO!$A$2:$A$3000,$A1432,EXTRATO!$L$2:$L$3000)+SUMIF(EXTRATO!$A$2:$A$3000,$A1432,EXTRATO!$M$2:$M$3000))</f>
        <v/>
      </c>
      <c r="G1432" s="81" t="str">
        <f>IF(A1432="","",IF(INDEX(EXTRATO!$G$2:$G$3000,MATCH($A1432,EXTRATO!$A$2:$A$3000,0))="","",INDEX(EXTRATO!$G$2:$G$3000,MATCH($A1432,EXTRATO!$A$2:$A$3000,0))))</f>
        <v/>
      </c>
      <c r="H1432" s="86" t="str">
        <f>IF(A1432="","",IF(INDEX(EXTRATO!$F$2:$F$3000,MATCH($A1432,EXTRATO!$A$2:$A$3000,0))="","",INDEX(EXTRATO!$F$2:$F$3000,MATCH($A1432,EXTRATO!$A$2:$A$3000,0))))</f>
        <v/>
      </c>
      <c r="I1432" s="88" t="str">
        <f>IF(A1432="","",IF(INDEX(EXTRATO!$H$2:$H$3000,MATCH($A1432,EXTRATO!$A$2:$A$3000,0))="","",INDEX(EXTRATO!$H$2:$H$3000,MATCH($A1432,EXTRATO!$A$2:$A$3000,0))))</f>
        <v/>
      </c>
      <c r="J1432" s="86" t="str">
        <f t="shared" si="31"/>
        <v/>
      </c>
      <c r="K1432" s="86" t="str">
        <f>IF(AND(A1432="",D1432="",E1432="",F1432=""),"",IF(D1432="","SEM CATEGORIA",IF(E1432="","SEM SUBCATEGORIA",IF(COUNTIFS(CADASTROS!$L$7:$L$93,D1432,CADASTROS!$D$7:$D$93,E1432)=0,"INCOMPATÍVEL","OK"))))</f>
        <v/>
      </c>
    </row>
    <row r="1433" spans="1:11" ht="30" hidden="1" customHeight="1" x14ac:dyDescent="0.25">
      <c r="A1433" s="86" t="str">
        <f>IF(COUNTIF(EXTRATO!$A$2:$A$3000,"BAN-01290")=0,"","BAN-01290")</f>
        <v/>
      </c>
      <c r="B1433" s="85" t="str">
        <f>IF(A1433="","",IF(INDEX(EXTRATO!$C$2:$C$3000,MATCH($A1433,EXTRATO!$A$2:$A$3000,0))="","",INDEX(EXTRATO!$C$2:$C$3000,MATCH($A1433,EXTRATO!$A$2:$A$3000,0))))</f>
        <v/>
      </c>
      <c r="C1433" s="86" t="str">
        <f t="shared" si="32"/>
        <v/>
      </c>
      <c r="D1433" s="81"/>
      <c r="E1433" s="79"/>
      <c r="F1433" s="80" t="str">
        <f>IF(A1433="","",SUMIF(EXTRATO!$A$2:$A$3000,$A1433,EXTRATO!$J$2:$J$3000)+SUMIF(EXTRATO!$A$2:$A$3000,$A1433,EXTRATO!$K$2:$K$3000)+SUMIF(EXTRATO!$A$2:$A$3000,$A1433,EXTRATO!$L$2:$L$3000)+SUMIF(EXTRATO!$A$2:$A$3000,$A1433,EXTRATO!$M$2:$M$3000))</f>
        <v/>
      </c>
      <c r="G1433" s="81" t="str">
        <f>IF(A1433="","",IF(INDEX(EXTRATO!$G$2:$G$3000,MATCH($A1433,EXTRATO!$A$2:$A$3000,0))="","",INDEX(EXTRATO!$G$2:$G$3000,MATCH($A1433,EXTRATO!$A$2:$A$3000,0))))</f>
        <v/>
      </c>
      <c r="H1433" s="86" t="str">
        <f>IF(A1433="","",IF(INDEX(EXTRATO!$F$2:$F$3000,MATCH($A1433,EXTRATO!$A$2:$A$3000,0))="","",INDEX(EXTRATO!$F$2:$F$3000,MATCH($A1433,EXTRATO!$A$2:$A$3000,0))))</f>
        <v/>
      </c>
      <c r="I1433" s="88" t="str">
        <f>IF(A1433="","",IF(INDEX(EXTRATO!$H$2:$H$3000,MATCH($A1433,EXTRATO!$A$2:$A$3000,0))="","",INDEX(EXTRATO!$H$2:$H$3000,MATCH($A1433,EXTRATO!$A$2:$A$3000,0))))</f>
        <v/>
      </c>
      <c r="J1433" s="86" t="str">
        <f t="shared" si="31"/>
        <v/>
      </c>
      <c r="K1433" s="86" t="str">
        <f>IF(AND(A1433="",D1433="",E1433="",F1433=""),"",IF(D1433="","SEM CATEGORIA",IF(E1433="","SEM SUBCATEGORIA",IF(COUNTIFS(CADASTROS!$L$7:$L$93,D1433,CADASTROS!$D$7:$D$93,E1433)=0,"INCOMPATÍVEL","OK"))))</f>
        <v/>
      </c>
    </row>
    <row r="1434" spans="1:11" ht="30" hidden="1" customHeight="1" x14ac:dyDescent="0.25">
      <c r="A1434" s="86" t="str">
        <f>IF(COUNTIF(EXTRATO!$A$2:$A$3000,"BAN-01291")=0,"","BAN-01291")</f>
        <v/>
      </c>
      <c r="B1434" s="85" t="str">
        <f>IF(A1434="","",IF(INDEX(EXTRATO!$C$2:$C$3000,MATCH($A1434,EXTRATO!$A$2:$A$3000,0))="","",INDEX(EXTRATO!$C$2:$C$3000,MATCH($A1434,EXTRATO!$A$2:$A$3000,0))))</f>
        <v/>
      </c>
      <c r="C1434" s="86" t="str">
        <f t="shared" si="32"/>
        <v/>
      </c>
      <c r="D1434" s="81"/>
      <c r="E1434" s="79"/>
      <c r="F1434" s="80" t="str">
        <f>IF(A1434="","",SUMIF(EXTRATO!$A$2:$A$3000,$A1434,EXTRATO!$J$2:$J$3000)+SUMIF(EXTRATO!$A$2:$A$3000,$A1434,EXTRATO!$K$2:$K$3000)+SUMIF(EXTRATO!$A$2:$A$3000,$A1434,EXTRATO!$L$2:$L$3000)+SUMIF(EXTRATO!$A$2:$A$3000,$A1434,EXTRATO!$M$2:$M$3000))</f>
        <v/>
      </c>
      <c r="G1434" s="81" t="str">
        <f>IF(A1434="","",IF(INDEX(EXTRATO!$G$2:$G$3000,MATCH($A1434,EXTRATO!$A$2:$A$3000,0))="","",INDEX(EXTRATO!$G$2:$G$3000,MATCH($A1434,EXTRATO!$A$2:$A$3000,0))))</f>
        <v/>
      </c>
      <c r="H1434" s="86" t="str">
        <f>IF(A1434="","",IF(INDEX(EXTRATO!$F$2:$F$3000,MATCH($A1434,EXTRATO!$A$2:$A$3000,0))="","",INDEX(EXTRATO!$F$2:$F$3000,MATCH($A1434,EXTRATO!$A$2:$A$3000,0))))</f>
        <v/>
      </c>
      <c r="I1434" s="88" t="str">
        <f>IF(A1434="","",IF(INDEX(EXTRATO!$H$2:$H$3000,MATCH($A1434,EXTRATO!$A$2:$A$3000,0))="","",INDEX(EXTRATO!$H$2:$H$3000,MATCH($A1434,EXTRATO!$A$2:$A$3000,0))))</f>
        <v/>
      </c>
      <c r="J1434" s="86" t="str">
        <f t="shared" si="31"/>
        <v/>
      </c>
      <c r="K1434" s="86" t="str">
        <f>IF(AND(A1434="",D1434="",E1434="",F1434=""),"",IF(D1434="","SEM CATEGORIA",IF(E1434="","SEM SUBCATEGORIA",IF(COUNTIFS(CADASTROS!$L$7:$L$93,D1434,CADASTROS!$D$7:$D$93,E1434)=0,"INCOMPATÍVEL","OK"))))</f>
        <v/>
      </c>
    </row>
    <row r="1435" spans="1:11" ht="30" hidden="1" customHeight="1" x14ac:dyDescent="0.25">
      <c r="A1435" s="86" t="str">
        <f>IF(COUNTIF(EXTRATO!$A$2:$A$3000,"BAN-01292")=0,"","BAN-01292")</f>
        <v/>
      </c>
      <c r="B1435" s="85" t="str">
        <f>IF(A1435="","",IF(INDEX(EXTRATO!$C$2:$C$3000,MATCH($A1435,EXTRATO!$A$2:$A$3000,0))="","",INDEX(EXTRATO!$C$2:$C$3000,MATCH($A1435,EXTRATO!$A$2:$A$3000,0))))</f>
        <v/>
      </c>
      <c r="C1435" s="86" t="str">
        <f t="shared" si="32"/>
        <v/>
      </c>
      <c r="D1435" s="81"/>
      <c r="E1435" s="79"/>
      <c r="F1435" s="80" t="str">
        <f>IF(A1435="","",SUMIF(EXTRATO!$A$2:$A$3000,$A1435,EXTRATO!$J$2:$J$3000)+SUMIF(EXTRATO!$A$2:$A$3000,$A1435,EXTRATO!$K$2:$K$3000)+SUMIF(EXTRATO!$A$2:$A$3000,$A1435,EXTRATO!$L$2:$L$3000)+SUMIF(EXTRATO!$A$2:$A$3000,$A1435,EXTRATO!$M$2:$M$3000))</f>
        <v/>
      </c>
      <c r="G1435" s="81" t="str">
        <f>IF(A1435="","",IF(INDEX(EXTRATO!$G$2:$G$3000,MATCH($A1435,EXTRATO!$A$2:$A$3000,0))="","",INDEX(EXTRATO!$G$2:$G$3000,MATCH($A1435,EXTRATO!$A$2:$A$3000,0))))</f>
        <v/>
      </c>
      <c r="H1435" s="86" t="str">
        <f>IF(A1435="","",IF(INDEX(EXTRATO!$F$2:$F$3000,MATCH($A1435,EXTRATO!$A$2:$A$3000,0))="","",INDEX(EXTRATO!$F$2:$F$3000,MATCH($A1435,EXTRATO!$A$2:$A$3000,0))))</f>
        <v/>
      </c>
      <c r="I1435" s="88" t="str">
        <f>IF(A1435="","",IF(INDEX(EXTRATO!$H$2:$H$3000,MATCH($A1435,EXTRATO!$A$2:$A$3000,0))="","",INDEX(EXTRATO!$H$2:$H$3000,MATCH($A1435,EXTRATO!$A$2:$A$3000,0))))</f>
        <v/>
      </c>
      <c r="J1435" s="86" t="str">
        <f t="shared" si="31"/>
        <v/>
      </c>
      <c r="K1435" s="86" t="str">
        <f>IF(AND(A1435="",D1435="",E1435="",F1435=""),"",IF(D1435="","SEM CATEGORIA",IF(E1435="","SEM SUBCATEGORIA",IF(COUNTIFS(CADASTROS!$L$7:$L$93,D1435,CADASTROS!$D$7:$D$93,E1435)=0,"INCOMPATÍVEL","OK"))))</f>
        <v/>
      </c>
    </row>
    <row r="1436" spans="1:11" ht="30" hidden="1" customHeight="1" x14ac:dyDescent="0.25">
      <c r="A1436" s="86" t="str">
        <f>IF(COUNTIF(EXTRATO!$A$2:$A$3000,"BAN-01293")=0,"","BAN-01293")</f>
        <v/>
      </c>
      <c r="B1436" s="85" t="str">
        <f>IF(A1436="","",IF(INDEX(EXTRATO!$C$2:$C$3000,MATCH($A1436,EXTRATO!$A$2:$A$3000,0))="","",INDEX(EXTRATO!$C$2:$C$3000,MATCH($A1436,EXTRATO!$A$2:$A$3000,0))))</f>
        <v/>
      </c>
      <c r="C1436" s="86" t="str">
        <f t="shared" si="32"/>
        <v/>
      </c>
      <c r="D1436" s="81"/>
      <c r="E1436" s="79"/>
      <c r="F1436" s="80" t="str">
        <f>IF(A1436="","",SUMIF(EXTRATO!$A$2:$A$3000,$A1436,EXTRATO!$J$2:$J$3000)+SUMIF(EXTRATO!$A$2:$A$3000,$A1436,EXTRATO!$K$2:$K$3000)+SUMIF(EXTRATO!$A$2:$A$3000,$A1436,EXTRATO!$L$2:$L$3000)+SUMIF(EXTRATO!$A$2:$A$3000,$A1436,EXTRATO!$M$2:$M$3000))</f>
        <v/>
      </c>
      <c r="G1436" s="81" t="str">
        <f>IF(A1436="","",IF(INDEX(EXTRATO!$G$2:$G$3000,MATCH($A1436,EXTRATO!$A$2:$A$3000,0))="","",INDEX(EXTRATO!$G$2:$G$3000,MATCH($A1436,EXTRATO!$A$2:$A$3000,0))))</f>
        <v/>
      </c>
      <c r="H1436" s="86" t="str">
        <f>IF(A1436="","",IF(INDEX(EXTRATO!$F$2:$F$3000,MATCH($A1436,EXTRATO!$A$2:$A$3000,0))="","",INDEX(EXTRATO!$F$2:$F$3000,MATCH($A1436,EXTRATO!$A$2:$A$3000,0))))</f>
        <v/>
      </c>
      <c r="I1436" s="88" t="str">
        <f>IF(A1436="","",IF(INDEX(EXTRATO!$H$2:$H$3000,MATCH($A1436,EXTRATO!$A$2:$A$3000,0))="","",INDEX(EXTRATO!$H$2:$H$3000,MATCH($A1436,EXTRATO!$A$2:$A$3000,0))))</f>
        <v/>
      </c>
      <c r="J1436" s="86" t="str">
        <f t="shared" si="31"/>
        <v/>
      </c>
      <c r="K1436" s="86" t="str">
        <f>IF(AND(A1436="",D1436="",E1436="",F1436=""),"",IF(D1436="","SEM CATEGORIA",IF(E1436="","SEM SUBCATEGORIA",IF(COUNTIFS(CADASTROS!$L$7:$L$93,D1436,CADASTROS!$D$7:$D$93,E1436)=0,"INCOMPATÍVEL","OK"))))</f>
        <v/>
      </c>
    </row>
    <row r="1437" spans="1:11" ht="30" hidden="1" customHeight="1" x14ac:dyDescent="0.25">
      <c r="A1437" s="86" t="str">
        <f>IF(COUNTIF(EXTRATO!$A$2:$A$3000,"BAN-01294")=0,"","BAN-01294")</f>
        <v/>
      </c>
      <c r="B1437" s="85" t="str">
        <f>IF(A1437="","",IF(INDEX(EXTRATO!$C$2:$C$3000,MATCH($A1437,EXTRATO!$A$2:$A$3000,0))="","",INDEX(EXTRATO!$C$2:$C$3000,MATCH($A1437,EXTRATO!$A$2:$A$3000,0))))</f>
        <v/>
      </c>
      <c r="C1437" s="86" t="str">
        <f t="shared" si="32"/>
        <v/>
      </c>
      <c r="D1437" s="81"/>
      <c r="E1437" s="79"/>
      <c r="F1437" s="80" t="str">
        <f>IF(A1437="","",SUMIF(EXTRATO!$A$2:$A$3000,$A1437,EXTRATO!$J$2:$J$3000)+SUMIF(EXTRATO!$A$2:$A$3000,$A1437,EXTRATO!$K$2:$K$3000)+SUMIF(EXTRATO!$A$2:$A$3000,$A1437,EXTRATO!$L$2:$L$3000)+SUMIF(EXTRATO!$A$2:$A$3000,$A1437,EXTRATO!$M$2:$M$3000))</f>
        <v/>
      </c>
      <c r="G1437" s="81" t="str">
        <f>IF(A1437="","",IF(INDEX(EXTRATO!$G$2:$G$3000,MATCH($A1437,EXTRATO!$A$2:$A$3000,0))="","",INDEX(EXTRATO!$G$2:$G$3000,MATCH($A1437,EXTRATO!$A$2:$A$3000,0))))</f>
        <v/>
      </c>
      <c r="H1437" s="86" t="str">
        <f>IF(A1437="","",IF(INDEX(EXTRATO!$F$2:$F$3000,MATCH($A1437,EXTRATO!$A$2:$A$3000,0))="","",INDEX(EXTRATO!$F$2:$F$3000,MATCH($A1437,EXTRATO!$A$2:$A$3000,0))))</f>
        <v/>
      </c>
      <c r="I1437" s="88" t="str">
        <f>IF(A1437="","",IF(INDEX(EXTRATO!$H$2:$H$3000,MATCH($A1437,EXTRATO!$A$2:$A$3000,0))="","",INDEX(EXTRATO!$H$2:$H$3000,MATCH($A1437,EXTRATO!$A$2:$A$3000,0))))</f>
        <v/>
      </c>
      <c r="J1437" s="86" t="str">
        <f t="shared" si="31"/>
        <v/>
      </c>
      <c r="K1437" s="86" t="str">
        <f>IF(AND(A1437="",D1437="",E1437="",F1437=""),"",IF(D1437="","SEM CATEGORIA",IF(E1437="","SEM SUBCATEGORIA",IF(COUNTIFS(CADASTROS!$L$7:$L$93,D1437,CADASTROS!$D$7:$D$93,E1437)=0,"INCOMPATÍVEL","OK"))))</f>
        <v/>
      </c>
    </row>
    <row r="1438" spans="1:11" ht="30" hidden="1" customHeight="1" x14ac:dyDescent="0.25">
      <c r="A1438" s="86" t="str">
        <f>IF(COUNTIF(EXTRATO!$A$2:$A$3000,"BAN-01295")=0,"","BAN-01295")</f>
        <v/>
      </c>
      <c r="B1438" s="85" t="str">
        <f>IF(A1438="","",IF(INDEX(EXTRATO!$C$2:$C$3000,MATCH($A1438,EXTRATO!$A$2:$A$3000,0))="","",INDEX(EXTRATO!$C$2:$C$3000,MATCH($A1438,EXTRATO!$A$2:$A$3000,0))))</f>
        <v/>
      </c>
      <c r="C1438" s="86" t="str">
        <f t="shared" si="32"/>
        <v/>
      </c>
      <c r="D1438" s="81"/>
      <c r="E1438" s="79"/>
      <c r="F1438" s="80" t="str">
        <f>IF(A1438="","",SUMIF(EXTRATO!$A$2:$A$3000,$A1438,EXTRATO!$J$2:$J$3000)+SUMIF(EXTRATO!$A$2:$A$3000,$A1438,EXTRATO!$K$2:$K$3000)+SUMIF(EXTRATO!$A$2:$A$3000,$A1438,EXTRATO!$L$2:$L$3000)+SUMIF(EXTRATO!$A$2:$A$3000,$A1438,EXTRATO!$M$2:$M$3000))</f>
        <v/>
      </c>
      <c r="G1438" s="81" t="str">
        <f>IF(A1438="","",IF(INDEX(EXTRATO!$G$2:$G$3000,MATCH($A1438,EXTRATO!$A$2:$A$3000,0))="","",INDEX(EXTRATO!$G$2:$G$3000,MATCH($A1438,EXTRATO!$A$2:$A$3000,0))))</f>
        <v/>
      </c>
      <c r="H1438" s="86" t="str">
        <f>IF(A1438="","",IF(INDEX(EXTRATO!$F$2:$F$3000,MATCH($A1438,EXTRATO!$A$2:$A$3000,0))="","",INDEX(EXTRATO!$F$2:$F$3000,MATCH($A1438,EXTRATO!$A$2:$A$3000,0))))</f>
        <v/>
      </c>
      <c r="I1438" s="88" t="str">
        <f>IF(A1438="","",IF(INDEX(EXTRATO!$H$2:$H$3000,MATCH($A1438,EXTRATO!$A$2:$A$3000,0))="","",INDEX(EXTRATO!$H$2:$H$3000,MATCH($A1438,EXTRATO!$A$2:$A$3000,0))))</f>
        <v/>
      </c>
      <c r="J1438" s="86" t="str">
        <f t="shared" si="31"/>
        <v/>
      </c>
      <c r="K1438" s="86" t="str">
        <f>IF(AND(A1438="",D1438="",E1438="",F1438=""),"",IF(D1438="","SEM CATEGORIA",IF(E1438="","SEM SUBCATEGORIA",IF(COUNTIFS(CADASTROS!$L$7:$L$93,D1438,CADASTROS!$D$7:$D$93,E1438)=0,"INCOMPATÍVEL","OK"))))</f>
        <v/>
      </c>
    </row>
    <row r="1439" spans="1:11" ht="30" hidden="1" customHeight="1" x14ac:dyDescent="0.25">
      <c r="A1439" s="86" t="str">
        <f>IF(COUNTIF(EXTRATO!$A$2:$A$3000,"BAN-01296")=0,"","BAN-01296")</f>
        <v/>
      </c>
      <c r="B1439" s="85" t="str">
        <f>IF(A1439="","",IF(INDEX(EXTRATO!$C$2:$C$3000,MATCH($A1439,EXTRATO!$A$2:$A$3000,0))="","",INDEX(EXTRATO!$C$2:$C$3000,MATCH($A1439,EXTRATO!$A$2:$A$3000,0))))</f>
        <v/>
      </c>
      <c r="C1439" s="86" t="str">
        <f t="shared" si="32"/>
        <v/>
      </c>
      <c r="D1439" s="81"/>
      <c r="E1439" s="79"/>
      <c r="F1439" s="80" t="str">
        <f>IF(A1439="","",SUMIF(EXTRATO!$A$2:$A$3000,$A1439,EXTRATO!$J$2:$J$3000)+SUMIF(EXTRATO!$A$2:$A$3000,$A1439,EXTRATO!$K$2:$K$3000)+SUMIF(EXTRATO!$A$2:$A$3000,$A1439,EXTRATO!$L$2:$L$3000)+SUMIF(EXTRATO!$A$2:$A$3000,$A1439,EXTRATO!$M$2:$M$3000))</f>
        <v/>
      </c>
      <c r="G1439" s="81" t="str">
        <f>IF(A1439="","",IF(INDEX(EXTRATO!$G$2:$G$3000,MATCH($A1439,EXTRATO!$A$2:$A$3000,0))="","",INDEX(EXTRATO!$G$2:$G$3000,MATCH($A1439,EXTRATO!$A$2:$A$3000,0))))</f>
        <v/>
      </c>
      <c r="H1439" s="86" t="str">
        <f>IF(A1439="","",IF(INDEX(EXTRATO!$F$2:$F$3000,MATCH($A1439,EXTRATO!$A$2:$A$3000,0))="","",INDEX(EXTRATO!$F$2:$F$3000,MATCH($A1439,EXTRATO!$A$2:$A$3000,0))))</f>
        <v/>
      </c>
      <c r="I1439" s="88" t="str">
        <f>IF(A1439="","",IF(INDEX(EXTRATO!$H$2:$H$3000,MATCH($A1439,EXTRATO!$A$2:$A$3000,0))="","",INDEX(EXTRATO!$H$2:$H$3000,MATCH($A1439,EXTRATO!$A$2:$A$3000,0))))</f>
        <v/>
      </c>
      <c r="J1439" s="86" t="str">
        <f t="shared" si="31"/>
        <v/>
      </c>
      <c r="K1439" s="86" t="str">
        <f>IF(AND(A1439="",D1439="",E1439="",F1439=""),"",IF(D1439="","SEM CATEGORIA",IF(E1439="","SEM SUBCATEGORIA",IF(COUNTIFS(CADASTROS!$L$7:$L$93,D1439,CADASTROS!$D$7:$D$93,E1439)=0,"INCOMPATÍVEL","OK"))))</f>
        <v/>
      </c>
    </row>
    <row r="1440" spans="1:11" ht="30" hidden="1" customHeight="1" x14ac:dyDescent="0.25">
      <c r="A1440" s="86" t="str">
        <f>IF(COUNTIF(EXTRATO!$A$2:$A$3000,"BAN-01297")=0,"","BAN-01297")</f>
        <v/>
      </c>
      <c r="B1440" s="85" t="str">
        <f>IF(A1440="","",IF(INDEX(EXTRATO!$C$2:$C$3000,MATCH($A1440,EXTRATO!$A$2:$A$3000,0))="","",INDEX(EXTRATO!$C$2:$C$3000,MATCH($A1440,EXTRATO!$A$2:$A$3000,0))))</f>
        <v/>
      </c>
      <c r="C1440" s="86" t="str">
        <f t="shared" si="32"/>
        <v/>
      </c>
      <c r="D1440" s="81"/>
      <c r="E1440" s="79"/>
      <c r="F1440" s="80" t="str">
        <f>IF(A1440="","",SUMIF(EXTRATO!$A$2:$A$3000,$A1440,EXTRATO!$J$2:$J$3000)+SUMIF(EXTRATO!$A$2:$A$3000,$A1440,EXTRATO!$K$2:$K$3000)+SUMIF(EXTRATO!$A$2:$A$3000,$A1440,EXTRATO!$L$2:$L$3000)+SUMIF(EXTRATO!$A$2:$A$3000,$A1440,EXTRATO!$M$2:$M$3000))</f>
        <v/>
      </c>
      <c r="G1440" s="81" t="str">
        <f>IF(A1440="","",IF(INDEX(EXTRATO!$G$2:$G$3000,MATCH($A1440,EXTRATO!$A$2:$A$3000,0))="","",INDEX(EXTRATO!$G$2:$G$3000,MATCH($A1440,EXTRATO!$A$2:$A$3000,0))))</f>
        <v/>
      </c>
      <c r="H1440" s="86" t="str">
        <f>IF(A1440="","",IF(INDEX(EXTRATO!$F$2:$F$3000,MATCH($A1440,EXTRATO!$A$2:$A$3000,0))="","",INDEX(EXTRATO!$F$2:$F$3000,MATCH($A1440,EXTRATO!$A$2:$A$3000,0))))</f>
        <v/>
      </c>
      <c r="I1440" s="88" t="str">
        <f>IF(A1440="","",IF(INDEX(EXTRATO!$H$2:$H$3000,MATCH($A1440,EXTRATO!$A$2:$A$3000,0))="","",INDEX(EXTRATO!$H$2:$H$3000,MATCH($A1440,EXTRATO!$A$2:$A$3000,0))))</f>
        <v/>
      </c>
      <c r="J1440" s="86" t="str">
        <f t="shared" si="31"/>
        <v/>
      </c>
      <c r="K1440" s="86" t="str">
        <f>IF(AND(A1440="",D1440="",E1440="",F1440=""),"",IF(D1440="","SEM CATEGORIA",IF(E1440="","SEM SUBCATEGORIA",IF(COUNTIFS(CADASTROS!$L$7:$L$93,D1440,CADASTROS!$D$7:$D$93,E1440)=0,"INCOMPATÍVEL","OK"))))</f>
        <v/>
      </c>
    </row>
    <row r="1441" spans="1:11" ht="30" hidden="1" customHeight="1" x14ac:dyDescent="0.25">
      <c r="A1441" s="86" t="str">
        <f>IF(COUNTIF(EXTRATO!$A$2:$A$3000,"BAN-01298")=0,"","BAN-01298")</f>
        <v/>
      </c>
      <c r="B1441" s="85" t="str">
        <f>IF(A1441="","",IF(INDEX(EXTRATO!$C$2:$C$3000,MATCH($A1441,EXTRATO!$A$2:$A$3000,0))="","",INDEX(EXTRATO!$C$2:$C$3000,MATCH($A1441,EXTRATO!$A$2:$A$3000,0))))</f>
        <v/>
      </c>
      <c r="C1441" s="86" t="str">
        <f t="shared" si="32"/>
        <v/>
      </c>
      <c r="D1441" s="81"/>
      <c r="E1441" s="79"/>
      <c r="F1441" s="80" t="str">
        <f>IF(A1441="","",SUMIF(EXTRATO!$A$2:$A$3000,$A1441,EXTRATO!$J$2:$J$3000)+SUMIF(EXTRATO!$A$2:$A$3000,$A1441,EXTRATO!$K$2:$K$3000)+SUMIF(EXTRATO!$A$2:$A$3000,$A1441,EXTRATO!$L$2:$L$3000)+SUMIF(EXTRATO!$A$2:$A$3000,$A1441,EXTRATO!$M$2:$M$3000))</f>
        <v/>
      </c>
      <c r="G1441" s="81" t="str">
        <f>IF(A1441="","",IF(INDEX(EXTRATO!$G$2:$G$3000,MATCH($A1441,EXTRATO!$A$2:$A$3000,0))="","",INDEX(EXTRATO!$G$2:$G$3000,MATCH($A1441,EXTRATO!$A$2:$A$3000,0))))</f>
        <v/>
      </c>
      <c r="H1441" s="86" t="str">
        <f>IF(A1441="","",IF(INDEX(EXTRATO!$F$2:$F$3000,MATCH($A1441,EXTRATO!$A$2:$A$3000,0))="","",INDEX(EXTRATO!$F$2:$F$3000,MATCH($A1441,EXTRATO!$A$2:$A$3000,0))))</f>
        <v/>
      </c>
      <c r="I1441" s="88" t="str">
        <f>IF(A1441="","",IF(INDEX(EXTRATO!$H$2:$H$3000,MATCH($A1441,EXTRATO!$A$2:$A$3000,0))="","",INDEX(EXTRATO!$H$2:$H$3000,MATCH($A1441,EXTRATO!$A$2:$A$3000,0))))</f>
        <v/>
      </c>
      <c r="J1441" s="86" t="str">
        <f t="shared" si="31"/>
        <v/>
      </c>
      <c r="K1441" s="86" t="str">
        <f>IF(AND(A1441="",D1441="",E1441="",F1441=""),"",IF(D1441="","SEM CATEGORIA",IF(E1441="","SEM SUBCATEGORIA",IF(COUNTIFS(CADASTROS!$L$7:$L$93,D1441,CADASTROS!$D$7:$D$93,E1441)=0,"INCOMPATÍVEL","OK"))))</f>
        <v/>
      </c>
    </row>
    <row r="1442" spans="1:11" ht="30" hidden="1" customHeight="1" x14ac:dyDescent="0.25">
      <c r="A1442" s="86" t="str">
        <f>IF(COUNTIF(EXTRATO!$A$2:$A$3000,"BAN-01299")=0,"","BAN-01299")</f>
        <v/>
      </c>
      <c r="B1442" s="85" t="str">
        <f>IF(A1442="","",IF(INDEX(EXTRATO!$C$2:$C$3000,MATCH($A1442,EXTRATO!$A$2:$A$3000,0))="","",INDEX(EXTRATO!$C$2:$C$3000,MATCH($A1442,EXTRATO!$A$2:$A$3000,0))))</f>
        <v/>
      </c>
      <c r="C1442" s="86" t="str">
        <f t="shared" si="32"/>
        <v/>
      </c>
      <c r="D1442" s="81"/>
      <c r="E1442" s="79"/>
      <c r="F1442" s="80" t="str">
        <f>IF(A1442="","",SUMIF(EXTRATO!$A$2:$A$3000,$A1442,EXTRATO!$J$2:$J$3000)+SUMIF(EXTRATO!$A$2:$A$3000,$A1442,EXTRATO!$K$2:$K$3000)+SUMIF(EXTRATO!$A$2:$A$3000,$A1442,EXTRATO!$L$2:$L$3000)+SUMIF(EXTRATO!$A$2:$A$3000,$A1442,EXTRATO!$M$2:$M$3000))</f>
        <v/>
      </c>
      <c r="G1442" s="81" t="str">
        <f>IF(A1442="","",IF(INDEX(EXTRATO!$G$2:$G$3000,MATCH($A1442,EXTRATO!$A$2:$A$3000,0))="","",INDEX(EXTRATO!$G$2:$G$3000,MATCH($A1442,EXTRATO!$A$2:$A$3000,0))))</f>
        <v/>
      </c>
      <c r="H1442" s="86" t="str">
        <f>IF(A1442="","",IF(INDEX(EXTRATO!$F$2:$F$3000,MATCH($A1442,EXTRATO!$A$2:$A$3000,0))="","",INDEX(EXTRATO!$F$2:$F$3000,MATCH($A1442,EXTRATO!$A$2:$A$3000,0))))</f>
        <v/>
      </c>
      <c r="I1442" s="88" t="str">
        <f>IF(A1442="","",IF(INDEX(EXTRATO!$H$2:$H$3000,MATCH($A1442,EXTRATO!$A$2:$A$3000,0))="","",INDEX(EXTRATO!$H$2:$H$3000,MATCH($A1442,EXTRATO!$A$2:$A$3000,0))))</f>
        <v/>
      </c>
      <c r="J1442" s="86" t="str">
        <f t="shared" si="31"/>
        <v/>
      </c>
      <c r="K1442" s="86" t="str">
        <f>IF(AND(A1442="",D1442="",E1442="",F1442=""),"",IF(D1442="","SEM CATEGORIA",IF(E1442="","SEM SUBCATEGORIA",IF(COUNTIFS(CADASTROS!$L$7:$L$93,D1442,CADASTROS!$D$7:$D$93,E1442)=0,"INCOMPATÍVEL","OK"))))</f>
        <v/>
      </c>
    </row>
    <row r="1443" spans="1:11" ht="30" hidden="1" customHeight="1" x14ac:dyDescent="0.25">
      <c r="A1443" s="86" t="str">
        <f>IF(COUNTIF(EXTRATO!$A$2:$A$3000,"BAN-01300")=0,"","BAN-01300")</f>
        <v/>
      </c>
      <c r="B1443" s="85" t="str">
        <f>IF(A1443="","",IF(INDEX(EXTRATO!$C$2:$C$3000,MATCH($A1443,EXTRATO!$A$2:$A$3000,0))="","",INDEX(EXTRATO!$C$2:$C$3000,MATCH($A1443,EXTRATO!$A$2:$A$3000,0))))</f>
        <v/>
      </c>
      <c r="C1443" s="86" t="str">
        <f t="shared" si="32"/>
        <v/>
      </c>
      <c r="D1443" s="81"/>
      <c r="E1443" s="79"/>
      <c r="F1443" s="80" t="str">
        <f>IF(A1443="","",SUMIF(EXTRATO!$A$2:$A$3000,$A1443,EXTRATO!$J$2:$J$3000)+SUMIF(EXTRATO!$A$2:$A$3000,$A1443,EXTRATO!$K$2:$K$3000)+SUMIF(EXTRATO!$A$2:$A$3000,$A1443,EXTRATO!$L$2:$L$3000)+SUMIF(EXTRATO!$A$2:$A$3000,$A1443,EXTRATO!$M$2:$M$3000))</f>
        <v/>
      </c>
      <c r="G1443" s="81" t="str">
        <f>IF(A1443="","",IF(INDEX(EXTRATO!$G$2:$G$3000,MATCH($A1443,EXTRATO!$A$2:$A$3000,0))="","",INDEX(EXTRATO!$G$2:$G$3000,MATCH($A1443,EXTRATO!$A$2:$A$3000,0))))</f>
        <v/>
      </c>
      <c r="H1443" s="86" t="str">
        <f>IF(A1443="","",IF(INDEX(EXTRATO!$F$2:$F$3000,MATCH($A1443,EXTRATO!$A$2:$A$3000,0))="","",INDEX(EXTRATO!$F$2:$F$3000,MATCH($A1443,EXTRATO!$A$2:$A$3000,0))))</f>
        <v/>
      </c>
      <c r="I1443" s="88" t="str">
        <f>IF(A1443="","",IF(INDEX(EXTRATO!$H$2:$H$3000,MATCH($A1443,EXTRATO!$A$2:$A$3000,0))="","",INDEX(EXTRATO!$H$2:$H$3000,MATCH($A1443,EXTRATO!$A$2:$A$3000,0))))</f>
        <v/>
      </c>
      <c r="J1443" s="86" t="str">
        <f t="shared" si="31"/>
        <v/>
      </c>
      <c r="K1443" s="86" t="str">
        <f>IF(AND(A1443="",D1443="",E1443="",F1443=""),"",IF(D1443="","SEM CATEGORIA",IF(E1443="","SEM SUBCATEGORIA",IF(COUNTIFS(CADASTROS!$L$7:$L$93,D1443,CADASTROS!$D$7:$D$93,E1443)=0,"INCOMPATÍVEL","OK"))))</f>
        <v/>
      </c>
    </row>
    <row r="1444" spans="1:11" ht="30" hidden="1" customHeight="1" x14ac:dyDescent="0.25">
      <c r="A1444" s="86" t="str">
        <f>IF(COUNTIF(EXTRATO!$A$2:$A$3000,"BAN-01301")=0,"","BAN-01301")</f>
        <v/>
      </c>
      <c r="B1444" s="85" t="str">
        <f>IF(A1444="","",IF(INDEX(EXTRATO!$C$2:$C$3000,MATCH($A1444,EXTRATO!$A$2:$A$3000,0))="","",INDEX(EXTRATO!$C$2:$C$3000,MATCH($A1444,EXTRATO!$A$2:$A$3000,0))))</f>
        <v/>
      </c>
      <c r="C1444" s="86" t="str">
        <f t="shared" si="32"/>
        <v/>
      </c>
      <c r="D1444" s="81"/>
      <c r="E1444" s="79"/>
      <c r="F1444" s="80" t="str">
        <f>IF(A1444="","",SUMIF(EXTRATO!$A$2:$A$3000,$A1444,EXTRATO!$J$2:$J$3000)+SUMIF(EXTRATO!$A$2:$A$3000,$A1444,EXTRATO!$K$2:$K$3000)+SUMIF(EXTRATO!$A$2:$A$3000,$A1444,EXTRATO!$L$2:$L$3000)+SUMIF(EXTRATO!$A$2:$A$3000,$A1444,EXTRATO!$M$2:$M$3000))</f>
        <v/>
      </c>
      <c r="G1444" s="81" t="str">
        <f>IF(A1444="","",IF(INDEX(EXTRATO!$G$2:$G$3000,MATCH($A1444,EXTRATO!$A$2:$A$3000,0))="","",INDEX(EXTRATO!$G$2:$G$3000,MATCH($A1444,EXTRATO!$A$2:$A$3000,0))))</f>
        <v/>
      </c>
      <c r="H1444" s="86" t="str">
        <f>IF(A1444="","",IF(INDEX(EXTRATO!$F$2:$F$3000,MATCH($A1444,EXTRATO!$A$2:$A$3000,0))="","",INDEX(EXTRATO!$F$2:$F$3000,MATCH($A1444,EXTRATO!$A$2:$A$3000,0))))</f>
        <v/>
      </c>
      <c r="I1444" s="88" t="str">
        <f>IF(A1444="","",IF(INDEX(EXTRATO!$H$2:$H$3000,MATCH($A1444,EXTRATO!$A$2:$A$3000,0))="","",INDEX(EXTRATO!$H$2:$H$3000,MATCH($A1444,EXTRATO!$A$2:$A$3000,0))))</f>
        <v/>
      </c>
      <c r="J1444" s="86" t="str">
        <f t="shared" si="31"/>
        <v/>
      </c>
      <c r="K1444" s="86" t="str">
        <f>IF(AND(A1444="",D1444="",E1444="",F1444=""),"",IF(D1444="","SEM CATEGORIA",IF(E1444="","SEM SUBCATEGORIA",IF(COUNTIFS(CADASTROS!$L$7:$L$93,D1444,CADASTROS!$D$7:$D$93,E1444)=0,"INCOMPATÍVEL","OK"))))</f>
        <v/>
      </c>
    </row>
    <row r="1445" spans="1:11" ht="30" hidden="1" customHeight="1" x14ac:dyDescent="0.25">
      <c r="A1445" s="86" t="str">
        <f>IF(COUNTIF(EXTRATO!$A$2:$A$3000,"BAN-01302")=0,"","BAN-01302")</f>
        <v/>
      </c>
      <c r="B1445" s="85" t="str">
        <f>IF(A1445="","",IF(INDEX(EXTRATO!$C$2:$C$3000,MATCH($A1445,EXTRATO!$A$2:$A$3000,0))="","",INDEX(EXTRATO!$C$2:$C$3000,MATCH($A1445,EXTRATO!$A$2:$A$3000,0))))</f>
        <v/>
      </c>
      <c r="C1445" s="86" t="str">
        <f t="shared" si="32"/>
        <v/>
      </c>
      <c r="D1445" s="81"/>
      <c r="E1445" s="79"/>
      <c r="F1445" s="80" t="str">
        <f>IF(A1445="","",SUMIF(EXTRATO!$A$2:$A$3000,$A1445,EXTRATO!$J$2:$J$3000)+SUMIF(EXTRATO!$A$2:$A$3000,$A1445,EXTRATO!$K$2:$K$3000)+SUMIF(EXTRATO!$A$2:$A$3000,$A1445,EXTRATO!$L$2:$L$3000)+SUMIF(EXTRATO!$A$2:$A$3000,$A1445,EXTRATO!$M$2:$M$3000))</f>
        <v/>
      </c>
      <c r="G1445" s="81" t="str">
        <f>IF(A1445="","",IF(INDEX(EXTRATO!$G$2:$G$3000,MATCH($A1445,EXTRATO!$A$2:$A$3000,0))="","",INDEX(EXTRATO!$G$2:$G$3000,MATCH($A1445,EXTRATO!$A$2:$A$3000,0))))</f>
        <v/>
      </c>
      <c r="H1445" s="86" t="str">
        <f>IF(A1445="","",IF(INDEX(EXTRATO!$F$2:$F$3000,MATCH($A1445,EXTRATO!$A$2:$A$3000,0))="","",INDEX(EXTRATO!$F$2:$F$3000,MATCH($A1445,EXTRATO!$A$2:$A$3000,0))))</f>
        <v/>
      </c>
      <c r="I1445" s="88" t="str">
        <f>IF(A1445="","",IF(INDEX(EXTRATO!$H$2:$H$3000,MATCH($A1445,EXTRATO!$A$2:$A$3000,0))="","",INDEX(EXTRATO!$H$2:$H$3000,MATCH($A1445,EXTRATO!$A$2:$A$3000,0))))</f>
        <v/>
      </c>
      <c r="J1445" s="86" t="str">
        <f t="shared" si="31"/>
        <v/>
      </c>
      <c r="K1445" s="86" t="str">
        <f>IF(AND(A1445="",D1445="",E1445="",F1445=""),"",IF(D1445="","SEM CATEGORIA",IF(E1445="","SEM SUBCATEGORIA",IF(COUNTIFS(CADASTROS!$L$7:$L$93,D1445,CADASTROS!$D$7:$D$93,E1445)=0,"INCOMPATÍVEL","OK"))))</f>
        <v/>
      </c>
    </row>
    <row r="1446" spans="1:11" ht="30" hidden="1" customHeight="1" x14ac:dyDescent="0.25">
      <c r="A1446" s="86" t="str">
        <f>IF(COUNTIF(EXTRATO!$A$2:$A$3000,"BAN-01303")=0,"","BAN-01303")</f>
        <v/>
      </c>
      <c r="B1446" s="85" t="str">
        <f>IF(A1446="","",IF(INDEX(EXTRATO!$C$2:$C$3000,MATCH($A1446,EXTRATO!$A$2:$A$3000,0))="","",INDEX(EXTRATO!$C$2:$C$3000,MATCH($A1446,EXTRATO!$A$2:$A$3000,0))))</f>
        <v/>
      </c>
      <c r="C1446" s="86" t="str">
        <f t="shared" si="32"/>
        <v/>
      </c>
      <c r="D1446" s="81"/>
      <c r="E1446" s="79"/>
      <c r="F1446" s="80" t="str">
        <f>IF(A1446="","",SUMIF(EXTRATO!$A$2:$A$3000,$A1446,EXTRATO!$J$2:$J$3000)+SUMIF(EXTRATO!$A$2:$A$3000,$A1446,EXTRATO!$K$2:$K$3000)+SUMIF(EXTRATO!$A$2:$A$3000,$A1446,EXTRATO!$L$2:$L$3000)+SUMIF(EXTRATO!$A$2:$A$3000,$A1446,EXTRATO!$M$2:$M$3000))</f>
        <v/>
      </c>
      <c r="G1446" s="81" t="str">
        <f>IF(A1446="","",IF(INDEX(EXTRATO!$G$2:$G$3000,MATCH($A1446,EXTRATO!$A$2:$A$3000,0))="","",INDEX(EXTRATO!$G$2:$G$3000,MATCH($A1446,EXTRATO!$A$2:$A$3000,0))))</f>
        <v/>
      </c>
      <c r="H1446" s="86" t="str">
        <f>IF(A1446="","",IF(INDEX(EXTRATO!$F$2:$F$3000,MATCH($A1446,EXTRATO!$A$2:$A$3000,0))="","",INDEX(EXTRATO!$F$2:$F$3000,MATCH($A1446,EXTRATO!$A$2:$A$3000,0))))</f>
        <v/>
      </c>
      <c r="I1446" s="88" t="str">
        <f>IF(A1446="","",IF(INDEX(EXTRATO!$H$2:$H$3000,MATCH($A1446,EXTRATO!$A$2:$A$3000,0))="","",INDEX(EXTRATO!$H$2:$H$3000,MATCH($A1446,EXTRATO!$A$2:$A$3000,0))))</f>
        <v/>
      </c>
      <c r="J1446" s="86" t="str">
        <f t="shared" si="31"/>
        <v/>
      </c>
      <c r="K1446" s="86" t="str">
        <f>IF(AND(A1446="",D1446="",E1446="",F1446=""),"",IF(D1446="","SEM CATEGORIA",IF(E1446="","SEM SUBCATEGORIA",IF(COUNTIFS(CADASTROS!$L$7:$L$93,D1446,CADASTROS!$D$7:$D$93,E1446)=0,"INCOMPATÍVEL","OK"))))</f>
        <v/>
      </c>
    </row>
    <row r="1447" spans="1:11" ht="30" hidden="1" customHeight="1" x14ac:dyDescent="0.25">
      <c r="A1447" s="86" t="str">
        <f>IF(COUNTIF(EXTRATO!$A$2:$A$3000,"BAN-01304")=0,"","BAN-01304")</f>
        <v/>
      </c>
      <c r="B1447" s="85" t="str">
        <f>IF(A1447="","",IF(INDEX(EXTRATO!$C$2:$C$3000,MATCH($A1447,EXTRATO!$A$2:$A$3000,0))="","",INDEX(EXTRATO!$C$2:$C$3000,MATCH($A1447,EXTRATO!$A$2:$A$3000,0))))</f>
        <v/>
      </c>
      <c r="C1447" s="86" t="str">
        <f t="shared" si="32"/>
        <v/>
      </c>
      <c r="D1447" s="81"/>
      <c r="E1447" s="79"/>
      <c r="F1447" s="80" t="str">
        <f>IF(A1447="","",SUMIF(EXTRATO!$A$2:$A$3000,$A1447,EXTRATO!$J$2:$J$3000)+SUMIF(EXTRATO!$A$2:$A$3000,$A1447,EXTRATO!$K$2:$K$3000)+SUMIF(EXTRATO!$A$2:$A$3000,$A1447,EXTRATO!$L$2:$L$3000)+SUMIF(EXTRATO!$A$2:$A$3000,$A1447,EXTRATO!$M$2:$M$3000))</f>
        <v/>
      </c>
      <c r="G1447" s="81" t="str">
        <f>IF(A1447="","",IF(INDEX(EXTRATO!$G$2:$G$3000,MATCH($A1447,EXTRATO!$A$2:$A$3000,0))="","",INDEX(EXTRATO!$G$2:$G$3000,MATCH($A1447,EXTRATO!$A$2:$A$3000,0))))</f>
        <v/>
      </c>
      <c r="H1447" s="86" t="str">
        <f>IF(A1447="","",IF(INDEX(EXTRATO!$F$2:$F$3000,MATCH($A1447,EXTRATO!$A$2:$A$3000,0))="","",INDEX(EXTRATO!$F$2:$F$3000,MATCH($A1447,EXTRATO!$A$2:$A$3000,0))))</f>
        <v/>
      </c>
      <c r="I1447" s="88" t="str">
        <f>IF(A1447="","",IF(INDEX(EXTRATO!$H$2:$H$3000,MATCH($A1447,EXTRATO!$A$2:$A$3000,0))="","",INDEX(EXTRATO!$H$2:$H$3000,MATCH($A1447,EXTRATO!$A$2:$A$3000,0))))</f>
        <v/>
      </c>
      <c r="J1447" s="86" t="str">
        <f t="shared" si="31"/>
        <v/>
      </c>
      <c r="K1447" s="86" t="str">
        <f>IF(AND(A1447="",D1447="",E1447="",F1447=""),"",IF(D1447="","SEM CATEGORIA",IF(E1447="","SEM SUBCATEGORIA",IF(COUNTIFS(CADASTROS!$L$7:$L$93,D1447,CADASTROS!$D$7:$D$93,E1447)=0,"INCOMPATÍVEL","OK"))))</f>
        <v/>
      </c>
    </row>
    <row r="1448" spans="1:11" ht="30" hidden="1" customHeight="1" x14ac:dyDescent="0.25">
      <c r="A1448" s="86" t="str">
        <f>IF(COUNTIF(EXTRATO!$A$2:$A$3000,"BAN-01305")=0,"","BAN-01305")</f>
        <v/>
      </c>
      <c r="B1448" s="85" t="str">
        <f>IF(A1448="","",IF(INDEX(EXTRATO!$C$2:$C$3000,MATCH($A1448,EXTRATO!$A$2:$A$3000,0))="","",INDEX(EXTRATO!$C$2:$C$3000,MATCH($A1448,EXTRATO!$A$2:$A$3000,0))))</f>
        <v/>
      </c>
      <c r="C1448" s="86" t="str">
        <f t="shared" si="32"/>
        <v/>
      </c>
      <c r="D1448" s="81"/>
      <c r="E1448" s="79"/>
      <c r="F1448" s="80" t="str">
        <f>IF(A1448="","",SUMIF(EXTRATO!$A$2:$A$3000,$A1448,EXTRATO!$J$2:$J$3000)+SUMIF(EXTRATO!$A$2:$A$3000,$A1448,EXTRATO!$K$2:$K$3000)+SUMIF(EXTRATO!$A$2:$A$3000,$A1448,EXTRATO!$L$2:$L$3000)+SUMIF(EXTRATO!$A$2:$A$3000,$A1448,EXTRATO!$M$2:$M$3000))</f>
        <v/>
      </c>
      <c r="G1448" s="81" t="str">
        <f>IF(A1448="","",IF(INDEX(EXTRATO!$G$2:$G$3000,MATCH($A1448,EXTRATO!$A$2:$A$3000,0))="","",INDEX(EXTRATO!$G$2:$G$3000,MATCH($A1448,EXTRATO!$A$2:$A$3000,0))))</f>
        <v/>
      </c>
      <c r="H1448" s="86" t="str">
        <f>IF(A1448="","",IF(INDEX(EXTRATO!$F$2:$F$3000,MATCH($A1448,EXTRATO!$A$2:$A$3000,0))="","",INDEX(EXTRATO!$F$2:$F$3000,MATCH($A1448,EXTRATO!$A$2:$A$3000,0))))</f>
        <v/>
      </c>
      <c r="I1448" s="88" t="str">
        <f>IF(A1448="","",IF(INDEX(EXTRATO!$H$2:$H$3000,MATCH($A1448,EXTRATO!$A$2:$A$3000,0))="","",INDEX(EXTRATO!$H$2:$H$3000,MATCH($A1448,EXTRATO!$A$2:$A$3000,0))))</f>
        <v/>
      </c>
      <c r="J1448" s="86" t="str">
        <f t="shared" si="31"/>
        <v/>
      </c>
      <c r="K1448" s="86" t="str">
        <f>IF(AND(A1448="",D1448="",E1448="",F1448=""),"",IF(D1448="","SEM CATEGORIA",IF(E1448="","SEM SUBCATEGORIA",IF(COUNTIFS(CADASTROS!$L$7:$L$93,D1448,CADASTROS!$D$7:$D$93,E1448)=0,"INCOMPATÍVEL","OK"))))</f>
        <v/>
      </c>
    </row>
    <row r="1449" spans="1:11" ht="30" hidden="1" customHeight="1" x14ac:dyDescent="0.25">
      <c r="A1449" s="86" t="str">
        <f>IF(COUNTIF(EXTRATO!$A$2:$A$3000,"BAN-01306")=0,"","BAN-01306")</f>
        <v/>
      </c>
      <c r="B1449" s="85" t="str">
        <f>IF(A1449="","",IF(INDEX(EXTRATO!$C$2:$C$3000,MATCH($A1449,EXTRATO!$A$2:$A$3000,0))="","",INDEX(EXTRATO!$C$2:$C$3000,MATCH($A1449,EXTRATO!$A$2:$A$3000,0))))</f>
        <v/>
      </c>
      <c r="C1449" s="86" t="str">
        <f t="shared" si="32"/>
        <v/>
      </c>
      <c r="D1449" s="81"/>
      <c r="E1449" s="79"/>
      <c r="F1449" s="80" t="str">
        <f>IF(A1449="","",SUMIF(EXTRATO!$A$2:$A$3000,$A1449,EXTRATO!$J$2:$J$3000)+SUMIF(EXTRATO!$A$2:$A$3000,$A1449,EXTRATO!$K$2:$K$3000)+SUMIF(EXTRATO!$A$2:$A$3000,$A1449,EXTRATO!$L$2:$L$3000)+SUMIF(EXTRATO!$A$2:$A$3000,$A1449,EXTRATO!$M$2:$M$3000))</f>
        <v/>
      </c>
      <c r="G1449" s="81" t="str">
        <f>IF(A1449="","",IF(INDEX(EXTRATO!$G$2:$G$3000,MATCH($A1449,EXTRATO!$A$2:$A$3000,0))="","",INDEX(EXTRATO!$G$2:$G$3000,MATCH($A1449,EXTRATO!$A$2:$A$3000,0))))</f>
        <v/>
      </c>
      <c r="H1449" s="86" t="str">
        <f>IF(A1449="","",IF(INDEX(EXTRATO!$F$2:$F$3000,MATCH($A1449,EXTRATO!$A$2:$A$3000,0))="","",INDEX(EXTRATO!$F$2:$F$3000,MATCH($A1449,EXTRATO!$A$2:$A$3000,0))))</f>
        <v/>
      </c>
      <c r="I1449" s="88" t="str">
        <f>IF(A1449="","",IF(INDEX(EXTRATO!$H$2:$H$3000,MATCH($A1449,EXTRATO!$A$2:$A$3000,0))="","",INDEX(EXTRATO!$H$2:$H$3000,MATCH($A1449,EXTRATO!$A$2:$A$3000,0))))</f>
        <v/>
      </c>
      <c r="J1449" s="86" t="str">
        <f t="shared" si="31"/>
        <v/>
      </c>
      <c r="K1449" s="86" t="str">
        <f>IF(AND(A1449="",D1449="",E1449="",F1449=""),"",IF(D1449="","SEM CATEGORIA",IF(E1449="","SEM SUBCATEGORIA",IF(COUNTIFS(CADASTROS!$L$7:$L$93,D1449,CADASTROS!$D$7:$D$93,E1449)=0,"INCOMPATÍVEL","OK"))))</f>
        <v/>
      </c>
    </row>
    <row r="1450" spans="1:11" ht="30" hidden="1" customHeight="1" x14ac:dyDescent="0.25">
      <c r="A1450" s="86" t="str">
        <f>IF(COUNTIF(EXTRATO!$A$2:$A$3000,"BAN-01307")=0,"","BAN-01307")</f>
        <v/>
      </c>
      <c r="B1450" s="85" t="str">
        <f>IF(A1450="","",IF(INDEX(EXTRATO!$C$2:$C$3000,MATCH($A1450,EXTRATO!$A$2:$A$3000,0))="","",INDEX(EXTRATO!$C$2:$C$3000,MATCH($A1450,EXTRATO!$A$2:$A$3000,0))))</f>
        <v/>
      </c>
      <c r="C1450" s="86" t="str">
        <f t="shared" si="32"/>
        <v/>
      </c>
      <c r="D1450" s="81"/>
      <c r="E1450" s="79"/>
      <c r="F1450" s="80" t="str">
        <f>IF(A1450="","",SUMIF(EXTRATO!$A$2:$A$3000,$A1450,EXTRATO!$J$2:$J$3000)+SUMIF(EXTRATO!$A$2:$A$3000,$A1450,EXTRATO!$K$2:$K$3000)+SUMIF(EXTRATO!$A$2:$A$3000,$A1450,EXTRATO!$L$2:$L$3000)+SUMIF(EXTRATO!$A$2:$A$3000,$A1450,EXTRATO!$M$2:$M$3000))</f>
        <v/>
      </c>
      <c r="G1450" s="81" t="str">
        <f>IF(A1450="","",IF(INDEX(EXTRATO!$G$2:$G$3000,MATCH($A1450,EXTRATO!$A$2:$A$3000,0))="","",INDEX(EXTRATO!$G$2:$G$3000,MATCH($A1450,EXTRATO!$A$2:$A$3000,0))))</f>
        <v/>
      </c>
      <c r="H1450" s="86" t="str">
        <f>IF(A1450="","",IF(INDEX(EXTRATO!$F$2:$F$3000,MATCH($A1450,EXTRATO!$A$2:$A$3000,0))="","",INDEX(EXTRATO!$F$2:$F$3000,MATCH($A1450,EXTRATO!$A$2:$A$3000,0))))</f>
        <v/>
      </c>
      <c r="I1450" s="88" t="str">
        <f>IF(A1450="","",IF(INDEX(EXTRATO!$H$2:$H$3000,MATCH($A1450,EXTRATO!$A$2:$A$3000,0))="","",INDEX(EXTRATO!$H$2:$H$3000,MATCH($A1450,EXTRATO!$A$2:$A$3000,0))))</f>
        <v/>
      </c>
      <c r="J1450" s="86" t="str">
        <f t="shared" si="31"/>
        <v/>
      </c>
      <c r="K1450" s="86" t="str">
        <f>IF(AND(A1450="",D1450="",E1450="",F1450=""),"",IF(D1450="","SEM CATEGORIA",IF(E1450="","SEM SUBCATEGORIA",IF(COUNTIFS(CADASTROS!$L$7:$L$93,D1450,CADASTROS!$D$7:$D$93,E1450)=0,"INCOMPATÍVEL","OK"))))</f>
        <v/>
      </c>
    </row>
    <row r="1451" spans="1:11" ht="30" hidden="1" customHeight="1" x14ac:dyDescent="0.25">
      <c r="A1451" s="86" t="str">
        <f>IF(COUNTIF(EXTRATO!$A$2:$A$3000,"BAN-01308")=0,"","BAN-01308")</f>
        <v/>
      </c>
      <c r="B1451" s="85" t="str">
        <f>IF(A1451="","",IF(INDEX(EXTRATO!$C$2:$C$3000,MATCH($A1451,EXTRATO!$A$2:$A$3000,0))="","",INDEX(EXTRATO!$C$2:$C$3000,MATCH($A1451,EXTRATO!$A$2:$A$3000,0))))</f>
        <v/>
      </c>
      <c r="C1451" s="86" t="str">
        <f t="shared" si="32"/>
        <v/>
      </c>
      <c r="D1451" s="81"/>
      <c r="E1451" s="79"/>
      <c r="F1451" s="80" t="str">
        <f>IF(A1451="","",SUMIF(EXTRATO!$A$2:$A$3000,$A1451,EXTRATO!$J$2:$J$3000)+SUMIF(EXTRATO!$A$2:$A$3000,$A1451,EXTRATO!$K$2:$K$3000)+SUMIF(EXTRATO!$A$2:$A$3000,$A1451,EXTRATO!$L$2:$L$3000)+SUMIF(EXTRATO!$A$2:$A$3000,$A1451,EXTRATO!$M$2:$M$3000))</f>
        <v/>
      </c>
      <c r="G1451" s="81" t="str">
        <f>IF(A1451="","",IF(INDEX(EXTRATO!$G$2:$G$3000,MATCH($A1451,EXTRATO!$A$2:$A$3000,0))="","",INDEX(EXTRATO!$G$2:$G$3000,MATCH($A1451,EXTRATO!$A$2:$A$3000,0))))</f>
        <v/>
      </c>
      <c r="H1451" s="86" t="str">
        <f>IF(A1451="","",IF(INDEX(EXTRATO!$F$2:$F$3000,MATCH($A1451,EXTRATO!$A$2:$A$3000,0))="","",INDEX(EXTRATO!$F$2:$F$3000,MATCH($A1451,EXTRATO!$A$2:$A$3000,0))))</f>
        <v/>
      </c>
      <c r="I1451" s="88" t="str">
        <f>IF(A1451="","",IF(INDEX(EXTRATO!$H$2:$H$3000,MATCH($A1451,EXTRATO!$A$2:$A$3000,0))="","",INDEX(EXTRATO!$H$2:$H$3000,MATCH($A1451,EXTRATO!$A$2:$A$3000,0))))</f>
        <v/>
      </c>
      <c r="J1451" s="86" t="str">
        <f t="shared" si="31"/>
        <v/>
      </c>
      <c r="K1451" s="86" t="str">
        <f>IF(AND(A1451="",D1451="",E1451="",F1451=""),"",IF(D1451="","SEM CATEGORIA",IF(E1451="","SEM SUBCATEGORIA",IF(COUNTIFS(CADASTROS!$L$7:$L$93,D1451,CADASTROS!$D$7:$D$93,E1451)=0,"INCOMPATÍVEL","OK"))))</f>
        <v/>
      </c>
    </row>
    <row r="1452" spans="1:11" ht="30" hidden="1" customHeight="1" x14ac:dyDescent="0.25">
      <c r="A1452" s="86" t="str">
        <f>IF(COUNTIF(EXTRATO!$A$2:$A$3000,"BAN-01309")=0,"","BAN-01309")</f>
        <v/>
      </c>
      <c r="B1452" s="85" t="str">
        <f>IF(A1452="","",IF(INDEX(EXTRATO!$C$2:$C$3000,MATCH($A1452,EXTRATO!$A$2:$A$3000,0))="","",INDEX(EXTRATO!$C$2:$C$3000,MATCH($A1452,EXTRATO!$A$2:$A$3000,0))))</f>
        <v/>
      </c>
      <c r="C1452" s="86" t="str">
        <f t="shared" si="32"/>
        <v/>
      </c>
      <c r="D1452" s="81"/>
      <c r="E1452" s="79"/>
      <c r="F1452" s="80" t="str">
        <f>IF(A1452="","",SUMIF(EXTRATO!$A$2:$A$3000,$A1452,EXTRATO!$J$2:$J$3000)+SUMIF(EXTRATO!$A$2:$A$3000,$A1452,EXTRATO!$K$2:$K$3000)+SUMIF(EXTRATO!$A$2:$A$3000,$A1452,EXTRATO!$L$2:$L$3000)+SUMIF(EXTRATO!$A$2:$A$3000,$A1452,EXTRATO!$M$2:$M$3000))</f>
        <v/>
      </c>
      <c r="G1452" s="81" t="str">
        <f>IF(A1452="","",IF(INDEX(EXTRATO!$G$2:$G$3000,MATCH($A1452,EXTRATO!$A$2:$A$3000,0))="","",INDEX(EXTRATO!$G$2:$G$3000,MATCH($A1452,EXTRATO!$A$2:$A$3000,0))))</f>
        <v/>
      </c>
      <c r="H1452" s="86" t="str">
        <f>IF(A1452="","",IF(INDEX(EXTRATO!$F$2:$F$3000,MATCH($A1452,EXTRATO!$A$2:$A$3000,0))="","",INDEX(EXTRATO!$F$2:$F$3000,MATCH($A1452,EXTRATO!$A$2:$A$3000,0))))</f>
        <v/>
      </c>
      <c r="I1452" s="88" t="str">
        <f>IF(A1452="","",IF(INDEX(EXTRATO!$H$2:$H$3000,MATCH($A1452,EXTRATO!$A$2:$A$3000,0))="","",INDEX(EXTRATO!$H$2:$H$3000,MATCH($A1452,EXTRATO!$A$2:$A$3000,0))))</f>
        <v/>
      </c>
      <c r="J1452" s="86" t="str">
        <f t="shared" ref="J1452:J1515" si="33">IF(A1452="","",IF(K1452="OK","MANUAL","PENDENTE"))</f>
        <v/>
      </c>
      <c r="K1452" s="86" t="str">
        <f>IF(AND(A1452="",D1452="",E1452="",F1452=""),"",IF(D1452="","SEM CATEGORIA",IF(E1452="","SEM SUBCATEGORIA",IF(COUNTIFS(CADASTROS!$L$7:$L$93,D1452,CADASTROS!$D$7:$D$93,E1452)=0,"INCOMPATÍVEL","OK"))))</f>
        <v/>
      </c>
    </row>
    <row r="1453" spans="1:11" ht="30" hidden="1" customHeight="1" x14ac:dyDescent="0.25">
      <c r="A1453" s="86" t="str">
        <f>IF(COUNTIF(EXTRATO!$A$2:$A$3000,"BAN-01310")=0,"","BAN-01310")</f>
        <v/>
      </c>
      <c r="B1453" s="85" t="str">
        <f>IF(A1453="","",IF(INDEX(EXTRATO!$C$2:$C$3000,MATCH($A1453,EXTRATO!$A$2:$A$3000,0))="","",INDEX(EXTRATO!$C$2:$C$3000,MATCH($A1453,EXTRATO!$A$2:$A$3000,0))))</f>
        <v/>
      </c>
      <c r="C1453" s="86" t="str">
        <f t="shared" si="32"/>
        <v/>
      </c>
      <c r="D1453" s="81"/>
      <c r="E1453" s="79"/>
      <c r="F1453" s="80" t="str">
        <f>IF(A1453="","",SUMIF(EXTRATO!$A$2:$A$3000,$A1453,EXTRATO!$J$2:$J$3000)+SUMIF(EXTRATO!$A$2:$A$3000,$A1453,EXTRATO!$K$2:$K$3000)+SUMIF(EXTRATO!$A$2:$A$3000,$A1453,EXTRATO!$L$2:$L$3000)+SUMIF(EXTRATO!$A$2:$A$3000,$A1453,EXTRATO!$M$2:$M$3000))</f>
        <v/>
      </c>
      <c r="G1453" s="81" t="str">
        <f>IF(A1453="","",IF(INDEX(EXTRATO!$G$2:$G$3000,MATCH($A1453,EXTRATO!$A$2:$A$3000,0))="","",INDEX(EXTRATO!$G$2:$G$3000,MATCH($A1453,EXTRATO!$A$2:$A$3000,0))))</f>
        <v/>
      </c>
      <c r="H1453" s="86" t="str">
        <f>IF(A1453="","",IF(INDEX(EXTRATO!$F$2:$F$3000,MATCH($A1453,EXTRATO!$A$2:$A$3000,0))="","",INDEX(EXTRATO!$F$2:$F$3000,MATCH($A1453,EXTRATO!$A$2:$A$3000,0))))</f>
        <v/>
      </c>
      <c r="I1453" s="88" t="str">
        <f>IF(A1453="","",IF(INDEX(EXTRATO!$H$2:$H$3000,MATCH($A1453,EXTRATO!$A$2:$A$3000,0))="","",INDEX(EXTRATO!$H$2:$H$3000,MATCH($A1453,EXTRATO!$A$2:$A$3000,0))))</f>
        <v/>
      </c>
      <c r="J1453" s="86" t="str">
        <f t="shared" si="33"/>
        <v/>
      </c>
      <c r="K1453" s="86" t="str">
        <f>IF(AND(A1453="",D1453="",E1453="",F1453=""),"",IF(D1453="","SEM CATEGORIA",IF(E1453="","SEM SUBCATEGORIA",IF(COUNTIFS(CADASTROS!$L$7:$L$93,D1453,CADASTROS!$D$7:$D$93,E1453)=0,"INCOMPATÍVEL","OK"))))</f>
        <v/>
      </c>
    </row>
    <row r="1454" spans="1:11" ht="30" hidden="1" customHeight="1" x14ac:dyDescent="0.25">
      <c r="A1454" s="86" t="str">
        <f>IF(COUNTIF(EXTRATO!$A$2:$A$3000,"BAN-01311")=0,"","BAN-01311")</f>
        <v/>
      </c>
      <c r="B1454" s="85" t="str">
        <f>IF(A1454="","",IF(INDEX(EXTRATO!$C$2:$C$3000,MATCH($A1454,EXTRATO!$A$2:$A$3000,0))="","",INDEX(EXTRATO!$C$2:$C$3000,MATCH($A1454,EXTRATO!$A$2:$A$3000,0))))</f>
        <v/>
      </c>
      <c r="C1454" s="86" t="str">
        <f t="shared" si="32"/>
        <v/>
      </c>
      <c r="D1454" s="81"/>
      <c r="E1454" s="79"/>
      <c r="F1454" s="80" t="str">
        <f>IF(A1454="","",SUMIF(EXTRATO!$A$2:$A$3000,$A1454,EXTRATO!$J$2:$J$3000)+SUMIF(EXTRATO!$A$2:$A$3000,$A1454,EXTRATO!$K$2:$K$3000)+SUMIF(EXTRATO!$A$2:$A$3000,$A1454,EXTRATO!$L$2:$L$3000)+SUMIF(EXTRATO!$A$2:$A$3000,$A1454,EXTRATO!$M$2:$M$3000))</f>
        <v/>
      </c>
      <c r="G1454" s="81" t="str">
        <f>IF(A1454="","",IF(INDEX(EXTRATO!$G$2:$G$3000,MATCH($A1454,EXTRATO!$A$2:$A$3000,0))="","",INDEX(EXTRATO!$G$2:$G$3000,MATCH($A1454,EXTRATO!$A$2:$A$3000,0))))</f>
        <v/>
      </c>
      <c r="H1454" s="86" t="str">
        <f>IF(A1454="","",IF(INDEX(EXTRATO!$F$2:$F$3000,MATCH($A1454,EXTRATO!$A$2:$A$3000,0))="","",INDEX(EXTRATO!$F$2:$F$3000,MATCH($A1454,EXTRATO!$A$2:$A$3000,0))))</f>
        <v/>
      </c>
      <c r="I1454" s="88" t="str">
        <f>IF(A1454="","",IF(INDEX(EXTRATO!$H$2:$H$3000,MATCH($A1454,EXTRATO!$A$2:$A$3000,0))="","",INDEX(EXTRATO!$H$2:$H$3000,MATCH($A1454,EXTRATO!$A$2:$A$3000,0))))</f>
        <v/>
      </c>
      <c r="J1454" s="86" t="str">
        <f t="shared" si="33"/>
        <v/>
      </c>
      <c r="K1454" s="86" t="str">
        <f>IF(AND(A1454="",D1454="",E1454="",F1454=""),"",IF(D1454="","SEM CATEGORIA",IF(E1454="","SEM SUBCATEGORIA",IF(COUNTIFS(CADASTROS!$L$7:$L$93,D1454,CADASTROS!$D$7:$D$93,E1454)=0,"INCOMPATÍVEL","OK"))))</f>
        <v/>
      </c>
    </row>
    <row r="1455" spans="1:11" ht="30" hidden="1" customHeight="1" x14ac:dyDescent="0.25">
      <c r="A1455" s="86" t="str">
        <f>IF(COUNTIF(EXTRATO!$A$2:$A$3000,"BAN-01312")=0,"","BAN-01312")</f>
        <v/>
      </c>
      <c r="B1455" s="85" t="str">
        <f>IF(A1455="","",IF(INDEX(EXTRATO!$C$2:$C$3000,MATCH($A1455,EXTRATO!$A$2:$A$3000,0))="","",INDEX(EXTRATO!$C$2:$C$3000,MATCH($A1455,EXTRATO!$A$2:$A$3000,0))))</f>
        <v/>
      </c>
      <c r="C1455" s="86" t="str">
        <f t="shared" si="32"/>
        <v/>
      </c>
      <c r="D1455" s="81"/>
      <c r="E1455" s="79"/>
      <c r="F1455" s="80" t="str">
        <f>IF(A1455="","",SUMIF(EXTRATO!$A$2:$A$3000,$A1455,EXTRATO!$J$2:$J$3000)+SUMIF(EXTRATO!$A$2:$A$3000,$A1455,EXTRATO!$K$2:$K$3000)+SUMIF(EXTRATO!$A$2:$A$3000,$A1455,EXTRATO!$L$2:$L$3000)+SUMIF(EXTRATO!$A$2:$A$3000,$A1455,EXTRATO!$M$2:$M$3000))</f>
        <v/>
      </c>
      <c r="G1455" s="81" t="str">
        <f>IF(A1455="","",IF(INDEX(EXTRATO!$G$2:$G$3000,MATCH($A1455,EXTRATO!$A$2:$A$3000,0))="","",INDEX(EXTRATO!$G$2:$G$3000,MATCH($A1455,EXTRATO!$A$2:$A$3000,0))))</f>
        <v/>
      </c>
      <c r="H1455" s="86" t="str">
        <f>IF(A1455="","",IF(INDEX(EXTRATO!$F$2:$F$3000,MATCH($A1455,EXTRATO!$A$2:$A$3000,0))="","",INDEX(EXTRATO!$F$2:$F$3000,MATCH($A1455,EXTRATO!$A$2:$A$3000,0))))</f>
        <v/>
      </c>
      <c r="I1455" s="88" t="str">
        <f>IF(A1455="","",IF(INDEX(EXTRATO!$H$2:$H$3000,MATCH($A1455,EXTRATO!$A$2:$A$3000,0))="","",INDEX(EXTRATO!$H$2:$H$3000,MATCH($A1455,EXTRATO!$A$2:$A$3000,0))))</f>
        <v/>
      </c>
      <c r="J1455" s="86" t="str">
        <f t="shared" si="33"/>
        <v/>
      </c>
      <c r="K1455" s="86" t="str">
        <f>IF(AND(A1455="",D1455="",E1455="",F1455=""),"",IF(D1455="","SEM CATEGORIA",IF(E1455="","SEM SUBCATEGORIA",IF(COUNTIFS(CADASTROS!$L$7:$L$93,D1455,CADASTROS!$D$7:$D$93,E1455)=0,"INCOMPATÍVEL","OK"))))</f>
        <v/>
      </c>
    </row>
    <row r="1456" spans="1:11" ht="30" hidden="1" customHeight="1" x14ac:dyDescent="0.25">
      <c r="A1456" s="86" t="str">
        <f>IF(COUNTIF(EXTRATO!$A$2:$A$3000,"BAN-01313")=0,"","BAN-01313")</f>
        <v/>
      </c>
      <c r="B1456" s="85" t="str">
        <f>IF(A1456="","",IF(INDEX(EXTRATO!$C$2:$C$3000,MATCH($A1456,EXTRATO!$A$2:$A$3000,0))="","",INDEX(EXTRATO!$C$2:$C$3000,MATCH($A1456,EXTRATO!$A$2:$A$3000,0))))</f>
        <v/>
      </c>
      <c r="C1456" s="86" t="str">
        <f t="shared" si="32"/>
        <v/>
      </c>
      <c r="D1456" s="81"/>
      <c r="E1456" s="79"/>
      <c r="F1456" s="80" t="str">
        <f>IF(A1456="","",SUMIF(EXTRATO!$A$2:$A$3000,$A1456,EXTRATO!$J$2:$J$3000)+SUMIF(EXTRATO!$A$2:$A$3000,$A1456,EXTRATO!$K$2:$K$3000)+SUMIF(EXTRATO!$A$2:$A$3000,$A1456,EXTRATO!$L$2:$L$3000)+SUMIF(EXTRATO!$A$2:$A$3000,$A1456,EXTRATO!$M$2:$M$3000))</f>
        <v/>
      </c>
      <c r="G1456" s="81" t="str">
        <f>IF(A1456="","",IF(INDEX(EXTRATO!$G$2:$G$3000,MATCH($A1456,EXTRATO!$A$2:$A$3000,0))="","",INDEX(EXTRATO!$G$2:$G$3000,MATCH($A1456,EXTRATO!$A$2:$A$3000,0))))</f>
        <v/>
      </c>
      <c r="H1456" s="86" t="str">
        <f>IF(A1456="","",IF(INDEX(EXTRATO!$F$2:$F$3000,MATCH($A1456,EXTRATO!$A$2:$A$3000,0))="","",INDEX(EXTRATO!$F$2:$F$3000,MATCH($A1456,EXTRATO!$A$2:$A$3000,0))))</f>
        <v/>
      </c>
      <c r="I1456" s="88" t="str">
        <f>IF(A1456="","",IF(INDEX(EXTRATO!$H$2:$H$3000,MATCH($A1456,EXTRATO!$A$2:$A$3000,0))="","",INDEX(EXTRATO!$H$2:$H$3000,MATCH($A1456,EXTRATO!$A$2:$A$3000,0))))</f>
        <v/>
      </c>
      <c r="J1456" s="86" t="str">
        <f t="shared" si="33"/>
        <v/>
      </c>
      <c r="K1456" s="86" t="str">
        <f>IF(AND(A1456="",D1456="",E1456="",F1456=""),"",IF(D1456="","SEM CATEGORIA",IF(E1456="","SEM SUBCATEGORIA",IF(COUNTIFS(CADASTROS!$L$7:$L$93,D1456,CADASTROS!$D$7:$D$93,E1456)=0,"INCOMPATÍVEL","OK"))))</f>
        <v/>
      </c>
    </row>
    <row r="1457" spans="1:11" ht="30" hidden="1" customHeight="1" x14ac:dyDescent="0.25">
      <c r="A1457" s="86" t="str">
        <f>IF(COUNTIF(EXTRATO!$A$2:$A$3000,"BAN-01314")=0,"","BAN-01314")</f>
        <v/>
      </c>
      <c r="B1457" s="85" t="str">
        <f>IF(A1457="","",IF(INDEX(EXTRATO!$C$2:$C$3000,MATCH($A1457,EXTRATO!$A$2:$A$3000,0))="","",INDEX(EXTRATO!$C$2:$C$3000,MATCH($A1457,EXTRATO!$A$2:$A$3000,0))))</f>
        <v/>
      </c>
      <c r="C1457" s="86" t="str">
        <f t="shared" si="32"/>
        <v/>
      </c>
      <c r="D1457" s="81"/>
      <c r="E1457" s="79"/>
      <c r="F1457" s="80" t="str">
        <f>IF(A1457="","",SUMIF(EXTRATO!$A$2:$A$3000,$A1457,EXTRATO!$J$2:$J$3000)+SUMIF(EXTRATO!$A$2:$A$3000,$A1457,EXTRATO!$K$2:$K$3000)+SUMIF(EXTRATO!$A$2:$A$3000,$A1457,EXTRATO!$L$2:$L$3000)+SUMIF(EXTRATO!$A$2:$A$3000,$A1457,EXTRATO!$M$2:$M$3000))</f>
        <v/>
      </c>
      <c r="G1457" s="81" t="str">
        <f>IF(A1457="","",IF(INDEX(EXTRATO!$G$2:$G$3000,MATCH($A1457,EXTRATO!$A$2:$A$3000,0))="","",INDEX(EXTRATO!$G$2:$G$3000,MATCH($A1457,EXTRATO!$A$2:$A$3000,0))))</f>
        <v/>
      </c>
      <c r="H1457" s="86" t="str">
        <f>IF(A1457="","",IF(INDEX(EXTRATO!$F$2:$F$3000,MATCH($A1457,EXTRATO!$A$2:$A$3000,0))="","",INDEX(EXTRATO!$F$2:$F$3000,MATCH($A1457,EXTRATO!$A$2:$A$3000,0))))</f>
        <v/>
      </c>
      <c r="I1457" s="88" t="str">
        <f>IF(A1457="","",IF(INDEX(EXTRATO!$H$2:$H$3000,MATCH($A1457,EXTRATO!$A$2:$A$3000,0))="","",INDEX(EXTRATO!$H$2:$H$3000,MATCH($A1457,EXTRATO!$A$2:$A$3000,0))))</f>
        <v/>
      </c>
      <c r="J1457" s="86" t="str">
        <f t="shared" si="33"/>
        <v/>
      </c>
      <c r="K1457" s="86" t="str">
        <f>IF(AND(A1457="",D1457="",E1457="",F1457=""),"",IF(D1457="","SEM CATEGORIA",IF(E1457="","SEM SUBCATEGORIA",IF(COUNTIFS(CADASTROS!$L$7:$L$93,D1457,CADASTROS!$D$7:$D$93,E1457)=0,"INCOMPATÍVEL","OK"))))</f>
        <v/>
      </c>
    </row>
    <row r="1458" spans="1:11" ht="30" hidden="1" customHeight="1" x14ac:dyDescent="0.25">
      <c r="A1458" s="86" t="str">
        <f>IF(COUNTIF(EXTRATO!$A$2:$A$3000,"BAN-01315")=0,"","BAN-01315")</f>
        <v/>
      </c>
      <c r="B1458" s="85" t="str">
        <f>IF(A1458="","",IF(INDEX(EXTRATO!$C$2:$C$3000,MATCH($A1458,EXTRATO!$A$2:$A$3000,0))="","",INDEX(EXTRATO!$C$2:$C$3000,MATCH($A1458,EXTRATO!$A$2:$A$3000,0))))</f>
        <v/>
      </c>
      <c r="C1458" s="86" t="str">
        <f t="shared" si="32"/>
        <v/>
      </c>
      <c r="D1458" s="81"/>
      <c r="E1458" s="79"/>
      <c r="F1458" s="80" t="str">
        <f>IF(A1458="","",SUMIF(EXTRATO!$A$2:$A$3000,$A1458,EXTRATO!$J$2:$J$3000)+SUMIF(EXTRATO!$A$2:$A$3000,$A1458,EXTRATO!$K$2:$K$3000)+SUMIF(EXTRATO!$A$2:$A$3000,$A1458,EXTRATO!$L$2:$L$3000)+SUMIF(EXTRATO!$A$2:$A$3000,$A1458,EXTRATO!$M$2:$M$3000))</f>
        <v/>
      </c>
      <c r="G1458" s="81" t="str">
        <f>IF(A1458="","",IF(INDEX(EXTRATO!$G$2:$G$3000,MATCH($A1458,EXTRATO!$A$2:$A$3000,0))="","",INDEX(EXTRATO!$G$2:$G$3000,MATCH($A1458,EXTRATO!$A$2:$A$3000,0))))</f>
        <v/>
      </c>
      <c r="H1458" s="86" t="str">
        <f>IF(A1458="","",IF(INDEX(EXTRATO!$F$2:$F$3000,MATCH($A1458,EXTRATO!$A$2:$A$3000,0))="","",INDEX(EXTRATO!$F$2:$F$3000,MATCH($A1458,EXTRATO!$A$2:$A$3000,0))))</f>
        <v/>
      </c>
      <c r="I1458" s="88" t="str">
        <f>IF(A1458="","",IF(INDEX(EXTRATO!$H$2:$H$3000,MATCH($A1458,EXTRATO!$A$2:$A$3000,0))="","",INDEX(EXTRATO!$H$2:$H$3000,MATCH($A1458,EXTRATO!$A$2:$A$3000,0))))</f>
        <v/>
      </c>
      <c r="J1458" s="86" t="str">
        <f t="shared" si="33"/>
        <v/>
      </c>
      <c r="K1458" s="86" t="str">
        <f>IF(AND(A1458="",D1458="",E1458="",F1458=""),"",IF(D1458="","SEM CATEGORIA",IF(E1458="","SEM SUBCATEGORIA",IF(COUNTIFS(CADASTROS!$L$7:$L$93,D1458,CADASTROS!$D$7:$D$93,E1458)=0,"INCOMPATÍVEL","OK"))))</f>
        <v/>
      </c>
    </row>
    <row r="1459" spans="1:11" ht="30" hidden="1" customHeight="1" x14ac:dyDescent="0.25">
      <c r="A1459" s="86" t="str">
        <f>IF(COUNTIF(EXTRATO!$A$2:$A$3000,"BAN-01316")=0,"","BAN-01316")</f>
        <v/>
      </c>
      <c r="B1459" s="85" t="str">
        <f>IF(A1459="","",IF(INDEX(EXTRATO!$C$2:$C$3000,MATCH($A1459,EXTRATO!$A$2:$A$3000,0))="","",INDEX(EXTRATO!$C$2:$C$3000,MATCH($A1459,EXTRATO!$A$2:$A$3000,0))))</f>
        <v/>
      </c>
      <c r="C1459" s="86" t="str">
        <f t="shared" si="32"/>
        <v/>
      </c>
      <c r="D1459" s="81"/>
      <c r="E1459" s="79"/>
      <c r="F1459" s="80" t="str">
        <f>IF(A1459="","",SUMIF(EXTRATO!$A$2:$A$3000,$A1459,EXTRATO!$J$2:$J$3000)+SUMIF(EXTRATO!$A$2:$A$3000,$A1459,EXTRATO!$K$2:$K$3000)+SUMIF(EXTRATO!$A$2:$A$3000,$A1459,EXTRATO!$L$2:$L$3000)+SUMIF(EXTRATO!$A$2:$A$3000,$A1459,EXTRATO!$M$2:$M$3000))</f>
        <v/>
      </c>
      <c r="G1459" s="81" t="str">
        <f>IF(A1459="","",IF(INDEX(EXTRATO!$G$2:$G$3000,MATCH($A1459,EXTRATO!$A$2:$A$3000,0))="","",INDEX(EXTRATO!$G$2:$G$3000,MATCH($A1459,EXTRATO!$A$2:$A$3000,0))))</f>
        <v/>
      </c>
      <c r="H1459" s="86" t="str">
        <f>IF(A1459="","",IF(INDEX(EXTRATO!$F$2:$F$3000,MATCH($A1459,EXTRATO!$A$2:$A$3000,0))="","",INDEX(EXTRATO!$F$2:$F$3000,MATCH($A1459,EXTRATO!$A$2:$A$3000,0))))</f>
        <v/>
      </c>
      <c r="I1459" s="88" t="str">
        <f>IF(A1459="","",IF(INDEX(EXTRATO!$H$2:$H$3000,MATCH($A1459,EXTRATO!$A$2:$A$3000,0))="","",INDEX(EXTRATO!$H$2:$H$3000,MATCH($A1459,EXTRATO!$A$2:$A$3000,0))))</f>
        <v/>
      </c>
      <c r="J1459" s="86" t="str">
        <f t="shared" si="33"/>
        <v/>
      </c>
      <c r="K1459" s="86" t="str">
        <f>IF(AND(A1459="",D1459="",E1459="",F1459=""),"",IF(D1459="","SEM CATEGORIA",IF(E1459="","SEM SUBCATEGORIA",IF(COUNTIFS(CADASTROS!$L$7:$L$93,D1459,CADASTROS!$D$7:$D$93,E1459)=0,"INCOMPATÍVEL","OK"))))</f>
        <v/>
      </c>
    </row>
    <row r="1460" spans="1:11" ht="30" hidden="1" customHeight="1" x14ac:dyDescent="0.25">
      <c r="A1460" s="86" t="str">
        <f>IF(COUNTIF(EXTRATO!$A$2:$A$3000,"BAN-01317")=0,"","BAN-01317")</f>
        <v/>
      </c>
      <c r="B1460" s="85" t="str">
        <f>IF(A1460="","",IF(INDEX(EXTRATO!$C$2:$C$3000,MATCH($A1460,EXTRATO!$A$2:$A$3000,0))="","",INDEX(EXTRATO!$C$2:$C$3000,MATCH($A1460,EXTRATO!$A$2:$A$3000,0))))</f>
        <v/>
      </c>
      <c r="C1460" s="86" t="str">
        <f t="shared" si="32"/>
        <v/>
      </c>
      <c r="D1460" s="81"/>
      <c r="E1460" s="79"/>
      <c r="F1460" s="80" t="str">
        <f>IF(A1460="","",SUMIF(EXTRATO!$A$2:$A$3000,$A1460,EXTRATO!$J$2:$J$3000)+SUMIF(EXTRATO!$A$2:$A$3000,$A1460,EXTRATO!$K$2:$K$3000)+SUMIF(EXTRATO!$A$2:$A$3000,$A1460,EXTRATO!$L$2:$L$3000)+SUMIF(EXTRATO!$A$2:$A$3000,$A1460,EXTRATO!$M$2:$M$3000))</f>
        <v/>
      </c>
      <c r="G1460" s="81" t="str">
        <f>IF(A1460="","",IF(INDEX(EXTRATO!$G$2:$G$3000,MATCH($A1460,EXTRATO!$A$2:$A$3000,0))="","",INDEX(EXTRATO!$G$2:$G$3000,MATCH($A1460,EXTRATO!$A$2:$A$3000,0))))</f>
        <v/>
      </c>
      <c r="H1460" s="86" t="str">
        <f>IF(A1460="","",IF(INDEX(EXTRATO!$F$2:$F$3000,MATCH($A1460,EXTRATO!$A$2:$A$3000,0))="","",INDEX(EXTRATO!$F$2:$F$3000,MATCH($A1460,EXTRATO!$A$2:$A$3000,0))))</f>
        <v/>
      </c>
      <c r="I1460" s="88" t="str">
        <f>IF(A1460="","",IF(INDEX(EXTRATO!$H$2:$H$3000,MATCH($A1460,EXTRATO!$A$2:$A$3000,0))="","",INDEX(EXTRATO!$H$2:$H$3000,MATCH($A1460,EXTRATO!$A$2:$A$3000,0))))</f>
        <v/>
      </c>
      <c r="J1460" s="86" t="str">
        <f t="shared" si="33"/>
        <v/>
      </c>
      <c r="K1460" s="86" t="str">
        <f>IF(AND(A1460="",D1460="",E1460="",F1460=""),"",IF(D1460="","SEM CATEGORIA",IF(E1460="","SEM SUBCATEGORIA",IF(COUNTIFS(CADASTROS!$L$7:$L$93,D1460,CADASTROS!$D$7:$D$93,E1460)=0,"INCOMPATÍVEL","OK"))))</f>
        <v/>
      </c>
    </row>
    <row r="1461" spans="1:11" ht="30" hidden="1" customHeight="1" x14ac:dyDescent="0.25">
      <c r="A1461" s="86" t="str">
        <f>IF(COUNTIF(EXTRATO!$A$2:$A$3000,"BAN-01318")=0,"","BAN-01318")</f>
        <v/>
      </c>
      <c r="B1461" s="85" t="str">
        <f>IF(A1461="","",IF(INDEX(EXTRATO!$C$2:$C$3000,MATCH($A1461,EXTRATO!$A$2:$A$3000,0))="","",INDEX(EXTRATO!$C$2:$C$3000,MATCH($A1461,EXTRATO!$A$2:$A$3000,0))))</f>
        <v/>
      </c>
      <c r="C1461" s="86" t="str">
        <f t="shared" si="32"/>
        <v/>
      </c>
      <c r="D1461" s="81"/>
      <c r="E1461" s="79"/>
      <c r="F1461" s="80" t="str">
        <f>IF(A1461="","",SUMIF(EXTRATO!$A$2:$A$3000,$A1461,EXTRATO!$J$2:$J$3000)+SUMIF(EXTRATO!$A$2:$A$3000,$A1461,EXTRATO!$K$2:$K$3000)+SUMIF(EXTRATO!$A$2:$A$3000,$A1461,EXTRATO!$L$2:$L$3000)+SUMIF(EXTRATO!$A$2:$A$3000,$A1461,EXTRATO!$M$2:$M$3000))</f>
        <v/>
      </c>
      <c r="G1461" s="81" t="str">
        <f>IF(A1461="","",IF(INDEX(EXTRATO!$G$2:$G$3000,MATCH($A1461,EXTRATO!$A$2:$A$3000,0))="","",INDEX(EXTRATO!$G$2:$G$3000,MATCH($A1461,EXTRATO!$A$2:$A$3000,0))))</f>
        <v/>
      </c>
      <c r="H1461" s="86" t="str">
        <f>IF(A1461="","",IF(INDEX(EXTRATO!$F$2:$F$3000,MATCH($A1461,EXTRATO!$A$2:$A$3000,0))="","",INDEX(EXTRATO!$F$2:$F$3000,MATCH($A1461,EXTRATO!$A$2:$A$3000,0))))</f>
        <v/>
      </c>
      <c r="I1461" s="88" t="str">
        <f>IF(A1461="","",IF(INDEX(EXTRATO!$H$2:$H$3000,MATCH($A1461,EXTRATO!$A$2:$A$3000,0))="","",INDEX(EXTRATO!$H$2:$H$3000,MATCH($A1461,EXTRATO!$A$2:$A$3000,0))))</f>
        <v/>
      </c>
      <c r="J1461" s="86" t="str">
        <f t="shared" si="33"/>
        <v/>
      </c>
      <c r="K1461" s="86" t="str">
        <f>IF(AND(A1461="",D1461="",E1461="",F1461=""),"",IF(D1461="","SEM CATEGORIA",IF(E1461="","SEM SUBCATEGORIA",IF(COUNTIFS(CADASTROS!$L$7:$L$93,D1461,CADASTROS!$D$7:$D$93,E1461)=0,"INCOMPATÍVEL","OK"))))</f>
        <v/>
      </c>
    </row>
    <row r="1462" spans="1:11" ht="30" hidden="1" customHeight="1" x14ac:dyDescent="0.25">
      <c r="A1462" s="86" t="str">
        <f>IF(COUNTIF(EXTRATO!$A$2:$A$3000,"BAN-01319")=0,"","BAN-01319")</f>
        <v/>
      </c>
      <c r="B1462" s="85" t="str">
        <f>IF(A1462="","",IF(INDEX(EXTRATO!$C$2:$C$3000,MATCH($A1462,EXTRATO!$A$2:$A$3000,0))="","",INDEX(EXTRATO!$C$2:$C$3000,MATCH($A1462,EXTRATO!$A$2:$A$3000,0))))</f>
        <v/>
      </c>
      <c r="C1462" s="86" t="str">
        <f t="shared" si="32"/>
        <v/>
      </c>
      <c r="D1462" s="81"/>
      <c r="E1462" s="79"/>
      <c r="F1462" s="80" t="str">
        <f>IF(A1462="","",SUMIF(EXTRATO!$A$2:$A$3000,$A1462,EXTRATO!$J$2:$J$3000)+SUMIF(EXTRATO!$A$2:$A$3000,$A1462,EXTRATO!$K$2:$K$3000)+SUMIF(EXTRATO!$A$2:$A$3000,$A1462,EXTRATO!$L$2:$L$3000)+SUMIF(EXTRATO!$A$2:$A$3000,$A1462,EXTRATO!$M$2:$M$3000))</f>
        <v/>
      </c>
      <c r="G1462" s="81" t="str">
        <f>IF(A1462="","",IF(INDEX(EXTRATO!$G$2:$G$3000,MATCH($A1462,EXTRATO!$A$2:$A$3000,0))="","",INDEX(EXTRATO!$G$2:$G$3000,MATCH($A1462,EXTRATO!$A$2:$A$3000,0))))</f>
        <v/>
      </c>
      <c r="H1462" s="86" t="str">
        <f>IF(A1462="","",IF(INDEX(EXTRATO!$F$2:$F$3000,MATCH($A1462,EXTRATO!$A$2:$A$3000,0))="","",INDEX(EXTRATO!$F$2:$F$3000,MATCH($A1462,EXTRATO!$A$2:$A$3000,0))))</f>
        <v/>
      </c>
      <c r="I1462" s="88" t="str">
        <f>IF(A1462="","",IF(INDEX(EXTRATO!$H$2:$H$3000,MATCH($A1462,EXTRATO!$A$2:$A$3000,0))="","",INDEX(EXTRATO!$H$2:$H$3000,MATCH($A1462,EXTRATO!$A$2:$A$3000,0))))</f>
        <v/>
      </c>
      <c r="J1462" s="86" t="str">
        <f t="shared" si="33"/>
        <v/>
      </c>
      <c r="K1462" s="86" t="str">
        <f>IF(AND(A1462="",D1462="",E1462="",F1462=""),"",IF(D1462="","SEM CATEGORIA",IF(E1462="","SEM SUBCATEGORIA",IF(COUNTIFS(CADASTROS!$L$7:$L$93,D1462,CADASTROS!$D$7:$D$93,E1462)=0,"INCOMPATÍVEL","OK"))))</f>
        <v/>
      </c>
    </row>
    <row r="1463" spans="1:11" ht="30" hidden="1" customHeight="1" x14ac:dyDescent="0.25">
      <c r="A1463" s="86" t="str">
        <f>IF(COUNTIF(EXTRATO!$A$2:$A$3000,"BAN-01320")=0,"","BAN-01320")</f>
        <v/>
      </c>
      <c r="B1463" s="85" t="str">
        <f>IF(A1463="","",IF(INDEX(EXTRATO!$C$2:$C$3000,MATCH($A1463,EXTRATO!$A$2:$A$3000,0))="","",INDEX(EXTRATO!$C$2:$C$3000,MATCH($A1463,EXTRATO!$A$2:$A$3000,0))))</f>
        <v/>
      </c>
      <c r="C1463" s="86" t="str">
        <f t="shared" si="32"/>
        <v/>
      </c>
      <c r="D1463" s="81"/>
      <c r="E1463" s="79"/>
      <c r="F1463" s="80" t="str">
        <f>IF(A1463="","",SUMIF(EXTRATO!$A$2:$A$3000,$A1463,EXTRATO!$J$2:$J$3000)+SUMIF(EXTRATO!$A$2:$A$3000,$A1463,EXTRATO!$K$2:$K$3000)+SUMIF(EXTRATO!$A$2:$A$3000,$A1463,EXTRATO!$L$2:$L$3000)+SUMIF(EXTRATO!$A$2:$A$3000,$A1463,EXTRATO!$M$2:$M$3000))</f>
        <v/>
      </c>
      <c r="G1463" s="81" t="str">
        <f>IF(A1463="","",IF(INDEX(EXTRATO!$G$2:$G$3000,MATCH($A1463,EXTRATO!$A$2:$A$3000,0))="","",INDEX(EXTRATO!$G$2:$G$3000,MATCH($A1463,EXTRATO!$A$2:$A$3000,0))))</f>
        <v/>
      </c>
      <c r="H1463" s="86" t="str">
        <f>IF(A1463="","",IF(INDEX(EXTRATO!$F$2:$F$3000,MATCH($A1463,EXTRATO!$A$2:$A$3000,0))="","",INDEX(EXTRATO!$F$2:$F$3000,MATCH($A1463,EXTRATO!$A$2:$A$3000,0))))</f>
        <v/>
      </c>
      <c r="I1463" s="88" t="str">
        <f>IF(A1463="","",IF(INDEX(EXTRATO!$H$2:$H$3000,MATCH($A1463,EXTRATO!$A$2:$A$3000,0))="","",INDEX(EXTRATO!$H$2:$H$3000,MATCH($A1463,EXTRATO!$A$2:$A$3000,0))))</f>
        <v/>
      </c>
      <c r="J1463" s="86" t="str">
        <f t="shared" si="33"/>
        <v/>
      </c>
      <c r="K1463" s="86" t="str">
        <f>IF(AND(A1463="",D1463="",E1463="",F1463=""),"",IF(D1463="","SEM CATEGORIA",IF(E1463="","SEM SUBCATEGORIA",IF(COUNTIFS(CADASTROS!$L$7:$L$93,D1463,CADASTROS!$D$7:$D$93,E1463)=0,"INCOMPATÍVEL","OK"))))</f>
        <v/>
      </c>
    </row>
    <row r="1464" spans="1:11" ht="30" hidden="1" customHeight="1" x14ac:dyDescent="0.25">
      <c r="A1464" s="86" t="str">
        <f>IF(COUNTIF(EXTRATO!$A$2:$A$3000,"BAN-01321")=0,"","BAN-01321")</f>
        <v/>
      </c>
      <c r="B1464" s="85" t="str">
        <f>IF(A1464="","",IF(INDEX(EXTRATO!$C$2:$C$3000,MATCH($A1464,EXTRATO!$A$2:$A$3000,0))="","",INDEX(EXTRATO!$C$2:$C$3000,MATCH($A1464,EXTRATO!$A$2:$A$3000,0))))</f>
        <v/>
      </c>
      <c r="C1464" s="86" t="str">
        <f t="shared" si="32"/>
        <v/>
      </c>
      <c r="D1464" s="81"/>
      <c r="E1464" s="79"/>
      <c r="F1464" s="80" t="str">
        <f>IF(A1464="","",SUMIF(EXTRATO!$A$2:$A$3000,$A1464,EXTRATO!$J$2:$J$3000)+SUMIF(EXTRATO!$A$2:$A$3000,$A1464,EXTRATO!$K$2:$K$3000)+SUMIF(EXTRATO!$A$2:$A$3000,$A1464,EXTRATO!$L$2:$L$3000)+SUMIF(EXTRATO!$A$2:$A$3000,$A1464,EXTRATO!$M$2:$M$3000))</f>
        <v/>
      </c>
      <c r="G1464" s="81" t="str">
        <f>IF(A1464="","",IF(INDEX(EXTRATO!$G$2:$G$3000,MATCH($A1464,EXTRATO!$A$2:$A$3000,0))="","",INDEX(EXTRATO!$G$2:$G$3000,MATCH($A1464,EXTRATO!$A$2:$A$3000,0))))</f>
        <v/>
      </c>
      <c r="H1464" s="86" t="str">
        <f>IF(A1464="","",IF(INDEX(EXTRATO!$F$2:$F$3000,MATCH($A1464,EXTRATO!$A$2:$A$3000,0))="","",INDEX(EXTRATO!$F$2:$F$3000,MATCH($A1464,EXTRATO!$A$2:$A$3000,0))))</f>
        <v/>
      </c>
      <c r="I1464" s="88" t="str">
        <f>IF(A1464="","",IF(INDEX(EXTRATO!$H$2:$H$3000,MATCH($A1464,EXTRATO!$A$2:$A$3000,0))="","",INDEX(EXTRATO!$H$2:$H$3000,MATCH($A1464,EXTRATO!$A$2:$A$3000,0))))</f>
        <v/>
      </c>
      <c r="J1464" s="86" t="str">
        <f t="shared" si="33"/>
        <v/>
      </c>
      <c r="K1464" s="86" t="str">
        <f>IF(AND(A1464="",D1464="",E1464="",F1464=""),"",IF(D1464="","SEM CATEGORIA",IF(E1464="","SEM SUBCATEGORIA",IF(COUNTIFS(CADASTROS!$L$7:$L$93,D1464,CADASTROS!$D$7:$D$93,E1464)=0,"INCOMPATÍVEL","OK"))))</f>
        <v/>
      </c>
    </row>
    <row r="1465" spans="1:11" ht="30" hidden="1" customHeight="1" x14ac:dyDescent="0.25">
      <c r="A1465" s="86" t="str">
        <f>IF(COUNTIF(EXTRATO!$A$2:$A$3000,"BAN-01322")=0,"","BAN-01322")</f>
        <v/>
      </c>
      <c r="B1465" s="85" t="str">
        <f>IF(A1465="","",IF(INDEX(EXTRATO!$C$2:$C$3000,MATCH($A1465,EXTRATO!$A$2:$A$3000,0))="","",INDEX(EXTRATO!$C$2:$C$3000,MATCH($A1465,EXTRATO!$A$2:$A$3000,0))))</f>
        <v/>
      </c>
      <c r="C1465" s="86" t="str">
        <f t="shared" si="32"/>
        <v/>
      </c>
      <c r="D1465" s="81"/>
      <c r="E1465" s="79"/>
      <c r="F1465" s="80" t="str">
        <f>IF(A1465="","",SUMIF(EXTRATO!$A$2:$A$3000,$A1465,EXTRATO!$J$2:$J$3000)+SUMIF(EXTRATO!$A$2:$A$3000,$A1465,EXTRATO!$K$2:$K$3000)+SUMIF(EXTRATO!$A$2:$A$3000,$A1465,EXTRATO!$L$2:$L$3000)+SUMIF(EXTRATO!$A$2:$A$3000,$A1465,EXTRATO!$M$2:$M$3000))</f>
        <v/>
      </c>
      <c r="G1465" s="81" t="str">
        <f>IF(A1465="","",IF(INDEX(EXTRATO!$G$2:$G$3000,MATCH($A1465,EXTRATO!$A$2:$A$3000,0))="","",INDEX(EXTRATO!$G$2:$G$3000,MATCH($A1465,EXTRATO!$A$2:$A$3000,0))))</f>
        <v/>
      </c>
      <c r="H1465" s="86" t="str">
        <f>IF(A1465="","",IF(INDEX(EXTRATO!$F$2:$F$3000,MATCH($A1465,EXTRATO!$A$2:$A$3000,0))="","",INDEX(EXTRATO!$F$2:$F$3000,MATCH($A1465,EXTRATO!$A$2:$A$3000,0))))</f>
        <v/>
      </c>
      <c r="I1465" s="88" t="str">
        <f>IF(A1465="","",IF(INDEX(EXTRATO!$H$2:$H$3000,MATCH($A1465,EXTRATO!$A$2:$A$3000,0))="","",INDEX(EXTRATO!$H$2:$H$3000,MATCH($A1465,EXTRATO!$A$2:$A$3000,0))))</f>
        <v/>
      </c>
      <c r="J1465" s="86" t="str">
        <f t="shared" si="33"/>
        <v/>
      </c>
      <c r="K1465" s="86" t="str">
        <f>IF(AND(A1465="",D1465="",E1465="",F1465=""),"",IF(D1465="","SEM CATEGORIA",IF(E1465="","SEM SUBCATEGORIA",IF(COUNTIFS(CADASTROS!$L$7:$L$93,D1465,CADASTROS!$D$7:$D$93,E1465)=0,"INCOMPATÍVEL","OK"))))</f>
        <v/>
      </c>
    </row>
    <row r="1466" spans="1:11" ht="30" hidden="1" customHeight="1" x14ac:dyDescent="0.25">
      <c r="A1466" s="86" t="str">
        <f>IF(COUNTIF(EXTRATO!$A$2:$A$3000,"BAN-01323")=0,"","BAN-01323")</f>
        <v/>
      </c>
      <c r="B1466" s="85" t="str">
        <f>IF(A1466="","",IF(INDEX(EXTRATO!$C$2:$C$3000,MATCH($A1466,EXTRATO!$A$2:$A$3000,0))="","",INDEX(EXTRATO!$C$2:$C$3000,MATCH($A1466,EXTRATO!$A$2:$A$3000,0))))</f>
        <v/>
      </c>
      <c r="C1466" s="86" t="str">
        <f t="shared" si="32"/>
        <v/>
      </c>
      <c r="D1466" s="81"/>
      <c r="E1466" s="79"/>
      <c r="F1466" s="80" t="str">
        <f>IF(A1466="","",SUMIF(EXTRATO!$A$2:$A$3000,$A1466,EXTRATO!$J$2:$J$3000)+SUMIF(EXTRATO!$A$2:$A$3000,$A1466,EXTRATO!$K$2:$K$3000)+SUMIF(EXTRATO!$A$2:$A$3000,$A1466,EXTRATO!$L$2:$L$3000)+SUMIF(EXTRATO!$A$2:$A$3000,$A1466,EXTRATO!$M$2:$M$3000))</f>
        <v/>
      </c>
      <c r="G1466" s="81" t="str">
        <f>IF(A1466="","",IF(INDEX(EXTRATO!$G$2:$G$3000,MATCH($A1466,EXTRATO!$A$2:$A$3000,0))="","",INDEX(EXTRATO!$G$2:$G$3000,MATCH($A1466,EXTRATO!$A$2:$A$3000,0))))</f>
        <v/>
      </c>
      <c r="H1466" s="86" t="str">
        <f>IF(A1466="","",IF(INDEX(EXTRATO!$F$2:$F$3000,MATCH($A1466,EXTRATO!$A$2:$A$3000,0))="","",INDEX(EXTRATO!$F$2:$F$3000,MATCH($A1466,EXTRATO!$A$2:$A$3000,0))))</f>
        <v/>
      </c>
      <c r="I1466" s="88" t="str">
        <f>IF(A1466="","",IF(INDEX(EXTRATO!$H$2:$H$3000,MATCH($A1466,EXTRATO!$A$2:$A$3000,0))="","",INDEX(EXTRATO!$H$2:$H$3000,MATCH($A1466,EXTRATO!$A$2:$A$3000,0))))</f>
        <v/>
      </c>
      <c r="J1466" s="86" t="str">
        <f t="shared" si="33"/>
        <v/>
      </c>
      <c r="K1466" s="86" t="str">
        <f>IF(AND(A1466="",D1466="",E1466="",F1466=""),"",IF(D1466="","SEM CATEGORIA",IF(E1466="","SEM SUBCATEGORIA",IF(COUNTIFS(CADASTROS!$L$7:$L$93,D1466,CADASTROS!$D$7:$D$93,E1466)=0,"INCOMPATÍVEL","OK"))))</f>
        <v/>
      </c>
    </row>
    <row r="1467" spans="1:11" ht="30" hidden="1" customHeight="1" x14ac:dyDescent="0.25">
      <c r="A1467" s="86" t="str">
        <f>IF(COUNTIF(EXTRATO!$A$2:$A$3000,"BAN-01324")=0,"","BAN-01324")</f>
        <v/>
      </c>
      <c r="B1467" s="85" t="str">
        <f>IF(A1467="","",IF(INDEX(EXTRATO!$C$2:$C$3000,MATCH($A1467,EXTRATO!$A$2:$A$3000,0))="","",INDEX(EXTRATO!$C$2:$C$3000,MATCH($A1467,EXTRATO!$A$2:$A$3000,0))))</f>
        <v/>
      </c>
      <c r="C1467" s="86" t="str">
        <f t="shared" si="32"/>
        <v/>
      </c>
      <c r="D1467" s="81"/>
      <c r="E1467" s="79"/>
      <c r="F1467" s="80" t="str">
        <f>IF(A1467="","",SUMIF(EXTRATO!$A$2:$A$3000,$A1467,EXTRATO!$J$2:$J$3000)+SUMIF(EXTRATO!$A$2:$A$3000,$A1467,EXTRATO!$K$2:$K$3000)+SUMIF(EXTRATO!$A$2:$A$3000,$A1467,EXTRATO!$L$2:$L$3000)+SUMIF(EXTRATO!$A$2:$A$3000,$A1467,EXTRATO!$M$2:$M$3000))</f>
        <v/>
      </c>
      <c r="G1467" s="81" t="str">
        <f>IF(A1467="","",IF(INDEX(EXTRATO!$G$2:$G$3000,MATCH($A1467,EXTRATO!$A$2:$A$3000,0))="","",INDEX(EXTRATO!$G$2:$G$3000,MATCH($A1467,EXTRATO!$A$2:$A$3000,0))))</f>
        <v/>
      </c>
      <c r="H1467" s="86" t="str">
        <f>IF(A1467="","",IF(INDEX(EXTRATO!$F$2:$F$3000,MATCH($A1467,EXTRATO!$A$2:$A$3000,0))="","",INDEX(EXTRATO!$F$2:$F$3000,MATCH($A1467,EXTRATO!$A$2:$A$3000,0))))</f>
        <v/>
      </c>
      <c r="I1467" s="88" t="str">
        <f>IF(A1467="","",IF(INDEX(EXTRATO!$H$2:$H$3000,MATCH($A1467,EXTRATO!$A$2:$A$3000,0))="","",INDEX(EXTRATO!$H$2:$H$3000,MATCH($A1467,EXTRATO!$A$2:$A$3000,0))))</f>
        <v/>
      </c>
      <c r="J1467" s="86" t="str">
        <f t="shared" si="33"/>
        <v/>
      </c>
      <c r="K1467" s="86" t="str">
        <f>IF(AND(A1467="",D1467="",E1467="",F1467=""),"",IF(D1467="","SEM CATEGORIA",IF(E1467="","SEM SUBCATEGORIA",IF(COUNTIFS(CADASTROS!$L$7:$L$93,D1467,CADASTROS!$D$7:$D$93,E1467)=0,"INCOMPATÍVEL","OK"))))</f>
        <v/>
      </c>
    </row>
    <row r="1468" spans="1:11" ht="30" hidden="1" customHeight="1" x14ac:dyDescent="0.25">
      <c r="A1468" s="86" t="str">
        <f>IF(COUNTIF(EXTRATO!$A$2:$A$3000,"BAN-01325")=0,"","BAN-01325")</f>
        <v/>
      </c>
      <c r="B1468" s="85" t="str">
        <f>IF(A1468="","",IF(INDEX(EXTRATO!$C$2:$C$3000,MATCH($A1468,EXTRATO!$A$2:$A$3000,0))="","",INDEX(EXTRATO!$C$2:$C$3000,MATCH($A1468,EXTRATO!$A$2:$A$3000,0))))</f>
        <v/>
      </c>
      <c r="C1468" s="86" t="str">
        <f t="shared" si="32"/>
        <v/>
      </c>
      <c r="D1468" s="81"/>
      <c r="E1468" s="79"/>
      <c r="F1468" s="80" t="str">
        <f>IF(A1468="","",SUMIF(EXTRATO!$A$2:$A$3000,$A1468,EXTRATO!$J$2:$J$3000)+SUMIF(EXTRATO!$A$2:$A$3000,$A1468,EXTRATO!$K$2:$K$3000)+SUMIF(EXTRATO!$A$2:$A$3000,$A1468,EXTRATO!$L$2:$L$3000)+SUMIF(EXTRATO!$A$2:$A$3000,$A1468,EXTRATO!$M$2:$M$3000))</f>
        <v/>
      </c>
      <c r="G1468" s="81" t="str">
        <f>IF(A1468="","",IF(INDEX(EXTRATO!$G$2:$G$3000,MATCH($A1468,EXTRATO!$A$2:$A$3000,0))="","",INDEX(EXTRATO!$G$2:$G$3000,MATCH($A1468,EXTRATO!$A$2:$A$3000,0))))</f>
        <v/>
      </c>
      <c r="H1468" s="86" t="str">
        <f>IF(A1468="","",IF(INDEX(EXTRATO!$F$2:$F$3000,MATCH($A1468,EXTRATO!$A$2:$A$3000,0))="","",INDEX(EXTRATO!$F$2:$F$3000,MATCH($A1468,EXTRATO!$A$2:$A$3000,0))))</f>
        <v/>
      </c>
      <c r="I1468" s="88" t="str">
        <f>IF(A1468="","",IF(INDEX(EXTRATO!$H$2:$H$3000,MATCH($A1468,EXTRATO!$A$2:$A$3000,0))="","",INDEX(EXTRATO!$H$2:$H$3000,MATCH($A1468,EXTRATO!$A$2:$A$3000,0))))</f>
        <v/>
      </c>
      <c r="J1468" s="86" t="str">
        <f t="shared" si="33"/>
        <v/>
      </c>
      <c r="K1468" s="86" t="str">
        <f>IF(AND(A1468="",D1468="",E1468="",F1468=""),"",IF(D1468="","SEM CATEGORIA",IF(E1468="","SEM SUBCATEGORIA",IF(COUNTIFS(CADASTROS!$L$7:$L$93,D1468,CADASTROS!$D$7:$D$93,E1468)=0,"INCOMPATÍVEL","OK"))))</f>
        <v/>
      </c>
    </row>
    <row r="1469" spans="1:11" ht="30" hidden="1" customHeight="1" x14ac:dyDescent="0.25">
      <c r="A1469" s="86" t="str">
        <f>IF(COUNTIF(EXTRATO!$A$2:$A$3000,"BAN-01326")=0,"","BAN-01326")</f>
        <v/>
      </c>
      <c r="B1469" s="85" t="str">
        <f>IF(A1469="","",IF(INDEX(EXTRATO!$C$2:$C$3000,MATCH($A1469,EXTRATO!$A$2:$A$3000,0))="","",INDEX(EXTRATO!$C$2:$C$3000,MATCH($A1469,EXTRATO!$A$2:$A$3000,0))))</f>
        <v/>
      </c>
      <c r="C1469" s="86" t="str">
        <f t="shared" si="32"/>
        <v/>
      </c>
      <c r="D1469" s="81"/>
      <c r="E1469" s="79"/>
      <c r="F1469" s="80" t="str">
        <f>IF(A1469="","",SUMIF(EXTRATO!$A$2:$A$3000,$A1469,EXTRATO!$J$2:$J$3000)+SUMIF(EXTRATO!$A$2:$A$3000,$A1469,EXTRATO!$K$2:$K$3000)+SUMIF(EXTRATO!$A$2:$A$3000,$A1469,EXTRATO!$L$2:$L$3000)+SUMIF(EXTRATO!$A$2:$A$3000,$A1469,EXTRATO!$M$2:$M$3000))</f>
        <v/>
      </c>
      <c r="G1469" s="81" t="str">
        <f>IF(A1469="","",IF(INDEX(EXTRATO!$G$2:$G$3000,MATCH($A1469,EXTRATO!$A$2:$A$3000,0))="","",INDEX(EXTRATO!$G$2:$G$3000,MATCH($A1469,EXTRATO!$A$2:$A$3000,0))))</f>
        <v/>
      </c>
      <c r="H1469" s="86" t="str">
        <f>IF(A1469="","",IF(INDEX(EXTRATO!$F$2:$F$3000,MATCH($A1469,EXTRATO!$A$2:$A$3000,0))="","",INDEX(EXTRATO!$F$2:$F$3000,MATCH($A1469,EXTRATO!$A$2:$A$3000,0))))</f>
        <v/>
      </c>
      <c r="I1469" s="88" t="str">
        <f>IF(A1469="","",IF(INDEX(EXTRATO!$H$2:$H$3000,MATCH($A1469,EXTRATO!$A$2:$A$3000,0))="","",INDEX(EXTRATO!$H$2:$H$3000,MATCH($A1469,EXTRATO!$A$2:$A$3000,0))))</f>
        <v/>
      </c>
      <c r="J1469" s="86" t="str">
        <f t="shared" si="33"/>
        <v/>
      </c>
      <c r="K1469" s="86" t="str">
        <f>IF(AND(A1469="",D1469="",E1469="",F1469=""),"",IF(D1469="","SEM CATEGORIA",IF(E1469="","SEM SUBCATEGORIA",IF(COUNTIFS(CADASTROS!$L$7:$L$93,D1469,CADASTROS!$D$7:$D$93,E1469)=0,"INCOMPATÍVEL","OK"))))</f>
        <v/>
      </c>
    </row>
    <row r="1470" spans="1:11" ht="30" hidden="1" customHeight="1" x14ac:dyDescent="0.25">
      <c r="A1470" s="86" t="str">
        <f>IF(COUNTIF(EXTRATO!$A$2:$A$3000,"BAN-01327")=0,"","BAN-01327")</f>
        <v/>
      </c>
      <c r="B1470" s="85" t="str">
        <f>IF(A1470="","",IF(INDEX(EXTRATO!$C$2:$C$3000,MATCH($A1470,EXTRATO!$A$2:$A$3000,0))="","",INDEX(EXTRATO!$C$2:$C$3000,MATCH($A1470,EXTRATO!$A$2:$A$3000,0))))</f>
        <v/>
      </c>
      <c r="C1470" s="86" t="str">
        <f t="shared" si="32"/>
        <v/>
      </c>
      <c r="D1470" s="81"/>
      <c r="E1470" s="79"/>
      <c r="F1470" s="80" t="str">
        <f>IF(A1470="","",SUMIF(EXTRATO!$A$2:$A$3000,$A1470,EXTRATO!$J$2:$J$3000)+SUMIF(EXTRATO!$A$2:$A$3000,$A1470,EXTRATO!$K$2:$K$3000)+SUMIF(EXTRATO!$A$2:$A$3000,$A1470,EXTRATO!$L$2:$L$3000)+SUMIF(EXTRATO!$A$2:$A$3000,$A1470,EXTRATO!$M$2:$M$3000))</f>
        <v/>
      </c>
      <c r="G1470" s="81" t="str">
        <f>IF(A1470="","",IF(INDEX(EXTRATO!$G$2:$G$3000,MATCH($A1470,EXTRATO!$A$2:$A$3000,0))="","",INDEX(EXTRATO!$G$2:$G$3000,MATCH($A1470,EXTRATO!$A$2:$A$3000,0))))</f>
        <v/>
      </c>
      <c r="H1470" s="86" t="str">
        <f>IF(A1470="","",IF(INDEX(EXTRATO!$F$2:$F$3000,MATCH($A1470,EXTRATO!$A$2:$A$3000,0))="","",INDEX(EXTRATO!$F$2:$F$3000,MATCH($A1470,EXTRATO!$A$2:$A$3000,0))))</f>
        <v/>
      </c>
      <c r="I1470" s="88" t="str">
        <f>IF(A1470="","",IF(INDEX(EXTRATO!$H$2:$H$3000,MATCH($A1470,EXTRATO!$A$2:$A$3000,0))="","",INDEX(EXTRATO!$H$2:$H$3000,MATCH($A1470,EXTRATO!$A$2:$A$3000,0))))</f>
        <v/>
      </c>
      <c r="J1470" s="86" t="str">
        <f t="shared" si="33"/>
        <v/>
      </c>
      <c r="K1470" s="86" t="str">
        <f>IF(AND(A1470="",D1470="",E1470="",F1470=""),"",IF(D1470="","SEM CATEGORIA",IF(E1470="","SEM SUBCATEGORIA",IF(COUNTIFS(CADASTROS!$L$7:$L$93,D1470,CADASTROS!$D$7:$D$93,E1470)=0,"INCOMPATÍVEL","OK"))))</f>
        <v/>
      </c>
    </row>
    <row r="1471" spans="1:11" ht="30" hidden="1" customHeight="1" x14ac:dyDescent="0.25">
      <c r="A1471" s="86" t="str">
        <f>IF(COUNTIF(EXTRATO!$A$2:$A$3000,"BAN-01328")=0,"","BAN-01328")</f>
        <v/>
      </c>
      <c r="B1471" s="85" t="str">
        <f>IF(A1471="","",IF(INDEX(EXTRATO!$C$2:$C$3000,MATCH($A1471,EXTRATO!$A$2:$A$3000,0))="","",INDEX(EXTRATO!$C$2:$C$3000,MATCH($A1471,EXTRATO!$A$2:$A$3000,0))))</f>
        <v/>
      </c>
      <c r="C1471" s="86" t="str">
        <f t="shared" si="32"/>
        <v/>
      </c>
      <c r="D1471" s="81"/>
      <c r="E1471" s="79"/>
      <c r="F1471" s="80" t="str">
        <f>IF(A1471="","",SUMIF(EXTRATO!$A$2:$A$3000,$A1471,EXTRATO!$J$2:$J$3000)+SUMIF(EXTRATO!$A$2:$A$3000,$A1471,EXTRATO!$K$2:$K$3000)+SUMIF(EXTRATO!$A$2:$A$3000,$A1471,EXTRATO!$L$2:$L$3000)+SUMIF(EXTRATO!$A$2:$A$3000,$A1471,EXTRATO!$M$2:$M$3000))</f>
        <v/>
      </c>
      <c r="G1471" s="81" t="str">
        <f>IF(A1471="","",IF(INDEX(EXTRATO!$G$2:$G$3000,MATCH($A1471,EXTRATO!$A$2:$A$3000,0))="","",INDEX(EXTRATO!$G$2:$G$3000,MATCH($A1471,EXTRATO!$A$2:$A$3000,0))))</f>
        <v/>
      </c>
      <c r="H1471" s="86" t="str">
        <f>IF(A1471="","",IF(INDEX(EXTRATO!$F$2:$F$3000,MATCH($A1471,EXTRATO!$A$2:$A$3000,0))="","",INDEX(EXTRATO!$F$2:$F$3000,MATCH($A1471,EXTRATO!$A$2:$A$3000,0))))</f>
        <v/>
      </c>
      <c r="I1471" s="88" t="str">
        <f>IF(A1471="","",IF(INDEX(EXTRATO!$H$2:$H$3000,MATCH($A1471,EXTRATO!$A$2:$A$3000,0))="","",INDEX(EXTRATO!$H$2:$H$3000,MATCH($A1471,EXTRATO!$A$2:$A$3000,0))))</f>
        <v/>
      </c>
      <c r="J1471" s="86" t="str">
        <f t="shared" si="33"/>
        <v/>
      </c>
      <c r="K1471" s="86" t="str">
        <f>IF(AND(A1471="",D1471="",E1471="",F1471=""),"",IF(D1471="","SEM CATEGORIA",IF(E1471="","SEM SUBCATEGORIA",IF(COUNTIFS(CADASTROS!$L$7:$L$93,D1471,CADASTROS!$D$7:$D$93,E1471)=0,"INCOMPATÍVEL","OK"))))</f>
        <v/>
      </c>
    </row>
    <row r="1472" spans="1:11" ht="30" hidden="1" customHeight="1" x14ac:dyDescent="0.25">
      <c r="A1472" s="86" t="str">
        <f>IF(COUNTIF(EXTRATO!$A$2:$A$3000,"BAN-01329")=0,"","BAN-01329")</f>
        <v/>
      </c>
      <c r="B1472" s="85" t="str">
        <f>IF(A1472="","",IF(INDEX(EXTRATO!$C$2:$C$3000,MATCH($A1472,EXTRATO!$A$2:$A$3000,0))="","",INDEX(EXTRATO!$C$2:$C$3000,MATCH($A1472,EXTRATO!$A$2:$A$3000,0))))</f>
        <v/>
      </c>
      <c r="C1472" s="86" t="str">
        <f t="shared" si="32"/>
        <v/>
      </c>
      <c r="D1472" s="81"/>
      <c r="E1472" s="79"/>
      <c r="F1472" s="80" t="str">
        <f>IF(A1472="","",SUMIF(EXTRATO!$A$2:$A$3000,$A1472,EXTRATO!$J$2:$J$3000)+SUMIF(EXTRATO!$A$2:$A$3000,$A1472,EXTRATO!$K$2:$K$3000)+SUMIF(EXTRATO!$A$2:$A$3000,$A1472,EXTRATO!$L$2:$L$3000)+SUMIF(EXTRATO!$A$2:$A$3000,$A1472,EXTRATO!$M$2:$M$3000))</f>
        <v/>
      </c>
      <c r="G1472" s="81" t="str">
        <f>IF(A1472="","",IF(INDEX(EXTRATO!$G$2:$G$3000,MATCH($A1472,EXTRATO!$A$2:$A$3000,0))="","",INDEX(EXTRATO!$G$2:$G$3000,MATCH($A1472,EXTRATO!$A$2:$A$3000,0))))</f>
        <v/>
      </c>
      <c r="H1472" s="86" t="str">
        <f>IF(A1472="","",IF(INDEX(EXTRATO!$F$2:$F$3000,MATCH($A1472,EXTRATO!$A$2:$A$3000,0))="","",INDEX(EXTRATO!$F$2:$F$3000,MATCH($A1472,EXTRATO!$A$2:$A$3000,0))))</f>
        <v/>
      </c>
      <c r="I1472" s="88" t="str">
        <f>IF(A1472="","",IF(INDEX(EXTRATO!$H$2:$H$3000,MATCH($A1472,EXTRATO!$A$2:$A$3000,0))="","",INDEX(EXTRATO!$H$2:$H$3000,MATCH($A1472,EXTRATO!$A$2:$A$3000,0))))</f>
        <v/>
      </c>
      <c r="J1472" s="86" t="str">
        <f t="shared" si="33"/>
        <v/>
      </c>
      <c r="K1472" s="86" t="str">
        <f>IF(AND(A1472="",D1472="",E1472="",F1472=""),"",IF(D1472="","SEM CATEGORIA",IF(E1472="","SEM SUBCATEGORIA",IF(COUNTIFS(CADASTROS!$L$7:$L$93,D1472,CADASTROS!$D$7:$D$93,E1472)=0,"INCOMPATÍVEL","OK"))))</f>
        <v/>
      </c>
    </row>
    <row r="1473" spans="1:11" ht="30" hidden="1" customHeight="1" x14ac:dyDescent="0.25">
      <c r="A1473" s="86" t="str">
        <f>IF(COUNTIF(EXTRATO!$A$2:$A$3000,"BAN-01330")=0,"","BAN-01330")</f>
        <v/>
      </c>
      <c r="B1473" s="85" t="str">
        <f>IF(A1473="","",IF(INDEX(EXTRATO!$C$2:$C$3000,MATCH($A1473,EXTRATO!$A$2:$A$3000,0))="","",INDEX(EXTRATO!$C$2:$C$3000,MATCH($A1473,EXTRATO!$A$2:$A$3000,0))))</f>
        <v/>
      </c>
      <c r="C1473" s="86" t="str">
        <f t="shared" si="32"/>
        <v/>
      </c>
      <c r="D1473" s="81"/>
      <c r="E1473" s="79"/>
      <c r="F1473" s="80" t="str">
        <f>IF(A1473="","",SUMIF(EXTRATO!$A$2:$A$3000,$A1473,EXTRATO!$J$2:$J$3000)+SUMIF(EXTRATO!$A$2:$A$3000,$A1473,EXTRATO!$K$2:$K$3000)+SUMIF(EXTRATO!$A$2:$A$3000,$A1473,EXTRATO!$L$2:$L$3000)+SUMIF(EXTRATO!$A$2:$A$3000,$A1473,EXTRATO!$M$2:$M$3000))</f>
        <v/>
      </c>
      <c r="G1473" s="81" t="str">
        <f>IF(A1473="","",IF(INDEX(EXTRATO!$G$2:$G$3000,MATCH($A1473,EXTRATO!$A$2:$A$3000,0))="","",INDEX(EXTRATO!$G$2:$G$3000,MATCH($A1473,EXTRATO!$A$2:$A$3000,0))))</f>
        <v/>
      </c>
      <c r="H1473" s="86" t="str">
        <f>IF(A1473="","",IF(INDEX(EXTRATO!$F$2:$F$3000,MATCH($A1473,EXTRATO!$A$2:$A$3000,0))="","",INDEX(EXTRATO!$F$2:$F$3000,MATCH($A1473,EXTRATO!$A$2:$A$3000,0))))</f>
        <v/>
      </c>
      <c r="I1473" s="88" t="str">
        <f>IF(A1473="","",IF(INDEX(EXTRATO!$H$2:$H$3000,MATCH($A1473,EXTRATO!$A$2:$A$3000,0))="","",INDEX(EXTRATO!$H$2:$H$3000,MATCH($A1473,EXTRATO!$A$2:$A$3000,0))))</f>
        <v/>
      </c>
      <c r="J1473" s="86" t="str">
        <f t="shared" si="33"/>
        <v/>
      </c>
      <c r="K1473" s="86" t="str">
        <f>IF(AND(A1473="",D1473="",E1473="",F1473=""),"",IF(D1473="","SEM CATEGORIA",IF(E1473="","SEM SUBCATEGORIA",IF(COUNTIFS(CADASTROS!$L$7:$L$93,D1473,CADASTROS!$D$7:$D$93,E1473)=0,"INCOMPATÍVEL","OK"))))</f>
        <v/>
      </c>
    </row>
    <row r="1474" spans="1:11" ht="30" hidden="1" customHeight="1" x14ac:dyDescent="0.25">
      <c r="A1474" s="86" t="str">
        <f>IF(COUNTIF(EXTRATO!$A$2:$A$3000,"BAN-01331")=0,"","BAN-01331")</f>
        <v/>
      </c>
      <c r="B1474" s="85" t="str">
        <f>IF(A1474="","",IF(INDEX(EXTRATO!$C$2:$C$3000,MATCH($A1474,EXTRATO!$A$2:$A$3000,0))="","",INDEX(EXTRATO!$C$2:$C$3000,MATCH($A1474,EXTRATO!$A$2:$A$3000,0))))</f>
        <v/>
      </c>
      <c r="C1474" s="86" t="str">
        <f t="shared" si="32"/>
        <v/>
      </c>
      <c r="D1474" s="81"/>
      <c r="E1474" s="79"/>
      <c r="F1474" s="80" t="str">
        <f>IF(A1474="","",SUMIF(EXTRATO!$A$2:$A$3000,$A1474,EXTRATO!$J$2:$J$3000)+SUMIF(EXTRATO!$A$2:$A$3000,$A1474,EXTRATO!$K$2:$K$3000)+SUMIF(EXTRATO!$A$2:$A$3000,$A1474,EXTRATO!$L$2:$L$3000)+SUMIF(EXTRATO!$A$2:$A$3000,$A1474,EXTRATO!$M$2:$M$3000))</f>
        <v/>
      </c>
      <c r="G1474" s="81" t="str">
        <f>IF(A1474="","",IF(INDEX(EXTRATO!$G$2:$G$3000,MATCH($A1474,EXTRATO!$A$2:$A$3000,0))="","",INDEX(EXTRATO!$G$2:$G$3000,MATCH($A1474,EXTRATO!$A$2:$A$3000,0))))</f>
        <v/>
      </c>
      <c r="H1474" s="86" t="str">
        <f>IF(A1474="","",IF(INDEX(EXTRATO!$F$2:$F$3000,MATCH($A1474,EXTRATO!$A$2:$A$3000,0))="","",INDEX(EXTRATO!$F$2:$F$3000,MATCH($A1474,EXTRATO!$A$2:$A$3000,0))))</f>
        <v/>
      </c>
      <c r="I1474" s="88" t="str">
        <f>IF(A1474="","",IF(INDEX(EXTRATO!$H$2:$H$3000,MATCH($A1474,EXTRATO!$A$2:$A$3000,0))="","",INDEX(EXTRATO!$H$2:$H$3000,MATCH($A1474,EXTRATO!$A$2:$A$3000,0))))</f>
        <v/>
      </c>
      <c r="J1474" s="86" t="str">
        <f t="shared" si="33"/>
        <v/>
      </c>
      <c r="K1474" s="86" t="str">
        <f>IF(AND(A1474="",D1474="",E1474="",F1474=""),"",IF(D1474="","SEM CATEGORIA",IF(E1474="","SEM SUBCATEGORIA",IF(COUNTIFS(CADASTROS!$L$7:$L$93,D1474,CADASTROS!$D$7:$D$93,E1474)=0,"INCOMPATÍVEL","OK"))))</f>
        <v/>
      </c>
    </row>
    <row r="1475" spans="1:11" ht="30" hidden="1" customHeight="1" x14ac:dyDescent="0.25">
      <c r="A1475" s="86" t="str">
        <f>IF(COUNTIF(EXTRATO!$A$2:$A$3000,"BAN-01332")=0,"","BAN-01332")</f>
        <v/>
      </c>
      <c r="B1475" s="85" t="str">
        <f>IF(A1475="","",IF(INDEX(EXTRATO!$C$2:$C$3000,MATCH($A1475,EXTRATO!$A$2:$A$3000,0))="","",INDEX(EXTRATO!$C$2:$C$3000,MATCH($A1475,EXTRATO!$A$2:$A$3000,0))))</f>
        <v/>
      </c>
      <c r="C1475" s="86" t="str">
        <f t="shared" si="32"/>
        <v/>
      </c>
      <c r="D1475" s="81"/>
      <c r="E1475" s="79"/>
      <c r="F1475" s="80" t="str">
        <f>IF(A1475="","",SUMIF(EXTRATO!$A$2:$A$3000,$A1475,EXTRATO!$J$2:$J$3000)+SUMIF(EXTRATO!$A$2:$A$3000,$A1475,EXTRATO!$K$2:$K$3000)+SUMIF(EXTRATO!$A$2:$A$3000,$A1475,EXTRATO!$L$2:$L$3000)+SUMIF(EXTRATO!$A$2:$A$3000,$A1475,EXTRATO!$M$2:$M$3000))</f>
        <v/>
      </c>
      <c r="G1475" s="81" t="str">
        <f>IF(A1475="","",IF(INDEX(EXTRATO!$G$2:$G$3000,MATCH($A1475,EXTRATO!$A$2:$A$3000,0))="","",INDEX(EXTRATO!$G$2:$G$3000,MATCH($A1475,EXTRATO!$A$2:$A$3000,0))))</f>
        <v/>
      </c>
      <c r="H1475" s="86" t="str">
        <f>IF(A1475="","",IF(INDEX(EXTRATO!$F$2:$F$3000,MATCH($A1475,EXTRATO!$A$2:$A$3000,0))="","",INDEX(EXTRATO!$F$2:$F$3000,MATCH($A1475,EXTRATO!$A$2:$A$3000,0))))</f>
        <v/>
      </c>
      <c r="I1475" s="88" t="str">
        <f>IF(A1475="","",IF(INDEX(EXTRATO!$H$2:$H$3000,MATCH($A1475,EXTRATO!$A$2:$A$3000,0))="","",INDEX(EXTRATO!$H$2:$H$3000,MATCH($A1475,EXTRATO!$A$2:$A$3000,0))))</f>
        <v/>
      </c>
      <c r="J1475" s="86" t="str">
        <f t="shared" si="33"/>
        <v/>
      </c>
      <c r="K1475" s="86" t="str">
        <f>IF(AND(A1475="",D1475="",E1475="",F1475=""),"",IF(D1475="","SEM CATEGORIA",IF(E1475="","SEM SUBCATEGORIA",IF(COUNTIFS(CADASTROS!$L$7:$L$93,D1475,CADASTROS!$D$7:$D$93,E1475)=0,"INCOMPATÍVEL","OK"))))</f>
        <v/>
      </c>
    </row>
    <row r="1476" spans="1:11" ht="30" hidden="1" customHeight="1" x14ac:dyDescent="0.25">
      <c r="A1476" s="86" t="str">
        <f>IF(COUNTIF(EXTRATO!$A$2:$A$3000,"BAN-01333")=0,"","BAN-01333")</f>
        <v/>
      </c>
      <c r="B1476" s="85" t="str">
        <f>IF(A1476="","",IF(INDEX(EXTRATO!$C$2:$C$3000,MATCH($A1476,EXTRATO!$A$2:$A$3000,0))="","",INDEX(EXTRATO!$C$2:$C$3000,MATCH($A1476,EXTRATO!$A$2:$A$3000,0))))</f>
        <v/>
      </c>
      <c r="C1476" s="86" t="str">
        <f t="shared" si="32"/>
        <v/>
      </c>
      <c r="D1476" s="81"/>
      <c r="E1476" s="79"/>
      <c r="F1476" s="80" t="str">
        <f>IF(A1476="","",SUMIF(EXTRATO!$A$2:$A$3000,$A1476,EXTRATO!$J$2:$J$3000)+SUMIF(EXTRATO!$A$2:$A$3000,$A1476,EXTRATO!$K$2:$K$3000)+SUMIF(EXTRATO!$A$2:$A$3000,$A1476,EXTRATO!$L$2:$L$3000)+SUMIF(EXTRATO!$A$2:$A$3000,$A1476,EXTRATO!$M$2:$M$3000))</f>
        <v/>
      </c>
      <c r="G1476" s="81" t="str">
        <f>IF(A1476="","",IF(INDEX(EXTRATO!$G$2:$G$3000,MATCH($A1476,EXTRATO!$A$2:$A$3000,0))="","",INDEX(EXTRATO!$G$2:$G$3000,MATCH($A1476,EXTRATO!$A$2:$A$3000,0))))</f>
        <v/>
      </c>
      <c r="H1476" s="86" t="str">
        <f>IF(A1476="","",IF(INDEX(EXTRATO!$F$2:$F$3000,MATCH($A1476,EXTRATO!$A$2:$A$3000,0))="","",INDEX(EXTRATO!$F$2:$F$3000,MATCH($A1476,EXTRATO!$A$2:$A$3000,0))))</f>
        <v/>
      </c>
      <c r="I1476" s="88" t="str">
        <f>IF(A1476="","",IF(INDEX(EXTRATO!$H$2:$H$3000,MATCH($A1476,EXTRATO!$A$2:$A$3000,0))="","",INDEX(EXTRATO!$H$2:$H$3000,MATCH($A1476,EXTRATO!$A$2:$A$3000,0))))</f>
        <v/>
      </c>
      <c r="J1476" s="86" t="str">
        <f t="shared" si="33"/>
        <v/>
      </c>
      <c r="K1476" s="86" t="str">
        <f>IF(AND(A1476="",D1476="",E1476="",F1476=""),"",IF(D1476="","SEM CATEGORIA",IF(E1476="","SEM SUBCATEGORIA",IF(COUNTIFS(CADASTROS!$L$7:$L$93,D1476,CADASTROS!$D$7:$D$93,E1476)=0,"INCOMPATÍVEL","OK"))))</f>
        <v/>
      </c>
    </row>
    <row r="1477" spans="1:11" ht="30" hidden="1" customHeight="1" x14ac:dyDescent="0.25">
      <c r="A1477" s="86" t="str">
        <f>IF(COUNTIF(EXTRATO!$A$2:$A$3000,"BAN-01334")=0,"","BAN-01334")</f>
        <v/>
      </c>
      <c r="B1477" s="85" t="str">
        <f>IF(A1477="","",IF(INDEX(EXTRATO!$C$2:$C$3000,MATCH($A1477,EXTRATO!$A$2:$A$3000,0))="","",INDEX(EXTRATO!$C$2:$C$3000,MATCH($A1477,EXTRATO!$A$2:$A$3000,0))))</f>
        <v/>
      </c>
      <c r="C1477" s="86" t="str">
        <f t="shared" si="32"/>
        <v/>
      </c>
      <c r="D1477" s="81"/>
      <c r="E1477" s="79"/>
      <c r="F1477" s="80" t="str">
        <f>IF(A1477="","",SUMIF(EXTRATO!$A$2:$A$3000,$A1477,EXTRATO!$J$2:$J$3000)+SUMIF(EXTRATO!$A$2:$A$3000,$A1477,EXTRATO!$K$2:$K$3000)+SUMIF(EXTRATO!$A$2:$A$3000,$A1477,EXTRATO!$L$2:$L$3000)+SUMIF(EXTRATO!$A$2:$A$3000,$A1477,EXTRATO!$M$2:$M$3000))</f>
        <v/>
      </c>
      <c r="G1477" s="81" t="str">
        <f>IF(A1477="","",IF(INDEX(EXTRATO!$G$2:$G$3000,MATCH($A1477,EXTRATO!$A$2:$A$3000,0))="","",INDEX(EXTRATO!$G$2:$G$3000,MATCH($A1477,EXTRATO!$A$2:$A$3000,0))))</f>
        <v/>
      </c>
      <c r="H1477" s="86" t="str">
        <f>IF(A1477="","",IF(INDEX(EXTRATO!$F$2:$F$3000,MATCH($A1477,EXTRATO!$A$2:$A$3000,0))="","",INDEX(EXTRATO!$F$2:$F$3000,MATCH($A1477,EXTRATO!$A$2:$A$3000,0))))</f>
        <v/>
      </c>
      <c r="I1477" s="88" t="str">
        <f>IF(A1477="","",IF(INDEX(EXTRATO!$H$2:$H$3000,MATCH($A1477,EXTRATO!$A$2:$A$3000,0))="","",INDEX(EXTRATO!$H$2:$H$3000,MATCH($A1477,EXTRATO!$A$2:$A$3000,0))))</f>
        <v/>
      </c>
      <c r="J1477" s="86" t="str">
        <f t="shared" si="33"/>
        <v/>
      </c>
      <c r="K1477" s="86" t="str">
        <f>IF(AND(A1477="",D1477="",E1477="",F1477=""),"",IF(D1477="","SEM CATEGORIA",IF(E1477="","SEM SUBCATEGORIA",IF(COUNTIFS(CADASTROS!$L$7:$L$93,D1477,CADASTROS!$D$7:$D$93,E1477)=0,"INCOMPATÍVEL","OK"))))</f>
        <v/>
      </c>
    </row>
    <row r="1478" spans="1:11" ht="30" hidden="1" customHeight="1" x14ac:dyDescent="0.25">
      <c r="A1478" s="86" t="str">
        <f>IF(COUNTIF(EXTRATO!$A$2:$A$3000,"BAN-01335")=0,"","BAN-01335")</f>
        <v/>
      </c>
      <c r="B1478" s="85" t="str">
        <f>IF(A1478="","",IF(INDEX(EXTRATO!$C$2:$C$3000,MATCH($A1478,EXTRATO!$A$2:$A$3000,0))="","",INDEX(EXTRATO!$C$2:$C$3000,MATCH($A1478,EXTRATO!$A$2:$A$3000,0))))</f>
        <v/>
      </c>
      <c r="C1478" s="86" t="str">
        <f t="shared" si="32"/>
        <v/>
      </c>
      <c r="D1478" s="81"/>
      <c r="E1478" s="79"/>
      <c r="F1478" s="80" t="str">
        <f>IF(A1478="","",SUMIF(EXTRATO!$A$2:$A$3000,$A1478,EXTRATO!$J$2:$J$3000)+SUMIF(EXTRATO!$A$2:$A$3000,$A1478,EXTRATO!$K$2:$K$3000)+SUMIF(EXTRATO!$A$2:$A$3000,$A1478,EXTRATO!$L$2:$L$3000)+SUMIF(EXTRATO!$A$2:$A$3000,$A1478,EXTRATO!$M$2:$M$3000))</f>
        <v/>
      </c>
      <c r="G1478" s="81" t="str">
        <f>IF(A1478="","",IF(INDEX(EXTRATO!$G$2:$G$3000,MATCH($A1478,EXTRATO!$A$2:$A$3000,0))="","",INDEX(EXTRATO!$G$2:$G$3000,MATCH($A1478,EXTRATO!$A$2:$A$3000,0))))</f>
        <v/>
      </c>
      <c r="H1478" s="86" t="str">
        <f>IF(A1478="","",IF(INDEX(EXTRATO!$F$2:$F$3000,MATCH($A1478,EXTRATO!$A$2:$A$3000,0))="","",INDEX(EXTRATO!$F$2:$F$3000,MATCH($A1478,EXTRATO!$A$2:$A$3000,0))))</f>
        <v/>
      </c>
      <c r="I1478" s="88" t="str">
        <f>IF(A1478="","",IF(INDEX(EXTRATO!$H$2:$H$3000,MATCH($A1478,EXTRATO!$A$2:$A$3000,0))="","",INDEX(EXTRATO!$H$2:$H$3000,MATCH($A1478,EXTRATO!$A$2:$A$3000,0))))</f>
        <v/>
      </c>
      <c r="J1478" s="86" t="str">
        <f t="shared" si="33"/>
        <v/>
      </c>
      <c r="K1478" s="86" t="str">
        <f>IF(AND(A1478="",D1478="",E1478="",F1478=""),"",IF(D1478="","SEM CATEGORIA",IF(E1478="","SEM SUBCATEGORIA",IF(COUNTIFS(CADASTROS!$L$7:$L$93,D1478,CADASTROS!$D$7:$D$93,E1478)=0,"INCOMPATÍVEL","OK"))))</f>
        <v/>
      </c>
    </row>
    <row r="1479" spans="1:11" ht="30" hidden="1" customHeight="1" x14ac:dyDescent="0.25">
      <c r="A1479" s="86" t="str">
        <f>IF(COUNTIF(EXTRATO!$A$2:$A$3000,"BAN-01336")=0,"","BAN-01336")</f>
        <v/>
      </c>
      <c r="B1479" s="85" t="str">
        <f>IF(A1479="","",IF(INDEX(EXTRATO!$C$2:$C$3000,MATCH($A1479,EXTRATO!$A$2:$A$3000,0))="","",INDEX(EXTRATO!$C$2:$C$3000,MATCH($A1479,EXTRATO!$A$2:$A$3000,0))))</f>
        <v/>
      </c>
      <c r="C1479" s="86" t="str">
        <f t="shared" si="32"/>
        <v/>
      </c>
      <c r="D1479" s="81"/>
      <c r="E1479" s="79"/>
      <c r="F1479" s="80" t="str">
        <f>IF(A1479="","",SUMIF(EXTRATO!$A$2:$A$3000,$A1479,EXTRATO!$J$2:$J$3000)+SUMIF(EXTRATO!$A$2:$A$3000,$A1479,EXTRATO!$K$2:$K$3000)+SUMIF(EXTRATO!$A$2:$A$3000,$A1479,EXTRATO!$L$2:$L$3000)+SUMIF(EXTRATO!$A$2:$A$3000,$A1479,EXTRATO!$M$2:$M$3000))</f>
        <v/>
      </c>
      <c r="G1479" s="81" t="str">
        <f>IF(A1479="","",IF(INDEX(EXTRATO!$G$2:$G$3000,MATCH($A1479,EXTRATO!$A$2:$A$3000,0))="","",INDEX(EXTRATO!$G$2:$G$3000,MATCH($A1479,EXTRATO!$A$2:$A$3000,0))))</f>
        <v/>
      </c>
      <c r="H1479" s="86" t="str">
        <f>IF(A1479="","",IF(INDEX(EXTRATO!$F$2:$F$3000,MATCH($A1479,EXTRATO!$A$2:$A$3000,0))="","",INDEX(EXTRATO!$F$2:$F$3000,MATCH($A1479,EXTRATO!$A$2:$A$3000,0))))</f>
        <v/>
      </c>
      <c r="I1479" s="88" t="str">
        <f>IF(A1479="","",IF(INDEX(EXTRATO!$H$2:$H$3000,MATCH($A1479,EXTRATO!$A$2:$A$3000,0))="","",INDEX(EXTRATO!$H$2:$H$3000,MATCH($A1479,EXTRATO!$A$2:$A$3000,0))))</f>
        <v/>
      </c>
      <c r="J1479" s="86" t="str">
        <f t="shared" si="33"/>
        <v/>
      </c>
      <c r="K1479" s="86" t="str">
        <f>IF(AND(A1479="",D1479="",E1479="",F1479=""),"",IF(D1479="","SEM CATEGORIA",IF(E1479="","SEM SUBCATEGORIA",IF(COUNTIFS(CADASTROS!$L$7:$L$93,D1479,CADASTROS!$D$7:$D$93,E1479)=0,"INCOMPATÍVEL","OK"))))</f>
        <v/>
      </c>
    </row>
    <row r="1480" spans="1:11" ht="30" hidden="1" customHeight="1" x14ac:dyDescent="0.25">
      <c r="A1480" s="86" t="str">
        <f>IF(COUNTIF(EXTRATO!$A$2:$A$3000,"BAN-01337")=0,"","BAN-01337")</f>
        <v/>
      </c>
      <c r="B1480" s="85" t="str">
        <f>IF(A1480="","",IF(INDEX(EXTRATO!$C$2:$C$3000,MATCH($A1480,EXTRATO!$A$2:$A$3000,0))="","",INDEX(EXTRATO!$C$2:$C$3000,MATCH($A1480,EXTRATO!$A$2:$A$3000,0))))</f>
        <v/>
      </c>
      <c r="C1480" s="86" t="str">
        <f t="shared" si="32"/>
        <v/>
      </c>
      <c r="D1480" s="81"/>
      <c r="E1480" s="79"/>
      <c r="F1480" s="80" t="str">
        <f>IF(A1480="","",SUMIF(EXTRATO!$A$2:$A$3000,$A1480,EXTRATO!$J$2:$J$3000)+SUMIF(EXTRATO!$A$2:$A$3000,$A1480,EXTRATO!$K$2:$K$3000)+SUMIF(EXTRATO!$A$2:$A$3000,$A1480,EXTRATO!$L$2:$L$3000)+SUMIF(EXTRATO!$A$2:$A$3000,$A1480,EXTRATO!$M$2:$M$3000))</f>
        <v/>
      </c>
      <c r="G1480" s="81" t="str">
        <f>IF(A1480="","",IF(INDEX(EXTRATO!$G$2:$G$3000,MATCH($A1480,EXTRATO!$A$2:$A$3000,0))="","",INDEX(EXTRATO!$G$2:$G$3000,MATCH($A1480,EXTRATO!$A$2:$A$3000,0))))</f>
        <v/>
      </c>
      <c r="H1480" s="86" t="str">
        <f>IF(A1480="","",IF(INDEX(EXTRATO!$F$2:$F$3000,MATCH($A1480,EXTRATO!$A$2:$A$3000,0))="","",INDEX(EXTRATO!$F$2:$F$3000,MATCH($A1480,EXTRATO!$A$2:$A$3000,0))))</f>
        <v/>
      </c>
      <c r="I1480" s="88" t="str">
        <f>IF(A1480="","",IF(INDEX(EXTRATO!$H$2:$H$3000,MATCH($A1480,EXTRATO!$A$2:$A$3000,0))="","",INDEX(EXTRATO!$H$2:$H$3000,MATCH($A1480,EXTRATO!$A$2:$A$3000,0))))</f>
        <v/>
      </c>
      <c r="J1480" s="86" t="str">
        <f t="shared" si="33"/>
        <v/>
      </c>
      <c r="K1480" s="86" t="str">
        <f>IF(AND(A1480="",D1480="",E1480="",F1480=""),"",IF(D1480="","SEM CATEGORIA",IF(E1480="","SEM SUBCATEGORIA",IF(COUNTIFS(CADASTROS!$L$7:$L$93,D1480,CADASTROS!$D$7:$D$93,E1480)=0,"INCOMPATÍVEL","OK"))))</f>
        <v/>
      </c>
    </row>
    <row r="1481" spans="1:11" ht="30" hidden="1" customHeight="1" x14ac:dyDescent="0.25">
      <c r="A1481" s="86" t="str">
        <f>IF(COUNTIF(EXTRATO!$A$2:$A$3000,"BAN-01338")=0,"","BAN-01338")</f>
        <v/>
      </c>
      <c r="B1481" s="85" t="str">
        <f>IF(A1481="","",IF(INDEX(EXTRATO!$C$2:$C$3000,MATCH($A1481,EXTRATO!$A$2:$A$3000,0))="","",INDEX(EXTRATO!$C$2:$C$3000,MATCH($A1481,EXTRATO!$A$2:$A$3000,0))))</f>
        <v/>
      </c>
      <c r="C1481" s="86" t="str">
        <f t="shared" si="32"/>
        <v/>
      </c>
      <c r="D1481" s="81"/>
      <c r="E1481" s="79"/>
      <c r="F1481" s="80" t="str">
        <f>IF(A1481="","",SUMIF(EXTRATO!$A$2:$A$3000,$A1481,EXTRATO!$J$2:$J$3000)+SUMIF(EXTRATO!$A$2:$A$3000,$A1481,EXTRATO!$K$2:$K$3000)+SUMIF(EXTRATO!$A$2:$A$3000,$A1481,EXTRATO!$L$2:$L$3000)+SUMIF(EXTRATO!$A$2:$A$3000,$A1481,EXTRATO!$M$2:$M$3000))</f>
        <v/>
      </c>
      <c r="G1481" s="81" t="str">
        <f>IF(A1481="","",IF(INDEX(EXTRATO!$G$2:$G$3000,MATCH($A1481,EXTRATO!$A$2:$A$3000,0))="","",INDEX(EXTRATO!$G$2:$G$3000,MATCH($A1481,EXTRATO!$A$2:$A$3000,0))))</f>
        <v/>
      </c>
      <c r="H1481" s="86" t="str">
        <f>IF(A1481="","",IF(INDEX(EXTRATO!$F$2:$F$3000,MATCH($A1481,EXTRATO!$A$2:$A$3000,0))="","",INDEX(EXTRATO!$F$2:$F$3000,MATCH($A1481,EXTRATO!$A$2:$A$3000,0))))</f>
        <v/>
      </c>
      <c r="I1481" s="88" t="str">
        <f>IF(A1481="","",IF(INDEX(EXTRATO!$H$2:$H$3000,MATCH($A1481,EXTRATO!$A$2:$A$3000,0))="","",INDEX(EXTRATO!$H$2:$H$3000,MATCH($A1481,EXTRATO!$A$2:$A$3000,0))))</f>
        <v/>
      </c>
      <c r="J1481" s="86" t="str">
        <f t="shared" si="33"/>
        <v/>
      </c>
      <c r="K1481" s="86" t="str">
        <f>IF(AND(A1481="",D1481="",E1481="",F1481=""),"",IF(D1481="","SEM CATEGORIA",IF(E1481="","SEM SUBCATEGORIA",IF(COUNTIFS(CADASTROS!$L$7:$L$93,D1481,CADASTROS!$D$7:$D$93,E1481)=0,"INCOMPATÍVEL","OK"))))</f>
        <v/>
      </c>
    </row>
    <row r="1482" spans="1:11" ht="30" hidden="1" customHeight="1" x14ac:dyDescent="0.25">
      <c r="A1482" s="86" t="str">
        <f>IF(COUNTIF(EXTRATO!$A$2:$A$3000,"BAN-01339")=0,"","BAN-01339")</f>
        <v/>
      </c>
      <c r="B1482" s="85" t="str">
        <f>IF(A1482="","",IF(INDEX(EXTRATO!$C$2:$C$3000,MATCH($A1482,EXTRATO!$A$2:$A$3000,0))="","",INDEX(EXTRATO!$C$2:$C$3000,MATCH($A1482,EXTRATO!$A$2:$A$3000,0))))</f>
        <v/>
      </c>
      <c r="C1482" s="86" t="str">
        <f t="shared" si="32"/>
        <v/>
      </c>
      <c r="D1482" s="81"/>
      <c r="E1482" s="79"/>
      <c r="F1482" s="80" t="str">
        <f>IF(A1482="","",SUMIF(EXTRATO!$A$2:$A$3000,$A1482,EXTRATO!$J$2:$J$3000)+SUMIF(EXTRATO!$A$2:$A$3000,$A1482,EXTRATO!$K$2:$K$3000)+SUMIF(EXTRATO!$A$2:$A$3000,$A1482,EXTRATO!$L$2:$L$3000)+SUMIF(EXTRATO!$A$2:$A$3000,$A1482,EXTRATO!$M$2:$M$3000))</f>
        <v/>
      </c>
      <c r="G1482" s="81" t="str">
        <f>IF(A1482="","",IF(INDEX(EXTRATO!$G$2:$G$3000,MATCH($A1482,EXTRATO!$A$2:$A$3000,0))="","",INDEX(EXTRATO!$G$2:$G$3000,MATCH($A1482,EXTRATO!$A$2:$A$3000,0))))</f>
        <v/>
      </c>
      <c r="H1482" s="86" t="str">
        <f>IF(A1482="","",IF(INDEX(EXTRATO!$F$2:$F$3000,MATCH($A1482,EXTRATO!$A$2:$A$3000,0))="","",INDEX(EXTRATO!$F$2:$F$3000,MATCH($A1482,EXTRATO!$A$2:$A$3000,0))))</f>
        <v/>
      </c>
      <c r="I1482" s="88" t="str">
        <f>IF(A1482="","",IF(INDEX(EXTRATO!$H$2:$H$3000,MATCH($A1482,EXTRATO!$A$2:$A$3000,0))="","",INDEX(EXTRATO!$H$2:$H$3000,MATCH($A1482,EXTRATO!$A$2:$A$3000,0))))</f>
        <v/>
      </c>
      <c r="J1482" s="86" t="str">
        <f t="shared" si="33"/>
        <v/>
      </c>
      <c r="K1482" s="86" t="str">
        <f>IF(AND(A1482="",D1482="",E1482="",F1482=""),"",IF(D1482="","SEM CATEGORIA",IF(E1482="","SEM SUBCATEGORIA",IF(COUNTIFS(CADASTROS!$L$7:$L$93,D1482,CADASTROS!$D$7:$D$93,E1482)=0,"INCOMPATÍVEL","OK"))))</f>
        <v/>
      </c>
    </row>
    <row r="1483" spans="1:11" ht="30" hidden="1" customHeight="1" x14ac:dyDescent="0.25">
      <c r="A1483" s="86" t="str">
        <f>IF(COUNTIF(EXTRATO!$A$2:$A$3000,"BAN-01340")=0,"","BAN-01340")</f>
        <v/>
      </c>
      <c r="B1483" s="85" t="str">
        <f>IF(A1483="","",IF(INDEX(EXTRATO!$C$2:$C$3000,MATCH($A1483,EXTRATO!$A$2:$A$3000,0))="","",INDEX(EXTRATO!$C$2:$C$3000,MATCH($A1483,EXTRATO!$A$2:$A$3000,0))))</f>
        <v/>
      </c>
      <c r="C1483" s="86" t="str">
        <f t="shared" si="32"/>
        <v/>
      </c>
      <c r="D1483" s="81"/>
      <c r="E1483" s="79"/>
      <c r="F1483" s="80" t="str">
        <f>IF(A1483="","",SUMIF(EXTRATO!$A$2:$A$3000,$A1483,EXTRATO!$J$2:$J$3000)+SUMIF(EXTRATO!$A$2:$A$3000,$A1483,EXTRATO!$K$2:$K$3000)+SUMIF(EXTRATO!$A$2:$A$3000,$A1483,EXTRATO!$L$2:$L$3000)+SUMIF(EXTRATO!$A$2:$A$3000,$A1483,EXTRATO!$M$2:$M$3000))</f>
        <v/>
      </c>
      <c r="G1483" s="81" t="str">
        <f>IF(A1483="","",IF(INDEX(EXTRATO!$G$2:$G$3000,MATCH($A1483,EXTRATO!$A$2:$A$3000,0))="","",INDEX(EXTRATO!$G$2:$G$3000,MATCH($A1483,EXTRATO!$A$2:$A$3000,0))))</f>
        <v/>
      </c>
      <c r="H1483" s="86" t="str">
        <f>IF(A1483="","",IF(INDEX(EXTRATO!$F$2:$F$3000,MATCH($A1483,EXTRATO!$A$2:$A$3000,0))="","",INDEX(EXTRATO!$F$2:$F$3000,MATCH($A1483,EXTRATO!$A$2:$A$3000,0))))</f>
        <v/>
      </c>
      <c r="I1483" s="88" t="str">
        <f>IF(A1483="","",IF(INDEX(EXTRATO!$H$2:$H$3000,MATCH($A1483,EXTRATO!$A$2:$A$3000,0))="","",INDEX(EXTRATO!$H$2:$H$3000,MATCH($A1483,EXTRATO!$A$2:$A$3000,0))))</f>
        <v/>
      </c>
      <c r="J1483" s="86" t="str">
        <f t="shared" si="33"/>
        <v/>
      </c>
      <c r="K1483" s="86" t="str">
        <f>IF(AND(A1483="",D1483="",E1483="",F1483=""),"",IF(D1483="","SEM CATEGORIA",IF(E1483="","SEM SUBCATEGORIA",IF(COUNTIFS(CADASTROS!$L$7:$L$93,D1483,CADASTROS!$D$7:$D$93,E1483)=0,"INCOMPATÍVEL","OK"))))</f>
        <v/>
      </c>
    </row>
    <row r="1484" spans="1:11" ht="30" hidden="1" customHeight="1" x14ac:dyDescent="0.25">
      <c r="A1484" s="86" t="str">
        <f>IF(COUNTIF(EXTRATO!$A$2:$A$3000,"BAN-01341")=0,"","BAN-01341")</f>
        <v/>
      </c>
      <c r="B1484" s="85" t="str">
        <f>IF(A1484="","",IF(INDEX(EXTRATO!$C$2:$C$3000,MATCH($A1484,EXTRATO!$A$2:$A$3000,0))="","",INDEX(EXTRATO!$C$2:$C$3000,MATCH($A1484,EXTRATO!$A$2:$A$3000,0))))</f>
        <v/>
      </c>
      <c r="C1484" s="86" t="str">
        <f t="shared" si="32"/>
        <v/>
      </c>
      <c r="D1484" s="81"/>
      <c r="E1484" s="79"/>
      <c r="F1484" s="80" t="str">
        <f>IF(A1484="","",SUMIF(EXTRATO!$A$2:$A$3000,$A1484,EXTRATO!$J$2:$J$3000)+SUMIF(EXTRATO!$A$2:$A$3000,$A1484,EXTRATO!$K$2:$K$3000)+SUMIF(EXTRATO!$A$2:$A$3000,$A1484,EXTRATO!$L$2:$L$3000)+SUMIF(EXTRATO!$A$2:$A$3000,$A1484,EXTRATO!$M$2:$M$3000))</f>
        <v/>
      </c>
      <c r="G1484" s="81" t="str">
        <f>IF(A1484="","",IF(INDEX(EXTRATO!$G$2:$G$3000,MATCH($A1484,EXTRATO!$A$2:$A$3000,0))="","",INDEX(EXTRATO!$G$2:$G$3000,MATCH($A1484,EXTRATO!$A$2:$A$3000,0))))</f>
        <v/>
      </c>
      <c r="H1484" s="86" t="str">
        <f>IF(A1484="","",IF(INDEX(EXTRATO!$F$2:$F$3000,MATCH($A1484,EXTRATO!$A$2:$A$3000,0))="","",INDEX(EXTRATO!$F$2:$F$3000,MATCH($A1484,EXTRATO!$A$2:$A$3000,0))))</f>
        <v/>
      </c>
      <c r="I1484" s="88" t="str">
        <f>IF(A1484="","",IF(INDEX(EXTRATO!$H$2:$H$3000,MATCH($A1484,EXTRATO!$A$2:$A$3000,0))="","",INDEX(EXTRATO!$H$2:$H$3000,MATCH($A1484,EXTRATO!$A$2:$A$3000,0))))</f>
        <v/>
      </c>
      <c r="J1484" s="86" t="str">
        <f t="shared" si="33"/>
        <v/>
      </c>
      <c r="K1484" s="86" t="str">
        <f>IF(AND(A1484="",D1484="",E1484="",F1484=""),"",IF(D1484="","SEM CATEGORIA",IF(E1484="","SEM SUBCATEGORIA",IF(COUNTIFS(CADASTROS!$L$7:$L$93,D1484,CADASTROS!$D$7:$D$93,E1484)=0,"INCOMPATÍVEL","OK"))))</f>
        <v/>
      </c>
    </row>
    <row r="1485" spans="1:11" ht="30" hidden="1" customHeight="1" x14ac:dyDescent="0.25">
      <c r="A1485" s="86" t="str">
        <f>IF(COUNTIF(EXTRATO!$A$2:$A$3000,"BAN-01342")=0,"","BAN-01342")</f>
        <v/>
      </c>
      <c r="B1485" s="85" t="str">
        <f>IF(A1485="","",IF(INDEX(EXTRATO!$C$2:$C$3000,MATCH($A1485,EXTRATO!$A$2:$A$3000,0))="","",INDEX(EXTRATO!$C$2:$C$3000,MATCH($A1485,EXTRATO!$A$2:$A$3000,0))))</f>
        <v/>
      </c>
      <c r="C1485" s="86" t="str">
        <f t="shared" si="32"/>
        <v/>
      </c>
      <c r="D1485" s="81"/>
      <c r="E1485" s="79"/>
      <c r="F1485" s="80" t="str">
        <f>IF(A1485="","",SUMIF(EXTRATO!$A$2:$A$3000,$A1485,EXTRATO!$J$2:$J$3000)+SUMIF(EXTRATO!$A$2:$A$3000,$A1485,EXTRATO!$K$2:$K$3000)+SUMIF(EXTRATO!$A$2:$A$3000,$A1485,EXTRATO!$L$2:$L$3000)+SUMIF(EXTRATO!$A$2:$A$3000,$A1485,EXTRATO!$M$2:$M$3000))</f>
        <v/>
      </c>
      <c r="G1485" s="81" t="str">
        <f>IF(A1485="","",IF(INDEX(EXTRATO!$G$2:$G$3000,MATCH($A1485,EXTRATO!$A$2:$A$3000,0))="","",INDEX(EXTRATO!$G$2:$G$3000,MATCH($A1485,EXTRATO!$A$2:$A$3000,0))))</f>
        <v/>
      </c>
      <c r="H1485" s="86" t="str">
        <f>IF(A1485="","",IF(INDEX(EXTRATO!$F$2:$F$3000,MATCH($A1485,EXTRATO!$A$2:$A$3000,0))="","",INDEX(EXTRATO!$F$2:$F$3000,MATCH($A1485,EXTRATO!$A$2:$A$3000,0))))</f>
        <v/>
      </c>
      <c r="I1485" s="88" t="str">
        <f>IF(A1485="","",IF(INDEX(EXTRATO!$H$2:$H$3000,MATCH($A1485,EXTRATO!$A$2:$A$3000,0))="","",INDEX(EXTRATO!$H$2:$H$3000,MATCH($A1485,EXTRATO!$A$2:$A$3000,0))))</f>
        <v/>
      </c>
      <c r="J1485" s="86" t="str">
        <f t="shared" si="33"/>
        <v/>
      </c>
      <c r="K1485" s="86" t="str">
        <f>IF(AND(A1485="",D1485="",E1485="",F1485=""),"",IF(D1485="","SEM CATEGORIA",IF(E1485="","SEM SUBCATEGORIA",IF(COUNTIFS(CADASTROS!$L$7:$L$93,D1485,CADASTROS!$D$7:$D$93,E1485)=0,"INCOMPATÍVEL","OK"))))</f>
        <v/>
      </c>
    </row>
    <row r="1486" spans="1:11" ht="30" hidden="1" customHeight="1" x14ac:dyDescent="0.25">
      <c r="A1486" s="86" t="str">
        <f>IF(COUNTIF(EXTRATO!$A$2:$A$3000,"BAN-01343")=0,"","BAN-01343")</f>
        <v/>
      </c>
      <c r="B1486" s="85" t="str">
        <f>IF(A1486="","",IF(INDEX(EXTRATO!$C$2:$C$3000,MATCH($A1486,EXTRATO!$A$2:$A$3000,0))="","",INDEX(EXTRATO!$C$2:$C$3000,MATCH($A1486,EXTRATO!$A$2:$A$3000,0))))</f>
        <v/>
      </c>
      <c r="C1486" s="86" t="str">
        <f t="shared" si="32"/>
        <v/>
      </c>
      <c r="D1486" s="81"/>
      <c r="E1486" s="79"/>
      <c r="F1486" s="80" t="str">
        <f>IF(A1486="","",SUMIF(EXTRATO!$A$2:$A$3000,$A1486,EXTRATO!$J$2:$J$3000)+SUMIF(EXTRATO!$A$2:$A$3000,$A1486,EXTRATO!$K$2:$K$3000)+SUMIF(EXTRATO!$A$2:$A$3000,$A1486,EXTRATO!$L$2:$L$3000)+SUMIF(EXTRATO!$A$2:$A$3000,$A1486,EXTRATO!$M$2:$M$3000))</f>
        <v/>
      </c>
      <c r="G1486" s="81" t="str">
        <f>IF(A1486="","",IF(INDEX(EXTRATO!$G$2:$G$3000,MATCH($A1486,EXTRATO!$A$2:$A$3000,0))="","",INDEX(EXTRATO!$G$2:$G$3000,MATCH($A1486,EXTRATO!$A$2:$A$3000,0))))</f>
        <v/>
      </c>
      <c r="H1486" s="86" t="str">
        <f>IF(A1486="","",IF(INDEX(EXTRATO!$F$2:$F$3000,MATCH($A1486,EXTRATO!$A$2:$A$3000,0))="","",INDEX(EXTRATO!$F$2:$F$3000,MATCH($A1486,EXTRATO!$A$2:$A$3000,0))))</f>
        <v/>
      </c>
      <c r="I1486" s="88" t="str">
        <f>IF(A1486="","",IF(INDEX(EXTRATO!$H$2:$H$3000,MATCH($A1486,EXTRATO!$A$2:$A$3000,0))="","",INDEX(EXTRATO!$H$2:$H$3000,MATCH($A1486,EXTRATO!$A$2:$A$3000,0))))</f>
        <v/>
      </c>
      <c r="J1486" s="86" t="str">
        <f t="shared" si="33"/>
        <v/>
      </c>
      <c r="K1486" s="86" t="str">
        <f>IF(AND(A1486="",D1486="",E1486="",F1486=""),"",IF(D1486="","SEM CATEGORIA",IF(E1486="","SEM SUBCATEGORIA",IF(COUNTIFS(CADASTROS!$L$7:$L$93,D1486,CADASTROS!$D$7:$D$93,E1486)=0,"INCOMPATÍVEL","OK"))))</f>
        <v/>
      </c>
    </row>
    <row r="1487" spans="1:11" ht="30" hidden="1" customHeight="1" x14ac:dyDescent="0.25">
      <c r="A1487" s="86" t="str">
        <f>IF(COUNTIF(EXTRATO!$A$2:$A$3000,"BAN-01344")=0,"","BAN-01344")</f>
        <v/>
      </c>
      <c r="B1487" s="85" t="str">
        <f>IF(A1487="","",IF(INDEX(EXTRATO!$C$2:$C$3000,MATCH($A1487,EXTRATO!$A$2:$A$3000,0))="","",INDEX(EXTRATO!$C$2:$C$3000,MATCH($A1487,EXTRATO!$A$2:$A$3000,0))))</f>
        <v/>
      </c>
      <c r="C1487" s="86" t="str">
        <f t="shared" si="32"/>
        <v/>
      </c>
      <c r="D1487" s="81"/>
      <c r="E1487" s="79"/>
      <c r="F1487" s="80" t="str">
        <f>IF(A1487="","",SUMIF(EXTRATO!$A$2:$A$3000,$A1487,EXTRATO!$J$2:$J$3000)+SUMIF(EXTRATO!$A$2:$A$3000,$A1487,EXTRATO!$K$2:$K$3000)+SUMIF(EXTRATO!$A$2:$A$3000,$A1487,EXTRATO!$L$2:$L$3000)+SUMIF(EXTRATO!$A$2:$A$3000,$A1487,EXTRATO!$M$2:$M$3000))</f>
        <v/>
      </c>
      <c r="G1487" s="81" t="str">
        <f>IF(A1487="","",IF(INDEX(EXTRATO!$G$2:$G$3000,MATCH($A1487,EXTRATO!$A$2:$A$3000,0))="","",INDEX(EXTRATO!$G$2:$G$3000,MATCH($A1487,EXTRATO!$A$2:$A$3000,0))))</f>
        <v/>
      </c>
      <c r="H1487" s="86" t="str">
        <f>IF(A1487="","",IF(INDEX(EXTRATO!$F$2:$F$3000,MATCH($A1487,EXTRATO!$A$2:$A$3000,0))="","",INDEX(EXTRATO!$F$2:$F$3000,MATCH($A1487,EXTRATO!$A$2:$A$3000,0))))</f>
        <v/>
      </c>
      <c r="I1487" s="88" t="str">
        <f>IF(A1487="","",IF(INDEX(EXTRATO!$H$2:$H$3000,MATCH($A1487,EXTRATO!$A$2:$A$3000,0))="","",INDEX(EXTRATO!$H$2:$H$3000,MATCH($A1487,EXTRATO!$A$2:$A$3000,0))))</f>
        <v/>
      </c>
      <c r="J1487" s="86" t="str">
        <f t="shared" si="33"/>
        <v/>
      </c>
      <c r="K1487" s="86" t="str">
        <f>IF(AND(A1487="",D1487="",E1487="",F1487=""),"",IF(D1487="","SEM CATEGORIA",IF(E1487="","SEM SUBCATEGORIA",IF(COUNTIFS(CADASTROS!$L$7:$L$93,D1487,CADASTROS!$D$7:$D$93,E1487)=0,"INCOMPATÍVEL","OK"))))</f>
        <v/>
      </c>
    </row>
    <row r="1488" spans="1:11" ht="30" hidden="1" customHeight="1" x14ac:dyDescent="0.25">
      <c r="A1488" s="86" t="str">
        <f>IF(COUNTIF(EXTRATO!$A$2:$A$3000,"BAN-01345")=0,"","BAN-01345")</f>
        <v/>
      </c>
      <c r="B1488" s="85" t="str">
        <f>IF(A1488="","",IF(INDEX(EXTRATO!$C$2:$C$3000,MATCH($A1488,EXTRATO!$A$2:$A$3000,0))="","",INDEX(EXTRATO!$C$2:$C$3000,MATCH($A1488,EXTRATO!$A$2:$A$3000,0))))</f>
        <v/>
      </c>
      <c r="C1488" s="86" t="str">
        <f t="shared" si="32"/>
        <v/>
      </c>
      <c r="D1488" s="81"/>
      <c r="E1488" s="79"/>
      <c r="F1488" s="80" t="str">
        <f>IF(A1488="","",SUMIF(EXTRATO!$A$2:$A$3000,$A1488,EXTRATO!$J$2:$J$3000)+SUMIF(EXTRATO!$A$2:$A$3000,$A1488,EXTRATO!$K$2:$K$3000)+SUMIF(EXTRATO!$A$2:$A$3000,$A1488,EXTRATO!$L$2:$L$3000)+SUMIF(EXTRATO!$A$2:$A$3000,$A1488,EXTRATO!$M$2:$M$3000))</f>
        <v/>
      </c>
      <c r="G1488" s="81" t="str">
        <f>IF(A1488="","",IF(INDEX(EXTRATO!$G$2:$G$3000,MATCH($A1488,EXTRATO!$A$2:$A$3000,0))="","",INDEX(EXTRATO!$G$2:$G$3000,MATCH($A1488,EXTRATO!$A$2:$A$3000,0))))</f>
        <v/>
      </c>
      <c r="H1488" s="86" t="str">
        <f>IF(A1488="","",IF(INDEX(EXTRATO!$F$2:$F$3000,MATCH($A1488,EXTRATO!$A$2:$A$3000,0))="","",INDEX(EXTRATO!$F$2:$F$3000,MATCH($A1488,EXTRATO!$A$2:$A$3000,0))))</f>
        <v/>
      </c>
      <c r="I1488" s="88" t="str">
        <f>IF(A1488="","",IF(INDEX(EXTRATO!$H$2:$H$3000,MATCH($A1488,EXTRATO!$A$2:$A$3000,0))="","",INDEX(EXTRATO!$H$2:$H$3000,MATCH($A1488,EXTRATO!$A$2:$A$3000,0))))</f>
        <v/>
      </c>
      <c r="J1488" s="86" t="str">
        <f t="shared" si="33"/>
        <v/>
      </c>
      <c r="K1488" s="86" t="str">
        <f>IF(AND(A1488="",D1488="",E1488="",F1488=""),"",IF(D1488="","SEM CATEGORIA",IF(E1488="","SEM SUBCATEGORIA",IF(COUNTIFS(CADASTROS!$L$7:$L$93,D1488,CADASTROS!$D$7:$D$93,E1488)=0,"INCOMPATÍVEL","OK"))))</f>
        <v/>
      </c>
    </row>
    <row r="1489" spans="1:11" ht="30" hidden="1" customHeight="1" x14ac:dyDescent="0.25">
      <c r="A1489" s="86" t="str">
        <f>IF(COUNTIF(EXTRATO!$A$2:$A$3000,"BAN-01346")=0,"","BAN-01346")</f>
        <v/>
      </c>
      <c r="B1489" s="85" t="str">
        <f>IF(A1489="","",IF(INDEX(EXTRATO!$C$2:$C$3000,MATCH($A1489,EXTRATO!$A$2:$A$3000,0))="","",INDEX(EXTRATO!$C$2:$C$3000,MATCH($A1489,EXTRATO!$A$2:$A$3000,0))))</f>
        <v/>
      </c>
      <c r="C1489" s="86" t="str">
        <f t="shared" si="32"/>
        <v/>
      </c>
      <c r="D1489" s="81"/>
      <c r="E1489" s="79"/>
      <c r="F1489" s="80" t="str">
        <f>IF(A1489="","",SUMIF(EXTRATO!$A$2:$A$3000,$A1489,EXTRATO!$J$2:$J$3000)+SUMIF(EXTRATO!$A$2:$A$3000,$A1489,EXTRATO!$K$2:$K$3000)+SUMIF(EXTRATO!$A$2:$A$3000,$A1489,EXTRATO!$L$2:$L$3000)+SUMIF(EXTRATO!$A$2:$A$3000,$A1489,EXTRATO!$M$2:$M$3000))</f>
        <v/>
      </c>
      <c r="G1489" s="81" t="str">
        <f>IF(A1489="","",IF(INDEX(EXTRATO!$G$2:$G$3000,MATCH($A1489,EXTRATO!$A$2:$A$3000,0))="","",INDEX(EXTRATO!$G$2:$G$3000,MATCH($A1489,EXTRATO!$A$2:$A$3000,0))))</f>
        <v/>
      </c>
      <c r="H1489" s="86" t="str">
        <f>IF(A1489="","",IF(INDEX(EXTRATO!$F$2:$F$3000,MATCH($A1489,EXTRATO!$A$2:$A$3000,0))="","",INDEX(EXTRATO!$F$2:$F$3000,MATCH($A1489,EXTRATO!$A$2:$A$3000,0))))</f>
        <v/>
      </c>
      <c r="I1489" s="88" t="str">
        <f>IF(A1489="","",IF(INDEX(EXTRATO!$H$2:$H$3000,MATCH($A1489,EXTRATO!$A$2:$A$3000,0))="","",INDEX(EXTRATO!$H$2:$H$3000,MATCH($A1489,EXTRATO!$A$2:$A$3000,0))))</f>
        <v/>
      </c>
      <c r="J1489" s="86" t="str">
        <f t="shared" si="33"/>
        <v/>
      </c>
      <c r="K1489" s="86" t="str">
        <f>IF(AND(A1489="",D1489="",E1489="",F1489=""),"",IF(D1489="","SEM CATEGORIA",IF(E1489="","SEM SUBCATEGORIA",IF(COUNTIFS(CADASTROS!$L$7:$L$93,D1489,CADASTROS!$D$7:$D$93,E1489)=0,"INCOMPATÍVEL","OK"))))</f>
        <v/>
      </c>
    </row>
    <row r="1490" spans="1:11" ht="30" hidden="1" customHeight="1" x14ac:dyDescent="0.25">
      <c r="A1490" s="86" t="str">
        <f>IF(COUNTIF(EXTRATO!$A$2:$A$3000,"BAN-01347")=0,"","BAN-01347")</f>
        <v/>
      </c>
      <c r="B1490" s="85" t="str">
        <f>IF(A1490="","",IF(INDEX(EXTRATO!$C$2:$C$3000,MATCH($A1490,EXTRATO!$A$2:$A$3000,0))="","",INDEX(EXTRATO!$C$2:$C$3000,MATCH($A1490,EXTRATO!$A$2:$A$3000,0))))</f>
        <v/>
      </c>
      <c r="C1490" s="86" t="str">
        <f t="shared" si="32"/>
        <v/>
      </c>
      <c r="D1490" s="81"/>
      <c r="E1490" s="79"/>
      <c r="F1490" s="80" t="str">
        <f>IF(A1490="","",SUMIF(EXTRATO!$A$2:$A$3000,$A1490,EXTRATO!$J$2:$J$3000)+SUMIF(EXTRATO!$A$2:$A$3000,$A1490,EXTRATO!$K$2:$K$3000)+SUMIF(EXTRATO!$A$2:$A$3000,$A1490,EXTRATO!$L$2:$L$3000)+SUMIF(EXTRATO!$A$2:$A$3000,$A1490,EXTRATO!$M$2:$M$3000))</f>
        <v/>
      </c>
      <c r="G1490" s="81" t="str">
        <f>IF(A1490="","",IF(INDEX(EXTRATO!$G$2:$G$3000,MATCH($A1490,EXTRATO!$A$2:$A$3000,0))="","",INDEX(EXTRATO!$G$2:$G$3000,MATCH($A1490,EXTRATO!$A$2:$A$3000,0))))</f>
        <v/>
      </c>
      <c r="H1490" s="86" t="str">
        <f>IF(A1490="","",IF(INDEX(EXTRATO!$F$2:$F$3000,MATCH($A1490,EXTRATO!$A$2:$A$3000,0))="","",INDEX(EXTRATO!$F$2:$F$3000,MATCH($A1490,EXTRATO!$A$2:$A$3000,0))))</f>
        <v/>
      </c>
      <c r="I1490" s="88" t="str">
        <f>IF(A1490="","",IF(INDEX(EXTRATO!$H$2:$H$3000,MATCH($A1490,EXTRATO!$A$2:$A$3000,0))="","",INDEX(EXTRATO!$H$2:$H$3000,MATCH($A1490,EXTRATO!$A$2:$A$3000,0))))</f>
        <v/>
      </c>
      <c r="J1490" s="86" t="str">
        <f t="shared" si="33"/>
        <v/>
      </c>
      <c r="K1490" s="86" t="str">
        <f>IF(AND(A1490="",D1490="",E1490="",F1490=""),"",IF(D1490="","SEM CATEGORIA",IF(E1490="","SEM SUBCATEGORIA",IF(COUNTIFS(CADASTROS!$L$7:$L$93,D1490,CADASTROS!$D$7:$D$93,E1490)=0,"INCOMPATÍVEL","OK"))))</f>
        <v/>
      </c>
    </row>
    <row r="1491" spans="1:11" ht="30" hidden="1" customHeight="1" x14ac:dyDescent="0.25">
      <c r="A1491" s="86" t="str">
        <f>IF(COUNTIF(EXTRATO!$A$2:$A$3000,"BAN-01348")=0,"","BAN-01348")</f>
        <v/>
      </c>
      <c r="B1491" s="85" t="str">
        <f>IF(A1491="","",IF(INDEX(EXTRATO!$C$2:$C$3000,MATCH($A1491,EXTRATO!$A$2:$A$3000,0))="","",INDEX(EXTRATO!$C$2:$C$3000,MATCH($A1491,EXTRATO!$A$2:$A$3000,0))))</f>
        <v/>
      </c>
      <c r="C1491" s="86" t="str">
        <f t="shared" si="32"/>
        <v/>
      </c>
      <c r="D1491" s="81"/>
      <c r="E1491" s="79"/>
      <c r="F1491" s="80" t="str">
        <f>IF(A1491="","",SUMIF(EXTRATO!$A$2:$A$3000,$A1491,EXTRATO!$J$2:$J$3000)+SUMIF(EXTRATO!$A$2:$A$3000,$A1491,EXTRATO!$K$2:$K$3000)+SUMIF(EXTRATO!$A$2:$A$3000,$A1491,EXTRATO!$L$2:$L$3000)+SUMIF(EXTRATO!$A$2:$A$3000,$A1491,EXTRATO!$M$2:$M$3000))</f>
        <v/>
      </c>
      <c r="G1491" s="81" t="str">
        <f>IF(A1491="","",IF(INDEX(EXTRATO!$G$2:$G$3000,MATCH($A1491,EXTRATO!$A$2:$A$3000,0))="","",INDEX(EXTRATO!$G$2:$G$3000,MATCH($A1491,EXTRATO!$A$2:$A$3000,0))))</f>
        <v/>
      </c>
      <c r="H1491" s="86" t="str">
        <f>IF(A1491="","",IF(INDEX(EXTRATO!$F$2:$F$3000,MATCH($A1491,EXTRATO!$A$2:$A$3000,0))="","",INDEX(EXTRATO!$F$2:$F$3000,MATCH($A1491,EXTRATO!$A$2:$A$3000,0))))</f>
        <v/>
      </c>
      <c r="I1491" s="88" t="str">
        <f>IF(A1491="","",IF(INDEX(EXTRATO!$H$2:$H$3000,MATCH($A1491,EXTRATO!$A$2:$A$3000,0))="","",INDEX(EXTRATO!$H$2:$H$3000,MATCH($A1491,EXTRATO!$A$2:$A$3000,0))))</f>
        <v/>
      </c>
      <c r="J1491" s="86" t="str">
        <f t="shared" si="33"/>
        <v/>
      </c>
      <c r="K1491" s="86" t="str">
        <f>IF(AND(A1491="",D1491="",E1491="",F1491=""),"",IF(D1491="","SEM CATEGORIA",IF(E1491="","SEM SUBCATEGORIA",IF(COUNTIFS(CADASTROS!$L$7:$L$93,D1491,CADASTROS!$D$7:$D$93,E1491)=0,"INCOMPATÍVEL","OK"))))</f>
        <v/>
      </c>
    </row>
    <row r="1492" spans="1:11" ht="30" hidden="1" customHeight="1" x14ac:dyDescent="0.25">
      <c r="A1492" s="86" t="str">
        <f>IF(COUNTIF(EXTRATO!$A$2:$A$3000,"BAN-01349")=0,"","BAN-01349")</f>
        <v/>
      </c>
      <c r="B1492" s="85" t="str">
        <f>IF(A1492="","",IF(INDEX(EXTRATO!$C$2:$C$3000,MATCH($A1492,EXTRATO!$A$2:$A$3000,0))="","",INDEX(EXTRATO!$C$2:$C$3000,MATCH($A1492,EXTRATO!$A$2:$A$3000,0))))</f>
        <v/>
      </c>
      <c r="C1492" s="86" t="str">
        <f t="shared" si="32"/>
        <v/>
      </c>
      <c r="D1492" s="81"/>
      <c r="E1492" s="79"/>
      <c r="F1492" s="80" t="str">
        <f>IF(A1492="","",SUMIF(EXTRATO!$A$2:$A$3000,$A1492,EXTRATO!$J$2:$J$3000)+SUMIF(EXTRATO!$A$2:$A$3000,$A1492,EXTRATO!$K$2:$K$3000)+SUMIF(EXTRATO!$A$2:$A$3000,$A1492,EXTRATO!$L$2:$L$3000)+SUMIF(EXTRATO!$A$2:$A$3000,$A1492,EXTRATO!$M$2:$M$3000))</f>
        <v/>
      </c>
      <c r="G1492" s="81" t="str">
        <f>IF(A1492="","",IF(INDEX(EXTRATO!$G$2:$G$3000,MATCH($A1492,EXTRATO!$A$2:$A$3000,0))="","",INDEX(EXTRATO!$G$2:$G$3000,MATCH($A1492,EXTRATO!$A$2:$A$3000,0))))</f>
        <v/>
      </c>
      <c r="H1492" s="86" t="str">
        <f>IF(A1492="","",IF(INDEX(EXTRATO!$F$2:$F$3000,MATCH($A1492,EXTRATO!$A$2:$A$3000,0))="","",INDEX(EXTRATO!$F$2:$F$3000,MATCH($A1492,EXTRATO!$A$2:$A$3000,0))))</f>
        <v/>
      </c>
      <c r="I1492" s="88" t="str">
        <f>IF(A1492="","",IF(INDEX(EXTRATO!$H$2:$H$3000,MATCH($A1492,EXTRATO!$A$2:$A$3000,0))="","",INDEX(EXTRATO!$H$2:$H$3000,MATCH($A1492,EXTRATO!$A$2:$A$3000,0))))</f>
        <v/>
      </c>
      <c r="J1492" s="86" t="str">
        <f t="shared" si="33"/>
        <v/>
      </c>
      <c r="K1492" s="86" t="str">
        <f>IF(AND(A1492="",D1492="",E1492="",F1492=""),"",IF(D1492="","SEM CATEGORIA",IF(E1492="","SEM SUBCATEGORIA",IF(COUNTIFS(CADASTROS!$L$7:$L$93,D1492,CADASTROS!$D$7:$D$93,E1492)=0,"INCOMPATÍVEL","OK"))))</f>
        <v/>
      </c>
    </row>
    <row r="1493" spans="1:11" ht="30" hidden="1" customHeight="1" x14ac:dyDescent="0.25">
      <c r="A1493" s="86" t="str">
        <f>IF(COUNTIF(EXTRATO!$A$2:$A$3000,"BAN-01350")=0,"","BAN-01350")</f>
        <v/>
      </c>
      <c r="B1493" s="85" t="str">
        <f>IF(A1493="","",IF(INDEX(EXTRATO!$C$2:$C$3000,MATCH($A1493,EXTRATO!$A$2:$A$3000,0))="","",INDEX(EXTRATO!$C$2:$C$3000,MATCH($A1493,EXTRATO!$A$2:$A$3000,0))))</f>
        <v/>
      </c>
      <c r="C1493" s="86" t="str">
        <f t="shared" ref="C1493:C1556" si="34">IF(B1493="","",MONTH(B1493))</f>
        <v/>
      </c>
      <c r="D1493" s="81"/>
      <c r="E1493" s="79"/>
      <c r="F1493" s="80" t="str">
        <f>IF(A1493="","",SUMIF(EXTRATO!$A$2:$A$3000,$A1493,EXTRATO!$J$2:$J$3000)+SUMIF(EXTRATO!$A$2:$A$3000,$A1493,EXTRATO!$K$2:$K$3000)+SUMIF(EXTRATO!$A$2:$A$3000,$A1493,EXTRATO!$L$2:$L$3000)+SUMIF(EXTRATO!$A$2:$A$3000,$A1493,EXTRATO!$M$2:$M$3000))</f>
        <v/>
      </c>
      <c r="G1493" s="81" t="str">
        <f>IF(A1493="","",IF(INDEX(EXTRATO!$G$2:$G$3000,MATCH($A1493,EXTRATO!$A$2:$A$3000,0))="","",INDEX(EXTRATO!$G$2:$G$3000,MATCH($A1493,EXTRATO!$A$2:$A$3000,0))))</f>
        <v/>
      </c>
      <c r="H1493" s="86" t="str">
        <f>IF(A1493="","",IF(INDEX(EXTRATO!$F$2:$F$3000,MATCH($A1493,EXTRATO!$A$2:$A$3000,0))="","",INDEX(EXTRATO!$F$2:$F$3000,MATCH($A1493,EXTRATO!$A$2:$A$3000,0))))</f>
        <v/>
      </c>
      <c r="I1493" s="88" t="str">
        <f>IF(A1493="","",IF(INDEX(EXTRATO!$H$2:$H$3000,MATCH($A1493,EXTRATO!$A$2:$A$3000,0))="","",INDEX(EXTRATO!$H$2:$H$3000,MATCH($A1493,EXTRATO!$A$2:$A$3000,0))))</f>
        <v/>
      </c>
      <c r="J1493" s="86" t="str">
        <f t="shared" si="33"/>
        <v/>
      </c>
      <c r="K1493" s="86" t="str">
        <f>IF(AND(A1493="",D1493="",E1493="",F1493=""),"",IF(D1493="","SEM CATEGORIA",IF(E1493="","SEM SUBCATEGORIA",IF(COUNTIFS(CADASTROS!$L$7:$L$93,D1493,CADASTROS!$D$7:$D$93,E1493)=0,"INCOMPATÍVEL","OK"))))</f>
        <v/>
      </c>
    </row>
    <row r="1494" spans="1:11" ht="30" hidden="1" customHeight="1" x14ac:dyDescent="0.25">
      <c r="A1494" s="86" t="str">
        <f>IF(COUNTIF(EXTRATO!$A$2:$A$3000,"BAN-01351")=0,"","BAN-01351")</f>
        <v/>
      </c>
      <c r="B1494" s="85" t="str">
        <f>IF(A1494="","",IF(INDEX(EXTRATO!$C$2:$C$3000,MATCH($A1494,EXTRATO!$A$2:$A$3000,0))="","",INDEX(EXTRATO!$C$2:$C$3000,MATCH($A1494,EXTRATO!$A$2:$A$3000,0))))</f>
        <v/>
      </c>
      <c r="C1494" s="86" t="str">
        <f t="shared" si="34"/>
        <v/>
      </c>
      <c r="D1494" s="81"/>
      <c r="E1494" s="79"/>
      <c r="F1494" s="80" t="str">
        <f>IF(A1494="","",SUMIF(EXTRATO!$A$2:$A$3000,$A1494,EXTRATO!$J$2:$J$3000)+SUMIF(EXTRATO!$A$2:$A$3000,$A1494,EXTRATO!$K$2:$K$3000)+SUMIF(EXTRATO!$A$2:$A$3000,$A1494,EXTRATO!$L$2:$L$3000)+SUMIF(EXTRATO!$A$2:$A$3000,$A1494,EXTRATO!$M$2:$M$3000))</f>
        <v/>
      </c>
      <c r="G1494" s="81" t="str">
        <f>IF(A1494="","",IF(INDEX(EXTRATO!$G$2:$G$3000,MATCH($A1494,EXTRATO!$A$2:$A$3000,0))="","",INDEX(EXTRATO!$G$2:$G$3000,MATCH($A1494,EXTRATO!$A$2:$A$3000,0))))</f>
        <v/>
      </c>
      <c r="H1494" s="86" t="str">
        <f>IF(A1494="","",IF(INDEX(EXTRATO!$F$2:$F$3000,MATCH($A1494,EXTRATO!$A$2:$A$3000,0))="","",INDEX(EXTRATO!$F$2:$F$3000,MATCH($A1494,EXTRATO!$A$2:$A$3000,0))))</f>
        <v/>
      </c>
      <c r="I1494" s="88" t="str">
        <f>IF(A1494="","",IF(INDEX(EXTRATO!$H$2:$H$3000,MATCH($A1494,EXTRATO!$A$2:$A$3000,0))="","",INDEX(EXTRATO!$H$2:$H$3000,MATCH($A1494,EXTRATO!$A$2:$A$3000,0))))</f>
        <v/>
      </c>
      <c r="J1494" s="86" t="str">
        <f t="shared" si="33"/>
        <v/>
      </c>
      <c r="K1494" s="86" t="str">
        <f>IF(AND(A1494="",D1494="",E1494="",F1494=""),"",IF(D1494="","SEM CATEGORIA",IF(E1494="","SEM SUBCATEGORIA",IF(COUNTIFS(CADASTROS!$L$7:$L$93,D1494,CADASTROS!$D$7:$D$93,E1494)=0,"INCOMPATÍVEL","OK"))))</f>
        <v/>
      </c>
    </row>
    <row r="1495" spans="1:11" ht="30" hidden="1" customHeight="1" x14ac:dyDescent="0.25">
      <c r="A1495" s="86" t="str">
        <f>IF(COUNTIF(EXTRATO!$A$2:$A$3000,"BAN-01352")=0,"","BAN-01352")</f>
        <v/>
      </c>
      <c r="B1495" s="85" t="str">
        <f>IF(A1495="","",IF(INDEX(EXTRATO!$C$2:$C$3000,MATCH($A1495,EXTRATO!$A$2:$A$3000,0))="","",INDEX(EXTRATO!$C$2:$C$3000,MATCH($A1495,EXTRATO!$A$2:$A$3000,0))))</f>
        <v/>
      </c>
      <c r="C1495" s="86" t="str">
        <f t="shared" si="34"/>
        <v/>
      </c>
      <c r="D1495" s="81"/>
      <c r="E1495" s="79"/>
      <c r="F1495" s="80" t="str">
        <f>IF(A1495="","",SUMIF(EXTRATO!$A$2:$A$3000,$A1495,EXTRATO!$J$2:$J$3000)+SUMIF(EXTRATO!$A$2:$A$3000,$A1495,EXTRATO!$K$2:$K$3000)+SUMIF(EXTRATO!$A$2:$A$3000,$A1495,EXTRATO!$L$2:$L$3000)+SUMIF(EXTRATO!$A$2:$A$3000,$A1495,EXTRATO!$M$2:$M$3000))</f>
        <v/>
      </c>
      <c r="G1495" s="81" t="str">
        <f>IF(A1495="","",IF(INDEX(EXTRATO!$G$2:$G$3000,MATCH($A1495,EXTRATO!$A$2:$A$3000,0))="","",INDEX(EXTRATO!$G$2:$G$3000,MATCH($A1495,EXTRATO!$A$2:$A$3000,0))))</f>
        <v/>
      </c>
      <c r="H1495" s="86" t="str">
        <f>IF(A1495="","",IF(INDEX(EXTRATO!$F$2:$F$3000,MATCH($A1495,EXTRATO!$A$2:$A$3000,0))="","",INDEX(EXTRATO!$F$2:$F$3000,MATCH($A1495,EXTRATO!$A$2:$A$3000,0))))</f>
        <v/>
      </c>
      <c r="I1495" s="88" t="str">
        <f>IF(A1495="","",IF(INDEX(EXTRATO!$H$2:$H$3000,MATCH($A1495,EXTRATO!$A$2:$A$3000,0))="","",INDEX(EXTRATO!$H$2:$H$3000,MATCH($A1495,EXTRATO!$A$2:$A$3000,0))))</f>
        <v/>
      </c>
      <c r="J1495" s="86" t="str">
        <f t="shared" si="33"/>
        <v/>
      </c>
      <c r="K1495" s="86" t="str">
        <f>IF(AND(A1495="",D1495="",E1495="",F1495=""),"",IF(D1495="","SEM CATEGORIA",IF(E1495="","SEM SUBCATEGORIA",IF(COUNTIFS(CADASTROS!$L$7:$L$93,D1495,CADASTROS!$D$7:$D$93,E1495)=0,"INCOMPATÍVEL","OK"))))</f>
        <v/>
      </c>
    </row>
    <row r="1496" spans="1:11" ht="30" hidden="1" customHeight="1" x14ac:dyDescent="0.25">
      <c r="A1496" s="86" t="str">
        <f>IF(COUNTIF(EXTRATO!$A$2:$A$3000,"BAN-01353")=0,"","BAN-01353")</f>
        <v/>
      </c>
      <c r="B1496" s="85" t="str">
        <f>IF(A1496="","",IF(INDEX(EXTRATO!$C$2:$C$3000,MATCH($A1496,EXTRATO!$A$2:$A$3000,0))="","",INDEX(EXTRATO!$C$2:$C$3000,MATCH($A1496,EXTRATO!$A$2:$A$3000,0))))</f>
        <v/>
      </c>
      <c r="C1496" s="86" t="str">
        <f t="shared" si="34"/>
        <v/>
      </c>
      <c r="D1496" s="81"/>
      <c r="E1496" s="79"/>
      <c r="F1496" s="80" t="str">
        <f>IF(A1496="","",SUMIF(EXTRATO!$A$2:$A$3000,$A1496,EXTRATO!$J$2:$J$3000)+SUMIF(EXTRATO!$A$2:$A$3000,$A1496,EXTRATO!$K$2:$K$3000)+SUMIF(EXTRATO!$A$2:$A$3000,$A1496,EXTRATO!$L$2:$L$3000)+SUMIF(EXTRATO!$A$2:$A$3000,$A1496,EXTRATO!$M$2:$M$3000))</f>
        <v/>
      </c>
      <c r="G1496" s="81" t="str">
        <f>IF(A1496="","",IF(INDEX(EXTRATO!$G$2:$G$3000,MATCH($A1496,EXTRATO!$A$2:$A$3000,0))="","",INDEX(EXTRATO!$G$2:$G$3000,MATCH($A1496,EXTRATO!$A$2:$A$3000,0))))</f>
        <v/>
      </c>
      <c r="H1496" s="86" t="str">
        <f>IF(A1496="","",IF(INDEX(EXTRATO!$F$2:$F$3000,MATCH($A1496,EXTRATO!$A$2:$A$3000,0))="","",INDEX(EXTRATO!$F$2:$F$3000,MATCH($A1496,EXTRATO!$A$2:$A$3000,0))))</f>
        <v/>
      </c>
      <c r="I1496" s="88" t="str">
        <f>IF(A1496="","",IF(INDEX(EXTRATO!$H$2:$H$3000,MATCH($A1496,EXTRATO!$A$2:$A$3000,0))="","",INDEX(EXTRATO!$H$2:$H$3000,MATCH($A1496,EXTRATO!$A$2:$A$3000,0))))</f>
        <v/>
      </c>
      <c r="J1496" s="86" t="str">
        <f t="shared" si="33"/>
        <v/>
      </c>
      <c r="K1496" s="86" t="str">
        <f>IF(AND(A1496="",D1496="",E1496="",F1496=""),"",IF(D1496="","SEM CATEGORIA",IF(E1496="","SEM SUBCATEGORIA",IF(COUNTIFS(CADASTROS!$L$7:$L$93,D1496,CADASTROS!$D$7:$D$93,E1496)=0,"INCOMPATÍVEL","OK"))))</f>
        <v/>
      </c>
    </row>
    <row r="1497" spans="1:11" ht="30" hidden="1" customHeight="1" x14ac:dyDescent="0.25">
      <c r="A1497" s="86" t="str">
        <f>IF(COUNTIF(EXTRATO!$A$2:$A$3000,"BAN-01354")=0,"","BAN-01354")</f>
        <v/>
      </c>
      <c r="B1497" s="85" t="str">
        <f>IF(A1497="","",IF(INDEX(EXTRATO!$C$2:$C$3000,MATCH($A1497,EXTRATO!$A$2:$A$3000,0))="","",INDEX(EXTRATO!$C$2:$C$3000,MATCH($A1497,EXTRATO!$A$2:$A$3000,0))))</f>
        <v/>
      </c>
      <c r="C1497" s="86" t="str">
        <f t="shared" si="34"/>
        <v/>
      </c>
      <c r="D1497" s="81"/>
      <c r="E1497" s="79"/>
      <c r="F1497" s="80" t="str">
        <f>IF(A1497="","",SUMIF(EXTRATO!$A$2:$A$3000,$A1497,EXTRATO!$J$2:$J$3000)+SUMIF(EXTRATO!$A$2:$A$3000,$A1497,EXTRATO!$K$2:$K$3000)+SUMIF(EXTRATO!$A$2:$A$3000,$A1497,EXTRATO!$L$2:$L$3000)+SUMIF(EXTRATO!$A$2:$A$3000,$A1497,EXTRATO!$M$2:$M$3000))</f>
        <v/>
      </c>
      <c r="G1497" s="81" t="str">
        <f>IF(A1497="","",IF(INDEX(EXTRATO!$G$2:$G$3000,MATCH($A1497,EXTRATO!$A$2:$A$3000,0))="","",INDEX(EXTRATO!$G$2:$G$3000,MATCH($A1497,EXTRATO!$A$2:$A$3000,0))))</f>
        <v/>
      </c>
      <c r="H1497" s="86" t="str">
        <f>IF(A1497="","",IF(INDEX(EXTRATO!$F$2:$F$3000,MATCH($A1497,EXTRATO!$A$2:$A$3000,0))="","",INDEX(EXTRATO!$F$2:$F$3000,MATCH($A1497,EXTRATO!$A$2:$A$3000,0))))</f>
        <v/>
      </c>
      <c r="I1497" s="88" t="str">
        <f>IF(A1497="","",IF(INDEX(EXTRATO!$H$2:$H$3000,MATCH($A1497,EXTRATO!$A$2:$A$3000,0))="","",INDEX(EXTRATO!$H$2:$H$3000,MATCH($A1497,EXTRATO!$A$2:$A$3000,0))))</f>
        <v/>
      </c>
      <c r="J1497" s="86" t="str">
        <f t="shared" si="33"/>
        <v/>
      </c>
      <c r="K1497" s="86" t="str">
        <f>IF(AND(A1497="",D1497="",E1497="",F1497=""),"",IF(D1497="","SEM CATEGORIA",IF(E1497="","SEM SUBCATEGORIA",IF(COUNTIFS(CADASTROS!$L$7:$L$93,D1497,CADASTROS!$D$7:$D$93,E1497)=0,"INCOMPATÍVEL","OK"))))</f>
        <v/>
      </c>
    </row>
    <row r="1498" spans="1:11" ht="30" hidden="1" customHeight="1" x14ac:dyDescent="0.25">
      <c r="A1498" s="86" t="str">
        <f>IF(COUNTIF(EXTRATO!$A$2:$A$3000,"BAN-01355")=0,"","BAN-01355")</f>
        <v/>
      </c>
      <c r="B1498" s="85" t="str">
        <f>IF(A1498="","",IF(INDEX(EXTRATO!$C$2:$C$3000,MATCH($A1498,EXTRATO!$A$2:$A$3000,0))="","",INDEX(EXTRATO!$C$2:$C$3000,MATCH($A1498,EXTRATO!$A$2:$A$3000,0))))</f>
        <v/>
      </c>
      <c r="C1498" s="86" t="str">
        <f t="shared" si="34"/>
        <v/>
      </c>
      <c r="D1498" s="81"/>
      <c r="E1498" s="79"/>
      <c r="F1498" s="80" t="str">
        <f>IF(A1498="","",SUMIF(EXTRATO!$A$2:$A$3000,$A1498,EXTRATO!$J$2:$J$3000)+SUMIF(EXTRATO!$A$2:$A$3000,$A1498,EXTRATO!$K$2:$K$3000)+SUMIF(EXTRATO!$A$2:$A$3000,$A1498,EXTRATO!$L$2:$L$3000)+SUMIF(EXTRATO!$A$2:$A$3000,$A1498,EXTRATO!$M$2:$M$3000))</f>
        <v/>
      </c>
      <c r="G1498" s="81" t="str">
        <f>IF(A1498="","",IF(INDEX(EXTRATO!$G$2:$G$3000,MATCH($A1498,EXTRATO!$A$2:$A$3000,0))="","",INDEX(EXTRATO!$G$2:$G$3000,MATCH($A1498,EXTRATO!$A$2:$A$3000,0))))</f>
        <v/>
      </c>
      <c r="H1498" s="86" t="str">
        <f>IF(A1498="","",IF(INDEX(EXTRATO!$F$2:$F$3000,MATCH($A1498,EXTRATO!$A$2:$A$3000,0))="","",INDEX(EXTRATO!$F$2:$F$3000,MATCH($A1498,EXTRATO!$A$2:$A$3000,0))))</f>
        <v/>
      </c>
      <c r="I1498" s="88" t="str">
        <f>IF(A1498="","",IF(INDEX(EXTRATO!$H$2:$H$3000,MATCH($A1498,EXTRATO!$A$2:$A$3000,0))="","",INDEX(EXTRATO!$H$2:$H$3000,MATCH($A1498,EXTRATO!$A$2:$A$3000,0))))</f>
        <v/>
      </c>
      <c r="J1498" s="86" t="str">
        <f t="shared" si="33"/>
        <v/>
      </c>
      <c r="K1498" s="86" t="str">
        <f>IF(AND(A1498="",D1498="",E1498="",F1498=""),"",IF(D1498="","SEM CATEGORIA",IF(E1498="","SEM SUBCATEGORIA",IF(COUNTIFS(CADASTROS!$L$7:$L$93,D1498,CADASTROS!$D$7:$D$93,E1498)=0,"INCOMPATÍVEL","OK"))))</f>
        <v/>
      </c>
    </row>
    <row r="1499" spans="1:11" ht="30" hidden="1" customHeight="1" x14ac:dyDescent="0.25">
      <c r="A1499" s="86" t="str">
        <f>IF(COUNTIF(EXTRATO!$A$2:$A$3000,"BAN-01356")=0,"","BAN-01356")</f>
        <v/>
      </c>
      <c r="B1499" s="85" t="str">
        <f>IF(A1499="","",IF(INDEX(EXTRATO!$C$2:$C$3000,MATCH($A1499,EXTRATO!$A$2:$A$3000,0))="","",INDEX(EXTRATO!$C$2:$C$3000,MATCH($A1499,EXTRATO!$A$2:$A$3000,0))))</f>
        <v/>
      </c>
      <c r="C1499" s="86" t="str">
        <f t="shared" si="34"/>
        <v/>
      </c>
      <c r="D1499" s="81"/>
      <c r="E1499" s="79"/>
      <c r="F1499" s="80" t="str">
        <f>IF(A1499="","",SUMIF(EXTRATO!$A$2:$A$3000,$A1499,EXTRATO!$J$2:$J$3000)+SUMIF(EXTRATO!$A$2:$A$3000,$A1499,EXTRATO!$K$2:$K$3000)+SUMIF(EXTRATO!$A$2:$A$3000,$A1499,EXTRATO!$L$2:$L$3000)+SUMIF(EXTRATO!$A$2:$A$3000,$A1499,EXTRATO!$M$2:$M$3000))</f>
        <v/>
      </c>
      <c r="G1499" s="81" t="str">
        <f>IF(A1499="","",IF(INDEX(EXTRATO!$G$2:$G$3000,MATCH($A1499,EXTRATO!$A$2:$A$3000,0))="","",INDEX(EXTRATO!$G$2:$G$3000,MATCH($A1499,EXTRATO!$A$2:$A$3000,0))))</f>
        <v/>
      </c>
      <c r="H1499" s="86" t="str">
        <f>IF(A1499="","",IF(INDEX(EXTRATO!$F$2:$F$3000,MATCH($A1499,EXTRATO!$A$2:$A$3000,0))="","",INDEX(EXTRATO!$F$2:$F$3000,MATCH($A1499,EXTRATO!$A$2:$A$3000,0))))</f>
        <v/>
      </c>
      <c r="I1499" s="88" t="str">
        <f>IF(A1499="","",IF(INDEX(EXTRATO!$H$2:$H$3000,MATCH($A1499,EXTRATO!$A$2:$A$3000,0))="","",INDEX(EXTRATO!$H$2:$H$3000,MATCH($A1499,EXTRATO!$A$2:$A$3000,0))))</f>
        <v/>
      </c>
      <c r="J1499" s="86" t="str">
        <f t="shared" si="33"/>
        <v/>
      </c>
      <c r="K1499" s="86" t="str">
        <f>IF(AND(A1499="",D1499="",E1499="",F1499=""),"",IF(D1499="","SEM CATEGORIA",IF(E1499="","SEM SUBCATEGORIA",IF(COUNTIFS(CADASTROS!$L$7:$L$93,D1499,CADASTROS!$D$7:$D$93,E1499)=0,"INCOMPATÍVEL","OK"))))</f>
        <v/>
      </c>
    </row>
    <row r="1500" spans="1:11" ht="30" hidden="1" customHeight="1" x14ac:dyDescent="0.25">
      <c r="A1500" s="86" t="str">
        <f>IF(COUNTIF(EXTRATO!$A$2:$A$3000,"BAN-01357")=0,"","BAN-01357")</f>
        <v/>
      </c>
      <c r="B1500" s="85" t="str">
        <f>IF(A1500="","",IF(INDEX(EXTRATO!$C$2:$C$3000,MATCH($A1500,EXTRATO!$A$2:$A$3000,0))="","",INDEX(EXTRATO!$C$2:$C$3000,MATCH($A1500,EXTRATO!$A$2:$A$3000,0))))</f>
        <v/>
      </c>
      <c r="C1500" s="86" t="str">
        <f t="shared" si="34"/>
        <v/>
      </c>
      <c r="D1500" s="81"/>
      <c r="E1500" s="79"/>
      <c r="F1500" s="80" t="str">
        <f>IF(A1500="","",SUMIF(EXTRATO!$A$2:$A$3000,$A1500,EXTRATO!$J$2:$J$3000)+SUMIF(EXTRATO!$A$2:$A$3000,$A1500,EXTRATO!$K$2:$K$3000)+SUMIF(EXTRATO!$A$2:$A$3000,$A1500,EXTRATO!$L$2:$L$3000)+SUMIF(EXTRATO!$A$2:$A$3000,$A1500,EXTRATO!$M$2:$M$3000))</f>
        <v/>
      </c>
      <c r="G1500" s="81" t="str">
        <f>IF(A1500="","",IF(INDEX(EXTRATO!$G$2:$G$3000,MATCH($A1500,EXTRATO!$A$2:$A$3000,0))="","",INDEX(EXTRATO!$G$2:$G$3000,MATCH($A1500,EXTRATO!$A$2:$A$3000,0))))</f>
        <v/>
      </c>
      <c r="H1500" s="86" t="str">
        <f>IF(A1500="","",IF(INDEX(EXTRATO!$F$2:$F$3000,MATCH($A1500,EXTRATO!$A$2:$A$3000,0))="","",INDEX(EXTRATO!$F$2:$F$3000,MATCH($A1500,EXTRATO!$A$2:$A$3000,0))))</f>
        <v/>
      </c>
      <c r="I1500" s="88" t="str">
        <f>IF(A1500="","",IF(INDEX(EXTRATO!$H$2:$H$3000,MATCH($A1500,EXTRATO!$A$2:$A$3000,0))="","",INDEX(EXTRATO!$H$2:$H$3000,MATCH($A1500,EXTRATO!$A$2:$A$3000,0))))</f>
        <v/>
      </c>
      <c r="J1500" s="86" t="str">
        <f t="shared" si="33"/>
        <v/>
      </c>
      <c r="K1500" s="86" t="str">
        <f>IF(AND(A1500="",D1500="",E1500="",F1500=""),"",IF(D1500="","SEM CATEGORIA",IF(E1500="","SEM SUBCATEGORIA",IF(COUNTIFS(CADASTROS!$L$7:$L$93,D1500,CADASTROS!$D$7:$D$93,E1500)=0,"INCOMPATÍVEL","OK"))))</f>
        <v/>
      </c>
    </row>
    <row r="1501" spans="1:11" ht="30" hidden="1" customHeight="1" x14ac:dyDescent="0.25">
      <c r="A1501" s="86" t="str">
        <f>IF(COUNTIF(EXTRATO!$A$2:$A$3000,"BAN-01358")=0,"","BAN-01358")</f>
        <v/>
      </c>
      <c r="B1501" s="85" t="str">
        <f>IF(A1501="","",IF(INDEX(EXTRATO!$C$2:$C$3000,MATCH($A1501,EXTRATO!$A$2:$A$3000,0))="","",INDEX(EXTRATO!$C$2:$C$3000,MATCH($A1501,EXTRATO!$A$2:$A$3000,0))))</f>
        <v/>
      </c>
      <c r="C1501" s="86" t="str">
        <f t="shared" si="34"/>
        <v/>
      </c>
      <c r="D1501" s="81"/>
      <c r="E1501" s="79"/>
      <c r="F1501" s="80" t="str">
        <f>IF(A1501="","",SUMIF(EXTRATO!$A$2:$A$3000,$A1501,EXTRATO!$J$2:$J$3000)+SUMIF(EXTRATO!$A$2:$A$3000,$A1501,EXTRATO!$K$2:$K$3000)+SUMIF(EXTRATO!$A$2:$A$3000,$A1501,EXTRATO!$L$2:$L$3000)+SUMIF(EXTRATO!$A$2:$A$3000,$A1501,EXTRATO!$M$2:$M$3000))</f>
        <v/>
      </c>
      <c r="G1501" s="81" t="str">
        <f>IF(A1501="","",IF(INDEX(EXTRATO!$G$2:$G$3000,MATCH($A1501,EXTRATO!$A$2:$A$3000,0))="","",INDEX(EXTRATO!$G$2:$G$3000,MATCH($A1501,EXTRATO!$A$2:$A$3000,0))))</f>
        <v/>
      </c>
      <c r="H1501" s="86" t="str">
        <f>IF(A1501="","",IF(INDEX(EXTRATO!$F$2:$F$3000,MATCH($A1501,EXTRATO!$A$2:$A$3000,0))="","",INDEX(EXTRATO!$F$2:$F$3000,MATCH($A1501,EXTRATO!$A$2:$A$3000,0))))</f>
        <v/>
      </c>
      <c r="I1501" s="88" t="str">
        <f>IF(A1501="","",IF(INDEX(EXTRATO!$H$2:$H$3000,MATCH($A1501,EXTRATO!$A$2:$A$3000,0))="","",INDEX(EXTRATO!$H$2:$H$3000,MATCH($A1501,EXTRATO!$A$2:$A$3000,0))))</f>
        <v/>
      </c>
      <c r="J1501" s="86" t="str">
        <f t="shared" si="33"/>
        <v/>
      </c>
      <c r="K1501" s="86" t="str">
        <f>IF(AND(A1501="",D1501="",E1501="",F1501=""),"",IF(D1501="","SEM CATEGORIA",IF(E1501="","SEM SUBCATEGORIA",IF(COUNTIFS(CADASTROS!$L$7:$L$93,D1501,CADASTROS!$D$7:$D$93,E1501)=0,"INCOMPATÍVEL","OK"))))</f>
        <v/>
      </c>
    </row>
    <row r="1502" spans="1:11" ht="30" hidden="1" customHeight="1" x14ac:dyDescent="0.25">
      <c r="A1502" s="86" t="str">
        <f>IF(COUNTIF(EXTRATO!$A$2:$A$3000,"BAN-01359")=0,"","BAN-01359")</f>
        <v/>
      </c>
      <c r="B1502" s="85" t="str">
        <f>IF(A1502="","",IF(INDEX(EXTRATO!$C$2:$C$3000,MATCH($A1502,EXTRATO!$A$2:$A$3000,0))="","",INDEX(EXTRATO!$C$2:$C$3000,MATCH($A1502,EXTRATO!$A$2:$A$3000,0))))</f>
        <v/>
      </c>
      <c r="C1502" s="86" t="str">
        <f t="shared" si="34"/>
        <v/>
      </c>
      <c r="D1502" s="81"/>
      <c r="E1502" s="79"/>
      <c r="F1502" s="80" t="str">
        <f>IF(A1502="","",SUMIF(EXTRATO!$A$2:$A$3000,$A1502,EXTRATO!$J$2:$J$3000)+SUMIF(EXTRATO!$A$2:$A$3000,$A1502,EXTRATO!$K$2:$K$3000)+SUMIF(EXTRATO!$A$2:$A$3000,$A1502,EXTRATO!$L$2:$L$3000)+SUMIF(EXTRATO!$A$2:$A$3000,$A1502,EXTRATO!$M$2:$M$3000))</f>
        <v/>
      </c>
      <c r="G1502" s="81" t="str">
        <f>IF(A1502="","",IF(INDEX(EXTRATO!$G$2:$G$3000,MATCH($A1502,EXTRATO!$A$2:$A$3000,0))="","",INDEX(EXTRATO!$G$2:$G$3000,MATCH($A1502,EXTRATO!$A$2:$A$3000,0))))</f>
        <v/>
      </c>
      <c r="H1502" s="86" t="str">
        <f>IF(A1502="","",IF(INDEX(EXTRATO!$F$2:$F$3000,MATCH($A1502,EXTRATO!$A$2:$A$3000,0))="","",INDEX(EXTRATO!$F$2:$F$3000,MATCH($A1502,EXTRATO!$A$2:$A$3000,0))))</f>
        <v/>
      </c>
      <c r="I1502" s="88" t="str">
        <f>IF(A1502="","",IF(INDEX(EXTRATO!$H$2:$H$3000,MATCH($A1502,EXTRATO!$A$2:$A$3000,0))="","",INDEX(EXTRATO!$H$2:$H$3000,MATCH($A1502,EXTRATO!$A$2:$A$3000,0))))</f>
        <v/>
      </c>
      <c r="J1502" s="86" t="str">
        <f t="shared" si="33"/>
        <v/>
      </c>
      <c r="K1502" s="86" t="str">
        <f>IF(AND(A1502="",D1502="",E1502="",F1502=""),"",IF(D1502="","SEM CATEGORIA",IF(E1502="","SEM SUBCATEGORIA",IF(COUNTIFS(CADASTROS!$L$7:$L$93,D1502,CADASTROS!$D$7:$D$93,E1502)=0,"INCOMPATÍVEL","OK"))))</f>
        <v/>
      </c>
    </row>
    <row r="1503" spans="1:11" ht="30" hidden="1" customHeight="1" x14ac:dyDescent="0.25">
      <c r="A1503" s="86" t="str">
        <f>IF(COUNTIF(EXTRATO!$A$2:$A$3000,"BAN-01360")=0,"","BAN-01360")</f>
        <v/>
      </c>
      <c r="B1503" s="85" t="str">
        <f>IF(A1503="","",IF(INDEX(EXTRATO!$C$2:$C$3000,MATCH($A1503,EXTRATO!$A$2:$A$3000,0))="","",INDEX(EXTRATO!$C$2:$C$3000,MATCH($A1503,EXTRATO!$A$2:$A$3000,0))))</f>
        <v/>
      </c>
      <c r="C1503" s="86" t="str">
        <f t="shared" si="34"/>
        <v/>
      </c>
      <c r="D1503" s="81"/>
      <c r="E1503" s="79"/>
      <c r="F1503" s="80" t="str">
        <f>IF(A1503="","",SUMIF(EXTRATO!$A$2:$A$3000,$A1503,EXTRATO!$J$2:$J$3000)+SUMIF(EXTRATO!$A$2:$A$3000,$A1503,EXTRATO!$K$2:$K$3000)+SUMIF(EXTRATO!$A$2:$A$3000,$A1503,EXTRATO!$L$2:$L$3000)+SUMIF(EXTRATO!$A$2:$A$3000,$A1503,EXTRATO!$M$2:$M$3000))</f>
        <v/>
      </c>
      <c r="G1503" s="81" t="str">
        <f>IF(A1503="","",IF(INDEX(EXTRATO!$G$2:$G$3000,MATCH($A1503,EXTRATO!$A$2:$A$3000,0))="","",INDEX(EXTRATO!$G$2:$G$3000,MATCH($A1503,EXTRATO!$A$2:$A$3000,0))))</f>
        <v/>
      </c>
      <c r="H1503" s="86" t="str">
        <f>IF(A1503="","",IF(INDEX(EXTRATO!$F$2:$F$3000,MATCH($A1503,EXTRATO!$A$2:$A$3000,0))="","",INDEX(EXTRATO!$F$2:$F$3000,MATCH($A1503,EXTRATO!$A$2:$A$3000,0))))</f>
        <v/>
      </c>
      <c r="I1503" s="88" t="str">
        <f>IF(A1503="","",IF(INDEX(EXTRATO!$H$2:$H$3000,MATCH($A1503,EXTRATO!$A$2:$A$3000,0))="","",INDEX(EXTRATO!$H$2:$H$3000,MATCH($A1503,EXTRATO!$A$2:$A$3000,0))))</f>
        <v/>
      </c>
      <c r="J1503" s="86" t="str">
        <f t="shared" si="33"/>
        <v/>
      </c>
      <c r="K1503" s="86" t="str">
        <f>IF(AND(A1503="",D1503="",E1503="",F1503=""),"",IF(D1503="","SEM CATEGORIA",IF(E1503="","SEM SUBCATEGORIA",IF(COUNTIFS(CADASTROS!$L$7:$L$93,D1503,CADASTROS!$D$7:$D$93,E1503)=0,"INCOMPATÍVEL","OK"))))</f>
        <v/>
      </c>
    </row>
    <row r="1504" spans="1:11" ht="30" hidden="1" customHeight="1" x14ac:dyDescent="0.25">
      <c r="A1504" s="86" t="str">
        <f>IF(COUNTIF(EXTRATO!$A$2:$A$3000,"BAN-01361")=0,"","BAN-01361")</f>
        <v/>
      </c>
      <c r="B1504" s="85" t="str">
        <f>IF(A1504="","",IF(INDEX(EXTRATO!$C$2:$C$3000,MATCH($A1504,EXTRATO!$A$2:$A$3000,0))="","",INDEX(EXTRATO!$C$2:$C$3000,MATCH($A1504,EXTRATO!$A$2:$A$3000,0))))</f>
        <v/>
      </c>
      <c r="C1504" s="86" t="str">
        <f t="shared" si="34"/>
        <v/>
      </c>
      <c r="D1504" s="81"/>
      <c r="E1504" s="79"/>
      <c r="F1504" s="80" t="str">
        <f>IF(A1504="","",SUMIF(EXTRATO!$A$2:$A$3000,$A1504,EXTRATO!$J$2:$J$3000)+SUMIF(EXTRATO!$A$2:$A$3000,$A1504,EXTRATO!$K$2:$K$3000)+SUMIF(EXTRATO!$A$2:$A$3000,$A1504,EXTRATO!$L$2:$L$3000)+SUMIF(EXTRATO!$A$2:$A$3000,$A1504,EXTRATO!$M$2:$M$3000))</f>
        <v/>
      </c>
      <c r="G1504" s="81" t="str">
        <f>IF(A1504="","",IF(INDEX(EXTRATO!$G$2:$G$3000,MATCH($A1504,EXTRATO!$A$2:$A$3000,0))="","",INDEX(EXTRATO!$G$2:$G$3000,MATCH($A1504,EXTRATO!$A$2:$A$3000,0))))</f>
        <v/>
      </c>
      <c r="H1504" s="86" t="str">
        <f>IF(A1504="","",IF(INDEX(EXTRATO!$F$2:$F$3000,MATCH($A1504,EXTRATO!$A$2:$A$3000,0))="","",INDEX(EXTRATO!$F$2:$F$3000,MATCH($A1504,EXTRATO!$A$2:$A$3000,0))))</f>
        <v/>
      </c>
      <c r="I1504" s="88" t="str">
        <f>IF(A1504="","",IF(INDEX(EXTRATO!$H$2:$H$3000,MATCH($A1504,EXTRATO!$A$2:$A$3000,0))="","",INDEX(EXTRATO!$H$2:$H$3000,MATCH($A1504,EXTRATO!$A$2:$A$3000,0))))</f>
        <v/>
      </c>
      <c r="J1504" s="86" t="str">
        <f t="shared" si="33"/>
        <v/>
      </c>
      <c r="K1504" s="86" t="str">
        <f>IF(AND(A1504="",D1504="",E1504="",F1504=""),"",IF(D1504="","SEM CATEGORIA",IF(E1504="","SEM SUBCATEGORIA",IF(COUNTIFS(CADASTROS!$L$7:$L$93,D1504,CADASTROS!$D$7:$D$93,E1504)=0,"INCOMPATÍVEL","OK"))))</f>
        <v/>
      </c>
    </row>
    <row r="1505" spans="1:11" ht="30" hidden="1" customHeight="1" x14ac:dyDescent="0.25">
      <c r="A1505" s="86" t="str">
        <f>IF(COUNTIF(EXTRATO!$A$2:$A$3000,"BAN-01362")=0,"","BAN-01362")</f>
        <v/>
      </c>
      <c r="B1505" s="85" t="str">
        <f>IF(A1505="","",IF(INDEX(EXTRATO!$C$2:$C$3000,MATCH($A1505,EXTRATO!$A$2:$A$3000,0))="","",INDEX(EXTRATO!$C$2:$C$3000,MATCH($A1505,EXTRATO!$A$2:$A$3000,0))))</f>
        <v/>
      </c>
      <c r="C1505" s="86" t="str">
        <f t="shared" si="34"/>
        <v/>
      </c>
      <c r="D1505" s="81"/>
      <c r="E1505" s="79"/>
      <c r="F1505" s="80" t="str">
        <f>IF(A1505="","",SUMIF(EXTRATO!$A$2:$A$3000,$A1505,EXTRATO!$J$2:$J$3000)+SUMIF(EXTRATO!$A$2:$A$3000,$A1505,EXTRATO!$K$2:$K$3000)+SUMIF(EXTRATO!$A$2:$A$3000,$A1505,EXTRATO!$L$2:$L$3000)+SUMIF(EXTRATO!$A$2:$A$3000,$A1505,EXTRATO!$M$2:$M$3000))</f>
        <v/>
      </c>
      <c r="G1505" s="81" t="str">
        <f>IF(A1505="","",IF(INDEX(EXTRATO!$G$2:$G$3000,MATCH($A1505,EXTRATO!$A$2:$A$3000,0))="","",INDEX(EXTRATO!$G$2:$G$3000,MATCH($A1505,EXTRATO!$A$2:$A$3000,0))))</f>
        <v/>
      </c>
      <c r="H1505" s="86" t="str">
        <f>IF(A1505="","",IF(INDEX(EXTRATO!$F$2:$F$3000,MATCH($A1505,EXTRATO!$A$2:$A$3000,0))="","",INDEX(EXTRATO!$F$2:$F$3000,MATCH($A1505,EXTRATO!$A$2:$A$3000,0))))</f>
        <v/>
      </c>
      <c r="I1505" s="88" t="str">
        <f>IF(A1505="","",IF(INDEX(EXTRATO!$H$2:$H$3000,MATCH($A1505,EXTRATO!$A$2:$A$3000,0))="","",INDEX(EXTRATO!$H$2:$H$3000,MATCH($A1505,EXTRATO!$A$2:$A$3000,0))))</f>
        <v/>
      </c>
      <c r="J1505" s="86" t="str">
        <f t="shared" si="33"/>
        <v/>
      </c>
      <c r="K1505" s="86" t="str">
        <f>IF(AND(A1505="",D1505="",E1505="",F1505=""),"",IF(D1505="","SEM CATEGORIA",IF(E1505="","SEM SUBCATEGORIA",IF(COUNTIFS(CADASTROS!$L$7:$L$93,D1505,CADASTROS!$D$7:$D$93,E1505)=0,"INCOMPATÍVEL","OK"))))</f>
        <v/>
      </c>
    </row>
    <row r="1506" spans="1:11" ht="30" hidden="1" customHeight="1" x14ac:dyDescent="0.25">
      <c r="A1506" s="86" t="str">
        <f>IF(COUNTIF(EXTRATO!$A$2:$A$3000,"BAN-01363")=0,"","BAN-01363")</f>
        <v/>
      </c>
      <c r="B1506" s="85" t="str">
        <f>IF(A1506="","",IF(INDEX(EXTRATO!$C$2:$C$3000,MATCH($A1506,EXTRATO!$A$2:$A$3000,0))="","",INDEX(EXTRATO!$C$2:$C$3000,MATCH($A1506,EXTRATO!$A$2:$A$3000,0))))</f>
        <v/>
      </c>
      <c r="C1506" s="86" t="str">
        <f t="shared" si="34"/>
        <v/>
      </c>
      <c r="D1506" s="81"/>
      <c r="E1506" s="79"/>
      <c r="F1506" s="80" t="str">
        <f>IF(A1506="","",SUMIF(EXTRATO!$A$2:$A$3000,$A1506,EXTRATO!$J$2:$J$3000)+SUMIF(EXTRATO!$A$2:$A$3000,$A1506,EXTRATO!$K$2:$K$3000)+SUMIF(EXTRATO!$A$2:$A$3000,$A1506,EXTRATO!$L$2:$L$3000)+SUMIF(EXTRATO!$A$2:$A$3000,$A1506,EXTRATO!$M$2:$M$3000))</f>
        <v/>
      </c>
      <c r="G1506" s="81" t="str">
        <f>IF(A1506="","",IF(INDEX(EXTRATO!$G$2:$G$3000,MATCH($A1506,EXTRATO!$A$2:$A$3000,0))="","",INDEX(EXTRATO!$G$2:$G$3000,MATCH($A1506,EXTRATO!$A$2:$A$3000,0))))</f>
        <v/>
      </c>
      <c r="H1506" s="86" t="str">
        <f>IF(A1506="","",IF(INDEX(EXTRATO!$F$2:$F$3000,MATCH($A1506,EXTRATO!$A$2:$A$3000,0))="","",INDEX(EXTRATO!$F$2:$F$3000,MATCH($A1506,EXTRATO!$A$2:$A$3000,0))))</f>
        <v/>
      </c>
      <c r="I1506" s="88" t="str">
        <f>IF(A1506="","",IF(INDEX(EXTRATO!$H$2:$H$3000,MATCH($A1506,EXTRATO!$A$2:$A$3000,0))="","",INDEX(EXTRATO!$H$2:$H$3000,MATCH($A1506,EXTRATO!$A$2:$A$3000,0))))</f>
        <v/>
      </c>
      <c r="J1506" s="86" t="str">
        <f t="shared" si="33"/>
        <v/>
      </c>
      <c r="K1506" s="86" t="str">
        <f>IF(AND(A1506="",D1506="",E1506="",F1506=""),"",IF(D1506="","SEM CATEGORIA",IF(E1506="","SEM SUBCATEGORIA",IF(COUNTIFS(CADASTROS!$L$7:$L$93,D1506,CADASTROS!$D$7:$D$93,E1506)=0,"INCOMPATÍVEL","OK"))))</f>
        <v/>
      </c>
    </row>
    <row r="1507" spans="1:11" ht="30" hidden="1" customHeight="1" x14ac:dyDescent="0.25">
      <c r="A1507" s="86" t="str">
        <f>IF(COUNTIF(EXTRATO!$A$2:$A$3000,"BAN-01364")=0,"","BAN-01364")</f>
        <v/>
      </c>
      <c r="B1507" s="85" t="str">
        <f>IF(A1507="","",IF(INDEX(EXTRATO!$C$2:$C$3000,MATCH($A1507,EXTRATO!$A$2:$A$3000,0))="","",INDEX(EXTRATO!$C$2:$C$3000,MATCH($A1507,EXTRATO!$A$2:$A$3000,0))))</f>
        <v/>
      </c>
      <c r="C1507" s="86" t="str">
        <f t="shared" si="34"/>
        <v/>
      </c>
      <c r="D1507" s="81"/>
      <c r="E1507" s="79"/>
      <c r="F1507" s="80" t="str">
        <f>IF(A1507="","",SUMIF(EXTRATO!$A$2:$A$3000,$A1507,EXTRATO!$J$2:$J$3000)+SUMIF(EXTRATO!$A$2:$A$3000,$A1507,EXTRATO!$K$2:$K$3000)+SUMIF(EXTRATO!$A$2:$A$3000,$A1507,EXTRATO!$L$2:$L$3000)+SUMIF(EXTRATO!$A$2:$A$3000,$A1507,EXTRATO!$M$2:$M$3000))</f>
        <v/>
      </c>
      <c r="G1507" s="81" t="str">
        <f>IF(A1507="","",IF(INDEX(EXTRATO!$G$2:$G$3000,MATCH($A1507,EXTRATO!$A$2:$A$3000,0))="","",INDEX(EXTRATO!$G$2:$G$3000,MATCH($A1507,EXTRATO!$A$2:$A$3000,0))))</f>
        <v/>
      </c>
      <c r="H1507" s="86" t="str">
        <f>IF(A1507="","",IF(INDEX(EXTRATO!$F$2:$F$3000,MATCH($A1507,EXTRATO!$A$2:$A$3000,0))="","",INDEX(EXTRATO!$F$2:$F$3000,MATCH($A1507,EXTRATO!$A$2:$A$3000,0))))</f>
        <v/>
      </c>
      <c r="I1507" s="88" t="str">
        <f>IF(A1507="","",IF(INDEX(EXTRATO!$H$2:$H$3000,MATCH($A1507,EXTRATO!$A$2:$A$3000,0))="","",INDEX(EXTRATO!$H$2:$H$3000,MATCH($A1507,EXTRATO!$A$2:$A$3000,0))))</f>
        <v/>
      </c>
      <c r="J1507" s="86" t="str">
        <f t="shared" si="33"/>
        <v/>
      </c>
      <c r="K1507" s="86" t="str">
        <f>IF(AND(A1507="",D1507="",E1507="",F1507=""),"",IF(D1507="","SEM CATEGORIA",IF(E1507="","SEM SUBCATEGORIA",IF(COUNTIFS(CADASTROS!$L$7:$L$93,D1507,CADASTROS!$D$7:$D$93,E1507)=0,"INCOMPATÍVEL","OK"))))</f>
        <v/>
      </c>
    </row>
    <row r="1508" spans="1:11" ht="30" hidden="1" customHeight="1" x14ac:dyDescent="0.25">
      <c r="A1508" s="86" t="str">
        <f>IF(COUNTIF(EXTRATO!$A$2:$A$3000,"BAN-01365")=0,"","BAN-01365")</f>
        <v/>
      </c>
      <c r="B1508" s="85" t="str">
        <f>IF(A1508="","",IF(INDEX(EXTRATO!$C$2:$C$3000,MATCH($A1508,EXTRATO!$A$2:$A$3000,0))="","",INDEX(EXTRATO!$C$2:$C$3000,MATCH($A1508,EXTRATO!$A$2:$A$3000,0))))</f>
        <v/>
      </c>
      <c r="C1508" s="86" t="str">
        <f t="shared" si="34"/>
        <v/>
      </c>
      <c r="D1508" s="81"/>
      <c r="E1508" s="79"/>
      <c r="F1508" s="80" t="str">
        <f>IF(A1508="","",SUMIF(EXTRATO!$A$2:$A$3000,$A1508,EXTRATO!$J$2:$J$3000)+SUMIF(EXTRATO!$A$2:$A$3000,$A1508,EXTRATO!$K$2:$K$3000)+SUMIF(EXTRATO!$A$2:$A$3000,$A1508,EXTRATO!$L$2:$L$3000)+SUMIF(EXTRATO!$A$2:$A$3000,$A1508,EXTRATO!$M$2:$M$3000))</f>
        <v/>
      </c>
      <c r="G1508" s="81" t="str">
        <f>IF(A1508="","",IF(INDEX(EXTRATO!$G$2:$G$3000,MATCH($A1508,EXTRATO!$A$2:$A$3000,0))="","",INDEX(EXTRATO!$G$2:$G$3000,MATCH($A1508,EXTRATO!$A$2:$A$3000,0))))</f>
        <v/>
      </c>
      <c r="H1508" s="86" t="str">
        <f>IF(A1508="","",IF(INDEX(EXTRATO!$F$2:$F$3000,MATCH($A1508,EXTRATO!$A$2:$A$3000,0))="","",INDEX(EXTRATO!$F$2:$F$3000,MATCH($A1508,EXTRATO!$A$2:$A$3000,0))))</f>
        <v/>
      </c>
      <c r="I1508" s="88" t="str">
        <f>IF(A1508="","",IF(INDEX(EXTRATO!$H$2:$H$3000,MATCH($A1508,EXTRATO!$A$2:$A$3000,0))="","",INDEX(EXTRATO!$H$2:$H$3000,MATCH($A1508,EXTRATO!$A$2:$A$3000,0))))</f>
        <v/>
      </c>
      <c r="J1508" s="86" t="str">
        <f t="shared" si="33"/>
        <v/>
      </c>
      <c r="K1508" s="86" t="str">
        <f>IF(AND(A1508="",D1508="",E1508="",F1508=""),"",IF(D1508="","SEM CATEGORIA",IF(E1508="","SEM SUBCATEGORIA",IF(COUNTIFS(CADASTROS!$L$7:$L$93,D1508,CADASTROS!$D$7:$D$93,E1508)=0,"INCOMPATÍVEL","OK"))))</f>
        <v/>
      </c>
    </row>
    <row r="1509" spans="1:11" ht="30" hidden="1" customHeight="1" x14ac:dyDescent="0.25">
      <c r="A1509" s="86" t="str">
        <f>IF(COUNTIF(EXTRATO!$A$2:$A$3000,"BAN-01366")=0,"","BAN-01366")</f>
        <v/>
      </c>
      <c r="B1509" s="85" t="str">
        <f>IF(A1509="","",IF(INDEX(EXTRATO!$C$2:$C$3000,MATCH($A1509,EXTRATO!$A$2:$A$3000,0))="","",INDEX(EXTRATO!$C$2:$C$3000,MATCH($A1509,EXTRATO!$A$2:$A$3000,0))))</f>
        <v/>
      </c>
      <c r="C1509" s="86" t="str">
        <f t="shared" si="34"/>
        <v/>
      </c>
      <c r="D1509" s="81"/>
      <c r="E1509" s="79"/>
      <c r="F1509" s="80" t="str">
        <f>IF(A1509="","",SUMIF(EXTRATO!$A$2:$A$3000,$A1509,EXTRATO!$J$2:$J$3000)+SUMIF(EXTRATO!$A$2:$A$3000,$A1509,EXTRATO!$K$2:$K$3000)+SUMIF(EXTRATO!$A$2:$A$3000,$A1509,EXTRATO!$L$2:$L$3000)+SUMIF(EXTRATO!$A$2:$A$3000,$A1509,EXTRATO!$M$2:$M$3000))</f>
        <v/>
      </c>
      <c r="G1509" s="81" t="str">
        <f>IF(A1509="","",IF(INDEX(EXTRATO!$G$2:$G$3000,MATCH($A1509,EXTRATO!$A$2:$A$3000,0))="","",INDEX(EXTRATO!$G$2:$G$3000,MATCH($A1509,EXTRATO!$A$2:$A$3000,0))))</f>
        <v/>
      </c>
      <c r="H1509" s="86" t="str">
        <f>IF(A1509="","",IF(INDEX(EXTRATO!$F$2:$F$3000,MATCH($A1509,EXTRATO!$A$2:$A$3000,0))="","",INDEX(EXTRATO!$F$2:$F$3000,MATCH($A1509,EXTRATO!$A$2:$A$3000,0))))</f>
        <v/>
      </c>
      <c r="I1509" s="88" t="str">
        <f>IF(A1509="","",IF(INDEX(EXTRATO!$H$2:$H$3000,MATCH($A1509,EXTRATO!$A$2:$A$3000,0))="","",INDEX(EXTRATO!$H$2:$H$3000,MATCH($A1509,EXTRATO!$A$2:$A$3000,0))))</f>
        <v/>
      </c>
      <c r="J1509" s="86" t="str">
        <f t="shared" si="33"/>
        <v/>
      </c>
      <c r="K1509" s="86" t="str">
        <f>IF(AND(A1509="",D1509="",E1509="",F1509=""),"",IF(D1509="","SEM CATEGORIA",IF(E1509="","SEM SUBCATEGORIA",IF(COUNTIFS(CADASTROS!$L$7:$L$93,D1509,CADASTROS!$D$7:$D$93,E1509)=0,"INCOMPATÍVEL","OK"))))</f>
        <v/>
      </c>
    </row>
    <row r="1510" spans="1:11" ht="30" hidden="1" customHeight="1" x14ac:dyDescent="0.25">
      <c r="A1510" s="86" t="str">
        <f>IF(COUNTIF(EXTRATO!$A$2:$A$3000,"BAN-01367")=0,"","BAN-01367")</f>
        <v/>
      </c>
      <c r="B1510" s="85" t="str">
        <f>IF(A1510="","",IF(INDEX(EXTRATO!$C$2:$C$3000,MATCH($A1510,EXTRATO!$A$2:$A$3000,0))="","",INDEX(EXTRATO!$C$2:$C$3000,MATCH($A1510,EXTRATO!$A$2:$A$3000,0))))</f>
        <v/>
      </c>
      <c r="C1510" s="86" t="str">
        <f t="shared" si="34"/>
        <v/>
      </c>
      <c r="D1510" s="81"/>
      <c r="E1510" s="79"/>
      <c r="F1510" s="80" t="str">
        <f>IF(A1510="","",SUMIF(EXTRATO!$A$2:$A$3000,$A1510,EXTRATO!$J$2:$J$3000)+SUMIF(EXTRATO!$A$2:$A$3000,$A1510,EXTRATO!$K$2:$K$3000)+SUMIF(EXTRATO!$A$2:$A$3000,$A1510,EXTRATO!$L$2:$L$3000)+SUMIF(EXTRATO!$A$2:$A$3000,$A1510,EXTRATO!$M$2:$M$3000))</f>
        <v/>
      </c>
      <c r="G1510" s="81" t="str">
        <f>IF(A1510="","",IF(INDEX(EXTRATO!$G$2:$G$3000,MATCH($A1510,EXTRATO!$A$2:$A$3000,0))="","",INDEX(EXTRATO!$G$2:$G$3000,MATCH($A1510,EXTRATO!$A$2:$A$3000,0))))</f>
        <v/>
      </c>
      <c r="H1510" s="86" t="str">
        <f>IF(A1510="","",IF(INDEX(EXTRATO!$F$2:$F$3000,MATCH($A1510,EXTRATO!$A$2:$A$3000,0))="","",INDEX(EXTRATO!$F$2:$F$3000,MATCH($A1510,EXTRATO!$A$2:$A$3000,0))))</f>
        <v/>
      </c>
      <c r="I1510" s="88" t="str">
        <f>IF(A1510="","",IF(INDEX(EXTRATO!$H$2:$H$3000,MATCH($A1510,EXTRATO!$A$2:$A$3000,0))="","",INDEX(EXTRATO!$H$2:$H$3000,MATCH($A1510,EXTRATO!$A$2:$A$3000,0))))</f>
        <v/>
      </c>
      <c r="J1510" s="86" t="str">
        <f t="shared" si="33"/>
        <v/>
      </c>
      <c r="K1510" s="86" t="str">
        <f>IF(AND(A1510="",D1510="",E1510="",F1510=""),"",IF(D1510="","SEM CATEGORIA",IF(E1510="","SEM SUBCATEGORIA",IF(COUNTIFS(CADASTROS!$L$7:$L$93,D1510,CADASTROS!$D$7:$D$93,E1510)=0,"INCOMPATÍVEL","OK"))))</f>
        <v/>
      </c>
    </row>
    <row r="1511" spans="1:11" ht="30" hidden="1" customHeight="1" x14ac:dyDescent="0.25">
      <c r="A1511" s="86" t="str">
        <f>IF(COUNTIF(EXTRATO!$A$2:$A$3000,"BAN-01368")=0,"","BAN-01368")</f>
        <v/>
      </c>
      <c r="B1511" s="85" t="str">
        <f>IF(A1511="","",IF(INDEX(EXTRATO!$C$2:$C$3000,MATCH($A1511,EXTRATO!$A$2:$A$3000,0))="","",INDEX(EXTRATO!$C$2:$C$3000,MATCH($A1511,EXTRATO!$A$2:$A$3000,0))))</f>
        <v/>
      </c>
      <c r="C1511" s="86" t="str">
        <f t="shared" si="34"/>
        <v/>
      </c>
      <c r="D1511" s="81"/>
      <c r="E1511" s="79"/>
      <c r="F1511" s="80" t="str">
        <f>IF(A1511="","",SUMIF(EXTRATO!$A$2:$A$3000,$A1511,EXTRATO!$J$2:$J$3000)+SUMIF(EXTRATO!$A$2:$A$3000,$A1511,EXTRATO!$K$2:$K$3000)+SUMIF(EXTRATO!$A$2:$A$3000,$A1511,EXTRATO!$L$2:$L$3000)+SUMIF(EXTRATO!$A$2:$A$3000,$A1511,EXTRATO!$M$2:$M$3000))</f>
        <v/>
      </c>
      <c r="G1511" s="81" t="str">
        <f>IF(A1511="","",IF(INDEX(EXTRATO!$G$2:$G$3000,MATCH($A1511,EXTRATO!$A$2:$A$3000,0))="","",INDEX(EXTRATO!$G$2:$G$3000,MATCH($A1511,EXTRATO!$A$2:$A$3000,0))))</f>
        <v/>
      </c>
      <c r="H1511" s="86" t="str">
        <f>IF(A1511="","",IF(INDEX(EXTRATO!$F$2:$F$3000,MATCH($A1511,EXTRATO!$A$2:$A$3000,0))="","",INDEX(EXTRATO!$F$2:$F$3000,MATCH($A1511,EXTRATO!$A$2:$A$3000,0))))</f>
        <v/>
      </c>
      <c r="I1511" s="88" t="str">
        <f>IF(A1511="","",IF(INDEX(EXTRATO!$H$2:$H$3000,MATCH($A1511,EXTRATO!$A$2:$A$3000,0))="","",INDEX(EXTRATO!$H$2:$H$3000,MATCH($A1511,EXTRATO!$A$2:$A$3000,0))))</f>
        <v/>
      </c>
      <c r="J1511" s="86" t="str">
        <f t="shared" si="33"/>
        <v/>
      </c>
      <c r="K1511" s="86" t="str">
        <f>IF(AND(A1511="",D1511="",E1511="",F1511=""),"",IF(D1511="","SEM CATEGORIA",IF(E1511="","SEM SUBCATEGORIA",IF(COUNTIFS(CADASTROS!$L$7:$L$93,D1511,CADASTROS!$D$7:$D$93,E1511)=0,"INCOMPATÍVEL","OK"))))</f>
        <v/>
      </c>
    </row>
    <row r="1512" spans="1:11" ht="30" hidden="1" customHeight="1" x14ac:dyDescent="0.25">
      <c r="A1512" s="86" t="str">
        <f>IF(COUNTIF(EXTRATO!$A$2:$A$3000,"BAN-01369")=0,"","BAN-01369")</f>
        <v/>
      </c>
      <c r="B1512" s="85" t="str">
        <f>IF(A1512="","",IF(INDEX(EXTRATO!$C$2:$C$3000,MATCH($A1512,EXTRATO!$A$2:$A$3000,0))="","",INDEX(EXTRATO!$C$2:$C$3000,MATCH($A1512,EXTRATO!$A$2:$A$3000,0))))</f>
        <v/>
      </c>
      <c r="C1512" s="86" t="str">
        <f t="shared" si="34"/>
        <v/>
      </c>
      <c r="D1512" s="81"/>
      <c r="E1512" s="79"/>
      <c r="F1512" s="80" t="str">
        <f>IF(A1512="","",SUMIF(EXTRATO!$A$2:$A$3000,$A1512,EXTRATO!$J$2:$J$3000)+SUMIF(EXTRATO!$A$2:$A$3000,$A1512,EXTRATO!$K$2:$K$3000)+SUMIF(EXTRATO!$A$2:$A$3000,$A1512,EXTRATO!$L$2:$L$3000)+SUMIF(EXTRATO!$A$2:$A$3000,$A1512,EXTRATO!$M$2:$M$3000))</f>
        <v/>
      </c>
      <c r="G1512" s="81" t="str">
        <f>IF(A1512="","",IF(INDEX(EXTRATO!$G$2:$G$3000,MATCH($A1512,EXTRATO!$A$2:$A$3000,0))="","",INDEX(EXTRATO!$G$2:$G$3000,MATCH($A1512,EXTRATO!$A$2:$A$3000,0))))</f>
        <v/>
      </c>
      <c r="H1512" s="86" t="str">
        <f>IF(A1512="","",IF(INDEX(EXTRATO!$F$2:$F$3000,MATCH($A1512,EXTRATO!$A$2:$A$3000,0))="","",INDEX(EXTRATO!$F$2:$F$3000,MATCH($A1512,EXTRATO!$A$2:$A$3000,0))))</f>
        <v/>
      </c>
      <c r="I1512" s="88" t="str">
        <f>IF(A1512="","",IF(INDEX(EXTRATO!$H$2:$H$3000,MATCH($A1512,EXTRATO!$A$2:$A$3000,0))="","",INDEX(EXTRATO!$H$2:$H$3000,MATCH($A1512,EXTRATO!$A$2:$A$3000,0))))</f>
        <v/>
      </c>
      <c r="J1512" s="86" t="str">
        <f t="shared" si="33"/>
        <v/>
      </c>
      <c r="K1512" s="86" t="str">
        <f>IF(AND(A1512="",D1512="",E1512="",F1512=""),"",IF(D1512="","SEM CATEGORIA",IF(E1512="","SEM SUBCATEGORIA",IF(COUNTIFS(CADASTROS!$L$7:$L$93,D1512,CADASTROS!$D$7:$D$93,E1512)=0,"INCOMPATÍVEL","OK"))))</f>
        <v/>
      </c>
    </row>
    <row r="1513" spans="1:11" ht="30" hidden="1" customHeight="1" x14ac:dyDescent="0.25">
      <c r="A1513" s="86" t="str">
        <f>IF(COUNTIF(EXTRATO!$A$2:$A$3000,"BAN-01370")=0,"","BAN-01370")</f>
        <v/>
      </c>
      <c r="B1513" s="85" t="str">
        <f>IF(A1513="","",IF(INDEX(EXTRATO!$C$2:$C$3000,MATCH($A1513,EXTRATO!$A$2:$A$3000,0))="","",INDEX(EXTRATO!$C$2:$C$3000,MATCH($A1513,EXTRATO!$A$2:$A$3000,0))))</f>
        <v/>
      </c>
      <c r="C1513" s="86" t="str">
        <f t="shared" si="34"/>
        <v/>
      </c>
      <c r="D1513" s="81"/>
      <c r="E1513" s="79"/>
      <c r="F1513" s="80" t="str">
        <f>IF(A1513="","",SUMIF(EXTRATO!$A$2:$A$3000,$A1513,EXTRATO!$J$2:$J$3000)+SUMIF(EXTRATO!$A$2:$A$3000,$A1513,EXTRATO!$K$2:$K$3000)+SUMIF(EXTRATO!$A$2:$A$3000,$A1513,EXTRATO!$L$2:$L$3000)+SUMIF(EXTRATO!$A$2:$A$3000,$A1513,EXTRATO!$M$2:$M$3000))</f>
        <v/>
      </c>
      <c r="G1513" s="81" t="str">
        <f>IF(A1513="","",IF(INDEX(EXTRATO!$G$2:$G$3000,MATCH($A1513,EXTRATO!$A$2:$A$3000,0))="","",INDEX(EXTRATO!$G$2:$G$3000,MATCH($A1513,EXTRATO!$A$2:$A$3000,0))))</f>
        <v/>
      </c>
      <c r="H1513" s="86" t="str">
        <f>IF(A1513="","",IF(INDEX(EXTRATO!$F$2:$F$3000,MATCH($A1513,EXTRATO!$A$2:$A$3000,0))="","",INDEX(EXTRATO!$F$2:$F$3000,MATCH($A1513,EXTRATO!$A$2:$A$3000,0))))</f>
        <v/>
      </c>
      <c r="I1513" s="88" t="str">
        <f>IF(A1513="","",IF(INDEX(EXTRATO!$H$2:$H$3000,MATCH($A1513,EXTRATO!$A$2:$A$3000,0))="","",INDEX(EXTRATO!$H$2:$H$3000,MATCH($A1513,EXTRATO!$A$2:$A$3000,0))))</f>
        <v/>
      </c>
      <c r="J1513" s="86" t="str">
        <f t="shared" si="33"/>
        <v/>
      </c>
      <c r="K1513" s="86" t="str">
        <f>IF(AND(A1513="",D1513="",E1513="",F1513=""),"",IF(D1513="","SEM CATEGORIA",IF(E1513="","SEM SUBCATEGORIA",IF(COUNTIFS(CADASTROS!$L$7:$L$93,D1513,CADASTROS!$D$7:$D$93,E1513)=0,"INCOMPATÍVEL","OK"))))</f>
        <v/>
      </c>
    </row>
    <row r="1514" spans="1:11" ht="30" hidden="1" customHeight="1" x14ac:dyDescent="0.25">
      <c r="A1514" s="86" t="str">
        <f>IF(COUNTIF(EXTRATO!$A$2:$A$3000,"BAN-01371")=0,"","BAN-01371")</f>
        <v/>
      </c>
      <c r="B1514" s="85" t="str">
        <f>IF(A1514="","",IF(INDEX(EXTRATO!$C$2:$C$3000,MATCH($A1514,EXTRATO!$A$2:$A$3000,0))="","",INDEX(EXTRATO!$C$2:$C$3000,MATCH($A1514,EXTRATO!$A$2:$A$3000,0))))</f>
        <v/>
      </c>
      <c r="C1514" s="86" t="str">
        <f t="shared" si="34"/>
        <v/>
      </c>
      <c r="D1514" s="81"/>
      <c r="E1514" s="79"/>
      <c r="F1514" s="80" t="str">
        <f>IF(A1514="","",SUMIF(EXTRATO!$A$2:$A$3000,$A1514,EXTRATO!$J$2:$J$3000)+SUMIF(EXTRATO!$A$2:$A$3000,$A1514,EXTRATO!$K$2:$K$3000)+SUMIF(EXTRATO!$A$2:$A$3000,$A1514,EXTRATO!$L$2:$L$3000)+SUMIF(EXTRATO!$A$2:$A$3000,$A1514,EXTRATO!$M$2:$M$3000))</f>
        <v/>
      </c>
      <c r="G1514" s="81" t="str">
        <f>IF(A1514="","",IF(INDEX(EXTRATO!$G$2:$G$3000,MATCH($A1514,EXTRATO!$A$2:$A$3000,0))="","",INDEX(EXTRATO!$G$2:$G$3000,MATCH($A1514,EXTRATO!$A$2:$A$3000,0))))</f>
        <v/>
      </c>
      <c r="H1514" s="86" t="str">
        <f>IF(A1514="","",IF(INDEX(EXTRATO!$F$2:$F$3000,MATCH($A1514,EXTRATO!$A$2:$A$3000,0))="","",INDEX(EXTRATO!$F$2:$F$3000,MATCH($A1514,EXTRATO!$A$2:$A$3000,0))))</f>
        <v/>
      </c>
      <c r="I1514" s="88" t="str">
        <f>IF(A1514="","",IF(INDEX(EXTRATO!$H$2:$H$3000,MATCH($A1514,EXTRATO!$A$2:$A$3000,0))="","",INDEX(EXTRATO!$H$2:$H$3000,MATCH($A1514,EXTRATO!$A$2:$A$3000,0))))</f>
        <v/>
      </c>
      <c r="J1514" s="86" t="str">
        <f t="shared" si="33"/>
        <v/>
      </c>
      <c r="K1514" s="86" t="str">
        <f>IF(AND(A1514="",D1514="",E1514="",F1514=""),"",IF(D1514="","SEM CATEGORIA",IF(E1514="","SEM SUBCATEGORIA",IF(COUNTIFS(CADASTROS!$L$7:$L$93,D1514,CADASTROS!$D$7:$D$93,E1514)=0,"INCOMPATÍVEL","OK"))))</f>
        <v/>
      </c>
    </row>
    <row r="1515" spans="1:11" ht="30" hidden="1" customHeight="1" x14ac:dyDescent="0.25">
      <c r="A1515" s="86" t="str">
        <f>IF(COUNTIF(EXTRATO!$A$2:$A$3000,"BAN-01372")=0,"","BAN-01372")</f>
        <v/>
      </c>
      <c r="B1515" s="85" t="str">
        <f>IF(A1515="","",IF(INDEX(EXTRATO!$C$2:$C$3000,MATCH($A1515,EXTRATO!$A$2:$A$3000,0))="","",INDEX(EXTRATO!$C$2:$C$3000,MATCH($A1515,EXTRATO!$A$2:$A$3000,0))))</f>
        <v/>
      </c>
      <c r="C1515" s="86" t="str">
        <f t="shared" si="34"/>
        <v/>
      </c>
      <c r="D1515" s="81"/>
      <c r="E1515" s="79"/>
      <c r="F1515" s="80" t="str">
        <f>IF(A1515="","",SUMIF(EXTRATO!$A$2:$A$3000,$A1515,EXTRATO!$J$2:$J$3000)+SUMIF(EXTRATO!$A$2:$A$3000,$A1515,EXTRATO!$K$2:$K$3000)+SUMIF(EXTRATO!$A$2:$A$3000,$A1515,EXTRATO!$L$2:$L$3000)+SUMIF(EXTRATO!$A$2:$A$3000,$A1515,EXTRATO!$M$2:$M$3000))</f>
        <v/>
      </c>
      <c r="G1515" s="81" t="str">
        <f>IF(A1515="","",IF(INDEX(EXTRATO!$G$2:$G$3000,MATCH($A1515,EXTRATO!$A$2:$A$3000,0))="","",INDEX(EXTRATO!$G$2:$G$3000,MATCH($A1515,EXTRATO!$A$2:$A$3000,0))))</f>
        <v/>
      </c>
      <c r="H1515" s="86" t="str">
        <f>IF(A1515="","",IF(INDEX(EXTRATO!$F$2:$F$3000,MATCH($A1515,EXTRATO!$A$2:$A$3000,0))="","",INDEX(EXTRATO!$F$2:$F$3000,MATCH($A1515,EXTRATO!$A$2:$A$3000,0))))</f>
        <v/>
      </c>
      <c r="I1515" s="88" t="str">
        <f>IF(A1515="","",IF(INDEX(EXTRATO!$H$2:$H$3000,MATCH($A1515,EXTRATO!$A$2:$A$3000,0))="","",INDEX(EXTRATO!$H$2:$H$3000,MATCH($A1515,EXTRATO!$A$2:$A$3000,0))))</f>
        <v/>
      </c>
      <c r="J1515" s="86" t="str">
        <f t="shared" si="33"/>
        <v/>
      </c>
      <c r="K1515" s="86" t="str">
        <f>IF(AND(A1515="",D1515="",E1515="",F1515=""),"",IF(D1515="","SEM CATEGORIA",IF(E1515="","SEM SUBCATEGORIA",IF(COUNTIFS(CADASTROS!$L$7:$L$93,D1515,CADASTROS!$D$7:$D$93,E1515)=0,"INCOMPATÍVEL","OK"))))</f>
        <v/>
      </c>
    </row>
    <row r="1516" spans="1:11" ht="30" hidden="1" customHeight="1" x14ac:dyDescent="0.25">
      <c r="A1516" s="86" t="str">
        <f>IF(COUNTIF(EXTRATO!$A$2:$A$3000,"BAN-01373")=0,"","BAN-01373")</f>
        <v/>
      </c>
      <c r="B1516" s="85" t="str">
        <f>IF(A1516="","",IF(INDEX(EXTRATO!$C$2:$C$3000,MATCH($A1516,EXTRATO!$A$2:$A$3000,0))="","",INDEX(EXTRATO!$C$2:$C$3000,MATCH($A1516,EXTRATO!$A$2:$A$3000,0))))</f>
        <v/>
      </c>
      <c r="C1516" s="86" t="str">
        <f t="shared" si="34"/>
        <v/>
      </c>
      <c r="D1516" s="81"/>
      <c r="E1516" s="79"/>
      <c r="F1516" s="80" t="str">
        <f>IF(A1516="","",SUMIF(EXTRATO!$A$2:$A$3000,$A1516,EXTRATO!$J$2:$J$3000)+SUMIF(EXTRATO!$A$2:$A$3000,$A1516,EXTRATO!$K$2:$K$3000)+SUMIF(EXTRATO!$A$2:$A$3000,$A1516,EXTRATO!$L$2:$L$3000)+SUMIF(EXTRATO!$A$2:$A$3000,$A1516,EXTRATO!$M$2:$M$3000))</f>
        <v/>
      </c>
      <c r="G1516" s="81" t="str">
        <f>IF(A1516="","",IF(INDEX(EXTRATO!$G$2:$G$3000,MATCH($A1516,EXTRATO!$A$2:$A$3000,0))="","",INDEX(EXTRATO!$G$2:$G$3000,MATCH($A1516,EXTRATO!$A$2:$A$3000,0))))</f>
        <v/>
      </c>
      <c r="H1516" s="86" t="str">
        <f>IF(A1516="","",IF(INDEX(EXTRATO!$F$2:$F$3000,MATCH($A1516,EXTRATO!$A$2:$A$3000,0))="","",INDEX(EXTRATO!$F$2:$F$3000,MATCH($A1516,EXTRATO!$A$2:$A$3000,0))))</f>
        <v/>
      </c>
      <c r="I1516" s="88" t="str">
        <f>IF(A1516="","",IF(INDEX(EXTRATO!$H$2:$H$3000,MATCH($A1516,EXTRATO!$A$2:$A$3000,0))="","",INDEX(EXTRATO!$H$2:$H$3000,MATCH($A1516,EXTRATO!$A$2:$A$3000,0))))</f>
        <v/>
      </c>
      <c r="J1516" s="86" t="str">
        <f t="shared" ref="J1516:J1579" si="35">IF(A1516="","",IF(K1516="OK","MANUAL","PENDENTE"))</f>
        <v/>
      </c>
      <c r="K1516" s="86" t="str">
        <f>IF(AND(A1516="",D1516="",E1516="",F1516=""),"",IF(D1516="","SEM CATEGORIA",IF(E1516="","SEM SUBCATEGORIA",IF(COUNTIFS(CADASTROS!$L$7:$L$93,D1516,CADASTROS!$D$7:$D$93,E1516)=0,"INCOMPATÍVEL","OK"))))</f>
        <v/>
      </c>
    </row>
    <row r="1517" spans="1:11" ht="30" hidden="1" customHeight="1" x14ac:dyDescent="0.25">
      <c r="A1517" s="86" t="str">
        <f>IF(COUNTIF(EXTRATO!$A$2:$A$3000,"BAN-01374")=0,"","BAN-01374")</f>
        <v/>
      </c>
      <c r="B1517" s="85" t="str">
        <f>IF(A1517="","",IF(INDEX(EXTRATO!$C$2:$C$3000,MATCH($A1517,EXTRATO!$A$2:$A$3000,0))="","",INDEX(EXTRATO!$C$2:$C$3000,MATCH($A1517,EXTRATO!$A$2:$A$3000,0))))</f>
        <v/>
      </c>
      <c r="C1517" s="86" t="str">
        <f t="shared" si="34"/>
        <v/>
      </c>
      <c r="D1517" s="81"/>
      <c r="E1517" s="79"/>
      <c r="F1517" s="80" t="str">
        <f>IF(A1517="","",SUMIF(EXTRATO!$A$2:$A$3000,$A1517,EXTRATO!$J$2:$J$3000)+SUMIF(EXTRATO!$A$2:$A$3000,$A1517,EXTRATO!$K$2:$K$3000)+SUMIF(EXTRATO!$A$2:$A$3000,$A1517,EXTRATO!$L$2:$L$3000)+SUMIF(EXTRATO!$A$2:$A$3000,$A1517,EXTRATO!$M$2:$M$3000))</f>
        <v/>
      </c>
      <c r="G1517" s="81" t="str">
        <f>IF(A1517="","",IF(INDEX(EXTRATO!$G$2:$G$3000,MATCH($A1517,EXTRATO!$A$2:$A$3000,0))="","",INDEX(EXTRATO!$G$2:$G$3000,MATCH($A1517,EXTRATO!$A$2:$A$3000,0))))</f>
        <v/>
      </c>
      <c r="H1517" s="86" t="str">
        <f>IF(A1517="","",IF(INDEX(EXTRATO!$F$2:$F$3000,MATCH($A1517,EXTRATO!$A$2:$A$3000,0))="","",INDEX(EXTRATO!$F$2:$F$3000,MATCH($A1517,EXTRATO!$A$2:$A$3000,0))))</f>
        <v/>
      </c>
      <c r="I1517" s="88" t="str">
        <f>IF(A1517="","",IF(INDEX(EXTRATO!$H$2:$H$3000,MATCH($A1517,EXTRATO!$A$2:$A$3000,0))="","",INDEX(EXTRATO!$H$2:$H$3000,MATCH($A1517,EXTRATO!$A$2:$A$3000,0))))</f>
        <v/>
      </c>
      <c r="J1517" s="86" t="str">
        <f t="shared" si="35"/>
        <v/>
      </c>
      <c r="K1517" s="86" t="str">
        <f>IF(AND(A1517="",D1517="",E1517="",F1517=""),"",IF(D1517="","SEM CATEGORIA",IF(E1517="","SEM SUBCATEGORIA",IF(COUNTIFS(CADASTROS!$L$7:$L$93,D1517,CADASTROS!$D$7:$D$93,E1517)=0,"INCOMPATÍVEL","OK"))))</f>
        <v/>
      </c>
    </row>
    <row r="1518" spans="1:11" ht="30" hidden="1" customHeight="1" x14ac:dyDescent="0.25">
      <c r="A1518" s="86" t="str">
        <f>IF(COUNTIF(EXTRATO!$A$2:$A$3000,"BAN-01375")=0,"","BAN-01375")</f>
        <v/>
      </c>
      <c r="B1518" s="85" t="str">
        <f>IF(A1518="","",IF(INDEX(EXTRATO!$C$2:$C$3000,MATCH($A1518,EXTRATO!$A$2:$A$3000,0))="","",INDEX(EXTRATO!$C$2:$C$3000,MATCH($A1518,EXTRATO!$A$2:$A$3000,0))))</f>
        <v/>
      </c>
      <c r="C1518" s="86" t="str">
        <f t="shared" si="34"/>
        <v/>
      </c>
      <c r="D1518" s="81"/>
      <c r="E1518" s="79"/>
      <c r="F1518" s="80" t="str">
        <f>IF(A1518="","",SUMIF(EXTRATO!$A$2:$A$3000,$A1518,EXTRATO!$J$2:$J$3000)+SUMIF(EXTRATO!$A$2:$A$3000,$A1518,EXTRATO!$K$2:$K$3000)+SUMIF(EXTRATO!$A$2:$A$3000,$A1518,EXTRATO!$L$2:$L$3000)+SUMIF(EXTRATO!$A$2:$A$3000,$A1518,EXTRATO!$M$2:$M$3000))</f>
        <v/>
      </c>
      <c r="G1518" s="81" t="str">
        <f>IF(A1518="","",IF(INDEX(EXTRATO!$G$2:$G$3000,MATCH($A1518,EXTRATO!$A$2:$A$3000,0))="","",INDEX(EXTRATO!$G$2:$G$3000,MATCH($A1518,EXTRATO!$A$2:$A$3000,0))))</f>
        <v/>
      </c>
      <c r="H1518" s="86" t="str">
        <f>IF(A1518="","",IF(INDEX(EXTRATO!$F$2:$F$3000,MATCH($A1518,EXTRATO!$A$2:$A$3000,0))="","",INDEX(EXTRATO!$F$2:$F$3000,MATCH($A1518,EXTRATO!$A$2:$A$3000,0))))</f>
        <v/>
      </c>
      <c r="I1518" s="88" t="str">
        <f>IF(A1518="","",IF(INDEX(EXTRATO!$H$2:$H$3000,MATCH($A1518,EXTRATO!$A$2:$A$3000,0))="","",INDEX(EXTRATO!$H$2:$H$3000,MATCH($A1518,EXTRATO!$A$2:$A$3000,0))))</f>
        <v/>
      </c>
      <c r="J1518" s="86" t="str">
        <f t="shared" si="35"/>
        <v/>
      </c>
      <c r="K1518" s="86" t="str">
        <f>IF(AND(A1518="",D1518="",E1518="",F1518=""),"",IF(D1518="","SEM CATEGORIA",IF(E1518="","SEM SUBCATEGORIA",IF(COUNTIFS(CADASTROS!$L$7:$L$93,D1518,CADASTROS!$D$7:$D$93,E1518)=0,"INCOMPATÍVEL","OK"))))</f>
        <v/>
      </c>
    </row>
    <row r="1519" spans="1:11" ht="30" hidden="1" customHeight="1" x14ac:dyDescent="0.25">
      <c r="A1519" s="86" t="str">
        <f>IF(COUNTIF(EXTRATO!$A$2:$A$3000,"BAN-01376")=0,"","BAN-01376")</f>
        <v/>
      </c>
      <c r="B1519" s="85" t="str">
        <f>IF(A1519="","",IF(INDEX(EXTRATO!$C$2:$C$3000,MATCH($A1519,EXTRATO!$A$2:$A$3000,0))="","",INDEX(EXTRATO!$C$2:$C$3000,MATCH($A1519,EXTRATO!$A$2:$A$3000,0))))</f>
        <v/>
      </c>
      <c r="C1519" s="86" t="str">
        <f t="shared" si="34"/>
        <v/>
      </c>
      <c r="D1519" s="81"/>
      <c r="E1519" s="79"/>
      <c r="F1519" s="80" t="str">
        <f>IF(A1519="","",SUMIF(EXTRATO!$A$2:$A$3000,$A1519,EXTRATO!$J$2:$J$3000)+SUMIF(EXTRATO!$A$2:$A$3000,$A1519,EXTRATO!$K$2:$K$3000)+SUMIF(EXTRATO!$A$2:$A$3000,$A1519,EXTRATO!$L$2:$L$3000)+SUMIF(EXTRATO!$A$2:$A$3000,$A1519,EXTRATO!$M$2:$M$3000))</f>
        <v/>
      </c>
      <c r="G1519" s="81" t="str">
        <f>IF(A1519="","",IF(INDEX(EXTRATO!$G$2:$G$3000,MATCH($A1519,EXTRATO!$A$2:$A$3000,0))="","",INDEX(EXTRATO!$G$2:$G$3000,MATCH($A1519,EXTRATO!$A$2:$A$3000,0))))</f>
        <v/>
      </c>
      <c r="H1519" s="86" t="str">
        <f>IF(A1519="","",IF(INDEX(EXTRATO!$F$2:$F$3000,MATCH($A1519,EXTRATO!$A$2:$A$3000,0))="","",INDEX(EXTRATO!$F$2:$F$3000,MATCH($A1519,EXTRATO!$A$2:$A$3000,0))))</f>
        <v/>
      </c>
      <c r="I1519" s="88" t="str">
        <f>IF(A1519="","",IF(INDEX(EXTRATO!$H$2:$H$3000,MATCH($A1519,EXTRATO!$A$2:$A$3000,0))="","",INDEX(EXTRATO!$H$2:$H$3000,MATCH($A1519,EXTRATO!$A$2:$A$3000,0))))</f>
        <v/>
      </c>
      <c r="J1519" s="86" t="str">
        <f t="shared" si="35"/>
        <v/>
      </c>
      <c r="K1519" s="86" t="str">
        <f>IF(AND(A1519="",D1519="",E1519="",F1519=""),"",IF(D1519="","SEM CATEGORIA",IF(E1519="","SEM SUBCATEGORIA",IF(COUNTIFS(CADASTROS!$L$7:$L$93,D1519,CADASTROS!$D$7:$D$93,E1519)=0,"INCOMPATÍVEL","OK"))))</f>
        <v/>
      </c>
    </row>
    <row r="1520" spans="1:11" ht="30" hidden="1" customHeight="1" x14ac:dyDescent="0.25">
      <c r="A1520" s="86" t="str">
        <f>IF(COUNTIF(EXTRATO!$A$2:$A$3000,"BAN-01377")=0,"","BAN-01377")</f>
        <v/>
      </c>
      <c r="B1520" s="85" t="str">
        <f>IF(A1520="","",IF(INDEX(EXTRATO!$C$2:$C$3000,MATCH($A1520,EXTRATO!$A$2:$A$3000,0))="","",INDEX(EXTRATO!$C$2:$C$3000,MATCH($A1520,EXTRATO!$A$2:$A$3000,0))))</f>
        <v/>
      </c>
      <c r="C1520" s="86" t="str">
        <f t="shared" si="34"/>
        <v/>
      </c>
      <c r="D1520" s="81"/>
      <c r="E1520" s="79"/>
      <c r="F1520" s="80" t="str">
        <f>IF(A1520="","",SUMIF(EXTRATO!$A$2:$A$3000,$A1520,EXTRATO!$J$2:$J$3000)+SUMIF(EXTRATO!$A$2:$A$3000,$A1520,EXTRATO!$K$2:$K$3000)+SUMIF(EXTRATO!$A$2:$A$3000,$A1520,EXTRATO!$L$2:$L$3000)+SUMIF(EXTRATO!$A$2:$A$3000,$A1520,EXTRATO!$M$2:$M$3000))</f>
        <v/>
      </c>
      <c r="G1520" s="81" t="str">
        <f>IF(A1520="","",IF(INDEX(EXTRATO!$G$2:$G$3000,MATCH($A1520,EXTRATO!$A$2:$A$3000,0))="","",INDEX(EXTRATO!$G$2:$G$3000,MATCH($A1520,EXTRATO!$A$2:$A$3000,0))))</f>
        <v/>
      </c>
      <c r="H1520" s="86" t="str">
        <f>IF(A1520="","",IF(INDEX(EXTRATO!$F$2:$F$3000,MATCH($A1520,EXTRATO!$A$2:$A$3000,0))="","",INDEX(EXTRATO!$F$2:$F$3000,MATCH($A1520,EXTRATO!$A$2:$A$3000,0))))</f>
        <v/>
      </c>
      <c r="I1520" s="88" t="str">
        <f>IF(A1520="","",IF(INDEX(EXTRATO!$H$2:$H$3000,MATCH($A1520,EXTRATO!$A$2:$A$3000,0))="","",INDEX(EXTRATO!$H$2:$H$3000,MATCH($A1520,EXTRATO!$A$2:$A$3000,0))))</f>
        <v/>
      </c>
      <c r="J1520" s="86" t="str">
        <f t="shared" si="35"/>
        <v/>
      </c>
      <c r="K1520" s="86" t="str">
        <f>IF(AND(A1520="",D1520="",E1520="",F1520=""),"",IF(D1520="","SEM CATEGORIA",IF(E1520="","SEM SUBCATEGORIA",IF(COUNTIFS(CADASTROS!$L$7:$L$93,D1520,CADASTROS!$D$7:$D$93,E1520)=0,"INCOMPATÍVEL","OK"))))</f>
        <v/>
      </c>
    </row>
    <row r="1521" spans="1:11" ht="30" hidden="1" customHeight="1" x14ac:dyDescent="0.25">
      <c r="A1521" s="86" t="str">
        <f>IF(COUNTIF(EXTRATO!$A$2:$A$3000,"BAN-01378")=0,"","BAN-01378")</f>
        <v/>
      </c>
      <c r="B1521" s="85" t="str">
        <f>IF(A1521="","",IF(INDEX(EXTRATO!$C$2:$C$3000,MATCH($A1521,EXTRATO!$A$2:$A$3000,0))="","",INDEX(EXTRATO!$C$2:$C$3000,MATCH($A1521,EXTRATO!$A$2:$A$3000,0))))</f>
        <v/>
      </c>
      <c r="C1521" s="86" t="str">
        <f t="shared" si="34"/>
        <v/>
      </c>
      <c r="D1521" s="81"/>
      <c r="E1521" s="79"/>
      <c r="F1521" s="80" t="str">
        <f>IF(A1521="","",SUMIF(EXTRATO!$A$2:$A$3000,$A1521,EXTRATO!$J$2:$J$3000)+SUMIF(EXTRATO!$A$2:$A$3000,$A1521,EXTRATO!$K$2:$K$3000)+SUMIF(EXTRATO!$A$2:$A$3000,$A1521,EXTRATO!$L$2:$L$3000)+SUMIF(EXTRATO!$A$2:$A$3000,$A1521,EXTRATO!$M$2:$M$3000))</f>
        <v/>
      </c>
      <c r="G1521" s="81" t="str">
        <f>IF(A1521="","",IF(INDEX(EXTRATO!$G$2:$G$3000,MATCH($A1521,EXTRATO!$A$2:$A$3000,0))="","",INDEX(EXTRATO!$G$2:$G$3000,MATCH($A1521,EXTRATO!$A$2:$A$3000,0))))</f>
        <v/>
      </c>
      <c r="H1521" s="86" t="str">
        <f>IF(A1521="","",IF(INDEX(EXTRATO!$F$2:$F$3000,MATCH($A1521,EXTRATO!$A$2:$A$3000,0))="","",INDEX(EXTRATO!$F$2:$F$3000,MATCH($A1521,EXTRATO!$A$2:$A$3000,0))))</f>
        <v/>
      </c>
      <c r="I1521" s="88" t="str">
        <f>IF(A1521="","",IF(INDEX(EXTRATO!$H$2:$H$3000,MATCH($A1521,EXTRATO!$A$2:$A$3000,0))="","",INDEX(EXTRATO!$H$2:$H$3000,MATCH($A1521,EXTRATO!$A$2:$A$3000,0))))</f>
        <v/>
      </c>
      <c r="J1521" s="86" t="str">
        <f t="shared" si="35"/>
        <v/>
      </c>
      <c r="K1521" s="86" t="str">
        <f>IF(AND(A1521="",D1521="",E1521="",F1521=""),"",IF(D1521="","SEM CATEGORIA",IF(E1521="","SEM SUBCATEGORIA",IF(COUNTIFS(CADASTROS!$L$7:$L$93,D1521,CADASTROS!$D$7:$D$93,E1521)=0,"INCOMPATÍVEL","OK"))))</f>
        <v/>
      </c>
    </row>
    <row r="1522" spans="1:11" ht="30" hidden="1" customHeight="1" x14ac:dyDescent="0.25">
      <c r="A1522" s="86" t="str">
        <f>IF(COUNTIF(EXTRATO!$A$2:$A$3000,"BAN-01379")=0,"","BAN-01379")</f>
        <v/>
      </c>
      <c r="B1522" s="85" t="str">
        <f>IF(A1522="","",IF(INDEX(EXTRATO!$C$2:$C$3000,MATCH($A1522,EXTRATO!$A$2:$A$3000,0))="","",INDEX(EXTRATO!$C$2:$C$3000,MATCH($A1522,EXTRATO!$A$2:$A$3000,0))))</f>
        <v/>
      </c>
      <c r="C1522" s="86" t="str">
        <f t="shared" si="34"/>
        <v/>
      </c>
      <c r="D1522" s="81"/>
      <c r="E1522" s="79"/>
      <c r="F1522" s="80" t="str">
        <f>IF(A1522="","",SUMIF(EXTRATO!$A$2:$A$3000,$A1522,EXTRATO!$J$2:$J$3000)+SUMIF(EXTRATO!$A$2:$A$3000,$A1522,EXTRATO!$K$2:$K$3000)+SUMIF(EXTRATO!$A$2:$A$3000,$A1522,EXTRATO!$L$2:$L$3000)+SUMIF(EXTRATO!$A$2:$A$3000,$A1522,EXTRATO!$M$2:$M$3000))</f>
        <v/>
      </c>
      <c r="G1522" s="81" t="str">
        <f>IF(A1522="","",IF(INDEX(EXTRATO!$G$2:$G$3000,MATCH($A1522,EXTRATO!$A$2:$A$3000,0))="","",INDEX(EXTRATO!$G$2:$G$3000,MATCH($A1522,EXTRATO!$A$2:$A$3000,0))))</f>
        <v/>
      </c>
      <c r="H1522" s="86" t="str">
        <f>IF(A1522="","",IF(INDEX(EXTRATO!$F$2:$F$3000,MATCH($A1522,EXTRATO!$A$2:$A$3000,0))="","",INDEX(EXTRATO!$F$2:$F$3000,MATCH($A1522,EXTRATO!$A$2:$A$3000,0))))</f>
        <v/>
      </c>
      <c r="I1522" s="88" t="str">
        <f>IF(A1522="","",IF(INDEX(EXTRATO!$H$2:$H$3000,MATCH($A1522,EXTRATO!$A$2:$A$3000,0))="","",INDEX(EXTRATO!$H$2:$H$3000,MATCH($A1522,EXTRATO!$A$2:$A$3000,0))))</f>
        <v/>
      </c>
      <c r="J1522" s="86" t="str">
        <f t="shared" si="35"/>
        <v/>
      </c>
      <c r="K1522" s="86" t="str">
        <f>IF(AND(A1522="",D1522="",E1522="",F1522=""),"",IF(D1522="","SEM CATEGORIA",IF(E1522="","SEM SUBCATEGORIA",IF(COUNTIFS(CADASTROS!$L$7:$L$93,D1522,CADASTROS!$D$7:$D$93,E1522)=0,"INCOMPATÍVEL","OK"))))</f>
        <v/>
      </c>
    </row>
    <row r="1523" spans="1:11" ht="30" hidden="1" customHeight="1" x14ac:dyDescent="0.25">
      <c r="A1523" s="86" t="str">
        <f>IF(COUNTIF(EXTRATO!$A$2:$A$3000,"BAN-01380")=0,"","BAN-01380")</f>
        <v/>
      </c>
      <c r="B1523" s="85" t="str">
        <f>IF(A1523="","",IF(INDEX(EXTRATO!$C$2:$C$3000,MATCH($A1523,EXTRATO!$A$2:$A$3000,0))="","",INDEX(EXTRATO!$C$2:$C$3000,MATCH($A1523,EXTRATO!$A$2:$A$3000,0))))</f>
        <v/>
      </c>
      <c r="C1523" s="86" t="str">
        <f t="shared" si="34"/>
        <v/>
      </c>
      <c r="D1523" s="81"/>
      <c r="E1523" s="79"/>
      <c r="F1523" s="80" t="str">
        <f>IF(A1523="","",SUMIF(EXTRATO!$A$2:$A$3000,$A1523,EXTRATO!$J$2:$J$3000)+SUMIF(EXTRATO!$A$2:$A$3000,$A1523,EXTRATO!$K$2:$K$3000)+SUMIF(EXTRATO!$A$2:$A$3000,$A1523,EXTRATO!$L$2:$L$3000)+SUMIF(EXTRATO!$A$2:$A$3000,$A1523,EXTRATO!$M$2:$M$3000))</f>
        <v/>
      </c>
      <c r="G1523" s="81" t="str">
        <f>IF(A1523="","",IF(INDEX(EXTRATO!$G$2:$G$3000,MATCH($A1523,EXTRATO!$A$2:$A$3000,0))="","",INDEX(EXTRATO!$G$2:$G$3000,MATCH($A1523,EXTRATO!$A$2:$A$3000,0))))</f>
        <v/>
      </c>
      <c r="H1523" s="86" t="str">
        <f>IF(A1523="","",IF(INDEX(EXTRATO!$F$2:$F$3000,MATCH($A1523,EXTRATO!$A$2:$A$3000,0))="","",INDEX(EXTRATO!$F$2:$F$3000,MATCH($A1523,EXTRATO!$A$2:$A$3000,0))))</f>
        <v/>
      </c>
      <c r="I1523" s="88" t="str">
        <f>IF(A1523="","",IF(INDEX(EXTRATO!$H$2:$H$3000,MATCH($A1523,EXTRATO!$A$2:$A$3000,0))="","",INDEX(EXTRATO!$H$2:$H$3000,MATCH($A1523,EXTRATO!$A$2:$A$3000,0))))</f>
        <v/>
      </c>
      <c r="J1523" s="86" t="str">
        <f t="shared" si="35"/>
        <v/>
      </c>
      <c r="K1523" s="86" t="str">
        <f>IF(AND(A1523="",D1523="",E1523="",F1523=""),"",IF(D1523="","SEM CATEGORIA",IF(E1523="","SEM SUBCATEGORIA",IF(COUNTIFS(CADASTROS!$L$7:$L$93,D1523,CADASTROS!$D$7:$D$93,E1523)=0,"INCOMPATÍVEL","OK"))))</f>
        <v/>
      </c>
    </row>
    <row r="1524" spans="1:11" ht="30" hidden="1" customHeight="1" x14ac:dyDescent="0.25">
      <c r="A1524" s="86" t="str">
        <f>IF(COUNTIF(EXTRATO!$A$2:$A$3000,"BAN-01381")=0,"","BAN-01381")</f>
        <v/>
      </c>
      <c r="B1524" s="85" t="str">
        <f>IF(A1524="","",IF(INDEX(EXTRATO!$C$2:$C$3000,MATCH($A1524,EXTRATO!$A$2:$A$3000,0))="","",INDEX(EXTRATO!$C$2:$C$3000,MATCH($A1524,EXTRATO!$A$2:$A$3000,0))))</f>
        <v/>
      </c>
      <c r="C1524" s="86" t="str">
        <f t="shared" si="34"/>
        <v/>
      </c>
      <c r="D1524" s="81"/>
      <c r="E1524" s="79"/>
      <c r="F1524" s="80" t="str">
        <f>IF(A1524="","",SUMIF(EXTRATO!$A$2:$A$3000,$A1524,EXTRATO!$J$2:$J$3000)+SUMIF(EXTRATO!$A$2:$A$3000,$A1524,EXTRATO!$K$2:$K$3000)+SUMIF(EXTRATO!$A$2:$A$3000,$A1524,EXTRATO!$L$2:$L$3000)+SUMIF(EXTRATO!$A$2:$A$3000,$A1524,EXTRATO!$M$2:$M$3000))</f>
        <v/>
      </c>
      <c r="G1524" s="81" t="str">
        <f>IF(A1524="","",IF(INDEX(EXTRATO!$G$2:$G$3000,MATCH($A1524,EXTRATO!$A$2:$A$3000,0))="","",INDEX(EXTRATO!$G$2:$G$3000,MATCH($A1524,EXTRATO!$A$2:$A$3000,0))))</f>
        <v/>
      </c>
      <c r="H1524" s="86" t="str">
        <f>IF(A1524="","",IF(INDEX(EXTRATO!$F$2:$F$3000,MATCH($A1524,EXTRATO!$A$2:$A$3000,0))="","",INDEX(EXTRATO!$F$2:$F$3000,MATCH($A1524,EXTRATO!$A$2:$A$3000,0))))</f>
        <v/>
      </c>
      <c r="I1524" s="88" t="str">
        <f>IF(A1524="","",IF(INDEX(EXTRATO!$H$2:$H$3000,MATCH($A1524,EXTRATO!$A$2:$A$3000,0))="","",INDEX(EXTRATO!$H$2:$H$3000,MATCH($A1524,EXTRATO!$A$2:$A$3000,0))))</f>
        <v/>
      </c>
      <c r="J1524" s="86" t="str">
        <f t="shared" si="35"/>
        <v/>
      </c>
      <c r="K1524" s="86" t="str">
        <f>IF(AND(A1524="",D1524="",E1524="",F1524=""),"",IF(D1524="","SEM CATEGORIA",IF(E1524="","SEM SUBCATEGORIA",IF(COUNTIFS(CADASTROS!$L$7:$L$93,D1524,CADASTROS!$D$7:$D$93,E1524)=0,"INCOMPATÍVEL","OK"))))</f>
        <v/>
      </c>
    </row>
    <row r="1525" spans="1:11" ht="30" hidden="1" customHeight="1" x14ac:dyDescent="0.25">
      <c r="A1525" s="86" t="str">
        <f>IF(COUNTIF(EXTRATO!$A$2:$A$3000,"BAN-01382")=0,"","BAN-01382")</f>
        <v/>
      </c>
      <c r="B1525" s="85" t="str">
        <f>IF(A1525="","",IF(INDEX(EXTRATO!$C$2:$C$3000,MATCH($A1525,EXTRATO!$A$2:$A$3000,0))="","",INDEX(EXTRATO!$C$2:$C$3000,MATCH($A1525,EXTRATO!$A$2:$A$3000,0))))</f>
        <v/>
      </c>
      <c r="C1525" s="86" t="str">
        <f t="shared" si="34"/>
        <v/>
      </c>
      <c r="D1525" s="81"/>
      <c r="E1525" s="79"/>
      <c r="F1525" s="80" t="str">
        <f>IF(A1525="","",SUMIF(EXTRATO!$A$2:$A$3000,$A1525,EXTRATO!$J$2:$J$3000)+SUMIF(EXTRATO!$A$2:$A$3000,$A1525,EXTRATO!$K$2:$K$3000)+SUMIF(EXTRATO!$A$2:$A$3000,$A1525,EXTRATO!$L$2:$L$3000)+SUMIF(EXTRATO!$A$2:$A$3000,$A1525,EXTRATO!$M$2:$M$3000))</f>
        <v/>
      </c>
      <c r="G1525" s="81" t="str">
        <f>IF(A1525="","",IF(INDEX(EXTRATO!$G$2:$G$3000,MATCH($A1525,EXTRATO!$A$2:$A$3000,0))="","",INDEX(EXTRATO!$G$2:$G$3000,MATCH($A1525,EXTRATO!$A$2:$A$3000,0))))</f>
        <v/>
      </c>
      <c r="H1525" s="86" t="str">
        <f>IF(A1525="","",IF(INDEX(EXTRATO!$F$2:$F$3000,MATCH($A1525,EXTRATO!$A$2:$A$3000,0))="","",INDEX(EXTRATO!$F$2:$F$3000,MATCH($A1525,EXTRATO!$A$2:$A$3000,0))))</f>
        <v/>
      </c>
      <c r="I1525" s="88" t="str">
        <f>IF(A1525="","",IF(INDEX(EXTRATO!$H$2:$H$3000,MATCH($A1525,EXTRATO!$A$2:$A$3000,0))="","",INDEX(EXTRATO!$H$2:$H$3000,MATCH($A1525,EXTRATO!$A$2:$A$3000,0))))</f>
        <v/>
      </c>
      <c r="J1525" s="86" t="str">
        <f t="shared" si="35"/>
        <v/>
      </c>
      <c r="K1525" s="86" t="str">
        <f>IF(AND(A1525="",D1525="",E1525="",F1525=""),"",IF(D1525="","SEM CATEGORIA",IF(E1525="","SEM SUBCATEGORIA",IF(COUNTIFS(CADASTROS!$L$7:$L$93,D1525,CADASTROS!$D$7:$D$93,E1525)=0,"INCOMPATÍVEL","OK"))))</f>
        <v/>
      </c>
    </row>
    <row r="1526" spans="1:11" ht="30" hidden="1" customHeight="1" x14ac:dyDescent="0.25">
      <c r="A1526" s="86" t="str">
        <f>IF(COUNTIF(EXTRATO!$A$2:$A$3000,"BAN-01383")=0,"","BAN-01383")</f>
        <v/>
      </c>
      <c r="B1526" s="85" t="str">
        <f>IF(A1526="","",IF(INDEX(EXTRATO!$C$2:$C$3000,MATCH($A1526,EXTRATO!$A$2:$A$3000,0))="","",INDEX(EXTRATO!$C$2:$C$3000,MATCH($A1526,EXTRATO!$A$2:$A$3000,0))))</f>
        <v/>
      </c>
      <c r="C1526" s="86" t="str">
        <f t="shared" si="34"/>
        <v/>
      </c>
      <c r="D1526" s="81"/>
      <c r="E1526" s="79"/>
      <c r="F1526" s="80" t="str">
        <f>IF(A1526="","",SUMIF(EXTRATO!$A$2:$A$3000,$A1526,EXTRATO!$J$2:$J$3000)+SUMIF(EXTRATO!$A$2:$A$3000,$A1526,EXTRATO!$K$2:$K$3000)+SUMIF(EXTRATO!$A$2:$A$3000,$A1526,EXTRATO!$L$2:$L$3000)+SUMIF(EXTRATO!$A$2:$A$3000,$A1526,EXTRATO!$M$2:$M$3000))</f>
        <v/>
      </c>
      <c r="G1526" s="81" t="str">
        <f>IF(A1526="","",IF(INDEX(EXTRATO!$G$2:$G$3000,MATCH($A1526,EXTRATO!$A$2:$A$3000,0))="","",INDEX(EXTRATO!$G$2:$G$3000,MATCH($A1526,EXTRATO!$A$2:$A$3000,0))))</f>
        <v/>
      </c>
      <c r="H1526" s="86" t="str">
        <f>IF(A1526="","",IF(INDEX(EXTRATO!$F$2:$F$3000,MATCH($A1526,EXTRATO!$A$2:$A$3000,0))="","",INDEX(EXTRATO!$F$2:$F$3000,MATCH($A1526,EXTRATO!$A$2:$A$3000,0))))</f>
        <v/>
      </c>
      <c r="I1526" s="88" t="str">
        <f>IF(A1526="","",IF(INDEX(EXTRATO!$H$2:$H$3000,MATCH($A1526,EXTRATO!$A$2:$A$3000,0))="","",INDEX(EXTRATO!$H$2:$H$3000,MATCH($A1526,EXTRATO!$A$2:$A$3000,0))))</f>
        <v/>
      </c>
      <c r="J1526" s="86" t="str">
        <f t="shared" si="35"/>
        <v/>
      </c>
      <c r="K1526" s="86" t="str">
        <f>IF(AND(A1526="",D1526="",E1526="",F1526=""),"",IF(D1526="","SEM CATEGORIA",IF(E1526="","SEM SUBCATEGORIA",IF(COUNTIFS(CADASTROS!$L$7:$L$93,D1526,CADASTROS!$D$7:$D$93,E1526)=0,"INCOMPATÍVEL","OK"))))</f>
        <v/>
      </c>
    </row>
    <row r="1527" spans="1:11" ht="30" hidden="1" customHeight="1" x14ac:dyDescent="0.25">
      <c r="A1527" s="86" t="str">
        <f>IF(COUNTIF(EXTRATO!$A$2:$A$3000,"BAN-01384")=0,"","BAN-01384")</f>
        <v/>
      </c>
      <c r="B1527" s="85" t="str">
        <f>IF(A1527="","",IF(INDEX(EXTRATO!$C$2:$C$3000,MATCH($A1527,EXTRATO!$A$2:$A$3000,0))="","",INDEX(EXTRATO!$C$2:$C$3000,MATCH($A1527,EXTRATO!$A$2:$A$3000,0))))</f>
        <v/>
      </c>
      <c r="C1527" s="86" t="str">
        <f t="shared" si="34"/>
        <v/>
      </c>
      <c r="D1527" s="81"/>
      <c r="E1527" s="79"/>
      <c r="F1527" s="80" t="str">
        <f>IF(A1527="","",SUMIF(EXTRATO!$A$2:$A$3000,$A1527,EXTRATO!$J$2:$J$3000)+SUMIF(EXTRATO!$A$2:$A$3000,$A1527,EXTRATO!$K$2:$K$3000)+SUMIF(EXTRATO!$A$2:$A$3000,$A1527,EXTRATO!$L$2:$L$3000)+SUMIF(EXTRATO!$A$2:$A$3000,$A1527,EXTRATO!$M$2:$M$3000))</f>
        <v/>
      </c>
      <c r="G1527" s="81" t="str">
        <f>IF(A1527="","",IF(INDEX(EXTRATO!$G$2:$G$3000,MATCH($A1527,EXTRATO!$A$2:$A$3000,0))="","",INDEX(EXTRATO!$G$2:$G$3000,MATCH($A1527,EXTRATO!$A$2:$A$3000,0))))</f>
        <v/>
      </c>
      <c r="H1527" s="86" t="str">
        <f>IF(A1527="","",IF(INDEX(EXTRATO!$F$2:$F$3000,MATCH($A1527,EXTRATO!$A$2:$A$3000,0))="","",INDEX(EXTRATO!$F$2:$F$3000,MATCH($A1527,EXTRATO!$A$2:$A$3000,0))))</f>
        <v/>
      </c>
      <c r="I1527" s="88" t="str">
        <f>IF(A1527="","",IF(INDEX(EXTRATO!$H$2:$H$3000,MATCH($A1527,EXTRATO!$A$2:$A$3000,0))="","",INDEX(EXTRATO!$H$2:$H$3000,MATCH($A1527,EXTRATO!$A$2:$A$3000,0))))</f>
        <v/>
      </c>
      <c r="J1527" s="86" t="str">
        <f t="shared" si="35"/>
        <v/>
      </c>
      <c r="K1527" s="86" t="str">
        <f>IF(AND(A1527="",D1527="",E1527="",F1527=""),"",IF(D1527="","SEM CATEGORIA",IF(E1527="","SEM SUBCATEGORIA",IF(COUNTIFS(CADASTROS!$L$7:$L$93,D1527,CADASTROS!$D$7:$D$93,E1527)=0,"INCOMPATÍVEL","OK"))))</f>
        <v/>
      </c>
    </row>
    <row r="1528" spans="1:11" ht="30" hidden="1" customHeight="1" x14ac:dyDescent="0.25">
      <c r="A1528" s="86" t="str">
        <f>IF(COUNTIF(EXTRATO!$A$2:$A$3000,"BAN-01385")=0,"","BAN-01385")</f>
        <v/>
      </c>
      <c r="B1528" s="85" t="str">
        <f>IF(A1528="","",IF(INDEX(EXTRATO!$C$2:$C$3000,MATCH($A1528,EXTRATO!$A$2:$A$3000,0))="","",INDEX(EXTRATO!$C$2:$C$3000,MATCH($A1528,EXTRATO!$A$2:$A$3000,0))))</f>
        <v/>
      </c>
      <c r="C1528" s="86" t="str">
        <f t="shared" si="34"/>
        <v/>
      </c>
      <c r="D1528" s="81"/>
      <c r="E1528" s="79"/>
      <c r="F1528" s="80" t="str">
        <f>IF(A1528="","",SUMIF(EXTRATO!$A$2:$A$3000,$A1528,EXTRATO!$J$2:$J$3000)+SUMIF(EXTRATO!$A$2:$A$3000,$A1528,EXTRATO!$K$2:$K$3000)+SUMIF(EXTRATO!$A$2:$A$3000,$A1528,EXTRATO!$L$2:$L$3000)+SUMIF(EXTRATO!$A$2:$A$3000,$A1528,EXTRATO!$M$2:$M$3000))</f>
        <v/>
      </c>
      <c r="G1528" s="81" t="str">
        <f>IF(A1528="","",IF(INDEX(EXTRATO!$G$2:$G$3000,MATCH($A1528,EXTRATO!$A$2:$A$3000,0))="","",INDEX(EXTRATO!$G$2:$G$3000,MATCH($A1528,EXTRATO!$A$2:$A$3000,0))))</f>
        <v/>
      </c>
      <c r="H1528" s="86" t="str">
        <f>IF(A1528="","",IF(INDEX(EXTRATO!$F$2:$F$3000,MATCH($A1528,EXTRATO!$A$2:$A$3000,0))="","",INDEX(EXTRATO!$F$2:$F$3000,MATCH($A1528,EXTRATO!$A$2:$A$3000,0))))</f>
        <v/>
      </c>
      <c r="I1528" s="88" t="str">
        <f>IF(A1528="","",IF(INDEX(EXTRATO!$H$2:$H$3000,MATCH($A1528,EXTRATO!$A$2:$A$3000,0))="","",INDEX(EXTRATO!$H$2:$H$3000,MATCH($A1528,EXTRATO!$A$2:$A$3000,0))))</f>
        <v/>
      </c>
      <c r="J1528" s="86" t="str">
        <f t="shared" si="35"/>
        <v/>
      </c>
      <c r="K1528" s="86" t="str">
        <f>IF(AND(A1528="",D1528="",E1528="",F1528=""),"",IF(D1528="","SEM CATEGORIA",IF(E1528="","SEM SUBCATEGORIA",IF(COUNTIFS(CADASTROS!$L$7:$L$93,D1528,CADASTROS!$D$7:$D$93,E1528)=0,"INCOMPATÍVEL","OK"))))</f>
        <v/>
      </c>
    </row>
    <row r="1529" spans="1:11" ht="30" hidden="1" customHeight="1" x14ac:dyDescent="0.25">
      <c r="A1529" s="86" t="str">
        <f>IF(COUNTIF(EXTRATO!$A$2:$A$3000,"BAN-01386")=0,"","BAN-01386")</f>
        <v/>
      </c>
      <c r="B1529" s="85" t="str">
        <f>IF(A1529="","",IF(INDEX(EXTRATO!$C$2:$C$3000,MATCH($A1529,EXTRATO!$A$2:$A$3000,0))="","",INDEX(EXTRATO!$C$2:$C$3000,MATCH($A1529,EXTRATO!$A$2:$A$3000,0))))</f>
        <v/>
      </c>
      <c r="C1529" s="86" t="str">
        <f t="shared" si="34"/>
        <v/>
      </c>
      <c r="D1529" s="81"/>
      <c r="E1529" s="79"/>
      <c r="F1529" s="80" t="str">
        <f>IF(A1529="","",SUMIF(EXTRATO!$A$2:$A$3000,$A1529,EXTRATO!$J$2:$J$3000)+SUMIF(EXTRATO!$A$2:$A$3000,$A1529,EXTRATO!$K$2:$K$3000)+SUMIF(EXTRATO!$A$2:$A$3000,$A1529,EXTRATO!$L$2:$L$3000)+SUMIF(EXTRATO!$A$2:$A$3000,$A1529,EXTRATO!$M$2:$M$3000))</f>
        <v/>
      </c>
      <c r="G1529" s="81" t="str">
        <f>IF(A1529="","",IF(INDEX(EXTRATO!$G$2:$G$3000,MATCH($A1529,EXTRATO!$A$2:$A$3000,0))="","",INDEX(EXTRATO!$G$2:$G$3000,MATCH($A1529,EXTRATO!$A$2:$A$3000,0))))</f>
        <v/>
      </c>
      <c r="H1529" s="86" t="str">
        <f>IF(A1529="","",IF(INDEX(EXTRATO!$F$2:$F$3000,MATCH($A1529,EXTRATO!$A$2:$A$3000,0))="","",INDEX(EXTRATO!$F$2:$F$3000,MATCH($A1529,EXTRATO!$A$2:$A$3000,0))))</f>
        <v/>
      </c>
      <c r="I1529" s="88" t="str">
        <f>IF(A1529="","",IF(INDEX(EXTRATO!$H$2:$H$3000,MATCH($A1529,EXTRATO!$A$2:$A$3000,0))="","",INDEX(EXTRATO!$H$2:$H$3000,MATCH($A1529,EXTRATO!$A$2:$A$3000,0))))</f>
        <v/>
      </c>
      <c r="J1529" s="86" t="str">
        <f t="shared" si="35"/>
        <v/>
      </c>
      <c r="K1529" s="86" t="str">
        <f>IF(AND(A1529="",D1529="",E1529="",F1529=""),"",IF(D1529="","SEM CATEGORIA",IF(E1529="","SEM SUBCATEGORIA",IF(COUNTIFS(CADASTROS!$L$7:$L$93,D1529,CADASTROS!$D$7:$D$93,E1529)=0,"INCOMPATÍVEL","OK"))))</f>
        <v/>
      </c>
    </row>
    <row r="1530" spans="1:11" ht="30" hidden="1" customHeight="1" x14ac:dyDescent="0.25">
      <c r="A1530" s="86" t="str">
        <f>IF(COUNTIF(EXTRATO!$A$2:$A$3000,"BAN-01387")=0,"","BAN-01387")</f>
        <v/>
      </c>
      <c r="B1530" s="85" t="str">
        <f>IF(A1530="","",IF(INDEX(EXTRATO!$C$2:$C$3000,MATCH($A1530,EXTRATO!$A$2:$A$3000,0))="","",INDEX(EXTRATO!$C$2:$C$3000,MATCH($A1530,EXTRATO!$A$2:$A$3000,0))))</f>
        <v/>
      </c>
      <c r="C1530" s="86" t="str">
        <f t="shared" si="34"/>
        <v/>
      </c>
      <c r="D1530" s="81"/>
      <c r="E1530" s="79"/>
      <c r="F1530" s="80" t="str">
        <f>IF(A1530="","",SUMIF(EXTRATO!$A$2:$A$3000,$A1530,EXTRATO!$J$2:$J$3000)+SUMIF(EXTRATO!$A$2:$A$3000,$A1530,EXTRATO!$K$2:$K$3000)+SUMIF(EXTRATO!$A$2:$A$3000,$A1530,EXTRATO!$L$2:$L$3000)+SUMIF(EXTRATO!$A$2:$A$3000,$A1530,EXTRATO!$M$2:$M$3000))</f>
        <v/>
      </c>
      <c r="G1530" s="81" t="str">
        <f>IF(A1530="","",IF(INDEX(EXTRATO!$G$2:$G$3000,MATCH($A1530,EXTRATO!$A$2:$A$3000,0))="","",INDEX(EXTRATO!$G$2:$G$3000,MATCH($A1530,EXTRATO!$A$2:$A$3000,0))))</f>
        <v/>
      </c>
      <c r="H1530" s="86" t="str">
        <f>IF(A1530="","",IF(INDEX(EXTRATO!$F$2:$F$3000,MATCH($A1530,EXTRATO!$A$2:$A$3000,0))="","",INDEX(EXTRATO!$F$2:$F$3000,MATCH($A1530,EXTRATO!$A$2:$A$3000,0))))</f>
        <v/>
      </c>
      <c r="I1530" s="88" t="str">
        <f>IF(A1530="","",IF(INDEX(EXTRATO!$H$2:$H$3000,MATCH($A1530,EXTRATO!$A$2:$A$3000,0))="","",INDEX(EXTRATO!$H$2:$H$3000,MATCH($A1530,EXTRATO!$A$2:$A$3000,0))))</f>
        <v/>
      </c>
      <c r="J1530" s="86" t="str">
        <f t="shared" si="35"/>
        <v/>
      </c>
      <c r="K1530" s="86" t="str">
        <f>IF(AND(A1530="",D1530="",E1530="",F1530=""),"",IF(D1530="","SEM CATEGORIA",IF(E1530="","SEM SUBCATEGORIA",IF(COUNTIFS(CADASTROS!$L$7:$L$93,D1530,CADASTROS!$D$7:$D$93,E1530)=0,"INCOMPATÍVEL","OK"))))</f>
        <v/>
      </c>
    </row>
    <row r="1531" spans="1:11" ht="30" hidden="1" customHeight="1" x14ac:dyDescent="0.25">
      <c r="A1531" s="86" t="str">
        <f>IF(COUNTIF(EXTRATO!$A$2:$A$3000,"BAN-01388")=0,"","BAN-01388")</f>
        <v/>
      </c>
      <c r="B1531" s="85" t="str">
        <f>IF(A1531="","",IF(INDEX(EXTRATO!$C$2:$C$3000,MATCH($A1531,EXTRATO!$A$2:$A$3000,0))="","",INDEX(EXTRATO!$C$2:$C$3000,MATCH($A1531,EXTRATO!$A$2:$A$3000,0))))</f>
        <v/>
      </c>
      <c r="C1531" s="86" t="str">
        <f t="shared" si="34"/>
        <v/>
      </c>
      <c r="D1531" s="81"/>
      <c r="E1531" s="79"/>
      <c r="F1531" s="80" t="str">
        <f>IF(A1531="","",SUMIF(EXTRATO!$A$2:$A$3000,$A1531,EXTRATO!$J$2:$J$3000)+SUMIF(EXTRATO!$A$2:$A$3000,$A1531,EXTRATO!$K$2:$K$3000)+SUMIF(EXTRATO!$A$2:$A$3000,$A1531,EXTRATO!$L$2:$L$3000)+SUMIF(EXTRATO!$A$2:$A$3000,$A1531,EXTRATO!$M$2:$M$3000))</f>
        <v/>
      </c>
      <c r="G1531" s="81" t="str">
        <f>IF(A1531="","",IF(INDEX(EXTRATO!$G$2:$G$3000,MATCH($A1531,EXTRATO!$A$2:$A$3000,0))="","",INDEX(EXTRATO!$G$2:$G$3000,MATCH($A1531,EXTRATO!$A$2:$A$3000,0))))</f>
        <v/>
      </c>
      <c r="H1531" s="86" t="str">
        <f>IF(A1531="","",IF(INDEX(EXTRATO!$F$2:$F$3000,MATCH($A1531,EXTRATO!$A$2:$A$3000,0))="","",INDEX(EXTRATO!$F$2:$F$3000,MATCH($A1531,EXTRATO!$A$2:$A$3000,0))))</f>
        <v/>
      </c>
      <c r="I1531" s="88" t="str">
        <f>IF(A1531="","",IF(INDEX(EXTRATO!$H$2:$H$3000,MATCH($A1531,EXTRATO!$A$2:$A$3000,0))="","",INDEX(EXTRATO!$H$2:$H$3000,MATCH($A1531,EXTRATO!$A$2:$A$3000,0))))</f>
        <v/>
      </c>
      <c r="J1531" s="86" t="str">
        <f t="shared" si="35"/>
        <v/>
      </c>
      <c r="K1531" s="86" t="str">
        <f>IF(AND(A1531="",D1531="",E1531="",F1531=""),"",IF(D1531="","SEM CATEGORIA",IF(E1531="","SEM SUBCATEGORIA",IF(COUNTIFS(CADASTROS!$L$7:$L$93,D1531,CADASTROS!$D$7:$D$93,E1531)=0,"INCOMPATÍVEL","OK"))))</f>
        <v/>
      </c>
    </row>
    <row r="1532" spans="1:11" ht="30" hidden="1" customHeight="1" x14ac:dyDescent="0.25">
      <c r="A1532" s="86" t="str">
        <f>IF(COUNTIF(EXTRATO!$A$2:$A$3000,"BAN-01389")=0,"","BAN-01389")</f>
        <v/>
      </c>
      <c r="B1532" s="85" t="str">
        <f>IF(A1532="","",IF(INDEX(EXTRATO!$C$2:$C$3000,MATCH($A1532,EXTRATO!$A$2:$A$3000,0))="","",INDEX(EXTRATO!$C$2:$C$3000,MATCH($A1532,EXTRATO!$A$2:$A$3000,0))))</f>
        <v/>
      </c>
      <c r="C1532" s="86" t="str">
        <f t="shared" si="34"/>
        <v/>
      </c>
      <c r="D1532" s="81"/>
      <c r="E1532" s="79"/>
      <c r="F1532" s="80" t="str">
        <f>IF(A1532="","",SUMIF(EXTRATO!$A$2:$A$3000,$A1532,EXTRATO!$J$2:$J$3000)+SUMIF(EXTRATO!$A$2:$A$3000,$A1532,EXTRATO!$K$2:$K$3000)+SUMIF(EXTRATO!$A$2:$A$3000,$A1532,EXTRATO!$L$2:$L$3000)+SUMIF(EXTRATO!$A$2:$A$3000,$A1532,EXTRATO!$M$2:$M$3000))</f>
        <v/>
      </c>
      <c r="G1532" s="81" t="str">
        <f>IF(A1532="","",IF(INDEX(EXTRATO!$G$2:$G$3000,MATCH($A1532,EXTRATO!$A$2:$A$3000,0))="","",INDEX(EXTRATO!$G$2:$G$3000,MATCH($A1532,EXTRATO!$A$2:$A$3000,0))))</f>
        <v/>
      </c>
      <c r="H1532" s="86" t="str">
        <f>IF(A1532="","",IF(INDEX(EXTRATO!$F$2:$F$3000,MATCH($A1532,EXTRATO!$A$2:$A$3000,0))="","",INDEX(EXTRATO!$F$2:$F$3000,MATCH($A1532,EXTRATO!$A$2:$A$3000,0))))</f>
        <v/>
      </c>
      <c r="I1532" s="88" t="str">
        <f>IF(A1532="","",IF(INDEX(EXTRATO!$H$2:$H$3000,MATCH($A1532,EXTRATO!$A$2:$A$3000,0))="","",INDEX(EXTRATO!$H$2:$H$3000,MATCH($A1532,EXTRATO!$A$2:$A$3000,0))))</f>
        <v/>
      </c>
      <c r="J1532" s="86" t="str">
        <f t="shared" si="35"/>
        <v/>
      </c>
      <c r="K1532" s="86" t="str">
        <f>IF(AND(A1532="",D1532="",E1532="",F1532=""),"",IF(D1532="","SEM CATEGORIA",IF(E1532="","SEM SUBCATEGORIA",IF(COUNTIFS(CADASTROS!$L$7:$L$93,D1532,CADASTROS!$D$7:$D$93,E1532)=0,"INCOMPATÍVEL","OK"))))</f>
        <v/>
      </c>
    </row>
    <row r="1533" spans="1:11" ht="30" hidden="1" customHeight="1" x14ac:dyDescent="0.25">
      <c r="A1533" s="86" t="str">
        <f>IF(COUNTIF(EXTRATO!$A$2:$A$3000,"BAN-01390")=0,"","BAN-01390")</f>
        <v/>
      </c>
      <c r="B1533" s="85" t="str">
        <f>IF(A1533="","",IF(INDEX(EXTRATO!$C$2:$C$3000,MATCH($A1533,EXTRATO!$A$2:$A$3000,0))="","",INDEX(EXTRATO!$C$2:$C$3000,MATCH($A1533,EXTRATO!$A$2:$A$3000,0))))</f>
        <v/>
      </c>
      <c r="C1533" s="86" t="str">
        <f t="shared" si="34"/>
        <v/>
      </c>
      <c r="D1533" s="81"/>
      <c r="E1533" s="79"/>
      <c r="F1533" s="80" t="str">
        <f>IF(A1533="","",SUMIF(EXTRATO!$A$2:$A$3000,$A1533,EXTRATO!$J$2:$J$3000)+SUMIF(EXTRATO!$A$2:$A$3000,$A1533,EXTRATO!$K$2:$K$3000)+SUMIF(EXTRATO!$A$2:$A$3000,$A1533,EXTRATO!$L$2:$L$3000)+SUMIF(EXTRATO!$A$2:$A$3000,$A1533,EXTRATO!$M$2:$M$3000))</f>
        <v/>
      </c>
      <c r="G1533" s="81" t="str">
        <f>IF(A1533="","",IF(INDEX(EXTRATO!$G$2:$G$3000,MATCH($A1533,EXTRATO!$A$2:$A$3000,0))="","",INDEX(EXTRATO!$G$2:$G$3000,MATCH($A1533,EXTRATO!$A$2:$A$3000,0))))</f>
        <v/>
      </c>
      <c r="H1533" s="86" t="str">
        <f>IF(A1533="","",IF(INDEX(EXTRATO!$F$2:$F$3000,MATCH($A1533,EXTRATO!$A$2:$A$3000,0))="","",INDEX(EXTRATO!$F$2:$F$3000,MATCH($A1533,EXTRATO!$A$2:$A$3000,0))))</f>
        <v/>
      </c>
      <c r="I1533" s="88" t="str">
        <f>IF(A1533="","",IF(INDEX(EXTRATO!$H$2:$H$3000,MATCH($A1533,EXTRATO!$A$2:$A$3000,0))="","",INDEX(EXTRATO!$H$2:$H$3000,MATCH($A1533,EXTRATO!$A$2:$A$3000,0))))</f>
        <v/>
      </c>
      <c r="J1533" s="86" t="str">
        <f t="shared" si="35"/>
        <v/>
      </c>
      <c r="K1533" s="86" t="str">
        <f>IF(AND(A1533="",D1533="",E1533="",F1533=""),"",IF(D1533="","SEM CATEGORIA",IF(E1533="","SEM SUBCATEGORIA",IF(COUNTIFS(CADASTROS!$L$7:$L$93,D1533,CADASTROS!$D$7:$D$93,E1533)=0,"INCOMPATÍVEL","OK"))))</f>
        <v/>
      </c>
    </row>
    <row r="1534" spans="1:11" ht="30" hidden="1" customHeight="1" x14ac:dyDescent="0.25">
      <c r="A1534" s="86" t="str">
        <f>IF(COUNTIF(EXTRATO!$A$2:$A$3000,"BAN-01391")=0,"","BAN-01391")</f>
        <v/>
      </c>
      <c r="B1534" s="85" t="str">
        <f>IF(A1534="","",IF(INDEX(EXTRATO!$C$2:$C$3000,MATCH($A1534,EXTRATO!$A$2:$A$3000,0))="","",INDEX(EXTRATO!$C$2:$C$3000,MATCH($A1534,EXTRATO!$A$2:$A$3000,0))))</f>
        <v/>
      </c>
      <c r="C1534" s="86" t="str">
        <f t="shared" si="34"/>
        <v/>
      </c>
      <c r="D1534" s="81"/>
      <c r="E1534" s="79"/>
      <c r="F1534" s="80" t="str">
        <f>IF(A1534="","",SUMIF(EXTRATO!$A$2:$A$3000,$A1534,EXTRATO!$J$2:$J$3000)+SUMIF(EXTRATO!$A$2:$A$3000,$A1534,EXTRATO!$K$2:$K$3000)+SUMIF(EXTRATO!$A$2:$A$3000,$A1534,EXTRATO!$L$2:$L$3000)+SUMIF(EXTRATO!$A$2:$A$3000,$A1534,EXTRATO!$M$2:$M$3000))</f>
        <v/>
      </c>
      <c r="G1534" s="81" t="str">
        <f>IF(A1534="","",IF(INDEX(EXTRATO!$G$2:$G$3000,MATCH($A1534,EXTRATO!$A$2:$A$3000,0))="","",INDEX(EXTRATO!$G$2:$G$3000,MATCH($A1534,EXTRATO!$A$2:$A$3000,0))))</f>
        <v/>
      </c>
      <c r="H1534" s="86" t="str">
        <f>IF(A1534="","",IF(INDEX(EXTRATO!$F$2:$F$3000,MATCH($A1534,EXTRATO!$A$2:$A$3000,0))="","",INDEX(EXTRATO!$F$2:$F$3000,MATCH($A1534,EXTRATO!$A$2:$A$3000,0))))</f>
        <v/>
      </c>
      <c r="I1534" s="88" t="str">
        <f>IF(A1534="","",IF(INDEX(EXTRATO!$H$2:$H$3000,MATCH($A1534,EXTRATO!$A$2:$A$3000,0))="","",INDEX(EXTRATO!$H$2:$H$3000,MATCH($A1534,EXTRATO!$A$2:$A$3000,0))))</f>
        <v/>
      </c>
      <c r="J1534" s="86" t="str">
        <f t="shared" si="35"/>
        <v/>
      </c>
      <c r="K1534" s="86" t="str">
        <f>IF(AND(A1534="",D1534="",E1534="",F1534=""),"",IF(D1534="","SEM CATEGORIA",IF(E1534="","SEM SUBCATEGORIA",IF(COUNTIFS(CADASTROS!$L$7:$L$93,D1534,CADASTROS!$D$7:$D$93,E1534)=0,"INCOMPATÍVEL","OK"))))</f>
        <v/>
      </c>
    </row>
    <row r="1535" spans="1:11" ht="30" hidden="1" customHeight="1" x14ac:dyDescent="0.25">
      <c r="A1535" s="86" t="str">
        <f>IF(COUNTIF(EXTRATO!$A$2:$A$3000,"BAN-01392")=0,"","BAN-01392")</f>
        <v/>
      </c>
      <c r="B1535" s="85" t="str">
        <f>IF(A1535="","",IF(INDEX(EXTRATO!$C$2:$C$3000,MATCH($A1535,EXTRATO!$A$2:$A$3000,0))="","",INDEX(EXTRATO!$C$2:$C$3000,MATCH($A1535,EXTRATO!$A$2:$A$3000,0))))</f>
        <v/>
      </c>
      <c r="C1535" s="86" t="str">
        <f t="shared" si="34"/>
        <v/>
      </c>
      <c r="D1535" s="81"/>
      <c r="E1535" s="79"/>
      <c r="F1535" s="80" t="str">
        <f>IF(A1535="","",SUMIF(EXTRATO!$A$2:$A$3000,$A1535,EXTRATO!$J$2:$J$3000)+SUMIF(EXTRATO!$A$2:$A$3000,$A1535,EXTRATO!$K$2:$K$3000)+SUMIF(EXTRATO!$A$2:$A$3000,$A1535,EXTRATO!$L$2:$L$3000)+SUMIF(EXTRATO!$A$2:$A$3000,$A1535,EXTRATO!$M$2:$M$3000))</f>
        <v/>
      </c>
      <c r="G1535" s="81" t="str">
        <f>IF(A1535="","",IF(INDEX(EXTRATO!$G$2:$G$3000,MATCH($A1535,EXTRATO!$A$2:$A$3000,0))="","",INDEX(EXTRATO!$G$2:$G$3000,MATCH($A1535,EXTRATO!$A$2:$A$3000,0))))</f>
        <v/>
      </c>
      <c r="H1535" s="86" t="str">
        <f>IF(A1535="","",IF(INDEX(EXTRATO!$F$2:$F$3000,MATCH($A1535,EXTRATO!$A$2:$A$3000,0))="","",INDEX(EXTRATO!$F$2:$F$3000,MATCH($A1535,EXTRATO!$A$2:$A$3000,0))))</f>
        <v/>
      </c>
      <c r="I1535" s="88" t="str">
        <f>IF(A1535="","",IF(INDEX(EXTRATO!$H$2:$H$3000,MATCH($A1535,EXTRATO!$A$2:$A$3000,0))="","",INDEX(EXTRATO!$H$2:$H$3000,MATCH($A1535,EXTRATO!$A$2:$A$3000,0))))</f>
        <v/>
      </c>
      <c r="J1535" s="86" t="str">
        <f t="shared" si="35"/>
        <v/>
      </c>
      <c r="K1535" s="86" t="str">
        <f>IF(AND(A1535="",D1535="",E1535="",F1535=""),"",IF(D1535="","SEM CATEGORIA",IF(E1535="","SEM SUBCATEGORIA",IF(COUNTIFS(CADASTROS!$L$7:$L$93,D1535,CADASTROS!$D$7:$D$93,E1535)=0,"INCOMPATÍVEL","OK"))))</f>
        <v/>
      </c>
    </row>
    <row r="1536" spans="1:11" ht="30" hidden="1" customHeight="1" x14ac:dyDescent="0.25">
      <c r="A1536" s="86" t="str">
        <f>IF(COUNTIF(EXTRATO!$A$2:$A$3000,"BAN-01393")=0,"","BAN-01393")</f>
        <v/>
      </c>
      <c r="B1536" s="85" t="str">
        <f>IF(A1536="","",IF(INDEX(EXTRATO!$C$2:$C$3000,MATCH($A1536,EXTRATO!$A$2:$A$3000,0))="","",INDEX(EXTRATO!$C$2:$C$3000,MATCH($A1536,EXTRATO!$A$2:$A$3000,0))))</f>
        <v/>
      </c>
      <c r="C1536" s="86" t="str">
        <f t="shared" si="34"/>
        <v/>
      </c>
      <c r="D1536" s="81"/>
      <c r="E1536" s="79"/>
      <c r="F1536" s="80" t="str">
        <f>IF(A1536="","",SUMIF(EXTRATO!$A$2:$A$3000,$A1536,EXTRATO!$J$2:$J$3000)+SUMIF(EXTRATO!$A$2:$A$3000,$A1536,EXTRATO!$K$2:$K$3000)+SUMIF(EXTRATO!$A$2:$A$3000,$A1536,EXTRATO!$L$2:$L$3000)+SUMIF(EXTRATO!$A$2:$A$3000,$A1536,EXTRATO!$M$2:$M$3000))</f>
        <v/>
      </c>
      <c r="G1536" s="81" t="str">
        <f>IF(A1536="","",IF(INDEX(EXTRATO!$G$2:$G$3000,MATCH($A1536,EXTRATO!$A$2:$A$3000,0))="","",INDEX(EXTRATO!$G$2:$G$3000,MATCH($A1536,EXTRATO!$A$2:$A$3000,0))))</f>
        <v/>
      </c>
      <c r="H1536" s="86" t="str">
        <f>IF(A1536="","",IF(INDEX(EXTRATO!$F$2:$F$3000,MATCH($A1536,EXTRATO!$A$2:$A$3000,0))="","",INDEX(EXTRATO!$F$2:$F$3000,MATCH($A1536,EXTRATO!$A$2:$A$3000,0))))</f>
        <v/>
      </c>
      <c r="I1536" s="88" t="str">
        <f>IF(A1536="","",IF(INDEX(EXTRATO!$H$2:$H$3000,MATCH($A1536,EXTRATO!$A$2:$A$3000,0))="","",INDEX(EXTRATO!$H$2:$H$3000,MATCH($A1536,EXTRATO!$A$2:$A$3000,0))))</f>
        <v/>
      </c>
      <c r="J1536" s="86" t="str">
        <f t="shared" si="35"/>
        <v/>
      </c>
      <c r="K1536" s="86" t="str">
        <f>IF(AND(A1536="",D1536="",E1536="",F1536=""),"",IF(D1536="","SEM CATEGORIA",IF(E1536="","SEM SUBCATEGORIA",IF(COUNTIFS(CADASTROS!$L$7:$L$93,D1536,CADASTROS!$D$7:$D$93,E1536)=0,"INCOMPATÍVEL","OK"))))</f>
        <v/>
      </c>
    </row>
    <row r="1537" spans="1:11" ht="30" hidden="1" customHeight="1" x14ac:dyDescent="0.25">
      <c r="A1537" s="86" t="str">
        <f>IF(COUNTIF(EXTRATO!$A$2:$A$3000,"BAN-01394")=0,"","BAN-01394")</f>
        <v/>
      </c>
      <c r="B1537" s="85" t="str">
        <f>IF(A1537="","",IF(INDEX(EXTRATO!$C$2:$C$3000,MATCH($A1537,EXTRATO!$A$2:$A$3000,0))="","",INDEX(EXTRATO!$C$2:$C$3000,MATCH($A1537,EXTRATO!$A$2:$A$3000,0))))</f>
        <v/>
      </c>
      <c r="C1537" s="86" t="str">
        <f t="shared" si="34"/>
        <v/>
      </c>
      <c r="D1537" s="81"/>
      <c r="E1537" s="79"/>
      <c r="F1537" s="80" t="str">
        <f>IF(A1537="","",SUMIF(EXTRATO!$A$2:$A$3000,$A1537,EXTRATO!$J$2:$J$3000)+SUMIF(EXTRATO!$A$2:$A$3000,$A1537,EXTRATO!$K$2:$K$3000)+SUMIF(EXTRATO!$A$2:$A$3000,$A1537,EXTRATO!$L$2:$L$3000)+SUMIF(EXTRATO!$A$2:$A$3000,$A1537,EXTRATO!$M$2:$M$3000))</f>
        <v/>
      </c>
      <c r="G1537" s="81" t="str">
        <f>IF(A1537="","",IF(INDEX(EXTRATO!$G$2:$G$3000,MATCH($A1537,EXTRATO!$A$2:$A$3000,0))="","",INDEX(EXTRATO!$G$2:$G$3000,MATCH($A1537,EXTRATO!$A$2:$A$3000,0))))</f>
        <v/>
      </c>
      <c r="H1537" s="86" t="str">
        <f>IF(A1537="","",IF(INDEX(EXTRATO!$F$2:$F$3000,MATCH($A1537,EXTRATO!$A$2:$A$3000,0))="","",INDEX(EXTRATO!$F$2:$F$3000,MATCH($A1537,EXTRATO!$A$2:$A$3000,0))))</f>
        <v/>
      </c>
      <c r="I1537" s="88" t="str">
        <f>IF(A1537="","",IF(INDEX(EXTRATO!$H$2:$H$3000,MATCH($A1537,EXTRATO!$A$2:$A$3000,0))="","",INDEX(EXTRATO!$H$2:$H$3000,MATCH($A1537,EXTRATO!$A$2:$A$3000,0))))</f>
        <v/>
      </c>
      <c r="J1537" s="86" t="str">
        <f t="shared" si="35"/>
        <v/>
      </c>
      <c r="K1537" s="86" t="str">
        <f>IF(AND(A1537="",D1537="",E1537="",F1537=""),"",IF(D1537="","SEM CATEGORIA",IF(E1537="","SEM SUBCATEGORIA",IF(COUNTIFS(CADASTROS!$L$7:$L$93,D1537,CADASTROS!$D$7:$D$93,E1537)=0,"INCOMPATÍVEL","OK"))))</f>
        <v/>
      </c>
    </row>
    <row r="1538" spans="1:11" ht="30" hidden="1" customHeight="1" x14ac:dyDescent="0.25">
      <c r="A1538" s="86" t="str">
        <f>IF(COUNTIF(EXTRATO!$A$2:$A$3000,"BAN-01395")=0,"","BAN-01395")</f>
        <v/>
      </c>
      <c r="B1538" s="85" t="str">
        <f>IF(A1538="","",IF(INDEX(EXTRATO!$C$2:$C$3000,MATCH($A1538,EXTRATO!$A$2:$A$3000,0))="","",INDEX(EXTRATO!$C$2:$C$3000,MATCH($A1538,EXTRATO!$A$2:$A$3000,0))))</f>
        <v/>
      </c>
      <c r="C1538" s="86" t="str">
        <f t="shared" si="34"/>
        <v/>
      </c>
      <c r="D1538" s="81"/>
      <c r="E1538" s="79"/>
      <c r="F1538" s="80" t="str">
        <f>IF(A1538="","",SUMIF(EXTRATO!$A$2:$A$3000,$A1538,EXTRATO!$J$2:$J$3000)+SUMIF(EXTRATO!$A$2:$A$3000,$A1538,EXTRATO!$K$2:$K$3000)+SUMIF(EXTRATO!$A$2:$A$3000,$A1538,EXTRATO!$L$2:$L$3000)+SUMIF(EXTRATO!$A$2:$A$3000,$A1538,EXTRATO!$M$2:$M$3000))</f>
        <v/>
      </c>
      <c r="G1538" s="81" t="str">
        <f>IF(A1538="","",IF(INDEX(EXTRATO!$G$2:$G$3000,MATCH($A1538,EXTRATO!$A$2:$A$3000,0))="","",INDEX(EXTRATO!$G$2:$G$3000,MATCH($A1538,EXTRATO!$A$2:$A$3000,0))))</f>
        <v/>
      </c>
      <c r="H1538" s="86" t="str">
        <f>IF(A1538="","",IF(INDEX(EXTRATO!$F$2:$F$3000,MATCH($A1538,EXTRATO!$A$2:$A$3000,0))="","",INDEX(EXTRATO!$F$2:$F$3000,MATCH($A1538,EXTRATO!$A$2:$A$3000,0))))</f>
        <v/>
      </c>
      <c r="I1538" s="88" t="str">
        <f>IF(A1538="","",IF(INDEX(EXTRATO!$H$2:$H$3000,MATCH($A1538,EXTRATO!$A$2:$A$3000,0))="","",INDEX(EXTRATO!$H$2:$H$3000,MATCH($A1538,EXTRATO!$A$2:$A$3000,0))))</f>
        <v/>
      </c>
      <c r="J1538" s="86" t="str">
        <f t="shared" si="35"/>
        <v/>
      </c>
      <c r="K1538" s="86" t="str">
        <f>IF(AND(A1538="",D1538="",E1538="",F1538=""),"",IF(D1538="","SEM CATEGORIA",IF(E1538="","SEM SUBCATEGORIA",IF(COUNTIFS(CADASTROS!$L$7:$L$93,D1538,CADASTROS!$D$7:$D$93,E1538)=0,"INCOMPATÍVEL","OK"))))</f>
        <v/>
      </c>
    </row>
    <row r="1539" spans="1:11" ht="30" hidden="1" customHeight="1" x14ac:dyDescent="0.25">
      <c r="A1539" s="86" t="str">
        <f>IF(COUNTIF(EXTRATO!$A$2:$A$3000,"BAN-01396")=0,"","BAN-01396")</f>
        <v/>
      </c>
      <c r="B1539" s="85" t="str">
        <f>IF(A1539="","",IF(INDEX(EXTRATO!$C$2:$C$3000,MATCH($A1539,EXTRATO!$A$2:$A$3000,0))="","",INDEX(EXTRATO!$C$2:$C$3000,MATCH($A1539,EXTRATO!$A$2:$A$3000,0))))</f>
        <v/>
      </c>
      <c r="C1539" s="86" t="str">
        <f t="shared" si="34"/>
        <v/>
      </c>
      <c r="D1539" s="81"/>
      <c r="E1539" s="79"/>
      <c r="F1539" s="80" t="str">
        <f>IF(A1539="","",SUMIF(EXTRATO!$A$2:$A$3000,$A1539,EXTRATO!$J$2:$J$3000)+SUMIF(EXTRATO!$A$2:$A$3000,$A1539,EXTRATO!$K$2:$K$3000)+SUMIF(EXTRATO!$A$2:$A$3000,$A1539,EXTRATO!$L$2:$L$3000)+SUMIF(EXTRATO!$A$2:$A$3000,$A1539,EXTRATO!$M$2:$M$3000))</f>
        <v/>
      </c>
      <c r="G1539" s="81" t="str">
        <f>IF(A1539="","",IF(INDEX(EXTRATO!$G$2:$G$3000,MATCH($A1539,EXTRATO!$A$2:$A$3000,0))="","",INDEX(EXTRATO!$G$2:$G$3000,MATCH($A1539,EXTRATO!$A$2:$A$3000,0))))</f>
        <v/>
      </c>
      <c r="H1539" s="86" t="str">
        <f>IF(A1539="","",IF(INDEX(EXTRATO!$F$2:$F$3000,MATCH($A1539,EXTRATO!$A$2:$A$3000,0))="","",INDEX(EXTRATO!$F$2:$F$3000,MATCH($A1539,EXTRATO!$A$2:$A$3000,0))))</f>
        <v/>
      </c>
      <c r="I1539" s="88" t="str">
        <f>IF(A1539="","",IF(INDEX(EXTRATO!$H$2:$H$3000,MATCH($A1539,EXTRATO!$A$2:$A$3000,0))="","",INDEX(EXTRATO!$H$2:$H$3000,MATCH($A1539,EXTRATO!$A$2:$A$3000,0))))</f>
        <v/>
      </c>
      <c r="J1539" s="86" t="str">
        <f t="shared" si="35"/>
        <v/>
      </c>
      <c r="K1539" s="86" t="str">
        <f>IF(AND(A1539="",D1539="",E1539="",F1539=""),"",IF(D1539="","SEM CATEGORIA",IF(E1539="","SEM SUBCATEGORIA",IF(COUNTIFS(CADASTROS!$L$7:$L$93,D1539,CADASTROS!$D$7:$D$93,E1539)=0,"INCOMPATÍVEL","OK"))))</f>
        <v/>
      </c>
    </row>
    <row r="1540" spans="1:11" ht="30" hidden="1" customHeight="1" x14ac:dyDescent="0.25">
      <c r="A1540" s="86" t="str">
        <f>IF(COUNTIF(EXTRATO!$A$2:$A$3000,"BAN-01397")=0,"","BAN-01397")</f>
        <v/>
      </c>
      <c r="B1540" s="85" t="str">
        <f>IF(A1540="","",IF(INDEX(EXTRATO!$C$2:$C$3000,MATCH($A1540,EXTRATO!$A$2:$A$3000,0))="","",INDEX(EXTRATO!$C$2:$C$3000,MATCH($A1540,EXTRATO!$A$2:$A$3000,0))))</f>
        <v/>
      </c>
      <c r="C1540" s="86" t="str">
        <f t="shared" si="34"/>
        <v/>
      </c>
      <c r="D1540" s="81"/>
      <c r="E1540" s="79"/>
      <c r="F1540" s="80" t="str">
        <f>IF(A1540="","",SUMIF(EXTRATO!$A$2:$A$3000,$A1540,EXTRATO!$J$2:$J$3000)+SUMIF(EXTRATO!$A$2:$A$3000,$A1540,EXTRATO!$K$2:$K$3000)+SUMIF(EXTRATO!$A$2:$A$3000,$A1540,EXTRATO!$L$2:$L$3000)+SUMIF(EXTRATO!$A$2:$A$3000,$A1540,EXTRATO!$M$2:$M$3000))</f>
        <v/>
      </c>
      <c r="G1540" s="81" t="str">
        <f>IF(A1540="","",IF(INDEX(EXTRATO!$G$2:$G$3000,MATCH($A1540,EXTRATO!$A$2:$A$3000,0))="","",INDEX(EXTRATO!$G$2:$G$3000,MATCH($A1540,EXTRATO!$A$2:$A$3000,0))))</f>
        <v/>
      </c>
      <c r="H1540" s="86" t="str">
        <f>IF(A1540="","",IF(INDEX(EXTRATO!$F$2:$F$3000,MATCH($A1540,EXTRATO!$A$2:$A$3000,0))="","",INDEX(EXTRATO!$F$2:$F$3000,MATCH($A1540,EXTRATO!$A$2:$A$3000,0))))</f>
        <v/>
      </c>
      <c r="I1540" s="88" t="str">
        <f>IF(A1540="","",IF(INDEX(EXTRATO!$H$2:$H$3000,MATCH($A1540,EXTRATO!$A$2:$A$3000,0))="","",INDEX(EXTRATO!$H$2:$H$3000,MATCH($A1540,EXTRATO!$A$2:$A$3000,0))))</f>
        <v/>
      </c>
      <c r="J1540" s="86" t="str">
        <f t="shared" si="35"/>
        <v/>
      </c>
      <c r="K1540" s="86" t="str">
        <f>IF(AND(A1540="",D1540="",E1540="",F1540=""),"",IF(D1540="","SEM CATEGORIA",IF(E1540="","SEM SUBCATEGORIA",IF(COUNTIFS(CADASTROS!$L$7:$L$93,D1540,CADASTROS!$D$7:$D$93,E1540)=0,"INCOMPATÍVEL","OK"))))</f>
        <v/>
      </c>
    </row>
    <row r="1541" spans="1:11" ht="30" hidden="1" customHeight="1" x14ac:dyDescent="0.25">
      <c r="A1541" s="86" t="str">
        <f>IF(COUNTIF(EXTRATO!$A$2:$A$3000,"BAN-01398")=0,"","BAN-01398")</f>
        <v/>
      </c>
      <c r="B1541" s="85" t="str">
        <f>IF(A1541="","",IF(INDEX(EXTRATO!$C$2:$C$3000,MATCH($A1541,EXTRATO!$A$2:$A$3000,0))="","",INDEX(EXTRATO!$C$2:$C$3000,MATCH($A1541,EXTRATO!$A$2:$A$3000,0))))</f>
        <v/>
      </c>
      <c r="C1541" s="86" t="str">
        <f t="shared" si="34"/>
        <v/>
      </c>
      <c r="D1541" s="81"/>
      <c r="E1541" s="79"/>
      <c r="F1541" s="80" t="str">
        <f>IF(A1541="","",SUMIF(EXTRATO!$A$2:$A$3000,$A1541,EXTRATO!$J$2:$J$3000)+SUMIF(EXTRATO!$A$2:$A$3000,$A1541,EXTRATO!$K$2:$K$3000)+SUMIF(EXTRATO!$A$2:$A$3000,$A1541,EXTRATO!$L$2:$L$3000)+SUMIF(EXTRATO!$A$2:$A$3000,$A1541,EXTRATO!$M$2:$M$3000))</f>
        <v/>
      </c>
      <c r="G1541" s="81" t="str">
        <f>IF(A1541="","",IF(INDEX(EXTRATO!$G$2:$G$3000,MATCH($A1541,EXTRATO!$A$2:$A$3000,0))="","",INDEX(EXTRATO!$G$2:$G$3000,MATCH($A1541,EXTRATO!$A$2:$A$3000,0))))</f>
        <v/>
      </c>
      <c r="H1541" s="86" t="str">
        <f>IF(A1541="","",IF(INDEX(EXTRATO!$F$2:$F$3000,MATCH($A1541,EXTRATO!$A$2:$A$3000,0))="","",INDEX(EXTRATO!$F$2:$F$3000,MATCH($A1541,EXTRATO!$A$2:$A$3000,0))))</f>
        <v/>
      </c>
      <c r="I1541" s="88" t="str">
        <f>IF(A1541="","",IF(INDEX(EXTRATO!$H$2:$H$3000,MATCH($A1541,EXTRATO!$A$2:$A$3000,0))="","",INDEX(EXTRATO!$H$2:$H$3000,MATCH($A1541,EXTRATO!$A$2:$A$3000,0))))</f>
        <v/>
      </c>
      <c r="J1541" s="86" t="str">
        <f t="shared" si="35"/>
        <v/>
      </c>
      <c r="K1541" s="86" t="str">
        <f>IF(AND(A1541="",D1541="",E1541="",F1541=""),"",IF(D1541="","SEM CATEGORIA",IF(E1541="","SEM SUBCATEGORIA",IF(COUNTIFS(CADASTROS!$L$7:$L$93,D1541,CADASTROS!$D$7:$D$93,E1541)=0,"INCOMPATÍVEL","OK"))))</f>
        <v/>
      </c>
    </row>
    <row r="1542" spans="1:11" ht="30" hidden="1" customHeight="1" x14ac:dyDescent="0.25">
      <c r="A1542" s="86" t="str">
        <f>IF(COUNTIF(EXTRATO!$A$2:$A$3000,"BAN-01399")=0,"","BAN-01399")</f>
        <v/>
      </c>
      <c r="B1542" s="85" t="str">
        <f>IF(A1542="","",IF(INDEX(EXTRATO!$C$2:$C$3000,MATCH($A1542,EXTRATO!$A$2:$A$3000,0))="","",INDEX(EXTRATO!$C$2:$C$3000,MATCH($A1542,EXTRATO!$A$2:$A$3000,0))))</f>
        <v/>
      </c>
      <c r="C1542" s="86" t="str">
        <f t="shared" si="34"/>
        <v/>
      </c>
      <c r="D1542" s="81"/>
      <c r="E1542" s="79"/>
      <c r="F1542" s="80" t="str">
        <f>IF(A1542="","",SUMIF(EXTRATO!$A$2:$A$3000,$A1542,EXTRATO!$J$2:$J$3000)+SUMIF(EXTRATO!$A$2:$A$3000,$A1542,EXTRATO!$K$2:$K$3000)+SUMIF(EXTRATO!$A$2:$A$3000,$A1542,EXTRATO!$L$2:$L$3000)+SUMIF(EXTRATO!$A$2:$A$3000,$A1542,EXTRATO!$M$2:$M$3000))</f>
        <v/>
      </c>
      <c r="G1542" s="81" t="str">
        <f>IF(A1542="","",IF(INDEX(EXTRATO!$G$2:$G$3000,MATCH($A1542,EXTRATO!$A$2:$A$3000,0))="","",INDEX(EXTRATO!$G$2:$G$3000,MATCH($A1542,EXTRATO!$A$2:$A$3000,0))))</f>
        <v/>
      </c>
      <c r="H1542" s="86" t="str">
        <f>IF(A1542="","",IF(INDEX(EXTRATO!$F$2:$F$3000,MATCH($A1542,EXTRATO!$A$2:$A$3000,0))="","",INDEX(EXTRATO!$F$2:$F$3000,MATCH($A1542,EXTRATO!$A$2:$A$3000,0))))</f>
        <v/>
      </c>
      <c r="I1542" s="88" t="str">
        <f>IF(A1542="","",IF(INDEX(EXTRATO!$H$2:$H$3000,MATCH($A1542,EXTRATO!$A$2:$A$3000,0))="","",INDEX(EXTRATO!$H$2:$H$3000,MATCH($A1542,EXTRATO!$A$2:$A$3000,0))))</f>
        <v/>
      </c>
      <c r="J1542" s="86" t="str">
        <f t="shared" si="35"/>
        <v/>
      </c>
      <c r="K1542" s="86" t="str">
        <f>IF(AND(A1542="",D1542="",E1542="",F1542=""),"",IF(D1542="","SEM CATEGORIA",IF(E1542="","SEM SUBCATEGORIA",IF(COUNTIFS(CADASTROS!$L$7:$L$93,D1542,CADASTROS!$D$7:$D$93,E1542)=0,"INCOMPATÍVEL","OK"))))</f>
        <v/>
      </c>
    </row>
    <row r="1543" spans="1:11" ht="30" hidden="1" customHeight="1" x14ac:dyDescent="0.25">
      <c r="A1543" s="86" t="str">
        <f>IF(COUNTIF(EXTRATO!$A$2:$A$3000,"BAN-01400")=0,"","BAN-01400")</f>
        <v/>
      </c>
      <c r="B1543" s="85" t="str">
        <f>IF(A1543="","",IF(INDEX(EXTRATO!$C$2:$C$3000,MATCH($A1543,EXTRATO!$A$2:$A$3000,0))="","",INDEX(EXTRATO!$C$2:$C$3000,MATCH($A1543,EXTRATO!$A$2:$A$3000,0))))</f>
        <v/>
      </c>
      <c r="C1543" s="86" t="str">
        <f t="shared" si="34"/>
        <v/>
      </c>
      <c r="D1543" s="81"/>
      <c r="E1543" s="79"/>
      <c r="F1543" s="80" t="str">
        <f>IF(A1543="","",SUMIF(EXTRATO!$A$2:$A$3000,$A1543,EXTRATO!$J$2:$J$3000)+SUMIF(EXTRATO!$A$2:$A$3000,$A1543,EXTRATO!$K$2:$K$3000)+SUMIF(EXTRATO!$A$2:$A$3000,$A1543,EXTRATO!$L$2:$L$3000)+SUMIF(EXTRATO!$A$2:$A$3000,$A1543,EXTRATO!$M$2:$M$3000))</f>
        <v/>
      </c>
      <c r="G1543" s="81" t="str">
        <f>IF(A1543="","",IF(INDEX(EXTRATO!$G$2:$G$3000,MATCH($A1543,EXTRATO!$A$2:$A$3000,0))="","",INDEX(EXTRATO!$G$2:$G$3000,MATCH($A1543,EXTRATO!$A$2:$A$3000,0))))</f>
        <v/>
      </c>
      <c r="H1543" s="86" t="str">
        <f>IF(A1543="","",IF(INDEX(EXTRATO!$F$2:$F$3000,MATCH($A1543,EXTRATO!$A$2:$A$3000,0))="","",INDEX(EXTRATO!$F$2:$F$3000,MATCH($A1543,EXTRATO!$A$2:$A$3000,0))))</f>
        <v/>
      </c>
      <c r="I1543" s="88" t="str">
        <f>IF(A1543="","",IF(INDEX(EXTRATO!$H$2:$H$3000,MATCH($A1543,EXTRATO!$A$2:$A$3000,0))="","",INDEX(EXTRATO!$H$2:$H$3000,MATCH($A1543,EXTRATO!$A$2:$A$3000,0))))</f>
        <v/>
      </c>
      <c r="J1543" s="86" t="str">
        <f t="shared" si="35"/>
        <v/>
      </c>
      <c r="K1543" s="86" t="str">
        <f>IF(AND(A1543="",D1543="",E1543="",F1543=""),"",IF(D1543="","SEM CATEGORIA",IF(E1543="","SEM SUBCATEGORIA",IF(COUNTIFS(CADASTROS!$L$7:$L$93,D1543,CADASTROS!$D$7:$D$93,E1543)=0,"INCOMPATÍVEL","OK"))))</f>
        <v/>
      </c>
    </row>
    <row r="1544" spans="1:11" ht="30" hidden="1" customHeight="1" x14ac:dyDescent="0.25">
      <c r="A1544" s="86" t="str">
        <f>IF(COUNTIF(EXTRATO!$A$2:$A$3000,"BAN-01401")=0,"","BAN-01401")</f>
        <v/>
      </c>
      <c r="B1544" s="85" t="str">
        <f>IF(A1544="","",IF(INDEX(EXTRATO!$C$2:$C$3000,MATCH($A1544,EXTRATO!$A$2:$A$3000,0))="","",INDEX(EXTRATO!$C$2:$C$3000,MATCH($A1544,EXTRATO!$A$2:$A$3000,0))))</f>
        <v/>
      </c>
      <c r="C1544" s="86" t="str">
        <f t="shared" si="34"/>
        <v/>
      </c>
      <c r="D1544" s="81"/>
      <c r="E1544" s="79"/>
      <c r="F1544" s="80" t="str">
        <f>IF(A1544="","",SUMIF(EXTRATO!$A$2:$A$3000,$A1544,EXTRATO!$J$2:$J$3000)+SUMIF(EXTRATO!$A$2:$A$3000,$A1544,EXTRATO!$K$2:$K$3000)+SUMIF(EXTRATO!$A$2:$A$3000,$A1544,EXTRATO!$L$2:$L$3000)+SUMIF(EXTRATO!$A$2:$A$3000,$A1544,EXTRATO!$M$2:$M$3000))</f>
        <v/>
      </c>
      <c r="G1544" s="81" t="str">
        <f>IF(A1544="","",IF(INDEX(EXTRATO!$G$2:$G$3000,MATCH($A1544,EXTRATO!$A$2:$A$3000,0))="","",INDEX(EXTRATO!$G$2:$G$3000,MATCH($A1544,EXTRATO!$A$2:$A$3000,0))))</f>
        <v/>
      </c>
      <c r="H1544" s="86" t="str">
        <f>IF(A1544="","",IF(INDEX(EXTRATO!$F$2:$F$3000,MATCH($A1544,EXTRATO!$A$2:$A$3000,0))="","",INDEX(EXTRATO!$F$2:$F$3000,MATCH($A1544,EXTRATO!$A$2:$A$3000,0))))</f>
        <v/>
      </c>
      <c r="I1544" s="88" t="str">
        <f>IF(A1544="","",IF(INDEX(EXTRATO!$H$2:$H$3000,MATCH($A1544,EXTRATO!$A$2:$A$3000,0))="","",INDEX(EXTRATO!$H$2:$H$3000,MATCH($A1544,EXTRATO!$A$2:$A$3000,0))))</f>
        <v/>
      </c>
      <c r="J1544" s="86" t="str">
        <f t="shared" si="35"/>
        <v/>
      </c>
      <c r="K1544" s="86" t="str">
        <f>IF(AND(A1544="",D1544="",E1544="",F1544=""),"",IF(D1544="","SEM CATEGORIA",IF(E1544="","SEM SUBCATEGORIA",IF(COUNTIFS(CADASTROS!$L$7:$L$93,D1544,CADASTROS!$D$7:$D$93,E1544)=0,"INCOMPATÍVEL","OK"))))</f>
        <v/>
      </c>
    </row>
    <row r="1545" spans="1:11" ht="30" hidden="1" customHeight="1" x14ac:dyDescent="0.25">
      <c r="A1545" s="86" t="str">
        <f>IF(COUNTIF(EXTRATO!$A$2:$A$3000,"BAN-01402")=0,"","BAN-01402")</f>
        <v/>
      </c>
      <c r="B1545" s="85" t="str">
        <f>IF(A1545="","",IF(INDEX(EXTRATO!$C$2:$C$3000,MATCH($A1545,EXTRATO!$A$2:$A$3000,0))="","",INDEX(EXTRATO!$C$2:$C$3000,MATCH($A1545,EXTRATO!$A$2:$A$3000,0))))</f>
        <v/>
      </c>
      <c r="C1545" s="86" t="str">
        <f t="shared" si="34"/>
        <v/>
      </c>
      <c r="D1545" s="81"/>
      <c r="E1545" s="79"/>
      <c r="F1545" s="80" t="str">
        <f>IF(A1545="","",SUMIF(EXTRATO!$A$2:$A$3000,$A1545,EXTRATO!$J$2:$J$3000)+SUMIF(EXTRATO!$A$2:$A$3000,$A1545,EXTRATO!$K$2:$K$3000)+SUMIF(EXTRATO!$A$2:$A$3000,$A1545,EXTRATO!$L$2:$L$3000)+SUMIF(EXTRATO!$A$2:$A$3000,$A1545,EXTRATO!$M$2:$M$3000))</f>
        <v/>
      </c>
      <c r="G1545" s="81" t="str">
        <f>IF(A1545="","",IF(INDEX(EXTRATO!$G$2:$G$3000,MATCH($A1545,EXTRATO!$A$2:$A$3000,0))="","",INDEX(EXTRATO!$G$2:$G$3000,MATCH($A1545,EXTRATO!$A$2:$A$3000,0))))</f>
        <v/>
      </c>
      <c r="H1545" s="86" t="str">
        <f>IF(A1545="","",IF(INDEX(EXTRATO!$F$2:$F$3000,MATCH($A1545,EXTRATO!$A$2:$A$3000,0))="","",INDEX(EXTRATO!$F$2:$F$3000,MATCH($A1545,EXTRATO!$A$2:$A$3000,0))))</f>
        <v/>
      </c>
      <c r="I1545" s="88" t="str">
        <f>IF(A1545="","",IF(INDEX(EXTRATO!$H$2:$H$3000,MATCH($A1545,EXTRATO!$A$2:$A$3000,0))="","",INDEX(EXTRATO!$H$2:$H$3000,MATCH($A1545,EXTRATO!$A$2:$A$3000,0))))</f>
        <v/>
      </c>
      <c r="J1545" s="86" t="str">
        <f t="shared" si="35"/>
        <v/>
      </c>
      <c r="K1545" s="86" t="str">
        <f>IF(AND(A1545="",D1545="",E1545="",F1545=""),"",IF(D1545="","SEM CATEGORIA",IF(E1545="","SEM SUBCATEGORIA",IF(COUNTIFS(CADASTROS!$L$7:$L$93,D1545,CADASTROS!$D$7:$D$93,E1545)=0,"INCOMPATÍVEL","OK"))))</f>
        <v/>
      </c>
    </row>
    <row r="1546" spans="1:11" ht="30" hidden="1" customHeight="1" x14ac:dyDescent="0.25">
      <c r="A1546" s="86" t="str">
        <f>IF(COUNTIF(EXTRATO!$A$2:$A$3000,"BAN-01403")=0,"","BAN-01403")</f>
        <v/>
      </c>
      <c r="B1546" s="85" t="str">
        <f>IF(A1546="","",IF(INDEX(EXTRATO!$C$2:$C$3000,MATCH($A1546,EXTRATO!$A$2:$A$3000,0))="","",INDEX(EXTRATO!$C$2:$C$3000,MATCH($A1546,EXTRATO!$A$2:$A$3000,0))))</f>
        <v/>
      </c>
      <c r="C1546" s="86" t="str">
        <f t="shared" si="34"/>
        <v/>
      </c>
      <c r="D1546" s="81"/>
      <c r="E1546" s="79"/>
      <c r="F1546" s="80" t="str">
        <f>IF(A1546="","",SUMIF(EXTRATO!$A$2:$A$3000,$A1546,EXTRATO!$J$2:$J$3000)+SUMIF(EXTRATO!$A$2:$A$3000,$A1546,EXTRATO!$K$2:$K$3000)+SUMIF(EXTRATO!$A$2:$A$3000,$A1546,EXTRATO!$L$2:$L$3000)+SUMIF(EXTRATO!$A$2:$A$3000,$A1546,EXTRATO!$M$2:$M$3000))</f>
        <v/>
      </c>
      <c r="G1546" s="81" t="str">
        <f>IF(A1546="","",IF(INDEX(EXTRATO!$G$2:$G$3000,MATCH($A1546,EXTRATO!$A$2:$A$3000,0))="","",INDEX(EXTRATO!$G$2:$G$3000,MATCH($A1546,EXTRATO!$A$2:$A$3000,0))))</f>
        <v/>
      </c>
      <c r="H1546" s="86" t="str">
        <f>IF(A1546="","",IF(INDEX(EXTRATO!$F$2:$F$3000,MATCH($A1546,EXTRATO!$A$2:$A$3000,0))="","",INDEX(EXTRATO!$F$2:$F$3000,MATCH($A1546,EXTRATO!$A$2:$A$3000,0))))</f>
        <v/>
      </c>
      <c r="I1546" s="88" t="str">
        <f>IF(A1546="","",IF(INDEX(EXTRATO!$H$2:$H$3000,MATCH($A1546,EXTRATO!$A$2:$A$3000,0))="","",INDEX(EXTRATO!$H$2:$H$3000,MATCH($A1546,EXTRATO!$A$2:$A$3000,0))))</f>
        <v/>
      </c>
      <c r="J1546" s="86" t="str">
        <f t="shared" si="35"/>
        <v/>
      </c>
      <c r="K1546" s="86" t="str">
        <f>IF(AND(A1546="",D1546="",E1546="",F1546=""),"",IF(D1546="","SEM CATEGORIA",IF(E1546="","SEM SUBCATEGORIA",IF(COUNTIFS(CADASTROS!$L$7:$L$93,D1546,CADASTROS!$D$7:$D$93,E1546)=0,"INCOMPATÍVEL","OK"))))</f>
        <v/>
      </c>
    </row>
    <row r="1547" spans="1:11" ht="30" hidden="1" customHeight="1" x14ac:dyDescent="0.25">
      <c r="A1547" s="86" t="str">
        <f>IF(COUNTIF(EXTRATO!$A$2:$A$3000,"BAN-01404")=0,"","BAN-01404")</f>
        <v/>
      </c>
      <c r="B1547" s="85" t="str">
        <f>IF(A1547="","",IF(INDEX(EXTRATO!$C$2:$C$3000,MATCH($A1547,EXTRATO!$A$2:$A$3000,0))="","",INDEX(EXTRATO!$C$2:$C$3000,MATCH($A1547,EXTRATO!$A$2:$A$3000,0))))</f>
        <v/>
      </c>
      <c r="C1547" s="86" t="str">
        <f t="shared" si="34"/>
        <v/>
      </c>
      <c r="D1547" s="81"/>
      <c r="E1547" s="79"/>
      <c r="F1547" s="80" t="str">
        <f>IF(A1547="","",SUMIF(EXTRATO!$A$2:$A$3000,$A1547,EXTRATO!$J$2:$J$3000)+SUMIF(EXTRATO!$A$2:$A$3000,$A1547,EXTRATO!$K$2:$K$3000)+SUMIF(EXTRATO!$A$2:$A$3000,$A1547,EXTRATO!$L$2:$L$3000)+SUMIF(EXTRATO!$A$2:$A$3000,$A1547,EXTRATO!$M$2:$M$3000))</f>
        <v/>
      </c>
      <c r="G1547" s="81" t="str">
        <f>IF(A1547="","",IF(INDEX(EXTRATO!$G$2:$G$3000,MATCH($A1547,EXTRATO!$A$2:$A$3000,0))="","",INDEX(EXTRATO!$G$2:$G$3000,MATCH($A1547,EXTRATO!$A$2:$A$3000,0))))</f>
        <v/>
      </c>
      <c r="H1547" s="86" t="str">
        <f>IF(A1547="","",IF(INDEX(EXTRATO!$F$2:$F$3000,MATCH($A1547,EXTRATO!$A$2:$A$3000,0))="","",INDEX(EXTRATO!$F$2:$F$3000,MATCH($A1547,EXTRATO!$A$2:$A$3000,0))))</f>
        <v/>
      </c>
      <c r="I1547" s="88" t="str">
        <f>IF(A1547="","",IF(INDEX(EXTRATO!$H$2:$H$3000,MATCH($A1547,EXTRATO!$A$2:$A$3000,0))="","",INDEX(EXTRATO!$H$2:$H$3000,MATCH($A1547,EXTRATO!$A$2:$A$3000,0))))</f>
        <v/>
      </c>
      <c r="J1547" s="86" t="str">
        <f t="shared" si="35"/>
        <v/>
      </c>
      <c r="K1547" s="86" t="str">
        <f>IF(AND(A1547="",D1547="",E1547="",F1547=""),"",IF(D1547="","SEM CATEGORIA",IF(E1547="","SEM SUBCATEGORIA",IF(COUNTIFS(CADASTROS!$L$7:$L$93,D1547,CADASTROS!$D$7:$D$93,E1547)=0,"INCOMPATÍVEL","OK"))))</f>
        <v/>
      </c>
    </row>
    <row r="1548" spans="1:11" ht="30" hidden="1" customHeight="1" x14ac:dyDescent="0.25">
      <c r="A1548" s="86" t="str">
        <f>IF(COUNTIF(EXTRATO!$A$2:$A$3000,"BAN-01405")=0,"","BAN-01405")</f>
        <v/>
      </c>
      <c r="B1548" s="85" t="str">
        <f>IF(A1548="","",IF(INDEX(EXTRATO!$C$2:$C$3000,MATCH($A1548,EXTRATO!$A$2:$A$3000,0))="","",INDEX(EXTRATO!$C$2:$C$3000,MATCH($A1548,EXTRATO!$A$2:$A$3000,0))))</f>
        <v/>
      </c>
      <c r="C1548" s="86" t="str">
        <f t="shared" si="34"/>
        <v/>
      </c>
      <c r="D1548" s="81"/>
      <c r="E1548" s="79"/>
      <c r="F1548" s="80" t="str">
        <f>IF(A1548="","",SUMIF(EXTRATO!$A$2:$A$3000,$A1548,EXTRATO!$J$2:$J$3000)+SUMIF(EXTRATO!$A$2:$A$3000,$A1548,EXTRATO!$K$2:$K$3000)+SUMIF(EXTRATO!$A$2:$A$3000,$A1548,EXTRATO!$L$2:$L$3000)+SUMIF(EXTRATO!$A$2:$A$3000,$A1548,EXTRATO!$M$2:$M$3000))</f>
        <v/>
      </c>
      <c r="G1548" s="81" t="str">
        <f>IF(A1548="","",IF(INDEX(EXTRATO!$G$2:$G$3000,MATCH($A1548,EXTRATO!$A$2:$A$3000,0))="","",INDEX(EXTRATO!$G$2:$G$3000,MATCH($A1548,EXTRATO!$A$2:$A$3000,0))))</f>
        <v/>
      </c>
      <c r="H1548" s="86" t="str">
        <f>IF(A1548="","",IF(INDEX(EXTRATO!$F$2:$F$3000,MATCH($A1548,EXTRATO!$A$2:$A$3000,0))="","",INDEX(EXTRATO!$F$2:$F$3000,MATCH($A1548,EXTRATO!$A$2:$A$3000,0))))</f>
        <v/>
      </c>
      <c r="I1548" s="88" t="str">
        <f>IF(A1548="","",IF(INDEX(EXTRATO!$H$2:$H$3000,MATCH($A1548,EXTRATO!$A$2:$A$3000,0))="","",INDEX(EXTRATO!$H$2:$H$3000,MATCH($A1548,EXTRATO!$A$2:$A$3000,0))))</f>
        <v/>
      </c>
      <c r="J1548" s="86" t="str">
        <f t="shared" si="35"/>
        <v/>
      </c>
      <c r="K1548" s="86" t="str">
        <f>IF(AND(A1548="",D1548="",E1548="",F1548=""),"",IF(D1548="","SEM CATEGORIA",IF(E1548="","SEM SUBCATEGORIA",IF(COUNTIFS(CADASTROS!$L$7:$L$93,D1548,CADASTROS!$D$7:$D$93,E1548)=0,"INCOMPATÍVEL","OK"))))</f>
        <v/>
      </c>
    </row>
    <row r="1549" spans="1:11" ht="30" hidden="1" customHeight="1" x14ac:dyDescent="0.25">
      <c r="A1549" s="86" t="str">
        <f>IF(COUNTIF(EXTRATO!$A$2:$A$3000,"BAN-01406")=0,"","BAN-01406")</f>
        <v/>
      </c>
      <c r="B1549" s="85" t="str">
        <f>IF(A1549="","",IF(INDEX(EXTRATO!$C$2:$C$3000,MATCH($A1549,EXTRATO!$A$2:$A$3000,0))="","",INDEX(EXTRATO!$C$2:$C$3000,MATCH($A1549,EXTRATO!$A$2:$A$3000,0))))</f>
        <v/>
      </c>
      <c r="C1549" s="86" t="str">
        <f t="shared" si="34"/>
        <v/>
      </c>
      <c r="D1549" s="81"/>
      <c r="E1549" s="79"/>
      <c r="F1549" s="80" t="str">
        <f>IF(A1549="","",SUMIF(EXTRATO!$A$2:$A$3000,$A1549,EXTRATO!$J$2:$J$3000)+SUMIF(EXTRATO!$A$2:$A$3000,$A1549,EXTRATO!$K$2:$K$3000)+SUMIF(EXTRATO!$A$2:$A$3000,$A1549,EXTRATO!$L$2:$L$3000)+SUMIF(EXTRATO!$A$2:$A$3000,$A1549,EXTRATO!$M$2:$M$3000))</f>
        <v/>
      </c>
      <c r="G1549" s="81" t="str">
        <f>IF(A1549="","",IF(INDEX(EXTRATO!$G$2:$G$3000,MATCH($A1549,EXTRATO!$A$2:$A$3000,0))="","",INDEX(EXTRATO!$G$2:$G$3000,MATCH($A1549,EXTRATO!$A$2:$A$3000,0))))</f>
        <v/>
      </c>
      <c r="H1549" s="86" t="str">
        <f>IF(A1549="","",IF(INDEX(EXTRATO!$F$2:$F$3000,MATCH($A1549,EXTRATO!$A$2:$A$3000,0))="","",INDEX(EXTRATO!$F$2:$F$3000,MATCH($A1549,EXTRATO!$A$2:$A$3000,0))))</f>
        <v/>
      </c>
      <c r="I1549" s="88" t="str">
        <f>IF(A1549="","",IF(INDEX(EXTRATO!$H$2:$H$3000,MATCH($A1549,EXTRATO!$A$2:$A$3000,0))="","",INDEX(EXTRATO!$H$2:$H$3000,MATCH($A1549,EXTRATO!$A$2:$A$3000,0))))</f>
        <v/>
      </c>
      <c r="J1549" s="86" t="str">
        <f t="shared" si="35"/>
        <v/>
      </c>
      <c r="K1549" s="86" t="str">
        <f>IF(AND(A1549="",D1549="",E1549="",F1549=""),"",IF(D1549="","SEM CATEGORIA",IF(E1549="","SEM SUBCATEGORIA",IF(COUNTIFS(CADASTROS!$L$7:$L$93,D1549,CADASTROS!$D$7:$D$93,E1549)=0,"INCOMPATÍVEL","OK"))))</f>
        <v/>
      </c>
    </row>
    <row r="1550" spans="1:11" ht="30" hidden="1" customHeight="1" x14ac:dyDescent="0.25">
      <c r="A1550" s="86" t="str">
        <f>IF(COUNTIF(EXTRATO!$A$2:$A$3000,"BAN-01407")=0,"","BAN-01407")</f>
        <v/>
      </c>
      <c r="B1550" s="85" t="str">
        <f>IF(A1550="","",IF(INDEX(EXTRATO!$C$2:$C$3000,MATCH($A1550,EXTRATO!$A$2:$A$3000,0))="","",INDEX(EXTRATO!$C$2:$C$3000,MATCH($A1550,EXTRATO!$A$2:$A$3000,0))))</f>
        <v/>
      </c>
      <c r="C1550" s="86" t="str">
        <f t="shared" si="34"/>
        <v/>
      </c>
      <c r="D1550" s="81"/>
      <c r="E1550" s="79"/>
      <c r="F1550" s="80" t="str">
        <f>IF(A1550="","",SUMIF(EXTRATO!$A$2:$A$3000,$A1550,EXTRATO!$J$2:$J$3000)+SUMIF(EXTRATO!$A$2:$A$3000,$A1550,EXTRATO!$K$2:$K$3000)+SUMIF(EXTRATO!$A$2:$A$3000,$A1550,EXTRATO!$L$2:$L$3000)+SUMIF(EXTRATO!$A$2:$A$3000,$A1550,EXTRATO!$M$2:$M$3000))</f>
        <v/>
      </c>
      <c r="G1550" s="81" t="str">
        <f>IF(A1550="","",IF(INDEX(EXTRATO!$G$2:$G$3000,MATCH($A1550,EXTRATO!$A$2:$A$3000,0))="","",INDEX(EXTRATO!$G$2:$G$3000,MATCH($A1550,EXTRATO!$A$2:$A$3000,0))))</f>
        <v/>
      </c>
      <c r="H1550" s="86" t="str">
        <f>IF(A1550="","",IF(INDEX(EXTRATO!$F$2:$F$3000,MATCH($A1550,EXTRATO!$A$2:$A$3000,0))="","",INDEX(EXTRATO!$F$2:$F$3000,MATCH($A1550,EXTRATO!$A$2:$A$3000,0))))</f>
        <v/>
      </c>
      <c r="I1550" s="88" t="str">
        <f>IF(A1550="","",IF(INDEX(EXTRATO!$H$2:$H$3000,MATCH($A1550,EXTRATO!$A$2:$A$3000,0))="","",INDEX(EXTRATO!$H$2:$H$3000,MATCH($A1550,EXTRATO!$A$2:$A$3000,0))))</f>
        <v/>
      </c>
      <c r="J1550" s="86" t="str">
        <f t="shared" si="35"/>
        <v/>
      </c>
      <c r="K1550" s="86" t="str">
        <f>IF(AND(A1550="",D1550="",E1550="",F1550=""),"",IF(D1550="","SEM CATEGORIA",IF(E1550="","SEM SUBCATEGORIA",IF(COUNTIFS(CADASTROS!$L$7:$L$93,D1550,CADASTROS!$D$7:$D$93,E1550)=0,"INCOMPATÍVEL","OK"))))</f>
        <v/>
      </c>
    </row>
    <row r="1551" spans="1:11" ht="30" hidden="1" customHeight="1" x14ac:dyDescent="0.25">
      <c r="A1551" s="86" t="str">
        <f>IF(COUNTIF(EXTRATO!$A$2:$A$3000,"BAN-01408")=0,"","BAN-01408")</f>
        <v/>
      </c>
      <c r="B1551" s="85" t="str">
        <f>IF(A1551="","",IF(INDEX(EXTRATO!$C$2:$C$3000,MATCH($A1551,EXTRATO!$A$2:$A$3000,0))="","",INDEX(EXTRATO!$C$2:$C$3000,MATCH($A1551,EXTRATO!$A$2:$A$3000,0))))</f>
        <v/>
      </c>
      <c r="C1551" s="86" t="str">
        <f t="shared" si="34"/>
        <v/>
      </c>
      <c r="D1551" s="81"/>
      <c r="E1551" s="79"/>
      <c r="F1551" s="80" t="str">
        <f>IF(A1551="","",SUMIF(EXTRATO!$A$2:$A$3000,$A1551,EXTRATO!$J$2:$J$3000)+SUMIF(EXTRATO!$A$2:$A$3000,$A1551,EXTRATO!$K$2:$K$3000)+SUMIF(EXTRATO!$A$2:$A$3000,$A1551,EXTRATO!$L$2:$L$3000)+SUMIF(EXTRATO!$A$2:$A$3000,$A1551,EXTRATO!$M$2:$M$3000))</f>
        <v/>
      </c>
      <c r="G1551" s="81" t="str">
        <f>IF(A1551="","",IF(INDEX(EXTRATO!$G$2:$G$3000,MATCH($A1551,EXTRATO!$A$2:$A$3000,0))="","",INDEX(EXTRATO!$G$2:$G$3000,MATCH($A1551,EXTRATO!$A$2:$A$3000,0))))</f>
        <v/>
      </c>
      <c r="H1551" s="86" t="str">
        <f>IF(A1551="","",IF(INDEX(EXTRATO!$F$2:$F$3000,MATCH($A1551,EXTRATO!$A$2:$A$3000,0))="","",INDEX(EXTRATO!$F$2:$F$3000,MATCH($A1551,EXTRATO!$A$2:$A$3000,0))))</f>
        <v/>
      </c>
      <c r="I1551" s="88" t="str">
        <f>IF(A1551="","",IF(INDEX(EXTRATO!$H$2:$H$3000,MATCH($A1551,EXTRATO!$A$2:$A$3000,0))="","",INDEX(EXTRATO!$H$2:$H$3000,MATCH($A1551,EXTRATO!$A$2:$A$3000,0))))</f>
        <v/>
      </c>
      <c r="J1551" s="86" t="str">
        <f t="shared" si="35"/>
        <v/>
      </c>
      <c r="K1551" s="86" t="str">
        <f>IF(AND(A1551="",D1551="",E1551="",F1551=""),"",IF(D1551="","SEM CATEGORIA",IF(E1551="","SEM SUBCATEGORIA",IF(COUNTIFS(CADASTROS!$L$7:$L$93,D1551,CADASTROS!$D$7:$D$93,E1551)=0,"INCOMPATÍVEL","OK"))))</f>
        <v/>
      </c>
    </row>
    <row r="1552" spans="1:11" ht="30" hidden="1" customHeight="1" x14ac:dyDescent="0.25">
      <c r="A1552" s="86" t="str">
        <f>IF(COUNTIF(EXTRATO!$A$2:$A$3000,"BAN-01409")=0,"","BAN-01409")</f>
        <v/>
      </c>
      <c r="B1552" s="85" t="str">
        <f>IF(A1552="","",IF(INDEX(EXTRATO!$C$2:$C$3000,MATCH($A1552,EXTRATO!$A$2:$A$3000,0))="","",INDEX(EXTRATO!$C$2:$C$3000,MATCH($A1552,EXTRATO!$A$2:$A$3000,0))))</f>
        <v/>
      </c>
      <c r="C1552" s="86" t="str">
        <f t="shared" si="34"/>
        <v/>
      </c>
      <c r="D1552" s="81"/>
      <c r="E1552" s="79"/>
      <c r="F1552" s="80" t="str">
        <f>IF(A1552="","",SUMIF(EXTRATO!$A$2:$A$3000,$A1552,EXTRATO!$J$2:$J$3000)+SUMIF(EXTRATO!$A$2:$A$3000,$A1552,EXTRATO!$K$2:$K$3000)+SUMIF(EXTRATO!$A$2:$A$3000,$A1552,EXTRATO!$L$2:$L$3000)+SUMIF(EXTRATO!$A$2:$A$3000,$A1552,EXTRATO!$M$2:$M$3000))</f>
        <v/>
      </c>
      <c r="G1552" s="81" t="str">
        <f>IF(A1552="","",IF(INDEX(EXTRATO!$G$2:$G$3000,MATCH($A1552,EXTRATO!$A$2:$A$3000,0))="","",INDEX(EXTRATO!$G$2:$G$3000,MATCH($A1552,EXTRATO!$A$2:$A$3000,0))))</f>
        <v/>
      </c>
      <c r="H1552" s="86" t="str">
        <f>IF(A1552="","",IF(INDEX(EXTRATO!$F$2:$F$3000,MATCH($A1552,EXTRATO!$A$2:$A$3000,0))="","",INDEX(EXTRATO!$F$2:$F$3000,MATCH($A1552,EXTRATO!$A$2:$A$3000,0))))</f>
        <v/>
      </c>
      <c r="I1552" s="88" t="str">
        <f>IF(A1552="","",IF(INDEX(EXTRATO!$H$2:$H$3000,MATCH($A1552,EXTRATO!$A$2:$A$3000,0))="","",INDEX(EXTRATO!$H$2:$H$3000,MATCH($A1552,EXTRATO!$A$2:$A$3000,0))))</f>
        <v/>
      </c>
      <c r="J1552" s="86" t="str">
        <f t="shared" si="35"/>
        <v/>
      </c>
      <c r="K1552" s="86" t="str">
        <f>IF(AND(A1552="",D1552="",E1552="",F1552=""),"",IF(D1552="","SEM CATEGORIA",IF(E1552="","SEM SUBCATEGORIA",IF(COUNTIFS(CADASTROS!$L$7:$L$93,D1552,CADASTROS!$D$7:$D$93,E1552)=0,"INCOMPATÍVEL","OK"))))</f>
        <v/>
      </c>
    </row>
    <row r="1553" spans="1:11" ht="30" hidden="1" customHeight="1" x14ac:dyDescent="0.25">
      <c r="A1553" s="86" t="str">
        <f>IF(COUNTIF(EXTRATO!$A$2:$A$3000,"BAN-01410")=0,"","BAN-01410")</f>
        <v/>
      </c>
      <c r="B1553" s="85" t="str">
        <f>IF(A1553="","",IF(INDEX(EXTRATO!$C$2:$C$3000,MATCH($A1553,EXTRATO!$A$2:$A$3000,0))="","",INDEX(EXTRATO!$C$2:$C$3000,MATCH($A1553,EXTRATO!$A$2:$A$3000,0))))</f>
        <v/>
      </c>
      <c r="C1553" s="86" t="str">
        <f t="shared" si="34"/>
        <v/>
      </c>
      <c r="D1553" s="81"/>
      <c r="E1553" s="79"/>
      <c r="F1553" s="80" t="str">
        <f>IF(A1553="","",SUMIF(EXTRATO!$A$2:$A$3000,$A1553,EXTRATO!$J$2:$J$3000)+SUMIF(EXTRATO!$A$2:$A$3000,$A1553,EXTRATO!$K$2:$K$3000)+SUMIF(EXTRATO!$A$2:$A$3000,$A1553,EXTRATO!$L$2:$L$3000)+SUMIF(EXTRATO!$A$2:$A$3000,$A1553,EXTRATO!$M$2:$M$3000))</f>
        <v/>
      </c>
      <c r="G1553" s="81" t="str">
        <f>IF(A1553="","",IF(INDEX(EXTRATO!$G$2:$G$3000,MATCH($A1553,EXTRATO!$A$2:$A$3000,0))="","",INDEX(EXTRATO!$G$2:$G$3000,MATCH($A1553,EXTRATO!$A$2:$A$3000,0))))</f>
        <v/>
      </c>
      <c r="H1553" s="86" t="str">
        <f>IF(A1553="","",IF(INDEX(EXTRATO!$F$2:$F$3000,MATCH($A1553,EXTRATO!$A$2:$A$3000,0))="","",INDEX(EXTRATO!$F$2:$F$3000,MATCH($A1553,EXTRATO!$A$2:$A$3000,0))))</f>
        <v/>
      </c>
      <c r="I1553" s="88" t="str">
        <f>IF(A1553="","",IF(INDEX(EXTRATO!$H$2:$H$3000,MATCH($A1553,EXTRATO!$A$2:$A$3000,0))="","",INDEX(EXTRATO!$H$2:$H$3000,MATCH($A1553,EXTRATO!$A$2:$A$3000,0))))</f>
        <v/>
      </c>
      <c r="J1553" s="86" t="str">
        <f t="shared" si="35"/>
        <v/>
      </c>
      <c r="K1553" s="86" t="str">
        <f>IF(AND(A1553="",D1553="",E1553="",F1553=""),"",IF(D1553="","SEM CATEGORIA",IF(E1553="","SEM SUBCATEGORIA",IF(COUNTIFS(CADASTROS!$L$7:$L$93,D1553,CADASTROS!$D$7:$D$93,E1553)=0,"INCOMPATÍVEL","OK"))))</f>
        <v/>
      </c>
    </row>
    <row r="1554" spans="1:11" ht="30" hidden="1" customHeight="1" x14ac:dyDescent="0.25">
      <c r="A1554" s="86" t="str">
        <f>IF(COUNTIF(EXTRATO!$A$2:$A$3000,"BAN-01411")=0,"","BAN-01411")</f>
        <v/>
      </c>
      <c r="B1554" s="85" t="str">
        <f>IF(A1554="","",IF(INDEX(EXTRATO!$C$2:$C$3000,MATCH($A1554,EXTRATO!$A$2:$A$3000,0))="","",INDEX(EXTRATO!$C$2:$C$3000,MATCH($A1554,EXTRATO!$A$2:$A$3000,0))))</f>
        <v/>
      </c>
      <c r="C1554" s="86" t="str">
        <f t="shared" si="34"/>
        <v/>
      </c>
      <c r="D1554" s="81"/>
      <c r="E1554" s="79"/>
      <c r="F1554" s="80" t="str">
        <f>IF(A1554="","",SUMIF(EXTRATO!$A$2:$A$3000,$A1554,EXTRATO!$J$2:$J$3000)+SUMIF(EXTRATO!$A$2:$A$3000,$A1554,EXTRATO!$K$2:$K$3000)+SUMIF(EXTRATO!$A$2:$A$3000,$A1554,EXTRATO!$L$2:$L$3000)+SUMIF(EXTRATO!$A$2:$A$3000,$A1554,EXTRATO!$M$2:$M$3000))</f>
        <v/>
      </c>
      <c r="G1554" s="81" t="str">
        <f>IF(A1554="","",IF(INDEX(EXTRATO!$G$2:$G$3000,MATCH($A1554,EXTRATO!$A$2:$A$3000,0))="","",INDEX(EXTRATO!$G$2:$G$3000,MATCH($A1554,EXTRATO!$A$2:$A$3000,0))))</f>
        <v/>
      </c>
      <c r="H1554" s="86" t="str">
        <f>IF(A1554="","",IF(INDEX(EXTRATO!$F$2:$F$3000,MATCH($A1554,EXTRATO!$A$2:$A$3000,0))="","",INDEX(EXTRATO!$F$2:$F$3000,MATCH($A1554,EXTRATO!$A$2:$A$3000,0))))</f>
        <v/>
      </c>
      <c r="I1554" s="88" t="str">
        <f>IF(A1554="","",IF(INDEX(EXTRATO!$H$2:$H$3000,MATCH($A1554,EXTRATO!$A$2:$A$3000,0))="","",INDEX(EXTRATO!$H$2:$H$3000,MATCH($A1554,EXTRATO!$A$2:$A$3000,0))))</f>
        <v/>
      </c>
      <c r="J1554" s="86" t="str">
        <f t="shared" si="35"/>
        <v/>
      </c>
      <c r="K1554" s="86" t="str">
        <f>IF(AND(A1554="",D1554="",E1554="",F1554=""),"",IF(D1554="","SEM CATEGORIA",IF(E1554="","SEM SUBCATEGORIA",IF(COUNTIFS(CADASTROS!$L$7:$L$93,D1554,CADASTROS!$D$7:$D$93,E1554)=0,"INCOMPATÍVEL","OK"))))</f>
        <v/>
      </c>
    </row>
    <row r="1555" spans="1:11" ht="30" hidden="1" customHeight="1" x14ac:dyDescent="0.25">
      <c r="A1555" s="86" t="str">
        <f>IF(COUNTIF(EXTRATO!$A$2:$A$3000,"BAN-01412")=0,"","BAN-01412")</f>
        <v/>
      </c>
      <c r="B1555" s="85" t="str">
        <f>IF(A1555="","",IF(INDEX(EXTRATO!$C$2:$C$3000,MATCH($A1555,EXTRATO!$A$2:$A$3000,0))="","",INDEX(EXTRATO!$C$2:$C$3000,MATCH($A1555,EXTRATO!$A$2:$A$3000,0))))</f>
        <v/>
      </c>
      <c r="C1555" s="86" t="str">
        <f t="shared" si="34"/>
        <v/>
      </c>
      <c r="D1555" s="81"/>
      <c r="E1555" s="79"/>
      <c r="F1555" s="80" t="str">
        <f>IF(A1555="","",SUMIF(EXTRATO!$A$2:$A$3000,$A1555,EXTRATO!$J$2:$J$3000)+SUMIF(EXTRATO!$A$2:$A$3000,$A1555,EXTRATO!$K$2:$K$3000)+SUMIF(EXTRATO!$A$2:$A$3000,$A1555,EXTRATO!$L$2:$L$3000)+SUMIF(EXTRATO!$A$2:$A$3000,$A1555,EXTRATO!$M$2:$M$3000))</f>
        <v/>
      </c>
      <c r="G1555" s="81" t="str">
        <f>IF(A1555="","",IF(INDEX(EXTRATO!$G$2:$G$3000,MATCH($A1555,EXTRATO!$A$2:$A$3000,0))="","",INDEX(EXTRATO!$G$2:$G$3000,MATCH($A1555,EXTRATO!$A$2:$A$3000,0))))</f>
        <v/>
      </c>
      <c r="H1555" s="86" t="str">
        <f>IF(A1555="","",IF(INDEX(EXTRATO!$F$2:$F$3000,MATCH($A1555,EXTRATO!$A$2:$A$3000,0))="","",INDEX(EXTRATO!$F$2:$F$3000,MATCH($A1555,EXTRATO!$A$2:$A$3000,0))))</f>
        <v/>
      </c>
      <c r="I1555" s="88" t="str">
        <f>IF(A1555="","",IF(INDEX(EXTRATO!$H$2:$H$3000,MATCH($A1555,EXTRATO!$A$2:$A$3000,0))="","",INDEX(EXTRATO!$H$2:$H$3000,MATCH($A1555,EXTRATO!$A$2:$A$3000,0))))</f>
        <v/>
      </c>
      <c r="J1555" s="86" t="str">
        <f t="shared" si="35"/>
        <v/>
      </c>
      <c r="K1555" s="86" t="str">
        <f>IF(AND(A1555="",D1555="",E1555="",F1555=""),"",IF(D1555="","SEM CATEGORIA",IF(E1555="","SEM SUBCATEGORIA",IF(COUNTIFS(CADASTROS!$L$7:$L$93,D1555,CADASTROS!$D$7:$D$93,E1555)=0,"INCOMPATÍVEL","OK"))))</f>
        <v/>
      </c>
    </row>
    <row r="1556" spans="1:11" ht="30" hidden="1" customHeight="1" x14ac:dyDescent="0.25">
      <c r="A1556" s="86" t="str">
        <f>IF(COUNTIF(EXTRATO!$A$2:$A$3000,"BAN-01413")=0,"","BAN-01413")</f>
        <v/>
      </c>
      <c r="B1556" s="85" t="str">
        <f>IF(A1556="","",IF(INDEX(EXTRATO!$C$2:$C$3000,MATCH($A1556,EXTRATO!$A$2:$A$3000,0))="","",INDEX(EXTRATO!$C$2:$C$3000,MATCH($A1556,EXTRATO!$A$2:$A$3000,0))))</f>
        <v/>
      </c>
      <c r="C1556" s="86" t="str">
        <f t="shared" si="34"/>
        <v/>
      </c>
      <c r="D1556" s="81"/>
      <c r="E1556" s="79"/>
      <c r="F1556" s="80" t="str">
        <f>IF(A1556="","",SUMIF(EXTRATO!$A$2:$A$3000,$A1556,EXTRATO!$J$2:$J$3000)+SUMIF(EXTRATO!$A$2:$A$3000,$A1556,EXTRATO!$K$2:$K$3000)+SUMIF(EXTRATO!$A$2:$A$3000,$A1556,EXTRATO!$L$2:$L$3000)+SUMIF(EXTRATO!$A$2:$A$3000,$A1556,EXTRATO!$M$2:$M$3000))</f>
        <v/>
      </c>
      <c r="G1556" s="81" t="str">
        <f>IF(A1556="","",IF(INDEX(EXTRATO!$G$2:$G$3000,MATCH($A1556,EXTRATO!$A$2:$A$3000,0))="","",INDEX(EXTRATO!$G$2:$G$3000,MATCH($A1556,EXTRATO!$A$2:$A$3000,0))))</f>
        <v/>
      </c>
      <c r="H1556" s="86" t="str">
        <f>IF(A1556="","",IF(INDEX(EXTRATO!$F$2:$F$3000,MATCH($A1556,EXTRATO!$A$2:$A$3000,0))="","",INDEX(EXTRATO!$F$2:$F$3000,MATCH($A1556,EXTRATO!$A$2:$A$3000,0))))</f>
        <v/>
      </c>
      <c r="I1556" s="88" t="str">
        <f>IF(A1556="","",IF(INDEX(EXTRATO!$H$2:$H$3000,MATCH($A1556,EXTRATO!$A$2:$A$3000,0))="","",INDEX(EXTRATO!$H$2:$H$3000,MATCH($A1556,EXTRATO!$A$2:$A$3000,0))))</f>
        <v/>
      </c>
      <c r="J1556" s="86" t="str">
        <f t="shared" si="35"/>
        <v/>
      </c>
      <c r="K1556" s="86" t="str">
        <f>IF(AND(A1556="",D1556="",E1556="",F1556=""),"",IF(D1556="","SEM CATEGORIA",IF(E1556="","SEM SUBCATEGORIA",IF(COUNTIFS(CADASTROS!$L$7:$L$93,D1556,CADASTROS!$D$7:$D$93,E1556)=0,"INCOMPATÍVEL","OK"))))</f>
        <v/>
      </c>
    </row>
    <row r="1557" spans="1:11" ht="30" hidden="1" customHeight="1" x14ac:dyDescent="0.25">
      <c r="A1557" s="86" t="str">
        <f>IF(COUNTIF(EXTRATO!$A$2:$A$3000,"BAN-01414")=0,"","BAN-01414")</f>
        <v/>
      </c>
      <c r="B1557" s="85" t="str">
        <f>IF(A1557="","",IF(INDEX(EXTRATO!$C$2:$C$3000,MATCH($A1557,EXTRATO!$A$2:$A$3000,0))="","",INDEX(EXTRATO!$C$2:$C$3000,MATCH($A1557,EXTRATO!$A$2:$A$3000,0))))</f>
        <v/>
      </c>
      <c r="C1557" s="86" t="str">
        <f t="shared" ref="C1557:C1620" si="36">IF(B1557="","",MONTH(B1557))</f>
        <v/>
      </c>
      <c r="D1557" s="81"/>
      <c r="E1557" s="79"/>
      <c r="F1557" s="80" t="str">
        <f>IF(A1557="","",SUMIF(EXTRATO!$A$2:$A$3000,$A1557,EXTRATO!$J$2:$J$3000)+SUMIF(EXTRATO!$A$2:$A$3000,$A1557,EXTRATO!$K$2:$K$3000)+SUMIF(EXTRATO!$A$2:$A$3000,$A1557,EXTRATO!$L$2:$L$3000)+SUMIF(EXTRATO!$A$2:$A$3000,$A1557,EXTRATO!$M$2:$M$3000))</f>
        <v/>
      </c>
      <c r="G1557" s="81" t="str">
        <f>IF(A1557="","",IF(INDEX(EXTRATO!$G$2:$G$3000,MATCH($A1557,EXTRATO!$A$2:$A$3000,0))="","",INDEX(EXTRATO!$G$2:$G$3000,MATCH($A1557,EXTRATO!$A$2:$A$3000,0))))</f>
        <v/>
      </c>
      <c r="H1557" s="86" t="str">
        <f>IF(A1557="","",IF(INDEX(EXTRATO!$F$2:$F$3000,MATCH($A1557,EXTRATO!$A$2:$A$3000,0))="","",INDEX(EXTRATO!$F$2:$F$3000,MATCH($A1557,EXTRATO!$A$2:$A$3000,0))))</f>
        <v/>
      </c>
      <c r="I1557" s="88" t="str">
        <f>IF(A1557="","",IF(INDEX(EXTRATO!$H$2:$H$3000,MATCH($A1557,EXTRATO!$A$2:$A$3000,0))="","",INDEX(EXTRATO!$H$2:$H$3000,MATCH($A1557,EXTRATO!$A$2:$A$3000,0))))</f>
        <v/>
      </c>
      <c r="J1557" s="86" t="str">
        <f t="shared" si="35"/>
        <v/>
      </c>
      <c r="K1557" s="86" t="str">
        <f>IF(AND(A1557="",D1557="",E1557="",F1557=""),"",IF(D1557="","SEM CATEGORIA",IF(E1557="","SEM SUBCATEGORIA",IF(COUNTIFS(CADASTROS!$L$7:$L$93,D1557,CADASTROS!$D$7:$D$93,E1557)=0,"INCOMPATÍVEL","OK"))))</f>
        <v/>
      </c>
    </row>
    <row r="1558" spans="1:11" ht="30" hidden="1" customHeight="1" x14ac:dyDescent="0.25">
      <c r="A1558" s="86" t="str">
        <f>IF(COUNTIF(EXTRATO!$A$2:$A$3000,"BAN-01415")=0,"","BAN-01415")</f>
        <v/>
      </c>
      <c r="B1558" s="85" t="str">
        <f>IF(A1558="","",IF(INDEX(EXTRATO!$C$2:$C$3000,MATCH($A1558,EXTRATO!$A$2:$A$3000,0))="","",INDEX(EXTRATO!$C$2:$C$3000,MATCH($A1558,EXTRATO!$A$2:$A$3000,0))))</f>
        <v/>
      </c>
      <c r="C1558" s="86" t="str">
        <f t="shared" si="36"/>
        <v/>
      </c>
      <c r="D1558" s="81"/>
      <c r="E1558" s="79"/>
      <c r="F1558" s="80" t="str">
        <f>IF(A1558="","",SUMIF(EXTRATO!$A$2:$A$3000,$A1558,EXTRATO!$J$2:$J$3000)+SUMIF(EXTRATO!$A$2:$A$3000,$A1558,EXTRATO!$K$2:$K$3000)+SUMIF(EXTRATO!$A$2:$A$3000,$A1558,EXTRATO!$L$2:$L$3000)+SUMIF(EXTRATO!$A$2:$A$3000,$A1558,EXTRATO!$M$2:$M$3000))</f>
        <v/>
      </c>
      <c r="G1558" s="81" t="str">
        <f>IF(A1558="","",IF(INDEX(EXTRATO!$G$2:$G$3000,MATCH($A1558,EXTRATO!$A$2:$A$3000,0))="","",INDEX(EXTRATO!$G$2:$G$3000,MATCH($A1558,EXTRATO!$A$2:$A$3000,0))))</f>
        <v/>
      </c>
      <c r="H1558" s="86" t="str">
        <f>IF(A1558="","",IF(INDEX(EXTRATO!$F$2:$F$3000,MATCH($A1558,EXTRATO!$A$2:$A$3000,0))="","",INDEX(EXTRATO!$F$2:$F$3000,MATCH($A1558,EXTRATO!$A$2:$A$3000,0))))</f>
        <v/>
      </c>
      <c r="I1558" s="88" t="str">
        <f>IF(A1558="","",IF(INDEX(EXTRATO!$H$2:$H$3000,MATCH($A1558,EXTRATO!$A$2:$A$3000,0))="","",INDEX(EXTRATO!$H$2:$H$3000,MATCH($A1558,EXTRATO!$A$2:$A$3000,0))))</f>
        <v/>
      </c>
      <c r="J1558" s="86" t="str">
        <f t="shared" si="35"/>
        <v/>
      </c>
      <c r="K1558" s="86" t="str">
        <f>IF(AND(A1558="",D1558="",E1558="",F1558=""),"",IF(D1558="","SEM CATEGORIA",IF(E1558="","SEM SUBCATEGORIA",IF(COUNTIFS(CADASTROS!$L$7:$L$93,D1558,CADASTROS!$D$7:$D$93,E1558)=0,"INCOMPATÍVEL","OK"))))</f>
        <v/>
      </c>
    </row>
    <row r="1559" spans="1:11" ht="30" hidden="1" customHeight="1" x14ac:dyDescent="0.25">
      <c r="A1559" s="86" t="str">
        <f>IF(COUNTIF(EXTRATO!$A$2:$A$3000,"BAN-01416")=0,"","BAN-01416")</f>
        <v/>
      </c>
      <c r="B1559" s="85" t="str">
        <f>IF(A1559="","",IF(INDEX(EXTRATO!$C$2:$C$3000,MATCH($A1559,EXTRATO!$A$2:$A$3000,0))="","",INDEX(EXTRATO!$C$2:$C$3000,MATCH($A1559,EXTRATO!$A$2:$A$3000,0))))</f>
        <v/>
      </c>
      <c r="C1559" s="86" t="str">
        <f t="shared" si="36"/>
        <v/>
      </c>
      <c r="D1559" s="81"/>
      <c r="E1559" s="79"/>
      <c r="F1559" s="80" t="str">
        <f>IF(A1559="","",SUMIF(EXTRATO!$A$2:$A$3000,$A1559,EXTRATO!$J$2:$J$3000)+SUMIF(EXTRATO!$A$2:$A$3000,$A1559,EXTRATO!$K$2:$K$3000)+SUMIF(EXTRATO!$A$2:$A$3000,$A1559,EXTRATO!$L$2:$L$3000)+SUMIF(EXTRATO!$A$2:$A$3000,$A1559,EXTRATO!$M$2:$M$3000))</f>
        <v/>
      </c>
      <c r="G1559" s="81" t="str">
        <f>IF(A1559="","",IF(INDEX(EXTRATO!$G$2:$G$3000,MATCH($A1559,EXTRATO!$A$2:$A$3000,0))="","",INDEX(EXTRATO!$G$2:$G$3000,MATCH($A1559,EXTRATO!$A$2:$A$3000,0))))</f>
        <v/>
      </c>
      <c r="H1559" s="86" t="str">
        <f>IF(A1559="","",IF(INDEX(EXTRATO!$F$2:$F$3000,MATCH($A1559,EXTRATO!$A$2:$A$3000,0))="","",INDEX(EXTRATO!$F$2:$F$3000,MATCH($A1559,EXTRATO!$A$2:$A$3000,0))))</f>
        <v/>
      </c>
      <c r="I1559" s="88" t="str">
        <f>IF(A1559="","",IF(INDEX(EXTRATO!$H$2:$H$3000,MATCH($A1559,EXTRATO!$A$2:$A$3000,0))="","",INDEX(EXTRATO!$H$2:$H$3000,MATCH($A1559,EXTRATO!$A$2:$A$3000,0))))</f>
        <v/>
      </c>
      <c r="J1559" s="86" t="str">
        <f t="shared" si="35"/>
        <v/>
      </c>
      <c r="K1559" s="86" t="str">
        <f>IF(AND(A1559="",D1559="",E1559="",F1559=""),"",IF(D1559="","SEM CATEGORIA",IF(E1559="","SEM SUBCATEGORIA",IF(COUNTIFS(CADASTROS!$L$7:$L$93,D1559,CADASTROS!$D$7:$D$93,E1559)=0,"INCOMPATÍVEL","OK"))))</f>
        <v/>
      </c>
    </row>
    <row r="1560" spans="1:11" ht="30" hidden="1" customHeight="1" x14ac:dyDescent="0.25">
      <c r="A1560" s="86" t="str">
        <f>IF(COUNTIF(EXTRATO!$A$2:$A$3000,"BAN-01417")=0,"","BAN-01417")</f>
        <v/>
      </c>
      <c r="B1560" s="85" t="str">
        <f>IF(A1560="","",IF(INDEX(EXTRATO!$C$2:$C$3000,MATCH($A1560,EXTRATO!$A$2:$A$3000,0))="","",INDEX(EXTRATO!$C$2:$C$3000,MATCH($A1560,EXTRATO!$A$2:$A$3000,0))))</f>
        <v/>
      </c>
      <c r="C1560" s="86" t="str">
        <f t="shared" si="36"/>
        <v/>
      </c>
      <c r="D1560" s="81"/>
      <c r="E1560" s="79"/>
      <c r="F1560" s="80" t="str">
        <f>IF(A1560="","",SUMIF(EXTRATO!$A$2:$A$3000,$A1560,EXTRATO!$J$2:$J$3000)+SUMIF(EXTRATO!$A$2:$A$3000,$A1560,EXTRATO!$K$2:$K$3000)+SUMIF(EXTRATO!$A$2:$A$3000,$A1560,EXTRATO!$L$2:$L$3000)+SUMIF(EXTRATO!$A$2:$A$3000,$A1560,EXTRATO!$M$2:$M$3000))</f>
        <v/>
      </c>
      <c r="G1560" s="81" t="str">
        <f>IF(A1560="","",IF(INDEX(EXTRATO!$G$2:$G$3000,MATCH($A1560,EXTRATO!$A$2:$A$3000,0))="","",INDEX(EXTRATO!$G$2:$G$3000,MATCH($A1560,EXTRATO!$A$2:$A$3000,0))))</f>
        <v/>
      </c>
      <c r="H1560" s="86" t="str">
        <f>IF(A1560="","",IF(INDEX(EXTRATO!$F$2:$F$3000,MATCH($A1560,EXTRATO!$A$2:$A$3000,0))="","",INDEX(EXTRATO!$F$2:$F$3000,MATCH($A1560,EXTRATO!$A$2:$A$3000,0))))</f>
        <v/>
      </c>
      <c r="I1560" s="88" t="str">
        <f>IF(A1560="","",IF(INDEX(EXTRATO!$H$2:$H$3000,MATCH($A1560,EXTRATO!$A$2:$A$3000,0))="","",INDEX(EXTRATO!$H$2:$H$3000,MATCH($A1560,EXTRATO!$A$2:$A$3000,0))))</f>
        <v/>
      </c>
      <c r="J1560" s="86" t="str">
        <f t="shared" si="35"/>
        <v/>
      </c>
      <c r="K1560" s="86" t="str">
        <f>IF(AND(A1560="",D1560="",E1560="",F1560=""),"",IF(D1560="","SEM CATEGORIA",IF(E1560="","SEM SUBCATEGORIA",IF(COUNTIFS(CADASTROS!$L$7:$L$93,D1560,CADASTROS!$D$7:$D$93,E1560)=0,"INCOMPATÍVEL","OK"))))</f>
        <v/>
      </c>
    </row>
    <row r="1561" spans="1:11" ht="30" hidden="1" customHeight="1" x14ac:dyDescent="0.25">
      <c r="A1561" s="86" t="str">
        <f>IF(COUNTIF(EXTRATO!$A$2:$A$3000,"BAN-01418")=0,"","BAN-01418")</f>
        <v/>
      </c>
      <c r="B1561" s="85" t="str">
        <f>IF(A1561="","",IF(INDEX(EXTRATO!$C$2:$C$3000,MATCH($A1561,EXTRATO!$A$2:$A$3000,0))="","",INDEX(EXTRATO!$C$2:$C$3000,MATCH($A1561,EXTRATO!$A$2:$A$3000,0))))</f>
        <v/>
      </c>
      <c r="C1561" s="86" t="str">
        <f t="shared" si="36"/>
        <v/>
      </c>
      <c r="D1561" s="81"/>
      <c r="E1561" s="79"/>
      <c r="F1561" s="80" t="str">
        <f>IF(A1561="","",SUMIF(EXTRATO!$A$2:$A$3000,$A1561,EXTRATO!$J$2:$J$3000)+SUMIF(EXTRATO!$A$2:$A$3000,$A1561,EXTRATO!$K$2:$K$3000)+SUMIF(EXTRATO!$A$2:$A$3000,$A1561,EXTRATO!$L$2:$L$3000)+SUMIF(EXTRATO!$A$2:$A$3000,$A1561,EXTRATO!$M$2:$M$3000))</f>
        <v/>
      </c>
      <c r="G1561" s="81" t="str">
        <f>IF(A1561="","",IF(INDEX(EXTRATO!$G$2:$G$3000,MATCH($A1561,EXTRATO!$A$2:$A$3000,0))="","",INDEX(EXTRATO!$G$2:$G$3000,MATCH($A1561,EXTRATO!$A$2:$A$3000,0))))</f>
        <v/>
      </c>
      <c r="H1561" s="86" t="str">
        <f>IF(A1561="","",IF(INDEX(EXTRATO!$F$2:$F$3000,MATCH($A1561,EXTRATO!$A$2:$A$3000,0))="","",INDEX(EXTRATO!$F$2:$F$3000,MATCH($A1561,EXTRATO!$A$2:$A$3000,0))))</f>
        <v/>
      </c>
      <c r="I1561" s="88" t="str">
        <f>IF(A1561="","",IF(INDEX(EXTRATO!$H$2:$H$3000,MATCH($A1561,EXTRATO!$A$2:$A$3000,0))="","",INDEX(EXTRATO!$H$2:$H$3000,MATCH($A1561,EXTRATO!$A$2:$A$3000,0))))</f>
        <v/>
      </c>
      <c r="J1561" s="86" t="str">
        <f t="shared" si="35"/>
        <v/>
      </c>
      <c r="K1561" s="86" t="str">
        <f>IF(AND(A1561="",D1561="",E1561="",F1561=""),"",IF(D1561="","SEM CATEGORIA",IF(E1561="","SEM SUBCATEGORIA",IF(COUNTIFS(CADASTROS!$L$7:$L$93,D1561,CADASTROS!$D$7:$D$93,E1561)=0,"INCOMPATÍVEL","OK"))))</f>
        <v/>
      </c>
    </row>
    <row r="1562" spans="1:11" ht="30" hidden="1" customHeight="1" x14ac:dyDescent="0.25">
      <c r="A1562" s="86" t="str">
        <f>IF(COUNTIF(EXTRATO!$A$2:$A$3000,"BAN-01419")=0,"","BAN-01419")</f>
        <v/>
      </c>
      <c r="B1562" s="85" t="str">
        <f>IF(A1562="","",IF(INDEX(EXTRATO!$C$2:$C$3000,MATCH($A1562,EXTRATO!$A$2:$A$3000,0))="","",INDEX(EXTRATO!$C$2:$C$3000,MATCH($A1562,EXTRATO!$A$2:$A$3000,0))))</f>
        <v/>
      </c>
      <c r="C1562" s="86" t="str">
        <f t="shared" si="36"/>
        <v/>
      </c>
      <c r="D1562" s="81"/>
      <c r="E1562" s="79"/>
      <c r="F1562" s="80" t="str">
        <f>IF(A1562="","",SUMIF(EXTRATO!$A$2:$A$3000,$A1562,EXTRATO!$J$2:$J$3000)+SUMIF(EXTRATO!$A$2:$A$3000,$A1562,EXTRATO!$K$2:$K$3000)+SUMIF(EXTRATO!$A$2:$A$3000,$A1562,EXTRATO!$L$2:$L$3000)+SUMIF(EXTRATO!$A$2:$A$3000,$A1562,EXTRATO!$M$2:$M$3000))</f>
        <v/>
      </c>
      <c r="G1562" s="81" t="str">
        <f>IF(A1562="","",IF(INDEX(EXTRATO!$G$2:$G$3000,MATCH($A1562,EXTRATO!$A$2:$A$3000,0))="","",INDEX(EXTRATO!$G$2:$G$3000,MATCH($A1562,EXTRATO!$A$2:$A$3000,0))))</f>
        <v/>
      </c>
      <c r="H1562" s="86" t="str">
        <f>IF(A1562="","",IF(INDEX(EXTRATO!$F$2:$F$3000,MATCH($A1562,EXTRATO!$A$2:$A$3000,0))="","",INDEX(EXTRATO!$F$2:$F$3000,MATCH($A1562,EXTRATO!$A$2:$A$3000,0))))</f>
        <v/>
      </c>
      <c r="I1562" s="88" t="str">
        <f>IF(A1562="","",IF(INDEX(EXTRATO!$H$2:$H$3000,MATCH($A1562,EXTRATO!$A$2:$A$3000,0))="","",INDEX(EXTRATO!$H$2:$H$3000,MATCH($A1562,EXTRATO!$A$2:$A$3000,0))))</f>
        <v/>
      </c>
      <c r="J1562" s="86" t="str">
        <f t="shared" si="35"/>
        <v/>
      </c>
      <c r="K1562" s="86" t="str">
        <f>IF(AND(A1562="",D1562="",E1562="",F1562=""),"",IF(D1562="","SEM CATEGORIA",IF(E1562="","SEM SUBCATEGORIA",IF(COUNTIFS(CADASTROS!$L$7:$L$93,D1562,CADASTROS!$D$7:$D$93,E1562)=0,"INCOMPATÍVEL","OK"))))</f>
        <v/>
      </c>
    </row>
    <row r="1563" spans="1:11" ht="30" hidden="1" customHeight="1" x14ac:dyDescent="0.25">
      <c r="A1563" s="86" t="str">
        <f>IF(COUNTIF(EXTRATO!$A$2:$A$3000,"BAN-01420")=0,"","BAN-01420")</f>
        <v/>
      </c>
      <c r="B1563" s="85" t="str">
        <f>IF(A1563="","",IF(INDEX(EXTRATO!$C$2:$C$3000,MATCH($A1563,EXTRATO!$A$2:$A$3000,0))="","",INDEX(EXTRATO!$C$2:$C$3000,MATCH($A1563,EXTRATO!$A$2:$A$3000,0))))</f>
        <v/>
      </c>
      <c r="C1563" s="86" t="str">
        <f t="shared" si="36"/>
        <v/>
      </c>
      <c r="D1563" s="81"/>
      <c r="E1563" s="79"/>
      <c r="F1563" s="80" t="str">
        <f>IF(A1563="","",SUMIF(EXTRATO!$A$2:$A$3000,$A1563,EXTRATO!$J$2:$J$3000)+SUMIF(EXTRATO!$A$2:$A$3000,$A1563,EXTRATO!$K$2:$K$3000)+SUMIF(EXTRATO!$A$2:$A$3000,$A1563,EXTRATO!$L$2:$L$3000)+SUMIF(EXTRATO!$A$2:$A$3000,$A1563,EXTRATO!$M$2:$M$3000))</f>
        <v/>
      </c>
      <c r="G1563" s="81" t="str">
        <f>IF(A1563="","",IF(INDEX(EXTRATO!$G$2:$G$3000,MATCH($A1563,EXTRATO!$A$2:$A$3000,0))="","",INDEX(EXTRATO!$G$2:$G$3000,MATCH($A1563,EXTRATO!$A$2:$A$3000,0))))</f>
        <v/>
      </c>
      <c r="H1563" s="86" t="str">
        <f>IF(A1563="","",IF(INDEX(EXTRATO!$F$2:$F$3000,MATCH($A1563,EXTRATO!$A$2:$A$3000,0))="","",INDEX(EXTRATO!$F$2:$F$3000,MATCH($A1563,EXTRATO!$A$2:$A$3000,0))))</f>
        <v/>
      </c>
      <c r="I1563" s="88" t="str">
        <f>IF(A1563="","",IF(INDEX(EXTRATO!$H$2:$H$3000,MATCH($A1563,EXTRATO!$A$2:$A$3000,0))="","",INDEX(EXTRATO!$H$2:$H$3000,MATCH($A1563,EXTRATO!$A$2:$A$3000,0))))</f>
        <v/>
      </c>
      <c r="J1563" s="86" t="str">
        <f t="shared" si="35"/>
        <v/>
      </c>
      <c r="K1563" s="86" t="str">
        <f>IF(AND(A1563="",D1563="",E1563="",F1563=""),"",IF(D1563="","SEM CATEGORIA",IF(E1563="","SEM SUBCATEGORIA",IF(COUNTIFS(CADASTROS!$L$7:$L$93,D1563,CADASTROS!$D$7:$D$93,E1563)=0,"INCOMPATÍVEL","OK"))))</f>
        <v/>
      </c>
    </row>
    <row r="1564" spans="1:11" ht="30" hidden="1" customHeight="1" x14ac:dyDescent="0.25">
      <c r="A1564" s="86" t="str">
        <f>IF(COUNTIF(EXTRATO!$A$2:$A$3000,"BAN-01421")=0,"","BAN-01421")</f>
        <v/>
      </c>
      <c r="B1564" s="85" t="str">
        <f>IF(A1564="","",IF(INDEX(EXTRATO!$C$2:$C$3000,MATCH($A1564,EXTRATO!$A$2:$A$3000,0))="","",INDEX(EXTRATO!$C$2:$C$3000,MATCH($A1564,EXTRATO!$A$2:$A$3000,0))))</f>
        <v/>
      </c>
      <c r="C1564" s="86" t="str">
        <f t="shared" si="36"/>
        <v/>
      </c>
      <c r="D1564" s="81"/>
      <c r="E1564" s="79"/>
      <c r="F1564" s="80" t="str">
        <f>IF(A1564="","",SUMIF(EXTRATO!$A$2:$A$3000,$A1564,EXTRATO!$J$2:$J$3000)+SUMIF(EXTRATO!$A$2:$A$3000,$A1564,EXTRATO!$K$2:$K$3000)+SUMIF(EXTRATO!$A$2:$A$3000,$A1564,EXTRATO!$L$2:$L$3000)+SUMIF(EXTRATO!$A$2:$A$3000,$A1564,EXTRATO!$M$2:$M$3000))</f>
        <v/>
      </c>
      <c r="G1564" s="81" t="str">
        <f>IF(A1564="","",IF(INDEX(EXTRATO!$G$2:$G$3000,MATCH($A1564,EXTRATO!$A$2:$A$3000,0))="","",INDEX(EXTRATO!$G$2:$G$3000,MATCH($A1564,EXTRATO!$A$2:$A$3000,0))))</f>
        <v/>
      </c>
      <c r="H1564" s="86" t="str">
        <f>IF(A1564="","",IF(INDEX(EXTRATO!$F$2:$F$3000,MATCH($A1564,EXTRATO!$A$2:$A$3000,0))="","",INDEX(EXTRATO!$F$2:$F$3000,MATCH($A1564,EXTRATO!$A$2:$A$3000,0))))</f>
        <v/>
      </c>
      <c r="I1564" s="88" t="str">
        <f>IF(A1564="","",IF(INDEX(EXTRATO!$H$2:$H$3000,MATCH($A1564,EXTRATO!$A$2:$A$3000,0))="","",INDEX(EXTRATO!$H$2:$H$3000,MATCH($A1564,EXTRATO!$A$2:$A$3000,0))))</f>
        <v/>
      </c>
      <c r="J1564" s="86" t="str">
        <f t="shared" si="35"/>
        <v/>
      </c>
      <c r="K1564" s="86" t="str">
        <f>IF(AND(A1564="",D1564="",E1564="",F1564=""),"",IF(D1564="","SEM CATEGORIA",IF(E1564="","SEM SUBCATEGORIA",IF(COUNTIFS(CADASTROS!$L$7:$L$93,D1564,CADASTROS!$D$7:$D$93,E1564)=0,"INCOMPATÍVEL","OK"))))</f>
        <v/>
      </c>
    </row>
    <row r="1565" spans="1:11" ht="30" hidden="1" customHeight="1" x14ac:dyDescent="0.25">
      <c r="A1565" s="86" t="str">
        <f>IF(COUNTIF(EXTRATO!$A$2:$A$3000,"BAN-01422")=0,"","BAN-01422")</f>
        <v/>
      </c>
      <c r="B1565" s="85" t="str">
        <f>IF(A1565="","",IF(INDEX(EXTRATO!$C$2:$C$3000,MATCH($A1565,EXTRATO!$A$2:$A$3000,0))="","",INDEX(EXTRATO!$C$2:$C$3000,MATCH($A1565,EXTRATO!$A$2:$A$3000,0))))</f>
        <v/>
      </c>
      <c r="C1565" s="86" t="str">
        <f t="shared" si="36"/>
        <v/>
      </c>
      <c r="D1565" s="81"/>
      <c r="E1565" s="79"/>
      <c r="F1565" s="80" t="str">
        <f>IF(A1565="","",SUMIF(EXTRATO!$A$2:$A$3000,$A1565,EXTRATO!$J$2:$J$3000)+SUMIF(EXTRATO!$A$2:$A$3000,$A1565,EXTRATO!$K$2:$K$3000)+SUMIF(EXTRATO!$A$2:$A$3000,$A1565,EXTRATO!$L$2:$L$3000)+SUMIF(EXTRATO!$A$2:$A$3000,$A1565,EXTRATO!$M$2:$M$3000))</f>
        <v/>
      </c>
      <c r="G1565" s="81" t="str">
        <f>IF(A1565="","",IF(INDEX(EXTRATO!$G$2:$G$3000,MATCH($A1565,EXTRATO!$A$2:$A$3000,0))="","",INDEX(EXTRATO!$G$2:$G$3000,MATCH($A1565,EXTRATO!$A$2:$A$3000,0))))</f>
        <v/>
      </c>
      <c r="H1565" s="86" t="str">
        <f>IF(A1565="","",IF(INDEX(EXTRATO!$F$2:$F$3000,MATCH($A1565,EXTRATO!$A$2:$A$3000,0))="","",INDEX(EXTRATO!$F$2:$F$3000,MATCH($A1565,EXTRATO!$A$2:$A$3000,0))))</f>
        <v/>
      </c>
      <c r="I1565" s="88" t="str">
        <f>IF(A1565="","",IF(INDEX(EXTRATO!$H$2:$H$3000,MATCH($A1565,EXTRATO!$A$2:$A$3000,0))="","",INDEX(EXTRATO!$H$2:$H$3000,MATCH($A1565,EXTRATO!$A$2:$A$3000,0))))</f>
        <v/>
      </c>
      <c r="J1565" s="86" t="str">
        <f t="shared" si="35"/>
        <v/>
      </c>
      <c r="K1565" s="86" t="str">
        <f>IF(AND(A1565="",D1565="",E1565="",F1565=""),"",IF(D1565="","SEM CATEGORIA",IF(E1565="","SEM SUBCATEGORIA",IF(COUNTIFS(CADASTROS!$L$7:$L$93,D1565,CADASTROS!$D$7:$D$93,E1565)=0,"INCOMPATÍVEL","OK"))))</f>
        <v/>
      </c>
    </row>
    <row r="1566" spans="1:11" ht="30" hidden="1" customHeight="1" x14ac:dyDescent="0.25">
      <c r="A1566" s="86" t="str">
        <f>IF(COUNTIF(EXTRATO!$A$2:$A$3000,"BAN-01423")=0,"","BAN-01423")</f>
        <v/>
      </c>
      <c r="B1566" s="85" t="str">
        <f>IF(A1566="","",IF(INDEX(EXTRATO!$C$2:$C$3000,MATCH($A1566,EXTRATO!$A$2:$A$3000,0))="","",INDEX(EXTRATO!$C$2:$C$3000,MATCH($A1566,EXTRATO!$A$2:$A$3000,0))))</f>
        <v/>
      </c>
      <c r="C1566" s="86" t="str">
        <f t="shared" si="36"/>
        <v/>
      </c>
      <c r="D1566" s="81"/>
      <c r="E1566" s="79"/>
      <c r="F1566" s="80" t="str">
        <f>IF(A1566="","",SUMIF(EXTRATO!$A$2:$A$3000,$A1566,EXTRATO!$J$2:$J$3000)+SUMIF(EXTRATO!$A$2:$A$3000,$A1566,EXTRATO!$K$2:$K$3000)+SUMIF(EXTRATO!$A$2:$A$3000,$A1566,EXTRATO!$L$2:$L$3000)+SUMIF(EXTRATO!$A$2:$A$3000,$A1566,EXTRATO!$M$2:$M$3000))</f>
        <v/>
      </c>
      <c r="G1566" s="81" t="str">
        <f>IF(A1566="","",IF(INDEX(EXTRATO!$G$2:$G$3000,MATCH($A1566,EXTRATO!$A$2:$A$3000,0))="","",INDEX(EXTRATO!$G$2:$G$3000,MATCH($A1566,EXTRATO!$A$2:$A$3000,0))))</f>
        <v/>
      </c>
      <c r="H1566" s="86" t="str">
        <f>IF(A1566="","",IF(INDEX(EXTRATO!$F$2:$F$3000,MATCH($A1566,EXTRATO!$A$2:$A$3000,0))="","",INDEX(EXTRATO!$F$2:$F$3000,MATCH($A1566,EXTRATO!$A$2:$A$3000,0))))</f>
        <v/>
      </c>
      <c r="I1566" s="88" t="str">
        <f>IF(A1566="","",IF(INDEX(EXTRATO!$H$2:$H$3000,MATCH($A1566,EXTRATO!$A$2:$A$3000,0))="","",INDEX(EXTRATO!$H$2:$H$3000,MATCH($A1566,EXTRATO!$A$2:$A$3000,0))))</f>
        <v/>
      </c>
      <c r="J1566" s="86" t="str">
        <f t="shared" si="35"/>
        <v/>
      </c>
      <c r="K1566" s="86" t="str">
        <f>IF(AND(A1566="",D1566="",E1566="",F1566=""),"",IF(D1566="","SEM CATEGORIA",IF(E1566="","SEM SUBCATEGORIA",IF(COUNTIFS(CADASTROS!$L$7:$L$93,D1566,CADASTROS!$D$7:$D$93,E1566)=0,"INCOMPATÍVEL","OK"))))</f>
        <v/>
      </c>
    </row>
    <row r="1567" spans="1:11" ht="30" hidden="1" customHeight="1" x14ac:dyDescent="0.25">
      <c r="A1567" s="86" t="str">
        <f>IF(COUNTIF(EXTRATO!$A$2:$A$3000,"BAN-01424")=0,"","BAN-01424")</f>
        <v/>
      </c>
      <c r="B1567" s="85" t="str">
        <f>IF(A1567="","",IF(INDEX(EXTRATO!$C$2:$C$3000,MATCH($A1567,EXTRATO!$A$2:$A$3000,0))="","",INDEX(EXTRATO!$C$2:$C$3000,MATCH($A1567,EXTRATO!$A$2:$A$3000,0))))</f>
        <v/>
      </c>
      <c r="C1567" s="86" t="str">
        <f t="shared" si="36"/>
        <v/>
      </c>
      <c r="D1567" s="81"/>
      <c r="E1567" s="79"/>
      <c r="F1567" s="80" t="str">
        <f>IF(A1567="","",SUMIF(EXTRATO!$A$2:$A$3000,$A1567,EXTRATO!$J$2:$J$3000)+SUMIF(EXTRATO!$A$2:$A$3000,$A1567,EXTRATO!$K$2:$K$3000)+SUMIF(EXTRATO!$A$2:$A$3000,$A1567,EXTRATO!$L$2:$L$3000)+SUMIF(EXTRATO!$A$2:$A$3000,$A1567,EXTRATO!$M$2:$M$3000))</f>
        <v/>
      </c>
      <c r="G1567" s="81" t="str">
        <f>IF(A1567="","",IF(INDEX(EXTRATO!$G$2:$G$3000,MATCH($A1567,EXTRATO!$A$2:$A$3000,0))="","",INDEX(EXTRATO!$G$2:$G$3000,MATCH($A1567,EXTRATO!$A$2:$A$3000,0))))</f>
        <v/>
      </c>
      <c r="H1567" s="86" t="str">
        <f>IF(A1567="","",IF(INDEX(EXTRATO!$F$2:$F$3000,MATCH($A1567,EXTRATO!$A$2:$A$3000,0))="","",INDEX(EXTRATO!$F$2:$F$3000,MATCH($A1567,EXTRATO!$A$2:$A$3000,0))))</f>
        <v/>
      </c>
      <c r="I1567" s="88" t="str">
        <f>IF(A1567="","",IF(INDEX(EXTRATO!$H$2:$H$3000,MATCH($A1567,EXTRATO!$A$2:$A$3000,0))="","",INDEX(EXTRATO!$H$2:$H$3000,MATCH($A1567,EXTRATO!$A$2:$A$3000,0))))</f>
        <v/>
      </c>
      <c r="J1567" s="86" t="str">
        <f t="shared" si="35"/>
        <v/>
      </c>
      <c r="K1567" s="86" t="str">
        <f>IF(AND(A1567="",D1567="",E1567="",F1567=""),"",IF(D1567="","SEM CATEGORIA",IF(E1567="","SEM SUBCATEGORIA",IF(COUNTIFS(CADASTROS!$L$7:$L$93,D1567,CADASTROS!$D$7:$D$93,E1567)=0,"INCOMPATÍVEL","OK"))))</f>
        <v/>
      </c>
    </row>
    <row r="1568" spans="1:11" ht="30" hidden="1" customHeight="1" x14ac:dyDescent="0.25">
      <c r="A1568" s="86" t="str">
        <f>IF(COUNTIF(EXTRATO!$A$2:$A$3000,"BAN-01425")=0,"","BAN-01425")</f>
        <v/>
      </c>
      <c r="B1568" s="85" t="str">
        <f>IF(A1568="","",IF(INDEX(EXTRATO!$C$2:$C$3000,MATCH($A1568,EXTRATO!$A$2:$A$3000,0))="","",INDEX(EXTRATO!$C$2:$C$3000,MATCH($A1568,EXTRATO!$A$2:$A$3000,0))))</f>
        <v/>
      </c>
      <c r="C1568" s="86" t="str">
        <f t="shared" si="36"/>
        <v/>
      </c>
      <c r="D1568" s="81"/>
      <c r="E1568" s="79"/>
      <c r="F1568" s="80" t="str">
        <f>IF(A1568="","",SUMIF(EXTRATO!$A$2:$A$3000,$A1568,EXTRATO!$J$2:$J$3000)+SUMIF(EXTRATO!$A$2:$A$3000,$A1568,EXTRATO!$K$2:$K$3000)+SUMIF(EXTRATO!$A$2:$A$3000,$A1568,EXTRATO!$L$2:$L$3000)+SUMIF(EXTRATO!$A$2:$A$3000,$A1568,EXTRATO!$M$2:$M$3000))</f>
        <v/>
      </c>
      <c r="G1568" s="81" t="str">
        <f>IF(A1568="","",IF(INDEX(EXTRATO!$G$2:$G$3000,MATCH($A1568,EXTRATO!$A$2:$A$3000,0))="","",INDEX(EXTRATO!$G$2:$G$3000,MATCH($A1568,EXTRATO!$A$2:$A$3000,0))))</f>
        <v/>
      </c>
      <c r="H1568" s="86" t="str">
        <f>IF(A1568="","",IF(INDEX(EXTRATO!$F$2:$F$3000,MATCH($A1568,EXTRATO!$A$2:$A$3000,0))="","",INDEX(EXTRATO!$F$2:$F$3000,MATCH($A1568,EXTRATO!$A$2:$A$3000,0))))</f>
        <v/>
      </c>
      <c r="I1568" s="88" t="str">
        <f>IF(A1568="","",IF(INDEX(EXTRATO!$H$2:$H$3000,MATCH($A1568,EXTRATO!$A$2:$A$3000,0))="","",INDEX(EXTRATO!$H$2:$H$3000,MATCH($A1568,EXTRATO!$A$2:$A$3000,0))))</f>
        <v/>
      </c>
      <c r="J1568" s="86" t="str">
        <f t="shared" si="35"/>
        <v/>
      </c>
      <c r="K1568" s="86" t="str">
        <f>IF(AND(A1568="",D1568="",E1568="",F1568=""),"",IF(D1568="","SEM CATEGORIA",IF(E1568="","SEM SUBCATEGORIA",IF(COUNTIFS(CADASTROS!$L$7:$L$93,D1568,CADASTROS!$D$7:$D$93,E1568)=0,"INCOMPATÍVEL","OK"))))</f>
        <v/>
      </c>
    </row>
    <row r="1569" spans="1:11" ht="30" hidden="1" customHeight="1" x14ac:dyDescent="0.25">
      <c r="A1569" s="86" t="str">
        <f>IF(COUNTIF(EXTRATO!$A$2:$A$3000,"BAN-01426")=0,"","BAN-01426")</f>
        <v/>
      </c>
      <c r="B1569" s="85" t="str">
        <f>IF(A1569="","",IF(INDEX(EXTRATO!$C$2:$C$3000,MATCH($A1569,EXTRATO!$A$2:$A$3000,0))="","",INDEX(EXTRATO!$C$2:$C$3000,MATCH($A1569,EXTRATO!$A$2:$A$3000,0))))</f>
        <v/>
      </c>
      <c r="C1569" s="86" t="str">
        <f t="shared" si="36"/>
        <v/>
      </c>
      <c r="D1569" s="81"/>
      <c r="E1569" s="79"/>
      <c r="F1569" s="80" t="str">
        <f>IF(A1569="","",SUMIF(EXTRATO!$A$2:$A$3000,$A1569,EXTRATO!$J$2:$J$3000)+SUMIF(EXTRATO!$A$2:$A$3000,$A1569,EXTRATO!$K$2:$K$3000)+SUMIF(EXTRATO!$A$2:$A$3000,$A1569,EXTRATO!$L$2:$L$3000)+SUMIF(EXTRATO!$A$2:$A$3000,$A1569,EXTRATO!$M$2:$M$3000))</f>
        <v/>
      </c>
      <c r="G1569" s="81" t="str">
        <f>IF(A1569="","",IF(INDEX(EXTRATO!$G$2:$G$3000,MATCH($A1569,EXTRATO!$A$2:$A$3000,0))="","",INDEX(EXTRATO!$G$2:$G$3000,MATCH($A1569,EXTRATO!$A$2:$A$3000,0))))</f>
        <v/>
      </c>
      <c r="H1569" s="86" t="str">
        <f>IF(A1569="","",IF(INDEX(EXTRATO!$F$2:$F$3000,MATCH($A1569,EXTRATO!$A$2:$A$3000,0))="","",INDEX(EXTRATO!$F$2:$F$3000,MATCH($A1569,EXTRATO!$A$2:$A$3000,0))))</f>
        <v/>
      </c>
      <c r="I1569" s="88" t="str">
        <f>IF(A1569="","",IF(INDEX(EXTRATO!$H$2:$H$3000,MATCH($A1569,EXTRATO!$A$2:$A$3000,0))="","",INDEX(EXTRATO!$H$2:$H$3000,MATCH($A1569,EXTRATO!$A$2:$A$3000,0))))</f>
        <v/>
      </c>
      <c r="J1569" s="86" t="str">
        <f t="shared" si="35"/>
        <v/>
      </c>
      <c r="K1569" s="86" t="str">
        <f>IF(AND(A1569="",D1569="",E1569="",F1569=""),"",IF(D1569="","SEM CATEGORIA",IF(E1569="","SEM SUBCATEGORIA",IF(COUNTIFS(CADASTROS!$L$7:$L$93,D1569,CADASTROS!$D$7:$D$93,E1569)=0,"INCOMPATÍVEL","OK"))))</f>
        <v/>
      </c>
    </row>
    <row r="1570" spans="1:11" ht="30" hidden="1" customHeight="1" x14ac:dyDescent="0.25">
      <c r="A1570" s="86" t="str">
        <f>IF(COUNTIF(EXTRATO!$A$2:$A$3000,"BAN-01427")=0,"","BAN-01427")</f>
        <v/>
      </c>
      <c r="B1570" s="85" t="str">
        <f>IF(A1570="","",IF(INDEX(EXTRATO!$C$2:$C$3000,MATCH($A1570,EXTRATO!$A$2:$A$3000,0))="","",INDEX(EXTRATO!$C$2:$C$3000,MATCH($A1570,EXTRATO!$A$2:$A$3000,0))))</f>
        <v/>
      </c>
      <c r="C1570" s="86" t="str">
        <f t="shared" si="36"/>
        <v/>
      </c>
      <c r="D1570" s="81"/>
      <c r="E1570" s="79"/>
      <c r="F1570" s="80" t="str">
        <f>IF(A1570="","",SUMIF(EXTRATO!$A$2:$A$3000,$A1570,EXTRATO!$J$2:$J$3000)+SUMIF(EXTRATO!$A$2:$A$3000,$A1570,EXTRATO!$K$2:$K$3000)+SUMIF(EXTRATO!$A$2:$A$3000,$A1570,EXTRATO!$L$2:$L$3000)+SUMIF(EXTRATO!$A$2:$A$3000,$A1570,EXTRATO!$M$2:$M$3000))</f>
        <v/>
      </c>
      <c r="G1570" s="81" t="str">
        <f>IF(A1570="","",IF(INDEX(EXTRATO!$G$2:$G$3000,MATCH($A1570,EXTRATO!$A$2:$A$3000,0))="","",INDEX(EXTRATO!$G$2:$G$3000,MATCH($A1570,EXTRATO!$A$2:$A$3000,0))))</f>
        <v/>
      </c>
      <c r="H1570" s="86" t="str">
        <f>IF(A1570="","",IF(INDEX(EXTRATO!$F$2:$F$3000,MATCH($A1570,EXTRATO!$A$2:$A$3000,0))="","",INDEX(EXTRATO!$F$2:$F$3000,MATCH($A1570,EXTRATO!$A$2:$A$3000,0))))</f>
        <v/>
      </c>
      <c r="I1570" s="88" t="str">
        <f>IF(A1570="","",IF(INDEX(EXTRATO!$H$2:$H$3000,MATCH($A1570,EXTRATO!$A$2:$A$3000,0))="","",INDEX(EXTRATO!$H$2:$H$3000,MATCH($A1570,EXTRATO!$A$2:$A$3000,0))))</f>
        <v/>
      </c>
      <c r="J1570" s="86" t="str">
        <f t="shared" si="35"/>
        <v/>
      </c>
      <c r="K1570" s="86" t="str">
        <f>IF(AND(A1570="",D1570="",E1570="",F1570=""),"",IF(D1570="","SEM CATEGORIA",IF(E1570="","SEM SUBCATEGORIA",IF(COUNTIFS(CADASTROS!$L$7:$L$93,D1570,CADASTROS!$D$7:$D$93,E1570)=0,"INCOMPATÍVEL","OK"))))</f>
        <v/>
      </c>
    </row>
    <row r="1571" spans="1:11" ht="30" hidden="1" customHeight="1" x14ac:dyDescent="0.25">
      <c r="A1571" s="86" t="str">
        <f>IF(COUNTIF(EXTRATO!$A$2:$A$3000,"BAN-01428")=0,"","BAN-01428")</f>
        <v/>
      </c>
      <c r="B1571" s="85" t="str">
        <f>IF(A1571="","",IF(INDEX(EXTRATO!$C$2:$C$3000,MATCH($A1571,EXTRATO!$A$2:$A$3000,0))="","",INDEX(EXTRATO!$C$2:$C$3000,MATCH($A1571,EXTRATO!$A$2:$A$3000,0))))</f>
        <v/>
      </c>
      <c r="C1571" s="86" t="str">
        <f t="shared" si="36"/>
        <v/>
      </c>
      <c r="D1571" s="81"/>
      <c r="E1571" s="79"/>
      <c r="F1571" s="80" t="str">
        <f>IF(A1571="","",SUMIF(EXTRATO!$A$2:$A$3000,$A1571,EXTRATO!$J$2:$J$3000)+SUMIF(EXTRATO!$A$2:$A$3000,$A1571,EXTRATO!$K$2:$K$3000)+SUMIF(EXTRATO!$A$2:$A$3000,$A1571,EXTRATO!$L$2:$L$3000)+SUMIF(EXTRATO!$A$2:$A$3000,$A1571,EXTRATO!$M$2:$M$3000))</f>
        <v/>
      </c>
      <c r="G1571" s="81" t="str">
        <f>IF(A1571="","",IF(INDEX(EXTRATO!$G$2:$G$3000,MATCH($A1571,EXTRATO!$A$2:$A$3000,0))="","",INDEX(EXTRATO!$G$2:$G$3000,MATCH($A1571,EXTRATO!$A$2:$A$3000,0))))</f>
        <v/>
      </c>
      <c r="H1571" s="86" t="str">
        <f>IF(A1571="","",IF(INDEX(EXTRATO!$F$2:$F$3000,MATCH($A1571,EXTRATO!$A$2:$A$3000,0))="","",INDEX(EXTRATO!$F$2:$F$3000,MATCH($A1571,EXTRATO!$A$2:$A$3000,0))))</f>
        <v/>
      </c>
      <c r="I1571" s="88" t="str">
        <f>IF(A1571="","",IF(INDEX(EXTRATO!$H$2:$H$3000,MATCH($A1571,EXTRATO!$A$2:$A$3000,0))="","",INDEX(EXTRATO!$H$2:$H$3000,MATCH($A1571,EXTRATO!$A$2:$A$3000,0))))</f>
        <v/>
      </c>
      <c r="J1571" s="86" t="str">
        <f t="shared" si="35"/>
        <v/>
      </c>
      <c r="K1571" s="86" t="str">
        <f>IF(AND(A1571="",D1571="",E1571="",F1571=""),"",IF(D1571="","SEM CATEGORIA",IF(E1571="","SEM SUBCATEGORIA",IF(COUNTIFS(CADASTROS!$L$7:$L$93,D1571,CADASTROS!$D$7:$D$93,E1571)=0,"INCOMPATÍVEL","OK"))))</f>
        <v/>
      </c>
    </row>
    <row r="1572" spans="1:11" ht="30" hidden="1" customHeight="1" x14ac:dyDescent="0.25">
      <c r="A1572" s="86" t="str">
        <f>IF(COUNTIF(EXTRATO!$A$2:$A$3000,"BAN-01429")=0,"","BAN-01429")</f>
        <v/>
      </c>
      <c r="B1572" s="85" t="str">
        <f>IF(A1572="","",IF(INDEX(EXTRATO!$C$2:$C$3000,MATCH($A1572,EXTRATO!$A$2:$A$3000,0))="","",INDEX(EXTRATO!$C$2:$C$3000,MATCH($A1572,EXTRATO!$A$2:$A$3000,0))))</f>
        <v/>
      </c>
      <c r="C1572" s="86" t="str">
        <f t="shared" si="36"/>
        <v/>
      </c>
      <c r="D1572" s="81"/>
      <c r="E1572" s="79"/>
      <c r="F1572" s="80" t="str">
        <f>IF(A1572="","",SUMIF(EXTRATO!$A$2:$A$3000,$A1572,EXTRATO!$J$2:$J$3000)+SUMIF(EXTRATO!$A$2:$A$3000,$A1572,EXTRATO!$K$2:$K$3000)+SUMIF(EXTRATO!$A$2:$A$3000,$A1572,EXTRATO!$L$2:$L$3000)+SUMIF(EXTRATO!$A$2:$A$3000,$A1572,EXTRATO!$M$2:$M$3000))</f>
        <v/>
      </c>
      <c r="G1572" s="81" t="str">
        <f>IF(A1572="","",IF(INDEX(EXTRATO!$G$2:$G$3000,MATCH($A1572,EXTRATO!$A$2:$A$3000,0))="","",INDEX(EXTRATO!$G$2:$G$3000,MATCH($A1572,EXTRATO!$A$2:$A$3000,0))))</f>
        <v/>
      </c>
      <c r="H1572" s="86" t="str">
        <f>IF(A1572="","",IF(INDEX(EXTRATO!$F$2:$F$3000,MATCH($A1572,EXTRATO!$A$2:$A$3000,0))="","",INDEX(EXTRATO!$F$2:$F$3000,MATCH($A1572,EXTRATO!$A$2:$A$3000,0))))</f>
        <v/>
      </c>
      <c r="I1572" s="88" t="str">
        <f>IF(A1572="","",IF(INDEX(EXTRATO!$H$2:$H$3000,MATCH($A1572,EXTRATO!$A$2:$A$3000,0))="","",INDEX(EXTRATO!$H$2:$H$3000,MATCH($A1572,EXTRATO!$A$2:$A$3000,0))))</f>
        <v/>
      </c>
      <c r="J1572" s="86" t="str">
        <f t="shared" si="35"/>
        <v/>
      </c>
      <c r="K1572" s="86" t="str">
        <f>IF(AND(A1572="",D1572="",E1572="",F1572=""),"",IF(D1572="","SEM CATEGORIA",IF(E1572="","SEM SUBCATEGORIA",IF(COUNTIFS(CADASTROS!$L$7:$L$93,D1572,CADASTROS!$D$7:$D$93,E1572)=0,"INCOMPATÍVEL","OK"))))</f>
        <v/>
      </c>
    </row>
    <row r="1573" spans="1:11" ht="30" hidden="1" customHeight="1" x14ac:dyDescent="0.25">
      <c r="A1573" s="86" t="str">
        <f>IF(COUNTIF(EXTRATO!$A$2:$A$3000,"BAN-01430")=0,"","BAN-01430")</f>
        <v/>
      </c>
      <c r="B1573" s="85" t="str">
        <f>IF(A1573="","",IF(INDEX(EXTRATO!$C$2:$C$3000,MATCH($A1573,EXTRATO!$A$2:$A$3000,0))="","",INDEX(EXTRATO!$C$2:$C$3000,MATCH($A1573,EXTRATO!$A$2:$A$3000,0))))</f>
        <v/>
      </c>
      <c r="C1573" s="86" t="str">
        <f t="shared" si="36"/>
        <v/>
      </c>
      <c r="D1573" s="81"/>
      <c r="E1573" s="79"/>
      <c r="F1573" s="80" t="str">
        <f>IF(A1573="","",SUMIF(EXTRATO!$A$2:$A$3000,$A1573,EXTRATO!$J$2:$J$3000)+SUMIF(EXTRATO!$A$2:$A$3000,$A1573,EXTRATO!$K$2:$K$3000)+SUMIF(EXTRATO!$A$2:$A$3000,$A1573,EXTRATO!$L$2:$L$3000)+SUMIF(EXTRATO!$A$2:$A$3000,$A1573,EXTRATO!$M$2:$M$3000))</f>
        <v/>
      </c>
      <c r="G1573" s="81" t="str">
        <f>IF(A1573="","",IF(INDEX(EXTRATO!$G$2:$G$3000,MATCH($A1573,EXTRATO!$A$2:$A$3000,0))="","",INDEX(EXTRATO!$G$2:$G$3000,MATCH($A1573,EXTRATO!$A$2:$A$3000,0))))</f>
        <v/>
      </c>
      <c r="H1573" s="86" t="str">
        <f>IF(A1573="","",IF(INDEX(EXTRATO!$F$2:$F$3000,MATCH($A1573,EXTRATO!$A$2:$A$3000,0))="","",INDEX(EXTRATO!$F$2:$F$3000,MATCH($A1573,EXTRATO!$A$2:$A$3000,0))))</f>
        <v/>
      </c>
      <c r="I1573" s="88" t="str">
        <f>IF(A1573="","",IF(INDEX(EXTRATO!$H$2:$H$3000,MATCH($A1573,EXTRATO!$A$2:$A$3000,0))="","",INDEX(EXTRATO!$H$2:$H$3000,MATCH($A1573,EXTRATO!$A$2:$A$3000,0))))</f>
        <v/>
      </c>
      <c r="J1573" s="86" t="str">
        <f t="shared" si="35"/>
        <v/>
      </c>
      <c r="K1573" s="86" t="str">
        <f>IF(AND(A1573="",D1573="",E1573="",F1573=""),"",IF(D1573="","SEM CATEGORIA",IF(E1573="","SEM SUBCATEGORIA",IF(COUNTIFS(CADASTROS!$L$7:$L$93,D1573,CADASTROS!$D$7:$D$93,E1573)=0,"INCOMPATÍVEL","OK"))))</f>
        <v/>
      </c>
    </row>
    <row r="1574" spans="1:11" ht="30" hidden="1" customHeight="1" x14ac:dyDescent="0.25">
      <c r="A1574" s="86" t="str">
        <f>IF(COUNTIF(EXTRATO!$A$2:$A$3000,"BAN-01431")=0,"","BAN-01431")</f>
        <v/>
      </c>
      <c r="B1574" s="85" t="str">
        <f>IF(A1574="","",IF(INDEX(EXTRATO!$C$2:$C$3000,MATCH($A1574,EXTRATO!$A$2:$A$3000,0))="","",INDEX(EXTRATO!$C$2:$C$3000,MATCH($A1574,EXTRATO!$A$2:$A$3000,0))))</f>
        <v/>
      </c>
      <c r="C1574" s="86" t="str">
        <f t="shared" si="36"/>
        <v/>
      </c>
      <c r="D1574" s="81"/>
      <c r="E1574" s="79"/>
      <c r="F1574" s="80" t="str">
        <f>IF(A1574="","",SUMIF(EXTRATO!$A$2:$A$3000,$A1574,EXTRATO!$J$2:$J$3000)+SUMIF(EXTRATO!$A$2:$A$3000,$A1574,EXTRATO!$K$2:$K$3000)+SUMIF(EXTRATO!$A$2:$A$3000,$A1574,EXTRATO!$L$2:$L$3000)+SUMIF(EXTRATO!$A$2:$A$3000,$A1574,EXTRATO!$M$2:$M$3000))</f>
        <v/>
      </c>
      <c r="G1574" s="81" t="str">
        <f>IF(A1574="","",IF(INDEX(EXTRATO!$G$2:$G$3000,MATCH($A1574,EXTRATO!$A$2:$A$3000,0))="","",INDEX(EXTRATO!$G$2:$G$3000,MATCH($A1574,EXTRATO!$A$2:$A$3000,0))))</f>
        <v/>
      </c>
      <c r="H1574" s="86" t="str">
        <f>IF(A1574="","",IF(INDEX(EXTRATO!$F$2:$F$3000,MATCH($A1574,EXTRATO!$A$2:$A$3000,0))="","",INDEX(EXTRATO!$F$2:$F$3000,MATCH($A1574,EXTRATO!$A$2:$A$3000,0))))</f>
        <v/>
      </c>
      <c r="I1574" s="88" t="str">
        <f>IF(A1574="","",IF(INDEX(EXTRATO!$H$2:$H$3000,MATCH($A1574,EXTRATO!$A$2:$A$3000,0))="","",INDEX(EXTRATO!$H$2:$H$3000,MATCH($A1574,EXTRATO!$A$2:$A$3000,0))))</f>
        <v/>
      </c>
      <c r="J1574" s="86" t="str">
        <f t="shared" si="35"/>
        <v/>
      </c>
      <c r="K1574" s="86" t="str">
        <f>IF(AND(A1574="",D1574="",E1574="",F1574=""),"",IF(D1574="","SEM CATEGORIA",IF(E1574="","SEM SUBCATEGORIA",IF(COUNTIFS(CADASTROS!$L$7:$L$93,D1574,CADASTROS!$D$7:$D$93,E1574)=0,"INCOMPATÍVEL","OK"))))</f>
        <v/>
      </c>
    </row>
    <row r="1575" spans="1:11" ht="30" hidden="1" customHeight="1" x14ac:dyDescent="0.25">
      <c r="A1575" s="86" t="str">
        <f>IF(COUNTIF(EXTRATO!$A$2:$A$3000,"BAN-01432")=0,"","BAN-01432")</f>
        <v/>
      </c>
      <c r="B1575" s="85" t="str">
        <f>IF(A1575="","",IF(INDEX(EXTRATO!$C$2:$C$3000,MATCH($A1575,EXTRATO!$A$2:$A$3000,0))="","",INDEX(EXTRATO!$C$2:$C$3000,MATCH($A1575,EXTRATO!$A$2:$A$3000,0))))</f>
        <v/>
      </c>
      <c r="C1575" s="86" t="str">
        <f t="shared" si="36"/>
        <v/>
      </c>
      <c r="D1575" s="81"/>
      <c r="E1575" s="79"/>
      <c r="F1575" s="80" t="str">
        <f>IF(A1575="","",SUMIF(EXTRATO!$A$2:$A$3000,$A1575,EXTRATO!$J$2:$J$3000)+SUMIF(EXTRATO!$A$2:$A$3000,$A1575,EXTRATO!$K$2:$K$3000)+SUMIF(EXTRATO!$A$2:$A$3000,$A1575,EXTRATO!$L$2:$L$3000)+SUMIF(EXTRATO!$A$2:$A$3000,$A1575,EXTRATO!$M$2:$M$3000))</f>
        <v/>
      </c>
      <c r="G1575" s="81" t="str">
        <f>IF(A1575="","",IF(INDEX(EXTRATO!$G$2:$G$3000,MATCH($A1575,EXTRATO!$A$2:$A$3000,0))="","",INDEX(EXTRATO!$G$2:$G$3000,MATCH($A1575,EXTRATO!$A$2:$A$3000,0))))</f>
        <v/>
      </c>
      <c r="H1575" s="86" t="str">
        <f>IF(A1575="","",IF(INDEX(EXTRATO!$F$2:$F$3000,MATCH($A1575,EXTRATO!$A$2:$A$3000,0))="","",INDEX(EXTRATO!$F$2:$F$3000,MATCH($A1575,EXTRATO!$A$2:$A$3000,0))))</f>
        <v/>
      </c>
      <c r="I1575" s="88" t="str">
        <f>IF(A1575="","",IF(INDEX(EXTRATO!$H$2:$H$3000,MATCH($A1575,EXTRATO!$A$2:$A$3000,0))="","",INDEX(EXTRATO!$H$2:$H$3000,MATCH($A1575,EXTRATO!$A$2:$A$3000,0))))</f>
        <v/>
      </c>
      <c r="J1575" s="86" t="str">
        <f t="shared" si="35"/>
        <v/>
      </c>
      <c r="K1575" s="86" t="str">
        <f>IF(AND(A1575="",D1575="",E1575="",F1575=""),"",IF(D1575="","SEM CATEGORIA",IF(E1575="","SEM SUBCATEGORIA",IF(COUNTIFS(CADASTROS!$L$7:$L$93,D1575,CADASTROS!$D$7:$D$93,E1575)=0,"INCOMPATÍVEL","OK"))))</f>
        <v/>
      </c>
    </row>
    <row r="1576" spans="1:11" ht="30" hidden="1" customHeight="1" x14ac:dyDescent="0.25">
      <c r="A1576" s="86" t="str">
        <f>IF(COUNTIF(EXTRATO!$A$2:$A$3000,"BAN-01433")=0,"","BAN-01433")</f>
        <v/>
      </c>
      <c r="B1576" s="85" t="str">
        <f>IF(A1576="","",IF(INDEX(EXTRATO!$C$2:$C$3000,MATCH($A1576,EXTRATO!$A$2:$A$3000,0))="","",INDEX(EXTRATO!$C$2:$C$3000,MATCH($A1576,EXTRATO!$A$2:$A$3000,0))))</f>
        <v/>
      </c>
      <c r="C1576" s="86" t="str">
        <f t="shared" si="36"/>
        <v/>
      </c>
      <c r="D1576" s="81"/>
      <c r="E1576" s="79"/>
      <c r="F1576" s="80" t="str">
        <f>IF(A1576="","",SUMIF(EXTRATO!$A$2:$A$3000,$A1576,EXTRATO!$J$2:$J$3000)+SUMIF(EXTRATO!$A$2:$A$3000,$A1576,EXTRATO!$K$2:$K$3000)+SUMIF(EXTRATO!$A$2:$A$3000,$A1576,EXTRATO!$L$2:$L$3000)+SUMIF(EXTRATO!$A$2:$A$3000,$A1576,EXTRATO!$M$2:$M$3000))</f>
        <v/>
      </c>
      <c r="G1576" s="81" t="str">
        <f>IF(A1576="","",IF(INDEX(EXTRATO!$G$2:$G$3000,MATCH($A1576,EXTRATO!$A$2:$A$3000,0))="","",INDEX(EXTRATO!$G$2:$G$3000,MATCH($A1576,EXTRATO!$A$2:$A$3000,0))))</f>
        <v/>
      </c>
      <c r="H1576" s="86" t="str">
        <f>IF(A1576="","",IF(INDEX(EXTRATO!$F$2:$F$3000,MATCH($A1576,EXTRATO!$A$2:$A$3000,0))="","",INDEX(EXTRATO!$F$2:$F$3000,MATCH($A1576,EXTRATO!$A$2:$A$3000,0))))</f>
        <v/>
      </c>
      <c r="I1576" s="88" t="str">
        <f>IF(A1576="","",IF(INDEX(EXTRATO!$H$2:$H$3000,MATCH($A1576,EXTRATO!$A$2:$A$3000,0))="","",INDEX(EXTRATO!$H$2:$H$3000,MATCH($A1576,EXTRATO!$A$2:$A$3000,0))))</f>
        <v/>
      </c>
      <c r="J1576" s="86" t="str">
        <f t="shared" si="35"/>
        <v/>
      </c>
      <c r="K1576" s="86" t="str">
        <f>IF(AND(A1576="",D1576="",E1576="",F1576=""),"",IF(D1576="","SEM CATEGORIA",IF(E1576="","SEM SUBCATEGORIA",IF(COUNTIFS(CADASTROS!$L$7:$L$93,D1576,CADASTROS!$D$7:$D$93,E1576)=0,"INCOMPATÍVEL","OK"))))</f>
        <v/>
      </c>
    </row>
    <row r="1577" spans="1:11" ht="30" hidden="1" customHeight="1" x14ac:dyDescent="0.25">
      <c r="A1577" s="86" t="str">
        <f>IF(COUNTIF(EXTRATO!$A$2:$A$3000,"BAN-01434")=0,"","BAN-01434")</f>
        <v/>
      </c>
      <c r="B1577" s="85" t="str">
        <f>IF(A1577="","",IF(INDEX(EXTRATO!$C$2:$C$3000,MATCH($A1577,EXTRATO!$A$2:$A$3000,0))="","",INDEX(EXTRATO!$C$2:$C$3000,MATCH($A1577,EXTRATO!$A$2:$A$3000,0))))</f>
        <v/>
      </c>
      <c r="C1577" s="86" t="str">
        <f t="shared" si="36"/>
        <v/>
      </c>
      <c r="D1577" s="81"/>
      <c r="E1577" s="79"/>
      <c r="F1577" s="80" t="str">
        <f>IF(A1577="","",SUMIF(EXTRATO!$A$2:$A$3000,$A1577,EXTRATO!$J$2:$J$3000)+SUMIF(EXTRATO!$A$2:$A$3000,$A1577,EXTRATO!$K$2:$K$3000)+SUMIF(EXTRATO!$A$2:$A$3000,$A1577,EXTRATO!$L$2:$L$3000)+SUMIF(EXTRATO!$A$2:$A$3000,$A1577,EXTRATO!$M$2:$M$3000))</f>
        <v/>
      </c>
      <c r="G1577" s="81" t="str">
        <f>IF(A1577="","",IF(INDEX(EXTRATO!$G$2:$G$3000,MATCH($A1577,EXTRATO!$A$2:$A$3000,0))="","",INDEX(EXTRATO!$G$2:$G$3000,MATCH($A1577,EXTRATO!$A$2:$A$3000,0))))</f>
        <v/>
      </c>
      <c r="H1577" s="86" t="str">
        <f>IF(A1577="","",IF(INDEX(EXTRATO!$F$2:$F$3000,MATCH($A1577,EXTRATO!$A$2:$A$3000,0))="","",INDEX(EXTRATO!$F$2:$F$3000,MATCH($A1577,EXTRATO!$A$2:$A$3000,0))))</f>
        <v/>
      </c>
      <c r="I1577" s="88" t="str">
        <f>IF(A1577="","",IF(INDEX(EXTRATO!$H$2:$H$3000,MATCH($A1577,EXTRATO!$A$2:$A$3000,0))="","",INDEX(EXTRATO!$H$2:$H$3000,MATCH($A1577,EXTRATO!$A$2:$A$3000,0))))</f>
        <v/>
      </c>
      <c r="J1577" s="86" t="str">
        <f t="shared" si="35"/>
        <v/>
      </c>
      <c r="K1577" s="86" t="str">
        <f>IF(AND(A1577="",D1577="",E1577="",F1577=""),"",IF(D1577="","SEM CATEGORIA",IF(E1577="","SEM SUBCATEGORIA",IF(COUNTIFS(CADASTROS!$L$7:$L$93,D1577,CADASTROS!$D$7:$D$93,E1577)=0,"INCOMPATÍVEL","OK"))))</f>
        <v/>
      </c>
    </row>
    <row r="1578" spans="1:11" ht="30" hidden="1" customHeight="1" x14ac:dyDescent="0.25">
      <c r="A1578" s="86" t="str">
        <f>IF(COUNTIF(EXTRATO!$A$2:$A$3000,"BAN-01435")=0,"","BAN-01435")</f>
        <v/>
      </c>
      <c r="B1578" s="85" t="str">
        <f>IF(A1578="","",IF(INDEX(EXTRATO!$C$2:$C$3000,MATCH($A1578,EXTRATO!$A$2:$A$3000,0))="","",INDEX(EXTRATO!$C$2:$C$3000,MATCH($A1578,EXTRATO!$A$2:$A$3000,0))))</f>
        <v/>
      </c>
      <c r="C1578" s="86" t="str">
        <f t="shared" si="36"/>
        <v/>
      </c>
      <c r="D1578" s="81"/>
      <c r="E1578" s="79"/>
      <c r="F1578" s="80" t="str">
        <f>IF(A1578="","",SUMIF(EXTRATO!$A$2:$A$3000,$A1578,EXTRATO!$J$2:$J$3000)+SUMIF(EXTRATO!$A$2:$A$3000,$A1578,EXTRATO!$K$2:$K$3000)+SUMIF(EXTRATO!$A$2:$A$3000,$A1578,EXTRATO!$L$2:$L$3000)+SUMIF(EXTRATO!$A$2:$A$3000,$A1578,EXTRATO!$M$2:$M$3000))</f>
        <v/>
      </c>
      <c r="G1578" s="81" t="str">
        <f>IF(A1578="","",IF(INDEX(EXTRATO!$G$2:$G$3000,MATCH($A1578,EXTRATO!$A$2:$A$3000,0))="","",INDEX(EXTRATO!$G$2:$G$3000,MATCH($A1578,EXTRATO!$A$2:$A$3000,0))))</f>
        <v/>
      </c>
      <c r="H1578" s="86" t="str">
        <f>IF(A1578="","",IF(INDEX(EXTRATO!$F$2:$F$3000,MATCH($A1578,EXTRATO!$A$2:$A$3000,0))="","",INDEX(EXTRATO!$F$2:$F$3000,MATCH($A1578,EXTRATO!$A$2:$A$3000,0))))</f>
        <v/>
      </c>
      <c r="I1578" s="88" t="str">
        <f>IF(A1578="","",IF(INDEX(EXTRATO!$H$2:$H$3000,MATCH($A1578,EXTRATO!$A$2:$A$3000,0))="","",INDEX(EXTRATO!$H$2:$H$3000,MATCH($A1578,EXTRATO!$A$2:$A$3000,0))))</f>
        <v/>
      </c>
      <c r="J1578" s="86" t="str">
        <f t="shared" si="35"/>
        <v/>
      </c>
      <c r="K1578" s="86" t="str">
        <f>IF(AND(A1578="",D1578="",E1578="",F1578=""),"",IF(D1578="","SEM CATEGORIA",IF(E1578="","SEM SUBCATEGORIA",IF(COUNTIFS(CADASTROS!$L$7:$L$93,D1578,CADASTROS!$D$7:$D$93,E1578)=0,"INCOMPATÍVEL","OK"))))</f>
        <v/>
      </c>
    </row>
    <row r="1579" spans="1:11" ht="30" hidden="1" customHeight="1" x14ac:dyDescent="0.25">
      <c r="A1579" s="86" t="str">
        <f>IF(COUNTIF(EXTRATO!$A$2:$A$3000,"BAN-01436")=0,"","BAN-01436")</f>
        <v/>
      </c>
      <c r="B1579" s="85" t="str">
        <f>IF(A1579="","",IF(INDEX(EXTRATO!$C$2:$C$3000,MATCH($A1579,EXTRATO!$A$2:$A$3000,0))="","",INDEX(EXTRATO!$C$2:$C$3000,MATCH($A1579,EXTRATO!$A$2:$A$3000,0))))</f>
        <v/>
      </c>
      <c r="C1579" s="86" t="str">
        <f t="shared" si="36"/>
        <v/>
      </c>
      <c r="D1579" s="81"/>
      <c r="E1579" s="79"/>
      <c r="F1579" s="80" t="str">
        <f>IF(A1579="","",SUMIF(EXTRATO!$A$2:$A$3000,$A1579,EXTRATO!$J$2:$J$3000)+SUMIF(EXTRATO!$A$2:$A$3000,$A1579,EXTRATO!$K$2:$K$3000)+SUMIF(EXTRATO!$A$2:$A$3000,$A1579,EXTRATO!$L$2:$L$3000)+SUMIF(EXTRATO!$A$2:$A$3000,$A1579,EXTRATO!$M$2:$M$3000))</f>
        <v/>
      </c>
      <c r="G1579" s="81" t="str">
        <f>IF(A1579="","",IF(INDEX(EXTRATO!$G$2:$G$3000,MATCH($A1579,EXTRATO!$A$2:$A$3000,0))="","",INDEX(EXTRATO!$G$2:$G$3000,MATCH($A1579,EXTRATO!$A$2:$A$3000,0))))</f>
        <v/>
      </c>
      <c r="H1579" s="86" t="str">
        <f>IF(A1579="","",IF(INDEX(EXTRATO!$F$2:$F$3000,MATCH($A1579,EXTRATO!$A$2:$A$3000,0))="","",INDEX(EXTRATO!$F$2:$F$3000,MATCH($A1579,EXTRATO!$A$2:$A$3000,0))))</f>
        <v/>
      </c>
      <c r="I1579" s="88" t="str">
        <f>IF(A1579="","",IF(INDEX(EXTRATO!$H$2:$H$3000,MATCH($A1579,EXTRATO!$A$2:$A$3000,0))="","",INDEX(EXTRATO!$H$2:$H$3000,MATCH($A1579,EXTRATO!$A$2:$A$3000,0))))</f>
        <v/>
      </c>
      <c r="J1579" s="86" t="str">
        <f t="shared" si="35"/>
        <v/>
      </c>
      <c r="K1579" s="86" t="str">
        <f>IF(AND(A1579="",D1579="",E1579="",F1579=""),"",IF(D1579="","SEM CATEGORIA",IF(E1579="","SEM SUBCATEGORIA",IF(COUNTIFS(CADASTROS!$L$7:$L$93,D1579,CADASTROS!$D$7:$D$93,E1579)=0,"INCOMPATÍVEL","OK"))))</f>
        <v/>
      </c>
    </row>
    <row r="1580" spans="1:11" ht="30" hidden="1" customHeight="1" x14ac:dyDescent="0.25">
      <c r="A1580" s="86" t="str">
        <f>IF(COUNTIF(EXTRATO!$A$2:$A$3000,"BAN-01437")=0,"","BAN-01437")</f>
        <v/>
      </c>
      <c r="B1580" s="85" t="str">
        <f>IF(A1580="","",IF(INDEX(EXTRATO!$C$2:$C$3000,MATCH($A1580,EXTRATO!$A$2:$A$3000,0))="","",INDEX(EXTRATO!$C$2:$C$3000,MATCH($A1580,EXTRATO!$A$2:$A$3000,0))))</f>
        <v/>
      </c>
      <c r="C1580" s="86" t="str">
        <f t="shared" si="36"/>
        <v/>
      </c>
      <c r="D1580" s="81"/>
      <c r="E1580" s="79"/>
      <c r="F1580" s="80" t="str">
        <f>IF(A1580="","",SUMIF(EXTRATO!$A$2:$A$3000,$A1580,EXTRATO!$J$2:$J$3000)+SUMIF(EXTRATO!$A$2:$A$3000,$A1580,EXTRATO!$K$2:$K$3000)+SUMIF(EXTRATO!$A$2:$A$3000,$A1580,EXTRATO!$L$2:$L$3000)+SUMIF(EXTRATO!$A$2:$A$3000,$A1580,EXTRATO!$M$2:$M$3000))</f>
        <v/>
      </c>
      <c r="G1580" s="81" t="str">
        <f>IF(A1580="","",IF(INDEX(EXTRATO!$G$2:$G$3000,MATCH($A1580,EXTRATO!$A$2:$A$3000,0))="","",INDEX(EXTRATO!$G$2:$G$3000,MATCH($A1580,EXTRATO!$A$2:$A$3000,0))))</f>
        <v/>
      </c>
      <c r="H1580" s="86" t="str">
        <f>IF(A1580="","",IF(INDEX(EXTRATO!$F$2:$F$3000,MATCH($A1580,EXTRATO!$A$2:$A$3000,0))="","",INDEX(EXTRATO!$F$2:$F$3000,MATCH($A1580,EXTRATO!$A$2:$A$3000,0))))</f>
        <v/>
      </c>
      <c r="I1580" s="88" t="str">
        <f>IF(A1580="","",IF(INDEX(EXTRATO!$H$2:$H$3000,MATCH($A1580,EXTRATO!$A$2:$A$3000,0))="","",INDEX(EXTRATO!$H$2:$H$3000,MATCH($A1580,EXTRATO!$A$2:$A$3000,0))))</f>
        <v/>
      </c>
      <c r="J1580" s="86" t="str">
        <f t="shared" ref="J1580:J1643" si="37">IF(A1580="","",IF(K1580="OK","MANUAL","PENDENTE"))</f>
        <v/>
      </c>
      <c r="K1580" s="86" t="str">
        <f>IF(AND(A1580="",D1580="",E1580="",F1580=""),"",IF(D1580="","SEM CATEGORIA",IF(E1580="","SEM SUBCATEGORIA",IF(COUNTIFS(CADASTROS!$L$7:$L$93,D1580,CADASTROS!$D$7:$D$93,E1580)=0,"INCOMPATÍVEL","OK"))))</f>
        <v/>
      </c>
    </row>
    <row r="1581" spans="1:11" ht="30" hidden="1" customHeight="1" x14ac:dyDescent="0.25">
      <c r="A1581" s="86" t="str">
        <f>IF(COUNTIF(EXTRATO!$A$2:$A$3000,"BAN-01438")=0,"","BAN-01438")</f>
        <v/>
      </c>
      <c r="B1581" s="85" t="str">
        <f>IF(A1581="","",IF(INDEX(EXTRATO!$C$2:$C$3000,MATCH($A1581,EXTRATO!$A$2:$A$3000,0))="","",INDEX(EXTRATO!$C$2:$C$3000,MATCH($A1581,EXTRATO!$A$2:$A$3000,0))))</f>
        <v/>
      </c>
      <c r="C1581" s="86" t="str">
        <f t="shared" si="36"/>
        <v/>
      </c>
      <c r="D1581" s="81"/>
      <c r="E1581" s="79"/>
      <c r="F1581" s="80" t="str">
        <f>IF(A1581="","",SUMIF(EXTRATO!$A$2:$A$3000,$A1581,EXTRATO!$J$2:$J$3000)+SUMIF(EXTRATO!$A$2:$A$3000,$A1581,EXTRATO!$K$2:$K$3000)+SUMIF(EXTRATO!$A$2:$A$3000,$A1581,EXTRATO!$L$2:$L$3000)+SUMIF(EXTRATO!$A$2:$A$3000,$A1581,EXTRATO!$M$2:$M$3000))</f>
        <v/>
      </c>
      <c r="G1581" s="81" t="str">
        <f>IF(A1581="","",IF(INDEX(EXTRATO!$G$2:$G$3000,MATCH($A1581,EXTRATO!$A$2:$A$3000,0))="","",INDEX(EXTRATO!$G$2:$G$3000,MATCH($A1581,EXTRATO!$A$2:$A$3000,0))))</f>
        <v/>
      </c>
      <c r="H1581" s="86" t="str">
        <f>IF(A1581="","",IF(INDEX(EXTRATO!$F$2:$F$3000,MATCH($A1581,EXTRATO!$A$2:$A$3000,0))="","",INDEX(EXTRATO!$F$2:$F$3000,MATCH($A1581,EXTRATO!$A$2:$A$3000,0))))</f>
        <v/>
      </c>
      <c r="I1581" s="88" t="str">
        <f>IF(A1581="","",IF(INDEX(EXTRATO!$H$2:$H$3000,MATCH($A1581,EXTRATO!$A$2:$A$3000,0))="","",INDEX(EXTRATO!$H$2:$H$3000,MATCH($A1581,EXTRATO!$A$2:$A$3000,0))))</f>
        <v/>
      </c>
      <c r="J1581" s="86" t="str">
        <f t="shared" si="37"/>
        <v/>
      </c>
      <c r="K1581" s="86" t="str">
        <f>IF(AND(A1581="",D1581="",E1581="",F1581=""),"",IF(D1581="","SEM CATEGORIA",IF(E1581="","SEM SUBCATEGORIA",IF(COUNTIFS(CADASTROS!$L$7:$L$93,D1581,CADASTROS!$D$7:$D$93,E1581)=0,"INCOMPATÍVEL","OK"))))</f>
        <v/>
      </c>
    </row>
    <row r="1582" spans="1:11" ht="30" hidden="1" customHeight="1" x14ac:dyDescent="0.25">
      <c r="A1582" s="86" t="str">
        <f>IF(COUNTIF(EXTRATO!$A$2:$A$3000,"BAN-01439")=0,"","BAN-01439")</f>
        <v/>
      </c>
      <c r="B1582" s="85" t="str">
        <f>IF(A1582="","",IF(INDEX(EXTRATO!$C$2:$C$3000,MATCH($A1582,EXTRATO!$A$2:$A$3000,0))="","",INDEX(EXTRATO!$C$2:$C$3000,MATCH($A1582,EXTRATO!$A$2:$A$3000,0))))</f>
        <v/>
      </c>
      <c r="C1582" s="86" t="str">
        <f t="shared" si="36"/>
        <v/>
      </c>
      <c r="D1582" s="81"/>
      <c r="E1582" s="79"/>
      <c r="F1582" s="80" t="str">
        <f>IF(A1582="","",SUMIF(EXTRATO!$A$2:$A$3000,$A1582,EXTRATO!$J$2:$J$3000)+SUMIF(EXTRATO!$A$2:$A$3000,$A1582,EXTRATO!$K$2:$K$3000)+SUMIF(EXTRATO!$A$2:$A$3000,$A1582,EXTRATO!$L$2:$L$3000)+SUMIF(EXTRATO!$A$2:$A$3000,$A1582,EXTRATO!$M$2:$M$3000))</f>
        <v/>
      </c>
      <c r="G1582" s="81" t="str">
        <f>IF(A1582="","",IF(INDEX(EXTRATO!$G$2:$G$3000,MATCH($A1582,EXTRATO!$A$2:$A$3000,0))="","",INDEX(EXTRATO!$G$2:$G$3000,MATCH($A1582,EXTRATO!$A$2:$A$3000,0))))</f>
        <v/>
      </c>
      <c r="H1582" s="86" t="str">
        <f>IF(A1582="","",IF(INDEX(EXTRATO!$F$2:$F$3000,MATCH($A1582,EXTRATO!$A$2:$A$3000,0))="","",INDEX(EXTRATO!$F$2:$F$3000,MATCH($A1582,EXTRATO!$A$2:$A$3000,0))))</f>
        <v/>
      </c>
      <c r="I1582" s="88" t="str">
        <f>IF(A1582="","",IF(INDEX(EXTRATO!$H$2:$H$3000,MATCH($A1582,EXTRATO!$A$2:$A$3000,0))="","",INDEX(EXTRATO!$H$2:$H$3000,MATCH($A1582,EXTRATO!$A$2:$A$3000,0))))</f>
        <v/>
      </c>
      <c r="J1582" s="86" t="str">
        <f t="shared" si="37"/>
        <v/>
      </c>
      <c r="K1582" s="86" t="str">
        <f>IF(AND(A1582="",D1582="",E1582="",F1582=""),"",IF(D1582="","SEM CATEGORIA",IF(E1582="","SEM SUBCATEGORIA",IF(COUNTIFS(CADASTROS!$L$7:$L$93,D1582,CADASTROS!$D$7:$D$93,E1582)=0,"INCOMPATÍVEL","OK"))))</f>
        <v/>
      </c>
    </row>
    <row r="1583" spans="1:11" ht="30" hidden="1" customHeight="1" x14ac:dyDescent="0.25">
      <c r="A1583" s="86" t="str">
        <f>IF(COUNTIF(EXTRATO!$A$2:$A$3000,"BAN-01440")=0,"","BAN-01440")</f>
        <v/>
      </c>
      <c r="B1583" s="85" t="str">
        <f>IF(A1583="","",IF(INDEX(EXTRATO!$C$2:$C$3000,MATCH($A1583,EXTRATO!$A$2:$A$3000,0))="","",INDEX(EXTRATO!$C$2:$C$3000,MATCH($A1583,EXTRATO!$A$2:$A$3000,0))))</f>
        <v/>
      </c>
      <c r="C1583" s="86" t="str">
        <f t="shared" si="36"/>
        <v/>
      </c>
      <c r="D1583" s="81"/>
      <c r="E1583" s="79"/>
      <c r="F1583" s="80" t="str">
        <f>IF(A1583="","",SUMIF(EXTRATO!$A$2:$A$3000,$A1583,EXTRATO!$J$2:$J$3000)+SUMIF(EXTRATO!$A$2:$A$3000,$A1583,EXTRATO!$K$2:$K$3000)+SUMIF(EXTRATO!$A$2:$A$3000,$A1583,EXTRATO!$L$2:$L$3000)+SUMIF(EXTRATO!$A$2:$A$3000,$A1583,EXTRATO!$M$2:$M$3000))</f>
        <v/>
      </c>
      <c r="G1583" s="81" t="str">
        <f>IF(A1583="","",IF(INDEX(EXTRATO!$G$2:$G$3000,MATCH($A1583,EXTRATO!$A$2:$A$3000,0))="","",INDEX(EXTRATO!$G$2:$G$3000,MATCH($A1583,EXTRATO!$A$2:$A$3000,0))))</f>
        <v/>
      </c>
      <c r="H1583" s="86" t="str">
        <f>IF(A1583="","",IF(INDEX(EXTRATO!$F$2:$F$3000,MATCH($A1583,EXTRATO!$A$2:$A$3000,0))="","",INDEX(EXTRATO!$F$2:$F$3000,MATCH($A1583,EXTRATO!$A$2:$A$3000,0))))</f>
        <v/>
      </c>
      <c r="I1583" s="88" t="str">
        <f>IF(A1583="","",IF(INDEX(EXTRATO!$H$2:$H$3000,MATCH($A1583,EXTRATO!$A$2:$A$3000,0))="","",INDEX(EXTRATO!$H$2:$H$3000,MATCH($A1583,EXTRATO!$A$2:$A$3000,0))))</f>
        <v/>
      </c>
      <c r="J1583" s="86" t="str">
        <f t="shared" si="37"/>
        <v/>
      </c>
      <c r="K1583" s="86" t="str">
        <f>IF(AND(A1583="",D1583="",E1583="",F1583=""),"",IF(D1583="","SEM CATEGORIA",IF(E1583="","SEM SUBCATEGORIA",IF(COUNTIFS(CADASTROS!$L$7:$L$93,D1583,CADASTROS!$D$7:$D$93,E1583)=0,"INCOMPATÍVEL","OK"))))</f>
        <v/>
      </c>
    </row>
    <row r="1584" spans="1:11" ht="30" hidden="1" customHeight="1" x14ac:dyDescent="0.25">
      <c r="A1584" s="86" t="str">
        <f>IF(COUNTIF(EXTRATO!$A$2:$A$3000,"BAN-01441")=0,"","BAN-01441")</f>
        <v/>
      </c>
      <c r="B1584" s="85" t="str">
        <f>IF(A1584="","",IF(INDEX(EXTRATO!$C$2:$C$3000,MATCH($A1584,EXTRATO!$A$2:$A$3000,0))="","",INDEX(EXTRATO!$C$2:$C$3000,MATCH($A1584,EXTRATO!$A$2:$A$3000,0))))</f>
        <v/>
      </c>
      <c r="C1584" s="86" t="str">
        <f t="shared" si="36"/>
        <v/>
      </c>
      <c r="D1584" s="81"/>
      <c r="E1584" s="79"/>
      <c r="F1584" s="80" t="str">
        <f>IF(A1584="","",SUMIF(EXTRATO!$A$2:$A$3000,$A1584,EXTRATO!$J$2:$J$3000)+SUMIF(EXTRATO!$A$2:$A$3000,$A1584,EXTRATO!$K$2:$K$3000)+SUMIF(EXTRATO!$A$2:$A$3000,$A1584,EXTRATO!$L$2:$L$3000)+SUMIF(EXTRATO!$A$2:$A$3000,$A1584,EXTRATO!$M$2:$M$3000))</f>
        <v/>
      </c>
      <c r="G1584" s="81" t="str">
        <f>IF(A1584="","",IF(INDEX(EXTRATO!$G$2:$G$3000,MATCH($A1584,EXTRATO!$A$2:$A$3000,0))="","",INDEX(EXTRATO!$G$2:$G$3000,MATCH($A1584,EXTRATO!$A$2:$A$3000,0))))</f>
        <v/>
      </c>
      <c r="H1584" s="86" t="str">
        <f>IF(A1584="","",IF(INDEX(EXTRATO!$F$2:$F$3000,MATCH($A1584,EXTRATO!$A$2:$A$3000,0))="","",INDEX(EXTRATO!$F$2:$F$3000,MATCH($A1584,EXTRATO!$A$2:$A$3000,0))))</f>
        <v/>
      </c>
      <c r="I1584" s="88" t="str">
        <f>IF(A1584="","",IF(INDEX(EXTRATO!$H$2:$H$3000,MATCH($A1584,EXTRATO!$A$2:$A$3000,0))="","",INDEX(EXTRATO!$H$2:$H$3000,MATCH($A1584,EXTRATO!$A$2:$A$3000,0))))</f>
        <v/>
      </c>
      <c r="J1584" s="86" t="str">
        <f t="shared" si="37"/>
        <v/>
      </c>
      <c r="K1584" s="86" t="str">
        <f>IF(AND(A1584="",D1584="",E1584="",F1584=""),"",IF(D1584="","SEM CATEGORIA",IF(E1584="","SEM SUBCATEGORIA",IF(COUNTIFS(CADASTROS!$L$7:$L$93,D1584,CADASTROS!$D$7:$D$93,E1584)=0,"INCOMPATÍVEL","OK"))))</f>
        <v/>
      </c>
    </row>
    <row r="1585" spans="1:11" ht="30" hidden="1" customHeight="1" x14ac:dyDescent="0.25">
      <c r="A1585" s="86" t="str">
        <f>IF(COUNTIF(EXTRATO!$A$2:$A$3000,"BAN-01442")=0,"","BAN-01442")</f>
        <v/>
      </c>
      <c r="B1585" s="85" t="str">
        <f>IF(A1585="","",IF(INDEX(EXTRATO!$C$2:$C$3000,MATCH($A1585,EXTRATO!$A$2:$A$3000,0))="","",INDEX(EXTRATO!$C$2:$C$3000,MATCH($A1585,EXTRATO!$A$2:$A$3000,0))))</f>
        <v/>
      </c>
      <c r="C1585" s="86" t="str">
        <f t="shared" si="36"/>
        <v/>
      </c>
      <c r="D1585" s="81"/>
      <c r="E1585" s="79"/>
      <c r="F1585" s="80" t="str">
        <f>IF(A1585="","",SUMIF(EXTRATO!$A$2:$A$3000,$A1585,EXTRATO!$J$2:$J$3000)+SUMIF(EXTRATO!$A$2:$A$3000,$A1585,EXTRATO!$K$2:$K$3000)+SUMIF(EXTRATO!$A$2:$A$3000,$A1585,EXTRATO!$L$2:$L$3000)+SUMIF(EXTRATO!$A$2:$A$3000,$A1585,EXTRATO!$M$2:$M$3000))</f>
        <v/>
      </c>
      <c r="G1585" s="81" t="str">
        <f>IF(A1585="","",IF(INDEX(EXTRATO!$G$2:$G$3000,MATCH($A1585,EXTRATO!$A$2:$A$3000,0))="","",INDEX(EXTRATO!$G$2:$G$3000,MATCH($A1585,EXTRATO!$A$2:$A$3000,0))))</f>
        <v/>
      </c>
      <c r="H1585" s="86" t="str">
        <f>IF(A1585="","",IF(INDEX(EXTRATO!$F$2:$F$3000,MATCH($A1585,EXTRATO!$A$2:$A$3000,0))="","",INDEX(EXTRATO!$F$2:$F$3000,MATCH($A1585,EXTRATO!$A$2:$A$3000,0))))</f>
        <v/>
      </c>
      <c r="I1585" s="88" t="str">
        <f>IF(A1585="","",IF(INDEX(EXTRATO!$H$2:$H$3000,MATCH($A1585,EXTRATO!$A$2:$A$3000,0))="","",INDEX(EXTRATO!$H$2:$H$3000,MATCH($A1585,EXTRATO!$A$2:$A$3000,0))))</f>
        <v/>
      </c>
      <c r="J1585" s="86" t="str">
        <f t="shared" si="37"/>
        <v/>
      </c>
      <c r="K1585" s="86" t="str">
        <f>IF(AND(A1585="",D1585="",E1585="",F1585=""),"",IF(D1585="","SEM CATEGORIA",IF(E1585="","SEM SUBCATEGORIA",IF(COUNTIFS(CADASTROS!$L$7:$L$93,D1585,CADASTROS!$D$7:$D$93,E1585)=0,"INCOMPATÍVEL","OK"))))</f>
        <v/>
      </c>
    </row>
    <row r="1586" spans="1:11" ht="30" hidden="1" customHeight="1" x14ac:dyDescent="0.25">
      <c r="A1586" s="86" t="str">
        <f>IF(COUNTIF(EXTRATO!$A$2:$A$3000,"BAN-01443")=0,"","BAN-01443")</f>
        <v/>
      </c>
      <c r="B1586" s="85" t="str">
        <f>IF(A1586="","",IF(INDEX(EXTRATO!$C$2:$C$3000,MATCH($A1586,EXTRATO!$A$2:$A$3000,0))="","",INDEX(EXTRATO!$C$2:$C$3000,MATCH($A1586,EXTRATO!$A$2:$A$3000,0))))</f>
        <v/>
      </c>
      <c r="C1586" s="86" t="str">
        <f t="shared" si="36"/>
        <v/>
      </c>
      <c r="D1586" s="81"/>
      <c r="E1586" s="79"/>
      <c r="F1586" s="80" t="str">
        <f>IF(A1586="","",SUMIF(EXTRATO!$A$2:$A$3000,$A1586,EXTRATO!$J$2:$J$3000)+SUMIF(EXTRATO!$A$2:$A$3000,$A1586,EXTRATO!$K$2:$K$3000)+SUMIF(EXTRATO!$A$2:$A$3000,$A1586,EXTRATO!$L$2:$L$3000)+SUMIF(EXTRATO!$A$2:$A$3000,$A1586,EXTRATO!$M$2:$M$3000))</f>
        <v/>
      </c>
      <c r="G1586" s="81" t="str">
        <f>IF(A1586="","",IF(INDEX(EXTRATO!$G$2:$G$3000,MATCH($A1586,EXTRATO!$A$2:$A$3000,0))="","",INDEX(EXTRATO!$G$2:$G$3000,MATCH($A1586,EXTRATO!$A$2:$A$3000,0))))</f>
        <v/>
      </c>
      <c r="H1586" s="86" t="str">
        <f>IF(A1586="","",IF(INDEX(EXTRATO!$F$2:$F$3000,MATCH($A1586,EXTRATO!$A$2:$A$3000,0))="","",INDEX(EXTRATO!$F$2:$F$3000,MATCH($A1586,EXTRATO!$A$2:$A$3000,0))))</f>
        <v/>
      </c>
      <c r="I1586" s="88" t="str">
        <f>IF(A1586="","",IF(INDEX(EXTRATO!$H$2:$H$3000,MATCH($A1586,EXTRATO!$A$2:$A$3000,0))="","",INDEX(EXTRATO!$H$2:$H$3000,MATCH($A1586,EXTRATO!$A$2:$A$3000,0))))</f>
        <v/>
      </c>
      <c r="J1586" s="86" t="str">
        <f t="shared" si="37"/>
        <v/>
      </c>
      <c r="K1586" s="86" t="str">
        <f>IF(AND(A1586="",D1586="",E1586="",F1586=""),"",IF(D1586="","SEM CATEGORIA",IF(E1586="","SEM SUBCATEGORIA",IF(COUNTIFS(CADASTROS!$L$7:$L$93,D1586,CADASTROS!$D$7:$D$93,E1586)=0,"INCOMPATÍVEL","OK"))))</f>
        <v/>
      </c>
    </row>
    <row r="1587" spans="1:11" ht="30" hidden="1" customHeight="1" x14ac:dyDescent="0.25">
      <c r="A1587" s="86" t="str">
        <f>IF(COUNTIF(EXTRATO!$A$2:$A$3000,"BAN-01444")=0,"","BAN-01444")</f>
        <v/>
      </c>
      <c r="B1587" s="85" t="str">
        <f>IF(A1587="","",IF(INDEX(EXTRATO!$C$2:$C$3000,MATCH($A1587,EXTRATO!$A$2:$A$3000,0))="","",INDEX(EXTRATO!$C$2:$C$3000,MATCH($A1587,EXTRATO!$A$2:$A$3000,0))))</f>
        <v/>
      </c>
      <c r="C1587" s="86" t="str">
        <f t="shared" si="36"/>
        <v/>
      </c>
      <c r="D1587" s="81"/>
      <c r="E1587" s="79"/>
      <c r="F1587" s="80" t="str">
        <f>IF(A1587="","",SUMIF(EXTRATO!$A$2:$A$3000,$A1587,EXTRATO!$J$2:$J$3000)+SUMIF(EXTRATO!$A$2:$A$3000,$A1587,EXTRATO!$K$2:$K$3000)+SUMIF(EXTRATO!$A$2:$A$3000,$A1587,EXTRATO!$L$2:$L$3000)+SUMIF(EXTRATO!$A$2:$A$3000,$A1587,EXTRATO!$M$2:$M$3000))</f>
        <v/>
      </c>
      <c r="G1587" s="81" t="str">
        <f>IF(A1587="","",IF(INDEX(EXTRATO!$G$2:$G$3000,MATCH($A1587,EXTRATO!$A$2:$A$3000,0))="","",INDEX(EXTRATO!$G$2:$G$3000,MATCH($A1587,EXTRATO!$A$2:$A$3000,0))))</f>
        <v/>
      </c>
      <c r="H1587" s="86" t="str">
        <f>IF(A1587="","",IF(INDEX(EXTRATO!$F$2:$F$3000,MATCH($A1587,EXTRATO!$A$2:$A$3000,0))="","",INDEX(EXTRATO!$F$2:$F$3000,MATCH($A1587,EXTRATO!$A$2:$A$3000,0))))</f>
        <v/>
      </c>
      <c r="I1587" s="88" t="str">
        <f>IF(A1587="","",IF(INDEX(EXTRATO!$H$2:$H$3000,MATCH($A1587,EXTRATO!$A$2:$A$3000,0))="","",INDEX(EXTRATO!$H$2:$H$3000,MATCH($A1587,EXTRATO!$A$2:$A$3000,0))))</f>
        <v/>
      </c>
      <c r="J1587" s="86" t="str">
        <f t="shared" si="37"/>
        <v/>
      </c>
      <c r="K1587" s="86" t="str">
        <f>IF(AND(A1587="",D1587="",E1587="",F1587=""),"",IF(D1587="","SEM CATEGORIA",IF(E1587="","SEM SUBCATEGORIA",IF(COUNTIFS(CADASTROS!$L$7:$L$93,D1587,CADASTROS!$D$7:$D$93,E1587)=0,"INCOMPATÍVEL","OK"))))</f>
        <v/>
      </c>
    </row>
    <row r="1588" spans="1:11" ht="30" hidden="1" customHeight="1" x14ac:dyDescent="0.25">
      <c r="A1588" s="86" t="str">
        <f>IF(COUNTIF(EXTRATO!$A$2:$A$3000,"BAN-01445")=0,"","BAN-01445")</f>
        <v/>
      </c>
      <c r="B1588" s="85" t="str">
        <f>IF(A1588="","",IF(INDEX(EXTRATO!$C$2:$C$3000,MATCH($A1588,EXTRATO!$A$2:$A$3000,0))="","",INDEX(EXTRATO!$C$2:$C$3000,MATCH($A1588,EXTRATO!$A$2:$A$3000,0))))</f>
        <v/>
      </c>
      <c r="C1588" s="86" t="str">
        <f t="shared" si="36"/>
        <v/>
      </c>
      <c r="D1588" s="81"/>
      <c r="E1588" s="79"/>
      <c r="F1588" s="80" t="str">
        <f>IF(A1588="","",SUMIF(EXTRATO!$A$2:$A$3000,$A1588,EXTRATO!$J$2:$J$3000)+SUMIF(EXTRATO!$A$2:$A$3000,$A1588,EXTRATO!$K$2:$K$3000)+SUMIF(EXTRATO!$A$2:$A$3000,$A1588,EXTRATO!$L$2:$L$3000)+SUMIF(EXTRATO!$A$2:$A$3000,$A1588,EXTRATO!$M$2:$M$3000))</f>
        <v/>
      </c>
      <c r="G1588" s="81" t="str">
        <f>IF(A1588="","",IF(INDEX(EXTRATO!$G$2:$G$3000,MATCH($A1588,EXTRATO!$A$2:$A$3000,0))="","",INDEX(EXTRATO!$G$2:$G$3000,MATCH($A1588,EXTRATO!$A$2:$A$3000,0))))</f>
        <v/>
      </c>
      <c r="H1588" s="86" t="str">
        <f>IF(A1588="","",IF(INDEX(EXTRATO!$F$2:$F$3000,MATCH($A1588,EXTRATO!$A$2:$A$3000,0))="","",INDEX(EXTRATO!$F$2:$F$3000,MATCH($A1588,EXTRATO!$A$2:$A$3000,0))))</f>
        <v/>
      </c>
      <c r="I1588" s="88" t="str">
        <f>IF(A1588="","",IF(INDEX(EXTRATO!$H$2:$H$3000,MATCH($A1588,EXTRATO!$A$2:$A$3000,0))="","",INDEX(EXTRATO!$H$2:$H$3000,MATCH($A1588,EXTRATO!$A$2:$A$3000,0))))</f>
        <v/>
      </c>
      <c r="J1588" s="86" t="str">
        <f t="shared" si="37"/>
        <v/>
      </c>
      <c r="K1588" s="86" t="str">
        <f>IF(AND(A1588="",D1588="",E1588="",F1588=""),"",IF(D1588="","SEM CATEGORIA",IF(E1588="","SEM SUBCATEGORIA",IF(COUNTIFS(CADASTROS!$L$7:$L$93,D1588,CADASTROS!$D$7:$D$93,E1588)=0,"INCOMPATÍVEL","OK"))))</f>
        <v/>
      </c>
    </row>
    <row r="1589" spans="1:11" ht="30" hidden="1" customHeight="1" x14ac:dyDescent="0.25">
      <c r="A1589" s="86" t="str">
        <f>IF(COUNTIF(EXTRATO!$A$2:$A$3000,"BAN-01446")=0,"","BAN-01446")</f>
        <v/>
      </c>
      <c r="B1589" s="85" t="str">
        <f>IF(A1589="","",IF(INDEX(EXTRATO!$C$2:$C$3000,MATCH($A1589,EXTRATO!$A$2:$A$3000,0))="","",INDEX(EXTRATO!$C$2:$C$3000,MATCH($A1589,EXTRATO!$A$2:$A$3000,0))))</f>
        <v/>
      </c>
      <c r="C1589" s="86" t="str">
        <f t="shared" si="36"/>
        <v/>
      </c>
      <c r="D1589" s="81"/>
      <c r="E1589" s="79"/>
      <c r="F1589" s="80" t="str">
        <f>IF(A1589="","",SUMIF(EXTRATO!$A$2:$A$3000,$A1589,EXTRATO!$J$2:$J$3000)+SUMIF(EXTRATO!$A$2:$A$3000,$A1589,EXTRATO!$K$2:$K$3000)+SUMIF(EXTRATO!$A$2:$A$3000,$A1589,EXTRATO!$L$2:$L$3000)+SUMIF(EXTRATO!$A$2:$A$3000,$A1589,EXTRATO!$M$2:$M$3000))</f>
        <v/>
      </c>
      <c r="G1589" s="81" t="str">
        <f>IF(A1589="","",IF(INDEX(EXTRATO!$G$2:$G$3000,MATCH($A1589,EXTRATO!$A$2:$A$3000,0))="","",INDEX(EXTRATO!$G$2:$G$3000,MATCH($A1589,EXTRATO!$A$2:$A$3000,0))))</f>
        <v/>
      </c>
      <c r="H1589" s="86" t="str">
        <f>IF(A1589="","",IF(INDEX(EXTRATO!$F$2:$F$3000,MATCH($A1589,EXTRATO!$A$2:$A$3000,0))="","",INDEX(EXTRATO!$F$2:$F$3000,MATCH($A1589,EXTRATO!$A$2:$A$3000,0))))</f>
        <v/>
      </c>
      <c r="I1589" s="88" t="str">
        <f>IF(A1589="","",IF(INDEX(EXTRATO!$H$2:$H$3000,MATCH($A1589,EXTRATO!$A$2:$A$3000,0))="","",INDEX(EXTRATO!$H$2:$H$3000,MATCH($A1589,EXTRATO!$A$2:$A$3000,0))))</f>
        <v/>
      </c>
      <c r="J1589" s="86" t="str">
        <f t="shared" si="37"/>
        <v/>
      </c>
      <c r="K1589" s="86" t="str">
        <f>IF(AND(A1589="",D1589="",E1589="",F1589=""),"",IF(D1589="","SEM CATEGORIA",IF(E1589="","SEM SUBCATEGORIA",IF(COUNTIFS(CADASTROS!$L$7:$L$93,D1589,CADASTROS!$D$7:$D$93,E1589)=0,"INCOMPATÍVEL","OK"))))</f>
        <v/>
      </c>
    </row>
    <row r="1590" spans="1:11" ht="30" hidden="1" customHeight="1" x14ac:dyDescent="0.25">
      <c r="A1590" s="86" t="str">
        <f>IF(COUNTIF(EXTRATO!$A$2:$A$3000,"BAN-01447")=0,"","BAN-01447")</f>
        <v/>
      </c>
      <c r="B1590" s="85" t="str">
        <f>IF(A1590="","",IF(INDEX(EXTRATO!$C$2:$C$3000,MATCH($A1590,EXTRATO!$A$2:$A$3000,0))="","",INDEX(EXTRATO!$C$2:$C$3000,MATCH($A1590,EXTRATO!$A$2:$A$3000,0))))</f>
        <v/>
      </c>
      <c r="C1590" s="86" t="str">
        <f t="shared" si="36"/>
        <v/>
      </c>
      <c r="D1590" s="81"/>
      <c r="E1590" s="79"/>
      <c r="F1590" s="80" t="str">
        <f>IF(A1590="","",SUMIF(EXTRATO!$A$2:$A$3000,$A1590,EXTRATO!$J$2:$J$3000)+SUMIF(EXTRATO!$A$2:$A$3000,$A1590,EXTRATO!$K$2:$K$3000)+SUMIF(EXTRATO!$A$2:$A$3000,$A1590,EXTRATO!$L$2:$L$3000)+SUMIF(EXTRATO!$A$2:$A$3000,$A1590,EXTRATO!$M$2:$M$3000))</f>
        <v/>
      </c>
      <c r="G1590" s="81" t="str">
        <f>IF(A1590="","",IF(INDEX(EXTRATO!$G$2:$G$3000,MATCH($A1590,EXTRATO!$A$2:$A$3000,0))="","",INDEX(EXTRATO!$G$2:$G$3000,MATCH($A1590,EXTRATO!$A$2:$A$3000,0))))</f>
        <v/>
      </c>
      <c r="H1590" s="86" t="str">
        <f>IF(A1590="","",IF(INDEX(EXTRATO!$F$2:$F$3000,MATCH($A1590,EXTRATO!$A$2:$A$3000,0))="","",INDEX(EXTRATO!$F$2:$F$3000,MATCH($A1590,EXTRATO!$A$2:$A$3000,0))))</f>
        <v/>
      </c>
      <c r="I1590" s="88" t="str">
        <f>IF(A1590="","",IF(INDEX(EXTRATO!$H$2:$H$3000,MATCH($A1590,EXTRATO!$A$2:$A$3000,0))="","",INDEX(EXTRATO!$H$2:$H$3000,MATCH($A1590,EXTRATO!$A$2:$A$3000,0))))</f>
        <v/>
      </c>
      <c r="J1590" s="86" t="str">
        <f t="shared" si="37"/>
        <v/>
      </c>
      <c r="K1590" s="86" t="str">
        <f>IF(AND(A1590="",D1590="",E1590="",F1590=""),"",IF(D1590="","SEM CATEGORIA",IF(E1590="","SEM SUBCATEGORIA",IF(COUNTIFS(CADASTROS!$L$7:$L$93,D1590,CADASTROS!$D$7:$D$93,E1590)=0,"INCOMPATÍVEL","OK"))))</f>
        <v/>
      </c>
    </row>
    <row r="1591" spans="1:11" ht="30" hidden="1" customHeight="1" x14ac:dyDescent="0.25">
      <c r="A1591" s="86" t="str">
        <f>IF(COUNTIF(EXTRATO!$A$2:$A$3000,"BAN-01448")=0,"","BAN-01448")</f>
        <v/>
      </c>
      <c r="B1591" s="85" t="str">
        <f>IF(A1591="","",IF(INDEX(EXTRATO!$C$2:$C$3000,MATCH($A1591,EXTRATO!$A$2:$A$3000,0))="","",INDEX(EXTRATO!$C$2:$C$3000,MATCH($A1591,EXTRATO!$A$2:$A$3000,0))))</f>
        <v/>
      </c>
      <c r="C1591" s="86" t="str">
        <f t="shared" si="36"/>
        <v/>
      </c>
      <c r="D1591" s="81"/>
      <c r="E1591" s="79"/>
      <c r="F1591" s="80" t="str">
        <f>IF(A1591="","",SUMIF(EXTRATO!$A$2:$A$3000,$A1591,EXTRATO!$J$2:$J$3000)+SUMIF(EXTRATO!$A$2:$A$3000,$A1591,EXTRATO!$K$2:$K$3000)+SUMIF(EXTRATO!$A$2:$A$3000,$A1591,EXTRATO!$L$2:$L$3000)+SUMIF(EXTRATO!$A$2:$A$3000,$A1591,EXTRATO!$M$2:$M$3000))</f>
        <v/>
      </c>
      <c r="G1591" s="81" t="str">
        <f>IF(A1591="","",IF(INDEX(EXTRATO!$G$2:$G$3000,MATCH($A1591,EXTRATO!$A$2:$A$3000,0))="","",INDEX(EXTRATO!$G$2:$G$3000,MATCH($A1591,EXTRATO!$A$2:$A$3000,0))))</f>
        <v/>
      </c>
      <c r="H1591" s="86" t="str">
        <f>IF(A1591="","",IF(INDEX(EXTRATO!$F$2:$F$3000,MATCH($A1591,EXTRATO!$A$2:$A$3000,0))="","",INDEX(EXTRATO!$F$2:$F$3000,MATCH($A1591,EXTRATO!$A$2:$A$3000,0))))</f>
        <v/>
      </c>
      <c r="I1591" s="88" t="str">
        <f>IF(A1591="","",IF(INDEX(EXTRATO!$H$2:$H$3000,MATCH($A1591,EXTRATO!$A$2:$A$3000,0))="","",INDEX(EXTRATO!$H$2:$H$3000,MATCH($A1591,EXTRATO!$A$2:$A$3000,0))))</f>
        <v/>
      </c>
      <c r="J1591" s="86" t="str">
        <f t="shared" si="37"/>
        <v/>
      </c>
      <c r="K1591" s="86" t="str">
        <f>IF(AND(A1591="",D1591="",E1591="",F1591=""),"",IF(D1591="","SEM CATEGORIA",IF(E1591="","SEM SUBCATEGORIA",IF(COUNTIFS(CADASTROS!$L$7:$L$93,D1591,CADASTROS!$D$7:$D$93,E1591)=0,"INCOMPATÍVEL","OK"))))</f>
        <v/>
      </c>
    </row>
    <row r="1592" spans="1:11" ht="30" hidden="1" customHeight="1" x14ac:dyDescent="0.25">
      <c r="A1592" s="86" t="str">
        <f>IF(COUNTIF(EXTRATO!$A$2:$A$3000,"BAN-01449")=0,"","BAN-01449")</f>
        <v/>
      </c>
      <c r="B1592" s="85" t="str">
        <f>IF(A1592="","",IF(INDEX(EXTRATO!$C$2:$C$3000,MATCH($A1592,EXTRATO!$A$2:$A$3000,0))="","",INDEX(EXTRATO!$C$2:$C$3000,MATCH($A1592,EXTRATO!$A$2:$A$3000,0))))</f>
        <v/>
      </c>
      <c r="C1592" s="86" t="str">
        <f t="shared" si="36"/>
        <v/>
      </c>
      <c r="D1592" s="81"/>
      <c r="E1592" s="79"/>
      <c r="F1592" s="80" t="str">
        <f>IF(A1592="","",SUMIF(EXTRATO!$A$2:$A$3000,$A1592,EXTRATO!$J$2:$J$3000)+SUMIF(EXTRATO!$A$2:$A$3000,$A1592,EXTRATO!$K$2:$K$3000)+SUMIF(EXTRATO!$A$2:$A$3000,$A1592,EXTRATO!$L$2:$L$3000)+SUMIF(EXTRATO!$A$2:$A$3000,$A1592,EXTRATO!$M$2:$M$3000))</f>
        <v/>
      </c>
      <c r="G1592" s="81" t="str">
        <f>IF(A1592="","",IF(INDEX(EXTRATO!$G$2:$G$3000,MATCH($A1592,EXTRATO!$A$2:$A$3000,0))="","",INDEX(EXTRATO!$G$2:$G$3000,MATCH($A1592,EXTRATO!$A$2:$A$3000,0))))</f>
        <v/>
      </c>
      <c r="H1592" s="86" t="str">
        <f>IF(A1592="","",IF(INDEX(EXTRATO!$F$2:$F$3000,MATCH($A1592,EXTRATO!$A$2:$A$3000,0))="","",INDEX(EXTRATO!$F$2:$F$3000,MATCH($A1592,EXTRATO!$A$2:$A$3000,0))))</f>
        <v/>
      </c>
      <c r="I1592" s="88" t="str">
        <f>IF(A1592="","",IF(INDEX(EXTRATO!$H$2:$H$3000,MATCH($A1592,EXTRATO!$A$2:$A$3000,0))="","",INDEX(EXTRATO!$H$2:$H$3000,MATCH($A1592,EXTRATO!$A$2:$A$3000,0))))</f>
        <v/>
      </c>
      <c r="J1592" s="86" t="str">
        <f t="shared" si="37"/>
        <v/>
      </c>
      <c r="K1592" s="86" t="str">
        <f>IF(AND(A1592="",D1592="",E1592="",F1592=""),"",IF(D1592="","SEM CATEGORIA",IF(E1592="","SEM SUBCATEGORIA",IF(COUNTIFS(CADASTROS!$L$7:$L$93,D1592,CADASTROS!$D$7:$D$93,E1592)=0,"INCOMPATÍVEL","OK"))))</f>
        <v/>
      </c>
    </row>
    <row r="1593" spans="1:11" ht="30" hidden="1" customHeight="1" x14ac:dyDescent="0.25">
      <c r="A1593" s="86" t="str">
        <f>IF(COUNTIF(EXTRATO!$A$2:$A$3000,"BAN-01450")=0,"","BAN-01450")</f>
        <v/>
      </c>
      <c r="B1593" s="85" t="str">
        <f>IF(A1593="","",IF(INDEX(EXTRATO!$C$2:$C$3000,MATCH($A1593,EXTRATO!$A$2:$A$3000,0))="","",INDEX(EXTRATO!$C$2:$C$3000,MATCH($A1593,EXTRATO!$A$2:$A$3000,0))))</f>
        <v/>
      </c>
      <c r="C1593" s="86" t="str">
        <f t="shared" si="36"/>
        <v/>
      </c>
      <c r="D1593" s="81"/>
      <c r="E1593" s="79"/>
      <c r="F1593" s="80" t="str">
        <f>IF(A1593="","",SUMIF(EXTRATO!$A$2:$A$3000,$A1593,EXTRATO!$J$2:$J$3000)+SUMIF(EXTRATO!$A$2:$A$3000,$A1593,EXTRATO!$K$2:$K$3000)+SUMIF(EXTRATO!$A$2:$A$3000,$A1593,EXTRATO!$L$2:$L$3000)+SUMIF(EXTRATO!$A$2:$A$3000,$A1593,EXTRATO!$M$2:$M$3000))</f>
        <v/>
      </c>
      <c r="G1593" s="81" t="str">
        <f>IF(A1593="","",IF(INDEX(EXTRATO!$G$2:$G$3000,MATCH($A1593,EXTRATO!$A$2:$A$3000,0))="","",INDEX(EXTRATO!$G$2:$G$3000,MATCH($A1593,EXTRATO!$A$2:$A$3000,0))))</f>
        <v/>
      </c>
      <c r="H1593" s="86" t="str">
        <f>IF(A1593="","",IF(INDEX(EXTRATO!$F$2:$F$3000,MATCH($A1593,EXTRATO!$A$2:$A$3000,0))="","",INDEX(EXTRATO!$F$2:$F$3000,MATCH($A1593,EXTRATO!$A$2:$A$3000,0))))</f>
        <v/>
      </c>
      <c r="I1593" s="88" t="str">
        <f>IF(A1593="","",IF(INDEX(EXTRATO!$H$2:$H$3000,MATCH($A1593,EXTRATO!$A$2:$A$3000,0))="","",INDEX(EXTRATO!$H$2:$H$3000,MATCH($A1593,EXTRATO!$A$2:$A$3000,0))))</f>
        <v/>
      </c>
      <c r="J1593" s="86" t="str">
        <f t="shared" si="37"/>
        <v/>
      </c>
      <c r="K1593" s="86" t="str">
        <f>IF(AND(A1593="",D1593="",E1593="",F1593=""),"",IF(D1593="","SEM CATEGORIA",IF(E1593="","SEM SUBCATEGORIA",IF(COUNTIFS(CADASTROS!$L$7:$L$93,D1593,CADASTROS!$D$7:$D$93,E1593)=0,"INCOMPATÍVEL","OK"))))</f>
        <v/>
      </c>
    </row>
    <row r="1594" spans="1:11" ht="30" hidden="1" customHeight="1" x14ac:dyDescent="0.25">
      <c r="A1594" s="86" t="str">
        <f>IF(COUNTIF(EXTRATO!$A$2:$A$3000,"BAN-01451")=0,"","BAN-01451")</f>
        <v/>
      </c>
      <c r="B1594" s="85" t="str">
        <f>IF(A1594="","",IF(INDEX(EXTRATO!$C$2:$C$3000,MATCH($A1594,EXTRATO!$A$2:$A$3000,0))="","",INDEX(EXTRATO!$C$2:$C$3000,MATCH($A1594,EXTRATO!$A$2:$A$3000,0))))</f>
        <v/>
      </c>
      <c r="C1594" s="86" t="str">
        <f t="shared" si="36"/>
        <v/>
      </c>
      <c r="D1594" s="81"/>
      <c r="E1594" s="79"/>
      <c r="F1594" s="80" t="str">
        <f>IF(A1594="","",SUMIF(EXTRATO!$A$2:$A$3000,$A1594,EXTRATO!$J$2:$J$3000)+SUMIF(EXTRATO!$A$2:$A$3000,$A1594,EXTRATO!$K$2:$K$3000)+SUMIF(EXTRATO!$A$2:$A$3000,$A1594,EXTRATO!$L$2:$L$3000)+SUMIF(EXTRATO!$A$2:$A$3000,$A1594,EXTRATO!$M$2:$M$3000))</f>
        <v/>
      </c>
      <c r="G1594" s="81" t="str">
        <f>IF(A1594="","",IF(INDEX(EXTRATO!$G$2:$G$3000,MATCH($A1594,EXTRATO!$A$2:$A$3000,0))="","",INDEX(EXTRATO!$G$2:$G$3000,MATCH($A1594,EXTRATO!$A$2:$A$3000,0))))</f>
        <v/>
      </c>
      <c r="H1594" s="86" t="str">
        <f>IF(A1594="","",IF(INDEX(EXTRATO!$F$2:$F$3000,MATCH($A1594,EXTRATO!$A$2:$A$3000,0))="","",INDEX(EXTRATO!$F$2:$F$3000,MATCH($A1594,EXTRATO!$A$2:$A$3000,0))))</f>
        <v/>
      </c>
      <c r="I1594" s="88" t="str">
        <f>IF(A1594="","",IF(INDEX(EXTRATO!$H$2:$H$3000,MATCH($A1594,EXTRATO!$A$2:$A$3000,0))="","",INDEX(EXTRATO!$H$2:$H$3000,MATCH($A1594,EXTRATO!$A$2:$A$3000,0))))</f>
        <v/>
      </c>
      <c r="J1594" s="86" t="str">
        <f t="shared" si="37"/>
        <v/>
      </c>
      <c r="K1594" s="86" t="str">
        <f>IF(AND(A1594="",D1594="",E1594="",F1594=""),"",IF(D1594="","SEM CATEGORIA",IF(E1594="","SEM SUBCATEGORIA",IF(COUNTIFS(CADASTROS!$L$7:$L$93,D1594,CADASTROS!$D$7:$D$93,E1594)=0,"INCOMPATÍVEL","OK"))))</f>
        <v/>
      </c>
    </row>
    <row r="1595" spans="1:11" ht="30" hidden="1" customHeight="1" x14ac:dyDescent="0.25">
      <c r="A1595" s="86" t="str">
        <f>IF(COUNTIF(EXTRATO!$A$2:$A$3000,"BAN-01452")=0,"","BAN-01452")</f>
        <v/>
      </c>
      <c r="B1595" s="85" t="str">
        <f>IF(A1595="","",IF(INDEX(EXTRATO!$C$2:$C$3000,MATCH($A1595,EXTRATO!$A$2:$A$3000,0))="","",INDEX(EXTRATO!$C$2:$C$3000,MATCH($A1595,EXTRATO!$A$2:$A$3000,0))))</f>
        <v/>
      </c>
      <c r="C1595" s="86" t="str">
        <f t="shared" si="36"/>
        <v/>
      </c>
      <c r="D1595" s="81"/>
      <c r="E1595" s="79"/>
      <c r="F1595" s="80" t="str">
        <f>IF(A1595="","",SUMIF(EXTRATO!$A$2:$A$3000,$A1595,EXTRATO!$J$2:$J$3000)+SUMIF(EXTRATO!$A$2:$A$3000,$A1595,EXTRATO!$K$2:$K$3000)+SUMIF(EXTRATO!$A$2:$A$3000,$A1595,EXTRATO!$L$2:$L$3000)+SUMIF(EXTRATO!$A$2:$A$3000,$A1595,EXTRATO!$M$2:$M$3000))</f>
        <v/>
      </c>
      <c r="G1595" s="81" t="str">
        <f>IF(A1595="","",IF(INDEX(EXTRATO!$G$2:$G$3000,MATCH($A1595,EXTRATO!$A$2:$A$3000,0))="","",INDEX(EXTRATO!$G$2:$G$3000,MATCH($A1595,EXTRATO!$A$2:$A$3000,0))))</f>
        <v/>
      </c>
      <c r="H1595" s="86" t="str">
        <f>IF(A1595="","",IF(INDEX(EXTRATO!$F$2:$F$3000,MATCH($A1595,EXTRATO!$A$2:$A$3000,0))="","",INDEX(EXTRATO!$F$2:$F$3000,MATCH($A1595,EXTRATO!$A$2:$A$3000,0))))</f>
        <v/>
      </c>
      <c r="I1595" s="88" t="str">
        <f>IF(A1595="","",IF(INDEX(EXTRATO!$H$2:$H$3000,MATCH($A1595,EXTRATO!$A$2:$A$3000,0))="","",INDEX(EXTRATO!$H$2:$H$3000,MATCH($A1595,EXTRATO!$A$2:$A$3000,0))))</f>
        <v/>
      </c>
      <c r="J1595" s="86" t="str">
        <f t="shared" si="37"/>
        <v/>
      </c>
      <c r="K1595" s="86" t="str">
        <f>IF(AND(A1595="",D1595="",E1595="",F1595=""),"",IF(D1595="","SEM CATEGORIA",IF(E1595="","SEM SUBCATEGORIA",IF(COUNTIFS(CADASTROS!$L$7:$L$93,D1595,CADASTROS!$D$7:$D$93,E1595)=0,"INCOMPATÍVEL","OK"))))</f>
        <v/>
      </c>
    </row>
    <row r="1596" spans="1:11" ht="30" hidden="1" customHeight="1" x14ac:dyDescent="0.25">
      <c r="A1596" s="86" t="str">
        <f>IF(COUNTIF(EXTRATO!$A$2:$A$3000,"BAN-01453")=0,"","BAN-01453")</f>
        <v/>
      </c>
      <c r="B1596" s="85" t="str">
        <f>IF(A1596="","",IF(INDEX(EXTRATO!$C$2:$C$3000,MATCH($A1596,EXTRATO!$A$2:$A$3000,0))="","",INDEX(EXTRATO!$C$2:$C$3000,MATCH($A1596,EXTRATO!$A$2:$A$3000,0))))</f>
        <v/>
      </c>
      <c r="C1596" s="86" t="str">
        <f t="shared" si="36"/>
        <v/>
      </c>
      <c r="D1596" s="81"/>
      <c r="E1596" s="79"/>
      <c r="F1596" s="80" t="str">
        <f>IF(A1596="","",SUMIF(EXTRATO!$A$2:$A$3000,$A1596,EXTRATO!$J$2:$J$3000)+SUMIF(EXTRATO!$A$2:$A$3000,$A1596,EXTRATO!$K$2:$K$3000)+SUMIF(EXTRATO!$A$2:$A$3000,$A1596,EXTRATO!$L$2:$L$3000)+SUMIF(EXTRATO!$A$2:$A$3000,$A1596,EXTRATO!$M$2:$M$3000))</f>
        <v/>
      </c>
      <c r="G1596" s="81" t="str">
        <f>IF(A1596="","",IF(INDEX(EXTRATO!$G$2:$G$3000,MATCH($A1596,EXTRATO!$A$2:$A$3000,0))="","",INDEX(EXTRATO!$G$2:$G$3000,MATCH($A1596,EXTRATO!$A$2:$A$3000,0))))</f>
        <v/>
      </c>
      <c r="H1596" s="86" t="str">
        <f>IF(A1596="","",IF(INDEX(EXTRATO!$F$2:$F$3000,MATCH($A1596,EXTRATO!$A$2:$A$3000,0))="","",INDEX(EXTRATO!$F$2:$F$3000,MATCH($A1596,EXTRATO!$A$2:$A$3000,0))))</f>
        <v/>
      </c>
      <c r="I1596" s="88" t="str">
        <f>IF(A1596="","",IF(INDEX(EXTRATO!$H$2:$H$3000,MATCH($A1596,EXTRATO!$A$2:$A$3000,0))="","",INDEX(EXTRATO!$H$2:$H$3000,MATCH($A1596,EXTRATO!$A$2:$A$3000,0))))</f>
        <v/>
      </c>
      <c r="J1596" s="86" t="str">
        <f t="shared" si="37"/>
        <v/>
      </c>
      <c r="K1596" s="86" t="str">
        <f>IF(AND(A1596="",D1596="",E1596="",F1596=""),"",IF(D1596="","SEM CATEGORIA",IF(E1596="","SEM SUBCATEGORIA",IF(COUNTIFS(CADASTROS!$L$7:$L$93,D1596,CADASTROS!$D$7:$D$93,E1596)=0,"INCOMPATÍVEL","OK"))))</f>
        <v/>
      </c>
    </row>
    <row r="1597" spans="1:11" ht="30" hidden="1" customHeight="1" x14ac:dyDescent="0.25">
      <c r="A1597" s="86" t="str">
        <f>IF(COUNTIF(EXTRATO!$A$2:$A$3000,"BAN-01454")=0,"","BAN-01454")</f>
        <v/>
      </c>
      <c r="B1597" s="85" t="str">
        <f>IF(A1597="","",IF(INDEX(EXTRATO!$C$2:$C$3000,MATCH($A1597,EXTRATO!$A$2:$A$3000,0))="","",INDEX(EXTRATO!$C$2:$C$3000,MATCH($A1597,EXTRATO!$A$2:$A$3000,0))))</f>
        <v/>
      </c>
      <c r="C1597" s="86" t="str">
        <f t="shared" si="36"/>
        <v/>
      </c>
      <c r="D1597" s="81"/>
      <c r="E1597" s="79"/>
      <c r="F1597" s="80" t="str">
        <f>IF(A1597="","",SUMIF(EXTRATO!$A$2:$A$3000,$A1597,EXTRATO!$J$2:$J$3000)+SUMIF(EXTRATO!$A$2:$A$3000,$A1597,EXTRATO!$K$2:$K$3000)+SUMIF(EXTRATO!$A$2:$A$3000,$A1597,EXTRATO!$L$2:$L$3000)+SUMIF(EXTRATO!$A$2:$A$3000,$A1597,EXTRATO!$M$2:$M$3000))</f>
        <v/>
      </c>
      <c r="G1597" s="81" t="str">
        <f>IF(A1597="","",IF(INDEX(EXTRATO!$G$2:$G$3000,MATCH($A1597,EXTRATO!$A$2:$A$3000,0))="","",INDEX(EXTRATO!$G$2:$G$3000,MATCH($A1597,EXTRATO!$A$2:$A$3000,0))))</f>
        <v/>
      </c>
      <c r="H1597" s="86" t="str">
        <f>IF(A1597="","",IF(INDEX(EXTRATO!$F$2:$F$3000,MATCH($A1597,EXTRATO!$A$2:$A$3000,0))="","",INDEX(EXTRATO!$F$2:$F$3000,MATCH($A1597,EXTRATO!$A$2:$A$3000,0))))</f>
        <v/>
      </c>
      <c r="I1597" s="88" t="str">
        <f>IF(A1597="","",IF(INDEX(EXTRATO!$H$2:$H$3000,MATCH($A1597,EXTRATO!$A$2:$A$3000,0))="","",INDEX(EXTRATO!$H$2:$H$3000,MATCH($A1597,EXTRATO!$A$2:$A$3000,0))))</f>
        <v/>
      </c>
      <c r="J1597" s="86" t="str">
        <f t="shared" si="37"/>
        <v/>
      </c>
      <c r="K1597" s="86" t="str">
        <f>IF(AND(A1597="",D1597="",E1597="",F1597=""),"",IF(D1597="","SEM CATEGORIA",IF(E1597="","SEM SUBCATEGORIA",IF(COUNTIFS(CADASTROS!$L$7:$L$93,D1597,CADASTROS!$D$7:$D$93,E1597)=0,"INCOMPATÍVEL","OK"))))</f>
        <v/>
      </c>
    </row>
    <row r="1598" spans="1:11" ht="30" hidden="1" customHeight="1" x14ac:dyDescent="0.25">
      <c r="A1598" s="86" t="str">
        <f>IF(COUNTIF(EXTRATO!$A$2:$A$3000,"BAN-01455")=0,"","BAN-01455")</f>
        <v/>
      </c>
      <c r="B1598" s="85" t="str">
        <f>IF(A1598="","",IF(INDEX(EXTRATO!$C$2:$C$3000,MATCH($A1598,EXTRATO!$A$2:$A$3000,0))="","",INDEX(EXTRATO!$C$2:$C$3000,MATCH($A1598,EXTRATO!$A$2:$A$3000,0))))</f>
        <v/>
      </c>
      <c r="C1598" s="86" t="str">
        <f t="shared" si="36"/>
        <v/>
      </c>
      <c r="D1598" s="81"/>
      <c r="E1598" s="79"/>
      <c r="F1598" s="80" t="str">
        <f>IF(A1598="","",SUMIF(EXTRATO!$A$2:$A$3000,$A1598,EXTRATO!$J$2:$J$3000)+SUMIF(EXTRATO!$A$2:$A$3000,$A1598,EXTRATO!$K$2:$K$3000)+SUMIF(EXTRATO!$A$2:$A$3000,$A1598,EXTRATO!$L$2:$L$3000)+SUMIF(EXTRATO!$A$2:$A$3000,$A1598,EXTRATO!$M$2:$M$3000))</f>
        <v/>
      </c>
      <c r="G1598" s="81" t="str">
        <f>IF(A1598="","",IF(INDEX(EXTRATO!$G$2:$G$3000,MATCH($A1598,EXTRATO!$A$2:$A$3000,0))="","",INDEX(EXTRATO!$G$2:$G$3000,MATCH($A1598,EXTRATO!$A$2:$A$3000,0))))</f>
        <v/>
      </c>
      <c r="H1598" s="86" t="str">
        <f>IF(A1598="","",IF(INDEX(EXTRATO!$F$2:$F$3000,MATCH($A1598,EXTRATO!$A$2:$A$3000,0))="","",INDEX(EXTRATO!$F$2:$F$3000,MATCH($A1598,EXTRATO!$A$2:$A$3000,0))))</f>
        <v/>
      </c>
      <c r="I1598" s="88" t="str">
        <f>IF(A1598="","",IF(INDEX(EXTRATO!$H$2:$H$3000,MATCH($A1598,EXTRATO!$A$2:$A$3000,0))="","",INDEX(EXTRATO!$H$2:$H$3000,MATCH($A1598,EXTRATO!$A$2:$A$3000,0))))</f>
        <v/>
      </c>
      <c r="J1598" s="86" t="str">
        <f t="shared" si="37"/>
        <v/>
      </c>
      <c r="K1598" s="86" t="str">
        <f>IF(AND(A1598="",D1598="",E1598="",F1598=""),"",IF(D1598="","SEM CATEGORIA",IF(E1598="","SEM SUBCATEGORIA",IF(COUNTIFS(CADASTROS!$L$7:$L$93,D1598,CADASTROS!$D$7:$D$93,E1598)=0,"INCOMPATÍVEL","OK"))))</f>
        <v/>
      </c>
    </row>
    <row r="1599" spans="1:11" ht="30" hidden="1" customHeight="1" x14ac:dyDescent="0.25">
      <c r="A1599" s="86" t="str">
        <f>IF(COUNTIF(EXTRATO!$A$2:$A$3000,"BAN-01456")=0,"","BAN-01456")</f>
        <v/>
      </c>
      <c r="B1599" s="85" t="str">
        <f>IF(A1599="","",IF(INDEX(EXTRATO!$C$2:$C$3000,MATCH($A1599,EXTRATO!$A$2:$A$3000,0))="","",INDEX(EXTRATO!$C$2:$C$3000,MATCH($A1599,EXTRATO!$A$2:$A$3000,0))))</f>
        <v/>
      </c>
      <c r="C1599" s="86" t="str">
        <f t="shared" si="36"/>
        <v/>
      </c>
      <c r="D1599" s="81"/>
      <c r="E1599" s="79"/>
      <c r="F1599" s="80" t="str">
        <f>IF(A1599="","",SUMIF(EXTRATO!$A$2:$A$3000,$A1599,EXTRATO!$J$2:$J$3000)+SUMIF(EXTRATO!$A$2:$A$3000,$A1599,EXTRATO!$K$2:$K$3000)+SUMIF(EXTRATO!$A$2:$A$3000,$A1599,EXTRATO!$L$2:$L$3000)+SUMIF(EXTRATO!$A$2:$A$3000,$A1599,EXTRATO!$M$2:$M$3000))</f>
        <v/>
      </c>
      <c r="G1599" s="81" t="str">
        <f>IF(A1599="","",IF(INDEX(EXTRATO!$G$2:$G$3000,MATCH($A1599,EXTRATO!$A$2:$A$3000,0))="","",INDEX(EXTRATO!$G$2:$G$3000,MATCH($A1599,EXTRATO!$A$2:$A$3000,0))))</f>
        <v/>
      </c>
      <c r="H1599" s="86" t="str">
        <f>IF(A1599="","",IF(INDEX(EXTRATO!$F$2:$F$3000,MATCH($A1599,EXTRATO!$A$2:$A$3000,0))="","",INDEX(EXTRATO!$F$2:$F$3000,MATCH($A1599,EXTRATO!$A$2:$A$3000,0))))</f>
        <v/>
      </c>
      <c r="I1599" s="88" t="str">
        <f>IF(A1599="","",IF(INDEX(EXTRATO!$H$2:$H$3000,MATCH($A1599,EXTRATO!$A$2:$A$3000,0))="","",INDEX(EXTRATO!$H$2:$H$3000,MATCH($A1599,EXTRATO!$A$2:$A$3000,0))))</f>
        <v/>
      </c>
      <c r="J1599" s="86" t="str">
        <f t="shared" si="37"/>
        <v/>
      </c>
      <c r="K1599" s="86" t="str">
        <f>IF(AND(A1599="",D1599="",E1599="",F1599=""),"",IF(D1599="","SEM CATEGORIA",IF(E1599="","SEM SUBCATEGORIA",IF(COUNTIFS(CADASTROS!$L$7:$L$93,D1599,CADASTROS!$D$7:$D$93,E1599)=0,"INCOMPATÍVEL","OK"))))</f>
        <v/>
      </c>
    </row>
    <row r="1600" spans="1:11" ht="30" hidden="1" customHeight="1" x14ac:dyDescent="0.25">
      <c r="A1600" s="86" t="str">
        <f>IF(COUNTIF(EXTRATO!$A$2:$A$3000,"BAN-01457")=0,"","BAN-01457")</f>
        <v/>
      </c>
      <c r="B1600" s="85" t="str">
        <f>IF(A1600="","",IF(INDEX(EXTRATO!$C$2:$C$3000,MATCH($A1600,EXTRATO!$A$2:$A$3000,0))="","",INDEX(EXTRATO!$C$2:$C$3000,MATCH($A1600,EXTRATO!$A$2:$A$3000,0))))</f>
        <v/>
      </c>
      <c r="C1600" s="86" t="str">
        <f t="shared" si="36"/>
        <v/>
      </c>
      <c r="D1600" s="81"/>
      <c r="E1600" s="79"/>
      <c r="F1600" s="80" t="str">
        <f>IF(A1600="","",SUMIF(EXTRATO!$A$2:$A$3000,$A1600,EXTRATO!$J$2:$J$3000)+SUMIF(EXTRATO!$A$2:$A$3000,$A1600,EXTRATO!$K$2:$K$3000)+SUMIF(EXTRATO!$A$2:$A$3000,$A1600,EXTRATO!$L$2:$L$3000)+SUMIF(EXTRATO!$A$2:$A$3000,$A1600,EXTRATO!$M$2:$M$3000))</f>
        <v/>
      </c>
      <c r="G1600" s="81" t="str">
        <f>IF(A1600="","",IF(INDEX(EXTRATO!$G$2:$G$3000,MATCH($A1600,EXTRATO!$A$2:$A$3000,0))="","",INDEX(EXTRATO!$G$2:$G$3000,MATCH($A1600,EXTRATO!$A$2:$A$3000,0))))</f>
        <v/>
      </c>
      <c r="H1600" s="86" t="str">
        <f>IF(A1600="","",IF(INDEX(EXTRATO!$F$2:$F$3000,MATCH($A1600,EXTRATO!$A$2:$A$3000,0))="","",INDEX(EXTRATO!$F$2:$F$3000,MATCH($A1600,EXTRATO!$A$2:$A$3000,0))))</f>
        <v/>
      </c>
      <c r="I1600" s="88" t="str">
        <f>IF(A1600="","",IF(INDEX(EXTRATO!$H$2:$H$3000,MATCH($A1600,EXTRATO!$A$2:$A$3000,0))="","",INDEX(EXTRATO!$H$2:$H$3000,MATCH($A1600,EXTRATO!$A$2:$A$3000,0))))</f>
        <v/>
      </c>
      <c r="J1600" s="86" t="str">
        <f t="shared" si="37"/>
        <v/>
      </c>
      <c r="K1600" s="86" t="str">
        <f>IF(AND(A1600="",D1600="",E1600="",F1600=""),"",IF(D1600="","SEM CATEGORIA",IF(E1600="","SEM SUBCATEGORIA",IF(COUNTIFS(CADASTROS!$L$7:$L$93,D1600,CADASTROS!$D$7:$D$93,E1600)=0,"INCOMPATÍVEL","OK"))))</f>
        <v/>
      </c>
    </row>
    <row r="1601" spans="1:11" ht="30" hidden="1" customHeight="1" x14ac:dyDescent="0.25">
      <c r="A1601" s="86" t="str">
        <f>IF(COUNTIF(EXTRATO!$A$2:$A$3000,"BAN-01458")=0,"","BAN-01458")</f>
        <v/>
      </c>
      <c r="B1601" s="85" t="str">
        <f>IF(A1601="","",IF(INDEX(EXTRATO!$C$2:$C$3000,MATCH($A1601,EXTRATO!$A$2:$A$3000,0))="","",INDEX(EXTRATO!$C$2:$C$3000,MATCH($A1601,EXTRATO!$A$2:$A$3000,0))))</f>
        <v/>
      </c>
      <c r="C1601" s="86" t="str">
        <f t="shared" si="36"/>
        <v/>
      </c>
      <c r="D1601" s="81"/>
      <c r="E1601" s="79"/>
      <c r="F1601" s="80" t="str">
        <f>IF(A1601="","",SUMIF(EXTRATO!$A$2:$A$3000,$A1601,EXTRATO!$J$2:$J$3000)+SUMIF(EXTRATO!$A$2:$A$3000,$A1601,EXTRATO!$K$2:$K$3000)+SUMIF(EXTRATO!$A$2:$A$3000,$A1601,EXTRATO!$L$2:$L$3000)+SUMIF(EXTRATO!$A$2:$A$3000,$A1601,EXTRATO!$M$2:$M$3000))</f>
        <v/>
      </c>
      <c r="G1601" s="81" t="str">
        <f>IF(A1601="","",IF(INDEX(EXTRATO!$G$2:$G$3000,MATCH($A1601,EXTRATO!$A$2:$A$3000,0))="","",INDEX(EXTRATO!$G$2:$G$3000,MATCH($A1601,EXTRATO!$A$2:$A$3000,0))))</f>
        <v/>
      </c>
      <c r="H1601" s="86" t="str">
        <f>IF(A1601="","",IF(INDEX(EXTRATO!$F$2:$F$3000,MATCH($A1601,EXTRATO!$A$2:$A$3000,0))="","",INDEX(EXTRATO!$F$2:$F$3000,MATCH($A1601,EXTRATO!$A$2:$A$3000,0))))</f>
        <v/>
      </c>
      <c r="I1601" s="88" t="str">
        <f>IF(A1601="","",IF(INDEX(EXTRATO!$H$2:$H$3000,MATCH($A1601,EXTRATO!$A$2:$A$3000,0))="","",INDEX(EXTRATO!$H$2:$H$3000,MATCH($A1601,EXTRATO!$A$2:$A$3000,0))))</f>
        <v/>
      </c>
      <c r="J1601" s="86" t="str">
        <f t="shared" si="37"/>
        <v/>
      </c>
      <c r="K1601" s="86" t="str">
        <f>IF(AND(A1601="",D1601="",E1601="",F1601=""),"",IF(D1601="","SEM CATEGORIA",IF(E1601="","SEM SUBCATEGORIA",IF(COUNTIFS(CADASTROS!$L$7:$L$93,D1601,CADASTROS!$D$7:$D$93,E1601)=0,"INCOMPATÍVEL","OK"))))</f>
        <v/>
      </c>
    </row>
    <row r="1602" spans="1:11" ht="30" hidden="1" customHeight="1" x14ac:dyDescent="0.25">
      <c r="A1602" s="86" t="str">
        <f>IF(COUNTIF(EXTRATO!$A$2:$A$3000,"BAN-01459")=0,"","BAN-01459")</f>
        <v/>
      </c>
      <c r="B1602" s="85" t="str">
        <f>IF(A1602="","",IF(INDEX(EXTRATO!$C$2:$C$3000,MATCH($A1602,EXTRATO!$A$2:$A$3000,0))="","",INDEX(EXTRATO!$C$2:$C$3000,MATCH($A1602,EXTRATO!$A$2:$A$3000,0))))</f>
        <v/>
      </c>
      <c r="C1602" s="86" t="str">
        <f t="shared" si="36"/>
        <v/>
      </c>
      <c r="D1602" s="81"/>
      <c r="E1602" s="79"/>
      <c r="F1602" s="80" t="str">
        <f>IF(A1602="","",SUMIF(EXTRATO!$A$2:$A$3000,$A1602,EXTRATO!$J$2:$J$3000)+SUMIF(EXTRATO!$A$2:$A$3000,$A1602,EXTRATO!$K$2:$K$3000)+SUMIF(EXTRATO!$A$2:$A$3000,$A1602,EXTRATO!$L$2:$L$3000)+SUMIF(EXTRATO!$A$2:$A$3000,$A1602,EXTRATO!$M$2:$M$3000))</f>
        <v/>
      </c>
      <c r="G1602" s="81" t="str">
        <f>IF(A1602="","",IF(INDEX(EXTRATO!$G$2:$G$3000,MATCH($A1602,EXTRATO!$A$2:$A$3000,0))="","",INDEX(EXTRATO!$G$2:$G$3000,MATCH($A1602,EXTRATO!$A$2:$A$3000,0))))</f>
        <v/>
      </c>
      <c r="H1602" s="86" t="str">
        <f>IF(A1602="","",IF(INDEX(EXTRATO!$F$2:$F$3000,MATCH($A1602,EXTRATO!$A$2:$A$3000,0))="","",INDEX(EXTRATO!$F$2:$F$3000,MATCH($A1602,EXTRATO!$A$2:$A$3000,0))))</f>
        <v/>
      </c>
      <c r="I1602" s="88" t="str">
        <f>IF(A1602="","",IF(INDEX(EXTRATO!$H$2:$H$3000,MATCH($A1602,EXTRATO!$A$2:$A$3000,0))="","",INDEX(EXTRATO!$H$2:$H$3000,MATCH($A1602,EXTRATO!$A$2:$A$3000,0))))</f>
        <v/>
      </c>
      <c r="J1602" s="86" t="str">
        <f t="shared" si="37"/>
        <v/>
      </c>
      <c r="K1602" s="86" t="str">
        <f>IF(AND(A1602="",D1602="",E1602="",F1602=""),"",IF(D1602="","SEM CATEGORIA",IF(E1602="","SEM SUBCATEGORIA",IF(COUNTIFS(CADASTROS!$L$7:$L$93,D1602,CADASTROS!$D$7:$D$93,E1602)=0,"INCOMPATÍVEL","OK"))))</f>
        <v/>
      </c>
    </row>
    <row r="1603" spans="1:11" ht="30" hidden="1" customHeight="1" x14ac:dyDescent="0.25">
      <c r="A1603" s="86" t="str">
        <f>IF(COUNTIF(EXTRATO!$A$2:$A$3000,"BAN-01460")=0,"","BAN-01460")</f>
        <v/>
      </c>
      <c r="B1603" s="85" t="str">
        <f>IF(A1603="","",IF(INDEX(EXTRATO!$C$2:$C$3000,MATCH($A1603,EXTRATO!$A$2:$A$3000,0))="","",INDEX(EXTRATO!$C$2:$C$3000,MATCH($A1603,EXTRATO!$A$2:$A$3000,0))))</f>
        <v/>
      </c>
      <c r="C1603" s="86" t="str">
        <f t="shared" si="36"/>
        <v/>
      </c>
      <c r="D1603" s="81"/>
      <c r="E1603" s="79"/>
      <c r="F1603" s="80" t="str">
        <f>IF(A1603="","",SUMIF(EXTRATO!$A$2:$A$3000,$A1603,EXTRATO!$J$2:$J$3000)+SUMIF(EXTRATO!$A$2:$A$3000,$A1603,EXTRATO!$K$2:$K$3000)+SUMIF(EXTRATO!$A$2:$A$3000,$A1603,EXTRATO!$L$2:$L$3000)+SUMIF(EXTRATO!$A$2:$A$3000,$A1603,EXTRATO!$M$2:$M$3000))</f>
        <v/>
      </c>
      <c r="G1603" s="81" t="str">
        <f>IF(A1603="","",IF(INDEX(EXTRATO!$G$2:$G$3000,MATCH($A1603,EXTRATO!$A$2:$A$3000,0))="","",INDEX(EXTRATO!$G$2:$G$3000,MATCH($A1603,EXTRATO!$A$2:$A$3000,0))))</f>
        <v/>
      </c>
      <c r="H1603" s="86" t="str">
        <f>IF(A1603="","",IF(INDEX(EXTRATO!$F$2:$F$3000,MATCH($A1603,EXTRATO!$A$2:$A$3000,0))="","",INDEX(EXTRATO!$F$2:$F$3000,MATCH($A1603,EXTRATO!$A$2:$A$3000,0))))</f>
        <v/>
      </c>
      <c r="I1603" s="88" t="str">
        <f>IF(A1603="","",IF(INDEX(EXTRATO!$H$2:$H$3000,MATCH($A1603,EXTRATO!$A$2:$A$3000,0))="","",INDEX(EXTRATO!$H$2:$H$3000,MATCH($A1603,EXTRATO!$A$2:$A$3000,0))))</f>
        <v/>
      </c>
      <c r="J1603" s="86" t="str">
        <f t="shared" si="37"/>
        <v/>
      </c>
      <c r="K1603" s="86" t="str">
        <f>IF(AND(A1603="",D1603="",E1603="",F1603=""),"",IF(D1603="","SEM CATEGORIA",IF(E1603="","SEM SUBCATEGORIA",IF(COUNTIFS(CADASTROS!$L$7:$L$93,D1603,CADASTROS!$D$7:$D$93,E1603)=0,"INCOMPATÍVEL","OK"))))</f>
        <v/>
      </c>
    </row>
    <row r="1604" spans="1:11" ht="30" hidden="1" customHeight="1" x14ac:dyDescent="0.25">
      <c r="A1604" s="86" t="str">
        <f>IF(COUNTIF(EXTRATO!$A$2:$A$3000,"BAN-01461")=0,"","BAN-01461")</f>
        <v/>
      </c>
      <c r="B1604" s="85" t="str">
        <f>IF(A1604="","",IF(INDEX(EXTRATO!$C$2:$C$3000,MATCH($A1604,EXTRATO!$A$2:$A$3000,0))="","",INDEX(EXTRATO!$C$2:$C$3000,MATCH($A1604,EXTRATO!$A$2:$A$3000,0))))</f>
        <v/>
      </c>
      <c r="C1604" s="86" t="str">
        <f t="shared" si="36"/>
        <v/>
      </c>
      <c r="D1604" s="81"/>
      <c r="E1604" s="79"/>
      <c r="F1604" s="80" t="str">
        <f>IF(A1604="","",SUMIF(EXTRATO!$A$2:$A$3000,$A1604,EXTRATO!$J$2:$J$3000)+SUMIF(EXTRATO!$A$2:$A$3000,$A1604,EXTRATO!$K$2:$K$3000)+SUMIF(EXTRATO!$A$2:$A$3000,$A1604,EXTRATO!$L$2:$L$3000)+SUMIF(EXTRATO!$A$2:$A$3000,$A1604,EXTRATO!$M$2:$M$3000))</f>
        <v/>
      </c>
      <c r="G1604" s="81" t="str">
        <f>IF(A1604="","",IF(INDEX(EXTRATO!$G$2:$G$3000,MATCH($A1604,EXTRATO!$A$2:$A$3000,0))="","",INDEX(EXTRATO!$G$2:$G$3000,MATCH($A1604,EXTRATO!$A$2:$A$3000,0))))</f>
        <v/>
      </c>
      <c r="H1604" s="86" t="str">
        <f>IF(A1604="","",IF(INDEX(EXTRATO!$F$2:$F$3000,MATCH($A1604,EXTRATO!$A$2:$A$3000,0))="","",INDEX(EXTRATO!$F$2:$F$3000,MATCH($A1604,EXTRATO!$A$2:$A$3000,0))))</f>
        <v/>
      </c>
      <c r="I1604" s="88" t="str">
        <f>IF(A1604="","",IF(INDEX(EXTRATO!$H$2:$H$3000,MATCH($A1604,EXTRATO!$A$2:$A$3000,0))="","",INDEX(EXTRATO!$H$2:$H$3000,MATCH($A1604,EXTRATO!$A$2:$A$3000,0))))</f>
        <v/>
      </c>
      <c r="J1604" s="86" t="str">
        <f t="shared" si="37"/>
        <v/>
      </c>
      <c r="K1604" s="86" t="str">
        <f>IF(AND(A1604="",D1604="",E1604="",F1604=""),"",IF(D1604="","SEM CATEGORIA",IF(E1604="","SEM SUBCATEGORIA",IF(COUNTIFS(CADASTROS!$L$7:$L$93,D1604,CADASTROS!$D$7:$D$93,E1604)=0,"INCOMPATÍVEL","OK"))))</f>
        <v/>
      </c>
    </row>
    <row r="1605" spans="1:11" ht="30" hidden="1" customHeight="1" x14ac:dyDescent="0.25">
      <c r="A1605" s="86" t="str">
        <f>IF(COUNTIF(EXTRATO!$A$2:$A$3000,"BAN-01462")=0,"","BAN-01462")</f>
        <v/>
      </c>
      <c r="B1605" s="85" t="str">
        <f>IF(A1605="","",IF(INDEX(EXTRATO!$C$2:$C$3000,MATCH($A1605,EXTRATO!$A$2:$A$3000,0))="","",INDEX(EXTRATO!$C$2:$C$3000,MATCH($A1605,EXTRATO!$A$2:$A$3000,0))))</f>
        <v/>
      </c>
      <c r="C1605" s="86" t="str">
        <f t="shared" si="36"/>
        <v/>
      </c>
      <c r="D1605" s="81"/>
      <c r="E1605" s="79"/>
      <c r="F1605" s="80" t="str">
        <f>IF(A1605="","",SUMIF(EXTRATO!$A$2:$A$3000,$A1605,EXTRATO!$J$2:$J$3000)+SUMIF(EXTRATO!$A$2:$A$3000,$A1605,EXTRATO!$K$2:$K$3000)+SUMIF(EXTRATO!$A$2:$A$3000,$A1605,EXTRATO!$L$2:$L$3000)+SUMIF(EXTRATO!$A$2:$A$3000,$A1605,EXTRATO!$M$2:$M$3000))</f>
        <v/>
      </c>
      <c r="G1605" s="81" t="str">
        <f>IF(A1605="","",IF(INDEX(EXTRATO!$G$2:$G$3000,MATCH($A1605,EXTRATO!$A$2:$A$3000,0))="","",INDEX(EXTRATO!$G$2:$G$3000,MATCH($A1605,EXTRATO!$A$2:$A$3000,0))))</f>
        <v/>
      </c>
      <c r="H1605" s="86" t="str">
        <f>IF(A1605="","",IF(INDEX(EXTRATO!$F$2:$F$3000,MATCH($A1605,EXTRATO!$A$2:$A$3000,0))="","",INDEX(EXTRATO!$F$2:$F$3000,MATCH($A1605,EXTRATO!$A$2:$A$3000,0))))</f>
        <v/>
      </c>
      <c r="I1605" s="88" t="str">
        <f>IF(A1605="","",IF(INDEX(EXTRATO!$H$2:$H$3000,MATCH($A1605,EXTRATO!$A$2:$A$3000,0))="","",INDEX(EXTRATO!$H$2:$H$3000,MATCH($A1605,EXTRATO!$A$2:$A$3000,0))))</f>
        <v/>
      </c>
      <c r="J1605" s="86" t="str">
        <f t="shared" si="37"/>
        <v/>
      </c>
      <c r="K1605" s="86" t="str">
        <f>IF(AND(A1605="",D1605="",E1605="",F1605=""),"",IF(D1605="","SEM CATEGORIA",IF(E1605="","SEM SUBCATEGORIA",IF(COUNTIFS(CADASTROS!$L$7:$L$93,D1605,CADASTROS!$D$7:$D$93,E1605)=0,"INCOMPATÍVEL","OK"))))</f>
        <v/>
      </c>
    </row>
    <row r="1606" spans="1:11" ht="30" hidden="1" customHeight="1" x14ac:dyDescent="0.25">
      <c r="A1606" s="86" t="str">
        <f>IF(COUNTIF(EXTRATO!$A$2:$A$3000,"BAN-01463")=0,"","BAN-01463")</f>
        <v/>
      </c>
      <c r="B1606" s="85" t="str">
        <f>IF(A1606="","",IF(INDEX(EXTRATO!$C$2:$C$3000,MATCH($A1606,EXTRATO!$A$2:$A$3000,0))="","",INDEX(EXTRATO!$C$2:$C$3000,MATCH($A1606,EXTRATO!$A$2:$A$3000,0))))</f>
        <v/>
      </c>
      <c r="C1606" s="86" t="str">
        <f t="shared" si="36"/>
        <v/>
      </c>
      <c r="D1606" s="81"/>
      <c r="E1606" s="79"/>
      <c r="F1606" s="80" t="str">
        <f>IF(A1606="","",SUMIF(EXTRATO!$A$2:$A$3000,$A1606,EXTRATO!$J$2:$J$3000)+SUMIF(EXTRATO!$A$2:$A$3000,$A1606,EXTRATO!$K$2:$K$3000)+SUMIF(EXTRATO!$A$2:$A$3000,$A1606,EXTRATO!$L$2:$L$3000)+SUMIF(EXTRATO!$A$2:$A$3000,$A1606,EXTRATO!$M$2:$M$3000))</f>
        <v/>
      </c>
      <c r="G1606" s="81" t="str">
        <f>IF(A1606="","",IF(INDEX(EXTRATO!$G$2:$G$3000,MATCH($A1606,EXTRATO!$A$2:$A$3000,0))="","",INDEX(EXTRATO!$G$2:$G$3000,MATCH($A1606,EXTRATO!$A$2:$A$3000,0))))</f>
        <v/>
      </c>
      <c r="H1606" s="86" t="str">
        <f>IF(A1606="","",IF(INDEX(EXTRATO!$F$2:$F$3000,MATCH($A1606,EXTRATO!$A$2:$A$3000,0))="","",INDEX(EXTRATO!$F$2:$F$3000,MATCH($A1606,EXTRATO!$A$2:$A$3000,0))))</f>
        <v/>
      </c>
      <c r="I1606" s="88" t="str">
        <f>IF(A1606="","",IF(INDEX(EXTRATO!$H$2:$H$3000,MATCH($A1606,EXTRATO!$A$2:$A$3000,0))="","",INDEX(EXTRATO!$H$2:$H$3000,MATCH($A1606,EXTRATO!$A$2:$A$3000,0))))</f>
        <v/>
      </c>
      <c r="J1606" s="86" t="str">
        <f t="shared" si="37"/>
        <v/>
      </c>
      <c r="K1606" s="86" t="str">
        <f>IF(AND(A1606="",D1606="",E1606="",F1606=""),"",IF(D1606="","SEM CATEGORIA",IF(E1606="","SEM SUBCATEGORIA",IF(COUNTIFS(CADASTROS!$L$7:$L$93,D1606,CADASTROS!$D$7:$D$93,E1606)=0,"INCOMPATÍVEL","OK"))))</f>
        <v/>
      </c>
    </row>
    <row r="1607" spans="1:11" ht="30" hidden="1" customHeight="1" x14ac:dyDescent="0.25">
      <c r="A1607" s="86" t="str">
        <f>IF(COUNTIF(EXTRATO!$A$2:$A$3000,"BAN-01464")=0,"","BAN-01464")</f>
        <v/>
      </c>
      <c r="B1607" s="85" t="str">
        <f>IF(A1607="","",IF(INDEX(EXTRATO!$C$2:$C$3000,MATCH($A1607,EXTRATO!$A$2:$A$3000,0))="","",INDEX(EXTRATO!$C$2:$C$3000,MATCH($A1607,EXTRATO!$A$2:$A$3000,0))))</f>
        <v/>
      </c>
      <c r="C1607" s="86" t="str">
        <f t="shared" si="36"/>
        <v/>
      </c>
      <c r="D1607" s="81"/>
      <c r="E1607" s="79"/>
      <c r="F1607" s="80" t="str">
        <f>IF(A1607="","",SUMIF(EXTRATO!$A$2:$A$3000,$A1607,EXTRATO!$J$2:$J$3000)+SUMIF(EXTRATO!$A$2:$A$3000,$A1607,EXTRATO!$K$2:$K$3000)+SUMIF(EXTRATO!$A$2:$A$3000,$A1607,EXTRATO!$L$2:$L$3000)+SUMIF(EXTRATO!$A$2:$A$3000,$A1607,EXTRATO!$M$2:$M$3000))</f>
        <v/>
      </c>
      <c r="G1607" s="81" t="str">
        <f>IF(A1607="","",IF(INDEX(EXTRATO!$G$2:$G$3000,MATCH($A1607,EXTRATO!$A$2:$A$3000,0))="","",INDEX(EXTRATO!$G$2:$G$3000,MATCH($A1607,EXTRATO!$A$2:$A$3000,0))))</f>
        <v/>
      </c>
      <c r="H1607" s="86" t="str">
        <f>IF(A1607="","",IF(INDEX(EXTRATO!$F$2:$F$3000,MATCH($A1607,EXTRATO!$A$2:$A$3000,0))="","",INDEX(EXTRATO!$F$2:$F$3000,MATCH($A1607,EXTRATO!$A$2:$A$3000,0))))</f>
        <v/>
      </c>
      <c r="I1607" s="88" t="str">
        <f>IF(A1607="","",IF(INDEX(EXTRATO!$H$2:$H$3000,MATCH($A1607,EXTRATO!$A$2:$A$3000,0))="","",INDEX(EXTRATO!$H$2:$H$3000,MATCH($A1607,EXTRATO!$A$2:$A$3000,0))))</f>
        <v/>
      </c>
      <c r="J1607" s="86" t="str">
        <f t="shared" si="37"/>
        <v/>
      </c>
      <c r="K1607" s="86" t="str">
        <f>IF(AND(A1607="",D1607="",E1607="",F1607=""),"",IF(D1607="","SEM CATEGORIA",IF(E1607="","SEM SUBCATEGORIA",IF(COUNTIFS(CADASTROS!$L$7:$L$93,D1607,CADASTROS!$D$7:$D$93,E1607)=0,"INCOMPATÍVEL","OK"))))</f>
        <v/>
      </c>
    </row>
    <row r="1608" spans="1:11" ht="30" hidden="1" customHeight="1" x14ac:dyDescent="0.25">
      <c r="A1608" s="86" t="str">
        <f>IF(COUNTIF(EXTRATO!$A$2:$A$3000,"BAN-01465")=0,"","BAN-01465")</f>
        <v/>
      </c>
      <c r="B1608" s="85" t="str">
        <f>IF(A1608="","",IF(INDEX(EXTRATO!$C$2:$C$3000,MATCH($A1608,EXTRATO!$A$2:$A$3000,0))="","",INDEX(EXTRATO!$C$2:$C$3000,MATCH($A1608,EXTRATO!$A$2:$A$3000,0))))</f>
        <v/>
      </c>
      <c r="C1608" s="86" t="str">
        <f t="shared" si="36"/>
        <v/>
      </c>
      <c r="D1608" s="81"/>
      <c r="E1608" s="79"/>
      <c r="F1608" s="80" t="str">
        <f>IF(A1608="","",SUMIF(EXTRATO!$A$2:$A$3000,$A1608,EXTRATO!$J$2:$J$3000)+SUMIF(EXTRATO!$A$2:$A$3000,$A1608,EXTRATO!$K$2:$K$3000)+SUMIF(EXTRATO!$A$2:$A$3000,$A1608,EXTRATO!$L$2:$L$3000)+SUMIF(EXTRATO!$A$2:$A$3000,$A1608,EXTRATO!$M$2:$M$3000))</f>
        <v/>
      </c>
      <c r="G1608" s="81" t="str">
        <f>IF(A1608="","",IF(INDEX(EXTRATO!$G$2:$G$3000,MATCH($A1608,EXTRATO!$A$2:$A$3000,0))="","",INDEX(EXTRATO!$G$2:$G$3000,MATCH($A1608,EXTRATO!$A$2:$A$3000,0))))</f>
        <v/>
      </c>
      <c r="H1608" s="86" t="str">
        <f>IF(A1608="","",IF(INDEX(EXTRATO!$F$2:$F$3000,MATCH($A1608,EXTRATO!$A$2:$A$3000,0))="","",INDEX(EXTRATO!$F$2:$F$3000,MATCH($A1608,EXTRATO!$A$2:$A$3000,0))))</f>
        <v/>
      </c>
      <c r="I1608" s="88" t="str">
        <f>IF(A1608="","",IF(INDEX(EXTRATO!$H$2:$H$3000,MATCH($A1608,EXTRATO!$A$2:$A$3000,0))="","",INDEX(EXTRATO!$H$2:$H$3000,MATCH($A1608,EXTRATO!$A$2:$A$3000,0))))</f>
        <v/>
      </c>
      <c r="J1608" s="86" t="str">
        <f t="shared" si="37"/>
        <v/>
      </c>
      <c r="K1608" s="86" t="str">
        <f>IF(AND(A1608="",D1608="",E1608="",F1608=""),"",IF(D1608="","SEM CATEGORIA",IF(E1608="","SEM SUBCATEGORIA",IF(COUNTIFS(CADASTROS!$L$7:$L$93,D1608,CADASTROS!$D$7:$D$93,E1608)=0,"INCOMPATÍVEL","OK"))))</f>
        <v/>
      </c>
    </row>
    <row r="1609" spans="1:11" ht="30" hidden="1" customHeight="1" x14ac:dyDescent="0.25">
      <c r="A1609" s="86" t="str">
        <f>IF(COUNTIF(EXTRATO!$A$2:$A$3000,"BAN-01466")=0,"","BAN-01466")</f>
        <v/>
      </c>
      <c r="B1609" s="85" t="str">
        <f>IF(A1609="","",IF(INDEX(EXTRATO!$C$2:$C$3000,MATCH($A1609,EXTRATO!$A$2:$A$3000,0))="","",INDEX(EXTRATO!$C$2:$C$3000,MATCH($A1609,EXTRATO!$A$2:$A$3000,0))))</f>
        <v/>
      </c>
      <c r="C1609" s="86" t="str">
        <f t="shared" si="36"/>
        <v/>
      </c>
      <c r="D1609" s="81"/>
      <c r="E1609" s="79"/>
      <c r="F1609" s="80" t="str">
        <f>IF(A1609="","",SUMIF(EXTRATO!$A$2:$A$3000,$A1609,EXTRATO!$J$2:$J$3000)+SUMIF(EXTRATO!$A$2:$A$3000,$A1609,EXTRATO!$K$2:$K$3000)+SUMIF(EXTRATO!$A$2:$A$3000,$A1609,EXTRATO!$L$2:$L$3000)+SUMIF(EXTRATO!$A$2:$A$3000,$A1609,EXTRATO!$M$2:$M$3000))</f>
        <v/>
      </c>
      <c r="G1609" s="81" t="str">
        <f>IF(A1609="","",IF(INDEX(EXTRATO!$G$2:$G$3000,MATCH($A1609,EXTRATO!$A$2:$A$3000,0))="","",INDEX(EXTRATO!$G$2:$G$3000,MATCH($A1609,EXTRATO!$A$2:$A$3000,0))))</f>
        <v/>
      </c>
      <c r="H1609" s="86" t="str">
        <f>IF(A1609="","",IF(INDEX(EXTRATO!$F$2:$F$3000,MATCH($A1609,EXTRATO!$A$2:$A$3000,0))="","",INDEX(EXTRATO!$F$2:$F$3000,MATCH($A1609,EXTRATO!$A$2:$A$3000,0))))</f>
        <v/>
      </c>
      <c r="I1609" s="88" t="str">
        <f>IF(A1609="","",IF(INDEX(EXTRATO!$H$2:$H$3000,MATCH($A1609,EXTRATO!$A$2:$A$3000,0))="","",INDEX(EXTRATO!$H$2:$H$3000,MATCH($A1609,EXTRATO!$A$2:$A$3000,0))))</f>
        <v/>
      </c>
      <c r="J1609" s="86" t="str">
        <f t="shared" si="37"/>
        <v/>
      </c>
      <c r="K1609" s="86" t="str">
        <f>IF(AND(A1609="",D1609="",E1609="",F1609=""),"",IF(D1609="","SEM CATEGORIA",IF(E1609="","SEM SUBCATEGORIA",IF(COUNTIFS(CADASTROS!$L$7:$L$93,D1609,CADASTROS!$D$7:$D$93,E1609)=0,"INCOMPATÍVEL","OK"))))</f>
        <v/>
      </c>
    </row>
    <row r="1610" spans="1:11" ht="30" hidden="1" customHeight="1" x14ac:dyDescent="0.25">
      <c r="A1610" s="86" t="str">
        <f>IF(COUNTIF(EXTRATO!$A$2:$A$3000,"BAN-01467")=0,"","BAN-01467")</f>
        <v/>
      </c>
      <c r="B1610" s="85" t="str">
        <f>IF(A1610="","",IF(INDEX(EXTRATO!$C$2:$C$3000,MATCH($A1610,EXTRATO!$A$2:$A$3000,0))="","",INDEX(EXTRATO!$C$2:$C$3000,MATCH($A1610,EXTRATO!$A$2:$A$3000,0))))</f>
        <v/>
      </c>
      <c r="C1610" s="86" t="str">
        <f t="shared" si="36"/>
        <v/>
      </c>
      <c r="D1610" s="81"/>
      <c r="E1610" s="79"/>
      <c r="F1610" s="80" t="str">
        <f>IF(A1610="","",SUMIF(EXTRATO!$A$2:$A$3000,$A1610,EXTRATO!$J$2:$J$3000)+SUMIF(EXTRATO!$A$2:$A$3000,$A1610,EXTRATO!$K$2:$K$3000)+SUMIF(EXTRATO!$A$2:$A$3000,$A1610,EXTRATO!$L$2:$L$3000)+SUMIF(EXTRATO!$A$2:$A$3000,$A1610,EXTRATO!$M$2:$M$3000))</f>
        <v/>
      </c>
      <c r="G1610" s="81" t="str">
        <f>IF(A1610="","",IF(INDEX(EXTRATO!$G$2:$G$3000,MATCH($A1610,EXTRATO!$A$2:$A$3000,0))="","",INDEX(EXTRATO!$G$2:$G$3000,MATCH($A1610,EXTRATO!$A$2:$A$3000,0))))</f>
        <v/>
      </c>
      <c r="H1610" s="86" t="str">
        <f>IF(A1610="","",IF(INDEX(EXTRATO!$F$2:$F$3000,MATCH($A1610,EXTRATO!$A$2:$A$3000,0))="","",INDEX(EXTRATO!$F$2:$F$3000,MATCH($A1610,EXTRATO!$A$2:$A$3000,0))))</f>
        <v/>
      </c>
      <c r="I1610" s="88" t="str">
        <f>IF(A1610="","",IF(INDEX(EXTRATO!$H$2:$H$3000,MATCH($A1610,EXTRATO!$A$2:$A$3000,0))="","",INDEX(EXTRATO!$H$2:$H$3000,MATCH($A1610,EXTRATO!$A$2:$A$3000,0))))</f>
        <v/>
      </c>
      <c r="J1610" s="86" t="str">
        <f t="shared" si="37"/>
        <v/>
      </c>
      <c r="K1610" s="86" t="str">
        <f>IF(AND(A1610="",D1610="",E1610="",F1610=""),"",IF(D1610="","SEM CATEGORIA",IF(E1610="","SEM SUBCATEGORIA",IF(COUNTIFS(CADASTROS!$L$7:$L$93,D1610,CADASTROS!$D$7:$D$93,E1610)=0,"INCOMPATÍVEL","OK"))))</f>
        <v/>
      </c>
    </row>
    <row r="1611" spans="1:11" ht="30" hidden="1" customHeight="1" x14ac:dyDescent="0.25">
      <c r="A1611" s="86" t="str">
        <f>IF(COUNTIF(EXTRATO!$A$2:$A$3000,"BAN-01468")=0,"","BAN-01468")</f>
        <v/>
      </c>
      <c r="B1611" s="85" t="str">
        <f>IF(A1611="","",IF(INDEX(EXTRATO!$C$2:$C$3000,MATCH($A1611,EXTRATO!$A$2:$A$3000,0))="","",INDEX(EXTRATO!$C$2:$C$3000,MATCH($A1611,EXTRATO!$A$2:$A$3000,0))))</f>
        <v/>
      </c>
      <c r="C1611" s="86" t="str">
        <f t="shared" si="36"/>
        <v/>
      </c>
      <c r="D1611" s="81"/>
      <c r="E1611" s="79"/>
      <c r="F1611" s="80" t="str">
        <f>IF(A1611="","",SUMIF(EXTRATO!$A$2:$A$3000,$A1611,EXTRATO!$J$2:$J$3000)+SUMIF(EXTRATO!$A$2:$A$3000,$A1611,EXTRATO!$K$2:$K$3000)+SUMIF(EXTRATO!$A$2:$A$3000,$A1611,EXTRATO!$L$2:$L$3000)+SUMIF(EXTRATO!$A$2:$A$3000,$A1611,EXTRATO!$M$2:$M$3000))</f>
        <v/>
      </c>
      <c r="G1611" s="81" t="str">
        <f>IF(A1611="","",IF(INDEX(EXTRATO!$G$2:$G$3000,MATCH($A1611,EXTRATO!$A$2:$A$3000,0))="","",INDEX(EXTRATO!$G$2:$G$3000,MATCH($A1611,EXTRATO!$A$2:$A$3000,0))))</f>
        <v/>
      </c>
      <c r="H1611" s="86" t="str">
        <f>IF(A1611="","",IF(INDEX(EXTRATO!$F$2:$F$3000,MATCH($A1611,EXTRATO!$A$2:$A$3000,0))="","",INDEX(EXTRATO!$F$2:$F$3000,MATCH($A1611,EXTRATO!$A$2:$A$3000,0))))</f>
        <v/>
      </c>
      <c r="I1611" s="88" t="str">
        <f>IF(A1611="","",IF(INDEX(EXTRATO!$H$2:$H$3000,MATCH($A1611,EXTRATO!$A$2:$A$3000,0))="","",INDEX(EXTRATO!$H$2:$H$3000,MATCH($A1611,EXTRATO!$A$2:$A$3000,0))))</f>
        <v/>
      </c>
      <c r="J1611" s="86" t="str">
        <f t="shared" si="37"/>
        <v/>
      </c>
      <c r="K1611" s="86" t="str">
        <f>IF(AND(A1611="",D1611="",E1611="",F1611=""),"",IF(D1611="","SEM CATEGORIA",IF(E1611="","SEM SUBCATEGORIA",IF(COUNTIFS(CADASTROS!$L$7:$L$93,D1611,CADASTROS!$D$7:$D$93,E1611)=0,"INCOMPATÍVEL","OK"))))</f>
        <v/>
      </c>
    </row>
    <row r="1612" spans="1:11" ht="30" hidden="1" customHeight="1" x14ac:dyDescent="0.25">
      <c r="A1612" s="86" t="str">
        <f>IF(COUNTIF(EXTRATO!$A$2:$A$3000,"BAN-01469")=0,"","BAN-01469")</f>
        <v/>
      </c>
      <c r="B1612" s="85" t="str">
        <f>IF(A1612="","",IF(INDEX(EXTRATO!$C$2:$C$3000,MATCH($A1612,EXTRATO!$A$2:$A$3000,0))="","",INDEX(EXTRATO!$C$2:$C$3000,MATCH($A1612,EXTRATO!$A$2:$A$3000,0))))</f>
        <v/>
      </c>
      <c r="C1612" s="86" t="str">
        <f t="shared" si="36"/>
        <v/>
      </c>
      <c r="D1612" s="81"/>
      <c r="E1612" s="79"/>
      <c r="F1612" s="80" t="str">
        <f>IF(A1612="","",SUMIF(EXTRATO!$A$2:$A$3000,$A1612,EXTRATO!$J$2:$J$3000)+SUMIF(EXTRATO!$A$2:$A$3000,$A1612,EXTRATO!$K$2:$K$3000)+SUMIF(EXTRATO!$A$2:$A$3000,$A1612,EXTRATO!$L$2:$L$3000)+SUMIF(EXTRATO!$A$2:$A$3000,$A1612,EXTRATO!$M$2:$M$3000))</f>
        <v/>
      </c>
      <c r="G1612" s="81" t="str">
        <f>IF(A1612="","",IF(INDEX(EXTRATO!$G$2:$G$3000,MATCH($A1612,EXTRATO!$A$2:$A$3000,0))="","",INDEX(EXTRATO!$G$2:$G$3000,MATCH($A1612,EXTRATO!$A$2:$A$3000,0))))</f>
        <v/>
      </c>
      <c r="H1612" s="86" t="str">
        <f>IF(A1612="","",IF(INDEX(EXTRATO!$F$2:$F$3000,MATCH($A1612,EXTRATO!$A$2:$A$3000,0))="","",INDEX(EXTRATO!$F$2:$F$3000,MATCH($A1612,EXTRATO!$A$2:$A$3000,0))))</f>
        <v/>
      </c>
      <c r="I1612" s="88" t="str">
        <f>IF(A1612="","",IF(INDEX(EXTRATO!$H$2:$H$3000,MATCH($A1612,EXTRATO!$A$2:$A$3000,0))="","",INDEX(EXTRATO!$H$2:$H$3000,MATCH($A1612,EXTRATO!$A$2:$A$3000,0))))</f>
        <v/>
      </c>
      <c r="J1612" s="86" t="str">
        <f t="shared" si="37"/>
        <v/>
      </c>
      <c r="K1612" s="86" t="str">
        <f>IF(AND(A1612="",D1612="",E1612="",F1612=""),"",IF(D1612="","SEM CATEGORIA",IF(E1612="","SEM SUBCATEGORIA",IF(COUNTIFS(CADASTROS!$L$7:$L$93,D1612,CADASTROS!$D$7:$D$93,E1612)=0,"INCOMPATÍVEL","OK"))))</f>
        <v/>
      </c>
    </row>
    <row r="1613" spans="1:11" ht="30" hidden="1" customHeight="1" x14ac:dyDescent="0.25">
      <c r="A1613" s="86" t="str">
        <f>IF(COUNTIF(EXTRATO!$A$2:$A$3000,"BAN-01470")=0,"","BAN-01470")</f>
        <v/>
      </c>
      <c r="B1613" s="85" t="str">
        <f>IF(A1613="","",IF(INDEX(EXTRATO!$C$2:$C$3000,MATCH($A1613,EXTRATO!$A$2:$A$3000,0))="","",INDEX(EXTRATO!$C$2:$C$3000,MATCH($A1613,EXTRATO!$A$2:$A$3000,0))))</f>
        <v/>
      </c>
      <c r="C1613" s="86" t="str">
        <f t="shared" si="36"/>
        <v/>
      </c>
      <c r="D1613" s="81"/>
      <c r="E1613" s="79"/>
      <c r="F1613" s="80" t="str">
        <f>IF(A1613="","",SUMIF(EXTRATO!$A$2:$A$3000,$A1613,EXTRATO!$J$2:$J$3000)+SUMIF(EXTRATO!$A$2:$A$3000,$A1613,EXTRATO!$K$2:$K$3000)+SUMIF(EXTRATO!$A$2:$A$3000,$A1613,EXTRATO!$L$2:$L$3000)+SUMIF(EXTRATO!$A$2:$A$3000,$A1613,EXTRATO!$M$2:$M$3000))</f>
        <v/>
      </c>
      <c r="G1613" s="81" t="str">
        <f>IF(A1613="","",IF(INDEX(EXTRATO!$G$2:$G$3000,MATCH($A1613,EXTRATO!$A$2:$A$3000,0))="","",INDEX(EXTRATO!$G$2:$G$3000,MATCH($A1613,EXTRATO!$A$2:$A$3000,0))))</f>
        <v/>
      </c>
      <c r="H1613" s="86" t="str">
        <f>IF(A1613="","",IF(INDEX(EXTRATO!$F$2:$F$3000,MATCH($A1613,EXTRATO!$A$2:$A$3000,0))="","",INDEX(EXTRATO!$F$2:$F$3000,MATCH($A1613,EXTRATO!$A$2:$A$3000,0))))</f>
        <v/>
      </c>
      <c r="I1613" s="88" t="str">
        <f>IF(A1613="","",IF(INDEX(EXTRATO!$H$2:$H$3000,MATCH($A1613,EXTRATO!$A$2:$A$3000,0))="","",INDEX(EXTRATO!$H$2:$H$3000,MATCH($A1613,EXTRATO!$A$2:$A$3000,0))))</f>
        <v/>
      </c>
      <c r="J1613" s="86" t="str">
        <f t="shared" si="37"/>
        <v/>
      </c>
      <c r="K1613" s="86" t="str">
        <f>IF(AND(A1613="",D1613="",E1613="",F1613=""),"",IF(D1613="","SEM CATEGORIA",IF(E1613="","SEM SUBCATEGORIA",IF(COUNTIFS(CADASTROS!$L$7:$L$93,D1613,CADASTROS!$D$7:$D$93,E1613)=0,"INCOMPATÍVEL","OK"))))</f>
        <v/>
      </c>
    </row>
    <row r="1614" spans="1:11" ht="30" hidden="1" customHeight="1" x14ac:dyDescent="0.25">
      <c r="A1614" s="86" t="str">
        <f>IF(COUNTIF(EXTRATO!$A$2:$A$3000,"BAN-01471")=0,"","BAN-01471")</f>
        <v/>
      </c>
      <c r="B1614" s="85" t="str">
        <f>IF(A1614="","",IF(INDEX(EXTRATO!$C$2:$C$3000,MATCH($A1614,EXTRATO!$A$2:$A$3000,0))="","",INDEX(EXTRATO!$C$2:$C$3000,MATCH($A1614,EXTRATO!$A$2:$A$3000,0))))</f>
        <v/>
      </c>
      <c r="C1614" s="86" t="str">
        <f t="shared" si="36"/>
        <v/>
      </c>
      <c r="D1614" s="81"/>
      <c r="E1614" s="79"/>
      <c r="F1614" s="80" t="str">
        <f>IF(A1614="","",SUMIF(EXTRATO!$A$2:$A$3000,$A1614,EXTRATO!$J$2:$J$3000)+SUMIF(EXTRATO!$A$2:$A$3000,$A1614,EXTRATO!$K$2:$K$3000)+SUMIF(EXTRATO!$A$2:$A$3000,$A1614,EXTRATO!$L$2:$L$3000)+SUMIF(EXTRATO!$A$2:$A$3000,$A1614,EXTRATO!$M$2:$M$3000))</f>
        <v/>
      </c>
      <c r="G1614" s="81" t="str">
        <f>IF(A1614="","",IF(INDEX(EXTRATO!$G$2:$G$3000,MATCH($A1614,EXTRATO!$A$2:$A$3000,0))="","",INDEX(EXTRATO!$G$2:$G$3000,MATCH($A1614,EXTRATO!$A$2:$A$3000,0))))</f>
        <v/>
      </c>
      <c r="H1614" s="86" t="str">
        <f>IF(A1614="","",IF(INDEX(EXTRATO!$F$2:$F$3000,MATCH($A1614,EXTRATO!$A$2:$A$3000,0))="","",INDEX(EXTRATO!$F$2:$F$3000,MATCH($A1614,EXTRATO!$A$2:$A$3000,0))))</f>
        <v/>
      </c>
      <c r="I1614" s="88" t="str">
        <f>IF(A1614="","",IF(INDEX(EXTRATO!$H$2:$H$3000,MATCH($A1614,EXTRATO!$A$2:$A$3000,0))="","",INDEX(EXTRATO!$H$2:$H$3000,MATCH($A1614,EXTRATO!$A$2:$A$3000,0))))</f>
        <v/>
      </c>
      <c r="J1614" s="86" t="str">
        <f t="shared" si="37"/>
        <v/>
      </c>
      <c r="K1614" s="86" t="str">
        <f>IF(AND(A1614="",D1614="",E1614="",F1614=""),"",IF(D1614="","SEM CATEGORIA",IF(E1614="","SEM SUBCATEGORIA",IF(COUNTIFS(CADASTROS!$L$7:$L$93,D1614,CADASTROS!$D$7:$D$93,E1614)=0,"INCOMPATÍVEL","OK"))))</f>
        <v/>
      </c>
    </row>
    <row r="1615" spans="1:11" ht="30" hidden="1" customHeight="1" x14ac:dyDescent="0.25">
      <c r="A1615" s="86" t="str">
        <f>IF(COUNTIF(EXTRATO!$A$2:$A$3000,"BAN-01472")=0,"","BAN-01472")</f>
        <v/>
      </c>
      <c r="B1615" s="85" t="str">
        <f>IF(A1615="","",IF(INDEX(EXTRATO!$C$2:$C$3000,MATCH($A1615,EXTRATO!$A$2:$A$3000,0))="","",INDEX(EXTRATO!$C$2:$C$3000,MATCH($A1615,EXTRATO!$A$2:$A$3000,0))))</f>
        <v/>
      </c>
      <c r="C1615" s="86" t="str">
        <f t="shared" si="36"/>
        <v/>
      </c>
      <c r="D1615" s="81"/>
      <c r="E1615" s="79"/>
      <c r="F1615" s="80" t="str">
        <f>IF(A1615="","",SUMIF(EXTRATO!$A$2:$A$3000,$A1615,EXTRATO!$J$2:$J$3000)+SUMIF(EXTRATO!$A$2:$A$3000,$A1615,EXTRATO!$K$2:$K$3000)+SUMIF(EXTRATO!$A$2:$A$3000,$A1615,EXTRATO!$L$2:$L$3000)+SUMIF(EXTRATO!$A$2:$A$3000,$A1615,EXTRATO!$M$2:$M$3000))</f>
        <v/>
      </c>
      <c r="G1615" s="81" t="str">
        <f>IF(A1615="","",IF(INDEX(EXTRATO!$G$2:$G$3000,MATCH($A1615,EXTRATO!$A$2:$A$3000,0))="","",INDEX(EXTRATO!$G$2:$G$3000,MATCH($A1615,EXTRATO!$A$2:$A$3000,0))))</f>
        <v/>
      </c>
      <c r="H1615" s="86" t="str">
        <f>IF(A1615="","",IF(INDEX(EXTRATO!$F$2:$F$3000,MATCH($A1615,EXTRATO!$A$2:$A$3000,0))="","",INDEX(EXTRATO!$F$2:$F$3000,MATCH($A1615,EXTRATO!$A$2:$A$3000,0))))</f>
        <v/>
      </c>
      <c r="I1615" s="88" t="str">
        <f>IF(A1615="","",IF(INDEX(EXTRATO!$H$2:$H$3000,MATCH($A1615,EXTRATO!$A$2:$A$3000,0))="","",INDEX(EXTRATO!$H$2:$H$3000,MATCH($A1615,EXTRATO!$A$2:$A$3000,0))))</f>
        <v/>
      </c>
      <c r="J1615" s="86" t="str">
        <f t="shared" si="37"/>
        <v/>
      </c>
      <c r="K1615" s="86" t="str">
        <f>IF(AND(A1615="",D1615="",E1615="",F1615=""),"",IF(D1615="","SEM CATEGORIA",IF(E1615="","SEM SUBCATEGORIA",IF(COUNTIFS(CADASTROS!$L$7:$L$93,D1615,CADASTROS!$D$7:$D$93,E1615)=0,"INCOMPATÍVEL","OK"))))</f>
        <v/>
      </c>
    </row>
    <row r="1616" spans="1:11" ht="30" hidden="1" customHeight="1" x14ac:dyDescent="0.25">
      <c r="A1616" s="86" t="str">
        <f>IF(COUNTIF(EXTRATO!$A$2:$A$3000,"BAN-01473")=0,"","BAN-01473")</f>
        <v/>
      </c>
      <c r="B1616" s="85" t="str">
        <f>IF(A1616="","",IF(INDEX(EXTRATO!$C$2:$C$3000,MATCH($A1616,EXTRATO!$A$2:$A$3000,0))="","",INDEX(EXTRATO!$C$2:$C$3000,MATCH($A1616,EXTRATO!$A$2:$A$3000,0))))</f>
        <v/>
      </c>
      <c r="C1616" s="86" t="str">
        <f t="shared" si="36"/>
        <v/>
      </c>
      <c r="D1616" s="81"/>
      <c r="E1616" s="79"/>
      <c r="F1616" s="80" t="str">
        <f>IF(A1616="","",SUMIF(EXTRATO!$A$2:$A$3000,$A1616,EXTRATO!$J$2:$J$3000)+SUMIF(EXTRATO!$A$2:$A$3000,$A1616,EXTRATO!$K$2:$K$3000)+SUMIF(EXTRATO!$A$2:$A$3000,$A1616,EXTRATO!$L$2:$L$3000)+SUMIF(EXTRATO!$A$2:$A$3000,$A1616,EXTRATO!$M$2:$M$3000))</f>
        <v/>
      </c>
      <c r="G1616" s="81" t="str">
        <f>IF(A1616="","",IF(INDEX(EXTRATO!$G$2:$G$3000,MATCH($A1616,EXTRATO!$A$2:$A$3000,0))="","",INDEX(EXTRATO!$G$2:$G$3000,MATCH($A1616,EXTRATO!$A$2:$A$3000,0))))</f>
        <v/>
      </c>
      <c r="H1616" s="86" t="str">
        <f>IF(A1616="","",IF(INDEX(EXTRATO!$F$2:$F$3000,MATCH($A1616,EXTRATO!$A$2:$A$3000,0))="","",INDEX(EXTRATO!$F$2:$F$3000,MATCH($A1616,EXTRATO!$A$2:$A$3000,0))))</f>
        <v/>
      </c>
      <c r="I1616" s="88" t="str">
        <f>IF(A1616="","",IF(INDEX(EXTRATO!$H$2:$H$3000,MATCH($A1616,EXTRATO!$A$2:$A$3000,0))="","",INDEX(EXTRATO!$H$2:$H$3000,MATCH($A1616,EXTRATO!$A$2:$A$3000,0))))</f>
        <v/>
      </c>
      <c r="J1616" s="86" t="str">
        <f t="shared" si="37"/>
        <v/>
      </c>
      <c r="K1616" s="86" t="str">
        <f>IF(AND(A1616="",D1616="",E1616="",F1616=""),"",IF(D1616="","SEM CATEGORIA",IF(E1616="","SEM SUBCATEGORIA",IF(COUNTIFS(CADASTROS!$L$7:$L$93,D1616,CADASTROS!$D$7:$D$93,E1616)=0,"INCOMPATÍVEL","OK"))))</f>
        <v/>
      </c>
    </row>
    <row r="1617" spans="1:11" ht="30" hidden="1" customHeight="1" x14ac:dyDescent="0.25">
      <c r="A1617" s="86" t="str">
        <f>IF(COUNTIF(EXTRATO!$A$2:$A$3000,"BAN-01474")=0,"","BAN-01474")</f>
        <v/>
      </c>
      <c r="B1617" s="85" t="str">
        <f>IF(A1617="","",IF(INDEX(EXTRATO!$C$2:$C$3000,MATCH($A1617,EXTRATO!$A$2:$A$3000,0))="","",INDEX(EXTRATO!$C$2:$C$3000,MATCH($A1617,EXTRATO!$A$2:$A$3000,0))))</f>
        <v/>
      </c>
      <c r="C1617" s="86" t="str">
        <f t="shared" si="36"/>
        <v/>
      </c>
      <c r="D1617" s="81"/>
      <c r="E1617" s="79"/>
      <c r="F1617" s="80" t="str">
        <f>IF(A1617="","",SUMIF(EXTRATO!$A$2:$A$3000,$A1617,EXTRATO!$J$2:$J$3000)+SUMIF(EXTRATO!$A$2:$A$3000,$A1617,EXTRATO!$K$2:$K$3000)+SUMIF(EXTRATO!$A$2:$A$3000,$A1617,EXTRATO!$L$2:$L$3000)+SUMIF(EXTRATO!$A$2:$A$3000,$A1617,EXTRATO!$M$2:$M$3000))</f>
        <v/>
      </c>
      <c r="G1617" s="81" t="str">
        <f>IF(A1617="","",IF(INDEX(EXTRATO!$G$2:$G$3000,MATCH($A1617,EXTRATO!$A$2:$A$3000,0))="","",INDEX(EXTRATO!$G$2:$G$3000,MATCH($A1617,EXTRATO!$A$2:$A$3000,0))))</f>
        <v/>
      </c>
      <c r="H1617" s="86" t="str">
        <f>IF(A1617="","",IF(INDEX(EXTRATO!$F$2:$F$3000,MATCH($A1617,EXTRATO!$A$2:$A$3000,0))="","",INDEX(EXTRATO!$F$2:$F$3000,MATCH($A1617,EXTRATO!$A$2:$A$3000,0))))</f>
        <v/>
      </c>
      <c r="I1617" s="88" t="str">
        <f>IF(A1617="","",IF(INDEX(EXTRATO!$H$2:$H$3000,MATCH($A1617,EXTRATO!$A$2:$A$3000,0))="","",INDEX(EXTRATO!$H$2:$H$3000,MATCH($A1617,EXTRATO!$A$2:$A$3000,0))))</f>
        <v/>
      </c>
      <c r="J1617" s="86" t="str">
        <f t="shared" si="37"/>
        <v/>
      </c>
      <c r="K1617" s="86" t="str">
        <f>IF(AND(A1617="",D1617="",E1617="",F1617=""),"",IF(D1617="","SEM CATEGORIA",IF(E1617="","SEM SUBCATEGORIA",IF(COUNTIFS(CADASTROS!$L$7:$L$93,D1617,CADASTROS!$D$7:$D$93,E1617)=0,"INCOMPATÍVEL","OK"))))</f>
        <v/>
      </c>
    </row>
    <row r="1618" spans="1:11" ht="30" hidden="1" customHeight="1" x14ac:dyDescent="0.25">
      <c r="A1618" s="86" t="str">
        <f>IF(COUNTIF(EXTRATO!$A$2:$A$3000,"BAN-01475")=0,"","BAN-01475")</f>
        <v/>
      </c>
      <c r="B1618" s="85" t="str">
        <f>IF(A1618="","",IF(INDEX(EXTRATO!$C$2:$C$3000,MATCH($A1618,EXTRATO!$A$2:$A$3000,0))="","",INDEX(EXTRATO!$C$2:$C$3000,MATCH($A1618,EXTRATO!$A$2:$A$3000,0))))</f>
        <v/>
      </c>
      <c r="C1618" s="86" t="str">
        <f t="shared" si="36"/>
        <v/>
      </c>
      <c r="D1618" s="81"/>
      <c r="E1618" s="79"/>
      <c r="F1618" s="80" t="str">
        <f>IF(A1618="","",SUMIF(EXTRATO!$A$2:$A$3000,$A1618,EXTRATO!$J$2:$J$3000)+SUMIF(EXTRATO!$A$2:$A$3000,$A1618,EXTRATO!$K$2:$K$3000)+SUMIF(EXTRATO!$A$2:$A$3000,$A1618,EXTRATO!$L$2:$L$3000)+SUMIF(EXTRATO!$A$2:$A$3000,$A1618,EXTRATO!$M$2:$M$3000))</f>
        <v/>
      </c>
      <c r="G1618" s="81" t="str">
        <f>IF(A1618="","",IF(INDEX(EXTRATO!$G$2:$G$3000,MATCH($A1618,EXTRATO!$A$2:$A$3000,0))="","",INDEX(EXTRATO!$G$2:$G$3000,MATCH($A1618,EXTRATO!$A$2:$A$3000,0))))</f>
        <v/>
      </c>
      <c r="H1618" s="86" t="str">
        <f>IF(A1618="","",IF(INDEX(EXTRATO!$F$2:$F$3000,MATCH($A1618,EXTRATO!$A$2:$A$3000,0))="","",INDEX(EXTRATO!$F$2:$F$3000,MATCH($A1618,EXTRATO!$A$2:$A$3000,0))))</f>
        <v/>
      </c>
      <c r="I1618" s="88" t="str">
        <f>IF(A1618="","",IF(INDEX(EXTRATO!$H$2:$H$3000,MATCH($A1618,EXTRATO!$A$2:$A$3000,0))="","",INDEX(EXTRATO!$H$2:$H$3000,MATCH($A1618,EXTRATO!$A$2:$A$3000,0))))</f>
        <v/>
      </c>
      <c r="J1618" s="86" t="str">
        <f t="shared" si="37"/>
        <v/>
      </c>
      <c r="K1618" s="86" t="str">
        <f>IF(AND(A1618="",D1618="",E1618="",F1618=""),"",IF(D1618="","SEM CATEGORIA",IF(E1618="","SEM SUBCATEGORIA",IF(COUNTIFS(CADASTROS!$L$7:$L$93,D1618,CADASTROS!$D$7:$D$93,E1618)=0,"INCOMPATÍVEL","OK"))))</f>
        <v/>
      </c>
    </row>
    <row r="1619" spans="1:11" ht="30" hidden="1" customHeight="1" x14ac:dyDescent="0.25">
      <c r="A1619" s="86" t="str">
        <f>IF(COUNTIF(EXTRATO!$A$2:$A$3000,"BAN-01476")=0,"","BAN-01476")</f>
        <v/>
      </c>
      <c r="B1619" s="85" t="str">
        <f>IF(A1619="","",IF(INDEX(EXTRATO!$C$2:$C$3000,MATCH($A1619,EXTRATO!$A$2:$A$3000,0))="","",INDEX(EXTRATO!$C$2:$C$3000,MATCH($A1619,EXTRATO!$A$2:$A$3000,0))))</f>
        <v/>
      </c>
      <c r="C1619" s="86" t="str">
        <f t="shared" si="36"/>
        <v/>
      </c>
      <c r="D1619" s="81"/>
      <c r="E1619" s="79"/>
      <c r="F1619" s="80" t="str">
        <f>IF(A1619="","",SUMIF(EXTRATO!$A$2:$A$3000,$A1619,EXTRATO!$J$2:$J$3000)+SUMIF(EXTRATO!$A$2:$A$3000,$A1619,EXTRATO!$K$2:$K$3000)+SUMIF(EXTRATO!$A$2:$A$3000,$A1619,EXTRATO!$L$2:$L$3000)+SUMIF(EXTRATO!$A$2:$A$3000,$A1619,EXTRATO!$M$2:$M$3000))</f>
        <v/>
      </c>
      <c r="G1619" s="81" t="str">
        <f>IF(A1619="","",IF(INDEX(EXTRATO!$G$2:$G$3000,MATCH($A1619,EXTRATO!$A$2:$A$3000,0))="","",INDEX(EXTRATO!$G$2:$G$3000,MATCH($A1619,EXTRATO!$A$2:$A$3000,0))))</f>
        <v/>
      </c>
      <c r="H1619" s="86" t="str">
        <f>IF(A1619="","",IF(INDEX(EXTRATO!$F$2:$F$3000,MATCH($A1619,EXTRATO!$A$2:$A$3000,0))="","",INDEX(EXTRATO!$F$2:$F$3000,MATCH($A1619,EXTRATO!$A$2:$A$3000,0))))</f>
        <v/>
      </c>
      <c r="I1619" s="88" t="str">
        <f>IF(A1619="","",IF(INDEX(EXTRATO!$H$2:$H$3000,MATCH($A1619,EXTRATO!$A$2:$A$3000,0))="","",INDEX(EXTRATO!$H$2:$H$3000,MATCH($A1619,EXTRATO!$A$2:$A$3000,0))))</f>
        <v/>
      </c>
      <c r="J1619" s="86" t="str">
        <f t="shared" si="37"/>
        <v/>
      </c>
      <c r="K1619" s="86" t="str">
        <f>IF(AND(A1619="",D1619="",E1619="",F1619=""),"",IF(D1619="","SEM CATEGORIA",IF(E1619="","SEM SUBCATEGORIA",IF(COUNTIFS(CADASTROS!$L$7:$L$93,D1619,CADASTROS!$D$7:$D$93,E1619)=0,"INCOMPATÍVEL","OK"))))</f>
        <v/>
      </c>
    </row>
    <row r="1620" spans="1:11" ht="30" hidden="1" customHeight="1" x14ac:dyDescent="0.25">
      <c r="A1620" s="86" t="str">
        <f>IF(COUNTIF(EXTRATO!$A$2:$A$3000,"BAN-01477")=0,"","BAN-01477")</f>
        <v/>
      </c>
      <c r="B1620" s="85" t="str">
        <f>IF(A1620="","",IF(INDEX(EXTRATO!$C$2:$C$3000,MATCH($A1620,EXTRATO!$A$2:$A$3000,0))="","",INDEX(EXTRATO!$C$2:$C$3000,MATCH($A1620,EXTRATO!$A$2:$A$3000,0))))</f>
        <v/>
      </c>
      <c r="C1620" s="86" t="str">
        <f t="shared" si="36"/>
        <v/>
      </c>
      <c r="D1620" s="81"/>
      <c r="E1620" s="79"/>
      <c r="F1620" s="80" t="str">
        <f>IF(A1620="","",SUMIF(EXTRATO!$A$2:$A$3000,$A1620,EXTRATO!$J$2:$J$3000)+SUMIF(EXTRATO!$A$2:$A$3000,$A1620,EXTRATO!$K$2:$K$3000)+SUMIF(EXTRATO!$A$2:$A$3000,$A1620,EXTRATO!$L$2:$L$3000)+SUMIF(EXTRATO!$A$2:$A$3000,$A1620,EXTRATO!$M$2:$M$3000))</f>
        <v/>
      </c>
      <c r="G1620" s="81" t="str">
        <f>IF(A1620="","",IF(INDEX(EXTRATO!$G$2:$G$3000,MATCH($A1620,EXTRATO!$A$2:$A$3000,0))="","",INDEX(EXTRATO!$G$2:$G$3000,MATCH($A1620,EXTRATO!$A$2:$A$3000,0))))</f>
        <v/>
      </c>
      <c r="H1620" s="86" t="str">
        <f>IF(A1620="","",IF(INDEX(EXTRATO!$F$2:$F$3000,MATCH($A1620,EXTRATO!$A$2:$A$3000,0))="","",INDEX(EXTRATO!$F$2:$F$3000,MATCH($A1620,EXTRATO!$A$2:$A$3000,0))))</f>
        <v/>
      </c>
      <c r="I1620" s="88" t="str">
        <f>IF(A1620="","",IF(INDEX(EXTRATO!$H$2:$H$3000,MATCH($A1620,EXTRATO!$A$2:$A$3000,0))="","",INDEX(EXTRATO!$H$2:$H$3000,MATCH($A1620,EXTRATO!$A$2:$A$3000,0))))</f>
        <v/>
      </c>
      <c r="J1620" s="86" t="str">
        <f t="shared" si="37"/>
        <v/>
      </c>
      <c r="K1620" s="86" t="str">
        <f>IF(AND(A1620="",D1620="",E1620="",F1620=""),"",IF(D1620="","SEM CATEGORIA",IF(E1620="","SEM SUBCATEGORIA",IF(COUNTIFS(CADASTROS!$L$7:$L$93,D1620,CADASTROS!$D$7:$D$93,E1620)=0,"INCOMPATÍVEL","OK"))))</f>
        <v/>
      </c>
    </row>
    <row r="1621" spans="1:11" ht="30" hidden="1" customHeight="1" x14ac:dyDescent="0.25">
      <c r="A1621" s="86" t="str">
        <f>IF(COUNTIF(EXTRATO!$A$2:$A$3000,"BAN-01478")=0,"","BAN-01478")</f>
        <v/>
      </c>
      <c r="B1621" s="85" t="str">
        <f>IF(A1621="","",IF(INDEX(EXTRATO!$C$2:$C$3000,MATCH($A1621,EXTRATO!$A$2:$A$3000,0))="","",INDEX(EXTRATO!$C$2:$C$3000,MATCH($A1621,EXTRATO!$A$2:$A$3000,0))))</f>
        <v/>
      </c>
      <c r="C1621" s="86" t="str">
        <f t="shared" ref="C1621:C1684" si="38">IF(B1621="","",MONTH(B1621))</f>
        <v/>
      </c>
      <c r="D1621" s="81"/>
      <c r="E1621" s="79"/>
      <c r="F1621" s="80" t="str">
        <f>IF(A1621="","",SUMIF(EXTRATO!$A$2:$A$3000,$A1621,EXTRATO!$J$2:$J$3000)+SUMIF(EXTRATO!$A$2:$A$3000,$A1621,EXTRATO!$K$2:$K$3000)+SUMIF(EXTRATO!$A$2:$A$3000,$A1621,EXTRATO!$L$2:$L$3000)+SUMIF(EXTRATO!$A$2:$A$3000,$A1621,EXTRATO!$M$2:$M$3000))</f>
        <v/>
      </c>
      <c r="G1621" s="81" t="str">
        <f>IF(A1621="","",IF(INDEX(EXTRATO!$G$2:$G$3000,MATCH($A1621,EXTRATO!$A$2:$A$3000,0))="","",INDEX(EXTRATO!$G$2:$G$3000,MATCH($A1621,EXTRATO!$A$2:$A$3000,0))))</f>
        <v/>
      </c>
      <c r="H1621" s="86" t="str">
        <f>IF(A1621="","",IF(INDEX(EXTRATO!$F$2:$F$3000,MATCH($A1621,EXTRATO!$A$2:$A$3000,0))="","",INDEX(EXTRATO!$F$2:$F$3000,MATCH($A1621,EXTRATO!$A$2:$A$3000,0))))</f>
        <v/>
      </c>
      <c r="I1621" s="88" t="str">
        <f>IF(A1621="","",IF(INDEX(EXTRATO!$H$2:$H$3000,MATCH($A1621,EXTRATO!$A$2:$A$3000,0))="","",INDEX(EXTRATO!$H$2:$H$3000,MATCH($A1621,EXTRATO!$A$2:$A$3000,0))))</f>
        <v/>
      </c>
      <c r="J1621" s="86" t="str">
        <f t="shared" si="37"/>
        <v/>
      </c>
      <c r="K1621" s="86" t="str">
        <f>IF(AND(A1621="",D1621="",E1621="",F1621=""),"",IF(D1621="","SEM CATEGORIA",IF(E1621="","SEM SUBCATEGORIA",IF(COUNTIFS(CADASTROS!$L$7:$L$93,D1621,CADASTROS!$D$7:$D$93,E1621)=0,"INCOMPATÍVEL","OK"))))</f>
        <v/>
      </c>
    </row>
    <row r="1622" spans="1:11" ht="30" hidden="1" customHeight="1" x14ac:dyDescent="0.25">
      <c r="A1622" s="86" t="str">
        <f>IF(COUNTIF(EXTRATO!$A$2:$A$3000,"BAN-01479")=0,"","BAN-01479")</f>
        <v/>
      </c>
      <c r="B1622" s="85" t="str">
        <f>IF(A1622="","",IF(INDEX(EXTRATO!$C$2:$C$3000,MATCH($A1622,EXTRATO!$A$2:$A$3000,0))="","",INDEX(EXTRATO!$C$2:$C$3000,MATCH($A1622,EXTRATO!$A$2:$A$3000,0))))</f>
        <v/>
      </c>
      <c r="C1622" s="86" t="str">
        <f t="shared" si="38"/>
        <v/>
      </c>
      <c r="D1622" s="81"/>
      <c r="E1622" s="79"/>
      <c r="F1622" s="80" t="str">
        <f>IF(A1622="","",SUMIF(EXTRATO!$A$2:$A$3000,$A1622,EXTRATO!$J$2:$J$3000)+SUMIF(EXTRATO!$A$2:$A$3000,$A1622,EXTRATO!$K$2:$K$3000)+SUMIF(EXTRATO!$A$2:$A$3000,$A1622,EXTRATO!$L$2:$L$3000)+SUMIF(EXTRATO!$A$2:$A$3000,$A1622,EXTRATO!$M$2:$M$3000))</f>
        <v/>
      </c>
      <c r="G1622" s="81" t="str">
        <f>IF(A1622="","",IF(INDEX(EXTRATO!$G$2:$G$3000,MATCH($A1622,EXTRATO!$A$2:$A$3000,0))="","",INDEX(EXTRATO!$G$2:$G$3000,MATCH($A1622,EXTRATO!$A$2:$A$3000,0))))</f>
        <v/>
      </c>
      <c r="H1622" s="86" t="str">
        <f>IF(A1622="","",IF(INDEX(EXTRATO!$F$2:$F$3000,MATCH($A1622,EXTRATO!$A$2:$A$3000,0))="","",INDEX(EXTRATO!$F$2:$F$3000,MATCH($A1622,EXTRATO!$A$2:$A$3000,0))))</f>
        <v/>
      </c>
      <c r="I1622" s="88" t="str">
        <f>IF(A1622="","",IF(INDEX(EXTRATO!$H$2:$H$3000,MATCH($A1622,EXTRATO!$A$2:$A$3000,0))="","",INDEX(EXTRATO!$H$2:$H$3000,MATCH($A1622,EXTRATO!$A$2:$A$3000,0))))</f>
        <v/>
      </c>
      <c r="J1622" s="86" t="str">
        <f t="shared" si="37"/>
        <v/>
      </c>
      <c r="K1622" s="86" t="str">
        <f>IF(AND(A1622="",D1622="",E1622="",F1622=""),"",IF(D1622="","SEM CATEGORIA",IF(E1622="","SEM SUBCATEGORIA",IF(COUNTIFS(CADASTROS!$L$7:$L$93,D1622,CADASTROS!$D$7:$D$93,E1622)=0,"INCOMPATÍVEL","OK"))))</f>
        <v/>
      </c>
    </row>
    <row r="1623" spans="1:11" ht="30" hidden="1" customHeight="1" x14ac:dyDescent="0.25">
      <c r="A1623" s="86" t="str">
        <f>IF(COUNTIF(EXTRATO!$A$2:$A$3000,"BAN-01480")=0,"","BAN-01480")</f>
        <v/>
      </c>
      <c r="B1623" s="85" t="str">
        <f>IF(A1623="","",IF(INDEX(EXTRATO!$C$2:$C$3000,MATCH($A1623,EXTRATO!$A$2:$A$3000,0))="","",INDEX(EXTRATO!$C$2:$C$3000,MATCH($A1623,EXTRATO!$A$2:$A$3000,0))))</f>
        <v/>
      </c>
      <c r="C1623" s="86" t="str">
        <f t="shared" si="38"/>
        <v/>
      </c>
      <c r="D1623" s="81"/>
      <c r="E1623" s="79"/>
      <c r="F1623" s="80" t="str">
        <f>IF(A1623="","",SUMIF(EXTRATO!$A$2:$A$3000,$A1623,EXTRATO!$J$2:$J$3000)+SUMIF(EXTRATO!$A$2:$A$3000,$A1623,EXTRATO!$K$2:$K$3000)+SUMIF(EXTRATO!$A$2:$A$3000,$A1623,EXTRATO!$L$2:$L$3000)+SUMIF(EXTRATO!$A$2:$A$3000,$A1623,EXTRATO!$M$2:$M$3000))</f>
        <v/>
      </c>
      <c r="G1623" s="81" t="str">
        <f>IF(A1623="","",IF(INDEX(EXTRATO!$G$2:$G$3000,MATCH($A1623,EXTRATO!$A$2:$A$3000,0))="","",INDEX(EXTRATO!$G$2:$G$3000,MATCH($A1623,EXTRATO!$A$2:$A$3000,0))))</f>
        <v/>
      </c>
      <c r="H1623" s="86" t="str">
        <f>IF(A1623="","",IF(INDEX(EXTRATO!$F$2:$F$3000,MATCH($A1623,EXTRATO!$A$2:$A$3000,0))="","",INDEX(EXTRATO!$F$2:$F$3000,MATCH($A1623,EXTRATO!$A$2:$A$3000,0))))</f>
        <v/>
      </c>
      <c r="I1623" s="88" t="str">
        <f>IF(A1623="","",IF(INDEX(EXTRATO!$H$2:$H$3000,MATCH($A1623,EXTRATO!$A$2:$A$3000,0))="","",INDEX(EXTRATO!$H$2:$H$3000,MATCH($A1623,EXTRATO!$A$2:$A$3000,0))))</f>
        <v/>
      </c>
      <c r="J1623" s="86" t="str">
        <f t="shared" si="37"/>
        <v/>
      </c>
      <c r="K1623" s="86" t="str">
        <f>IF(AND(A1623="",D1623="",E1623="",F1623=""),"",IF(D1623="","SEM CATEGORIA",IF(E1623="","SEM SUBCATEGORIA",IF(COUNTIFS(CADASTROS!$L$7:$L$93,D1623,CADASTROS!$D$7:$D$93,E1623)=0,"INCOMPATÍVEL","OK"))))</f>
        <v/>
      </c>
    </row>
    <row r="1624" spans="1:11" ht="30" hidden="1" customHeight="1" x14ac:dyDescent="0.25">
      <c r="A1624" s="86" t="str">
        <f>IF(COUNTIF(EXTRATO!$A$2:$A$3000,"BAN-01481")=0,"","BAN-01481")</f>
        <v/>
      </c>
      <c r="B1624" s="85" t="str">
        <f>IF(A1624="","",IF(INDEX(EXTRATO!$C$2:$C$3000,MATCH($A1624,EXTRATO!$A$2:$A$3000,0))="","",INDEX(EXTRATO!$C$2:$C$3000,MATCH($A1624,EXTRATO!$A$2:$A$3000,0))))</f>
        <v/>
      </c>
      <c r="C1624" s="86" t="str">
        <f t="shared" si="38"/>
        <v/>
      </c>
      <c r="D1624" s="81"/>
      <c r="E1624" s="79"/>
      <c r="F1624" s="80" t="str">
        <f>IF(A1624="","",SUMIF(EXTRATO!$A$2:$A$3000,$A1624,EXTRATO!$J$2:$J$3000)+SUMIF(EXTRATO!$A$2:$A$3000,$A1624,EXTRATO!$K$2:$K$3000)+SUMIF(EXTRATO!$A$2:$A$3000,$A1624,EXTRATO!$L$2:$L$3000)+SUMIF(EXTRATO!$A$2:$A$3000,$A1624,EXTRATO!$M$2:$M$3000))</f>
        <v/>
      </c>
      <c r="G1624" s="81" t="str">
        <f>IF(A1624="","",IF(INDEX(EXTRATO!$G$2:$G$3000,MATCH($A1624,EXTRATO!$A$2:$A$3000,0))="","",INDEX(EXTRATO!$G$2:$G$3000,MATCH($A1624,EXTRATO!$A$2:$A$3000,0))))</f>
        <v/>
      </c>
      <c r="H1624" s="86" t="str">
        <f>IF(A1624="","",IF(INDEX(EXTRATO!$F$2:$F$3000,MATCH($A1624,EXTRATO!$A$2:$A$3000,0))="","",INDEX(EXTRATO!$F$2:$F$3000,MATCH($A1624,EXTRATO!$A$2:$A$3000,0))))</f>
        <v/>
      </c>
      <c r="I1624" s="88" t="str">
        <f>IF(A1624="","",IF(INDEX(EXTRATO!$H$2:$H$3000,MATCH($A1624,EXTRATO!$A$2:$A$3000,0))="","",INDEX(EXTRATO!$H$2:$H$3000,MATCH($A1624,EXTRATO!$A$2:$A$3000,0))))</f>
        <v/>
      </c>
      <c r="J1624" s="86" t="str">
        <f t="shared" si="37"/>
        <v/>
      </c>
      <c r="K1624" s="86" t="str">
        <f>IF(AND(A1624="",D1624="",E1624="",F1624=""),"",IF(D1624="","SEM CATEGORIA",IF(E1624="","SEM SUBCATEGORIA",IF(COUNTIFS(CADASTROS!$L$7:$L$93,D1624,CADASTROS!$D$7:$D$93,E1624)=0,"INCOMPATÍVEL","OK"))))</f>
        <v/>
      </c>
    </row>
    <row r="1625" spans="1:11" ht="30" hidden="1" customHeight="1" x14ac:dyDescent="0.25">
      <c r="A1625" s="86" t="str">
        <f>IF(COUNTIF(EXTRATO!$A$2:$A$3000,"BAN-01482")=0,"","BAN-01482")</f>
        <v/>
      </c>
      <c r="B1625" s="85" t="str">
        <f>IF(A1625="","",IF(INDEX(EXTRATO!$C$2:$C$3000,MATCH($A1625,EXTRATO!$A$2:$A$3000,0))="","",INDEX(EXTRATO!$C$2:$C$3000,MATCH($A1625,EXTRATO!$A$2:$A$3000,0))))</f>
        <v/>
      </c>
      <c r="C1625" s="86" t="str">
        <f t="shared" si="38"/>
        <v/>
      </c>
      <c r="D1625" s="81"/>
      <c r="E1625" s="79"/>
      <c r="F1625" s="80" t="str">
        <f>IF(A1625="","",SUMIF(EXTRATO!$A$2:$A$3000,$A1625,EXTRATO!$J$2:$J$3000)+SUMIF(EXTRATO!$A$2:$A$3000,$A1625,EXTRATO!$K$2:$K$3000)+SUMIF(EXTRATO!$A$2:$A$3000,$A1625,EXTRATO!$L$2:$L$3000)+SUMIF(EXTRATO!$A$2:$A$3000,$A1625,EXTRATO!$M$2:$M$3000))</f>
        <v/>
      </c>
      <c r="G1625" s="81" t="str">
        <f>IF(A1625="","",IF(INDEX(EXTRATO!$G$2:$G$3000,MATCH($A1625,EXTRATO!$A$2:$A$3000,0))="","",INDEX(EXTRATO!$G$2:$G$3000,MATCH($A1625,EXTRATO!$A$2:$A$3000,0))))</f>
        <v/>
      </c>
      <c r="H1625" s="86" t="str">
        <f>IF(A1625="","",IF(INDEX(EXTRATO!$F$2:$F$3000,MATCH($A1625,EXTRATO!$A$2:$A$3000,0))="","",INDEX(EXTRATO!$F$2:$F$3000,MATCH($A1625,EXTRATO!$A$2:$A$3000,0))))</f>
        <v/>
      </c>
      <c r="I1625" s="88" t="str">
        <f>IF(A1625="","",IF(INDEX(EXTRATO!$H$2:$H$3000,MATCH($A1625,EXTRATO!$A$2:$A$3000,0))="","",INDEX(EXTRATO!$H$2:$H$3000,MATCH($A1625,EXTRATO!$A$2:$A$3000,0))))</f>
        <v/>
      </c>
      <c r="J1625" s="86" t="str">
        <f t="shared" si="37"/>
        <v/>
      </c>
      <c r="K1625" s="86" t="str">
        <f>IF(AND(A1625="",D1625="",E1625="",F1625=""),"",IF(D1625="","SEM CATEGORIA",IF(E1625="","SEM SUBCATEGORIA",IF(COUNTIFS(CADASTROS!$L$7:$L$93,D1625,CADASTROS!$D$7:$D$93,E1625)=0,"INCOMPATÍVEL","OK"))))</f>
        <v/>
      </c>
    </row>
    <row r="1626" spans="1:11" ht="30" hidden="1" customHeight="1" x14ac:dyDescent="0.25">
      <c r="A1626" s="86" t="str">
        <f>IF(COUNTIF(EXTRATO!$A$2:$A$3000,"BAN-01483")=0,"","BAN-01483")</f>
        <v/>
      </c>
      <c r="B1626" s="85" t="str">
        <f>IF(A1626="","",IF(INDEX(EXTRATO!$C$2:$C$3000,MATCH($A1626,EXTRATO!$A$2:$A$3000,0))="","",INDEX(EXTRATO!$C$2:$C$3000,MATCH($A1626,EXTRATO!$A$2:$A$3000,0))))</f>
        <v/>
      </c>
      <c r="C1626" s="86" t="str">
        <f t="shared" si="38"/>
        <v/>
      </c>
      <c r="D1626" s="81"/>
      <c r="E1626" s="79"/>
      <c r="F1626" s="80" t="str">
        <f>IF(A1626="","",SUMIF(EXTRATO!$A$2:$A$3000,$A1626,EXTRATO!$J$2:$J$3000)+SUMIF(EXTRATO!$A$2:$A$3000,$A1626,EXTRATO!$K$2:$K$3000)+SUMIF(EXTRATO!$A$2:$A$3000,$A1626,EXTRATO!$L$2:$L$3000)+SUMIF(EXTRATO!$A$2:$A$3000,$A1626,EXTRATO!$M$2:$M$3000))</f>
        <v/>
      </c>
      <c r="G1626" s="81" t="str">
        <f>IF(A1626="","",IF(INDEX(EXTRATO!$G$2:$G$3000,MATCH($A1626,EXTRATO!$A$2:$A$3000,0))="","",INDEX(EXTRATO!$G$2:$G$3000,MATCH($A1626,EXTRATO!$A$2:$A$3000,0))))</f>
        <v/>
      </c>
      <c r="H1626" s="86" t="str">
        <f>IF(A1626="","",IF(INDEX(EXTRATO!$F$2:$F$3000,MATCH($A1626,EXTRATO!$A$2:$A$3000,0))="","",INDEX(EXTRATO!$F$2:$F$3000,MATCH($A1626,EXTRATO!$A$2:$A$3000,0))))</f>
        <v/>
      </c>
      <c r="I1626" s="88" t="str">
        <f>IF(A1626="","",IF(INDEX(EXTRATO!$H$2:$H$3000,MATCH($A1626,EXTRATO!$A$2:$A$3000,0))="","",INDEX(EXTRATO!$H$2:$H$3000,MATCH($A1626,EXTRATO!$A$2:$A$3000,0))))</f>
        <v/>
      </c>
      <c r="J1626" s="86" t="str">
        <f t="shared" si="37"/>
        <v/>
      </c>
      <c r="K1626" s="86" t="str">
        <f>IF(AND(A1626="",D1626="",E1626="",F1626=""),"",IF(D1626="","SEM CATEGORIA",IF(E1626="","SEM SUBCATEGORIA",IF(COUNTIFS(CADASTROS!$L$7:$L$93,D1626,CADASTROS!$D$7:$D$93,E1626)=0,"INCOMPATÍVEL","OK"))))</f>
        <v/>
      </c>
    </row>
    <row r="1627" spans="1:11" ht="30" hidden="1" customHeight="1" x14ac:dyDescent="0.25">
      <c r="A1627" s="86" t="str">
        <f>IF(COUNTIF(EXTRATO!$A$2:$A$3000,"BAN-01484")=0,"","BAN-01484")</f>
        <v/>
      </c>
      <c r="B1627" s="85" t="str">
        <f>IF(A1627="","",IF(INDEX(EXTRATO!$C$2:$C$3000,MATCH($A1627,EXTRATO!$A$2:$A$3000,0))="","",INDEX(EXTRATO!$C$2:$C$3000,MATCH($A1627,EXTRATO!$A$2:$A$3000,0))))</f>
        <v/>
      </c>
      <c r="C1627" s="86" t="str">
        <f t="shared" si="38"/>
        <v/>
      </c>
      <c r="D1627" s="81"/>
      <c r="E1627" s="79"/>
      <c r="F1627" s="80" t="str">
        <f>IF(A1627="","",SUMIF(EXTRATO!$A$2:$A$3000,$A1627,EXTRATO!$J$2:$J$3000)+SUMIF(EXTRATO!$A$2:$A$3000,$A1627,EXTRATO!$K$2:$K$3000)+SUMIF(EXTRATO!$A$2:$A$3000,$A1627,EXTRATO!$L$2:$L$3000)+SUMIF(EXTRATO!$A$2:$A$3000,$A1627,EXTRATO!$M$2:$M$3000))</f>
        <v/>
      </c>
      <c r="G1627" s="81" t="str">
        <f>IF(A1627="","",IF(INDEX(EXTRATO!$G$2:$G$3000,MATCH($A1627,EXTRATO!$A$2:$A$3000,0))="","",INDEX(EXTRATO!$G$2:$G$3000,MATCH($A1627,EXTRATO!$A$2:$A$3000,0))))</f>
        <v/>
      </c>
      <c r="H1627" s="86" t="str">
        <f>IF(A1627="","",IF(INDEX(EXTRATO!$F$2:$F$3000,MATCH($A1627,EXTRATO!$A$2:$A$3000,0))="","",INDEX(EXTRATO!$F$2:$F$3000,MATCH($A1627,EXTRATO!$A$2:$A$3000,0))))</f>
        <v/>
      </c>
      <c r="I1627" s="88" t="str">
        <f>IF(A1627="","",IF(INDEX(EXTRATO!$H$2:$H$3000,MATCH($A1627,EXTRATO!$A$2:$A$3000,0))="","",INDEX(EXTRATO!$H$2:$H$3000,MATCH($A1627,EXTRATO!$A$2:$A$3000,0))))</f>
        <v/>
      </c>
      <c r="J1627" s="86" t="str">
        <f t="shared" si="37"/>
        <v/>
      </c>
      <c r="K1627" s="86" t="str">
        <f>IF(AND(A1627="",D1627="",E1627="",F1627=""),"",IF(D1627="","SEM CATEGORIA",IF(E1627="","SEM SUBCATEGORIA",IF(COUNTIFS(CADASTROS!$L$7:$L$93,D1627,CADASTROS!$D$7:$D$93,E1627)=0,"INCOMPATÍVEL","OK"))))</f>
        <v/>
      </c>
    </row>
    <row r="1628" spans="1:11" ht="30" hidden="1" customHeight="1" x14ac:dyDescent="0.25">
      <c r="A1628" s="86" t="str">
        <f>IF(COUNTIF(EXTRATO!$A$2:$A$3000,"BAN-01485")=0,"","BAN-01485")</f>
        <v/>
      </c>
      <c r="B1628" s="85" t="str">
        <f>IF(A1628="","",IF(INDEX(EXTRATO!$C$2:$C$3000,MATCH($A1628,EXTRATO!$A$2:$A$3000,0))="","",INDEX(EXTRATO!$C$2:$C$3000,MATCH($A1628,EXTRATO!$A$2:$A$3000,0))))</f>
        <v/>
      </c>
      <c r="C1628" s="86" t="str">
        <f t="shared" si="38"/>
        <v/>
      </c>
      <c r="D1628" s="81"/>
      <c r="E1628" s="79"/>
      <c r="F1628" s="80" t="str">
        <f>IF(A1628="","",SUMIF(EXTRATO!$A$2:$A$3000,$A1628,EXTRATO!$J$2:$J$3000)+SUMIF(EXTRATO!$A$2:$A$3000,$A1628,EXTRATO!$K$2:$K$3000)+SUMIF(EXTRATO!$A$2:$A$3000,$A1628,EXTRATO!$L$2:$L$3000)+SUMIF(EXTRATO!$A$2:$A$3000,$A1628,EXTRATO!$M$2:$M$3000))</f>
        <v/>
      </c>
      <c r="G1628" s="81" t="str">
        <f>IF(A1628="","",IF(INDEX(EXTRATO!$G$2:$G$3000,MATCH($A1628,EXTRATO!$A$2:$A$3000,0))="","",INDEX(EXTRATO!$G$2:$G$3000,MATCH($A1628,EXTRATO!$A$2:$A$3000,0))))</f>
        <v/>
      </c>
      <c r="H1628" s="86" t="str">
        <f>IF(A1628="","",IF(INDEX(EXTRATO!$F$2:$F$3000,MATCH($A1628,EXTRATO!$A$2:$A$3000,0))="","",INDEX(EXTRATO!$F$2:$F$3000,MATCH($A1628,EXTRATO!$A$2:$A$3000,0))))</f>
        <v/>
      </c>
      <c r="I1628" s="88" t="str">
        <f>IF(A1628="","",IF(INDEX(EXTRATO!$H$2:$H$3000,MATCH($A1628,EXTRATO!$A$2:$A$3000,0))="","",INDEX(EXTRATO!$H$2:$H$3000,MATCH($A1628,EXTRATO!$A$2:$A$3000,0))))</f>
        <v/>
      </c>
      <c r="J1628" s="86" t="str">
        <f t="shared" si="37"/>
        <v/>
      </c>
      <c r="K1628" s="86" t="str">
        <f>IF(AND(A1628="",D1628="",E1628="",F1628=""),"",IF(D1628="","SEM CATEGORIA",IF(E1628="","SEM SUBCATEGORIA",IF(COUNTIFS(CADASTROS!$L$7:$L$93,D1628,CADASTROS!$D$7:$D$93,E1628)=0,"INCOMPATÍVEL","OK"))))</f>
        <v/>
      </c>
    </row>
    <row r="1629" spans="1:11" ht="30" hidden="1" customHeight="1" x14ac:dyDescent="0.25">
      <c r="A1629" s="86" t="str">
        <f>IF(COUNTIF(EXTRATO!$A$2:$A$3000,"BAN-01486")=0,"","BAN-01486")</f>
        <v/>
      </c>
      <c r="B1629" s="85" t="str">
        <f>IF(A1629="","",IF(INDEX(EXTRATO!$C$2:$C$3000,MATCH($A1629,EXTRATO!$A$2:$A$3000,0))="","",INDEX(EXTRATO!$C$2:$C$3000,MATCH($A1629,EXTRATO!$A$2:$A$3000,0))))</f>
        <v/>
      </c>
      <c r="C1629" s="86" t="str">
        <f t="shared" si="38"/>
        <v/>
      </c>
      <c r="D1629" s="81"/>
      <c r="E1629" s="79"/>
      <c r="F1629" s="80" t="str">
        <f>IF(A1629="","",SUMIF(EXTRATO!$A$2:$A$3000,$A1629,EXTRATO!$J$2:$J$3000)+SUMIF(EXTRATO!$A$2:$A$3000,$A1629,EXTRATO!$K$2:$K$3000)+SUMIF(EXTRATO!$A$2:$A$3000,$A1629,EXTRATO!$L$2:$L$3000)+SUMIF(EXTRATO!$A$2:$A$3000,$A1629,EXTRATO!$M$2:$M$3000))</f>
        <v/>
      </c>
      <c r="G1629" s="81" t="str">
        <f>IF(A1629="","",IF(INDEX(EXTRATO!$G$2:$G$3000,MATCH($A1629,EXTRATO!$A$2:$A$3000,0))="","",INDEX(EXTRATO!$G$2:$G$3000,MATCH($A1629,EXTRATO!$A$2:$A$3000,0))))</f>
        <v/>
      </c>
      <c r="H1629" s="86" t="str">
        <f>IF(A1629="","",IF(INDEX(EXTRATO!$F$2:$F$3000,MATCH($A1629,EXTRATO!$A$2:$A$3000,0))="","",INDEX(EXTRATO!$F$2:$F$3000,MATCH($A1629,EXTRATO!$A$2:$A$3000,0))))</f>
        <v/>
      </c>
      <c r="I1629" s="88" t="str">
        <f>IF(A1629="","",IF(INDEX(EXTRATO!$H$2:$H$3000,MATCH($A1629,EXTRATO!$A$2:$A$3000,0))="","",INDEX(EXTRATO!$H$2:$H$3000,MATCH($A1629,EXTRATO!$A$2:$A$3000,0))))</f>
        <v/>
      </c>
      <c r="J1629" s="86" t="str">
        <f t="shared" si="37"/>
        <v/>
      </c>
      <c r="K1629" s="86" t="str">
        <f>IF(AND(A1629="",D1629="",E1629="",F1629=""),"",IF(D1629="","SEM CATEGORIA",IF(E1629="","SEM SUBCATEGORIA",IF(COUNTIFS(CADASTROS!$L$7:$L$93,D1629,CADASTROS!$D$7:$D$93,E1629)=0,"INCOMPATÍVEL","OK"))))</f>
        <v/>
      </c>
    </row>
    <row r="1630" spans="1:11" ht="30" hidden="1" customHeight="1" x14ac:dyDescent="0.25">
      <c r="A1630" s="86" t="str">
        <f>IF(COUNTIF(EXTRATO!$A$2:$A$3000,"BAN-01487")=0,"","BAN-01487")</f>
        <v/>
      </c>
      <c r="B1630" s="85" t="str">
        <f>IF(A1630="","",IF(INDEX(EXTRATO!$C$2:$C$3000,MATCH($A1630,EXTRATO!$A$2:$A$3000,0))="","",INDEX(EXTRATO!$C$2:$C$3000,MATCH($A1630,EXTRATO!$A$2:$A$3000,0))))</f>
        <v/>
      </c>
      <c r="C1630" s="86" t="str">
        <f t="shared" si="38"/>
        <v/>
      </c>
      <c r="D1630" s="81"/>
      <c r="E1630" s="79"/>
      <c r="F1630" s="80" t="str">
        <f>IF(A1630="","",SUMIF(EXTRATO!$A$2:$A$3000,$A1630,EXTRATO!$J$2:$J$3000)+SUMIF(EXTRATO!$A$2:$A$3000,$A1630,EXTRATO!$K$2:$K$3000)+SUMIF(EXTRATO!$A$2:$A$3000,$A1630,EXTRATO!$L$2:$L$3000)+SUMIF(EXTRATO!$A$2:$A$3000,$A1630,EXTRATO!$M$2:$M$3000))</f>
        <v/>
      </c>
      <c r="G1630" s="81" t="str">
        <f>IF(A1630="","",IF(INDEX(EXTRATO!$G$2:$G$3000,MATCH($A1630,EXTRATO!$A$2:$A$3000,0))="","",INDEX(EXTRATO!$G$2:$G$3000,MATCH($A1630,EXTRATO!$A$2:$A$3000,0))))</f>
        <v/>
      </c>
      <c r="H1630" s="86" t="str">
        <f>IF(A1630="","",IF(INDEX(EXTRATO!$F$2:$F$3000,MATCH($A1630,EXTRATO!$A$2:$A$3000,0))="","",INDEX(EXTRATO!$F$2:$F$3000,MATCH($A1630,EXTRATO!$A$2:$A$3000,0))))</f>
        <v/>
      </c>
      <c r="I1630" s="88" t="str">
        <f>IF(A1630="","",IF(INDEX(EXTRATO!$H$2:$H$3000,MATCH($A1630,EXTRATO!$A$2:$A$3000,0))="","",INDEX(EXTRATO!$H$2:$H$3000,MATCH($A1630,EXTRATO!$A$2:$A$3000,0))))</f>
        <v/>
      </c>
      <c r="J1630" s="86" t="str">
        <f t="shared" si="37"/>
        <v/>
      </c>
      <c r="K1630" s="86" t="str">
        <f>IF(AND(A1630="",D1630="",E1630="",F1630=""),"",IF(D1630="","SEM CATEGORIA",IF(E1630="","SEM SUBCATEGORIA",IF(COUNTIFS(CADASTROS!$L$7:$L$93,D1630,CADASTROS!$D$7:$D$93,E1630)=0,"INCOMPATÍVEL","OK"))))</f>
        <v/>
      </c>
    </row>
    <row r="1631" spans="1:11" ht="30" hidden="1" customHeight="1" x14ac:dyDescent="0.25">
      <c r="A1631" s="86" t="str">
        <f>IF(COUNTIF(EXTRATO!$A$2:$A$3000,"BAN-01488")=0,"","BAN-01488")</f>
        <v/>
      </c>
      <c r="B1631" s="85" t="str">
        <f>IF(A1631="","",IF(INDEX(EXTRATO!$C$2:$C$3000,MATCH($A1631,EXTRATO!$A$2:$A$3000,0))="","",INDEX(EXTRATO!$C$2:$C$3000,MATCH($A1631,EXTRATO!$A$2:$A$3000,0))))</f>
        <v/>
      </c>
      <c r="C1631" s="86" t="str">
        <f t="shared" si="38"/>
        <v/>
      </c>
      <c r="D1631" s="81"/>
      <c r="E1631" s="79"/>
      <c r="F1631" s="80" t="str">
        <f>IF(A1631="","",SUMIF(EXTRATO!$A$2:$A$3000,$A1631,EXTRATO!$J$2:$J$3000)+SUMIF(EXTRATO!$A$2:$A$3000,$A1631,EXTRATO!$K$2:$K$3000)+SUMIF(EXTRATO!$A$2:$A$3000,$A1631,EXTRATO!$L$2:$L$3000)+SUMIF(EXTRATO!$A$2:$A$3000,$A1631,EXTRATO!$M$2:$M$3000))</f>
        <v/>
      </c>
      <c r="G1631" s="81" t="str">
        <f>IF(A1631="","",IF(INDEX(EXTRATO!$G$2:$G$3000,MATCH($A1631,EXTRATO!$A$2:$A$3000,0))="","",INDEX(EXTRATO!$G$2:$G$3000,MATCH($A1631,EXTRATO!$A$2:$A$3000,0))))</f>
        <v/>
      </c>
      <c r="H1631" s="86" t="str">
        <f>IF(A1631="","",IF(INDEX(EXTRATO!$F$2:$F$3000,MATCH($A1631,EXTRATO!$A$2:$A$3000,0))="","",INDEX(EXTRATO!$F$2:$F$3000,MATCH($A1631,EXTRATO!$A$2:$A$3000,0))))</f>
        <v/>
      </c>
      <c r="I1631" s="88" t="str">
        <f>IF(A1631="","",IF(INDEX(EXTRATO!$H$2:$H$3000,MATCH($A1631,EXTRATO!$A$2:$A$3000,0))="","",INDEX(EXTRATO!$H$2:$H$3000,MATCH($A1631,EXTRATO!$A$2:$A$3000,0))))</f>
        <v/>
      </c>
      <c r="J1631" s="86" t="str">
        <f t="shared" si="37"/>
        <v/>
      </c>
      <c r="K1631" s="86" t="str">
        <f>IF(AND(A1631="",D1631="",E1631="",F1631=""),"",IF(D1631="","SEM CATEGORIA",IF(E1631="","SEM SUBCATEGORIA",IF(COUNTIFS(CADASTROS!$L$7:$L$93,D1631,CADASTROS!$D$7:$D$93,E1631)=0,"INCOMPATÍVEL","OK"))))</f>
        <v/>
      </c>
    </row>
    <row r="1632" spans="1:11" ht="30" hidden="1" customHeight="1" x14ac:dyDescent="0.25">
      <c r="A1632" s="86" t="str">
        <f>IF(COUNTIF(EXTRATO!$A$2:$A$3000,"BAN-01489")=0,"","BAN-01489")</f>
        <v/>
      </c>
      <c r="B1632" s="85" t="str">
        <f>IF(A1632="","",IF(INDEX(EXTRATO!$C$2:$C$3000,MATCH($A1632,EXTRATO!$A$2:$A$3000,0))="","",INDEX(EXTRATO!$C$2:$C$3000,MATCH($A1632,EXTRATO!$A$2:$A$3000,0))))</f>
        <v/>
      </c>
      <c r="C1632" s="86" t="str">
        <f t="shared" si="38"/>
        <v/>
      </c>
      <c r="D1632" s="81"/>
      <c r="E1632" s="79"/>
      <c r="F1632" s="80" t="str">
        <f>IF(A1632="","",SUMIF(EXTRATO!$A$2:$A$3000,$A1632,EXTRATO!$J$2:$J$3000)+SUMIF(EXTRATO!$A$2:$A$3000,$A1632,EXTRATO!$K$2:$K$3000)+SUMIF(EXTRATO!$A$2:$A$3000,$A1632,EXTRATO!$L$2:$L$3000)+SUMIF(EXTRATO!$A$2:$A$3000,$A1632,EXTRATO!$M$2:$M$3000))</f>
        <v/>
      </c>
      <c r="G1632" s="81" t="str">
        <f>IF(A1632="","",IF(INDEX(EXTRATO!$G$2:$G$3000,MATCH($A1632,EXTRATO!$A$2:$A$3000,0))="","",INDEX(EXTRATO!$G$2:$G$3000,MATCH($A1632,EXTRATO!$A$2:$A$3000,0))))</f>
        <v/>
      </c>
      <c r="H1632" s="86" t="str">
        <f>IF(A1632="","",IF(INDEX(EXTRATO!$F$2:$F$3000,MATCH($A1632,EXTRATO!$A$2:$A$3000,0))="","",INDEX(EXTRATO!$F$2:$F$3000,MATCH($A1632,EXTRATO!$A$2:$A$3000,0))))</f>
        <v/>
      </c>
      <c r="I1632" s="88" t="str">
        <f>IF(A1632="","",IF(INDEX(EXTRATO!$H$2:$H$3000,MATCH($A1632,EXTRATO!$A$2:$A$3000,0))="","",INDEX(EXTRATO!$H$2:$H$3000,MATCH($A1632,EXTRATO!$A$2:$A$3000,0))))</f>
        <v/>
      </c>
      <c r="J1632" s="86" t="str">
        <f t="shared" si="37"/>
        <v/>
      </c>
      <c r="K1632" s="86" t="str">
        <f>IF(AND(A1632="",D1632="",E1632="",F1632=""),"",IF(D1632="","SEM CATEGORIA",IF(E1632="","SEM SUBCATEGORIA",IF(COUNTIFS(CADASTROS!$L$7:$L$93,D1632,CADASTROS!$D$7:$D$93,E1632)=0,"INCOMPATÍVEL","OK"))))</f>
        <v/>
      </c>
    </row>
    <row r="1633" spans="1:11" ht="30" hidden="1" customHeight="1" x14ac:dyDescent="0.25">
      <c r="A1633" s="86" t="str">
        <f>IF(COUNTIF(EXTRATO!$A$2:$A$3000,"BAN-01490")=0,"","BAN-01490")</f>
        <v/>
      </c>
      <c r="B1633" s="85" t="str">
        <f>IF(A1633="","",IF(INDEX(EXTRATO!$C$2:$C$3000,MATCH($A1633,EXTRATO!$A$2:$A$3000,0))="","",INDEX(EXTRATO!$C$2:$C$3000,MATCH($A1633,EXTRATO!$A$2:$A$3000,0))))</f>
        <v/>
      </c>
      <c r="C1633" s="86" t="str">
        <f t="shared" si="38"/>
        <v/>
      </c>
      <c r="D1633" s="81"/>
      <c r="E1633" s="79"/>
      <c r="F1633" s="80" t="str">
        <f>IF(A1633="","",SUMIF(EXTRATO!$A$2:$A$3000,$A1633,EXTRATO!$J$2:$J$3000)+SUMIF(EXTRATO!$A$2:$A$3000,$A1633,EXTRATO!$K$2:$K$3000)+SUMIF(EXTRATO!$A$2:$A$3000,$A1633,EXTRATO!$L$2:$L$3000)+SUMIF(EXTRATO!$A$2:$A$3000,$A1633,EXTRATO!$M$2:$M$3000))</f>
        <v/>
      </c>
      <c r="G1633" s="81" t="str">
        <f>IF(A1633="","",IF(INDEX(EXTRATO!$G$2:$G$3000,MATCH($A1633,EXTRATO!$A$2:$A$3000,0))="","",INDEX(EXTRATO!$G$2:$G$3000,MATCH($A1633,EXTRATO!$A$2:$A$3000,0))))</f>
        <v/>
      </c>
      <c r="H1633" s="86" t="str">
        <f>IF(A1633="","",IF(INDEX(EXTRATO!$F$2:$F$3000,MATCH($A1633,EXTRATO!$A$2:$A$3000,0))="","",INDEX(EXTRATO!$F$2:$F$3000,MATCH($A1633,EXTRATO!$A$2:$A$3000,0))))</f>
        <v/>
      </c>
      <c r="I1633" s="88" t="str">
        <f>IF(A1633="","",IF(INDEX(EXTRATO!$H$2:$H$3000,MATCH($A1633,EXTRATO!$A$2:$A$3000,0))="","",INDEX(EXTRATO!$H$2:$H$3000,MATCH($A1633,EXTRATO!$A$2:$A$3000,0))))</f>
        <v/>
      </c>
      <c r="J1633" s="86" t="str">
        <f t="shared" si="37"/>
        <v/>
      </c>
      <c r="K1633" s="86" t="str">
        <f>IF(AND(A1633="",D1633="",E1633="",F1633=""),"",IF(D1633="","SEM CATEGORIA",IF(E1633="","SEM SUBCATEGORIA",IF(COUNTIFS(CADASTROS!$L$7:$L$93,D1633,CADASTROS!$D$7:$D$93,E1633)=0,"INCOMPATÍVEL","OK"))))</f>
        <v/>
      </c>
    </row>
    <row r="1634" spans="1:11" ht="30" hidden="1" customHeight="1" x14ac:dyDescent="0.25">
      <c r="A1634" s="86" t="str">
        <f>IF(COUNTIF(EXTRATO!$A$2:$A$3000,"BAN-01491")=0,"","BAN-01491")</f>
        <v/>
      </c>
      <c r="B1634" s="85" t="str">
        <f>IF(A1634="","",IF(INDEX(EXTRATO!$C$2:$C$3000,MATCH($A1634,EXTRATO!$A$2:$A$3000,0))="","",INDEX(EXTRATO!$C$2:$C$3000,MATCH($A1634,EXTRATO!$A$2:$A$3000,0))))</f>
        <v/>
      </c>
      <c r="C1634" s="86" t="str">
        <f t="shared" si="38"/>
        <v/>
      </c>
      <c r="D1634" s="81"/>
      <c r="E1634" s="79"/>
      <c r="F1634" s="80" t="str">
        <f>IF(A1634="","",SUMIF(EXTRATO!$A$2:$A$3000,$A1634,EXTRATO!$J$2:$J$3000)+SUMIF(EXTRATO!$A$2:$A$3000,$A1634,EXTRATO!$K$2:$K$3000)+SUMIF(EXTRATO!$A$2:$A$3000,$A1634,EXTRATO!$L$2:$L$3000)+SUMIF(EXTRATO!$A$2:$A$3000,$A1634,EXTRATO!$M$2:$M$3000))</f>
        <v/>
      </c>
      <c r="G1634" s="81" t="str">
        <f>IF(A1634="","",IF(INDEX(EXTRATO!$G$2:$G$3000,MATCH($A1634,EXTRATO!$A$2:$A$3000,0))="","",INDEX(EXTRATO!$G$2:$G$3000,MATCH($A1634,EXTRATO!$A$2:$A$3000,0))))</f>
        <v/>
      </c>
      <c r="H1634" s="86" t="str">
        <f>IF(A1634="","",IF(INDEX(EXTRATO!$F$2:$F$3000,MATCH($A1634,EXTRATO!$A$2:$A$3000,0))="","",INDEX(EXTRATO!$F$2:$F$3000,MATCH($A1634,EXTRATO!$A$2:$A$3000,0))))</f>
        <v/>
      </c>
      <c r="I1634" s="88" t="str">
        <f>IF(A1634="","",IF(INDEX(EXTRATO!$H$2:$H$3000,MATCH($A1634,EXTRATO!$A$2:$A$3000,0))="","",INDEX(EXTRATO!$H$2:$H$3000,MATCH($A1634,EXTRATO!$A$2:$A$3000,0))))</f>
        <v/>
      </c>
      <c r="J1634" s="86" t="str">
        <f t="shared" si="37"/>
        <v/>
      </c>
      <c r="K1634" s="86" t="str">
        <f>IF(AND(A1634="",D1634="",E1634="",F1634=""),"",IF(D1634="","SEM CATEGORIA",IF(E1634="","SEM SUBCATEGORIA",IF(COUNTIFS(CADASTROS!$L$7:$L$93,D1634,CADASTROS!$D$7:$D$93,E1634)=0,"INCOMPATÍVEL","OK"))))</f>
        <v/>
      </c>
    </row>
    <row r="1635" spans="1:11" ht="30" hidden="1" customHeight="1" x14ac:dyDescent="0.25">
      <c r="A1635" s="86" t="str">
        <f>IF(COUNTIF(EXTRATO!$A$2:$A$3000,"BAN-01492")=0,"","BAN-01492")</f>
        <v/>
      </c>
      <c r="B1635" s="85" t="str">
        <f>IF(A1635="","",IF(INDEX(EXTRATO!$C$2:$C$3000,MATCH($A1635,EXTRATO!$A$2:$A$3000,0))="","",INDEX(EXTRATO!$C$2:$C$3000,MATCH($A1635,EXTRATO!$A$2:$A$3000,0))))</f>
        <v/>
      </c>
      <c r="C1635" s="86" t="str">
        <f t="shared" si="38"/>
        <v/>
      </c>
      <c r="D1635" s="81"/>
      <c r="E1635" s="79"/>
      <c r="F1635" s="80" t="str">
        <f>IF(A1635="","",SUMIF(EXTRATO!$A$2:$A$3000,$A1635,EXTRATO!$J$2:$J$3000)+SUMIF(EXTRATO!$A$2:$A$3000,$A1635,EXTRATO!$K$2:$K$3000)+SUMIF(EXTRATO!$A$2:$A$3000,$A1635,EXTRATO!$L$2:$L$3000)+SUMIF(EXTRATO!$A$2:$A$3000,$A1635,EXTRATO!$M$2:$M$3000))</f>
        <v/>
      </c>
      <c r="G1635" s="81" t="str">
        <f>IF(A1635="","",IF(INDEX(EXTRATO!$G$2:$G$3000,MATCH($A1635,EXTRATO!$A$2:$A$3000,0))="","",INDEX(EXTRATO!$G$2:$G$3000,MATCH($A1635,EXTRATO!$A$2:$A$3000,0))))</f>
        <v/>
      </c>
      <c r="H1635" s="86" t="str">
        <f>IF(A1635="","",IF(INDEX(EXTRATO!$F$2:$F$3000,MATCH($A1635,EXTRATO!$A$2:$A$3000,0))="","",INDEX(EXTRATO!$F$2:$F$3000,MATCH($A1635,EXTRATO!$A$2:$A$3000,0))))</f>
        <v/>
      </c>
      <c r="I1635" s="88" t="str">
        <f>IF(A1635="","",IF(INDEX(EXTRATO!$H$2:$H$3000,MATCH($A1635,EXTRATO!$A$2:$A$3000,0))="","",INDEX(EXTRATO!$H$2:$H$3000,MATCH($A1635,EXTRATO!$A$2:$A$3000,0))))</f>
        <v/>
      </c>
      <c r="J1635" s="86" t="str">
        <f t="shared" si="37"/>
        <v/>
      </c>
      <c r="K1635" s="86" t="str">
        <f>IF(AND(A1635="",D1635="",E1635="",F1635=""),"",IF(D1635="","SEM CATEGORIA",IF(E1635="","SEM SUBCATEGORIA",IF(COUNTIFS(CADASTROS!$L$7:$L$93,D1635,CADASTROS!$D$7:$D$93,E1635)=0,"INCOMPATÍVEL","OK"))))</f>
        <v/>
      </c>
    </row>
    <row r="1636" spans="1:11" ht="30" hidden="1" customHeight="1" x14ac:dyDescent="0.25">
      <c r="A1636" s="86" t="str">
        <f>IF(COUNTIF(EXTRATO!$A$2:$A$3000,"BAN-01493")=0,"","BAN-01493")</f>
        <v/>
      </c>
      <c r="B1636" s="85" t="str">
        <f>IF(A1636="","",IF(INDEX(EXTRATO!$C$2:$C$3000,MATCH($A1636,EXTRATO!$A$2:$A$3000,0))="","",INDEX(EXTRATO!$C$2:$C$3000,MATCH($A1636,EXTRATO!$A$2:$A$3000,0))))</f>
        <v/>
      </c>
      <c r="C1636" s="86" t="str">
        <f t="shared" si="38"/>
        <v/>
      </c>
      <c r="D1636" s="81"/>
      <c r="E1636" s="79"/>
      <c r="F1636" s="80" t="str">
        <f>IF(A1636="","",SUMIF(EXTRATO!$A$2:$A$3000,$A1636,EXTRATO!$J$2:$J$3000)+SUMIF(EXTRATO!$A$2:$A$3000,$A1636,EXTRATO!$K$2:$K$3000)+SUMIF(EXTRATO!$A$2:$A$3000,$A1636,EXTRATO!$L$2:$L$3000)+SUMIF(EXTRATO!$A$2:$A$3000,$A1636,EXTRATO!$M$2:$M$3000))</f>
        <v/>
      </c>
      <c r="G1636" s="81" t="str">
        <f>IF(A1636="","",IF(INDEX(EXTRATO!$G$2:$G$3000,MATCH($A1636,EXTRATO!$A$2:$A$3000,0))="","",INDEX(EXTRATO!$G$2:$G$3000,MATCH($A1636,EXTRATO!$A$2:$A$3000,0))))</f>
        <v/>
      </c>
      <c r="H1636" s="86" t="str">
        <f>IF(A1636="","",IF(INDEX(EXTRATO!$F$2:$F$3000,MATCH($A1636,EXTRATO!$A$2:$A$3000,0))="","",INDEX(EXTRATO!$F$2:$F$3000,MATCH($A1636,EXTRATO!$A$2:$A$3000,0))))</f>
        <v/>
      </c>
      <c r="I1636" s="88" t="str">
        <f>IF(A1636="","",IF(INDEX(EXTRATO!$H$2:$H$3000,MATCH($A1636,EXTRATO!$A$2:$A$3000,0))="","",INDEX(EXTRATO!$H$2:$H$3000,MATCH($A1636,EXTRATO!$A$2:$A$3000,0))))</f>
        <v/>
      </c>
      <c r="J1636" s="86" t="str">
        <f t="shared" si="37"/>
        <v/>
      </c>
      <c r="K1636" s="86" t="str">
        <f>IF(AND(A1636="",D1636="",E1636="",F1636=""),"",IF(D1636="","SEM CATEGORIA",IF(E1636="","SEM SUBCATEGORIA",IF(COUNTIFS(CADASTROS!$L$7:$L$93,D1636,CADASTROS!$D$7:$D$93,E1636)=0,"INCOMPATÍVEL","OK"))))</f>
        <v/>
      </c>
    </row>
    <row r="1637" spans="1:11" ht="30" hidden="1" customHeight="1" x14ac:dyDescent="0.25">
      <c r="A1637" s="86" t="str">
        <f>IF(COUNTIF(EXTRATO!$A$2:$A$3000,"BAN-01494")=0,"","BAN-01494")</f>
        <v/>
      </c>
      <c r="B1637" s="85" t="str">
        <f>IF(A1637="","",IF(INDEX(EXTRATO!$C$2:$C$3000,MATCH($A1637,EXTRATO!$A$2:$A$3000,0))="","",INDEX(EXTRATO!$C$2:$C$3000,MATCH($A1637,EXTRATO!$A$2:$A$3000,0))))</f>
        <v/>
      </c>
      <c r="C1637" s="86" t="str">
        <f t="shared" si="38"/>
        <v/>
      </c>
      <c r="D1637" s="81"/>
      <c r="E1637" s="79"/>
      <c r="F1637" s="80" t="str">
        <f>IF(A1637="","",SUMIF(EXTRATO!$A$2:$A$3000,$A1637,EXTRATO!$J$2:$J$3000)+SUMIF(EXTRATO!$A$2:$A$3000,$A1637,EXTRATO!$K$2:$K$3000)+SUMIF(EXTRATO!$A$2:$A$3000,$A1637,EXTRATO!$L$2:$L$3000)+SUMIF(EXTRATO!$A$2:$A$3000,$A1637,EXTRATO!$M$2:$M$3000))</f>
        <v/>
      </c>
      <c r="G1637" s="81" t="str">
        <f>IF(A1637="","",IF(INDEX(EXTRATO!$G$2:$G$3000,MATCH($A1637,EXTRATO!$A$2:$A$3000,0))="","",INDEX(EXTRATO!$G$2:$G$3000,MATCH($A1637,EXTRATO!$A$2:$A$3000,0))))</f>
        <v/>
      </c>
      <c r="H1637" s="86" t="str">
        <f>IF(A1637="","",IF(INDEX(EXTRATO!$F$2:$F$3000,MATCH($A1637,EXTRATO!$A$2:$A$3000,0))="","",INDEX(EXTRATO!$F$2:$F$3000,MATCH($A1637,EXTRATO!$A$2:$A$3000,0))))</f>
        <v/>
      </c>
      <c r="I1637" s="88" t="str">
        <f>IF(A1637="","",IF(INDEX(EXTRATO!$H$2:$H$3000,MATCH($A1637,EXTRATO!$A$2:$A$3000,0))="","",INDEX(EXTRATO!$H$2:$H$3000,MATCH($A1637,EXTRATO!$A$2:$A$3000,0))))</f>
        <v/>
      </c>
      <c r="J1637" s="86" t="str">
        <f t="shared" si="37"/>
        <v/>
      </c>
      <c r="K1637" s="86" t="str">
        <f>IF(AND(A1637="",D1637="",E1637="",F1637=""),"",IF(D1637="","SEM CATEGORIA",IF(E1637="","SEM SUBCATEGORIA",IF(COUNTIFS(CADASTROS!$L$7:$L$93,D1637,CADASTROS!$D$7:$D$93,E1637)=0,"INCOMPATÍVEL","OK"))))</f>
        <v/>
      </c>
    </row>
    <row r="1638" spans="1:11" ht="30" hidden="1" customHeight="1" x14ac:dyDescent="0.25">
      <c r="A1638" s="86" t="str">
        <f>IF(COUNTIF(EXTRATO!$A$2:$A$3000,"BAN-01495")=0,"","BAN-01495")</f>
        <v/>
      </c>
      <c r="B1638" s="85" t="str">
        <f>IF(A1638="","",IF(INDEX(EXTRATO!$C$2:$C$3000,MATCH($A1638,EXTRATO!$A$2:$A$3000,0))="","",INDEX(EXTRATO!$C$2:$C$3000,MATCH($A1638,EXTRATO!$A$2:$A$3000,0))))</f>
        <v/>
      </c>
      <c r="C1638" s="86" t="str">
        <f t="shared" si="38"/>
        <v/>
      </c>
      <c r="D1638" s="81"/>
      <c r="E1638" s="79"/>
      <c r="F1638" s="80" t="str">
        <f>IF(A1638="","",SUMIF(EXTRATO!$A$2:$A$3000,$A1638,EXTRATO!$J$2:$J$3000)+SUMIF(EXTRATO!$A$2:$A$3000,$A1638,EXTRATO!$K$2:$K$3000)+SUMIF(EXTRATO!$A$2:$A$3000,$A1638,EXTRATO!$L$2:$L$3000)+SUMIF(EXTRATO!$A$2:$A$3000,$A1638,EXTRATO!$M$2:$M$3000))</f>
        <v/>
      </c>
      <c r="G1638" s="81" t="str">
        <f>IF(A1638="","",IF(INDEX(EXTRATO!$G$2:$G$3000,MATCH($A1638,EXTRATO!$A$2:$A$3000,0))="","",INDEX(EXTRATO!$G$2:$G$3000,MATCH($A1638,EXTRATO!$A$2:$A$3000,0))))</f>
        <v/>
      </c>
      <c r="H1638" s="86" t="str">
        <f>IF(A1638="","",IF(INDEX(EXTRATO!$F$2:$F$3000,MATCH($A1638,EXTRATO!$A$2:$A$3000,0))="","",INDEX(EXTRATO!$F$2:$F$3000,MATCH($A1638,EXTRATO!$A$2:$A$3000,0))))</f>
        <v/>
      </c>
      <c r="I1638" s="88" t="str">
        <f>IF(A1638="","",IF(INDEX(EXTRATO!$H$2:$H$3000,MATCH($A1638,EXTRATO!$A$2:$A$3000,0))="","",INDEX(EXTRATO!$H$2:$H$3000,MATCH($A1638,EXTRATO!$A$2:$A$3000,0))))</f>
        <v/>
      </c>
      <c r="J1638" s="86" t="str">
        <f t="shared" si="37"/>
        <v/>
      </c>
      <c r="K1638" s="86" t="str">
        <f>IF(AND(A1638="",D1638="",E1638="",F1638=""),"",IF(D1638="","SEM CATEGORIA",IF(E1638="","SEM SUBCATEGORIA",IF(COUNTIFS(CADASTROS!$L$7:$L$93,D1638,CADASTROS!$D$7:$D$93,E1638)=0,"INCOMPATÍVEL","OK"))))</f>
        <v/>
      </c>
    </row>
    <row r="1639" spans="1:11" ht="30" hidden="1" customHeight="1" x14ac:dyDescent="0.25">
      <c r="A1639" s="86" t="str">
        <f>IF(COUNTIF(EXTRATO!$A$2:$A$3000,"BAN-01496")=0,"","BAN-01496")</f>
        <v/>
      </c>
      <c r="B1639" s="85" t="str">
        <f>IF(A1639="","",IF(INDEX(EXTRATO!$C$2:$C$3000,MATCH($A1639,EXTRATO!$A$2:$A$3000,0))="","",INDEX(EXTRATO!$C$2:$C$3000,MATCH($A1639,EXTRATO!$A$2:$A$3000,0))))</f>
        <v/>
      </c>
      <c r="C1639" s="86" t="str">
        <f t="shared" si="38"/>
        <v/>
      </c>
      <c r="D1639" s="81"/>
      <c r="E1639" s="79"/>
      <c r="F1639" s="80" t="str">
        <f>IF(A1639="","",SUMIF(EXTRATO!$A$2:$A$3000,$A1639,EXTRATO!$J$2:$J$3000)+SUMIF(EXTRATO!$A$2:$A$3000,$A1639,EXTRATO!$K$2:$K$3000)+SUMIF(EXTRATO!$A$2:$A$3000,$A1639,EXTRATO!$L$2:$L$3000)+SUMIF(EXTRATO!$A$2:$A$3000,$A1639,EXTRATO!$M$2:$M$3000))</f>
        <v/>
      </c>
      <c r="G1639" s="81" t="str">
        <f>IF(A1639="","",IF(INDEX(EXTRATO!$G$2:$G$3000,MATCH($A1639,EXTRATO!$A$2:$A$3000,0))="","",INDEX(EXTRATO!$G$2:$G$3000,MATCH($A1639,EXTRATO!$A$2:$A$3000,0))))</f>
        <v/>
      </c>
      <c r="H1639" s="86" t="str">
        <f>IF(A1639="","",IF(INDEX(EXTRATO!$F$2:$F$3000,MATCH($A1639,EXTRATO!$A$2:$A$3000,0))="","",INDEX(EXTRATO!$F$2:$F$3000,MATCH($A1639,EXTRATO!$A$2:$A$3000,0))))</f>
        <v/>
      </c>
      <c r="I1639" s="88" t="str">
        <f>IF(A1639="","",IF(INDEX(EXTRATO!$H$2:$H$3000,MATCH($A1639,EXTRATO!$A$2:$A$3000,0))="","",INDEX(EXTRATO!$H$2:$H$3000,MATCH($A1639,EXTRATO!$A$2:$A$3000,0))))</f>
        <v/>
      </c>
      <c r="J1639" s="86" t="str">
        <f t="shared" si="37"/>
        <v/>
      </c>
      <c r="K1639" s="86" t="str">
        <f>IF(AND(A1639="",D1639="",E1639="",F1639=""),"",IF(D1639="","SEM CATEGORIA",IF(E1639="","SEM SUBCATEGORIA",IF(COUNTIFS(CADASTROS!$L$7:$L$93,D1639,CADASTROS!$D$7:$D$93,E1639)=0,"INCOMPATÍVEL","OK"))))</f>
        <v/>
      </c>
    </row>
    <row r="1640" spans="1:11" ht="30" hidden="1" customHeight="1" x14ac:dyDescent="0.25">
      <c r="A1640" s="86" t="str">
        <f>IF(COUNTIF(EXTRATO!$A$2:$A$3000,"BAN-01497")=0,"","BAN-01497")</f>
        <v/>
      </c>
      <c r="B1640" s="85" t="str">
        <f>IF(A1640="","",IF(INDEX(EXTRATO!$C$2:$C$3000,MATCH($A1640,EXTRATO!$A$2:$A$3000,0))="","",INDEX(EXTRATO!$C$2:$C$3000,MATCH($A1640,EXTRATO!$A$2:$A$3000,0))))</f>
        <v/>
      </c>
      <c r="C1640" s="86" t="str">
        <f t="shared" si="38"/>
        <v/>
      </c>
      <c r="D1640" s="81"/>
      <c r="E1640" s="79"/>
      <c r="F1640" s="80" t="str">
        <f>IF(A1640="","",SUMIF(EXTRATO!$A$2:$A$3000,$A1640,EXTRATO!$J$2:$J$3000)+SUMIF(EXTRATO!$A$2:$A$3000,$A1640,EXTRATO!$K$2:$K$3000)+SUMIF(EXTRATO!$A$2:$A$3000,$A1640,EXTRATO!$L$2:$L$3000)+SUMIF(EXTRATO!$A$2:$A$3000,$A1640,EXTRATO!$M$2:$M$3000))</f>
        <v/>
      </c>
      <c r="G1640" s="81" t="str">
        <f>IF(A1640="","",IF(INDEX(EXTRATO!$G$2:$G$3000,MATCH($A1640,EXTRATO!$A$2:$A$3000,0))="","",INDEX(EXTRATO!$G$2:$G$3000,MATCH($A1640,EXTRATO!$A$2:$A$3000,0))))</f>
        <v/>
      </c>
      <c r="H1640" s="86" t="str">
        <f>IF(A1640="","",IF(INDEX(EXTRATO!$F$2:$F$3000,MATCH($A1640,EXTRATO!$A$2:$A$3000,0))="","",INDEX(EXTRATO!$F$2:$F$3000,MATCH($A1640,EXTRATO!$A$2:$A$3000,0))))</f>
        <v/>
      </c>
      <c r="I1640" s="88" t="str">
        <f>IF(A1640="","",IF(INDEX(EXTRATO!$H$2:$H$3000,MATCH($A1640,EXTRATO!$A$2:$A$3000,0))="","",INDEX(EXTRATO!$H$2:$H$3000,MATCH($A1640,EXTRATO!$A$2:$A$3000,0))))</f>
        <v/>
      </c>
      <c r="J1640" s="86" t="str">
        <f t="shared" si="37"/>
        <v/>
      </c>
      <c r="K1640" s="86" t="str">
        <f>IF(AND(A1640="",D1640="",E1640="",F1640=""),"",IF(D1640="","SEM CATEGORIA",IF(E1640="","SEM SUBCATEGORIA",IF(COUNTIFS(CADASTROS!$L$7:$L$93,D1640,CADASTROS!$D$7:$D$93,E1640)=0,"INCOMPATÍVEL","OK"))))</f>
        <v/>
      </c>
    </row>
    <row r="1641" spans="1:11" ht="30" hidden="1" customHeight="1" x14ac:dyDescent="0.25">
      <c r="A1641" s="86" t="str">
        <f>IF(COUNTIF(EXTRATO!$A$2:$A$3000,"BAN-01498")=0,"","BAN-01498")</f>
        <v/>
      </c>
      <c r="B1641" s="85" t="str">
        <f>IF(A1641="","",IF(INDEX(EXTRATO!$C$2:$C$3000,MATCH($A1641,EXTRATO!$A$2:$A$3000,0))="","",INDEX(EXTRATO!$C$2:$C$3000,MATCH($A1641,EXTRATO!$A$2:$A$3000,0))))</f>
        <v/>
      </c>
      <c r="C1641" s="86" t="str">
        <f t="shared" si="38"/>
        <v/>
      </c>
      <c r="D1641" s="81"/>
      <c r="E1641" s="79"/>
      <c r="F1641" s="80" t="str">
        <f>IF(A1641="","",SUMIF(EXTRATO!$A$2:$A$3000,$A1641,EXTRATO!$J$2:$J$3000)+SUMIF(EXTRATO!$A$2:$A$3000,$A1641,EXTRATO!$K$2:$K$3000)+SUMIF(EXTRATO!$A$2:$A$3000,$A1641,EXTRATO!$L$2:$L$3000)+SUMIF(EXTRATO!$A$2:$A$3000,$A1641,EXTRATO!$M$2:$M$3000))</f>
        <v/>
      </c>
      <c r="G1641" s="81" t="str">
        <f>IF(A1641="","",IF(INDEX(EXTRATO!$G$2:$G$3000,MATCH($A1641,EXTRATO!$A$2:$A$3000,0))="","",INDEX(EXTRATO!$G$2:$G$3000,MATCH($A1641,EXTRATO!$A$2:$A$3000,0))))</f>
        <v/>
      </c>
      <c r="H1641" s="86" t="str">
        <f>IF(A1641="","",IF(INDEX(EXTRATO!$F$2:$F$3000,MATCH($A1641,EXTRATO!$A$2:$A$3000,0))="","",INDEX(EXTRATO!$F$2:$F$3000,MATCH($A1641,EXTRATO!$A$2:$A$3000,0))))</f>
        <v/>
      </c>
      <c r="I1641" s="88" t="str">
        <f>IF(A1641="","",IF(INDEX(EXTRATO!$H$2:$H$3000,MATCH($A1641,EXTRATO!$A$2:$A$3000,0))="","",INDEX(EXTRATO!$H$2:$H$3000,MATCH($A1641,EXTRATO!$A$2:$A$3000,0))))</f>
        <v/>
      </c>
      <c r="J1641" s="86" t="str">
        <f t="shared" si="37"/>
        <v/>
      </c>
      <c r="K1641" s="86" t="str">
        <f>IF(AND(A1641="",D1641="",E1641="",F1641=""),"",IF(D1641="","SEM CATEGORIA",IF(E1641="","SEM SUBCATEGORIA",IF(COUNTIFS(CADASTROS!$L$7:$L$93,D1641,CADASTROS!$D$7:$D$93,E1641)=0,"INCOMPATÍVEL","OK"))))</f>
        <v/>
      </c>
    </row>
    <row r="1642" spans="1:11" ht="30" hidden="1" customHeight="1" x14ac:dyDescent="0.25">
      <c r="A1642" s="86" t="str">
        <f>IF(COUNTIF(EXTRATO!$A$2:$A$3000,"BAN-01499")=0,"","BAN-01499")</f>
        <v/>
      </c>
      <c r="B1642" s="85" t="str">
        <f>IF(A1642="","",IF(INDEX(EXTRATO!$C$2:$C$3000,MATCH($A1642,EXTRATO!$A$2:$A$3000,0))="","",INDEX(EXTRATO!$C$2:$C$3000,MATCH($A1642,EXTRATO!$A$2:$A$3000,0))))</f>
        <v/>
      </c>
      <c r="C1642" s="86" t="str">
        <f t="shared" si="38"/>
        <v/>
      </c>
      <c r="D1642" s="81"/>
      <c r="E1642" s="79"/>
      <c r="F1642" s="80" t="str">
        <f>IF(A1642="","",SUMIF(EXTRATO!$A$2:$A$3000,$A1642,EXTRATO!$J$2:$J$3000)+SUMIF(EXTRATO!$A$2:$A$3000,$A1642,EXTRATO!$K$2:$K$3000)+SUMIF(EXTRATO!$A$2:$A$3000,$A1642,EXTRATO!$L$2:$L$3000)+SUMIF(EXTRATO!$A$2:$A$3000,$A1642,EXTRATO!$M$2:$M$3000))</f>
        <v/>
      </c>
      <c r="G1642" s="81" t="str">
        <f>IF(A1642="","",IF(INDEX(EXTRATO!$G$2:$G$3000,MATCH($A1642,EXTRATO!$A$2:$A$3000,0))="","",INDEX(EXTRATO!$G$2:$G$3000,MATCH($A1642,EXTRATO!$A$2:$A$3000,0))))</f>
        <v/>
      </c>
      <c r="H1642" s="86" t="str">
        <f>IF(A1642="","",IF(INDEX(EXTRATO!$F$2:$F$3000,MATCH($A1642,EXTRATO!$A$2:$A$3000,0))="","",INDEX(EXTRATO!$F$2:$F$3000,MATCH($A1642,EXTRATO!$A$2:$A$3000,0))))</f>
        <v/>
      </c>
      <c r="I1642" s="88" t="str">
        <f>IF(A1642="","",IF(INDEX(EXTRATO!$H$2:$H$3000,MATCH($A1642,EXTRATO!$A$2:$A$3000,0))="","",INDEX(EXTRATO!$H$2:$H$3000,MATCH($A1642,EXTRATO!$A$2:$A$3000,0))))</f>
        <v/>
      </c>
      <c r="J1642" s="86" t="str">
        <f t="shared" si="37"/>
        <v/>
      </c>
      <c r="K1642" s="86" t="str">
        <f>IF(AND(A1642="",D1642="",E1642="",F1642=""),"",IF(D1642="","SEM CATEGORIA",IF(E1642="","SEM SUBCATEGORIA",IF(COUNTIFS(CADASTROS!$L$7:$L$93,D1642,CADASTROS!$D$7:$D$93,E1642)=0,"INCOMPATÍVEL","OK"))))</f>
        <v/>
      </c>
    </row>
    <row r="1643" spans="1:11" ht="30" hidden="1" customHeight="1" x14ac:dyDescent="0.25">
      <c r="A1643" s="86" t="str">
        <f>IF(COUNTIF(EXTRATO!$A$2:$A$3000,"BAN-01500")=0,"","BAN-01500")</f>
        <v/>
      </c>
      <c r="B1643" s="85" t="str">
        <f>IF(A1643="","",IF(INDEX(EXTRATO!$C$2:$C$3000,MATCH($A1643,EXTRATO!$A$2:$A$3000,0))="","",INDEX(EXTRATO!$C$2:$C$3000,MATCH($A1643,EXTRATO!$A$2:$A$3000,0))))</f>
        <v/>
      </c>
      <c r="C1643" s="86" t="str">
        <f t="shared" si="38"/>
        <v/>
      </c>
      <c r="D1643" s="81"/>
      <c r="E1643" s="79"/>
      <c r="F1643" s="80" t="str">
        <f>IF(A1643="","",SUMIF(EXTRATO!$A$2:$A$3000,$A1643,EXTRATO!$J$2:$J$3000)+SUMIF(EXTRATO!$A$2:$A$3000,$A1643,EXTRATO!$K$2:$K$3000)+SUMIF(EXTRATO!$A$2:$A$3000,$A1643,EXTRATO!$L$2:$L$3000)+SUMIF(EXTRATO!$A$2:$A$3000,$A1643,EXTRATO!$M$2:$M$3000))</f>
        <v/>
      </c>
      <c r="G1643" s="81" t="str">
        <f>IF(A1643="","",IF(INDEX(EXTRATO!$G$2:$G$3000,MATCH($A1643,EXTRATO!$A$2:$A$3000,0))="","",INDEX(EXTRATO!$G$2:$G$3000,MATCH($A1643,EXTRATO!$A$2:$A$3000,0))))</f>
        <v/>
      </c>
      <c r="H1643" s="86" t="str">
        <f>IF(A1643="","",IF(INDEX(EXTRATO!$F$2:$F$3000,MATCH($A1643,EXTRATO!$A$2:$A$3000,0))="","",INDEX(EXTRATO!$F$2:$F$3000,MATCH($A1643,EXTRATO!$A$2:$A$3000,0))))</f>
        <v/>
      </c>
      <c r="I1643" s="88" t="str">
        <f>IF(A1643="","",IF(INDEX(EXTRATO!$H$2:$H$3000,MATCH($A1643,EXTRATO!$A$2:$A$3000,0))="","",INDEX(EXTRATO!$H$2:$H$3000,MATCH($A1643,EXTRATO!$A$2:$A$3000,0))))</f>
        <v/>
      </c>
      <c r="J1643" s="86" t="str">
        <f t="shared" si="37"/>
        <v/>
      </c>
      <c r="K1643" s="86" t="str">
        <f>IF(AND(A1643="",D1643="",E1643="",F1643=""),"",IF(D1643="","SEM CATEGORIA",IF(E1643="","SEM SUBCATEGORIA",IF(COUNTIFS(CADASTROS!$L$7:$L$93,D1643,CADASTROS!$D$7:$D$93,E1643)=0,"INCOMPATÍVEL","OK"))))</f>
        <v/>
      </c>
    </row>
    <row r="1644" spans="1:11" ht="30" hidden="1" customHeight="1" x14ac:dyDescent="0.25">
      <c r="A1644" s="86" t="str">
        <f>IF(COUNTIF(EXTRATO!$A$2:$A$3000,"BAN-01501")=0,"","BAN-01501")</f>
        <v/>
      </c>
      <c r="B1644" s="85" t="str">
        <f>IF(A1644="","",IF(INDEX(EXTRATO!$C$2:$C$3000,MATCH($A1644,EXTRATO!$A$2:$A$3000,0))="","",INDEX(EXTRATO!$C$2:$C$3000,MATCH($A1644,EXTRATO!$A$2:$A$3000,0))))</f>
        <v/>
      </c>
      <c r="C1644" s="86" t="str">
        <f t="shared" si="38"/>
        <v/>
      </c>
      <c r="D1644" s="81"/>
      <c r="E1644" s="79"/>
      <c r="F1644" s="80" t="str">
        <f>IF(A1644="","",SUMIF(EXTRATO!$A$2:$A$3000,$A1644,EXTRATO!$J$2:$J$3000)+SUMIF(EXTRATO!$A$2:$A$3000,$A1644,EXTRATO!$K$2:$K$3000)+SUMIF(EXTRATO!$A$2:$A$3000,$A1644,EXTRATO!$L$2:$L$3000)+SUMIF(EXTRATO!$A$2:$A$3000,$A1644,EXTRATO!$M$2:$M$3000))</f>
        <v/>
      </c>
      <c r="G1644" s="81" t="str">
        <f>IF(A1644="","",IF(INDEX(EXTRATO!$G$2:$G$3000,MATCH($A1644,EXTRATO!$A$2:$A$3000,0))="","",INDEX(EXTRATO!$G$2:$G$3000,MATCH($A1644,EXTRATO!$A$2:$A$3000,0))))</f>
        <v/>
      </c>
      <c r="H1644" s="86" t="str">
        <f>IF(A1644="","",IF(INDEX(EXTRATO!$F$2:$F$3000,MATCH($A1644,EXTRATO!$A$2:$A$3000,0))="","",INDEX(EXTRATO!$F$2:$F$3000,MATCH($A1644,EXTRATO!$A$2:$A$3000,0))))</f>
        <v/>
      </c>
      <c r="I1644" s="88" t="str">
        <f>IF(A1644="","",IF(INDEX(EXTRATO!$H$2:$H$3000,MATCH($A1644,EXTRATO!$A$2:$A$3000,0))="","",INDEX(EXTRATO!$H$2:$H$3000,MATCH($A1644,EXTRATO!$A$2:$A$3000,0))))</f>
        <v/>
      </c>
      <c r="J1644" s="86" t="str">
        <f t="shared" ref="J1644:J1707" si="39">IF(A1644="","",IF(K1644="OK","MANUAL","PENDENTE"))</f>
        <v/>
      </c>
      <c r="K1644" s="86" t="str">
        <f>IF(AND(A1644="",D1644="",E1644="",F1644=""),"",IF(D1644="","SEM CATEGORIA",IF(E1644="","SEM SUBCATEGORIA",IF(COUNTIFS(CADASTROS!$L$7:$L$93,D1644,CADASTROS!$D$7:$D$93,E1644)=0,"INCOMPATÍVEL","OK"))))</f>
        <v/>
      </c>
    </row>
    <row r="1645" spans="1:11" ht="30" hidden="1" customHeight="1" x14ac:dyDescent="0.25">
      <c r="A1645" s="86" t="str">
        <f>IF(COUNTIF(EXTRATO!$A$2:$A$3000,"BAN-01502")=0,"","BAN-01502")</f>
        <v/>
      </c>
      <c r="B1645" s="85" t="str">
        <f>IF(A1645="","",IF(INDEX(EXTRATO!$C$2:$C$3000,MATCH($A1645,EXTRATO!$A$2:$A$3000,0))="","",INDEX(EXTRATO!$C$2:$C$3000,MATCH($A1645,EXTRATO!$A$2:$A$3000,0))))</f>
        <v/>
      </c>
      <c r="C1645" s="86" t="str">
        <f t="shared" si="38"/>
        <v/>
      </c>
      <c r="D1645" s="81"/>
      <c r="E1645" s="79"/>
      <c r="F1645" s="80" t="str">
        <f>IF(A1645="","",SUMIF(EXTRATO!$A$2:$A$3000,$A1645,EXTRATO!$J$2:$J$3000)+SUMIF(EXTRATO!$A$2:$A$3000,$A1645,EXTRATO!$K$2:$K$3000)+SUMIF(EXTRATO!$A$2:$A$3000,$A1645,EXTRATO!$L$2:$L$3000)+SUMIF(EXTRATO!$A$2:$A$3000,$A1645,EXTRATO!$M$2:$M$3000))</f>
        <v/>
      </c>
      <c r="G1645" s="81" t="str">
        <f>IF(A1645="","",IF(INDEX(EXTRATO!$G$2:$G$3000,MATCH($A1645,EXTRATO!$A$2:$A$3000,0))="","",INDEX(EXTRATO!$G$2:$G$3000,MATCH($A1645,EXTRATO!$A$2:$A$3000,0))))</f>
        <v/>
      </c>
      <c r="H1645" s="86" t="str">
        <f>IF(A1645="","",IF(INDEX(EXTRATO!$F$2:$F$3000,MATCH($A1645,EXTRATO!$A$2:$A$3000,0))="","",INDEX(EXTRATO!$F$2:$F$3000,MATCH($A1645,EXTRATO!$A$2:$A$3000,0))))</f>
        <v/>
      </c>
      <c r="I1645" s="88" t="str">
        <f>IF(A1645="","",IF(INDEX(EXTRATO!$H$2:$H$3000,MATCH($A1645,EXTRATO!$A$2:$A$3000,0))="","",INDEX(EXTRATO!$H$2:$H$3000,MATCH($A1645,EXTRATO!$A$2:$A$3000,0))))</f>
        <v/>
      </c>
      <c r="J1645" s="86" t="str">
        <f t="shared" si="39"/>
        <v/>
      </c>
      <c r="K1645" s="86" t="str">
        <f>IF(AND(A1645="",D1645="",E1645="",F1645=""),"",IF(D1645="","SEM CATEGORIA",IF(E1645="","SEM SUBCATEGORIA",IF(COUNTIFS(CADASTROS!$L$7:$L$93,D1645,CADASTROS!$D$7:$D$93,E1645)=0,"INCOMPATÍVEL","OK"))))</f>
        <v/>
      </c>
    </row>
    <row r="1646" spans="1:11" ht="30" hidden="1" customHeight="1" x14ac:dyDescent="0.25">
      <c r="A1646" s="86" t="str">
        <f>IF(COUNTIF(EXTRATO!$A$2:$A$3000,"BAN-01503")=0,"","BAN-01503")</f>
        <v/>
      </c>
      <c r="B1646" s="85" t="str">
        <f>IF(A1646="","",IF(INDEX(EXTRATO!$C$2:$C$3000,MATCH($A1646,EXTRATO!$A$2:$A$3000,0))="","",INDEX(EXTRATO!$C$2:$C$3000,MATCH($A1646,EXTRATO!$A$2:$A$3000,0))))</f>
        <v/>
      </c>
      <c r="C1646" s="86" t="str">
        <f t="shared" si="38"/>
        <v/>
      </c>
      <c r="D1646" s="81"/>
      <c r="E1646" s="79"/>
      <c r="F1646" s="80" t="str">
        <f>IF(A1646="","",SUMIF(EXTRATO!$A$2:$A$3000,$A1646,EXTRATO!$J$2:$J$3000)+SUMIF(EXTRATO!$A$2:$A$3000,$A1646,EXTRATO!$K$2:$K$3000)+SUMIF(EXTRATO!$A$2:$A$3000,$A1646,EXTRATO!$L$2:$L$3000)+SUMIF(EXTRATO!$A$2:$A$3000,$A1646,EXTRATO!$M$2:$M$3000))</f>
        <v/>
      </c>
      <c r="G1646" s="81" t="str">
        <f>IF(A1646="","",IF(INDEX(EXTRATO!$G$2:$G$3000,MATCH($A1646,EXTRATO!$A$2:$A$3000,0))="","",INDEX(EXTRATO!$G$2:$G$3000,MATCH($A1646,EXTRATO!$A$2:$A$3000,0))))</f>
        <v/>
      </c>
      <c r="H1646" s="86" t="str">
        <f>IF(A1646="","",IF(INDEX(EXTRATO!$F$2:$F$3000,MATCH($A1646,EXTRATO!$A$2:$A$3000,0))="","",INDEX(EXTRATO!$F$2:$F$3000,MATCH($A1646,EXTRATO!$A$2:$A$3000,0))))</f>
        <v/>
      </c>
      <c r="I1646" s="88" t="str">
        <f>IF(A1646="","",IF(INDEX(EXTRATO!$H$2:$H$3000,MATCH($A1646,EXTRATO!$A$2:$A$3000,0))="","",INDEX(EXTRATO!$H$2:$H$3000,MATCH($A1646,EXTRATO!$A$2:$A$3000,0))))</f>
        <v/>
      </c>
      <c r="J1646" s="86" t="str">
        <f t="shared" si="39"/>
        <v/>
      </c>
      <c r="K1646" s="86" t="str">
        <f>IF(AND(A1646="",D1646="",E1646="",F1646=""),"",IF(D1646="","SEM CATEGORIA",IF(E1646="","SEM SUBCATEGORIA",IF(COUNTIFS(CADASTROS!$L$7:$L$93,D1646,CADASTROS!$D$7:$D$93,E1646)=0,"INCOMPATÍVEL","OK"))))</f>
        <v/>
      </c>
    </row>
    <row r="1647" spans="1:11" ht="30" hidden="1" customHeight="1" x14ac:dyDescent="0.25">
      <c r="A1647" s="86" t="str">
        <f>IF(COUNTIF(EXTRATO!$A$2:$A$3000,"BAN-01504")=0,"","BAN-01504")</f>
        <v/>
      </c>
      <c r="B1647" s="85" t="str">
        <f>IF(A1647="","",IF(INDEX(EXTRATO!$C$2:$C$3000,MATCH($A1647,EXTRATO!$A$2:$A$3000,0))="","",INDEX(EXTRATO!$C$2:$C$3000,MATCH($A1647,EXTRATO!$A$2:$A$3000,0))))</f>
        <v/>
      </c>
      <c r="C1647" s="86" t="str">
        <f t="shared" si="38"/>
        <v/>
      </c>
      <c r="D1647" s="81"/>
      <c r="E1647" s="79"/>
      <c r="F1647" s="80" t="str">
        <f>IF(A1647="","",SUMIF(EXTRATO!$A$2:$A$3000,$A1647,EXTRATO!$J$2:$J$3000)+SUMIF(EXTRATO!$A$2:$A$3000,$A1647,EXTRATO!$K$2:$K$3000)+SUMIF(EXTRATO!$A$2:$A$3000,$A1647,EXTRATO!$L$2:$L$3000)+SUMIF(EXTRATO!$A$2:$A$3000,$A1647,EXTRATO!$M$2:$M$3000))</f>
        <v/>
      </c>
      <c r="G1647" s="81" t="str">
        <f>IF(A1647="","",IF(INDEX(EXTRATO!$G$2:$G$3000,MATCH($A1647,EXTRATO!$A$2:$A$3000,0))="","",INDEX(EXTRATO!$G$2:$G$3000,MATCH($A1647,EXTRATO!$A$2:$A$3000,0))))</f>
        <v/>
      </c>
      <c r="H1647" s="86" t="str">
        <f>IF(A1647="","",IF(INDEX(EXTRATO!$F$2:$F$3000,MATCH($A1647,EXTRATO!$A$2:$A$3000,0))="","",INDEX(EXTRATO!$F$2:$F$3000,MATCH($A1647,EXTRATO!$A$2:$A$3000,0))))</f>
        <v/>
      </c>
      <c r="I1647" s="88" t="str">
        <f>IF(A1647="","",IF(INDEX(EXTRATO!$H$2:$H$3000,MATCH($A1647,EXTRATO!$A$2:$A$3000,0))="","",INDEX(EXTRATO!$H$2:$H$3000,MATCH($A1647,EXTRATO!$A$2:$A$3000,0))))</f>
        <v/>
      </c>
      <c r="J1647" s="86" t="str">
        <f t="shared" si="39"/>
        <v/>
      </c>
      <c r="K1647" s="86" t="str">
        <f>IF(AND(A1647="",D1647="",E1647="",F1647=""),"",IF(D1647="","SEM CATEGORIA",IF(E1647="","SEM SUBCATEGORIA",IF(COUNTIFS(CADASTROS!$L$7:$L$93,D1647,CADASTROS!$D$7:$D$93,E1647)=0,"INCOMPATÍVEL","OK"))))</f>
        <v/>
      </c>
    </row>
    <row r="1648" spans="1:11" ht="30" hidden="1" customHeight="1" x14ac:dyDescent="0.25">
      <c r="A1648" s="86" t="str">
        <f>IF(COUNTIF(EXTRATO!$A$2:$A$3000,"BAN-01505")=0,"","BAN-01505")</f>
        <v/>
      </c>
      <c r="B1648" s="85" t="str">
        <f>IF(A1648="","",IF(INDEX(EXTRATO!$C$2:$C$3000,MATCH($A1648,EXTRATO!$A$2:$A$3000,0))="","",INDEX(EXTRATO!$C$2:$C$3000,MATCH($A1648,EXTRATO!$A$2:$A$3000,0))))</f>
        <v/>
      </c>
      <c r="C1648" s="86" t="str">
        <f t="shared" si="38"/>
        <v/>
      </c>
      <c r="D1648" s="81"/>
      <c r="E1648" s="79"/>
      <c r="F1648" s="80" t="str">
        <f>IF(A1648="","",SUMIF(EXTRATO!$A$2:$A$3000,$A1648,EXTRATO!$J$2:$J$3000)+SUMIF(EXTRATO!$A$2:$A$3000,$A1648,EXTRATO!$K$2:$K$3000)+SUMIF(EXTRATO!$A$2:$A$3000,$A1648,EXTRATO!$L$2:$L$3000)+SUMIF(EXTRATO!$A$2:$A$3000,$A1648,EXTRATO!$M$2:$M$3000))</f>
        <v/>
      </c>
      <c r="G1648" s="81" t="str">
        <f>IF(A1648="","",IF(INDEX(EXTRATO!$G$2:$G$3000,MATCH($A1648,EXTRATO!$A$2:$A$3000,0))="","",INDEX(EXTRATO!$G$2:$G$3000,MATCH($A1648,EXTRATO!$A$2:$A$3000,0))))</f>
        <v/>
      </c>
      <c r="H1648" s="86" t="str">
        <f>IF(A1648="","",IF(INDEX(EXTRATO!$F$2:$F$3000,MATCH($A1648,EXTRATO!$A$2:$A$3000,0))="","",INDEX(EXTRATO!$F$2:$F$3000,MATCH($A1648,EXTRATO!$A$2:$A$3000,0))))</f>
        <v/>
      </c>
      <c r="I1648" s="88" t="str">
        <f>IF(A1648="","",IF(INDEX(EXTRATO!$H$2:$H$3000,MATCH($A1648,EXTRATO!$A$2:$A$3000,0))="","",INDEX(EXTRATO!$H$2:$H$3000,MATCH($A1648,EXTRATO!$A$2:$A$3000,0))))</f>
        <v/>
      </c>
      <c r="J1648" s="86" t="str">
        <f t="shared" si="39"/>
        <v/>
      </c>
      <c r="K1648" s="86" t="str">
        <f>IF(AND(A1648="",D1648="",E1648="",F1648=""),"",IF(D1648="","SEM CATEGORIA",IF(E1648="","SEM SUBCATEGORIA",IF(COUNTIFS(CADASTROS!$L$7:$L$93,D1648,CADASTROS!$D$7:$D$93,E1648)=0,"INCOMPATÍVEL","OK"))))</f>
        <v/>
      </c>
    </row>
    <row r="1649" spans="1:11" ht="30" hidden="1" customHeight="1" x14ac:dyDescent="0.25">
      <c r="A1649" s="86" t="str">
        <f>IF(COUNTIF(EXTRATO!$A$2:$A$3000,"BAN-01506")=0,"","BAN-01506")</f>
        <v/>
      </c>
      <c r="B1649" s="85" t="str">
        <f>IF(A1649="","",IF(INDEX(EXTRATO!$C$2:$C$3000,MATCH($A1649,EXTRATO!$A$2:$A$3000,0))="","",INDEX(EXTRATO!$C$2:$C$3000,MATCH($A1649,EXTRATO!$A$2:$A$3000,0))))</f>
        <v/>
      </c>
      <c r="C1649" s="86" t="str">
        <f t="shared" si="38"/>
        <v/>
      </c>
      <c r="D1649" s="81"/>
      <c r="E1649" s="79"/>
      <c r="F1649" s="80" t="str">
        <f>IF(A1649="","",SUMIF(EXTRATO!$A$2:$A$3000,$A1649,EXTRATO!$J$2:$J$3000)+SUMIF(EXTRATO!$A$2:$A$3000,$A1649,EXTRATO!$K$2:$K$3000)+SUMIF(EXTRATO!$A$2:$A$3000,$A1649,EXTRATO!$L$2:$L$3000)+SUMIF(EXTRATO!$A$2:$A$3000,$A1649,EXTRATO!$M$2:$M$3000))</f>
        <v/>
      </c>
      <c r="G1649" s="81" t="str">
        <f>IF(A1649="","",IF(INDEX(EXTRATO!$G$2:$G$3000,MATCH($A1649,EXTRATO!$A$2:$A$3000,0))="","",INDEX(EXTRATO!$G$2:$G$3000,MATCH($A1649,EXTRATO!$A$2:$A$3000,0))))</f>
        <v/>
      </c>
      <c r="H1649" s="86" t="str">
        <f>IF(A1649="","",IF(INDEX(EXTRATO!$F$2:$F$3000,MATCH($A1649,EXTRATO!$A$2:$A$3000,0))="","",INDEX(EXTRATO!$F$2:$F$3000,MATCH($A1649,EXTRATO!$A$2:$A$3000,0))))</f>
        <v/>
      </c>
      <c r="I1649" s="88" t="str">
        <f>IF(A1649="","",IF(INDEX(EXTRATO!$H$2:$H$3000,MATCH($A1649,EXTRATO!$A$2:$A$3000,0))="","",INDEX(EXTRATO!$H$2:$H$3000,MATCH($A1649,EXTRATO!$A$2:$A$3000,0))))</f>
        <v/>
      </c>
      <c r="J1649" s="86" t="str">
        <f t="shared" si="39"/>
        <v/>
      </c>
      <c r="K1649" s="86" t="str">
        <f>IF(AND(A1649="",D1649="",E1649="",F1649=""),"",IF(D1649="","SEM CATEGORIA",IF(E1649="","SEM SUBCATEGORIA",IF(COUNTIFS(CADASTROS!$L$7:$L$93,D1649,CADASTROS!$D$7:$D$93,E1649)=0,"INCOMPATÍVEL","OK"))))</f>
        <v/>
      </c>
    </row>
    <row r="1650" spans="1:11" ht="30" hidden="1" customHeight="1" x14ac:dyDescent="0.25">
      <c r="A1650" s="86" t="str">
        <f>IF(COUNTIF(EXTRATO!$A$2:$A$3000,"BAN-01507")=0,"","BAN-01507")</f>
        <v/>
      </c>
      <c r="B1650" s="85" t="str">
        <f>IF(A1650="","",IF(INDEX(EXTRATO!$C$2:$C$3000,MATCH($A1650,EXTRATO!$A$2:$A$3000,0))="","",INDEX(EXTRATO!$C$2:$C$3000,MATCH($A1650,EXTRATO!$A$2:$A$3000,0))))</f>
        <v/>
      </c>
      <c r="C1650" s="86" t="str">
        <f t="shared" si="38"/>
        <v/>
      </c>
      <c r="D1650" s="81"/>
      <c r="E1650" s="79"/>
      <c r="F1650" s="80" t="str">
        <f>IF(A1650="","",SUMIF(EXTRATO!$A$2:$A$3000,$A1650,EXTRATO!$J$2:$J$3000)+SUMIF(EXTRATO!$A$2:$A$3000,$A1650,EXTRATO!$K$2:$K$3000)+SUMIF(EXTRATO!$A$2:$A$3000,$A1650,EXTRATO!$L$2:$L$3000)+SUMIF(EXTRATO!$A$2:$A$3000,$A1650,EXTRATO!$M$2:$M$3000))</f>
        <v/>
      </c>
      <c r="G1650" s="81" t="str">
        <f>IF(A1650="","",IF(INDEX(EXTRATO!$G$2:$G$3000,MATCH($A1650,EXTRATO!$A$2:$A$3000,0))="","",INDEX(EXTRATO!$G$2:$G$3000,MATCH($A1650,EXTRATO!$A$2:$A$3000,0))))</f>
        <v/>
      </c>
      <c r="H1650" s="86" t="str">
        <f>IF(A1650="","",IF(INDEX(EXTRATO!$F$2:$F$3000,MATCH($A1650,EXTRATO!$A$2:$A$3000,0))="","",INDEX(EXTRATO!$F$2:$F$3000,MATCH($A1650,EXTRATO!$A$2:$A$3000,0))))</f>
        <v/>
      </c>
      <c r="I1650" s="88" t="str">
        <f>IF(A1650="","",IF(INDEX(EXTRATO!$H$2:$H$3000,MATCH($A1650,EXTRATO!$A$2:$A$3000,0))="","",INDEX(EXTRATO!$H$2:$H$3000,MATCH($A1650,EXTRATO!$A$2:$A$3000,0))))</f>
        <v/>
      </c>
      <c r="J1650" s="86" t="str">
        <f t="shared" si="39"/>
        <v/>
      </c>
      <c r="K1650" s="86" t="str">
        <f>IF(AND(A1650="",D1650="",E1650="",F1650=""),"",IF(D1650="","SEM CATEGORIA",IF(E1650="","SEM SUBCATEGORIA",IF(COUNTIFS(CADASTROS!$L$7:$L$93,D1650,CADASTROS!$D$7:$D$93,E1650)=0,"INCOMPATÍVEL","OK"))))</f>
        <v/>
      </c>
    </row>
    <row r="1651" spans="1:11" ht="30" hidden="1" customHeight="1" x14ac:dyDescent="0.25">
      <c r="A1651" s="86" t="str">
        <f>IF(COUNTIF(EXTRATO!$A$2:$A$3000,"BAN-01508")=0,"","BAN-01508")</f>
        <v/>
      </c>
      <c r="B1651" s="85" t="str">
        <f>IF(A1651="","",IF(INDEX(EXTRATO!$C$2:$C$3000,MATCH($A1651,EXTRATO!$A$2:$A$3000,0))="","",INDEX(EXTRATO!$C$2:$C$3000,MATCH($A1651,EXTRATO!$A$2:$A$3000,0))))</f>
        <v/>
      </c>
      <c r="C1651" s="86" t="str">
        <f t="shared" si="38"/>
        <v/>
      </c>
      <c r="D1651" s="81"/>
      <c r="E1651" s="79"/>
      <c r="F1651" s="80" t="str">
        <f>IF(A1651="","",SUMIF(EXTRATO!$A$2:$A$3000,$A1651,EXTRATO!$J$2:$J$3000)+SUMIF(EXTRATO!$A$2:$A$3000,$A1651,EXTRATO!$K$2:$K$3000)+SUMIF(EXTRATO!$A$2:$A$3000,$A1651,EXTRATO!$L$2:$L$3000)+SUMIF(EXTRATO!$A$2:$A$3000,$A1651,EXTRATO!$M$2:$M$3000))</f>
        <v/>
      </c>
      <c r="G1651" s="81" t="str">
        <f>IF(A1651="","",IF(INDEX(EXTRATO!$G$2:$G$3000,MATCH($A1651,EXTRATO!$A$2:$A$3000,0))="","",INDEX(EXTRATO!$G$2:$G$3000,MATCH($A1651,EXTRATO!$A$2:$A$3000,0))))</f>
        <v/>
      </c>
      <c r="H1651" s="86" t="str">
        <f>IF(A1651="","",IF(INDEX(EXTRATO!$F$2:$F$3000,MATCH($A1651,EXTRATO!$A$2:$A$3000,0))="","",INDEX(EXTRATO!$F$2:$F$3000,MATCH($A1651,EXTRATO!$A$2:$A$3000,0))))</f>
        <v/>
      </c>
      <c r="I1651" s="88" t="str">
        <f>IF(A1651="","",IF(INDEX(EXTRATO!$H$2:$H$3000,MATCH($A1651,EXTRATO!$A$2:$A$3000,0))="","",INDEX(EXTRATO!$H$2:$H$3000,MATCH($A1651,EXTRATO!$A$2:$A$3000,0))))</f>
        <v/>
      </c>
      <c r="J1651" s="86" t="str">
        <f t="shared" si="39"/>
        <v/>
      </c>
      <c r="K1651" s="86" t="str">
        <f>IF(AND(A1651="",D1651="",E1651="",F1651=""),"",IF(D1651="","SEM CATEGORIA",IF(E1651="","SEM SUBCATEGORIA",IF(COUNTIFS(CADASTROS!$L$7:$L$93,D1651,CADASTROS!$D$7:$D$93,E1651)=0,"INCOMPATÍVEL","OK"))))</f>
        <v/>
      </c>
    </row>
    <row r="1652" spans="1:11" ht="30" hidden="1" customHeight="1" x14ac:dyDescent="0.25">
      <c r="A1652" s="86" t="str">
        <f>IF(COUNTIF(EXTRATO!$A$2:$A$3000,"BAN-01509")=0,"","BAN-01509")</f>
        <v/>
      </c>
      <c r="B1652" s="85" t="str">
        <f>IF(A1652="","",IF(INDEX(EXTRATO!$C$2:$C$3000,MATCH($A1652,EXTRATO!$A$2:$A$3000,0))="","",INDEX(EXTRATO!$C$2:$C$3000,MATCH($A1652,EXTRATO!$A$2:$A$3000,0))))</f>
        <v/>
      </c>
      <c r="C1652" s="86" t="str">
        <f t="shared" si="38"/>
        <v/>
      </c>
      <c r="D1652" s="81"/>
      <c r="E1652" s="79"/>
      <c r="F1652" s="80" t="str">
        <f>IF(A1652="","",SUMIF(EXTRATO!$A$2:$A$3000,$A1652,EXTRATO!$J$2:$J$3000)+SUMIF(EXTRATO!$A$2:$A$3000,$A1652,EXTRATO!$K$2:$K$3000)+SUMIF(EXTRATO!$A$2:$A$3000,$A1652,EXTRATO!$L$2:$L$3000)+SUMIF(EXTRATO!$A$2:$A$3000,$A1652,EXTRATO!$M$2:$M$3000))</f>
        <v/>
      </c>
      <c r="G1652" s="81" t="str">
        <f>IF(A1652="","",IF(INDEX(EXTRATO!$G$2:$G$3000,MATCH($A1652,EXTRATO!$A$2:$A$3000,0))="","",INDEX(EXTRATO!$G$2:$G$3000,MATCH($A1652,EXTRATO!$A$2:$A$3000,0))))</f>
        <v/>
      </c>
      <c r="H1652" s="86" t="str">
        <f>IF(A1652="","",IF(INDEX(EXTRATO!$F$2:$F$3000,MATCH($A1652,EXTRATO!$A$2:$A$3000,0))="","",INDEX(EXTRATO!$F$2:$F$3000,MATCH($A1652,EXTRATO!$A$2:$A$3000,0))))</f>
        <v/>
      </c>
      <c r="I1652" s="88" t="str">
        <f>IF(A1652="","",IF(INDEX(EXTRATO!$H$2:$H$3000,MATCH($A1652,EXTRATO!$A$2:$A$3000,0))="","",INDEX(EXTRATO!$H$2:$H$3000,MATCH($A1652,EXTRATO!$A$2:$A$3000,0))))</f>
        <v/>
      </c>
      <c r="J1652" s="86" t="str">
        <f t="shared" si="39"/>
        <v/>
      </c>
      <c r="K1652" s="86" t="str">
        <f>IF(AND(A1652="",D1652="",E1652="",F1652=""),"",IF(D1652="","SEM CATEGORIA",IF(E1652="","SEM SUBCATEGORIA",IF(COUNTIFS(CADASTROS!$L$7:$L$93,D1652,CADASTROS!$D$7:$D$93,E1652)=0,"INCOMPATÍVEL","OK"))))</f>
        <v/>
      </c>
    </row>
    <row r="1653" spans="1:11" ht="30" hidden="1" customHeight="1" x14ac:dyDescent="0.25">
      <c r="A1653" s="86" t="str">
        <f>IF(COUNTIF(EXTRATO!$A$2:$A$3000,"BAN-01510")=0,"","BAN-01510")</f>
        <v/>
      </c>
      <c r="B1653" s="85" t="str">
        <f>IF(A1653="","",IF(INDEX(EXTRATO!$C$2:$C$3000,MATCH($A1653,EXTRATO!$A$2:$A$3000,0))="","",INDEX(EXTRATO!$C$2:$C$3000,MATCH($A1653,EXTRATO!$A$2:$A$3000,0))))</f>
        <v/>
      </c>
      <c r="C1653" s="86" t="str">
        <f t="shared" si="38"/>
        <v/>
      </c>
      <c r="D1653" s="81"/>
      <c r="E1653" s="79"/>
      <c r="F1653" s="80" t="str">
        <f>IF(A1653="","",SUMIF(EXTRATO!$A$2:$A$3000,$A1653,EXTRATO!$J$2:$J$3000)+SUMIF(EXTRATO!$A$2:$A$3000,$A1653,EXTRATO!$K$2:$K$3000)+SUMIF(EXTRATO!$A$2:$A$3000,$A1653,EXTRATO!$L$2:$L$3000)+SUMIF(EXTRATO!$A$2:$A$3000,$A1653,EXTRATO!$M$2:$M$3000))</f>
        <v/>
      </c>
      <c r="G1653" s="81" t="str">
        <f>IF(A1653="","",IF(INDEX(EXTRATO!$G$2:$G$3000,MATCH($A1653,EXTRATO!$A$2:$A$3000,0))="","",INDEX(EXTRATO!$G$2:$G$3000,MATCH($A1653,EXTRATO!$A$2:$A$3000,0))))</f>
        <v/>
      </c>
      <c r="H1653" s="86" t="str">
        <f>IF(A1653="","",IF(INDEX(EXTRATO!$F$2:$F$3000,MATCH($A1653,EXTRATO!$A$2:$A$3000,0))="","",INDEX(EXTRATO!$F$2:$F$3000,MATCH($A1653,EXTRATO!$A$2:$A$3000,0))))</f>
        <v/>
      </c>
      <c r="I1653" s="88" t="str">
        <f>IF(A1653="","",IF(INDEX(EXTRATO!$H$2:$H$3000,MATCH($A1653,EXTRATO!$A$2:$A$3000,0))="","",INDEX(EXTRATO!$H$2:$H$3000,MATCH($A1653,EXTRATO!$A$2:$A$3000,0))))</f>
        <v/>
      </c>
      <c r="J1653" s="86" t="str">
        <f t="shared" si="39"/>
        <v/>
      </c>
      <c r="K1653" s="86" t="str">
        <f>IF(AND(A1653="",D1653="",E1653="",F1653=""),"",IF(D1653="","SEM CATEGORIA",IF(E1653="","SEM SUBCATEGORIA",IF(COUNTIFS(CADASTROS!$L$7:$L$93,D1653,CADASTROS!$D$7:$D$93,E1653)=0,"INCOMPATÍVEL","OK"))))</f>
        <v/>
      </c>
    </row>
    <row r="1654" spans="1:11" ht="30" hidden="1" customHeight="1" x14ac:dyDescent="0.25">
      <c r="A1654" s="86" t="str">
        <f>IF(COUNTIF(EXTRATO!$A$2:$A$3000,"BAN-01511")=0,"","BAN-01511")</f>
        <v/>
      </c>
      <c r="B1654" s="85" t="str">
        <f>IF(A1654="","",IF(INDEX(EXTRATO!$C$2:$C$3000,MATCH($A1654,EXTRATO!$A$2:$A$3000,0))="","",INDEX(EXTRATO!$C$2:$C$3000,MATCH($A1654,EXTRATO!$A$2:$A$3000,0))))</f>
        <v/>
      </c>
      <c r="C1654" s="86" t="str">
        <f t="shared" si="38"/>
        <v/>
      </c>
      <c r="D1654" s="81"/>
      <c r="E1654" s="79"/>
      <c r="F1654" s="80" t="str">
        <f>IF(A1654="","",SUMIF(EXTRATO!$A$2:$A$3000,$A1654,EXTRATO!$J$2:$J$3000)+SUMIF(EXTRATO!$A$2:$A$3000,$A1654,EXTRATO!$K$2:$K$3000)+SUMIF(EXTRATO!$A$2:$A$3000,$A1654,EXTRATO!$L$2:$L$3000)+SUMIF(EXTRATO!$A$2:$A$3000,$A1654,EXTRATO!$M$2:$M$3000))</f>
        <v/>
      </c>
      <c r="G1654" s="81" t="str">
        <f>IF(A1654="","",IF(INDEX(EXTRATO!$G$2:$G$3000,MATCH($A1654,EXTRATO!$A$2:$A$3000,0))="","",INDEX(EXTRATO!$G$2:$G$3000,MATCH($A1654,EXTRATO!$A$2:$A$3000,0))))</f>
        <v/>
      </c>
      <c r="H1654" s="86" t="str">
        <f>IF(A1654="","",IF(INDEX(EXTRATO!$F$2:$F$3000,MATCH($A1654,EXTRATO!$A$2:$A$3000,0))="","",INDEX(EXTRATO!$F$2:$F$3000,MATCH($A1654,EXTRATO!$A$2:$A$3000,0))))</f>
        <v/>
      </c>
      <c r="I1654" s="88" t="str">
        <f>IF(A1654="","",IF(INDEX(EXTRATO!$H$2:$H$3000,MATCH($A1654,EXTRATO!$A$2:$A$3000,0))="","",INDEX(EXTRATO!$H$2:$H$3000,MATCH($A1654,EXTRATO!$A$2:$A$3000,0))))</f>
        <v/>
      </c>
      <c r="J1654" s="86" t="str">
        <f t="shared" si="39"/>
        <v/>
      </c>
      <c r="K1654" s="86" t="str">
        <f>IF(AND(A1654="",D1654="",E1654="",F1654=""),"",IF(D1654="","SEM CATEGORIA",IF(E1654="","SEM SUBCATEGORIA",IF(COUNTIFS(CADASTROS!$L$7:$L$93,D1654,CADASTROS!$D$7:$D$93,E1654)=0,"INCOMPATÍVEL","OK"))))</f>
        <v/>
      </c>
    </row>
    <row r="1655" spans="1:11" ht="30" hidden="1" customHeight="1" x14ac:dyDescent="0.25">
      <c r="A1655" s="86" t="str">
        <f>IF(COUNTIF(EXTRATO!$A$2:$A$3000,"BAN-01512")=0,"","BAN-01512")</f>
        <v/>
      </c>
      <c r="B1655" s="85" t="str">
        <f>IF(A1655="","",IF(INDEX(EXTRATO!$C$2:$C$3000,MATCH($A1655,EXTRATO!$A$2:$A$3000,0))="","",INDEX(EXTRATO!$C$2:$C$3000,MATCH($A1655,EXTRATO!$A$2:$A$3000,0))))</f>
        <v/>
      </c>
      <c r="C1655" s="86" t="str">
        <f t="shared" si="38"/>
        <v/>
      </c>
      <c r="D1655" s="81"/>
      <c r="E1655" s="79"/>
      <c r="F1655" s="80" t="str">
        <f>IF(A1655="","",SUMIF(EXTRATO!$A$2:$A$3000,$A1655,EXTRATO!$J$2:$J$3000)+SUMIF(EXTRATO!$A$2:$A$3000,$A1655,EXTRATO!$K$2:$K$3000)+SUMIF(EXTRATO!$A$2:$A$3000,$A1655,EXTRATO!$L$2:$L$3000)+SUMIF(EXTRATO!$A$2:$A$3000,$A1655,EXTRATO!$M$2:$M$3000))</f>
        <v/>
      </c>
      <c r="G1655" s="81" t="str">
        <f>IF(A1655="","",IF(INDEX(EXTRATO!$G$2:$G$3000,MATCH($A1655,EXTRATO!$A$2:$A$3000,0))="","",INDEX(EXTRATO!$G$2:$G$3000,MATCH($A1655,EXTRATO!$A$2:$A$3000,0))))</f>
        <v/>
      </c>
      <c r="H1655" s="86" t="str">
        <f>IF(A1655="","",IF(INDEX(EXTRATO!$F$2:$F$3000,MATCH($A1655,EXTRATO!$A$2:$A$3000,0))="","",INDEX(EXTRATO!$F$2:$F$3000,MATCH($A1655,EXTRATO!$A$2:$A$3000,0))))</f>
        <v/>
      </c>
      <c r="I1655" s="88" t="str">
        <f>IF(A1655="","",IF(INDEX(EXTRATO!$H$2:$H$3000,MATCH($A1655,EXTRATO!$A$2:$A$3000,0))="","",INDEX(EXTRATO!$H$2:$H$3000,MATCH($A1655,EXTRATO!$A$2:$A$3000,0))))</f>
        <v/>
      </c>
      <c r="J1655" s="86" t="str">
        <f t="shared" si="39"/>
        <v/>
      </c>
      <c r="K1655" s="86" t="str">
        <f>IF(AND(A1655="",D1655="",E1655="",F1655=""),"",IF(D1655="","SEM CATEGORIA",IF(E1655="","SEM SUBCATEGORIA",IF(COUNTIFS(CADASTROS!$L$7:$L$93,D1655,CADASTROS!$D$7:$D$93,E1655)=0,"INCOMPATÍVEL","OK"))))</f>
        <v/>
      </c>
    </row>
    <row r="1656" spans="1:11" ht="30" hidden="1" customHeight="1" x14ac:dyDescent="0.25">
      <c r="A1656" s="86" t="str">
        <f>IF(COUNTIF(EXTRATO!$A$2:$A$3000,"BAN-01513")=0,"","BAN-01513")</f>
        <v/>
      </c>
      <c r="B1656" s="85" t="str">
        <f>IF(A1656="","",IF(INDEX(EXTRATO!$C$2:$C$3000,MATCH($A1656,EXTRATO!$A$2:$A$3000,0))="","",INDEX(EXTRATO!$C$2:$C$3000,MATCH($A1656,EXTRATO!$A$2:$A$3000,0))))</f>
        <v/>
      </c>
      <c r="C1656" s="86" t="str">
        <f t="shared" si="38"/>
        <v/>
      </c>
      <c r="D1656" s="81"/>
      <c r="E1656" s="79"/>
      <c r="F1656" s="80" t="str">
        <f>IF(A1656="","",SUMIF(EXTRATO!$A$2:$A$3000,$A1656,EXTRATO!$J$2:$J$3000)+SUMIF(EXTRATO!$A$2:$A$3000,$A1656,EXTRATO!$K$2:$K$3000)+SUMIF(EXTRATO!$A$2:$A$3000,$A1656,EXTRATO!$L$2:$L$3000)+SUMIF(EXTRATO!$A$2:$A$3000,$A1656,EXTRATO!$M$2:$M$3000))</f>
        <v/>
      </c>
      <c r="G1656" s="81" t="str">
        <f>IF(A1656="","",IF(INDEX(EXTRATO!$G$2:$G$3000,MATCH($A1656,EXTRATO!$A$2:$A$3000,0))="","",INDEX(EXTRATO!$G$2:$G$3000,MATCH($A1656,EXTRATO!$A$2:$A$3000,0))))</f>
        <v/>
      </c>
      <c r="H1656" s="86" t="str">
        <f>IF(A1656="","",IF(INDEX(EXTRATO!$F$2:$F$3000,MATCH($A1656,EXTRATO!$A$2:$A$3000,0))="","",INDEX(EXTRATO!$F$2:$F$3000,MATCH($A1656,EXTRATO!$A$2:$A$3000,0))))</f>
        <v/>
      </c>
      <c r="I1656" s="88" t="str">
        <f>IF(A1656="","",IF(INDEX(EXTRATO!$H$2:$H$3000,MATCH($A1656,EXTRATO!$A$2:$A$3000,0))="","",INDEX(EXTRATO!$H$2:$H$3000,MATCH($A1656,EXTRATO!$A$2:$A$3000,0))))</f>
        <v/>
      </c>
      <c r="J1656" s="86" t="str">
        <f t="shared" si="39"/>
        <v/>
      </c>
      <c r="K1656" s="86" t="str">
        <f>IF(AND(A1656="",D1656="",E1656="",F1656=""),"",IF(D1656="","SEM CATEGORIA",IF(E1656="","SEM SUBCATEGORIA",IF(COUNTIFS(CADASTROS!$L$7:$L$93,D1656,CADASTROS!$D$7:$D$93,E1656)=0,"INCOMPATÍVEL","OK"))))</f>
        <v/>
      </c>
    </row>
    <row r="1657" spans="1:11" ht="30" hidden="1" customHeight="1" x14ac:dyDescent="0.25">
      <c r="A1657" s="86" t="str">
        <f>IF(COUNTIF(EXTRATO!$A$2:$A$3000,"BAN-01514")=0,"","BAN-01514")</f>
        <v/>
      </c>
      <c r="B1657" s="85" t="str">
        <f>IF(A1657="","",IF(INDEX(EXTRATO!$C$2:$C$3000,MATCH($A1657,EXTRATO!$A$2:$A$3000,0))="","",INDEX(EXTRATO!$C$2:$C$3000,MATCH($A1657,EXTRATO!$A$2:$A$3000,0))))</f>
        <v/>
      </c>
      <c r="C1657" s="86" t="str">
        <f t="shared" si="38"/>
        <v/>
      </c>
      <c r="D1657" s="81"/>
      <c r="E1657" s="79"/>
      <c r="F1657" s="80" t="str">
        <f>IF(A1657="","",SUMIF(EXTRATO!$A$2:$A$3000,$A1657,EXTRATO!$J$2:$J$3000)+SUMIF(EXTRATO!$A$2:$A$3000,$A1657,EXTRATO!$K$2:$K$3000)+SUMIF(EXTRATO!$A$2:$A$3000,$A1657,EXTRATO!$L$2:$L$3000)+SUMIF(EXTRATO!$A$2:$A$3000,$A1657,EXTRATO!$M$2:$M$3000))</f>
        <v/>
      </c>
      <c r="G1657" s="81" t="str">
        <f>IF(A1657="","",IF(INDEX(EXTRATO!$G$2:$G$3000,MATCH($A1657,EXTRATO!$A$2:$A$3000,0))="","",INDEX(EXTRATO!$G$2:$G$3000,MATCH($A1657,EXTRATO!$A$2:$A$3000,0))))</f>
        <v/>
      </c>
      <c r="H1657" s="86" t="str">
        <f>IF(A1657="","",IF(INDEX(EXTRATO!$F$2:$F$3000,MATCH($A1657,EXTRATO!$A$2:$A$3000,0))="","",INDEX(EXTRATO!$F$2:$F$3000,MATCH($A1657,EXTRATO!$A$2:$A$3000,0))))</f>
        <v/>
      </c>
      <c r="I1657" s="88" t="str">
        <f>IF(A1657="","",IF(INDEX(EXTRATO!$H$2:$H$3000,MATCH($A1657,EXTRATO!$A$2:$A$3000,0))="","",INDEX(EXTRATO!$H$2:$H$3000,MATCH($A1657,EXTRATO!$A$2:$A$3000,0))))</f>
        <v/>
      </c>
      <c r="J1657" s="86" t="str">
        <f t="shared" si="39"/>
        <v/>
      </c>
      <c r="K1657" s="86" t="str">
        <f>IF(AND(A1657="",D1657="",E1657="",F1657=""),"",IF(D1657="","SEM CATEGORIA",IF(E1657="","SEM SUBCATEGORIA",IF(COUNTIFS(CADASTROS!$L$7:$L$93,D1657,CADASTROS!$D$7:$D$93,E1657)=0,"INCOMPATÍVEL","OK"))))</f>
        <v/>
      </c>
    </row>
    <row r="1658" spans="1:11" ht="30" hidden="1" customHeight="1" x14ac:dyDescent="0.25">
      <c r="A1658" s="86" t="str">
        <f>IF(COUNTIF(EXTRATO!$A$2:$A$3000,"BAN-01515")=0,"","BAN-01515")</f>
        <v/>
      </c>
      <c r="B1658" s="85" t="str">
        <f>IF(A1658="","",IF(INDEX(EXTRATO!$C$2:$C$3000,MATCH($A1658,EXTRATO!$A$2:$A$3000,0))="","",INDEX(EXTRATO!$C$2:$C$3000,MATCH($A1658,EXTRATO!$A$2:$A$3000,0))))</f>
        <v/>
      </c>
      <c r="C1658" s="86" t="str">
        <f t="shared" si="38"/>
        <v/>
      </c>
      <c r="D1658" s="81"/>
      <c r="E1658" s="79"/>
      <c r="F1658" s="80" t="str">
        <f>IF(A1658="","",SUMIF(EXTRATO!$A$2:$A$3000,$A1658,EXTRATO!$J$2:$J$3000)+SUMIF(EXTRATO!$A$2:$A$3000,$A1658,EXTRATO!$K$2:$K$3000)+SUMIF(EXTRATO!$A$2:$A$3000,$A1658,EXTRATO!$L$2:$L$3000)+SUMIF(EXTRATO!$A$2:$A$3000,$A1658,EXTRATO!$M$2:$M$3000))</f>
        <v/>
      </c>
      <c r="G1658" s="81" t="str">
        <f>IF(A1658="","",IF(INDEX(EXTRATO!$G$2:$G$3000,MATCH($A1658,EXTRATO!$A$2:$A$3000,0))="","",INDEX(EXTRATO!$G$2:$G$3000,MATCH($A1658,EXTRATO!$A$2:$A$3000,0))))</f>
        <v/>
      </c>
      <c r="H1658" s="86" t="str">
        <f>IF(A1658="","",IF(INDEX(EXTRATO!$F$2:$F$3000,MATCH($A1658,EXTRATO!$A$2:$A$3000,0))="","",INDEX(EXTRATO!$F$2:$F$3000,MATCH($A1658,EXTRATO!$A$2:$A$3000,0))))</f>
        <v/>
      </c>
      <c r="I1658" s="88" t="str">
        <f>IF(A1658="","",IF(INDEX(EXTRATO!$H$2:$H$3000,MATCH($A1658,EXTRATO!$A$2:$A$3000,0))="","",INDEX(EXTRATO!$H$2:$H$3000,MATCH($A1658,EXTRATO!$A$2:$A$3000,0))))</f>
        <v/>
      </c>
      <c r="J1658" s="86" t="str">
        <f t="shared" si="39"/>
        <v/>
      </c>
      <c r="K1658" s="86" t="str">
        <f>IF(AND(A1658="",D1658="",E1658="",F1658=""),"",IF(D1658="","SEM CATEGORIA",IF(E1658="","SEM SUBCATEGORIA",IF(COUNTIFS(CADASTROS!$L$7:$L$93,D1658,CADASTROS!$D$7:$D$93,E1658)=0,"INCOMPATÍVEL","OK"))))</f>
        <v/>
      </c>
    </row>
    <row r="1659" spans="1:11" ht="30" hidden="1" customHeight="1" x14ac:dyDescent="0.25">
      <c r="A1659" s="86" t="str">
        <f>IF(COUNTIF(EXTRATO!$A$2:$A$3000,"BAN-01516")=0,"","BAN-01516")</f>
        <v/>
      </c>
      <c r="B1659" s="85" t="str">
        <f>IF(A1659="","",IF(INDEX(EXTRATO!$C$2:$C$3000,MATCH($A1659,EXTRATO!$A$2:$A$3000,0))="","",INDEX(EXTRATO!$C$2:$C$3000,MATCH($A1659,EXTRATO!$A$2:$A$3000,0))))</f>
        <v/>
      </c>
      <c r="C1659" s="86" t="str">
        <f t="shared" si="38"/>
        <v/>
      </c>
      <c r="D1659" s="81"/>
      <c r="E1659" s="79"/>
      <c r="F1659" s="80" t="str">
        <f>IF(A1659="","",SUMIF(EXTRATO!$A$2:$A$3000,$A1659,EXTRATO!$J$2:$J$3000)+SUMIF(EXTRATO!$A$2:$A$3000,$A1659,EXTRATO!$K$2:$K$3000)+SUMIF(EXTRATO!$A$2:$A$3000,$A1659,EXTRATO!$L$2:$L$3000)+SUMIF(EXTRATO!$A$2:$A$3000,$A1659,EXTRATO!$M$2:$M$3000))</f>
        <v/>
      </c>
      <c r="G1659" s="81" t="str">
        <f>IF(A1659="","",IF(INDEX(EXTRATO!$G$2:$G$3000,MATCH($A1659,EXTRATO!$A$2:$A$3000,0))="","",INDEX(EXTRATO!$G$2:$G$3000,MATCH($A1659,EXTRATO!$A$2:$A$3000,0))))</f>
        <v/>
      </c>
      <c r="H1659" s="86" t="str">
        <f>IF(A1659="","",IF(INDEX(EXTRATO!$F$2:$F$3000,MATCH($A1659,EXTRATO!$A$2:$A$3000,0))="","",INDEX(EXTRATO!$F$2:$F$3000,MATCH($A1659,EXTRATO!$A$2:$A$3000,0))))</f>
        <v/>
      </c>
      <c r="I1659" s="88" t="str">
        <f>IF(A1659="","",IF(INDEX(EXTRATO!$H$2:$H$3000,MATCH($A1659,EXTRATO!$A$2:$A$3000,0))="","",INDEX(EXTRATO!$H$2:$H$3000,MATCH($A1659,EXTRATO!$A$2:$A$3000,0))))</f>
        <v/>
      </c>
      <c r="J1659" s="86" t="str">
        <f t="shared" si="39"/>
        <v/>
      </c>
      <c r="K1659" s="86" t="str">
        <f>IF(AND(A1659="",D1659="",E1659="",F1659=""),"",IF(D1659="","SEM CATEGORIA",IF(E1659="","SEM SUBCATEGORIA",IF(COUNTIFS(CADASTROS!$L$7:$L$93,D1659,CADASTROS!$D$7:$D$93,E1659)=0,"INCOMPATÍVEL","OK"))))</f>
        <v/>
      </c>
    </row>
    <row r="1660" spans="1:11" ht="30" hidden="1" customHeight="1" x14ac:dyDescent="0.25">
      <c r="A1660" s="86" t="str">
        <f>IF(COUNTIF(EXTRATO!$A$2:$A$3000,"BAN-01517")=0,"","BAN-01517")</f>
        <v/>
      </c>
      <c r="B1660" s="85" t="str">
        <f>IF(A1660="","",IF(INDEX(EXTRATO!$C$2:$C$3000,MATCH($A1660,EXTRATO!$A$2:$A$3000,0))="","",INDEX(EXTRATO!$C$2:$C$3000,MATCH($A1660,EXTRATO!$A$2:$A$3000,0))))</f>
        <v/>
      </c>
      <c r="C1660" s="86" t="str">
        <f t="shared" si="38"/>
        <v/>
      </c>
      <c r="D1660" s="81"/>
      <c r="E1660" s="79"/>
      <c r="F1660" s="80" t="str">
        <f>IF(A1660="","",SUMIF(EXTRATO!$A$2:$A$3000,$A1660,EXTRATO!$J$2:$J$3000)+SUMIF(EXTRATO!$A$2:$A$3000,$A1660,EXTRATO!$K$2:$K$3000)+SUMIF(EXTRATO!$A$2:$A$3000,$A1660,EXTRATO!$L$2:$L$3000)+SUMIF(EXTRATO!$A$2:$A$3000,$A1660,EXTRATO!$M$2:$M$3000))</f>
        <v/>
      </c>
      <c r="G1660" s="81" t="str">
        <f>IF(A1660="","",IF(INDEX(EXTRATO!$G$2:$G$3000,MATCH($A1660,EXTRATO!$A$2:$A$3000,0))="","",INDEX(EXTRATO!$G$2:$G$3000,MATCH($A1660,EXTRATO!$A$2:$A$3000,0))))</f>
        <v/>
      </c>
      <c r="H1660" s="86" t="str">
        <f>IF(A1660="","",IF(INDEX(EXTRATO!$F$2:$F$3000,MATCH($A1660,EXTRATO!$A$2:$A$3000,0))="","",INDEX(EXTRATO!$F$2:$F$3000,MATCH($A1660,EXTRATO!$A$2:$A$3000,0))))</f>
        <v/>
      </c>
      <c r="I1660" s="88" t="str">
        <f>IF(A1660="","",IF(INDEX(EXTRATO!$H$2:$H$3000,MATCH($A1660,EXTRATO!$A$2:$A$3000,0))="","",INDEX(EXTRATO!$H$2:$H$3000,MATCH($A1660,EXTRATO!$A$2:$A$3000,0))))</f>
        <v/>
      </c>
      <c r="J1660" s="86" t="str">
        <f t="shared" si="39"/>
        <v/>
      </c>
      <c r="K1660" s="86" t="str">
        <f>IF(AND(A1660="",D1660="",E1660="",F1660=""),"",IF(D1660="","SEM CATEGORIA",IF(E1660="","SEM SUBCATEGORIA",IF(COUNTIFS(CADASTROS!$L$7:$L$93,D1660,CADASTROS!$D$7:$D$93,E1660)=0,"INCOMPATÍVEL","OK"))))</f>
        <v/>
      </c>
    </row>
    <row r="1661" spans="1:11" ht="30" hidden="1" customHeight="1" x14ac:dyDescent="0.25">
      <c r="A1661" s="86" t="str">
        <f>IF(COUNTIF(EXTRATO!$A$2:$A$3000,"BAN-01518")=0,"","BAN-01518")</f>
        <v/>
      </c>
      <c r="B1661" s="85" t="str">
        <f>IF(A1661="","",IF(INDEX(EXTRATO!$C$2:$C$3000,MATCH($A1661,EXTRATO!$A$2:$A$3000,0))="","",INDEX(EXTRATO!$C$2:$C$3000,MATCH($A1661,EXTRATO!$A$2:$A$3000,0))))</f>
        <v/>
      </c>
      <c r="C1661" s="86" t="str">
        <f t="shared" si="38"/>
        <v/>
      </c>
      <c r="D1661" s="81"/>
      <c r="E1661" s="79"/>
      <c r="F1661" s="80" t="str">
        <f>IF(A1661="","",SUMIF(EXTRATO!$A$2:$A$3000,$A1661,EXTRATO!$J$2:$J$3000)+SUMIF(EXTRATO!$A$2:$A$3000,$A1661,EXTRATO!$K$2:$K$3000)+SUMIF(EXTRATO!$A$2:$A$3000,$A1661,EXTRATO!$L$2:$L$3000)+SUMIF(EXTRATO!$A$2:$A$3000,$A1661,EXTRATO!$M$2:$M$3000))</f>
        <v/>
      </c>
      <c r="G1661" s="81" t="str">
        <f>IF(A1661="","",IF(INDEX(EXTRATO!$G$2:$G$3000,MATCH($A1661,EXTRATO!$A$2:$A$3000,0))="","",INDEX(EXTRATO!$G$2:$G$3000,MATCH($A1661,EXTRATO!$A$2:$A$3000,0))))</f>
        <v/>
      </c>
      <c r="H1661" s="86" t="str">
        <f>IF(A1661="","",IF(INDEX(EXTRATO!$F$2:$F$3000,MATCH($A1661,EXTRATO!$A$2:$A$3000,0))="","",INDEX(EXTRATO!$F$2:$F$3000,MATCH($A1661,EXTRATO!$A$2:$A$3000,0))))</f>
        <v/>
      </c>
      <c r="I1661" s="88" t="str">
        <f>IF(A1661="","",IF(INDEX(EXTRATO!$H$2:$H$3000,MATCH($A1661,EXTRATO!$A$2:$A$3000,0))="","",INDEX(EXTRATO!$H$2:$H$3000,MATCH($A1661,EXTRATO!$A$2:$A$3000,0))))</f>
        <v/>
      </c>
      <c r="J1661" s="86" t="str">
        <f t="shared" si="39"/>
        <v/>
      </c>
      <c r="K1661" s="86" t="str">
        <f>IF(AND(A1661="",D1661="",E1661="",F1661=""),"",IF(D1661="","SEM CATEGORIA",IF(E1661="","SEM SUBCATEGORIA",IF(COUNTIFS(CADASTROS!$L$7:$L$93,D1661,CADASTROS!$D$7:$D$93,E1661)=0,"INCOMPATÍVEL","OK"))))</f>
        <v/>
      </c>
    </row>
    <row r="1662" spans="1:11" ht="30" hidden="1" customHeight="1" x14ac:dyDescent="0.25">
      <c r="A1662" s="86" t="str">
        <f>IF(COUNTIF(EXTRATO!$A$2:$A$3000,"BAN-01519")=0,"","BAN-01519")</f>
        <v/>
      </c>
      <c r="B1662" s="85" t="str">
        <f>IF(A1662="","",IF(INDEX(EXTRATO!$C$2:$C$3000,MATCH($A1662,EXTRATO!$A$2:$A$3000,0))="","",INDEX(EXTRATO!$C$2:$C$3000,MATCH($A1662,EXTRATO!$A$2:$A$3000,0))))</f>
        <v/>
      </c>
      <c r="C1662" s="86" t="str">
        <f t="shared" si="38"/>
        <v/>
      </c>
      <c r="D1662" s="81"/>
      <c r="E1662" s="79"/>
      <c r="F1662" s="80" t="str">
        <f>IF(A1662="","",SUMIF(EXTRATO!$A$2:$A$3000,$A1662,EXTRATO!$J$2:$J$3000)+SUMIF(EXTRATO!$A$2:$A$3000,$A1662,EXTRATO!$K$2:$K$3000)+SUMIF(EXTRATO!$A$2:$A$3000,$A1662,EXTRATO!$L$2:$L$3000)+SUMIF(EXTRATO!$A$2:$A$3000,$A1662,EXTRATO!$M$2:$M$3000))</f>
        <v/>
      </c>
      <c r="G1662" s="81" t="str">
        <f>IF(A1662="","",IF(INDEX(EXTRATO!$G$2:$G$3000,MATCH($A1662,EXTRATO!$A$2:$A$3000,0))="","",INDEX(EXTRATO!$G$2:$G$3000,MATCH($A1662,EXTRATO!$A$2:$A$3000,0))))</f>
        <v/>
      </c>
      <c r="H1662" s="86" t="str">
        <f>IF(A1662="","",IF(INDEX(EXTRATO!$F$2:$F$3000,MATCH($A1662,EXTRATO!$A$2:$A$3000,0))="","",INDEX(EXTRATO!$F$2:$F$3000,MATCH($A1662,EXTRATO!$A$2:$A$3000,0))))</f>
        <v/>
      </c>
      <c r="I1662" s="88" t="str">
        <f>IF(A1662="","",IF(INDEX(EXTRATO!$H$2:$H$3000,MATCH($A1662,EXTRATO!$A$2:$A$3000,0))="","",INDEX(EXTRATO!$H$2:$H$3000,MATCH($A1662,EXTRATO!$A$2:$A$3000,0))))</f>
        <v/>
      </c>
      <c r="J1662" s="86" t="str">
        <f t="shared" si="39"/>
        <v/>
      </c>
      <c r="K1662" s="86" t="str">
        <f>IF(AND(A1662="",D1662="",E1662="",F1662=""),"",IF(D1662="","SEM CATEGORIA",IF(E1662="","SEM SUBCATEGORIA",IF(COUNTIFS(CADASTROS!$L$7:$L$93,D1662,CADASTROS!$D$7:$D$93,E1662)=0,"INCOMPATÍVEL","OK"))))</f>
        <v/>
      </c>
    </row>
    <row r="1663" spans="1:11" ht="30" hidden="1" customHeight="1" x14ac:dyDescent="0.25">
      <c r="A1663" s="86" t="str">
        <f>IF(COUNTIF(EXTRATO!$A$2:$A$3000,"BAN-01520")=0,"","BAN-01520")</f>
        <v/>
      </c>
      <c r="B1663" s="85" t="str">
        <f>IF(A1663="","",IF(INDEX(EXTRATO!$C$2:$C$3000,MATCH($A1663,EXTRATO!$A$2:$A$3000,0))="","",INDEX(EXTRATO!$C$2:$C$3000,MATCH($A1663,EXTRATO!$A$2:$A$3000,0))))</f>
        <v/>
      </c>
      <c r="C1663" s="86" t="str">
        <f t="shared" si="38"/>
        <v/>
      </c>
      <c r="D1663" s="81"/>
      <c r="E1663" s="79"/>
      <c r="F1663" s="80" t="str">
        <f>IF(A1663="","",SUMIF(EXTRATO!$A$2:$A$3000,$A1663,EXTRATO!$J$2:$J$3000)+SUMIF(EXTRATO!$A$2:$A$3000,$A1663,EXTRATO!$K$2:$K$3000)+SUMIF(EXTRATO!$A$2:$A$3000,$A1663,EXTRATO!$L$2:$L$3000)+SUMIF(EXTRATO!$A$2:$A$3000,$A1663,EXTRATO!$M$2:$M$3000))</f>
        <v/>
      </c>
      <c r="G1663" s="81" t="str">
        <f>IF(A1663="","",IF(INDEX(EXTRATO!$G$2:$G$3000,MATCH($A1663,EXTRATO!$A$2:$A$3000,0))="","",INDEX(EXTRATO!$G$2:$G$3000,MATCH($A1663,EXTRATO!$A$2:$A$3000,0))))</f>
        <v/>
      </c>
      <c r="H1663" s="86" t="str">
        <f>IF(A1663="","",IF(INDEX(EXTRATO!$F$2:$F$3000,MATCH($A1663,EXTRATO!$A$2:$A$3000,0))="","",INDEX(EXTRATO!$F$2:$F$3000,MATCH($A1663,EXTRATO!$A$2:$A$3000,0))))</f>
        <v/>
      </c>
      <c r="I1663" s="88" t="str">
        <f>IF(A1663="","",IF(INDEX(EXTRATO!$H$2:$H$3000,MATCH($A1663,EXTRATO!$A$2:$A$3000,0))="","",INDEX(EXTRATO!$H$2:$H$3000,MATCH($A1663,EXTRATO!$A$2:$A$3000,0))))</f>
        <v/>
      </c>
      <c r="J1663" s="86" t="str">
        <f t="shared" si="39"/>
        <v/>
      </c>
      <c r="K1663" s="86" t="str">
        <f>IF(AND(A1663="",D1663="",E1663="",F1663=""),"",IF(D1663="","SEM CATEGORIA",IF(E1663="","SEM SUBCATEGORIA",IF(COUNTIFS(CADASTROS!$L$7:$L$93,D1663,CADASTROS!$D$7:$D$93,E1663)=0,"INCOMPATÍVEL","OK"))))</f>
        <v/>
      </c>
    </row>
    <row r="1664" spans="1:11" ht="30" hidden="1" customHeight="1" x14ac:dyDescent="0.25">
      <c r="A1664" s="86" t="str">
        <f>IF(COUNTIF(EXTRATO!$A$2:$A$3000,"BAN-01521")=0,"","BAN-01521")</f>
        <v/>
      </c>
      <c r="B1664" s="85" t="str">
        <f>IF(A1664="","",IF(INDEX(EXTRATO!$C$2:$C$3000,MATCH($A1664,EXTRATO!$A$2:$A$3000,0))="","",INDEX(EXTRATO!$C$2:$C$3000,MATCH($A1664,EXTRATO!$A$2:$A$3000,0))))</f>
        <v/>
      </c>
      <c r="C1664" s="86" t="str">
        <f t="shared" si="38"/>
        <v/>
      </c>
      <c r="D1664" s="81"/>
      <c r="E1664" s="79"/>
      <c r="F1664" s="80" t="str">
        <f>IF(A1664="","",SUMIF(EXTRATO!$A$2:$A$3000,$A1664,EXTRATO!$J$2:$J$3000)+SUMIF(EXTRATO!$A$2:$A$3000,$A1664,EXTRATO!$K$2:$K$3000)+SUMIF(EXTRATO!$A$2:$A$3000,$A1664,EXTRATO!$L$2:$L$3000)+SUMIF(EXTRATO!$A$2:$A$3000,$A1664,EXTRATO!$M$2:$M$3000))</f>
        <v/>
      </c>
      <c r="G1664" s="81" t="str">
        <f>IF(A1664="","",IF(INDEX(EXTRATO!$G$2:$G$3000,MATCH($A1664,EXTRATO!$A$2:$A$3000,0))="","",INDEX(EXTRATO!$G$2:$G$3000,MATCH($A1664,EXTRATO!$A$2:$A$3000,0))))</f>
        <v/>
      </c>
      <c r="H1664" s="86" t="str">
        <f>IF(A1664="","",IF(INDEX(EXTRATO!$F$2:$F$3000,MATCH($A1664,EXTRATO!$A$2:$A$3000,0))="","",INDEX(EXTRATO!$F$2:$F$3000,MATCH($A1664,EXTRATO!$A$2:$A$3000,0))))</f>
        <v/>
      </c>
      <c r="I1664" s="88" t="str">
        <f>IF(A1664="","",IF(INDEX(EXTRATO!$H$2:$H$3000,MATCH($A1664,EXTRATO!$A$2:$A$3000,0))="","",INDEX(EXTRATO!$H$2:$H$3000,MATCH($A1664,EXTRATO!$A$2:$A$3000,0))))</f>
        <v/>
      </c>
      <c r="J1664" s="86" t="str">
        <f t="shared" si="39"/>
        <v/>
      </c>
      <c r="K1664" s="86" t="str">
        <f>IF(AND(A1664="",D1664="",E1664="",F1664=""),"",IF(D1664="","SEM CATEGORIA",IF(E1664="","SEM SUBCATEGORIA",IF(COUNTIFS(CADASTROS!$L$7:$L$93,D1664,CADASTROS!$D$7:$D$93,E1664)=0,"INCOMPATÍVEL","OK"))))</f>
        <v/>
      </c>
    </row>
    <row r="1665" spans="1:11" ht="30" hidden="1" customHeight="1" x14ac:dyDescent="0.25">
      <c r="A1665" s="86" t="str">
        <f>IF(COUNTIF(EXTRATO!$A$2:$A$3000,"BAN-01522")=0,"","BAN-01522")</f>
        <v/>
      </c>
      <c r="B1665" s="85" t="str">
        <f>IF(A1665="","",IF(INDEX(EXTRATO!$C$2:$C$3000,MATCH($A1665,EXTRATO!$A$2:$A$3000,0))="","",INDEX(EXTRATO!$C$2:$C$3000,MATCH($A1665,EXTRATO!$A$2:$A$3000,0))))</f>
        <v/>
      </c>
      <c r="C1665" s="86" t="str">
        <f t="shared" si="38"/>
        <v/>
      </c>
      <c r="D1665" s="81"/>
      <c r="E1665" s="79"/>
      <c r="F1665" s="80" t="str">
        <f>IF(A1665="","",SUMIF(EXTRATO!$A$2:$A$3000,$A1665,EXTRATO!$J$2:$J$3000)+SUMIF(EXTRATO!$A$2:$A$3000,$A1665,EXTRATO!$K$2:$K$3000)+SUMIF(EXTRATO!$A$2:$A$3000,$A1665,EXTRATO!$L$2:$L$3000)+SUMIF(EXTRATO!$A$2:$A$3000,$A1665,EXTRATO!$M$2:$M$3000))</f>
        <v/>
      </c>
      <c r="G1665" s="81" t="str">
        <f>IF(A1665="","",IF(INDEX(EXTRATO!$G$2:$G$3000,MATCH($A1665,EXTRATO!$A$2:$A$3000,0))="","",INDEX(EXTRATO!$G$2:$G$3000,MATCH($A1665,EXTRATO!$A$2:$A$3000,0))))</f>
        <v/>
      </c>
      <c r="H1665" s="86" t="str">
        <f>IF(A1665="","",IF(INDEX(EXTRATO!$F$2:$F$3000,MATCH($A1665,EXTRATO!$A$2:$A$3000,0))="","",INDEX(EXTRATO!$F$2:$F$3000,MATCH($A1665,EXTRATO!$A$2:$A$3000,0))))</f>
        <v/>
      </c>
      <c r="I1665" s="88" t="str">
        <f>IF(A1665="","",IF(INDEX(EXTRATO!$H$2:$H$3000,MATCH($A1665,EXTRATO!$A$2:$A$3000,0))="","",INDEX(EXTRATO!$H$2:$H$3000,MATCH($A1665,EXTRATO!$A$2:$A$3000,0))))</f>
        <v/>
      </c>
      <c r="J1665" s="86" t="str">
        <f t="shared" si="39"/>
        <v/>
      </c>
      <c r="K1665" s="86" t="str">
        <f>IF(AND(A1665="",D1665="",E1665="",F1665=""),"",IF(D1665="","SEM CATEGORIA",IF(E1665="","SEM SUBCATEGORIA",IF(COUNTIFS(CADASTROS!$L$7:$L$93,D1665,CADASTROS!$D$7:$D$93,E1665)=0,"INCOMPATÍVEL","OK"))))</f>
        <v/>
      </c>
    </row>
    <row r="1666" spans="1:11" ht="30" hidden="1" customHeight="1" x14ac:dyDescent="0.25">
      <c r="A1666" s="86" t="str">
        <f>IF(COUNTIF(EXTRATO!$A$2:$A$3000,"BAN-01523")=0,"","BAN-01523")</f>
        <v/>
      </c>
      <c r="B1666" s="85" t="str">
        <f>IF(A1666="","",IF(INDEX(EXTRATO!$C$2:$C$3000,MATCH($A1666,EXTRATO!$A$2:$A$3000,0))="","",INDEX(EXTRATO!$C$2:$C$3000,MATCH($A1666,EXTRATO!$A$2:$A$3000,0))))</f>
        <v/>
      </c>
      <c r="C1666" s="86" t="str">
        <f t="shared" si="38"/>
        <v/>
      </c>
      <c r="D1666" s="81"/>
      <c r="E1666" s="79"/>
      <c r="F1666" s="80" t="str">
        <f>IF(A1666="","",SUMIF(EXTRATO!$A$2:$A$3000,$A1666,EXTRATO!$J$2:$J$3000)+SUMIF(EXTRATO!$A$2:$A$3000,$A1666,EXTRATO!$K$2:$K$3000)+SUMIF(EXTRATO!$A$2:$A$3000,$A1666,EXTRATO!$L$2:$L$3000)+SUMIF(EXTRATO!$A$2:$A$3000,$A1666,EXTRATO!$M$2:$M$3000))</f>
        <v/>
      </c>
      <c r="G1666" s="81" t="str">
        <f>IF(A1666="","",IF(INDEX(EXTRATO!$G$2:$G$3000,MATCH($A1666,EXTRATO!$A$2:$A$3000,0))="","",INDEX(EXTRATO!$G$2:$G$3000,MATCH($A1666,EXTRATO!$A$2:$A$3000,0))))</f>
        <v/>
      </c>
      <c r="H1666" s="86" t="str">
        <f>IF(A1666="","",IF(INDEX(EXTRATO!$F$2:$F$3000,MATCH($A1666,EXTRATO!$A$2:$A$3000,0))="","",INDEX(EXTRATO!$F$2:$F$3000,MATCH($A1666,EXTRATO!$A$2:$A$3000,0))))</f>
        <v/>
      </c>
      <c r="I1666" s="88" t="str">
        <f>IF(A1666="","",IF(INDEX(EXTRATO!$H$2:$H$3000,MATCH($A1666,EXTRATO!$A$2:$A$3000,0))="","",INDEX(EXTRATO!$H$2:$H$3000,MATCH($A1666,EXTRATO!$A$2:$A$3000,0))))</f>
        <v/>
      </c>
      <c r="J1666" s="86" t="str">
        <f t="shared" si="39"/>
        <v/>
      </c>
      <c r="K1666" s="86" t="str">
        <f>IF(AND(A1666="",D1666="",E1666="",F1666=""),"",IF(D1666="","SEM CATEGORIA",IF(E1666="","SEM SUBCATEGORIA",IF(COUNTIFS(CADASTROS!$L$7:$L$93,D1666,CADASTROS!$D$7:$D$93,E1666)=0,"INCOMPATÍVEL","OK"))))</f>
        <v/>
      </c>
    </row>
    <row r="1667" spans="1:11" ht="30" hidden="1" customHeight="1" x14ac:dyDescent="0.25">
      <c r="A1667" s="86" t="str">
        <f>IF(COUNTIF(EXTRATO!$A$2:$A$3000,"BAN-01524")=0,"","BAN-01524")</f>
        <v/>
      </c>
      <c r="B1667" s="85" t="str">
        <f>IF(A1667="","",IF(INDEX(EXTRATO!$C$2:$C$3000,MATCH($A1667,EXTRATO!$A$2:$A$3000,0))="","",INDEX(EXTRATO!$C$2:$C$3000,MATCH($A1667,EXTRATO!$A$2:$A$3000,0))))</f>
        <v/>
      </c>
      <c r="C1667" s="86" t="str">
        <f t="shared" si="38"/>
        <v/>
      </c>
      <c r="D1667" s="81"/>
      <c r="E1667" s="79"/>
      <c r="F1667" s="80" t="str">
        <f>IF(A1667="","",SUMIF(EXTRATO!$A$2:$A$3000,$A1667,EXTRATO!$J$2:$J$3000)+SUMIF(EXTRATO!$A$2:$A$3000,$A1667,EXTRATO!$K$2:$K$3000)+SUMIF(EXTRATO!$A$2:$A$3000,$A1667,EXTRATO!$L$2:$L$3000)+SUMIF(EXTRATO!$A$2:$A$3000,$A1667,EXTRATO!$M$2:$M$3000))</f>
        <v/>
      </c>
      <c r="G1667" s="81" t="str">
        <f>IF(A1667="","",IF(INDEX(EXTRATO!$G$2:$G$3000,MATCH($A1667,EXTRATO!$A$2:$A$3000,0))="","",INDEX(EXTRATO!$G$2:$G$3000,MATCH($A1667,EXTRATO!$A$2:$A$3000,0))))</f>
        <v/>
      </c>
      <c r="H1667" s="86" t="str">
        <f>IF(A1667="","",IF(INDEX(EXTRATO!$F$2:$F$3000,MATCH($A1667,EXTRATO!$A$2:$A$3000,0))="","",INDEX(EXTRATO!$F$2:$F$3000,MATCH($A1667,EXTRATO!$A$2:$A$3000,0))))</f>
        <v/>
      </c>
      <c r="I1667" s="88" t="str">
        <f>IF(A1667="","",IF(INDEX(EXTRATO!$H$2:$H$3000,MATCH($A1667,EXTRATO!$A$2:$A$3000,0))="","",INDEX(EXTRATO!$H$2:$H$3000,MATCH($A1667,EXTRATO!$A$2:$A$3000,0))))</f>
        <v/>
      </c>
      <c r="J1667" s="86" t="str">
        <f t="shared" si="39"/>
        <v/>
      </c>
      <c r="K1667" s="86" t="str">
        <f>IF(AND(A1667="",D1667="",E1667="",F1667=""),"",IF(D1667="","SEM CATEGORIA",IF(E1667="","SEM SUBCATEGORIA",IF(COUNTIFS(CADASTROS!$L$7:$L$93,D1667,CADASTROS!$D$7:$D$93,E1667)=0,"INCOMPATÍVEL","OK"))))</f>
        <v/>
      </c>
    </row>
    <row r="1668" spans="1:11" ht="30" hidden="1" customHeight="1" x14ac:dyDescent="0.25">
      <c r="A1668" s="86" t="str">
        <f>IF(COUNTIF(EXTRATO!$A$2:$A$3000,"BAN-01525")=0,"","BAN-01525")</f>
        <v/>
      </c>
      <c r="B1668" s="85" t="str">
        <f>IF(A1668="","",IF(INDEX(EXTRATO!$C$2:$C$3000,MATCH($A1668,EXTRATO!$A$2:$A$3000,0))="","",INDEX(EXTRATO!$C$2:$C$3000,MATCH($A1668,EXTRATO!$A$2:$A$3000,0))))</f>
        <v/>
      </c>
      <c r="C1668" s="86" t="str">
        <f t="shared" si="38"/>
        <v/>
      </c>
      <c r="D1668" s="81"/>
      <c r="E1668" s="79"/>
      <c r="F1668" s="80" t="str">
        <f>IF(A1668="","",SUMIF(EXTRATO!$A$2:$A$3000,$A1668,EXTRATO!$J$2:$J$3000)+SUMIF(EXTRATO!$A$2:$A$3000,$A1668,EXTRATO!$K$2:$K$3000)+SUMIF(EXTRATO!$A$2:$A$3000,$A1668,EXTRATO!$L$2:$L$3000)+SUMIF(EXTRATO!$A$2:$A$3000,$A1668,EXTRATO!$M$2:$M$3000))</f>
        <v/>
      </c>
      <c r="G1668" s="81" t="str">
        <f>IF(A1668="","",IF(INDEX(EXTRATO!$G$2:$G$3000,MATCH($A1668,EXTRATO!$A$2:$A$3000,0))="","",INDEX(EXTRATO!$G$2:$G$3000,MATCH($A1668,EXTRATO!$A$2:$A$3000,0))))</f>
        <v/>
      </c>
      <c r="H1668" s="86" t="str">
        <f>IF(A1668="","",IF(INDEX(EXTRATO!$F$2:$F$3000,MATCH($A1668,EXTRATO!$A$2:$A$3000,0))="","",INDEX(EXTRATO!$F$2:$F$3000,MATCH($A1668,EXTRATO!$A$2:$A$3000,0))))</f>
        <v/>
      </c>
      <c r="I1668" s="88" t="str">
        <f>IF(A1668="","",IF(INDEX(EXTRATO!$H$2:$H$3000,MATCH($A1668,EXTRATO!$A$2:$A$3000,0))="","",INDEX(EXTRATO!$H$2:$H$3000,MATCH($A1668,EXTRATO!$A$2:$A$3000,0))))</f>
        <v/>
      </c>
      <c r="J1668" s="86" t="str">
        <f t="shared" si="39"/>
        <v/>
      </c>
      <c r="K1668" s="86" t="str">
        <f>IF(AND(A1668="",D1668="",E1668="",F1668=""),"",IF(D1668="","SEM CATEGORIA",IF(E1668="","SEM SUBCATEGORIA",IF(COUNTIFS(CADASTROS!$L$7:$L$93,D1668,CADASTROS!$D$7:$D$93,E1668)=0,"INCOMPATÍVEL","OK"))))</f>
        <v/>
      </c>
    </row>
    <row r="1669" spans="1:11" ht="30" hidden="1" customHeight="1" x14ac:dyDescent="0.25">
      <c r="A1669" s="86" t="str">
        <f>IF(COUNTIF(EXTRATO!$A$2:$A$3000,"BAN-01526")=0,"","BAN-01526")</f>
        <v/>
      </c>
      <c r="B1669" s="85" t="str">
        <f>IF(A1669="","",IF(INDEX(EXTRATO!$C$2:$C$3000,MATCH($A1669,EXTRATO!$A$2:$A$3000,0))="","",INDEX(EXTRATO!$C$2:$C$3000,MATCH($A1669,EXTRATO!$A$2:$A$3000,0))))</f>
        <v/>
      </c>
      <c r="C1669" s="86" t="str">
        <f t="shared" si="38"/>
        <v/>
      </c>
      <c r="D1669" s="81"/>
      <c r="E1669" s="79"/>
      <c r="F1669" s="80" t="str">
        <f>IF(A1669="","",SUMIF(EXTRATO!$A$2:$A$3000,$A1669,EXTRATO!$J$2:$J$3000)+SUMIF(EXTRATO!$A$2:$A$3000,$A1669,EXTRATO!$K$2:$K$3000)+SUMIF(EXTRATO!$A$2:$A$3000,$A1669,EXTRATO!$L$2:$L$3000)+SUMIF(EXTRATO!$A$2:$A$3000,$A1669,EXTRATO!$M$2:$M$3000))</f>
        <v/>
      </c>
      <c r="G1669" s="81" t="str">
        <f>IF(A1669="","",IF(INDEX(EXTRATO!$G$2:$G$3000,MATCH($A1669,EXTRATO!$A$2:$A$3000,0))="","",INDEX(EXTRATO!$G$2:$G$3000,MATCH($A1669,EXTRATO!$A$2:$A$3000,0))))</f>
        <v/>
      </c>
      <c r="H1669" s="86" t="str">
        <f>IF(A1669="","",IF(INDEX(EXTRATO!$F$2:$F$3000,MATCH($A1669,EXTRATO!$A$2:$A$3000,0))="","",INDEX(EXTRATO!$F$2:$F$3000,MATCH($A1669,EXTRATO!$A$2:$A$3000,0))))</f>
        <v/>
      </c>
      <c r="I1669" s="88" t="str">
        <f>IF(A1669="","",IF(INDEX(EXTRATO!$H$2:$H$3000,MATCH($A1669,EXTRATO!$A$2:$A$3000,0))="","",INDEX(EXTRATO!$H$2:$H$3000,MATCH($A1669,EXTRATO!$A$2:$A$3000,0))))</f>
        <v/>
      </c>
      <c r="J1669" s="86" t="str">
        <f t="shared" si="39"/>
        <v/>
      </c>
      <c r="K1669" s="86" t="str">
        <f>IF(AND(A1669="",D1669="",E1669="",F1669=""),"",IF(D1669="","SEM CATEGORIA",IF(E1669="","SEM SUBCATEGORIA",IF(COUNTIFS(CADASTROS!$L$7:$L$93,D1669,CADASTROS!$D$7:$D$93,E1669)=0,"INCOMPATÍVEL","OK"))))</f>
        <v/>
      </c>
    </row>
    <row r="1670" spans="1:11" ht="30" hidden="1" customHeight="1" x14ac:dyDescent="0.25">
      <c r="A1670" s="86" t="str">
        <f>IF(COUNTIF(EXTRATO!$A$2:$A$3000,"BAN-01527")=0,"","BAN-01527")</f>
        <v/>
      </c>
      <c r="B1670" s="85" t="str">
        <f>IF(A1670="","",IF(INDEX(EXTRATO!$C$2:$C$3000,MATCH($A1670,EXTRATO!$A$2:$A$3000,0))="","",INDEX(EXTRATO!$C$2:$C$3000,MATCH($A1670,EXTRATO!$A$2:$A$3000,0))))</f>
        <v/>
      </c>
      <c r="C1670" s="86" t="str">
        <f t="shared" si="38"/>
        <v/>
      </c>
      <c r="D1670" s="81"/>
      <c r="E1670" s="79"/>
      <c r="F1670" s="80" t="str">
        <f>IF(A1670="","",SUMIF(EXTRATO!$A$2:$A$3000,$A1670,EXTRATO!$J$2:$J$3000)+SUMIF(EXTRATO!$A$2:$A$3000,$A1670,EXTRATO!$K$2:$K$3000)+SUMIF(EXTRATO!$A$2:$A$3000,$A1670,EXTRATO!$L$2:$L$3000)+SUMIF(EXTRATO!$A$2:$A$3000,$A1670,EXTRATO!$M$2:$M$3000))</f>
        <v/>
      </c>
      <c r="G1670" s="81" t="str">
        <f>IF(A1670="","",IF(INDEX(EXTRATO!$G$2:$G$3000,MATCH($A1670,EXTRATO!$A$2:$A$3000,0))="","",INDEX(EXTRATO!$G$2:$G$3000,MATCH($A1670,EXTRATO!$A$2:$A$3000,0))))</f>
        <v/>
      </c>
      <c r="H1670" s="86" t="str">
        <f>IF(A1670="","",IF(INDEX(EXTRATO!$F$2:$F$3000,MATCH($A1670,EXTRATO!$A$2:$A$3000,0))="","",INDEX(EXTRATO!$F$2:$F$3000,MATCH($A1670,EXTRATO!$A$2:$A$3000,0))))</f>
        <v/>
      </c>
      <c r="I1670" s="88" t="str">
        <f>IF(A1670="","",IF(INDEX(EXTRATO!$H$2:$H$3000,MATCH($A1670,EXTRATO!$A$2:$A$3000,0))="","",INDEX(EXTRATO!$H$2:$H$3000,MATCH($A1670,EXTRATO!$A$2:$A$3000,0))))</f>
        <v/>
      </c>
      <c r="J1670" s="86" t="str">
        <f t="shared" si="39"/>
        <v/>
      </c>
      <c r="K1670" s="86" t="str">
        <f>IF(AND(A1670="",D1670="",E1670="",F1670=""),"",IF(D1670="","SEM CATEGORIA",IF(E1670="","SEM SUBCATEGORIA",IF(COUNTIFS(CADASTROS!$L$7:$L$93,D1670,CADASTROS!$D$7:$D$93,E1670)=0,"INCOMPATÍVEL","OK"))))</f>
        <v/>
      </c>
    </row>
    <row r="1671" spans="1:11" ht="30" hidden="1" customHeight="1" x14ac:dyDescent="0.25">
      <c r="A1671" s="86" t="str">
        <f>IF(COUNTIF(EXTRATO!$A$2:$A$3000,"BAN-01528")=0,"","BAN-01528")</f>
        <v/>
      </c>
      <c r="B1671" s="85" t="str">
        <f>IF(A1671="","",IF(INDEX(EXTRATO!$C$2:$C$3000,MATCH($A1671,EXTRATO!$A$2:$A$3000,0))="","",INDEX(EXTRATO!$C$2:$C$3000,MATCH($A1671,EXTRATO!$A$2:$A$3000,0))))</f>
        <v/>
      </c>
      <c r="C1671" s="86" t="str">
        <f t="shared" si="38"/>
        <v/>
      </c>
      <c r="D1671" s="81"/>
      <c r="E1671" s="79"/>
      <c r="F1671" s="80" t="str">
        <f>IF(A1671="","",SUMIF(EXTRATO!$A$2:$A$3000,$A1671,EXTRATO!$J$2:$J$3000)+SUMIF(EXTRATO!$A$2:$A$3000,$A1671,EXTRATO!$K$2:$K$3000)+SUMIF(EXTRATO!$A$2:$A$3000,$A1671,EXTRATO!$L$2:$L$3000)+SUMIF(EXTRATO!$A$2:$A$3000,$A1671,EXTRATO!$M$2:$M$3000))</f>
        <v/>
      </c>
      <c r="G1671" s="81" t="str">
        <f>IF(A1671="","",IF(INDEX(EXTRATO!$G$2:$G$3000,MATCH($A1671,EXTRATO!$A$2:$A$3000,0))="","",INDEX(EXTRATO!$G$2:$G$3000,MATCH($A1671,EXTRATO!$A$2:$A$3000,0))))</f>
        <v/>
      </c>
      <c r="H1671" s="86" t="str">
        <f>IF(A1671="","",IF(INDEX(EXTRATO!$F$2:$F$3000,MATCH($A1671,EXTRATO!$A$2:$A$3000,0))="","",INDEX(EXTRATO!$F$2:$F$3000,MATCH($A1671,EXTRATO!$A$2:$A$3000,0))))</f>
        <v/>
      </c>
      <c r="I1671" s="88" t="str">
        <f>IF(A1671="","",IF(INDEX(EXTRATO!$H$2:$H$3000,MATCH($A1671,EXTRATO!$A$2:$A$3000,0))="","",INDEX(EXTRATO!$H$2:$H$3000,MATCH($A1671,EXTRATO!$A$2:$A$3000,0))))</f>
        <v/>
      </c>
      <c r="J1671" s="86" t="str">
        <f t="shared" si="39"/>
        <v/>
      </c>
      <c r="K1671" s="86" t="str">
        <f>IF(AND(A1671="",D1671="",E1671="",F1671=""),"",IF(D1671="","SEM CATEGORIA",IF(E1671="","SEM SUBCATEGORIA",IF(COUNTIFS(CADASTROS!$L$7:$L$93,D1671,CADASTROS!$D$7:$D$93,E1671)=0,"INCOMPATÍVEL","OK"))))</f>
        <v/>
      </c>
    </row>
    <row r="1672" spans="1:11" ht="30" hidden="1" customHeight="1" x14ac:dyDescent="0.25">
      <c r="A1672" s="86" t="str">
        <f>IF(COUNTIF(EXTRATO!$A$2:$A$3000,"BAN-01529")=0,"","BAN-01529")</f>
        <v/>
      </c>
      <c r="B1672" s="85" t="str">
        <f>IF(A1672="","",IF(INDEX(EXTRATO!$C$2:$C$3000,MATCH($A1672,EXTRATO!$A$2:$A$3000,0))="","",INDEX(EXTRATO!$C$2:$C$3000,MATCH($A1672,EXTRATO!$A$2:$A$3000,0))))</f>
        <v/>
      </c>
      <c r="C1672" s="86" t="str">
        <f t="shared" si="38"/>
        <v/>
      </c>
      <c r="D1672" s="81"/>
      <c r="E1672" s="79"/>
      <c r="F1672" s="80" t="str">
        <f>IF(A1672="","",SUMIF(EXTRATO!$A$2:$A$3000,$A1672,EXTRATO!$J$2:$J$3000)+SUMIF(EXTRATO!$A$2:$A$3000,$A1672,EXTRATO!$K$2:$K$3000)+SUMIF(EXTRATO!$A$2:$A$3000,$A1672,EXTRATO!$L$2:$L$3000)+SUMIF(EXTRATO!$A$2:$A$3000,$A1672,EXTRATO!$M$2:$M$3000))</f>
        <v/>
      </c>
      <c r="G1672" s="81" t="str">
        <f>IF(A1672="","",IF(INDEX(EXTRATO!$G$2:$G$3000,MATCH($A1672,EXTRATO!$A$2:$A$3000,0))="","",INDEX(EXTRATO!$G$2:$G$3000,MATCH($A1672,EXTRATO!$A$2:$A$3000,0))))</f>
        <v/>
      </c>
      <c r="H1672" s="86" t="str">
        <f>IF(A1672="","",IF(INDEX(EXTRATO!$F$2:$F$3000,MATCH($A1672,EXTRATO!$A$2:$A$3000,0))="","",INDEX(EXTRATO!$F$2:$F$3000,MATCH($A1672,EXTRATO!$A$2:$A$3000,0))))</f>
        <v/>
      </c>
      <c r="I1672" s="88" t="str">
        <f>IF(A1672="","",IF(INDEX(EXTRATO!$H$2:$H$3000,MATCH($A1672,EXTRATO!$A$2:$A$3000,0))="","",INDEX(EXTRATO!$H$2:$H$3000,MATCH($A1672,EXTRATO!$A$2:$A$3000,0))))</f>
        <v/>
      </c>
      <c r="J1672" s="86" t="str">
        <f t="shared" si="39"/>
        <v/>
      </c>
      <c r="K1672" s="86" t="str">
        <f>IF(AND(A1672="",D1672="",E1672="",F1672=""),"",IF(D1672="","SEM CATEGORIA",IF(E1672="","SEM SUBCATEGORIA",IF(COUNTIFS(CADASTROS!$L$7:$L$93,D1672,CADASTROS!$D$7:$D$93,E1672)=0,"INCOMPATÍVEL","OK"))))</f>
        <v/>
      </c>
    </row>
    <row r="1673" spans="1:11" ht="30" hidden="1" customHeight="1" x14ac:dyDescent="0.25">
      <c r="A1673" s="86" t="str">
        <f>IF(COUNTIF(EXTRATO!$A$2:$A$3000,"BAN-01530")=0,"","BAN-01530")</f>
        <v/>
      </c>
      <c r="B1673" s="85" t="str">
        <f>IF(A1673="","",IF(INDEX(EXTRATO!$C$2:$C$3000,MATCH($A1673,EXTRATO!$A$2:$A$3000,0))="","",INDEX(EXTRATO!$C$2:$C$3000,MATCH($A1673,EXTRATO!$A$2:$A$3000,0))))</f>
        <v/>
      </c>
      <c r="C1673" s="86" t="str">
        <f t="shared" si="38"/>
        <v/>
      </c>
      <c r="D1673" s="81"/>
      <c r="E1673" s="79"/>
      <c r="F1673" s="80" t="str">
        <f>IF(A1673="","",SUMIF(EXTRATO!$A$2:$A$3000,$A1673,EXTRATO!$J$2:$J$3000)+SUMIF(EXTRATO!$A$2:$A$3000,$A1673,EXTRATO!$K$2:$K$3000)+SUMIF(EXTRATO!$A$2:$A$3000,$A1673,EXTRATO!$L$2:$L$3000)+SUMIF(EXTRATO!$A$2:$A$3000,$A1673,EXTRATO!$M$2:$M$3000))</f>
        <v/>
      </c>
      <c r="G1673" s="81" t="str">
        <f>IF(A1673="","",IF(INDEX(EXTRATO!$G$2:$G$3000,MATCH($A1673,EXTRATO!$A$2:$A$3000,0))="","",INDEX(EXTRATO!$G$2:$G$3000,MATCH($A1673,EXTRATO!$A$2:$A$3000,0))))</f>
        <v/>
      </c>
      <c r="H1673" s="86" t="str">
        <f>IF(A1673="","",IF(INDEX(EXTRATO!$F$2:$F$3000,MATCH($A1673,EXTRATO!$A$2:$A$3000,0))="","",INDEX(EXTRATO!$F$2:$F$3000,MATCH($A1673,EXTRATO!$A$2:$A$3000,0))))</f>
        <v/>
      </c>
      <c r="I1673" s="88" t="str">
        <f>IF(A1673="","",IF(INDEX(EXTRATO!$H$2:$H$3000,MATCH($A1673,EXTRATO!$A$2:$A$3000,0))="","",INDEX(EXTRATO!$H$2:$H$3000,MATCH($A1673,EXTRATO!$A$2:$A$3000,0))))</f>
        <v/>
      </c>
      <c r="J1673" s="86" t="str">
        <f t="shared" si="39"/>
        <v/>
      </c>
      <c r="K1673" s="86" t="str">
        <f>IF(AND(A1673="",D1673="",E1673="",F1673=""),"",IF(D1673="","SEM CATEGORIA",IF(E1673="","SEM SUBCATEGORIA",IF(COUNTIFS(CADASTROS!$L$7:$L$93,D1673,CADASTROS!$D$7:$D$93,E1673)=0,"INCOMPATÍVEL","OK"))))</f>
        <v/>
      </c>
    </row>
    <row r="1674" spans="1:11" ht="30" hidden="1" customHeight="1" x14ac:dyDescent="0.25">
      <c r="A1674" s="86" t="str">
        <f>IF(COUNTIF(EXTRATO!$A$2:$A$3000,"BAN-01531")=0,"","BAN-01531")</f>
        <v/>
      </c>
      <c r="B1674" s="85" t="str">
        <f>IF(A1674="","",IF(INDEX(EXTRATO!$C$2:$C$3000,MATCH($A1674,EXTRATO!$A$2:$A$3000,0))="","",INDEX(EXTRATO!$C$2:$C$3000,MATCH($A1674,EXTRATO!$A$2:$A$3000,0))))</f>
        <v/>
      </c>
      <c r="C1674" s="86" t="str">
        <f t="shared" si="38"/>
        <v/>
      </c>
      <c r="D1674" s="81"/>
      <c r="E1674" s="79"/>
      <c r="F1674" s="80" t="str">
        <f>IF(A1674="","",SUMIF(EXTRATO!$A$2:$A$3000,$A1674,EXTRATO!$J$2:$J$3000)+SUMIF(EXTRATO!$A$2:$A$3000,$A1674,EXTRATO!$K$2:$K$3000)+SUMIF(EXTRATO!$A$2:$A$3000,$A1674,EXTRATO!$L$2:$L$3000)+SUMIF(EXTRATO!$A$2:$A$3000,$A1674,EXTRATO!$M$2:$M$3000))</f>
        <v/>
      </c>
      <c r="G1674" s="81" t="str">
        <f>IF(A1674="","",IF(INDEX(EXTRATO!$G$2:$G$3000,MATCH($A1674,EXTRATO!$A$2:$A$3000,0))="","",INDEX(EXTRATO!$G$2:$G$3000,MATCH($A1674,EXTRATO!$A$2:$A$3000,0))))</f>
        <v/>
      </c>
      <c r="H1674" s="86" t="str">
        <f>IF(A1674="","",IF(INDEX(EXTRATO!$F$2:$F$3000,MATCH($A1674,EXTRATO!$A$2:$A$3000,0))="","",INDEX(EXTRATO!$F$2:$F$3000,MATCH($A1674,EXTRATO!$A$2:$A$3000,0))))</f>
        <v/>
      </c>
      <c r="I1674" s="88" t="str">
        <f>IF(A1674="","",IF(INDEX(EXTRATO!$H$2:$H$3000,MATCH($A1674,EXTRATO!$A$2:$A$3000,0))="","",INDEX(EXTRATO!$H$2:$H$3000,MATCH($A1674,EXTRATO!$A$2:$A$3000,0))))</f>
        <v/>
      </c>
      <c r="J1674" s="86" t="str">
        <f t="shared" si="39"/>
        <v/>
      </c>
      <c r="K1674" s="86" t="str">
        <f>IF(AND(A1674="",D1674="",E1674="",F1674=""),"",IF(D1674="","SEM CATEGORIA",IF(E1674="","SEM SUBCATEGORIA",IF(COUNTIFS(CADASTROS!$L$7:$L$93,D1674,CADASTROS!$D$7:$D$93,E1674)=0,"INCOMPATÍVEL","OK"))))</f>
        <v/>
      </c>
    </row>
    <row r="1675" spans="1:11" ht="30" hidden="1" customHeight="1" x14ac:dyDescent="0.25">
      <c r="A1675" s="86" t="str">
        <f>IF(COUNTIF(EXTRATO!$A$2:$A$3000,"BAN-01532")=0,"","BAN-01532")</f>
        <v/>
      </c>
      <c r="B1675" s="85" t="str">
        <f>IF(A1675="","",IF(INDEX(EXTRATO!$C$2:$C$3000,MATCH($A1675,EXTRATO!$A$2:$A$3000,0))="","",INDEX(EXTRATO!$C$2:$C$3000,MATCH($A1675,EXTRATO!$A$2:$A$3000,0))))</f>
        <v/>
      </c>
      <c r="C1675" s="86" t="str">
        <f t="shared" si="38"/>
        <v/>
      </c>
      <c r="D1675" s="81"/>
      <c r="E1675" s="79"/>
      <c r="F1675" s="80" t="str">
        <f>IF(A1675="","",SUMIF(EXTRATO!$A$2:$A$3000,$A1675,EXTRATO!$J$2:$J$3000)+SUMIF(EXTRATO!$A$2:$A$3000,$A1675,EXTRATO!$K$2:$K$3000)+SUMIF(EXTRATO!$A$2:$A$3000,$A1675,EXTRATO!$L$2:$L$3000)+SUMIF(EXTRATO!$A$2:$A$3000,$A1675,EXTRATO!$M$2:$M$3000))</f>
        <v/>
      </c>
      <c r="G1675" s="81" t="str">
        <f>IF(A1675="","",IF(INDEX(EXTRATO!$G$2:$G$3000,MATCH($A1675,EXTRATO!$A$2:$A$3000,0))="","",INDEX(EXTRATO!$G$2:$G$3000,MATCH($A1675,EXTRATO!$A$2:$A$3000,0))))</f>
        <v/>
      </c>
      <c r="H1675" s="86" t="str">
        <f>IF(A1675="","",IF(INDEX(EXTRATO!$F$2:$F$3000,MATCH($A1675,EXTRATO!$A$2:$A$3000,0))="","",INDEX(EXTRATO!$F$2:$F$3000,MATCH($A1675,EXTRATO!$A$2:$A$3000,0))))</f>
        <v/>
      </c>
      <c r="I1675" s="88" t="str">
        <f>IF(A1675="","",IF(INDEX(EXTRATO!$H$2:$H$3000,MATCH($A1675,EXTRATO!$A$2:$A$3000,0))="","",INDEX(EXTRATO!$H$2:$H$3000,MATCH($A1675,EXTRATO!$A$2:$A$3000,0))))</f>
        <v/>
      </c>
      <c r="J1675" s="86" t="str">
        <f t="shared" si="39"/>
        <v/>
      </c>
      <c r="K1675" s="86" t="str">
        <f>IF(AND(A1675="",D1675="",E1675="",F1675=""),"",IF(D1675="","SEM CATEGORIA",IF(E1675="","SEM SUBCATEGORIA",IF(COUNTIFS(CADASTROS!$L$7:$L$93,D1675,CADASTROS!$D$7:$D$93,E1675)=0,"INCOMPATÍVEL","OK"))))</f>
        <v/>
      </c>
    </row>
    <row r="1676" spans="1:11" ht="30" hidden="1" customHeight="1" x14ac:dyDescent="0.25">
      <c r="A1676" s="86" t="str">
        <f>IF(COUNTIF(EXTRATO!$A$2:$A$3000,"BAN-01533")=0,"","BAN-01533")</f>
        <v/>
      </c>
      <c r="B1676" s="85" t="str">
        <f>IF(A1676="","",IF(INDEX(EXTRATO!$C$2:$C$3000,MATCH($A1676,EXTRATO!$A$2:$A$3000,0))="","",INDEX(EXTRATO!$C$2:$C$3000,MATCH($A1676,EXTRATO!$A$2:$A$3000,0))))</f>
        <v/>
      </c>
      <c r="C1676" s="86" t="str">
        <f t="shared" si="38"/>
        <v/>
      </c>
      <c r="D1676" s="81"/>
      <c r="E1676" s="79"/>
      <c r="F1676" s="80" t="str">
        <f>IF(A1676="","",SUMIF(EXTRATO!$A$2:$A$3000,$A1676,EXTRATO!$J$2:$J$3000)+SUMIF(EXTRATO!$A$2:$A$3000,$A1676,EXTRATO!$K$2:$K$3000)+SUMIF(EXTRATO!$A$2:$A$3000,$A1676,EXTRATO!$L$2:$L$3000)+SUMIF(EXTRATO!$A$2:$A$3000,$A1676,EXTRATO!$M$2:$M$3000))</f>
        <v/>
      </c>
      <c r="G1676" s="81" t="str">
        <f>IF(A1676="","",IF(INDEX(EXTRATO!$G$2:$G$3000,MATCH($A1676,EXTRATO!$A$2:$A$3000,0))="","",INDEX(EXTRATO!$G$2:$G$3000,MATCH($A1676,EXTRATO!$A$2:$A$3000,0))))</f>
        <v/>
      </c>
      <c r="H1676" s="86" t="str">
        <f>IF(A1676="","",IF(INDEX(EXTRATO!$F$2:$F$3000,MATCH($A1676,EXTRATO!$A$2:$A$3000,0))="","",INDEX(EXTRATO!$F$2:$F$3000,MATCH($A1676,EXTRATO!$A$2:$A$3000,0))))</f>
        <v/>
      </c>
      <c r="I1676" s="88" t="str">
        <f>IF(A1676="","",IF(INDEX(EXTRATO!$H$2:$H$3000,MATCH($A1676,EXTRATO!$A$2:$A$3000,0))="","",INDEX(EXTRATO!$H$2:$H$3000,MATCH($A1676,EXTRATO!$A$2:$A$3000,0))))</f>
        <v/>
      </c>
      <c r="J1676" s="86" t="str">
        <f t="shared" si="39"/>
        <v/>
      </c>
      <c r="K1676" s="86" t="str">
        <f>IF(AND(A1676="",D1676="",E1676="",F1676=""),"",IF(D1676="","SEM CATEGORIA",IF(E1676="","SEM SUBCATEGORIA",IF(COUNTIFS(CADASTROS!$L$7:$L$93,D1676,CADASTROS!$D$7:$D$93,E1676)=0,"INCOMPATÍVEL","OK"))))</f>
        <v/>
      </c>
    </row>
    <row r="1677" spans="1:11" ht="30" hidden="1" customHeight="1" x14ac:dyDescent="0.25">
      <c r="A1677" s="86" t="str">
        <f>IF(COUNTIF(EXTRATO!$A$2:$A$3000,"BAN-01534")=0,"","BAN-01534")</f>
        <v/>
      </c>
      <c r="B1677" s="85" t="str">
        <f>IF(A1677="","",IF(INDEX(EXTRATO!$C$2:$C$3000,MATCH($A1677,EXTRATO!$A$2:$A$3000,0))="","",INDEX(EXTRATO!$C$2:$C$3000,MATCH($A1677,EXTRATO!$A$2:$A$3000,0))))</f>
        <v/>
      </c>
      <c r="C1677" s="86" t="str">
        <f t="shared" si="38"/>
        <v/>
      </c>
      <c r="D1677" s="81"/>
      <c r="E1677" s="79"/>
      <c r="F1677" s="80" t="str">
        <f>IF(A1677="","",SUMIF(EXTRATO!$A$2:$A$3000,$A1677,EXTRATO!$J$2:$J$3000)+SUMIF(EXTRATO!$A$2:$A$3000,$A1677,EXTRATO!$K$2:$K$3000)+SUMIF(EXTRATO!$A$2:$A$3000,$A1677,EXTRATO!$L$2:$L$3000)+SUMIF(EXTRATO!$A$2:$A$3000,$A1677,EXTRATO!$M$2:$M$3000))</f>
        <v/>
      </c>
      <c r="G1677" s="81" t="str">
        <f>IF(A1677="","",IF(INDEX(EXTRATO!$G$2:$G$3000,MATCH($A1677,EXTRATO!$A$2:$A$3000,0))="","",INDEX(EXTRATO!$G$2:$G$3000,MATCH($A1677,EXTRATO!$A$2:$A$3000,0))))</f>
        <v/>
      </c>
      <c r="H1677" s="86" t="str">
        <f>IF(A1677="","",IF(INDEX(EXTRATO!$F$2:$F$3000,MATCH($A1677,EXTRATO!$A$2:$A$3000,0))="","",INDEX(EXTRATO!$F$2:$F$3000,MATCH($A1677,EXTRATO!$A$2:$A$3000,0))))</f>
        <v/>
      </c>
      <c r="I1677" s="88" t="str">
        <f>IF(A1677="","",IF(INDEX(EXTRATO!$H$2:$H$3000,MATCH($A1677,EXTRATO!$A$2:$A$3000,0))="","",INDEX(EXTRATO!$H$2:$H$3000,MATCH($A1677,EXTRATO!$A$2:$A$3000,0))))</f>
        <v/>
      </c>
      <c r="J1677" s="86" t="str">
        <f t="shared" si="39"/>
        <v/>
      </c>
      <c r="K1677" s="86" t="str">
        <f>IF(AND(A1677="",D1677="",E1677="",F1677=""),"",IF(D1677="","SEM CATEGORIA",IF(E1677="","SEM SUBCATEGORIA",IF(COUNTIFS(CADASTROS!$L$7:$L$93,D1677,CADASTROS!$D$7:$D$93,E1677)=0,"INCOMPATÍVEL","OK"))))</f>
        <v/>
      </c>
    </row>
    <row r="1678" spans="1:11" ht="30" hidden="1" customHeight="1" x14ac:dyDescent="0.25">
      <c r="A1678" s="86" t="str">
        <f>IF(COUNTIF(EXTRATO!$A$2:$A$3000,"BAN-01535")=0,"","BAN-01535")</f>
        <v/>
      </c>
      <c r="B1678" s="85" t="str">
        <f>IF(A1678="","",IF(INDEX(EXTRATO!$C$2:$C$3000,MATCH($A1678,EXTRATO!$A$2:$A$3000,0))="","",INDEX(EXTRATO!$C$2:$C$3000,MATCH($A1678,EXTRATO!$A$2:$A$3000,0))))</f>
        <v/>
      </c>
      <c r="C1678" s="86" t="str">
        <f t="shared" si="38"/>
        <v/>
      </c>
      <c r="D1678" s="81"/>
      <c r="E1678" s="79"/>
      <c r="F1678" s="80" t="str">
        <f>IF(A1678="","",SUMIF(EXTRATO!$A$2:$A$3000,$A1678,EXTRATO!$J$2:$J$3000)+SUMIF(EXTRATO!$A$2:$A$3000,$A1678,EXTRATO!$K$2:$K$3000)+SUMIF(EXTRATO!$A$2:$A$3000,$A1678,EXTRATO!$L$2:$L$3000)+SUMIF(EXTRATO!$A$2:$A$3000,$A1678,EXTRATO!$M$2:$M$3000))</f>
        <v/>
      </c>
      <c r="G1678" s="81" t="str">
        <f>IF(A1678="","",IF(INDEX(EXTRATO!$G$2:$G$3000,MATCH($A1678,EXTRATO!$A$2:$A$3000,0))="","",INDEX(EXTRATO!$G$2:$G$3000,MATCH($A1678,EXTRATO!$A$2:$A$3000,0))))</f>
        <v/>
      </c>
      <c r="H1678" s="86" t="str">
        <f>IF(A1678="","",IF(INDEX(EXTRATO!$F$2:$F$3000,MATCH($A1678,EXTRATO!$A$2:$A$3000,0))="","",INDEX(EXTRATO!$F$2:$F$3000,MATCH($A1678,EXTRATO!$A$2:$A$3000,0))))</f>
        <v/>
      </c>
      <c r="I1678" s="88" t="str">
        <f>IF(A1678="","",IF(INDEX(EXTRATO!$H$2:$H$3000,MATCH($A1678,EXTRATO!$A$2:$A$3000,0))="","",INDEX(EXTRATO!$H$2:$H$3000,MATCH($A1678,EXTRATO!$A$2:$A$3000,0))))</f>
        <v/>
      </c>
      <c r="J1678" s="86" t="str">
        <f t="shared" si="39"/>
        <v/>
      </c>
      <c r="K1678" s="86" t="str">
        <f>IF(AND(A1678="",D1678="",E1678="",F1678=""),"",IF(D1678="","SEM CATEGORIA",IF(E1678="","SEM SUBCATEGORIA",IF(COUNTIFS(CADASTROS!$L$7:$L$93,D1678,CADASTROS!$D$7:$D$93,E1678)=0,"INCOMPATÍVEL","OK"))))</f>
        <v/>
      </c>
    </row>
    <row r="1679" spans="1:11" ht="30" hidden="1" customHeight="1" x14ac:dyDescent="0.25">
      <c r="A1679" s="86" t="str">
        <f>IF(COUNTIF(EXTRATO!$A$2:$A$3000,"BAN-01536")=0,"","BAN-01536")</f>
        <v/>
      </c>
      <c r="B1679" s="85" t="str">
        <f>IF(A1679="","",IF(INDEX(EXTRATO!$C$2:$C$3000,MATCH($A1679,EXTRATO!$A$2:$A$3000,0))="","",INDEX(EXTRATO!$C$2:$C$3000,MATCH($A1679,EXTRATO!$A$2:$A$3000,0))))</f>
        <v/>
      </c>
      <c r="C1679" s="86" t="str">
        <f t="shared" si="38"/>
        <v/>
      </c>
      <c r="D1679" s="81"/>
      <c r="E1679" s="79"/>
      <c r="F1679" s="80" t="str">
        <f>IF(A1679="","",SUMIF(EXTRATO!$A$2:$A$3000,$A1679,EXTRATO!$J$2:$J$3000)+SUMIF(EXTRATO!$A$2:$A$3000,$A1679,EXTRATO!$K$2:$K$3000)+SUMIF(EXTRATO!$A$2:$A$3000,$A1679,EXTRATO!$L$2:$L$3000)+SUMIF(EXTRATO!$A$2:$A$3000,$A1679,EXTRATO!$M$2:$M$3000))</f>
        <v/>
      </c>
      <c r="G1679" s="81" t="str">
        <f>IF(A1679="","",IF(INDEX(EXTRATO!$G$2:$G$3000,MATCH($A1679,EXTRATO!$A$2:$A$3000,0))="","",INDEX(EXTRATO!$G$2:$G$3000,MATCH($A1679,EXTRATO!$A$2:$A$3000,0))))</f>
        <v/>
      </c>
      <c r="H1679" s="86" t="str">
        <f>IF(A1679="","",IF(INDEX(EXTRATO!$F$2:$F$3000,MATCH($A1679,EXTRATO!$A$2:$A$3000,0))="","",INDEX(EXTRATO!$F$2:$F$3000,MATCH($A1679,EXTRATO!$A$2:$A$3000,0))))</f>
        <v/>
      </c>
      <c r="I1679" s="88" t="str">
        <f>IF(A1679="","",IF(INDEX(EXTRATO!$H$2:$H$3000,MATCH($A1679,EXTRATO!$A$2:$A$3000,0))="","",INDEX(EXTRATO!$H$2:$H$3000,MATCH($A1679,EXTRATO!$A$2:$A$3000,0))))</f>
        <v/>
      </c>
      <c r="J1679" s="86" t="str">
        <f t="shared" si="39"/>
        <v/>
      </c>
      <c r="K1679" s="86" t="str">
        <f>IF(AND(A1679="",D1679="",E1679="",F1679=""),"",IF(D1679="","SEM CATEGORIA",IF(E1679="","SEM SUBCATEGORIA",IF(COUNTIFS(CADASTROS!$L$7:$L$93,D1679,CADASTROS!$D$7:$D$93,E1679)=0,"INCOMPATÍVEL","OK"))))</f>
        <v/>
      </c>
    </row>
    <row r="1680" spans="1:11" ht="30" hidden="1" customHeight="1" x14ac:dyDescent="0.25">
      <c r="A1680" s="86" t="str">
        <f>IF(COUNTIF(EXTRATO!$A$2:$A$3000,"BAN-01537")=0,"","BAN-01537")</f>
        <v/>
      </c>
      <c r="B1680" s="85" t="str">
        <f>IF(A1680="","",IF(INDEX(EXTRATO!$C$2:$C$3000,MATCH($A1680,EXTRATO!$A$2:$A$3000,0))="","",INDEX(EXTRATO!$C$2:$C$3000,MATCH($A1680,EXTRATO!$A$2:$A$3000,0))))</f>
        <v/>
      </c>
      <c r="C1680" s="86" t="str">
        <f t="shared" si="38"/>
        <v/>
      </c>
      <c r="D1680" s="81"/>
      <c r="E1680" s="79"/>
      <c r="F1680" s="80" t="str">
        <f>IF(A1680="","",SUMIF(EXTRATO!$A$2:$A$3000,$A1680,EXTRATO!$J$2:$J$3000)+SUMIF(EXTRATO!$A$2:$A$3000,$A1680,EXTRATO!$K$2:$K$3000)+SUMIF(EXTRATO!$A$2:$A$3000,$A1680,EXTRATO!$L$2:$L$3000)+SUMIF(EXTRATO!$A$2:$A$3000,$A1680,EXTRATO!$M$2:$M$3000))</f>
        <v/>
      </c>
      <c r="G1680" s="81" t="str">
        <f>IF(A1680="","",IF(INDEX(EXTRATO!$G$2:$G$3000,MATCH($A1680,EXTRATO!$A$2:$A$3000,0))="","",INDEX(EXTRATO!$G$2:$G$3000,MATCH($A1680,EXTRATO!$A$2:$A$3000,0))))</f>
        <v/>
      </c>
      <c r="H1680" s="86" t="str">
        <f>IF(A1680="","",IF(INDEX(EXTRATO!$F$2:$F$3000,MATCH($A1680,EXTRATO!$A$2:$A$3000,0))="","",INDEX(EXTRATO!$F$2:$F$3000,MATCH($A1680,EXTRATO!$A$2:$A$3000,0))))</f>
        <v/>
      </c>
      <c r="I1680" s="88" t="str">
        <f>IF(A1680="","",IF(INDEX(EXTRATO!$H$2:$H$3000,MATCH($A1680,EXTRATO!$A$2:$A$3000,0))="","",INDEX(EXTRATO!$H$2:$H$3000,MATCH($A1680,EXTRATO!$A$2:$A$3000,0))))</f>
        <v/>
      </c>
      <c r="J1680" s="86" t="str">
        <f t="shared" si="39"/>
        <v/>
      </c>
      <c r="K1680" s="86" t="str">
        <f>IF(AND(A1680="",D1680="",E1680="",F1680=""),"",IF(D1680="","SEM CATEGORIA",IF(E1680="","SEM SUBCATEGORIA",IF(COUNTIFS(CADASTROS!$L$7:$L$93,D1680,CADASTROS!$D$7:$D$93,E1680)=0,"INCOMPATÍVEL","OK"))))</f>
        <v/>
      </c>
    </row>
    <row r="1681" spans="1:11" ht="30" hidden="1" customHeight="1" x14ac:dyDescent="0.25">
      <c r="A1681" s="86" t="str">
        <f>IF(COUNTIF(EXTRATO!$A$2:$A$3000,"BAN-01538")=0,"","BAN-01538")</f>
        <v/>
      </c>
      <c r="B1681" s="85" t="str">
        <f>IF(A1681="","",IF(INDEX(EXTRATO!$C$2:$C$3000,MATCH($A1681,EXTRATO!$A$2:$A$3000,0))="","",INDEX(EXTRATO!$C$2:$C$3000,MATCH($A1681,EXTRATO!$A$2:$A$3000,0))))</f>
        <v/>
      </c>
      <c r="C1681" s="86" t="str">
        <f t="shared" si="38"/>
        <v/>
      </c>
      <c r="D1681" s="81"/>
      <c r="E1681" s="79"/>
      <c r="F1681" s="80" t="str">
        <f>IF(A1681="","",SUMIF(EXTRATO!$A$2:$A$3000,$A1681,EXTRATO!$J$2:$J$3000)+SUMIF(EXTRATO!$A$2:$A$3000,$A1681,EXTRATO!$K$2:$K$3000)+SUMIF(EXTRATO!$A$2:$A$3000,$A1681,EXTRATO!$L$2:$L$3000)+SUMIF(EXTRATO!$A$2:$A$3000,$A1681,EXTRATO!$M$2:$M$3000))</f>
        <v/>
      </c>
      <c r="G1681" s="81" t="str">
        <f>IF(A1681="","",IF(INDEX(EXTRATO!$G$2:$G$3000,MATCH($A1681,EXTRATO!$A$2:$A$3000,0))="","",INDEX(EXTRATO!$G$2:$G$3000,MATCH($A1681,EXTRATO!$A$2:$A$3000,0))))</f>
        <v/>
      </c>
      <c r="H1681" s="86" t="str">
        <f>IF(A1681="","",IF(INDEX(EXTRATO!$F$2:$F$3000,MATCH($A1681,EXTRATO!$A$2:$A$3000,0))="","",INDEX(EXTRATO!$F$2:$F$3000,MATCH($A1681,EXTRATO!$A$2:$A$3000,0))))</f>
        <v/>
      </c>
      <c r="I1681" s="88" t="str">
        <f>IF(A1681="","",IF(INDEX(EXTRATO!$H$2:$H$3000,MATCH($A1681,EXTRATO!$A$2:$A$3000,0))="","",INDEX(EXTRATO!$H$2:$H$3000,MATCH($A1681,EXTRATO!$A$2:$A$3000,0))))</f>
        <v/>
      </c>
      <c r="J1681" s="86" t="str">
        <f t="shared" si="39"/>
        <v/>
      </c>
      <c r="K1681" s="86" t="str">
        <f>IF(AND(A1681="",D1681="",E1681="",F1681=""),"",IF(D1681="","SEM CATEGORIA",IF(E1681="","SEM SUBCATEGORIA",IF(COUNTIFS(CADASTROS!$L$7:$L$93,D1681,CADASTROS!$D$7:$D$93,E1681)=0,"INCOMPATÍVEL","OK"))))</f>
        <v/>
      </c>
    </row>
    <row r="1682" spans="1:11" ht="30" hidden="1" customHeight="1" x14ac:dyDescent="0.25">
      <c r="A1682" s="86" t="str">
        <f>IF(COUNTIF(EXTRATO!$A$2:$A$3000,"BAN-01539")=0,"","BAN-01539")</f>
        <v/>
      </c>
      <c r="B1682" s="85" t="str">
        <f>IF(A1682="","",IF(INDEX(EXTRATO!$C$2:$C$3000,MATCH($A1682,EXTRATO!$A$2:$A$3000,0))="","",INDEX(EXTRATO!$C$2:$C$3000,MATCH($A1682,EXTRATO!$A$2:$A$3000,0))))</f>
        <v/>
      </c>
      <c r="C1682" s="86" t="str">
        <f t="shared" si="38"/>
        <v/>
      </c>
      <c r="D1682" s="81"/>
      <c r="E1682" s="79"/>
      <c r="F1682" s="80" t="str">
        <f>IF(A1682="","",SUMIF(EXTRATO!$A$2:$A$3000,$A1682,EXTRATO!$J$2:$J$3000)+SUMIF(EXTRATO!$A$2:$A$3000,$A1682,EXTRATO!$K$2:$K$3000)+SUMIF(EXTRATO!$A$2:$A$3000,$A1682,EXTRATO!$L$2:$L$3000)+SUMIF(EXTRATO!$A$2:$A$3000,$A1682,EXTRATO!$M$2:$M$3000))</f>
        <v/>
      </c>
      <c r="G1682" s="81" t="str">
        <f>IF(A1682="","",IF(INDEX(EXTRATO!$G$2:$G$3000,MATCH($A1682,EXTRATO!$A$2:$A$3000,0))="","",INDEX(EXTRATO!$G$2:$G$3000,MATCH($A1682,EXTRATO!$A$2:$A$3000,0))))</f>
        <v/>
      </c>
      <c r="H1682" s="86" t="str">
        <f>IF(A1682="","",IF(INDEX(EXTRATO!$F$2:$F$3000,MATCH($A1682,EXTRATO!$A$2:$A$3000,0))="","",INDEX(EXTRATO!$F$2:$F$3000,MATCH($A1682,EXTRATO!$A$2:$A$3000,0))))</f>
        <v/>
      </c>
      <c r="I1682" s="88" t="str">
        <f>IF(A1682="","",IF(INDEX(EXTRATO!$H$2:$H$3000,MATCH($A1682,EXTRATO!$A$2:$A$3000,0))="","",INDEX(EXTRATO!$H$2:$H$3000,MATCH($A1682,EXTRATO!$A$2:$A$3000,0))))</f>
        <v/>
      </c>
      <c r="J1682" s="86" t="str">
        <f t="shared" si="39"/>
        <v/>
      </c>
      <c r="K1682" s="86" t="str">
        <f>IF(AND(A1682="",D1682="",E1682="",F1682=""),"",IF(D1682="","SEM CATEGORIA",IF(E1682="","SEM SUBCATEGORIA",IF(COUNTIFS(CADASTROS!$L$7:$L$93,D1682,CADASTROS!$D$7:$D$93,E1682)=0,"INCOMPATÍVEL","OK"))))</f>
        <v/>
      </c>
    </row>
    <row r="1683" spans="1:11" ht="30" hidden="1" customHeight="1" x14ac:dyDescent="0.25">
      <c r="A1683" s="86" t="str">
        <f>IF(COUNTIF(EXTRATO!$A$2:$A$3000,"BAN-01540")=0,"","BAN-01540")</f>
        <v/>
      </c>
      <c r="B1683" s="85" t="str">
        <f>IF(A1683="","",IF(INDEX(EXTRATO!$C$2:$C$3000,MATCH($A1683,EXTRATO!$A$2:$A$3000,0))="","",INDEX(EXTRATO!$C$2:$C$3000,MATCH($A1683,EXTRATO!$A$2:$A$3000,0))))</f>
        <v/>
      </c>
      <c r="C1683" s="86" t="str">
        <f t="shared" si="38"/>
        <v/>
      </c>
      <c r="D1683" s="81"/>
      <c r="E1683" s="79"/>
      <c r="F1683" s="80" t="str">
        <f>IF(A1683="","",SUMIF(EXTRATO!$A$2:$A$3000,$A1683,EXTRATO!$J$2:$J$3000)+SUMIF(EXTRATO!$A$2:$A$3000,$A1683,EXTRATO!$K$2:$K$3000)+SUMIF(EXTRATO!$A$2:$A$3000,$A1683,EXTRATO!$L$2:$L$3000)+SUMIF(EXTRATO!$A$2:$A$3000,$A1683,EXTRATO!$M$2:$M$3000))</f>
        <v/>
      </c>
      <c r="G1683" s="81" t="str">
        <f>IF(A1683="","",IF(INDEX(EXTRATO!$G$2:$G$3000,MATCH($A1683,EXTRATO!$A$2:$A$3000,0))="","",INDEX(EXTRATO!$G$2:$G$3000,MATCH($A1683,EXTRATO!$A$2:$A$3000,0))))</f>
        <v/>
      </c>
      <c r="H1683" s="86" t="str">
        <f>IF(A1683="","",IF(INDEX(EXTRATO!$F$2:$F$3000,MATCH($A1683,EXTRATO!$A$2:$A$3000,0))="","",INDEX(EXTRATO!$F$2:$F$3000,MATCH($A1683,EXTRATO!$A$2:$A$3000,0))))</f>
        <v/>
      </c>
      <c r="I1683" s="88" t="str">
        <f>IF(A1683="","",IF(INDEX(EXTRATO!$H$2:$H$3000,MATCH($A1683,EXTRATO!$A$2:$A$3000,0))="","",INDEX(EXTRATO!$H$2:$H$3000,MATCH($A1683,EXTRATO!$A$2:$A$3000,0))))</f>
        <v/>
      </c>
      <c r="J1683" s="86" t="str">
        <f t="shared" si="39"/>
        <v/>
      </c>
      <c r="K1683" s="86" t="str">
        <f>IF(AND(A1683="",D1683="",E1683="",F1683=""),"",IF(D1683="","SEM CATEGORIA",IF(E1683="","SEM SUBCATEGORIA",IF(COUNTIFS(CADASTROS!$L$7:$L$93,D1683,CADASTROS!$D$7:$D$93,E1683)=0,"INCOMPATÍVEL","OK"))))</f>
        <v/>
      </c>
    </row>
    <row r="1684" spans="1:11" ht="30" hidden="1" customHeight="1" x14ac:dyDescent="0.25">
      <c r="A1684" s="86" t="str">
        <f>IF(COUNTIF(EXTRATO!$A$2:$A$3000,"BAN-01541")=0,"","BAN-01541")</f>
        <v/>
      </c>
      <c r="B1684" s="85" t="str">
        <f>IF(A1684="","",IF(INDEX(EXTRATO!$C$2:$C$3000,MATCH($A1684,EXTRATO!$A$2:$A$3000,0))="","",INDEX(EXTRATO!$C$2:$C$3000,MATCH($A1684,EXTRATO!$A$2:$A$3000,0))))</f>
        <v/>
      </c>
      <c r="C1684" s="86" t="str">
        <f t="shared" si="38"/>
        <v/>
      </c>
      <c r="D1684" s="81"/>
      <c r="E1684" s="79"/>
      <c r="F1684" s="80" t="str">
        <f>IF(A1684="","",SUMIF(EXTRATO!$A$2:$A$3000,$A1684,EXTRATO!$J$2:$J$3000)+SUMIF(EXTRATO!$A$2:$A$3000,$A1684,EXTRATO!$K$2:$K$3000)+SUMIF(EXTRATO!$A$2:$A$3000,$A1684,EXTRATO!$L$2:$L$3000)+SUMIF(EXTRATO!$A$2:$A$3000,$A1684,EXTRATO!$M$2:$M$3000))</f>
        <v/>
      </c>
      <c r="G1684" s="81" t="str">
        <f>IF(A1684="","",IF(INDEX(EXTRATO!$G$2:$G$3000,MATCH($A1684,EXTRATO!$A$2:$A$3000,0))="","",INDEX(EXTRATO!$G$2:$G$3000,MATCH($A1684,EXTRATO!$A$2:$A$3000,0))))</f>
        <v/>
      </c>
      <c r="H1684" s="86" t="str">
        <f>IF(A1684="","",IF(INDEX(EXTRATO!$F$2:$F$3000,MATCH($A1684,EXTRATO!$A$2:$A$3000,0))="","",INDEX(EXTRATO!$F$2:$F$3000,MATCH($A1684,EXTRATO!$A$2:$A$3000,0))))</f>
        <v/>
      </c>
      <c r="I1684" s="88" t="str">
        <f>IF(A1684="","",IF(INDEX(EXTRATO!$H$2:$H$3000,MATCH($A1684,EXTRATO!$A$2:$A$3000,0))="","",INDEX(EXTRATO!$H$2:$H$3000,MATCH($A1684,EXTRATO!$A$2:$A$3000,0))))</f>
        <v/>
      </c>
      <c r="J1684" s="86" t="str">
        <f t="shared" si="39"/>
        <v/>
      </c>
      <c r="K1684" s="86" t="str">
        <f>IF(AND(A1684="",D1684="",E1684="",F1684=""),"",IF(D1684="","SEM CATEGORIA",IF(E1684="","SEM SUBCATEGORIA",IF(COUNTIFS(CADASTROS!$L$7:$L$93,D1684,CADASTROS!$D$7:$D$93,E1684)=0,"INCOMPATÍVEL","OK"))))</f>
        <v/>
      </c>
    </row>
    <row r="1685" spans="1:11" ht="30" hidden="1" customHeight="1" x14ac:dyDescent="0.25">
      <c r="A1685" s="86" t="str">
        <f>IF(COUNTIF(EXTRATO!$A$2:$A$3000,"BAN-01542")=0,"","BAN-01542")</f>
        <v/>
      </c>
      <c r="B1685" s="85" t="str">
        <f>IF(A1685="","",IF(INDEX(EXTRATO!$C$2:$C$3000,MATCH($A1685,EXTRATO!$A$2:$A$3000,0))="","",INDEX(EXTRATO!$C$2:$C$3000,MATCH($A1685,EXTRATO!$A$2:$A$3000,0))))</f>
        <v/>
      </c>
      <c r="C1685" s="86" t="str">
        <f t="shared" ref="C1685:C1748" si="40">IF(B1685="","",MONTH(B1685))</f>
        <v/>
      </c>
      <c r="D1685" s="81"/>
      <c r="E1685" s="79"/>
      <c r="F1685" s="80" t="str">
        <f>IF(A1685="","",SUMIF(EXTRATO!$A$2:$A$3000,$A1685,EXTRATO!$J$2:$J$3000)+SUMIF(EXTRATO!$A$2:$A$3000,$A1685,EXTRATO!$K$2:$K$3000)+SUMIF(EXTRATO!$A$2:$A$3000,$A1685,EXTRATO!$L$2:$L$3000)+SUMIF(EXTRATO!$A$2:$A$3000,$A1685,EXTRATO!$M$2:$M$3000))</f>
        <v/>
      </c>
      <c r="G1685" s="81" t="str">
        <f>IF(A1685="","",IF(INDEX(EXTRATO!$G$2:$G$3000,MATCH($A1685,EXTRATO!$A$2:$A$3000,0))="","",INDEX(EXTRATO!$G$2:$G$3000,MATCH($A1685,EXTRATO!$A$2:$A$3000,0))))</f>
        <v/>
      </c>
      <c r="H1685" s="86" t="str">
        <f>IF(A1685="","",IF(INDEX(EXTRATO!$F$2:$F$3000,MATCH($A1685,EXTRATO!$A$2:$A$3000,0))="","",INDEX(EXTRATO!$F$2:$F$3000,MATCH($A1685,EXTRATO!$A$2:$A$3000,0))))</f>
        <v/>
      </c>
      <c r="I1685" s="88" t="str">
        <f>IF(A1685="","",IF(INDEX(EXTRATO!$H$2:$H$3000,MATCH($A1685,EXTRATO!$A$2:$A$3000,0))="","",INDEX(EXTRATO!$H$2:$H$3000,MATCH($A1685,EXTRATO!$A$2:$A$3000,0))))</f>
        <v/>
      </c>
      <c r="J1685" s="86" t="str">
        <f t="shared" si="39"/>
        <v/>
      </c>
      <c r="K1685" s="86" t="str">
        <f>IF(AND(A1685="",D1685="",E1685="",F1685=""),"",IF(D1685="","SEM CATEGORIA",IF(E1685="","SEM SUBCATEGORIA",IF(COUNTIFS(CADASTROS!$L$7:$L$93,D1685,CADASTROS!$D$7:$D$93,E1685)=0,"INCOMPATÍVEL","OK"))))</f>
        <v/>
      </c>
    </row>
    <row r="1686" spans="1:11" ht="30" hidden="1" customHeight="1" x14ac:dyDescent="0.25">
      <c r="A1686" s="86" t="str">
        <f>IF(COUNTIF(EXTRATO!$A$2:$A$3000,"BAN-01543")=0,"","BAN-01543")</f>
        <v/>
      </c>
      <c r="B1686" s="85" t="str">
        <f>IF(A1686="","",IF(INDEX(EXTRATO!$C$2:$C$3000,MATCH($A1686,EXTRATO!$A$2:$A$3000,0))="","",INDEX(EXTRATO!$C$2:$C$3000,MATCH($A1686,EXTRATO!$A$2:$A$3000,0))))</f>
        <v/>
      </c>
      <c r="C1686" s="86" t="str">
        <f t="shared" si="40"/>
        <v/>
      </c>
      <c r="D1686" s="81"/>
      <c r="E1686" s="79"/>
      <c r="F1686" s="80" t="str">
        <f>IF(A1686="","",SUMIF(EXTRATO!$A$2:$A$3000,$A1686,EXTRATO!$J$2:$J$3000)+SUMIF(EXTRATO!$A$2:$A$3000,$A1686,EXTRATO!$K$2:$K$3000)+SUMIF(EXTRATO!$A$2:$A$3000,$A1686,EXTRATO!$L$2:$L$3000)+SUMIF(EXTRATO!$A$2:$A$3000,$A1686,EXTRATO!$M$2:$M$3000))</f>
        <v/>
      </c>
      <c r="G1686" s="81" t="str">
        <f>IF(A1686="","",IF(INDEX(EXTRATO!$G$2:$G$3000,MATCH($A1686,EXTRATO!$A$2:$A$3000,0))="","",INDEX(EXTRATO!$G$2:$G$3000,MATCH($A1686,EXTRATO!$A$2:$A$3000,0))))</f>
        <v/>
      </c>
      <c r="H1686" s="86" t="str">
        <f>IF(A1686="","",IF(INDEX(EXTRATO!$F$2:$F$3000,MATCH($A1686,EXTRATO!$A$2:$A$3000,0))="","",INDEX(EXTRATO!$F$2:$F$3000,MATCH($A1686,EXTRATO!$A$2:$A$3000,0))))</f>
        <v/>
      </c>
      <c r="I1686" s="88" t="str">
        <f>IF(A1686="","",IF(INDEX(EXTRATO!$H$2:$H$3000,MATCH($A1686,EXTRATO!$A$2:$A$3000,0))="","",INDEX(EXTRATO!$H$2:$H$3000,MATCH($A1686,EXTRATO!$A$2:$A$3000,0))))</f>
        <v/>
      </c>
      <c r="J1686" s="86" t="str">
        <f t="shared" si="39"/>
        <v/>
      </c>
      <c r="K1686" s="86" t="str">
        <f>IF(AND(A1686="",D1686="",E1686="",F1686=""),"",IF(D1686="","SEM CATEGORIA",IF(E1686="","SEM SUBCATEGORIA",IF(COUNTIFS(CADASTROS!$L$7:$L$93,D1686,CADASTROS!$D$7:$D$93,E1686)=0,"INCOMPATÍVEL","OK"))))</f>
        <v/>
      </c>
    </row>
    <row r="1687" spans="1:11" ht="30" hidden="1" customHeight="1" x14ac:dyDescent="0.25">
      <c r="A1687" s="86" t="str">
        <f>IF(COUNTIF(EXTRATO!$A$2:$A$3000,"BAN-01544")=0,"","BAN-01544")</f>
        <v/>
      </c>
      <c r="B1687" s="85" t="str">
        <f>IF(A1687="","",IF(INDEX(EXTRATO!$C$2:$C$3000,MATCH($A1687,EXTRATO!$A$2:$A$3000,0))="","",INDEX(EXTRATO!$C$2:$C$3000,MATCH($A1687,EXTRATO!$A$2:$A$3000,0))))</f>
        <v/>
      </c>
      <c r="C1687" s="86" t="str">
        <f t="shared" si="40"/>
        <v/>
      </c>
      <c r="D1687" s="81"/>
      <c r="E1687" s="79"/>
      <c r="F1687" s="80" t="str">
        <f>IF(A1687="","",SUMIF(EXTRATO!$A$2:$A$3000,$A1687,EXTRATO!$J$2:$J$3000)+SUMIF(EXTRATO!$A$2:$A$3000,$A1687,EXTRATO!$K$2:$K$3000)+SUMIF(EXTRATO!$A$2:$A$3000,$A1687,EXTRATO!$L$2:$L$3000)+SUMIF(EXTRATO!$A$2:$A$3000,$A1687,EXTRATO!$M$2:$M$3000))</f>
        <v/>
      </c>
      <c r="G1687" s="81" t="str">
        <f>IF(A1687="","",IF(INDEX(EXTRATO!$G$2:$G$3000,MATCH($A1687,EXTRATO!$A$2:$A$3000,0))="","",INDEX(EXTRATO!$G$2:$G$3000,MATCH($A1687,EXTRATO!$A$2:$A$3000,0))))</f>
        <v/>
      </c>
      <c r="H1687" s="86" t="str">
        <f>IF(A1687="","",IF(INDEX(EXTRATO!$F$2:$F$3000,MATCH($A1687,EXTRATO!$A$2:$A$3000,0))="","",INDEX(EXTRATO!$F$2:$F$3000,MATCH($A1687,EXTRATO!$A$2:$A$3000,0))))</f>
        <v/>
      </c>
      <c r="I1687" s="88" t="str">
        <f>IF(A1687="","",IF(INDEX(EXTRATO!$H$2:$H$3000,MATCH($A1687,EXTRATO!$A$2:$A$3000,0))="","",INDEX(EXTRATO!$H$2:$H$3000,MATCH($A1687,EXTRATO!$A$2:$A$3000,0))))</f>
        <v/>
      </c>
      <c r="J1687" s="86" t="str">
        <f t="shared" si="39"/>
        <v/>
      </c>
      <c r="K1687" s="86" t="str">
        <f>IF(AND(A1687="",D1687="",E1687="",F1687=""),"",IF(D1687="","SEM CATEGORIA",IF(E1687="","SEM SUBCATEGORIA",IF(COUNTIFS(CADASTROS!$L$7:$L$93,D1687,CADASTROS!$D$7:$D$93,E1687)=0,"INCOMPATÍVEL","OK"))))</f>
        <v/>
      </c>
    </row>
    <row r="1688" spans="1:11" ht="30" hidden="1" customHeight="1" x14ac:dyDescent="0.25">
      <c r="A1688" s="86" t="str">
        <f>IF(COUNTIF(EXTRATO!$A$2:$A$3000,"BAN-01545")=0,"","BAN-01545")</f>
        <v/>
      </c>
      <c r="B1688" s="85" t="str">
        <f>IF(A1688="","",IF(INDEX(EXTRATO!$C$2:$C$3000,MATCH($A1688,EXTRATO!$A$2:$A$3000,0))="","",INDEX(EXTRATO!$C$2:$C$3000,MATCH($A1688,EXTRATO!$A$2:$A$3000,0))))</f>
        <v/>
      </c>
      <c r="C1688" s="86" t="str">
        <f t="shared" si="40"/>
        <v/>
      </c>
      <c r="D1688" s="81"/>
      <c r="E1688" s="79"/>
      <c r="F1688" s="80" t="str">
        <f>IF(A1688="","",SUMIF(EXTRATO!$A$2:$A$3000,$A1688,EXTRATO!$J$2:$J$3000)+SUMIF(EXTRATO!$A$2:$A$3000,$A1688,EXTRATO!$K$2:$K$3000)+SUMIF(EXTRATO!$A$2:$A$3000,$A1688,EXTRATO!$L$2:$L$3000)+SUMIF(EXTRATO!$A$2:$A$3000,$A1688,EXTRATO!$M$2:$M$3000))</f>
        <v/>
      </c>
      <c r="G1688" s="81" t="str">
        <f>IF(A1688="","",IF(INDEX(EXTRATO!$G$2:$G$3000,MATCH($A1688,EXTRATO!$A$2:$A$3000,0))="","",INDEX(EXTRATO!$G$2:$G$3000,MATCH($A1688,EXTRATO!$A$2:$A$3000,0))))</f>
        <v/>
      </c>
      <c r="H1688" s="86" t="str">
        <f>IF(A1688="","",IF(INDEX(EXTRATO!$F$2:$F$3000,MATCH($A1688,EXTRATO!$A$2:$A$3000,0))="","",INDEX(EXTRATO!$F$2:$F$3000,MATCH($A1688,EXTRATO!$A$2:$A$3000,0))))</f>
        <v/>
      </c>
      <c r="I1688" s="88" t="str">
        <f>IF(A1688="","",IF(INDEX(EXTRATO!$H$2:$H$3000,MATCH($A1688,EXTRATO!$A$2:$A$3000,0))="","",INDEX(EXTRATO!$H$2:$H$3000,MATCH($A1688,EXTRATO!$A$2:$A$3000,0))))</f>
        <v/>
      </c>
      <c r="J1688" s="86" t="str">
        <f t="shared" si="39"/>
        <v/>
      </c>
      <c r="K1688" s="86" t="str">
        <f>IF(AND(A1688="",D1688="",E1688="",F1688=""),"",IF(D1688="","SEM CATEGORIA",IF(E1688="","SEM SUBCATEGORIA",IF(COUNTIFS(CADASTROS!$L$7:$L$93,D1688,CADASTROS!$D$7:$D$93,E1688)=0,"INCOMPATÍVEL","OK"))))</f>
        <v/>
      </c>
    </row>
    <row r="1689" spans="1:11" ht="30" hidden="1" customHeight="1" x14ac:dyDescent="0.25">
      <c r="A1689" s="86" t="str">
        <f>IF(COUNTIF(EXTRATO!$A$2:$A$3000,"BAN-01546")=0,"","BAN-01546")</f>
        <v/>
      </c>
      <c r="B1689" s="85" t="str">
        <f>IF(A1689="","",IF(INDEX(EXTRATO!$C$2:$C$3000,MATCH($A1689,EXTRATO!$A$2:$A$3000,0))="","",INDEX(EXTRATO!$C$2:$C$3000,MATCH($A1689,EXTRATO!$A$2:$A$3000,0))))</f>
        <v/>
      </c>
      <c r="C1689" s="86" t="str">
        <f t="shared" si="40"/>
        <v/>
      </c>
      <c r="D1689" s="81"/>
      <c r="E1689" s="79"/>
      <c r="F1689" s="80" t="str">
        <f>IF(A1689="","",SUMIF(EXTRATO!$A$2:$A$3000,$A1689,EXTRATO!$J$2:$J$3000)+SUMIF(EXTRATO!$A$2:$A$3000,$A1689,EXTRATO!$K$2:$K$3000)+SUMIF(EXTRATO!$A$2:$A$3000,$A1689,EXTRATO!$L$2:$L$3000)+SUMIF(EXTRATO!$A$2:$A$3000,$A1689,EXTRATO!$M$2:$M$3000))</f>
        <v/>
      </c>
      <c r="G1689" s="81" t="str">
        <f>IF(A1689="","",IF(INDEX(EXTRATO!$G$2:$G$3000,MATCH($A1689,EXTRATO!$A$2:$A$3000,0))="","",INDEX(EXTRATO!$G$2:$G$3000,MATCH($A1689,EXTRATO!$A$2:$A$3000,0))))</f>
        <v/>
      </c>
      <c r="H1689" s="86" t="str">
        <f>IF(A1689="","",IF(INDEX(EXTRATO!$F$2:$F$3000,MATCH($A1689,EXTRATO!$A$2:$A$3000,0))="","",INDEX(EXTRATO!$F$2:$F$3000,MATCH($A1689,EXTRATO!$A$2:$A$3000,0))))</f>
        <v/>
      </c>
      <c r="I1689" s="88" t="str">
        <f>IF(A1689="","",IF(INDEX(EXTRATO!$H$2:$H$3000,MATCH($A1689,EXTRATO!$A$2:$A$3000,0))="","",INDEX(EXTRATO!$H$2:$H$3000,MATCH($A1689,EXTRATO!$A$2:$A$3000,0))))</f>
        <v/>
      </c>
      <c r="J1689" s="86" t="str">
        <f t="shared" si="39"/>
        <v/>
      </c>
      <c r="K1689" s="86" t="str">
        <f>IF(AND(A1689="",D1689="",E1689="",F1689=""),"",IF(D1689="","SEM CATEGORIA",IF(E1689="","SEM SUBCATEGORIA",IF(COUNTIFS(CADASTROS!$L$7:$L$93,D1689,CADASTROS!$D$7:$D$93,E1689)=0,"INCOMPATÍVEL","OK"))))</f>
        <v/>
      </c>
    </row>
    <row r="1690" spans="1:11" ht="30" hidden="1" customHeight="1" x14ac:dyDescent="0.25">
      <c r="A1690" s="86" t="str">
        <f>IF(COUNTIF(EXTRATO!$A$2:$A$3000,"BAN-01547")=0,"","BAN-01547")</f>
        <v/>
      </c>
      <c r="B1690" s="85" t="str">
        <f>IF(A1690="","",IF(INDEX(EXTRATO!$C$2:$C$3000,MATCH($A1690,EXTRATO!$A$2:$A$3000,0))="","",INDEX(EXTRATO!$C$2:$C$3000,MATCH($A1690,EXTRATO!$A$2:$A$3000,0))))</f>
        <v/>
      </c>
      <c r="C1690" s="86" t="str">
        <f t="shared" si="40"/>
        <v/>
      </c>
      <c r="D1690" s="81"/>
      <c r="E1690" s="79"/>
      <c r="F1690" s="80" t="str">
        <f>IF(A1690="","",SUMIF(EXTRATO!$A$2:$A$3000,$A1690,EXTRATO!$J$2:$J$3000)+SUMIF(EXTRATO!$A$2:$A$3000,$A1690,EXTRATO!$K$2:$K$3000)+SUMIF(EXTRATO!$A$2:$A$3000,$A1690,EXTRATO!$L$2:$L$3000)+SUMIF(EXTRATO!$A$2:$A$3000,$A1690,EXTRATO!$M$2:$M$3000))</f>
        <v/>
      </c>
      <c r="G1690" s="81" t="str">
        <f>IF(A1690="","",IF(INDEX(EXTRATO!$G$2:$G$3000,MATCH($A1690,EXTRATO!$A$2:$A$3000,0))="","",INDEX(EXTRATO!$G$2:$G$3000,MATCH($A1690,EXTRATO!$A$2:$A$3000,0))))</f>
        <v/>
      </c>
      <c r="H1690" s="86" t="str">
        <f>IF(A1690="","",IF(INDEX(EXTRATO!$F$2:$F$3000,MATCH($A1690,EXTRATO!$A$2:$A$3000,0))="","",INDEX(EXTRATO!$F$2:$F$3000,MATCH($A1690,EXTRATO!$A$2:$A$3000,0))))</f>
        <v/>
      </c>
      <c r="I1690" s="88" t="str">
        <f>IF(A1690="","",IF(INDEX(EXTRATO!$H$2:$H$3000,MATCH($A1690,EXTRATO!$A$2:$A$3000,0))="","",INDEX(EXTRATO!$H$2:$H$3000,MATCH($A1690,EXTRATO!$A$2:$A$3000,0))))</f>
        <v/>
      </c>
      <c r="J1690" s="86" t="str">
        <f t="shared" si="39"/>
        <v/>
      </c>
      <c r="K1690" s="86" t="str">
        <f>IF(AND(A1690="",D1690="",E1690="",F1690=""),"",IF(D1690="","SEM CATEGORIA",IF(E1690="","SEM SUBCATEGORIA",IF(COUNTIFS(CADASTROS!$L$7:$L$93,D1690,CADASTROS!$D$7:$D$93,E1690)=0,"INCOMPATÍVEL","OK"))))</f>
        <v/>
      </c>
    </row>
    <row r="1691" spans="1:11" ht="30" hidden="1" customHeight="1" x14ac:dyDescent="0.25">
      <c r="A1691" s="86" t="str">
        <f>IF(COUNTIF(EXTRATO!$A$2:$A$3000,"BAN-01548")=0,"","BAN-01548")</f>
        <v/>
      </c>
      <c r="B1691" s="85" t="str">
        <f>IF(A1691="","",IF(INDEX(EXTRATO!$C$2:$C$3000,MATCH($A1691,EXTRATO!$A$2:$A$3000,0))="","",INDEX(EXTRATO!$C$2:$C$3000,MATCH($A1691,EXTRATO!$A$2:$A$3000,0))))</f>
        <v/>
      </c>
      <c r="C1691" s="86" t="str">
        <f t="shared" si="40"/>
        <v/>
      </c>
      <c r="D1691" s="81"/>
      <c r="E1691" s="79"/>
      <c r="F1691" s="80" t="str">
        <f>IF(A1691="","",SUMIF(EXTRATO!$A$2:$A$3000,$A1691,EXTRATO!$J$2:$J$3000)+SUMIF(EXTRATO!$A$2:$A$3000,$A1691,EXTRATO!$K$2:$K$3000)+SUMIF(EXTRATO!$A$2:$A$3000,$A1691,EXTRATO!$L$2:$L$3000)+SUMIF(EXTRATO!$A$2:$A$3000,$A1691,EXTRATO!$M$2:$M$3000))</f>
        <v/>
      </c>
      <c r="G1691" s="81" t="str">
        <f>IF(A1691="","",IF(INDEX(EXTRATO!$G$2:$G$3000,MATCH($A1691,EXTRATO!$A$2:$A$3000,0))="","",INDEX(EXTRATO!$G$2:$G$3000,MATCH($A1691,EXTRATO!$A$2:$A$3000,0))))</f>
        <v/>
      </c>
      <c r="H1691" s="86" t="str">
        <f>IF(A1691="","",IF(INDEX(EXTRATO!$F$2:$F$3000,MATCH($A1691,EXTRATO!$A$2:$A$3000,0))="","",INDEX(EXTRATO!$F$2:$F$3000,MATCH($A1691,EXTRATO!$A$2:$A$3000,0))))</f>
        <v/>
      </c>
      <c r="I1691" s="88" t="str">
        <f>IF(A1691="","",IF(INDEX(EXTRATO!$H$2:$H$3000,MATCH($A1691,EXTRATO!$A$2:$A$3000,0))="","",INDEX(EXTRATO!$H$2:$H$3000,MATCH($A1691,EXTRATO!$A$2:$A$3000,0))))</f>
        <v/>
      </c>
      <c r="J1691" s="86" t="str">
        <f t="shared" si="39"/>
        <v/>
      </c>
      <c r="K1691" s="86" t="str">
        <f>IF(AND(A1691="",D1691="",E1691="",F1691=""),"",IF(D1691="","SEM CATEGORIA",IF(E1691="","SEM SUBCATEGORIA",IF(COUNTIFS(CADASTROS!$L$7:$L$93,D1691,CADASTROS!$D$7:$D$93,E1691)=0,"INCOMPATÍVEL","OK"))))</f>
        <v/>
      </c>
    </row>
    <row r="1692" spans="1:11" ht="30" hidden="1" customHeight="1" x14ac:dyDescent="0.25">
      <c r="A1692" s="86" t="str">
        <f>IF(COUNTIF(EXTRATO!$A$2:$A$3000,"BAN-01549")=0,"","BAN-01549")</f>
        <v/>
      </c>
      <c r="B1692" s="85" t="str">
        <f>IF(A1692="","",IF(INDEX(EXTRATO!$C$2:$C$3000,MATCH($A1692,EXTRATO!$A$2:$A$3000,0))="","",INDEX(EXTRATO!$C$2:$C$3000,MATCH($A1692,EXTRATO!$A$2:$A$3000,0))))</f>
        <v/>
      </c>
      <c r="C1692" s="86" t="str">
        <f t="shared" si="40"/>
        <v/>
      </c>
      <c r="D1692" s="81"/>
      <c r="E1692" s="79"/>
      <c r="F1692" s="80" t="str">
        <f>IF(A1692="","",SUMIF(EXTRATO!$A$2:$A$3000,$A1692,EXTRATO!$J$2:$J$3000)+SUMIF(EXTRATO!$A$2:$A$3000,$A1692,EXTRATO!$K$2:$K$3000)+SUMIF(EXTRATO!$A$2:$A$3000,$A1692,EXTRATO!$L$2:$L$3000)+SUMIF(EXTRATO!$A$2:$A$3000,$A1692,EXTRATO!$M$2:$M$3000))</f>
        <v/>
      </c>
      <c r="G1692" s="81" t="str">
        <f>IF(A1692="","",IF(INDEX(EXTRATO!$G$2:$G$3000,MATCH($A1692,EXTRATO!$A$2:$A$3000,0))="","",INDEX(EXTRATO!$G$2:$G$3000,MATCH($A1692,EXTRATO!$A$2:$A$3000,0))))</f>
        <v/>
      </c>
      <c r="H1692" s="86" t="str">
        <f>IF(A1692="","",IF(INDEX(EXTRATO!$F$2:$F$3000,MATCH($A1692,EXTRATO!$A$2:$A$3000,0))="","",INDEX(EXTRATO!$F$2:$F$3000,MATCH($A1692,EXTRATO!$A$2:$A$3000,0))))</f>
        <v/>
      </c>
      <c r="I1692" s="88" t="str">
        <f>IF(A1692="","",IF(INDEX(EXTRATO!$H$2:$H$3000,MATCH($A1692,EXTRATO!$A$2:$A$3000,0))="","",INDEX(EXTRATO!$H$2:$H$3000,MATCH($A1692,EXTRATO!$A$2:$A$3000,0))))</f>
        <v/>
      </c>
      <c r="J1692" s="86" t="str">
        <f t="shared" si="39"/>
        <v/>
      </c>
      <c r="K1692" s="86" t="str">
        <f>IF(AND(A1692="",D1692="",E1692="",F1692=""),"",IF(D1692="","SEM CATEGORIA",IF(E1692="","SEM SUBCATEGORIA",IF(COUNTIFS(CADASTROS!$L$7:$L$93,D1692,CADASTROS!$D$7:$D$93,E1692)=0,"INCOMPATÍVEL","OK"))))</f>
        <v/>
      </c>
    </row>
    <row r="1693" spans="1:11" ht="30" hidden="1" customHeight="1" x14ac:dyDescent="0.25">
      <c r="A1693" s="86" t="str">
        <f>IF(COUNTIF(EXTRATO!$A$2:$A$3000,"BAN-01550")=0,"","BAN-01550")</f>
        <v/>
      </c>
      <c r="B1693" s="85" t="str">
        <f>IF(A1693="","",IF(INDEX(EXTRATO!$C$2:$C$3000,MATCH($A1693,EXTRATO!$A$2:$A$3000,0))="","",INDEX(EXTRATO!$C$2:$C$3000,MATCH($A1693,EXTRATO!$A$2:$A$3000,0))))</f>
        <v/>
      </c>
      <c r="C1693" s="86" t="str">
        <f t="shared" si="40"/>
        <v/>
      </c>
      <c r="D1693" s="81"/>
      <c r="E1693" s="79"/>
      <c r="F1693" s="80" t="str">
        <f>IF(A1693="","",SUMIF(EXTRATO!$A$2:$A$3000,$A1693,EXTRATO!$J$2:$J$3000)+SUMIF(EXTRATO!$A$2:$A$3000,$A1693,EXTRATO!$K$2:$K$3000)+SUMIF(EXTRATO!$A$2:$A$3000,$A1693,EXTRATO!$L$2:$L$3000)+SUMIF(EXTRATO!$A$2:$A$3000,$A1693,EXTRATO!$M$2:$M$3000))</f>
        <v/>
      </c>
      <c r="G1693" s="81" t="str">
        <f>IF(A1693="","",IF(INDEX(EXTRATO!$G$2:$G$3000,MATCH($A1693,EXTRATO!$A$2:$A$3000,0))="","",INDEX(EXTRATO!$G$2:$G$3000,MATCH($A1693,EXTRATO!$A$2:$A$3000,0))))</f>
        <v/>
      </c>
      <c r="H1693" s="86" t="str">
        <f>IF(A1693="","",IF(INDEX(EXTRATO!$F$2:$F$3000,MATCH($A1693,EXTRATO!$A$2:$A$3000,0))="","",INDEX(EXTRATO!$F$2:$F$3000,MATCH($A1693,EXTRATO!$A$2:$A$3000,0))))</f>
        <v/>
      </c>
      <c r="I1693" s="88" t="str">
        <f>IF(A1693="","",IF(INDEX(EXTRATO!$H$2:$H$3000,MATCH($A1693,EXTRATO!$A$2:$A$3000,0))="","",INDEX(EXTRATO!$H$2:$H$3000,MATCH($A1693,EXTRATO!$A$2:$A$3000,0))))</f>
        <v/>
      </c>
      <c r="J1693" s="86" t="str">
        <f t="shared" si="39"/>
        <v/>
      </c>
      <c r="K1693" s="86" t="str">
        <f>IF(AND(A1693="",D1693="",E1693="",F1693=""),"",IF(D1693="","SEM CATEGORIA",IF(E1693="","SEM SUBCATEGORIA",IF(COUNTIFS(CADASTROS!$L$7:$L$93,D1693,CADASTROS!$D$7:$D$93,E1693)=0,"INCOMPATÍVEL","OK"))))</f>
        <v/>
      </c>
    </row>
    <row r="1694" spans="1:11" ht="30" hidden="1" customHeight="1" x14ac:dyDescent="0.25">
      <c r="A1694" s="86" t="str">
        <f>IF(COUNTIF(EXTRATO!$A$2:$A$3000,"BAN-01551")=0,"","BAN-01551")</f>
        <v/>
      </c>
      <c r="B1694" s="85" t="str">
        <f>IF(A1694="","",IF(INDEX(EXTRATO!$C$2:$C$3000,MATCH($A1694,EXTRATO!$A$2:$A$3000,0))="","",INDEX(EXTRATO!$C$2:$C$3000,MATCH($A1694,EXTRATO!$A$2:$A$3000,0))))</f>
        <v/>
      </c>
      <c r="C1694" s="86" t="str">
        <f t="shared" si="40"/>
        <v/>
      </c>
      <c r="D1694" s="81"/>
      <c r="E1694" s="79"/>
      <c r="F1694" s="80" t="str">
        <f>IF(A1694="","",SUMIF(EXTRATO!$A$2:$A$3000,$A1694,EXTRATO!$J$2:$J$3000)+SUMIF(EXTRATO!$A$2:$A$3000,$A1694,EXTRATO!$K$2:$K$3000)+SUMIF(EXTRATO!$A$2:$A$3000,$A1694,EXTRATO!$L$2:$L$3000)+SUMIF(EXTRATO!$A$2:$A$3000,$A1694,EXTRATO!$M$2:$M$3000))</f>
        <v/>
      </c>
      <c r="G1694" s="81" t="str">
        <f>IF(A1694="","",IF(INDEX(EXTRATO!$G$2:$G$3000,MATCH($A1694,EXTRATO!$A$2:$A$3000,0))="","",INDEX(EXTRATO!$G$2:$G$3000,MATCH($A1694,EXTRATO!$A$2:$A$3000,0))))</f>
        <v/>
      </c>
      <c r="H1694" s="86" t="str">
        <f>IF(A1694="","",IF(INDEX(EXTRATO!$F$2:$F$3000,MATCH($A1694,EXTRATO!$A$2:$A$3000,0))="","",INDEX(EXTRATO!$F$2:$F$3000,MATCH($A1694,EXTRATO!$A$2:$A$3000,0))))</f>
        <v/>
      </c>
      <c r="I1694" s="88" t="str">
        <f>IF(A1694="","",IF(INDEX(EXTRATO!$H$2:$H$3000,MATCH($A1694,EXTRATO!$A$2:$A$3000,0))="","",INDEX(EXTRATO!$H$2:$H$3000,MATCH($A1694,EXTRATO!$A$2:$A$3000,0))))</f>
        <v/>
      </c>
      <c r="J1694" s="86" t="str">
        <f t="shared" si="39"/>
        <v/>
      </c>
      <c r="K1694" s="86" t="str">
        <f>IF(AND(A1694="",D1694="",E1694="",F1694=""),"",IF(D1694="","SEM CATEGORIA",IF(E1694="","SEM SUBCATEGORIA",IF(COUNTIFS(CADASTROS!$L$7:$L$93,D1694,CADASTROS!$D$7:$D$93,E1694)=0,"INCOMPATÍVEL","OK"))))</f>
        <v/>
      </c>
    </row>
    <row r="1695" spans="1:11" ht="30" hidden="1" customHeight="1" x14ac:dyDescent="0.25">
      <c r="A1695" s="86" t="str">
        <f>IF(COUNTIF(EXTRATO!$A$2:$A$3000,"BAN-01552")=0,"","BAN-01552")</f>
        <v/>
      </c>
      <c r="B1695" s="85" t="str">
        <f>IF(A1695="","",IF(INDEX(EXTRATO!$C$2:$C$3000,MATCH($A1695,EXTRATO!$A$2:$A$3000,0))="","",INDEX(EXTRATO!$C$2:$C$3000,MATCH($A1695,EXTRATO!$A$2:$A$3000,0))))</f>
        <v/>
      </c>
      <c r="C1695" s="86" t="str">
        <f t="shared" si="40"/>
        <v/>
      </c>
      <c r="D1695" s="81"/>
      <c r="E1695" s="79"/>
      <c r="F1695" s="80" t="str">
        <f>IF(A1695="","",SUMIF(EXTRATO!$A$2:$A$3000,$A1695,EXTRATO!$J$2:$J$3000)+SUMIF(EXTRATO!$A$2:$A$3000,$A1695,EXTRATO!$K$2:$K$3000)+SUMIF(EXTRATO!$A$2:$A$3000,$A1695,EXTRATO!$L$2:$L$3000)+SUMIF(EXTRATO!$A$2:$A$3000,$A1695,EXTRATO!$M$2:$M$3000))</f>
        <v/>
      </c>
      <c r="G1695" s="81" t="str">
        <f>IF(A1695="","",IF(INDEX(EXTRATO!$G$2:$G$3000,MATCH($A1695,EXTRATO!$A$2:$A$3000,0))="","",INDEX(EXTRATO!$G$2:$G$3000,MATCH($A1695,EXTRATO!$A$2:$A$3000,0))))</f>
        <v/>
      </c>
      <c r="H1695" s="86" t="str">
        <f>IF(A1695="","",IF(INDEX(EXTRATO!$F$2:$F$3000,MATCH($A1695,EXTRATO!$A$2:$A$3000,0))="","",INDEX(EXTRATO!$F$2:$F$3000,MATCH($A1695,EXTRATO!$A$2:$A$3000,0))))</f>
        <v/>
      </c>
      <c r="I1695" s="88" t="str">
        <f>IF(A1695="","",IF(INDEX(EXTRATO!$H$2:$H$3000,MATCH($A1695,EXTRATO!$A$2:$A$3000,0))="","",INDEX(EXTRATO!$H$2:$H$3000,MATCH($A1695,EXTRATO!$A$2:$A$3000,0))))</f>
        <v/>
      </c>
      <c r="J1695" s="86" t="str">
        <f t="shared" si="39"/>
        <v/>
      </c>
      <c r="K1695" s="86" t="str">
        <f>IF(AND(A1695="",D1695="",E1695="",F1695=""),"",IF(D1695="","SEM CATEGORIA",IF(E1695="","SEM SUBCATEGORIA",IF(COUNTIFS(CADASTROS!$L$7:$L$93,D1695,CADASTROS!$D$7:$D$93,E1695)=0,"INCOMPATÍVEL","OK"))))</f>
        <v/>
      </c>
    </row>
    <row r="1696" spans="1:11" ht="30" hidden="1" customHeight="1" x14ac:dyDescent="0.25">
      <c r="A1696" s="86" t="str">
        <f>IF(COUNTIF(EXTRATO!$A$2:$A$3000,"BAN-01553")=0,"","BAN-01553")</f>
        <v/>
      </c>
      <c r="B1696" s="85" t="str">
        <f>IF(A1696="","",IF(INDEX(EXTRATO!$C$2:$C$3000,MATCH($A1696,EXTRATO!$A$2:$A$3000,0))="","",INDEX(EXTRATO!$C$2:$C$3000,MATCH($A1696,EXTRATO!$A$2:$A$3000,0))))</f>
        <v/>
      </c>
      <c r="C1696" s="86" t="str">
        <f t="shared" si="40"/>
        <v/>
      </c>
      <c r="D1696" s="81"/>
      <c r="E1696" s="79"/>
      <c r="F1696" s="80" t="str">
        <f>IF(A1696="","",SUMIF(EXTRATO!$A$2:$A$3000,$A1696,EXTRATO!$J$2:$J$3000)+SUMIF(EXTRATO!$A$2:$A$3000,$A1696,EXTRATO!$K$2:$K$3000)+SUMIF(EXTRATO!$A$2:$A$3000,$A1696,EXTRATO!$L$2:$L$3000)+SUMIF(EXTRATO!$A$2:$A$3000,$A1696,EXTRATO!$M$2:$M$3000))</f>
        <v/>
      </c>
      <c r="G1696" s="81" t="str">
        <f>IF(A1696="","",IF(INDEX(EXTRATO!$G$2:$G$3000,MATCH($A1696,EXTRATO!$A$2:$A$3000,0))="","",INDEX(EXTRATO!$G$2:$G$3000,MATCH($A1696,EXTRATO!$A$2:$A$3000,0))))</f>
        <v/>
      </c>
      <c r="H1696" s="86" t="str">
        <f>IF(A1696="","",IF(INDEX(EXTRATO!$F$2:$F$3000,MATCH($A1696,EXTRATO!$A$2:$A$3000,0))="","",INDEX(EXTRATO!$F$2:$F$3000,MATCH($A1696,EXTRATO!$A$2:$A$3000,0))))</f>
        <v/>
      </c>
      <c r="I1696" s="88" t="str">
        <f>IF(A1696="","",IF(INDEX(EXTRATO!$H$2:$H$3000,MATCH($A1696,EXTRATO!$A$2:$A$3000,0))="","",INDEX(EXTRATO!$H$2:$H$3000,MATCH($A1696,EXTRATO!$A$2:$A$3000,0))))</f>
        <v/>
      </c>
      <c r="J1696" s="86" t="str">
        <f t="shared" si="39"/>
        <v/>
      </c>
      <c r="K1696" s="86" t="str">
        <f>IF(AND(A1696="",D1696="",E1696="",F1696=""),"",IF(D1696="","SEM CATEGORIA",IF(E1696="","SEM SUBCATEGORIA",IF(COUNTIFS(CADASTROS!$L$7:$L$93,D1696,CADASTROS!$D$7:$D$93,E1696)=0,"INCOMPATÍVEL","OK"))))</f>
        <v/>
      </c>
    </row>
    <row r="1697" spans="1:11" ht="30" hidden="1" customHeight="1" x14ac:dyDescent="0.25">
      <c r="A1697" s="86" t="str">
        <f>IF(COUNTIF(EXTRATO!$A$2:$A$3000,"BAN-01554")=0,"","BAN-01554")</f>
        <v/>
      </c>
      <c r="B1697" s="85" t="str">
        <f>IF(A1697="","",IF(INDEX(EXTRATO!$C$2:$C$3000,MATCH($A1697,EXTRATO!$A$2:$A$3000,0))="","",INDEX(EXTRATO!$C$2:$C$3000,MATCH($A1697,EXTRATO!$A$2:$A$3000,0))))</f>
        <v/>
      </c>
      <c r="C1697" s="86" t="str">
        <f t="shared" si="40"/>
        <v/>
      </c>
      <c r="D1697" s="81"/>
      <c r="E1697" s="79"/>
      <c r="F1697" s="80" t="str">
        <f>IF(A1697="","",SUMIF(EXTRATO!$A$2:$A$3000,$A1697,EXTRATO!$J$2:$J$3000)+SUMIF(EXTRATO!$A$2:$A$3000,$A1697,EXTRATO!$K$2:$K$3000)+SUMIF(EXTRATO!$A$2:$A$3000,$A1697,EXTRATO!$L$2:$L$3000)+SUMIF(EXTRATO!$A$2:$A$3000,$A1697,EXTRATO!$M$2:$M$3000))</f>
        <v/>
      </c>
      <c r="G1697" s="81" t="str">
        <f>IF(A1697="","",IF(INDEX(EXTRATO!$G$2:$G$3000,MATCH($A1697,EXTRATO!$A$2:$A$3000,0))="","",INDEX(EXTRATO!$G$2:$G$3000,MATCH($A1697,EXTRATO!$A$2:$A$3000,0))))</f>
        <v/>
      </c>
      <c r="H1697" s="86" t="str">
        <f>IF(A1697="","",IF(INDEX(EXTRATO!$F$2:$F$3000,MATCH($A1697,EXTRATO!$A$2:$A$3000,0))="","",INDEX(EXTRATO!$F$2:$F$3000,MATCH($A1697,EXTRATO!$A$2:$A$3000,0))))</f>
        <v/>
      </c>
      <c r="I1697" s="88" t="str">
        <f>IF(A1697="","",IF(INDEX(EXTRATO!$H$2:$H$3000,MATCH($A1697,EXTRATO!$A$2:$A$3000,0))="","",INDEX(EXTRATO!$H$2:$H$3000,MATCH($A1697,EXTRATO!$A$2:$A$3000,0))))</f>
        <v/>
      </c>
      <c r="J1697" s="86" t="str">
        <f t="shared" si="39"/>
        <v/>
      </c>
      <c r="K1697" s="86" t="str">
        <f>IF(AND(A1697="",D1697="",E1697="",F1697=""),"",IF(D1697="","SEM CATEGORIA",IF(E1697="","SEM SUBCATEGORIA",IF(COUNTIFS(CADASTROS!$L$7:$L$93,D1697,CADASTROS!$D$7:$D$93,E1697)=0,"INCOMPATÍVEL","OK"))))</f>
        <v/>
      </c>
    </row>
    <row r="1698" spans="1:11" ht="30" hidden="1" customHeight="1" x14ac:dyDescent="0.25">
      <c r="A1698" s="86" t="str">
        <f>IF(COUNTIF(EXTRATO!$A$2:$A$3000,"BAN-01555")=0,"","BAN-01555")</f>
        <v/>
      </c>
      <c r="B1698" s="85" t="str">
        <f>IF(A1698="","",IF(INDEX(EXTRATO!$C$2:$C$3000,MATCH($A1698,EXTRATO!$A$2:$A$3000,0))="","",INDEX(EXTRATO!$C$2:$C$3000,MATCH($A1698,EXTRATO!$A$2:$A$3000,0))))</f>
        <v/>
      </c>
      <c r="C1698" s="86" t="str">
        <f t="shared" si="40"/>
        <v/>
      </c>
      <c r="D1698" s="81"/>
      <c r="E1698" s="79"/>
      <c r="F1698" s="80" t="str">
        <f>IF(A1698="","",SUMIF(EXTRATO!$A$2:$A$3000,$A1698,EXTRATO!$J$2:$J$3000)+SUMIF(EXTRATO!$A$2:$A$3000,$A1698,EXTRATO!$K$2:$K$3000)+SUMIF(EXTRATO!$A$2:$A$3000,$A1698,EXTRATO!$L$2:$L$3000)+SUMIF(EXTRATO!$A$2:$A$3000,$A1698,EXTRATO!$M$2:$M$3000))</f>
        <v/>
      </c>
      <c r="G1698" s="81" t="str">
        <f>IF(A1698="","",IF(INDEX(EXTRATO!$G$2:$G$3000,MATCH($A1698,EXTRATO!$A$2:$A$3000,0))="","",INDEX(EXTRATO!$G$2:$G$3000,MATCH($A1698,EXTRATO!$A$2:$A$3000,0))))</f>
        <v/>
      </c>
      <c r="H1698" s="86" t="str">
        <f>IF(A1698="","",IF(INDEX(EXTRATO!$F$2:$F$3000,MATCH($A1698,EXTRATO!$A$2:$A$3000,0))="","",INDEX(EXTRATO!$F$2:$F$3000,MATCH($A1698,EXTRATO!$A$2:$A$3000,0))))</f>
        <v/>
      </c>
      <c r="I1698" s="88" t="str">
        <f>IF(A1698="","",IF(INDEX(EXTRATO!$H$2:$H$3000,MATCH($A1698,EXTRATO!$A$2:$A$3000,0))="","",INDEX(EXTRATO!$H$2:$H$3000,MATCH($A1698,EXTRATO!$A$2:$A$3000,0))))</f>
        <v/>
      </c>
      <c r="J1698" s="86" t="str">
        <f t="shared" si="39"/>
        <v/>
      </c>
      <c r="K1698" s="86" t="str">
        <f>IF(AND(A1698="",D1698="",E1698="",F1698=""),"",IF(D1698="","SEM CATEGORIA",IF(E1698="","SEM SUBCATEGORIA",IF(COUNTIFS(CADASTROS!$L$7:$L$93,D1698,CADASTROS!$D$7:$D$93,E1698)=0,"INCOMPATÍVEL","OK"))))</f>
        <v/>
      </c>
    </row>
    <row r="1699" spans="1:11" ht="30" hidden="1" customHeight="1" x14ac:dyDescent="0.25">
      <c r="A1699" s="86" t="str">
        <f>IF(COUNTIF(EXTRATO!$A$2:$A$3000,"BAN-01556")=0,"","BAN-01556")</f>
        <v/>
      </c>
      <c r="B1699" s="85" t="str">
        <f>IF(A1699="","",IF(INDEX(EXTRATO!$C$2:$C$3000,MATCH($A1699,EXTRATO!$A$2:$A$3000,0))="","",INDEX(EXTRATO!$C$2:$C$3000,MATCH($A1699,EXTRATO!$A$2:$A$3000,0))))</f>
        <v/>
      </c>
      <c r="C1699" s="86" t="str">
        <f t="shared" si="40"/>
        <v/>
      </c>
      <c r="D1699" s="81"/>
      <c r="E1699" s="79"/>
      <c r="F1699" s="80" t="str">
        <f>IF(A1699="","",SUMIF(EXTRATO!$A$2:$A$3000,$A1699,EXTRATO!$J$2:$J$3000)+SUMIF(EXTRATO!$A$2:$A$3000,$A1699,EXTRATO!$K$2:$K$3000)+SUMIF(EXTRATO!$A$2:$A$3000,$A1699,EXTRATO!$L$2:$L$3000)+SUMIF(EXTRATO!$A$2:$A$3000,$A1699,EXTRATO!$M$2:$M$3000))</f>
        <v/>
      </c>
      <c r="G1699" s="81" t="str">
        <f>IF(A1699="","",IF(INDEX(EXTRATO!$G$2:$G$3000,MATCH($A1699,EXTRATO!$A$2:$A$3000,0))="","",INDEX(EXTRATO!$G$2:$G$3000,MATCH($A1699,EXTRATO!$A$2:$A$3000,0))))</f>
        <v/>
      </c>
      <c r="H1699" s="86" t="str">
        <f>IF(A1699="","",IF(INDEX(EXTRATO!$F$2:$F$3000,MATCH($A1699,EXTRATO!$A$2:$A$3000,0))="","",INDEX(EXTRATO!$F$2:$F$3000,MATCH($A1699,EXTRATO!$A$2:$A$3000,0))))</f>
        <v/>
      </c>
      <c r="I1699" s="88" t="str">
        <f>IF(A1699="","",IF(INDEX(EXTRATO!$H$2:$H$3000,MATCH($A1699,EXTRATO!$A$2:$A$3000,0))="","",INDEX(EXTRATO!$H$2:$H$3000,MATCH($A1699,EXTRATO!$A$2:$A$3000,0))))</f>
        <v/>
      </c>
      <c r="J1699" s="86" t="str">
        <f t="shared" si="39"/>
        <v/>
      </c>
      <c r="K1699" s="86" t="str">
        <f>IF(AND(A1699="",D1699="",E1699="",F1699=""),"",IF(D1699="","SEM CATEGORIA",IF(E1699="","SEM SUBCATEGORIA",IF(COUNTIFS(CADASTROS!$L$7:$L$93,D1699,CADASTROS!$D$7:$D$93,E1699)=0,"INCOMPATÍVEL","OK"))))</f>
        <v/>
      </c>
    </row>
    <row r="1700" spans="1:11" ht="30" hidden="1" customHeight="1" x14ac:dyDescent="0.25">
      <c r="A1700" s="86" t="str">
        <f>IF(COUNTIF(EXTRATO!$A$2:$A$3000,"BAN-01557")=0,"","BAN-01557")</f>
        <v/>
      </c>
      <c r="B1700" s="85" t="str">
        <f>IF(A1700="","",IF(INDEX(EXTRATO!$C$2:$C$3000,MATCH($A1700,EXTRATO!$A$2:$A$3000,0))="","",INDEX(EXTRATO!$C$2:$C$3000,MATCH($A1700,EXTRATO!$A$2:$A$3000,0))))</f>
        <v/>
      </c>
      <c r="C1700" s="86" t="str">
        <f t="shared" si="40"/>
        <v/>
      </c>
      <c r="D1700" s="81"/>
      <c r="E1700" s="79"/>
      <c r="F1700" s="80" t="str">
        <f>IF(A1700="","",SUMIF(EXTRATO!$A$2:$A$3000,$A1700,EXTRATO!$J$2:$J$3000)+SUMIF(EXTRATO!$A$2:$A$3000,$A1700,EXTRATO!$K$2:$K$3000)+SUMIF(EXTRATO!$A$2:$A$3000,$A1700,EXTRATO!$L$2:$L$3000)+SUMIF(EXTRATO!$A$2:$A$3000,$A1700,EXTRATO!$M$2:$M$3000))</f>
        <v/>
      </c>
      <c r="G1700" s="81" t="str">
        <f>IF(A1700="","",IF(INDEX(EXTRATO!$G$2:$G$3000,MATCH($A1700,EXTRATO!$A$2:$A$3000,0))="","",INDEX(EXTRATO!$G$2:$G$3000,MATCH($A1700,EXTRATO!$A$2:$A$3000,0))))</f>
        <v/>
      </c>
      <c r="H1700" s="86" t="str">
        <f>IF(A1700="","",IF(INDEX(EXTRATO!$F$2:$F$3000,MATCH($A1700,EXTRATO!$A$2:$A$3000,0))="","",INDEX(EXTRATO!$F$2:$F$3000,MATCH($A1700,EXTRATO!$A$2:$A$3000,0))))</f>
        <v/>
      </c>
      <c r="I1700" s="88" t="str">
        <f>IF(A1700="","",IF(INDEX(EXTRATO!$H$2:$H$3000,MATCH($A1700,EXTRATO!$A$2:$A$3000,0))="","",INDEX(EXTRATO!$H$2:$H$3000,MATCH($A1700,EXTRATO!$A$2:$A$3000,0))))</f>
        <v/>
      </c>
      <c r="J1700" s="86" t="str">
        <f t="shared" si="39"/>
        <v/>
      </c>
      <c r="K1700" s="86" t="str">
        <f>IF(AND(A1700="",D1700="",E1700="",F1700=""),"",IF(D1700="","SEM CATEGORIA",IF(E1700="","SEM SUBCATEGORIA",IF(COUNTIFS(CADASTROS!$L$7:$L$93,D1700,CADASTROS!$D$7:$D$93,E1700)=0,"INCOMPATÍVEL","OK"))))</f>
        <v/>
      </c>
    </row>
    <row r="1701" spans="1:11" ht="30" hidden="1" customHeight="1" x14ac:dyDescent="0.25">
      <c r="A1701" s="86" t="str">
        <f>IF(COUNTIF(EXTRATO!$A$2:$A$3000,"BAN-01558")=0,"","BAN-01558")</f>
        <v/>
      </c>
      <c r="B1701" s="85" t="str">
        <f>IF(A1701="","",IF(INDEX(EXTRATO!$C$2:$C$3000,MATCH($A1701,EXTRATO!$A$2:$A$3000,0))="","",INDEX(EXTRATO!$C$2:$C$3000,MATCH($A1701,EXTRATO!$A$2:$A$3000,0))))</f>
        <v/>
      </c>
      <c r="C1701" s="86" t="str">
        <f t="shared" si="40"/>
        <v/>
      </c>
      <c r="D1701" s="81"/>
      <c r="E1701" s="79"/>
      <c r="F1701" s="80" t="str">
        <f>IF(A1701="","",SUMIF(EXTRATO!$A$2:$A$3000,$A1701,EXTRATO!$J$2:$J$3000)+SUMIF(EXTRATO!$A$2:$A$3000,$A1701,EXTRATO!$K$2:$K$3000)+SUMIF(EXTRATO!$A$2:$A$3000,$A1701,EXTRATO!$L$2:$L$3000)+SUMIF(EXTRATO!$A$2:$A$3000,$A1701,EXTRATO!$M$2:$M$3000))</f>
        <v/>
      </c>
      <c r="G1701" s="81" t="str">
        <f>IF(A1701="","",IF(INDEX(EXTRATO!$G$2:$G$3000,MATCH($A1701,EXTRATO!$A$2:$A$3000,0))="","",INDEX(EXTRATO!$G$2:$G$3000,MATCH($A1701,EXTRATO!$A$2:$A$3000,0))))</f>
        <v/>
      </c>
      <c r="H1701" s="86" t="str">
        <f>IF(A1701="","",IF(INDEX(EXTRATO!$F$2:$F$3000,MATCH($A1701,EXTRATO!$A$2:$A$3000,0))="","",INDEX(EXTRATO!$F$2:$F$3000,MATCH($A1701,EXTRATO!$A$2:$A$3000,0))))</f>
        <v/>
      </c>
      <c r="I1701" s="88" t="str">
        <f>IF(A1701="","",IF(INDEX(EXTRATO!$H$2:$H$3000,MATCH($A1701,EXTRATO!$A$2:$A$3000,0))="","",INDEX(EXTRATO!$H$2:$H$3000,MATCH($A1701,EXTRATO!$A$2:$A$3000,0))))</f>
        <v/>
      </c>
      <c r="J1701" s="86" t="str">
        <f t="shared" si="39"/>
        <v/>
      </c>
      <c r="K1701" s="86" t="str">
        <f>IF(AND(A1701="",D1701="",E1701="",F1701=""),"",IF(D1701="","SEM CATEGORIA",IF(E1701="","SEM SUBCATEGORIA",IF(COUNTIFS(CADASTROS!$L$7:$L$93,D1701,CADASTROS!$D$7:$D$93,E1701)=0,"INCOMPATÍVEL","OK"))))</f>
        <v/>
      </c>
    </row>
    <row r="1702" spans="1:11" ht="30" hidden="1" customHeight="1" x14ac:dyDescent="0.25">
      <c r="A1702" s="86" t="str">
        <f>IF(COUNTIF(EXTRATO!$A$2:$A$3000,"BAN-01559")=0,"","BAN-01559")</f>
        <v/>
      </c>
      <c r="B1702" s="85" t="str">
        <f>IF(A1702="","",IF(INDEX(EXTRATO!$C$2:$C$3000,MATCH($A1702,EXTRATO!$A$2:$A$3000,0))="","",INDEX(EXTRATO!$C$2:$C$3000,MATCH($A1702,EXTRATO!$A$2:$A$3000,0))))</f>
        <v/>
      </c>
      <c r="C1702" s="86" t="str">
        <f t="shared" si="40"/>
        <v/>
      </c>
      <c r="D1702" s="81"/>
      <c r="E1702" s="79"/>
      <c r="F1702" s="80" t="str">
        <f>IF(A1702="","",SUMIF(EXTRATO!$A$2:$A$3000,$A1702,EXTRATO!$J$2:$J$3000)+SUMIF(EXTRATO!$A$2:$A$3000,$A1702,EXTRATO!$K$2:$K$3000)+SUMIF(EXTRATO!$A$2:$A$3000,$A1702,EXTRATO!$L$2:$L$3000)+SUMIF(EXTRATO!$A$2:$A$3000,$A1702,EXTRATO!$M$2:$M$3000))</f>
        <v/>
      </c>
      <c r="G1702" s="81" t="str">
        <f>IF(A1702="","",IF(INDEX(EXTRATO!$G$2:$G$3000,MATCH($A1702,EXTRATO!$A$2:$A$3000,0))="","",INDEX(EXTRATO!$G$2:$G$3000,MATCH($A1702,EXTRATO!$A$2:$A$3000,0))))</f>
        <v/>
      </c>
      <c r="H1702" s="86" t="str">
        <f>IF(A1702="","",IF(INDEX(EXTRATO!$F$2:$F$3000,MATCH($A1702,EXTRATO!$A$2:$A$3000,0))="","",INDEX(EXTRATO!$F$2:$F$3000,MATCH($A1702,EXTRATO!$A$2:$A$3000,0))))</f>
        <v/>
      </c>
      <c r="I1702" s="88" t="str">
        <f>IF(A1702="","",IF(INDEX(EXTRATO!$H$2:$H$3000,MATCH($A1702,EXTRATO!$A$2:$A$3000,0))="","",INDEX(EXTRATO!$H$2:$H$3000,MATCH($A1702,EXTRATO!$A$2:$A$3000,0))))</f>
        <v/>
      </c>
      <c r="J1702" s="86" t="str">
        <f t="shared" si="39"/>
        <v/>
      </c>
      <c r="K1702" s="86" t="str">
        <f>IF(AND(A1702="",D1702="",E1702="",F1702=""),"",IF(D1702="","SEM CATEGORIA",IF(E1702="","SEM SUBCATEGORIA",IF(COUNTIFS(CADASTROS!$L$7:$L$93,D1702,CADASTROS!$D$7:$D$93,E1702)=0,"INCOMPATÍVEL","OK"))))</f>
        <v/>
      </c>
    </row>
    <row r="1703" spans="1:11" ht="30" hidden="1" customHeight="1" x14ac:dyDescent="0.25">
      <c r="A1703" s="86" t="str">
        <f>IF(COUNTIF(EXTRATO!$A$2:$A$3000,"BAN-01560")=0,"","BAN-01560")</f>
        <v/>
      </c>
      <c r="B1703" s="85" t="str">
        <f>IF(A1703="","",IF(INDEX(EXTRATO!$C$2:$C$3000,MATCH($A1703,EXTRATO!$A$2:$A$3000,0))="","",INDEX(EXTRATO!$C$2:$C$3000,MATCH($A1703,EXTRATO!$A$2:$A$3000,0))))</f>
        <v/>
      </c>
      <c r="C1703" s="86" t="str">
        <f t="shared" si="40"/>
        <v/>
      </c>
      <c r="D1703" s="81"/>
      <c r="E1703" s="79"/>
      <c r="F1703" s="80" t="str">
        <f>IF(A1703="","",SUMIF(EXTRATO!$A$2:$A$3000,$A1703,EXTRATO!$J$2:$J$3000)+SUMIF(EXTRATO!$A$2:$A$3000,$A1703,EXTRATO!$K$2:$K$3000)+SUMIF(EXTRATO!$A$2:$A$3000,$A1703,EXTRATO!$L$2:$L$3000)+SUMIF(EXTRATO!$A$2:$A$3000,$A1703,EXTRATO!$M$2:$M$3000))</f>
        <v/>
      </c>
      <c r="G1703" s="81" t="str">
        <f>IF(A1703="","",IF(INDEX(EXTRATO!$G$2:$G$3000,MATCH($A1703,EXTRATO!$A$2:$A$3000,0))="","",INDEX(EXTRATO!$G$2:$G$3000,MATCH($A1703,EXTRATO!$A$2:$A$3000,0))))</f>
        <v/>
      </c>
      <c r="H1703" s="86" t="str">
        <f>IF(A1703="","",IF(INDEX(EXTRATO!$F$2:$F$3000,MATCH($A1703,EXTRATO!$A$2:$A$3000,0))="","",INDEX(EXTRATO!$F$2:$F$3000,MATCH($A1703,EXTRATO!$A$2:$A$3000,0))))</f>
        <v/>
      </c>
      <c r="I1703" s="88" t="str">
        <f>IF(A1703="","",IF(INDEX(EXTRATO!$H$2:$H$3000,MATCH($A1703,EXTRATO!$A$2:$A$3000,0))="","",INDEX(EXTRATO!$H$2:$H$3000,MATCH($A1703,EXTRATO!$A$2:$A$3000,0))))</f>
        <v/>
      </c>
      <c r="J1703" s="86" t="str">
        <f t="shared" si="39"/>
        <v/>
      </c>
      <c r="K1703" s="86" t="str">
        <f>IF(AND(A1703="",D1703="",E1703="",F1703=""),"",IF(D1703="","SEM CATEGORIA",IF(E1703="","SEM SUBCATEGORIA",IF(COUNTIFS(CADASTROS!$L$7:$L$93,D1703,CADASTROS!$D$7:$D$93,E1703)=0,"INCOMPATÍVEL","OK"))))</f>
        <v/>
      </c>
    </row>
    <row r="1704" spans="1:11" ht="30" hidden="1" customHeight="1" x14ac:dyDescent="0.25">
      <c r="A1704" s="86" t="str">
        <f>IF(COUNTIF(EXTRATO!$A$2:$A$3000,"BAN-01561")=0,"","BAN-01561")</f>
        <v/>
      </c>
      <c r="B1704" s="85" t="str">
        <f>IF(A1704="","",IF(INDEX(EXTRATO!$C$2:$C$3000,MATCH($A1704,EXTRATO!$A$2:$A$3000,0))="","",INDEX(EXTRATO!$C$2:$C$3000,MATCH($A1704,EXTRATO!$A$2:$A$3000,0))))</f>
        <v/>
      </c>
      <c r="C1704" s="86" t="str">
        <f t="shared" si="40"/>
        <v/>
      </c>
      <c r="D1704" s="81"/>
      <c r="E1704" s="79"/>
      <c r="F1704" s="80" t="str">
        <f>IF(A1704="","",SUMIF(EXTRATO!$A$2:$A$3000,$A1704,EXTRATO!$J$2:$J$3000)+SUMIF(EXTRATO!$A$2:$A$3000,$A1704,EXTRATO!$K$2:$K$3000)+SUMIF(EXTRATO!$A$2:$A$3000,$A1704,EXTRATO!$L$2:$L$3000)+SUMIF(EXTRATO!$A$2:$A$3000,$A1704,EXTRATO!$M$2:$M$3000))</f>
        <v/>
      </c>
      <c r="G1704" s="81" t="str">
        <f>IF(A1704="","",IF(INDEX(EXTRATO!$G$2:$G$3000,MATCH($A1704,EXTRATO!$A$2:$A$3000,0))="","",INDEX(EXTRATO!$G$2:$G$3000,MATCH($A1704,EXTRATO!$A$2:$A$3000,0))))</f>
        <v/>
      </c>
      <c r="H1704" s="86" t="str">
        <f>IF(A1704="","",IF(INDEX(EXTRATO!$F$2:$F$3000,MATCH($A1704,EXTRATO!$A$2:$A$3000,0))="","",INDEX(EXTRATO!$F$2:$F$3000,MATCH($A1704,EXTRATO!$A$2:$A$3000,0))))</f>
        <v/>
      </c>
      <c r="I1704" s="88" t="str">
        <f>IF(A1704="","",IF(INDEX(EXTRATO!$H$2:$H$3000,MATCH($A1704,EXTRATO!$A$2:$A$3000,0))="","",INDEX(EXTRATO!$H$2:$H$3000,MATCH($A1704,EXTRATO!$A$2:$A$3000,0))))</f>
        <v/>
      </c>
      <c r="J1704" s="86" t="str">
        <f t="shared" si="39"/>
        <v/>
      </c>
      <c r="K1704" s="86" t="str">
        <f>IF(AND(A1704="",D1704="",E1704="",F1704=""),"",IF(D1704="","SEM CATEGORIA",IF(E1704="","SEM SUBCATEGORIA",IF(COUNTIFS(CADASTROS!$L$7:$L$93,D1704,CADASTROS!$D$7:$D$93,E1704)=0,"INCOMPATÍVEL","OK"))))</f>
        <v/>
      </c>
    </row>
    <row r="1705" spans="1:11" ht="30" hidden="1" customHeight="1" x14ac:dyDescent="0.25">
      <c r="A1705" s="86" t="str">
        <f>IF(COUNTIF(EXTRATO!$A$2:$A$3000,"BAN-01562")=0,"","BAN-01562")</f>
        <v/>
      </c>
      <c r="B1705" s="85" t="str">
        <f>IF(A1705="","",IF(INDEX(EXTRATO!$C$2:$C$3000,MATCH($A1705,EXTRATO!$A$2:$A$3000,0))="","",INDEX(EXTRATO!$C$2:$C$3000,MATCH($A1705,EXTRATO!$A$2:$A$3000,0))))</f>
        <v/>
      </c>
      <c r="C1705" s="86" t="str">
        <f t="shared" si="40"/>
        <v/>
      </c>
      <c r="D1705" s="81"/>
      <c r="E1705" s="79"/>
      <c r="F1705" s="80" t="str">
        <f>IF(A1705="","",SUMIF(EXTRATO!$A$2:$A$3000,$A1705,EXTRATO!$J$2:$J$3000)+SUMIF(EXTRATO!$A$2:$A$3000,$A1705,EXTRATO!$K$2:$K$3000)+SUMIF(EXTRATO!$A$2:$A$3000,$A1705,EXTRATO!$L$2:$L$3000)+SUMIF(EXTRATO!$A$2:$A$3000,$A1705,EXTRATO!$M$2:$M$3000))</f>
        <v/>
      </c>
      <c r="G1705" s="81" t="str">
        <f>IF(A1705="","",IF(INDEX(EXTRATO!$G$2:$G$3000,MATCH($A1705,EXTRATO!$A$2:$A$3000,0))="","",INDEX(EXTRATO!$G$2:$G$3000,MATCH($A1705,EXTRATO!$A$2:$A$3000,0))))</f>
        <v/>
      </c>
      <c r="H1705" s="86" t="str">
        <f>IF(A1705="","",IF(INDEX(EXTRATO!$F$2:$F$3000,MATCH($A1705,EXTRATO!$A$2:$A$3000,0))="","",INDEX(EXTRATO!$F$2:$F$3000,MATCH($A1705,EXTRATO!$A$2:$A$3000,0))))</f>
        <v/>
      </c>
      <c r="I1705" s="88" t="str">
        <f>IF(A1705="","",IF(INDEX(EXTRATO!$H$2:$H$3000,MATCH($A1705,EXTRATO!$A$2:$A$3000,0))="","",INDEX(EXTRATO!$H$2:$H$3000,MATCH($A1705,EXTRATO!$A$2:$A$3000,0))))</f>
        <v/>
      </c>
      <c r="J1705" s="86" t="str">
        <f t="shared" si="39"/>
        <v/>
      </c>
      <c r="K1705" s="86" t="str">
        <f>IF(AND(A1705="",D1705="",E1705="",F1705=""),"",IF(D1705="","SEM CATEGORIA",IF(E1705="","SEM SUBCATEGORIA",IF(COUNTIFS(CADASTROS!$L$7:$L$93,D1705,CADASTROS!$D$7:$D$93,E1705)=0,"INCOMPATÍVEL","OK"))))</f>
        <v/>
      </c>
    </row>
    <row r="1706" spans="1:11" ht="30" hidden="1" customHeight="1" x14ac:dyDescent="0.25">
      <c r="A1706" s="86" t="str">
        <f>IF(COUNTIF(EXTRATO!$A$2:$A$3000,"BAN-01563")=0,"","BAN-01563")</f>
        <v/>
      </c>
      <c r="B1706" s="85" t="str">
        <f>IF(A1706="","",IF(INDEX(EXTRATO!$C$2:$C$3000,MATCH($A1706,EXTRATO!$A$2:$A$3000,0))="","",INDEX(EXTRATO!$C$2:$C$3000,MATCH($A1706,EXTRATO!$A$2:$A$3000,0))))</f>
        <v/>
      </c>
      <c r="C1706" s="86" t="str">
        <f t="shared" si="40"/>
        <v/>
      </c>
      <c r="D1706" s="81"/>
      <c r="E1706" s="79"/>
      <c r="F1706" s="80" t="str">
        <f>IF(A1706="","",SUMIF(EXTRATO!$A$2:$A$3000,$A1706,EXTRATO!$J$2:$J$3000)+SUMIF(EXTRATO!$A$2:$A$3000,$A1706,EXTRATO!$K$2:$K$3000)+SUMIF(EXTRATO!$A$2:$A$3000,$A1706,EXTRATO!$L$2:$L$3000)+SUMIF(EXTRATO!$A$2:$A$3000,$A1706,EXTRATO!$M$2:$M$3000))</f>
        <v/>
      </c>
      <c r="G1706" s="81" t="str">
        <f>IF(A1706="","",IF(INDEX(EXTRATO!$G$2:$G$3000,MATCH($A1706,EXTRATO!$A$2:$A$3000,0))="","",INDEX(EXTRATO!$G$2:$G$3000,MATCH($A1706,EXTRATO!$A$2:$A$3000,0))))</f>
        <v/>
      </c>
      <c r="H1706" s="86" t="str">
        <f>IF(A1706="","",IF(INDEX(EXTRATO!$F$2:$F$3000,MATCH($A1706,EXTRATO!$A$2:$A$3000,0))="","",INDEX(EXTRATO!$F$2:$F$3000,MATCH($A1706,EXTRATO!$A$2:$A$3000,0))))</f>
        <v/>
      </c>
      <c r="I1706" s="88" t="str">
        <f>IF(A1706="","",IF(INDEX(EXTRATO!$H$2:$H$3000,MATCH($A1706,EXTRATO!$A$2:$A$3000,0))="","",INDEX(EXTRATO!$H$2:$H$3000,MATCH($A1706,EXTRATO!$A$2:$A$3000,0))))</f>
        <v/>
      </c>
      <c r="J1706" s="86" t="str">
        <f t="shared" si="39"/>
        <v/>
      </c>
      <c r="K1706" s="86" t="str">
        <f>IF(AND(A1706="",D1706="",E1706="",F1706=""),"",IF(D1706="","SEM CATEGORIA",IF(E1706="","SEM SUBCATEGORIA",IF(COUNTIFS(CADASTROS!$L$7:$L$93,D1706,CADASTROS!$D$7:$D$93,E1706)=0,"INCOMPATÍVEL","OK"))))</f>
        <v/>
      </c>
    </row>
    <row r="1707" spans="1:11" ht="30" hidden="1" customHeight="1" x14ac:dyDescent="0.25">
      <c r="A1707" s="86" t="str">
        <f>IF(COUNTIF(EXTRATO!$A$2:$A$3000,"BAN-01564")=0,"","BAN-01564")</f>
        <v/>
      </c>
      <c r="B1707" s="85" t="str">
        <f>IF(A1707="","",IF(INDEX(EXTRATO!$C$2:$C$3000,MATCH($A1707,EXTRATO!$A$2:$A$3000,0))="","",INDEX(EXTRATO!$C$2:$C$3000,MATCH($A1707,EXTRATO!$A$2:$A$3000,0))))</f>
        <v/>
      </c>
      <c r="C1707" s="86" t="str">
        <f t="shared" si="40"/>
        <v/>
      </c>
      <c r="D1707" s="81"/>
      <c r="E1707" s="79"/>
      <c r="F1707" s="80" t="str">
        <f>IF(A1707="","",SUMIF(EXTRATO!$A$2:$A$3000,$A1707,EXTRATO!$J$2:$J$3000)+SUMIF(EXTRATO!$A$2:$A$3000,$A1707,EXTRATO!$K$2:$K$3000)+SUMIF(EXTRATO!$A$2:$A$3000,$A1707,EXTRATO!$L$2:$L$3000)+SUMIF(EXTRATO!$A$2:$A$3000,$A1707,EXTRATO!$M$2:$M$3000))</f>
        <v/>
      </c>
      <c r="G1707" s="81" t="str">
        <f>IF(A1707="","",IF(INDEX(EXTRATO!$G$2:$G$3000,MATCH($A1707,EXTRATO!$A$2:$A$3000,0))="","",INDEX(EXTRATO!$G$2:$G$3000,MATCH($A1707,EXTRATO!$A$2:$A$3000,0))))</f>
        <v/>
      </c>
      <c r="H1707" s="86" t="str">
        <f>IF(A1707="","",IF(INDEX(EXTRATO!$F$2:$F$3000,MATCH($A1707,EXTRATO!$A$2:$A$3000,0))="","",INDEX(EXTRATO!$F$2:$F$3000,MATCH($A1707,EXTRATO!$A$2:$A$3000,0))))</f>
        <v/>
      </c>
      <c r="I1707" s="88" t="str">
        <f>IF(A1707="","",IF(INDEX(EXTRATO!$H$2:$H$3000,MATCH($A1707,EXTRATO!$A$2:$A$3000,0))="","",INDEX(EXTRATO!$H$2:$H$3000,MATCH($A1707,EXTRATO!$A$2:$A$3000,0))))</f>
        <v/>
      </c>
      <c r="J1707" s="86" t="str">
        <f t="shared" si="39"/>
        <v/>
      </c>
      <c r="K1707" s="86" t="str">
        <f>IF(AND(A1707="",D1707="",E1707="",F1707=""),"",IF(D1707="","SEM CATEGORIA",IF(E1707="","SEM SUBCATEGORIA",IF(COUNTIFS(CADASTROS!$L$7:$L$93,D1707,CADASTROS!$D$7:$D$93,E1707)=0,"INCOMPATÍVEL","OK"))))</f>
        <v/>
      </c>
    </row>
    <row r="1708" spans="1:11" ht="30" hidden="1" customHeight="1" x14ac:dyDescent="0.25">
      <c r="A1708" s="86" t="str">
        <f>IF(COUNTIF(EXTRATO!$A$2:$A$3000,"BAN-01565")=0,"","BAN-01565")</f>
        <v/>
      </c>
      <c r="B1708" s="85" t="str">
        <f>IF(A1708="","",IF(INDEX(EXTRATO!$C$2:$C$3000,MATCH($A1708,EXTRATO!$A$2:$A$3000,0))="","",INDEX(EXTRATO!$C$2:$C$3000,MATCH($A1708,EXTRATO!$A$2:$A$3000,0))))</f>
        <v/>
      </c>
      <c r="C1708" s="86" t="str">
        <f t="shared" si="40"/>
        <v/>
      </c>
      <c r="D1708" s="81"/>
      <c r="E1708" s="79"/>
      <c r="F1708" s="80" t="str">
        <f>IF(A1708="","",SUMIF(EXTRATO!$A$2:$A$3000,$A1708,EXTRATO!$J$2:$J$3000)+SUMIF(EXTRATO!$A$2:$A$3000,$A1708,EXTRATO!$K$2:$K$3000)+SUMIF(EXTRATO!$A$2:$A$3000,$A1708,EXTRATO!$L$2:$L$3000)+SUMIF(EXTRATO!$A$2:$A$3000,$A1708,EXTRATO!$M$2:$M$3000))</f>
        <v/>
      </c>
      <c r="G1708" s="81" t="str">
        <f>IF(A1708="","",IF(INDEX(EXTRATO!$G$2:$G$3000,MATCH($A1708,EXTRATO!$A$2:$A$3000,0))="","",INDEX(EXTRATO!$G$2:$G$3000,MATCH($A1708,EXTRATO!$A$2:$A$3000,0))))</f>
        <v/>
      </c>
      <c r="H1708" s="86" t="str">
        <f>IF(A1708="","",IF(INDEX(EXTRATO!$F$2:$F$3000,MATCH($A1708,EXTRATO!$A$2:$A$3000,0))="","",INDEX(EXTRATO!$F$2:$F$3000,MATCH($A1708,EXTRATO!$A$2:$A$3000,0))))</f>
        <v/>
      </c>
      <c r="I1708" s="88" t="str">
        <f>IF(A1708="","",IF(INDEX(EXTRATO!$H$2:$H$3000,MATCH($A1708,EXTRATO!$A$2:$A$3000,0))="","",INDEX(EXTRATO!$H$2:$H$3000,MATCH($A1708,EXTRATO!$A$2:$A$3000,0))))</f>
        <v/>
      </c>
      <c r="J1708" s="86" t="str">
        <f t="shared" ref="J1708:J1771" si="41">IF(A1708="","",IF(K1708="OK","MANUAL","PENDENTE"))</f>
        <v/>
      </c>
      <c r="K1708" s="86" t="str">
        <f>IF(AND(A1708="",D1708="",E1708="",F1708=""),"",IF(D1708="","SEM CATEGORIA",IF(E1708="","SEM SUBCATEGORIA",IF(COUNTIFS(CADASTROS!$L$7:$L$93,D1708,CADASTROS!$D$7:$D$93,E1708)=0,"INCOMPATÍVEL","OK"))))</f>
        <v/>
      </c>
    </row>
    <row r="1709" spans="1:11" ht="30" hidden="1" customHeight="1" x14ac:dyDescent="0.25">
      <c r="A1709" s="86" t="str">
        <f>IF(COUNTIF(EXTRATO!$A$2:$A$3000,"BAN-01566")=0,"","BAN-01566")</f>
        <v/>
      </c>
      <c r="B1709" s="85" t="str">
        <f>IF(A1709="","",IF(INDEX(EXTRATO!$C$2:$C$3000,MATCH($A1709,EXTRATO!$A$2:$A$3000,0))="","",INDEX(EXTRATO!$C$2:$C$3000,MATCH($A1709,EXTRATO!$A$2:$A$3000,0))))</f>
        <v/>
      </c>
      <c r="C1709" s="86" t="str">
        <f t="shared" si="40"/>
        <v/>
      </c>
      <c r="D1709" s="81"/>
      <c r="E1709" s="79"/>
      <c r="F1709" s="80" t="str">
        <f>IF(A1709="","",SUMIF(EXTRATO!$A$2:$A$3000,$A1709,EXTRATO!$J$2:$J$3000)+SUMIF(EXTRATO!$A$2:$A$3000,$A1709,EXTRATO!$K$2:$K$3000)+SUMIF(EXTRATO!$A$2:$A$3000,$A1709,EXTRATO!$L$2:$L$3000)+SUMIF(EXTRATO!$A$2:$A$3000,$A1709,EXTRATO!$M$2:$M$3000))</f>
        <v/>
      </c>
      <c r="G1709" s="81" t="str">
        <f>IF(A1709="","",IF(INDEX(EXTRATO!$G$2:$G$3000,MATCH($A1709,EXTRATO!$A$2:$A$3000,0))="","",INDEX(EXTRATO!$G$2:$G$3000,MATCH($A1709,EXTRATO!$A$2:$A$3000,0))))</f>
        <v/>
      </c>
      <c r="H1709" s="86" t="str">
        <f>IF(A1709="","",IF(INDEX(EXTRATO!$F$2:$F$3000,MATCH($A1709,EXTRATO!$A$2:$A$3000,0))="","",INDEX(EXTRATO!$F$2:$F$3000,MATCH($A1709,EXTRATO!$A$2:$A$3000,0))))</f>
        <v/>
      </c>
      <c r="I1709" s="88" t="str">
        <f>IF(A1709="","",IF(INDEX(EXTRATO!$H$2:$H$3000,MATCH($A1709,EXTRATO!$A$2:$A$3000,0))="","",INDEX(EXTRATO!$H$2:$H$3000,MATCH($A1709,EXTRATO!$A$2:$A$3000,0))))</f>
        <v/>
      </c>
      <c r="J1709" s="86" t="str">
        <f t="shared" si="41"/>
        <v/>
      </c>
      <c r="K1709" s="86" t="str">
        <f>IF(AND(A1709="",D1709="",E1709="",F1709=""),"",IF(D1709="","SEM CATEGORIA",IF(E1709="","SEM SUBCATEGORIA",IF(COUNTIFS(CADASTROS!$L$7:$L$93,D1709,CADASTROS!$D$7:$D$93,E1709)=0,"INCOMPATÍVEL","OK"))))</f>
        <v/>
      </c>
    </row>
    <row r="1710" spans="1:11" ht="30" hidden="1" customHeight="1" x14ac:dyDescent="0.25">
      <c r="A1710" s="86" t="str">
        <f>IF(COUNTIF(EXTRATO!$A$2:$A$3000,"BAN-01567")=0,"","BAN-01567")</f>
        <v/>
      </c>
      <c r="B1710" s="85" t="str">
        <f>IF(A1710="","",IF(INDEX(EXTRATO!$C$2:$C$3000,MATCH($A1710,EXTRATO!$A$2:$A$3000,0))="","",INDEX(EXTRATO!$C$2:$C$3000,MATCH($A1710,EXTRATO!$A$2:$A$3000,0))))</f>
        <v/>
      </c>
      <c r="C1710" s="86" t="str">
        <f t="shared" si="40"/>
        <v/>
      </c>
      <c r="D1710" s="81"/>
      <c r="E1710" s="79"/>
      <c r="F1710" s="80" t="str">
        <f>IF(A1710="","",SUMIF(EXTRATO!$A$2:$A$3000,$A1710,EXTRATO!$J$2:$J$3000)+SUMIF(EXTRATO!$A$2:$A$3000,$A1710,EXTRATO!$K$2:$K$3000)+SUMIF(EXTRATO!$A$2:$A$3000,$A1710,EXTRATO!$L$2:$L$3000)+SUMIF(EXTRATO!$A$2:$A$3000,$A1710,EXTRATO!$M$2:$M$3000))</f>
        <v/>
      </c>
      <c r="G1710" s="81" t="str">
        <f>IF(A1710="","",IF(INDEX(EXTRATO!$G$2:$G$3000,MATCH($A1710,EXTRATO!$A$2:$A$3000,0))="","",INDEX(EXTRATO!$G$2:$G$3000,MATCH($A1710,EXTRATO!$A$2:$A$3000,0))))</f>
        <v/>
      </c>
      <c r="H1710" s="86" t="str">
        <f>IF(A1710="","",IF(INDEX(EXTRATO!$F$2:$F$3000,MATCH($A1710,EXTRATO!$A$2:$A$3000,0))="","",INDEX(EXTRATO!$F$2:$F$3000,MATCH($A1710,EXTRATO!$A$2:$A$3000,0))))</f>
        <v/>
      </c>
      <c r="I1710" s="88" t="str">
        <f>IF(A1710="","",IF(INDEX(EXTRATO!$H$2:$H$3000,MATCH($A1710,EXTRATO!$A$2:$A$3000,0))="","",INDEX(EXTRATO!$H$2:$H$3000,MATCH($A1710,EXTRATO!$A$2:$A$3000,0))))</f>
        <v/>
      </c>
      <c r="J1710" s="86" t="str">
        <f t="shared" si="41"/>
        <v/>
      </c>
      <c r="K1710" s="86" t="str">
        <f>IF(AND(A1710="",D1710="",E1710="",F1710=""),"",IF(D1710="","SEM CATEGORIA",IF(E1710="","SEM SUBCATEGORIA",IF(COUNTIFS(CADASTROS!$L$7:$L$93,D1710,CADASTROS!$D$7:$D$93,E1710)=0,"INCOMPATÍVEL","OK"))))</f>
        <v/>
      </c>
    </row>
    <row r="1711" spans="1:11" ht="30" hidden="1" customHeight="1" x14ac:dyDescent="0.25">
      <c r="A1711" s="86" t="str">
        <f>IF(COUNTIF(EXTRATO!$A$2:$A$3000,"BAN-01568")=0,"","BAN-01568")</f>
        <v/>
      </c>
      <c r="B1711" s="85" t="str">
        <f>IF(A1711="","",IF(INDEX(EXTRATO!$C$2:$C$3000,MATCH($A1711,EXTRATO!$A$2:$A$3000,0))="","",INDEX(EXTRATO!$C$2:$C$3000,MATCH($A1711,EXTRATO!$A$2:$A$3000,0))))</f>
        <v/>
      </c>
      <c r="C1711" s="86" t="str">
        <f t="shared" si="40"/>
        <v/>
      </c>
      <c r="D1711" s="81"/>
      <c r="E1711" s="79"/>
      <c r="F1711" s="80" t="str">
        <f>IF(A1711="","",SUMIF(EXTRATO!$A$2:$A$3000,$A1711,EXTRATO!$J$2:$J$3000)+SUMIF(EXTRATO!$A$2:$A$3000,$A1711,EXTRATO!$K$2:$K$3000)+SUMIF(EXTRATO!$A$2:$A$3000,$A1711,EXTRATO!$L$2:$L$3000)+SUMIF(EXTRATO!$A$2:$A$3000,$A1711,EXTRATO!$M$2:$M$3000))</f>
        <v/>
      </c>
      <c r="G1711" s="81" t="str">
        <f>IF(A1711="","",IF(INDEX(EXTRATO!$G$2:$G$3000,MATCH($A1711,EXTRATO!$A$2:$A$3000,0))="","",INDEX(EXTRATO!$G$2:$G$3000,MATCH($A1711,EXTRATO!$A$2:$A$3000,0))))</f>
        <v/>
      </c>
      <c r="H1711" s="86" t="str">
        <f>IF(A1711="","",IF(INDEX(EXTRATO!$F$2:$F$3000,MATCH($A1711,EXTRATO!$A$2:$A$3000,0))="","",INDEX(EXTRATO!$F$2:$F$3000,MATCH($A1711,EXTRATO!$A$2:$A$3000,0))))</f>
        <v/>
      </c>
      <c r="I1711" s="88" t="str">
        <f>IF(A1711="","",IF(INDEX(EXTRATO!$H$2:$H$3000,MATCH($A1711,EXTRATO!$A$2:$A$3000,0))="","",INDEX(EXTRATO!$H$2:$H$3000,MATCH($A1711,EXTRATO!$A$2:$A$3000,0))))</f>
        <v/>
      </c>
      <c r="J1711" s="86" t="str">
        <f t="shared" si="41"/>
        <v/>
      </c>
      <c r="K1711" s="86" t="str">
        <f>IF(AND(A1711="",D1711="",E1711="",F1711=""),"",IF(D1711="","SEM CATEGORIA",IF(E1711="","SEM SUBCATEGORIA",IF(COUNTIFS(CADASTROS!$L$7:$L$93,D1711,CADASTROS!$D$7:$D$93,E1711)=0,"INCOMPATÍVEL","OK"))))</f>
        <v/>
      </c>
    </row>
    <row r="1712" spans="1:11" ht="30" hidden="1" customHeight="1" x14ac:dyDescent="0.25">
      <c r="A1712" s="86" t="str">
        <f>IF(COUNTIF(EXTRATO!$A$2:$A$3000,"BAN-01569")=0,"","BAN-01569")</f>
        <v/>
      </c>
      <c r="B1712" s="85" t="str">
        <f>IF(A1712="","",IF(INDEX(EXTRATO!$C$2:$C$3000,MATCH($A1712,EXTRATO!$A$2:$A$3000,0))="","",INDEX(EXTRATO!$C$2:$C$3000,MATCH($A1712,EXTRATO!$A$2:$A$3000,0))))</f>
        <v/>
      </c>
      <c r="C1712" s="86" t="str">
        <f t="shared" si="40"/>
        <v/>
      </c>
      <c r="D1712" s="81"/>
      <c r="E1712" s="79"/>
      <c r="F1712" s="80" t="str">
        <f>IF(A1712="","",SUMIF(EXTRATO!$A$2:$A$3000,$A1712,EXTRATO!$J$2:$J$3000)+SUMIF(EXTRATO!$A$2:$A$3000,$A1712,EXTRATO!$K$2:$K$3000)+SUMIF(EXTRATO!$A$2:$A$3000,$A1712,EXTRATO!$L$2:$L$3000)+SUMIF(EXTRATO!$A$2:$A$3000,$A1712,EXTRATO!$M$2:$M$3000))</f>
        <v/>
      </c>
      <c r="G1712" s="81" t="str">
        <f>IF(A1712="","",IF(INDEX(EXTRATO!$G$2:$G$3000,MATCH($A1712,EXTRATO!$A$2:$A$3000,0))="","",INDEX(EXTRATO!$G$2:$G$3000,MATCH($A1712,EXTRATO!$A$2:$A$3000,0))))</f>
        <v/>
      </c>
      <c r="H1712" s="86" t="str">
        <f>IF(A1712="","",IF(INDEX(EXTRATO!$F$2:$F$3000,MATCH($A1712,EXTRATO!$A$2:$A$3000,0))="","",INDEX(EXTRATO!$F$2:$F$3000,MATCH($A1712,EXTRATO!$A$2:$A$3000,0))))</f>
        <v/>
      </c>
      <c r="I1712" s="88" t="str">
        <f>IF(A1712="","",IF(INDEX(EXTRATO!$H$2:$H$3000,MATCH($A1712,EXTRATO!$A$2:$A$3000,0))="","",INDEX(EXTRATO!$H$2:$H$3000,MATCH($A1712,EXTRATO!$A$2:$A$3000,0))))</f>
        <v/>
      </c>
      <c r="J1712" s="86" t="str">
        <f t="shared" si="41"/>
        <v/>
      </c>
      <c r="K1712" s="86" t="str">
        <f>IF(AND(A1712="",D1712="",E1712="",F1712=""),"",IF(D1712="","SEM CATEGORIA",IF(E1712="","SEM SUBCATEGORIA",IF(COUNTIFS(CADASTROS!$L$7:$L$93,D1712,CADASTROS!$D$7:$D$93,E1712)=0,"INCOMPATÍVEL","OK"))))</f>
        <v/>
      </c>
    </row>
    <row r="1713" spans="1:11" ht="30" hidden="1" customHeight="1" x14ac:dyDescent="0.25">
      <c r="A1713" s="86" t="str">
        <f>IF(COUNTIF(EXTRATO!$A$2:$A$3000,"BAN-01570")=0,"","BAN-01570")</f>
        <v/>
      </c>
      <c r="B1713" s="85" t="str">
        <f>IF(A1713="","",IF(INDEX(EXTRATO!$C$2:$C$3000,MATCH($A1713,EXTRATO!$A$2:$A$3000,0))="","",INDEX(EXTRATO!$C$2:$C$3000,MATCH($A1713,EXTRATO!$A$2:$A$3000,0))))</f>
        <v/>
      </c>
      <c r="C1713" s="86" t="str">
        <f t="shared" si="40"/>
        <v/>
      </c>
      <c r="D1713" s="81"/>
      <c r="E1713" s="79"/>
      <c r="F1713" s="80" t="str">
        <f>IF(A1713="","",SUMIF(EXTRATO!$A$2:$A$3000,$A1713,EXTRATO!$J$2:$J$3000)+SUMIF(EXTRATO!$A$2:$A$3000,$A1713,EXTRATO!$K$2:$K$3000)+SUMIF(EXTRATO!$A$2:$A$3000,$A1713,EXTRATO!$L$2:$L$3000)+SUMIF(EXTRATO!$A$2:$A$3000,$A1713,EXTRATO!$M$2:$M$3000))</f>
        <v/>
      </c>
      <c r="G1713" s="81" t="str">
        <f>IF(A1713="","",IF(INDEX(EXTRATO!$G$2:$G$3000,MATCH($A1713,EXTRATO!$A$2:$A$3000,0))="","",INDEX(EXTRATO!$G$2:$G$3000,MATCH($A1713,EXTRATO!$A$2:$A$3000,0))))</f>
        <v/>
      </c>
      <c r="H1713" s="86" t="str">
        <f>IF(A1713="","",IF(INDEX(EXTRATO!$F$2:$F$3000,MATCH($A1713,EXTRATO!$A$2:$A$3000,0))="","",INDEX(EXTRATO!$F$2:$F$3000,MATCH($A1713,EXTRATO!$A$2:$A$3000,0))))</f>
        <v/>
      </c>
      <c r="I1713" s="88" t="str">
        <f>IF(A1713="","",IF(INDEX(EXTRATO!$H$2:$H$3000,MATCH($A1713,EXTRATO!$A$2:$A$3000,0))="","",INDEX(EXTRATO!$H$2:$H$3000,MATCH($A1713,EXTRATO!$A$2:$A$3000,0))))</f>
        <v/>
      </c>
      <c r="J1713" s="86" t="str">
        <f t="shared" si="41"/>
        <v/>
      </c>
      <c r="K1713" s="86" t="str">
        <f>IF(AND(A1713="",D1713="",E1713="",F1713=""),"",IF(D1713="","SEM CATEGORIA",IF(E1713="","SEM SUBCATEGORIA",IF(COUNTIFS(CADASTROS!$L$7:$L$93,D1713,CADASTROS!$D$7:$D$93,E1713)=0,"INCOMPATÍVEL","OK"))))</f>
        <v/>
      </c>
    </row>
    <row r="1714" spans="1:11" ht="30" hidden="1" customHeight="1" x14ac:dyDescent="0.25">
      <c r="A1714" s="86" t="str">
        <f>IF(COUNTIF(EXTRATO!$A$2:$A$3000,"BAN-01571")=0,"","BAN-01571")</f>
        <v/>
      </c>
      <c r="B1714" s="85" t="str">
        <f>IF(A1714="","",IF(INDEX(EXTRATO!$C$2:$C$3000,MATCH($A1714,EXTRATO!$A$2:$A$3000,0))="","",INDEX(EXTRATO!$C$2:$C$3000,MATCH($A1714,EXTRATO!$A$2:$A$3000,0))))</f>
        <v/>
      </c>
      <c r="C1714" s="86" t="str">
        <f t="shared" si="40"/>
        <v/>
      </c>
      <c r="D1714" s="81"/>
      <c r="E1714" s="79"/>
      <c r="F1714" s="80" t="str">
        <f>IF(A1714="","",SUMIF(EXTRATO!$A$2:$A$3000,$A1714,EXTRATO!$J$2:$J$3000)+SUMIF(EXTRATO!$A$2:$A$3000,$A1714,EXTRATO!$K$2:$K$3000)+SUMIF(EXTRATO!$A$2:$A$3000,$A1714,EXTRATO!$L$2:$L$3000)+SUMIF(EXTRATO!$A$2:$A$3000,$A1714,EXTRATO!$M$2:$M$3000))</f>
        <v/>
      </c>
      <c r="G1714" s="81" t="str">
        <f>IF(A1714="","",IF(INDEX(EXTRATO!$G$2:$G$3000,MATCH($A1714,EXTRATO!$A$2:$A$3000,0))="","",INDEX(EXTRATO!$G$2:$G$3000,MATCH($A1714,EXTRATO!$A$2:$A$3000,0))))</f>
        <v/>
      </c>
      <c r="H1714" s="86" t="str">
        <f>IF(A1714="","",IF(INDEX(EXTRATO!$F$2:$F$3000,MATCH($A1714,EXTRATO!$A$2:$A$3000,0))="","",INDEX(EXTRATO!$F$2:$F$3000,MATCH($A1714,EXTRATO!$A$2:$A$3000,0))))</f>
        <v/>
      </c>
      <c r="I1714" s="88" t="str">
        <f>IF(A1714="","",IF(INDEX(EXTRATO!$H$2:$H$3000,MATCH($A1714,EXTRATO!$A$2:$A$3000,0))="","",INDEX(EXTRATO!$H$2:$H$3000,MATCH($A1714,EXTRATO!$A$2:$A$3000,0))))</f>
        <v/>
      </c>
      <c r="J1714" s="86" t="str">
        <f t="shared" si="41"/>
        <v/>
      </c>
      <c r="K1714" s="86" t="str">
        <f>IF(AND(A1714="",D1714="",E1714="",F1714=""),"",IF(D1714="","SEM CATEGORIA",IF(E1714="","SEM SUBCATEGORIA",IF(COUNTIFS(CADASTROS!$L$7:$L$93,D1714,CADASTROS!$D$7:$D$93,E1714)=0,"INCOMPATÍVEL","OK"))))</f>
        <v/>
      </c>
    </row>
    <row r="1715" spans="1:11" ht="30" hidden="1" customHeight="1" x14ac:dyDescent="0.25">
      <c r="A1715" s="86" t="str">
        <f>IF(COUNTIF(EXTRATO!$A$2:$A$3000,"BAN-01572")=0,"","BAN-01572")</f>
        <v/>
      </c>
      <c r="B1715" s="85" t="str">
        <f>IF(A1715="","",IF(INDEX(EXTRATO!$C$2:$C$3000,MATCH($A1715,EXTRATO!$A$2:$A$3000,0))="","",INDEX(EXTRATO!$C$2:$C$3000,MATCH($A1715,EXTRATO!$A$2:$A$3000,0))))</f>
        <v/>
      </c>
      <c r="C1715" s="86" t="str">
        <f t="shared" si="40"/>
        <v/>
      </c>
      <c r="D1715" s="81"/>
      <c r="E1715" s="79"/>
      <c r="F1715" s="80" t="str">
        <f>IF(A1715="","",SUMIF(EXTRATO!$A$2:$A$3000,$A1715,EXTRATO!$J$2:$J$3000)+SUMIF(EXTRATO!$A$2:$A$3000,$A1715,EXTRATO!$K$2:$K$3000)+SUMIF(EXTRATO!$A$2:$A$3000,$A1715,EXTRATO!$L$2:$L$3000)+SUMIF(EXTRATO!$A$2:$A$3000,$A1715,EXTRATO!$M$2:$M$3000))</f>
        <v/>
      </c>
      <c r="G1715" s="81" t="str">
        <f>IF(A1715="","",IF(INDEX(EXTRATO!$G$2:$G$3000,MATCH($A1715,EXTRATO!$A$2:$A$3000,0))="","",INDEX(EXTRATO!$G$2:$G$3000,MATCH($A1715,EXTRATO!$A$2:$A$3000,0))))</f>
        <v/>
      </c>
      <c r="H1715" s="86" t="str">
        <f>IF(A1715="","",IF(INDEX(EXTRATO!$F$2:$F$3000,MATCH($A1715,EXTRATO!$A$2:$A$3000,0))="","",INDEX(EXTRATO!$F$2:$F$3000,MATCH($A1715,EXTRATO!$A$2:$A$3000,0))))</f>
        <v/>
      </c>
      <c r="I1715" s="88" t="str">
        <f>IF(A1715="","",IF(INDEX(EXTRATO!$H$2:$H$3000,MATCH($A1715,EXTRATO!$A$2:$A$3000,0))="","",INDEX(EXTRATO!$H$2:$H$3000,MATCH($A1715,EXTRATO!$A$2:$A$3000,0))))</f>
        <v/>
      </c>
      <c r="J1715" s="86" t="str">
        <f t="shared" si="41"/>
        <v/>
      </c>
      <c r="K1715" s="86" t="str">
        <f>IF(AND(A1715="",D1715="",E1715="",F1715=""),"",IF(D1715="","SEM CATEGORIA",IF(E1715="","SEM SUBCATEGORIA",IF(COUNTIFS(CADASTROS!$L$7:$L$93,D1715,CADASTROS!$D$7:$D$93,E1715)=0,"INCOMPATÍVEL","OK"))))</f>
        <v/>
      </c>
    </row>
    <row r="1716" spans="1:11" ht="30" hidden="1" customHeight="1" x14ac:dyDescent="0.25">
      <c r="A1716" s="86" t="str">
        <f>IF(COUNTIF(EXTRATO!$A$2:$A$3000,"BAN-01573")=0,"","BAN-01573")</f>
        <v/>
      </c>
      <c r="B1716" s="85" t="str">
        <f>IF(A1716="","",IF(INDEX(EXTRATO!$C$2:$C$3000,MATCH($A1716,EXTRATO!$A$2:$A$3000,0))="","",INDEX(EXTRATO!$C$2:$C$3000,MATCH($A1716,EXTRATO!$A$2:$A$3000,0))))</f>
        <v/>
      </c>
      <c r="C1716" s="86" t="str">
        <f t="shared" si="40"/>
        <v/>
      </c>
      <c r="D1716" s="81"/>
      <c r="E1716" s="79"/>
      <c r="F1716" s="80" t="str">
        <f>IF(A1716="","",SUMIF(EXTRATO!$A$2:$A$3000,$A1716,EXTRATO!$J$2:$J$3000)+SUMIF(EXTRATO!$A$2:$A$3000,$A1716,EXTRATO!$K$2:$K$3000)+SUMIF(EXTRATO!$A$2:$A$3000,$A1716,EXTRATO!$L$2:$L$3000)+SUMIF(EXTRATO!$A$2:$A$3000,$A1716,EXTRATO!$M$2:$M$3000))</f>
        <v/>
      </c>
      <c r="G1716" s="81" t="str">
        <f>IF(A1716="","",IF(INDEX(EXTRATO!$G$2:$G$3000,MATCH($A1716,EXTRATO!$A$2:$A$3000,0))="","",INDEX(EXTRATO!$G$2:$G$3000,MATCH($A1716,EXTRATO!$A$2:$A$3000,0))))</f>
        <v/>
      </c>
      <c r="H1716" s="86" t="str">
        <f>IF(A1716="","",IF(INDEX(EXTRATO!$F$2:$F$3000,MATCH($A1716,EXTRATO!$A$2:$A$3000,0))="","",INDEX(EXTRATO!$F$2:$F$3000,MATCH($A1716,EXTRATO!$A$2:$A$3000,0))))</f>
        <v/>
      </c>
      <c r="I1716" s="88" t="str">
        <f>IF(A1716="","",IF(INDEX(EXTRATO!$H$2:$H$3000,MATCH($A1716,EXTRATO!$A$2:$A$3000,0))="","",INDEX(EXTRATO!$H$2:$H$3000,MATCH($A1716,EXTRATO!$A$2:$A$3000,0))))</f>
        <v/>
      </c>
      <c r="J1716" s="86" t="str">
        <f t="shared" si="41"/>
        <v/>
      </c>
      <c r="K1716" s="86" t="str">
        <f>IF(AND(A1716="",D1716="",E1716="",F1716=""),"",IF(D1716="","SEM CATEGORIA",IF(E1716="","SEM SUBCATEGORIA",IF(COUNTIFS(CADASTROS!$L$7:$L$93,D1716,CADASTROS!$D$7:$D$93,E1716)=0,"INCOMPATÍVEL","OK"))))</f>
        <v/>
      </c>
    </row>
    <row r="1717" spans="1:11" ht="30" hidden="1" customHeight="1" x14ac:dyDescent="0.25">
      <c r="A1717" s="86" t="str">
        <f>IF(COUNTIF(EXTRATO!$A$2:$A$3000,"BAN-01574")=0,"","BAN-01574")</f>
        <v/>
      </c>
      <c r="B1717" s="85" t="str">
        <f>IF(A1717="","",IF(INDEX(EXTRATO!$C$2:$C$3000,MATCH($A1717,EXTRATO!$A$2:$A$3000,0))="","",INDEX(EXTRATO!$C$2:$C$3000,MATCH($A1717,EXTRATO!$A$2:$A$3000,0))))</f>
        <v/>
      </c>
      <c r="C1717" s="86" t="str">
        <f t="shared" si="40"/>
        <v/>
      </c>
      <c r="D1717" s="81"/>
      <c r="E1717" s="79"/>
      <c r="F1717" s="80" t="str">
        <f>IF(A1717="","",SUMIF(EXTRATO!$A$2:$A$3000,$A1717,EXTRATO!$J$2:$J$3000)+SUMIF(EXTRATO!$A$2:$A$3000,$A1717,EXTRATO!$K$2:$K$3000)+SUMIF(EXTRATO!$A$2:$A$3000,$A1717,EXTRATO!$L$2:$L$3000)+SUMIF(EXTRATO!$A$2:$A$3000,$A1717,EXTRATO!$M$2:$M$3000))</f>
        <v/>
      </c>
      <c r="G1717" s="81" t="str">
        <f>IF(A1717="","",IF(INDEX(EXTRATO!$G$2:$G$3000,MATCH($A1717,EXTRATO!$A$2:$A$3000,0))="","",INDEX(EXTRATO!$G$2:$G$3000,MATCH($A1717,EXTRATO!$A$2:$A$3000,0))))</f>
        <v/>
      </c>
      <c r="H1717" s="86" t="str">
        <f>IF(A1717="","",IF(INDEX(EXTRATO!$F$2:$F$3000,MATCH($A1717,EXTRATO!$A$2:$A$3000,0))="","",INDEX(EXTRATO!$F$2:$F$3000,MATCH($A1717,EXTRATO!$A$2:$A$3000,0))))</f>
        <v/>
      </c>
      <c r="I1717" s="88" t="str">
        <f>IF(A1717="","",IF(INDEX(EXTRATO!$H$2:$H$3000,MATCH($A1717,EXTRATO!$A$2:$A$3000,0))="","",INDEX(EXTRATO!$H$2:$H$3000,MATCH($A1717,EXTRATO!$A$2:$A$3000,0))))</f>
        <v/>
      </c>
      <c r="J1717" s="86" t="str">
        <f t="shared" si="41"/>
        <v/>
      </c>
      <c r="K1717" s="86" t="str">
        <f>IF(AND(A1717="",D1717="",E1717="",F1717=""),"",IF(D1717="","SEM CATEGORIA",IF(E1717="","SEM SUBCATEGORIA",IF(COUNTIFS(CADASTROS!$L$7:$L$93,D1717,CADASTROS!$D$7:$D$93,E1717)=0,"INCOMPATÍVEL","OK"))))</f>
        <v/>
      </c>
    </row>
    <row r="1718" spans="1:11" ht="30" hidden="1" customHeight="1" x14ac:dyDescent="0.25">
      <c r="A1718" s="86" t="str">
        <f>IF(COUNTIF(EXTRATO!$A$2:$A$3000,"BAN-01575")=0,"","BAN-01575")</f>
        <v/>
      </c>
      <c r="B1718" s="85" t="str">
        <f>IF(A1718="","",IF(INDEX(EXTRATO!$C$2:$C$3000,MATCH($A1718,EXTRATO!$A$2:$A$3000,0))="","",INDEX(EXTRATO!$C$2:$C$3000,MATCH($A1718,EXTRATO!$A$2:$A$3000,0))))</f>
        <v/>
      </c>
      <c r="C1718" s="86" t="str">
        <f t="shared" si="40"/>
        <v/>
      </c>
      <c r="D1718" s="81"/>
      <c r="E1718" s="79"/>
      <c r="F1718" s="80" t="str">
        <f>IF(A1718="","",SUMIF(EXTRATO!$A$2:$A$3000,$A1718,EXTRATO!$J$2:$J$3000)+SUMIF(EXTRATO!$A$2:$A$3000,$A1718,EXTRATO!$K$2:$K$3000)+SUMIF(EXTRATO!$A$2:$A$3000,$A1718,EXTRATO!$L$2:$L$3000)+SUMIF(EXTRATO!$A$2:$A$3000,$A1718,EXTRATO!$M$2:$M$3000))</f>
        <v/>
      </c>
      <c r="G1718" s="81" t="str">
        <f>IF(A1718="","",IF(INDEX(EXTRATO!$G$2:$G$3000,MATCH($A1718,EXTRATO!$A$2:$A$3000,0))="","",INDEX(EXTRATO!$G$2:$G$3000,MATCH($A1718,EXTRATO!$A$2:$A$3000,0))))</f>
        <v/>
      </c>
      <c r="H1718" s="86" t="str">
        <f>IF(A1718="","",IF(INDEX(EXTRATO!$F$2:$F$3000,MATCH($A1718,EXTRATO!$A$2:$A$3000,0))="","",INDEX(EXTRATO!$F$2:$F$3000,MATCH($A1718,EXTRATO!$A$2:$A$3000,0))))</f>
        <v/>
      </c>
      <c r="I1718" s="88" t="str">
        <f>IF(A1718="","",IF(INDEX(EXTRATO!$H$2:$H$3000,MATCH($A1718,EXTRATO!$A$2:$A$3000,0))="","",INDEX(EXTRATO!$H$2:$H$3000,MATCH($A1718,EXTRATO!$A$2:$A$3000,0))))</f>
        <v/>
      </c>
      <c r="J1718" s="86" t="str">
        <f t="shared" si="41"/>
        <v/>
      </c>
      <c r="K1718" s="86" t="str">
        <f>IF(AND(A1718="",D1718="",E1718="",F1718=""),"",IF(D1718="","SEM CATEGORIA",IF(E1718="","SEM SUBCATEGORIA",IF(COUNTIFS(CADASTROS!$L$7:$L$93,D1718,CADASTROS!$D$7:$D$93,E1718)=0,"INCOMPATÍVEL","OK"))))</f>
        <v/>
      </c>
    </row>
    <row r="1719" spans="1:11" ht="30" hidden="1" customHeight="1" x14ac:dyDescent="0.25">
      <c r="A1719" s="86" t="str">
        <f>IF(COUNTIF(EXTRATO!$A$2:$A$3000,"BAN-01576")=0,"","BAN-01576")</f>
        <v/>
      </c>
      <c r="B1719" s="85" t="str">
        <f>IF(A1719="","",IF(INDEX(EXTRATO!$C$2:$C$3000,MATCH($A1719,EXTRATO!$A$2:$A$3000,0))="","",INDEX(EXTRATO!$C$2:$C$3000,MATCH($A1719,EXTRATO!$A$2:$A$3000,0))))</f>
        <v/>
      </c>
      <c r="C1719" s="86" t="str">
        <f t="shared" si="40"/>
        <v/>
      </c>
      <c r="D1719" s="81"/>
      <c r="E1719" s="79"/>
      <c r="F1719" s="80" t="str">
        <f>IF(A1719="","",SUMIF(EXTRATO!$A$2:$A$3000,$A1719,EXTRATO!$J$2:$J$3000)+SUMIF(EXTRATO!$A$2:$A$3000,$A1719,EXTRATO!$K$2:$K$3000)+SUMIF(EXTRATO!$A$2:$A$3000,$A1719,EXTRATO!$L$2:$L$3000)+SUMIF(EXTRATO!$A$2:$A$3000,$A1719,EXTRATO!$M$2:$M$3000))</f>
        <v/>
      </c>
      <c r="G1719" s="81" t="str">
        <f>IF(A1719="","",IF(INDEX(EXTRATO!$G$2:$G$3000,MATCH($A1719,EXTRATO!$A$2:$A$3000,0))="","",INDEX(EXTRATO!$G$2:$G$3000,MATCH($A1719,EXTRATO!$A$2:$A$3000,0))))</f>
        <v/>
      </c>
      <c r="H1719" s="86" t="str">
        <f>IF(A1719="","",IF(INDEX(EXTRATO!$F$2:$F$3000,MATCH($A1719,EXTRATO!$A$2:$A$3000,0))="","",INDEX(EXTRATO!$F$2:$F$3000,MATCH($A1719,EXTRATO!$A$2:$A$3000,0))))</f>
        <v/>
      </c>
      <c r="I1719" s="88" t="str">
        <f>IF(A1719="","",IF(INDEX(EXTRATO!$H$2:$H$3000,MATCH($A1719,EXTRATO!$A$2:$A$3000,0))="","",INDEX(EXTRATO!$H$2:$H$3000,MATCH($A1719,EXTRATO!$A$2:$A$3000,0))))</f>
        <v/>
      </c>
      <c r="J1719" s="86" t="str">
        <f t="shared" si="41"/>
        <v/>
      </c>
      <c r="K1719" s="86" t="str">
        <f>IF(AND(A1719="",D1719="",E1719="",F1719=""),"",IF(D1719="","SEM CATEGORIA",IF(E1719="","SEM SUBCATEGORIA",IF(COUNTIFS(CADASTROS!$L$7:$L$93,D1719,CADASTROS!$D$7:$D$93,E1719)=0,"INCOMPATÍVEL","OK"))))</f>
        <v/>
      </c>
    </row>
    <row r="1720" spans="1:11" ht="30" hidden="1" customHeight="1" x14ac:dyDescent="0.25">
      <c r="A1720" s="86" t="str">
        <f>IF(COUNTIF(EXTRATO!$A$2:$A$3000,"BAN-01577")=0,"","BAN-01577")</f>
        <v/>
      </c>
      <c r="B1720" s="85" t="str">
        <f>IF(A1720="","",IF(INDEX(EXTRATO!$C$2:$C$3000,MATCH($A1720,EXTRATO!$A$2:$A$3000,0))="","",INDEX(EXTRATO!$C$2:$C$3000,MATCH($A1720,EXTRATO!$A$2:$A$3000,0))))</f>
        <v/>
      </c>
      <c r="C1720" s="86" t="str">
        <f t="shared" si="40"/>
        <v/>
      </c>
      <c r="D1720" s="81"/>
      <c r="E1720" s="79"/>
      <c r="F1720" s="80" t="str">
        <f>IF(A1720="","",SUMIF(EXTRATO!$A$2:$A$3000,$A1720,EXTRATO!$J$2:$J$3000)+SUMIF(EXTRATO!$A$2:$A$3000,$A1720,EXTRATO!$K$2:$K$3000)+SUMIF(EXTRATO!$A$2:$A$3000,$A1720,EXTRATO!$L$2:$L$3000)+SUMIF(EXTRATO!$A$2:$A$3000,$A1720,EXTRATO!$M$2:$M$3000))</f>
        <v/>
      </c>
      <c r="G1720" s="81" t="str">
        <f>IF(A1720="","",IF(INDEX(EXTRATO!$G$2:$G$3000,MATCH($A1720,EXTRATO!$A$2:$A$3000,0))="","",INDEX(EXTRATO!$G$2:$G$3000,MATCH($A1720,EXTRATO!$A$2:$A$3000,0))))</f>
        <v/>
      </c>
      <c r="H1720" s="86" t="str">
        <f>IF(A1720="","",IF(INDEX(EXTRATO!$F$2:$F$3000,MATCH($A1720,EXTRATO!$A$2:$A$3000,0))="","",INDEX(EXTRATO!$F$2:$F$3000,MATCH($A1720,EXTRATO!$A$2:$A$3000,0))))</f>
        <v/>
      </c>
      <c r="I1720" s="88" t="str">
        <f>IF(A1720="","",IF(INDEX(EXTRATO!$H$2:$H$3000,MATCH($A1720,EXTRATO!$A$2:$A$3000,0))="","",INDEX(EXTRATO!$H$2:$H$3000,MATCH($A1720,EXTRATO!$A$2:$A$3000,0))))</f>
        <v/>
      </c>
      <c r="J1720" s="86" t="str">
        <f t="shared" si="41"/>
        <v/>
      </c>
      <c r="K1720" s="86" t="str">
        <f>IF(AND(A1720="",D1720="",E1720="",F1720=""),"",IF(D1720="","SEM CATEGORIA",IF(E1720="","SEM SUBCATEGORIA",IF(COUNTIFS(CADASTROS!$L$7:$L$93,D1720,CADASTROS!$D$7:$D$93,E1720)=0,"INCOMPATÍVEL","OK"))))</f>
        <v/>
      </c>
    </row>
    <row r="1721" spans="1:11" ht="30" hidden="1" customHeight="1" x14ac:dyDescent="0.25">
      <c r="A1721" s="86" t="str">
        <f>IF(COUNTIF(EXTRATO!$A$2:$A$3000,"BAN-01578")=0,"","BAN-01578")</f>
        <v/>
      </c>
      <c r="B1721" s="85" t="str">
        <f>IF(A1721="","",IF(INDEX(EXTRATO!$C$2:$C$3000,MATCH($A1721,EXTRATO!$A$2:$A$3000,0))="","",INDEX(EXTRATO!$C$2:$C$3000,MATCH($A1721,EXTRATO!$A$2:$A$3000,0))))</f>
        <v/>
      </c>
      <c r="C1721" s="86" t="str">
        <f t="shared" si="40"/>
        <v/>
      </c>
      <c r="D1721" s="81"/>
      <c r="E1721" s="79"/>
      <c r="F1721" s="80" t="str">
        <f>IF(A1721="","",SUMIF(EXTRATO!$A$2:$A$3000,$A1721,EXTRATO!$J$2:$J$3000)+SUMIF(EXTRATO!$A$2:$A$3000,$A1721,EXTRATO!$K$2:$K$3000)+SUMIF(EXTRATO!$A$2:$A$3000,$A1721,EXTRATO!$L$2:$L$3000)+SUMIF(EXTRATO!$A$2:$A$3000,$A1721,EXTRATO!$M$2:$M$3000))</f>
        <v/>
      </c>
      <c r="G1721" s="81" t="str">
        <f>IF(A1721="","",IF(INDEX(EXTRATO!$G$2:$G$3000,MATCH($A1721,EXTRATO!$A$2:$A$3000,0))="","",INDEX(EXTRATO!$G$2:$G$3000,MATCH($A1721,EXTRATO!$A$2:$A$3000,0))))</f>
        <v/>
      </c>
      <c r="H1721" s="86" t="str">
        <f>IF(A1721="","",IF(INDEX(EXTRATO!$F$2:$F$3000,MATCH($A1721,EXTRATO!$A$2:$A$3000,0))="","",INDEX(EXTRATO!$F$2:$F$3000,MATCH($A1721,EXTRATO!$A$2:$A$3000,0))))</f>
        <v/>
      </c>
      <c r="I1721" s="88" t="str">
        <f>IF(A1721="","",IF(INDEX(EXTRATO!$H$2:$H$3000,MATCH($A1721,EXTRATO!$A$2:$A$3000,0))="","",INDEX(EXTRATO!$H$2:$H$3000,MATCH($A1721,EXTRATO!$A$2:$A$3000,0))))</f>
        <v/>
      </c>
      <c r="J1721" s="86" t="str">
        <f t="shared" si="41"/>
        <v/>
      </c>
      <c r="K1721" s="86" t="str">
        <f>IF(AND(A1721="",D1721="",E1721="",F1721=""),"",IF(D1721="","SEM CATEGORIA",IF(E1721="","SEM SUBCATEGORIA",IF(COUNTIFS(CADASTROS!$L$7:$L$93,D1721,CADASTROS!$D$7:$D$93,E1721)=0,"INCOMPATÍVEL","OK"))))</f>
        <v/>
      </c>
    </row>
    <row r="1722" spans="1:11" ht="30" hidden="1" customHeight="1" x14ac:dyDescent="0.25">
      <c r="A1722" s="86" t="str">
        <f>IF(COUNTIF(EXTRATO!$A$2:$A$3000,"BAN-01579")=0,"","BAN-01579")</f>
        <v/>
      </c>
      <c r="B1722" s="85" t="str">
        <f>IF(A1722="","",IF(INDEX(EXTRATO!$C$2:$C$3000,MATCH($A1722,EXTRATO!$A$2:$A$3000,0))="","",INDEX(EXTRATO!$C$2:$C$3000,MATCH($A1722,EXTRATO!$A$2:$A$3000,0))))</f>
        <v/>
      </c>
      <c r="C1722" s="86" t="str">
        <f t="shared" si="40"/>
        <v/>
      </c>
      <c r="D1722" s="81"/>
      <c r="E1722" s="79"/>
      <c r="F1722" s="80" t="str">
        <f>IF(A1722="","",SUMIF(EXTRATO!$A$2:$A$3000,$A1722,EXTRATO!$J$2:$J$3000)+SUMIF(EXTRATO!$A$2:$A$3000,$A1722,EXTRATO!$K$2:$K$3000)+SUMIF(EXTRATO!$A$2:$A$3000,$A1722,EXTRATO!$L$2:$L$3000)+SUMIF(EXTRATO!$A$2:$A$3000,$A1722,EXTRATO!$M$2:$M$3000))</f>
        <v/>
      </c>
      <c r="G1722" s="81" t="str">
        <f>IF(A1722="","",IF(INDEX(EXTRATO!$G$2:$G$3000,MATCH($A1722,EXTRATO!$A$2:$A$3000,0))="","",INDEX(EXTRATO!$G$2:$G$3000,MATCH($A1722,EXTRATO!$A$2:$A$3000,0))))</f>
        <v/>
      </c>
      <c r="H1722" s="86" t="str">
        <f>IF(A1722="","",IF(INDEX(EXTRATO!$F$2:$F$3000,MATCH($A1722,EXTRATO!$A$2:$A$3000,0))="","",INDEX(EXTRATO!$F$2:$F$3000,MATCH($A1722,EXTRATO!$A$2:$A$3000,0))))</f>
        <v/>
      </c>
      <c r="I1722" s="88" t="str">
        <f>IF(A1722="","",IF(INDEX(EXTRATO!$H$2:$H$3000,MATCH($A1722,EXTRATO!$A$2:$A$3000,0))="","",INDEX(EXTRATO!$H$2:$H$3000,MATCH($A1722,EXTRATO!$A$2:$A$3000,0))))</f>
        <v/>
      </c>
      <c r="J1722" s="86" t="str">
        <f t="shared" si="41"/>
        <v/>
      </c>
      <c r="K1722" s="86" t="str">
        <f>IF(AND(A1722="",D1722="",E1722="",F1722=""),"",IF(D1722="","SEM CATEGORIA",IF(E1722="","SEM SUBCATEGORIA",IF(COUNTIFS(CADASTROS!$L$7:$L$93,D1722,CADASTROS!$D$7:$D$93,E1722)=0,"INCOMPATÍVEL","OK"))))</f>
        <v/>
      </c>
    </row>
    <row r="1723" spans="1:11" ht="30" hidden="1" customHeight="1" x14ac:dyDescent="0.25">
      <c r="A1723" s="86" t="str">
        <f>IF(COUNTIF(EXTRATO!$A$2:$A$3000,"BAN-01580")=0,"","BAN-01580")</f>
        <v/>
      </c>
      <c r="B1723" s="85" t="str">
        <f>IF(A1723="","",IF(INDEX(EXTRATO!$C$2:$C$3000,MATCH($A1723,EXTRATO!$A$2:$A$3000,0))="","",INDEX(EXTRATO!$C$2:$C$3000,MATCH($A1723,EXTRATO!$A$2:$A$3000,0))))</f>
        <v/>
      </c>
      <c r="C1723" s="86" t="str">
        <f t="shared" si="40"/>
        <v/>
      </c>
      <c r="D1723" s="81"/>
      <c r="E1723" s="79"/>
      <c r="F1723" s="80" t="str">
        <f>IF(A1723="","",SUMIF(EXTRATO!$A$2:$A$3000,$A1723,EXTRATO!$J$2:$J$3000)+SUMIF(EXTRATO!$A$2:$A$3000,$A1723,EXTRATO!$K$2:$K$3000)+SUMIF(EXTRATO!$A$2:$A$3000,$A1723,EXTRATO!$L$2:$L$3000)+SUMIF(EXTRATO!$A$2:$A$3000,$A1723,EXTRATO!$M$2:$M$3000))</f>
        <v/>
      </c>
      <c r="G1723" s="81" t="str">
        <f>IF(A1723="","",IF(INDEX(EXTRATO!$G$2:$G$3000,MATCH($A1723,EXTRATO!$A$2:$A$3000,0))="","",INDEX(EXTRATO!$G$2:$G$3000,MATCH($A1723,EXTRATO!$A$2:$A$3000,0))))</f>
        <v/>
      </c>
      <c r="H1723" s="86" t="str">
        <f>IF(A1723="","",IF(INDEX(EXTRATO!$F$2:$F$3000,MATCH($A1723,EXTRATO!$A$2:$A$3000,0))="","",INDEX(EXTRATO!$F$2:$F$3000,MATCH($A1723,EXTRATO!$A$2:$A$3000,0))))</f>
        <v/>
      </c>
      <c r="I1723" s="88" t="str">
        <f>IF(A1723="","",IF(INDEX(EXTRATO!$H$2:$H$3000,MATCH($A1723,EXTRATO!$A$2:$A$3000,0))="","",INDEX(EXTRATO!$H$2:$H$3000,MATCH($A1723,EXTRATO!$A$2:$A$3000,0))))</f>
        <v/>
      </c>
      <c r="J1723" s="86" t="str">
        <f t="shared" si="41"/>
        <v/>
      </c>
      <c r="K1723" s="86" t="str">
        <f>IF(AND(A1723="",D1723="",E1723="",F1723=""),"",IF(D1723="","SEM CATEGORIA",IF(E1723="","SEM SUBCATEGORIA",IF(COUNTIFS(CADASTROS!$L$7:$L$93,D1723,CADASTROS!$D$7:$D$93,E1723)=0,"INCOMPATÍVEL","OK"))))</f>
        <v/>
      </c>
    </row>
    <row r="1724" spans="1:11" ht="30" hidden="1" customHeight="1" x14ac:dyDescent="0.25">
      <c r="A1724" s="86" t="str">
        <f>IF(COUNTIF(EXTRATO!$A$2:$A$3000,"BAN-01581")=0,"","BAN-01581")</f>
        <v/>
      </c>
      <c r="B1724" s="85" t="str">
        <f>IF(A1724="","",IF(INDEX(EXTRATO!$C$2:$C$3000,MATCH($A1724,EXTRATO!$A$2:$A$3000,0))="","",INDEX(EXTRATO!$C$2:$C$3000,MATCH($A1724,EXTRATO!$A$2:$A$3000,0))))</f>
        <v/>
      </c>
      <c r="C1724" s="86" t="str">
        <f t="shared" si="40"/>
        <v/>
      </c>
      <c r="D1724" s="81"/>
      <c r="E1724" s="79"/>
      <c r="F1724" s="80" t="str">
        <f>IF(A1724="","",SUMIF(EXTRATO!$A$2:$A$3000,$A1724,EXTRATO!$J$2:$J$3000)+SUMIF(EXTRATO!$A$2:$A$3000,$A1724,EXTRATO!$K$2:$K$3000)+SUMIF(EXTRATO!$A$2:$A$3000,$A1724,EXTRATO!$L$2:$L$3000)+SUMIF(EXTRATO!$A$2:$A$3000,$A1724,EXTRATO!$M$2:$M$3000))</f>
        <v/>
      </c>
      <c r="G1724" s="81" t="str">
        <f>IF(A1724="","",IF(INDEX(EXTRATO!$G$2:$G$3000,MATCH($A1724,EXTRATO!$A$2:$A$3000,0))="","",INDEX(EXTRATO!$G$2:$G$3000,MATCH($A1724,EXTRATO!$A$2:$A$3000,0))))</f>
        <v/>
      </c>
      <c r="H1724" s="86" t="str">
        <f>IF(A1724="","",IF(INDEX(EXTRATO!$F$2:$F$3000,MATCH($A1724,EXTRATO!$A$2:$A$3000,0))="","",INDEX(EXTRATO!$F$2:$F$3000,MATCH($A1724,EXTRATO!$A$2:$A$3000,0))))</f>
        <v/>
      </c>
      <c r="I1724" s="88" t="str">
        <f>IF(A1724="","",IF(INDEX(EXTRATO!$H$2:$H$3000,MATCH($A1724,EXTRATO!$A$2:$A$3000,0))="","",INDEX(EXTRATO!$H$2:$H$3000,MATCH($A1724,EXTRATO!$A$2:$A$3000,0))))</f>
        <v/>
      </c>
      <c r="J1724" s="86" t="str">
        <f t="shared" si="41"/>
        <v/>
      </c>
      <c r="K1724" s="86" t="str">
        <f>IF(AND(A1724="",D1724="",E1724="",F1724=""),"",IF(D1724="","SEM CATEGORIA",IF(E1724="","SEM SUBCATEGORIA",IF(COUNTIFS(CADASTROS!$L$7:$L$93,D1724,CADASTROS!$D$7:$D$93,E1724)=0,"INCOMPATÍVEL","OK"))))</f>
        <v/>
      </c>
    </row>
    <row r="1725" spans="1:11" ht="30" hidden="1" customHeight="1" x14ac:dyDescent="0.25">
      <c r="A1725" s="86" t="str">
        <f>IF(COUNTIF(EXTRATO!$A$2:$A$3000,"BAN-01582")=0,"","BAN-01582")</f>
        <v/>
      </c>
      <c r="B1725" s="85" t="str">
        <f>IF(A1725="","",IF(INDEX(EXTRATO!$C$2:$C$3000,MATCH($A1725,EXTRATO!$A$2:$A$3000,0))="","",INDEX(EXTRATO!$C$2:$C$3000,MATCH($A1725,EXTRATO!$A$2:$A$3000,0))))</f>
        <v/>
      </c>
      <c r="C1725" s="86" t="str">
        <f t="shared" si="40"/>
        <v/>
      </c>
      <c r="D1725" s="81"/>
      <c r="E1725" s="79"/>
      <c r="F1725" s="80" t="str">
        <f>IF(A1725="","",SUMIF(EXTRATO!$A$2:$A$3000,$A1725,EXTRATO!$J$2:$J$3000)+SUMIF(EXTRATO!$A$2:$A$3000,$A1725,EXTRATO!$K$2:$K$3000)+SUMIF(EXTRATO!$A$2:$A$3000,$A1725,EXTRATO!$L$2:$L$3000)+SUMIF(EXTRATO!$A$2:$A$3000,$A1725,EXTRATO!$M$2:$M$3000))</f>
        <v/>
      </c>
      <c r="G1725" s="81" t="str">
        <f>IF(A1725="","",IF(INDEX(EXTRATO!$G$2:$G$3000,MATCH($A1725,EXTRATO!$A$2:$A$3000,0))="","",INDEX(EXTRATO!$G$2:$G$3000,MATCH($A1725,EXTRATO!$A$2:$A$3000,0))))</f>
        <v/>
      </c>
      <c r="H1725" s="86" t="str">
        <f>IF(A1725="","",IF(INDEX(EXTRATO!$F$2:$F$3000,MATCH($A1725,EXTRATO!$A$2:$A$3000,0))="","",INDEX(EXTRATO!$F$2:$F$3000,MATCH($A1725,EXTRATO!$A$2:$A$3000,0))))</f>
        <v/>
      </c>
      <c r="I1725" s="88" t="str">
        <f>IF(A1725="","",IF(INDEX(EXTRATO!$H$2:$H$3000,MATCH($A1725,EXTRATO!$A$2:$A$3000,0))="","",INDEX(EXTRATO!$H$2:$H$3000,MATCH($A1725,EXTRATO!$A$2:$A$3000,0))))</f>
        <v/>
      </c>
      <c r="J1725" s="86" t="str">
        <f t="shared" si="41"/>
        <v/>
      </c>
      <c r="K1725" s="86" t="str">
        <f>IF(AND(A1725="",D1725="",E1725="",F1725=""),"",IF(D1725="","SEM CATEGORIA",IF(E1725="","SEM SUBCATEGORIA",IF(COUNTIFS(CADASTROS!$L$7:$L$93,D1725,CADASTROS!$D$7:$D$93,E1725)=0,"INCOMPATÍVEL","OK"))))</f>
        <v/>
      </c>
    </row>
    <row r="1726" spans="1:11" ht="30" hidden="1" customHeight="1" x14ac:dyDescent="0.25">
      <c r="A1726" s="86" t="str">
        <f>IF(COUNTIF(EXTRATO!$A$2:$A$3000,"BAN-01583")=0,"","BAN-01583")</f>
        <v/>
      </c>
      <c r="B1726" s="85" t="str">
        <f>IF(A1726="","",IF(INDEX(EXTRATO!$C$2:$C$3000,MATCH($A1726,EXTRATO!$A$2:$A$3000,0))="","",INDEX(EXTRATO!$C$2:$C$3000,MATCH($A1726,EXTRATO!$A$2:$A$3000,0))))</f>
        <v/>
      </c>
      <c r="C1726" s="86" t="str">
        <f t="shared" si="40"/>
        <v/>
      </c>
      <c r="D1726" s="81"/>
      <c r="E1726" s="79"/>
      <c r="F1726" s="80" t="str">
        <f>IF(A1726="","",SUMIF(EXTRATO!$A$2:$A$3000,$A1726,EXTRATO!$J$2:$J$3000)+SUMIF(EXTRATO!$A$2:$A$3000,$A1726,EXTRATO!$K$2:$K$3000)+SUMIF(EXTRATO!$A$2:$A$3000,$A1726,EXTRATO!$L$2:$L$3000)+SUMIF(EXTRATO!$A$2:$A$3000,$A1726,EXTRATO!$M$2:$M$3000))</f>
        <v/>
      </c>
      <c r="G1726" s="81" t="str">
        <f>IF(A1726="","",IF(INDEX(EXTRATO!$G$2:$G$3000,MATCH($A1726,EXTRATO!$A$2:$A$3000,0))="","",INDEX(EXTRATO!$G$2:$G$3000,MATCH($A1726,EXTRATO!$A$2:$A$3000,0))))</f>
        <v/>
      </c>
      <c r="H1726" s="86" t="str">
        <f>IF(A1726="","",IF(INDEX(EXTRATO!$F$2:$F$3000,MATCH($A1726,EXTRATO!$A$2:$A$3000,0))="","",INDEX(EXTRATO!$F$2:$F$3000,MATCH($A1726,EXTRATO!$A$2:$A$3000,0))))</f>
        <v/>
      </c>
      <c r="I1726" s="88" t="str">
        <f>IF(A1726="","",IF(INDEX(EXTRATO!$H$2:$H$3000,MATCH($A1726,EXTRATO!$A$2:$A$3000,0))="","",INDEX(EXTRATO!$H$2:$H$3000,MATCH($A1726,EXTRATO!$A$2:$A$3000,0))))</f>
        <v/>
      </c>
      <c r="J1726" s="86" t="str">
        <f t="shared" si="41"/>
        <v/>
      </c>
      <c r="K1726" s="86" t="str">
        <f>IF(AND(A1726="",D1726="",E1726="",F1726=""),"",IF(D1726="","SEM CATEGORIA",IF(E1726="","SEM SUBCATEGORIA",IF(COUNTIFS(CADASTROS!$L$7:$L$93,D1726,CADASTROS!$D$7:$D$93,E1726)=0,"INCOMPATÍVEL","OK"))))</f>
        <v/>
      </c>
    </row>
    <row r="1727" spans="1:11" ht="30" hidden="1" customHeight="1" x14ac:dyDescent="0.25">
      <c r="A1727" s="86" t="str">
        <f>IF(COUNTIF(EXTRATO!$A$2:$A$3000,"BAN-01584")=0,"","BAN-01584")</f>
        <v/>
      </c>
      <c r="B1727" s="85" t="str">
        <f>IF(A1727="","",IF(INDEX(EXTRATO!$C$2:$C$3000,MATCH($A1727,EXTRATO!$A$2:$A$3000,0))="","",INDEX(EXTRATO!$C$2:$C$3000,MATCH($A1727,EXTRATO!$A$2:$A$3000,0))))</f>
        <v/>
      </c>
      <c r="C1727" s="86" t="str">
        <f t="shared" si="40"/>
        <v/>
      </c>
      <c r="D1727" s="81"/>
      <c r="E1727" s="79"/>
      <c r="F1727" s="80" t="str">
        <f>IF(A1727="","",SUMIF(EXTRATO!$A$2:$A$3000,$A1727,EXTRATO!$J$2:$J$3000)+SUMIF(EXTRATO!$A$2:$A$3000,$A1727,EXTRATO!$K$2:$K$3000)+SUMIF(EXTRATO!$A$2:$A$3000,$A1727,EXTRATO!$L$2:$L$3000)+SUMIF(EXTRATO!$A$2:$A$3000,$A1727,EXTRATO!$M$2:$M$3000))</f>
        <v/>
      </c>
      <c r="G1727" s="81" t="str">
        <f>IF(A1727="","",IF(INDEX(EXTRATO!$G$2:$G$3000,MATCH($A1727,EXTRATO!$A$2:$A$3000,0))="","",INDEX(EXTRATO!$G$2:$G$3000,MATCH($A1727,EXTRATO!$A$2:$A$3000,0))))</f>
        <v/>
      </c>
      <c r="H1727" s="86" t="str">
        <f>IF(A1727="","",IF(INDEX(EXTRATO!$F$2:$F$3000,MATCH($A1727,EXTRATO!$A$2:$A$3000,0))="","",INDEX(EXTRATO!$F$2:$F$3000,MATCH($A1727,EXTRATO!$A$2:$A$3000,0))))</f>
        <v/>
      </c>
      <c r="I1727" s="88" t="str">
        <f>IF(A1727="","",IF(INDEX(EXTRATO!$H$2:$H$3000,MATCH($A1727,EXTRATO!$A$2:$A$3000,0))="","",INDEX(EXTRATO!$H$2:$H$3000,MATCH($A1727,EXTRATO!$A$2:$A$3000,0))))</f>
        <v/>
      </c>
      <c r="J1727" s="86" t="str">
        <f t="shared" si="41"/>
        <v/>
      </c>
      <c r="K1727" s="86" t="str">
        <f>IF(AND(A1727="",D1727="",E1727="",F1727=""),"",IF(D1727="","SEM CATEGORIA",IF(E1727="","SEM SUBCATEGORIA",IF(COUNTIFS(CADASTROS!$L$7:$L$93,D1727,CADASTROS!$D$7:$D$93,E1727)=0,"INCOMPATÍVEL","OK"))))</f>
        <v/>
      </c>
    </row>
    <row r="1728" spans="1:11" ht="30" hidden="1" customHeight="1" x14ac:dyDescent="0.25">
      <c r="A1728" s="86" t="str">
        <f>IF(COUNTIF(EXTRATO!$A$2:$A$3000,"BAN-01585")=0,"","BAN-01585")</f>
        <v/>
      </c>
      <c r="B1728" s="85" t="str">
        <f>IF(A1728="","",IF(INDEX(EXTRATO!$C$2:$C$3000,MATCH($A1728,EXTRATO!$A$2:$A$3000,0))="","",INDEX(EXTRATO!$C$2:$C$3000,MATCH($A1728,EXTRATO!$A$2:$A$3000,0))))</f>
        <v/>
      </c>
      <c r="C1728" s="86" t="str">
        <f t="shared" si="40"/>
        <v/>
      </c>
      <c r="D1728" s="81"/>
      <c r="E1728" s="79"/>
      <c r="F1728" s="80" t="str">
        <f>IF(A1728="","",SUMIF(EXTRATO!$A$2:$A$3000,$A1728,EXTRATO!$J$2:$J$3000)+SUMIF(EXTRATO!$A$2:$A$3000,$A1728,EXTRATO!$K$2:$K$3000)+SUMIF(EXTRATO!$A$2:$A$3000,$A1728,EXTRATO!$L$2:$L$3000)+SUMIF(EXTRATO!$A$2:$A$3000,$A1728,EXTRATO!$M$2:$M$3000))</f>
        <v/>
      </c>
      <c r="G1728" s="81" t="str">
        <f>IF(A1728="","",IF(INDEX(EXTRATO!$G$2:$G$3000,MATCH($A1728,EXTRATO!$A$2:$A$3000,0))="","",INDEX(EXTRATO!$G$2:$G$3000,MATCH($A1728,EXTRATO!$A$2:$A$3000,0))))</f>
        <v/>
      </c>
      <c r="H1728" s="86" t="str">
        <f>IF(A1728="","",IF(INDEX(EXTRATO!$F$2:$F$3000,MATCH($A1728,EXTRATO!$A$2:$A$3000,0))="","",INDEX(EXTRATO!$F$2:$F$3000,MATCH($A1728,EXTRATO!$A$2:$A$3000,0))))</f>
        <v/>
      </c>
      <c r="I1728" s="88" t="str">
        <f>IF(A1728="","",IF(INDEX(EXTRATO!$H$2:$H$3000,MATCH($A1728,EXTRATO!$A$2:$A$3000,0))="","",INDEX(EXTRATO!$H$2:$H$3000,MATCH($A1728,EXTRATO!$A$2:$A$3000,0))))</f>
        <v/>
      </c>
      <c r="J1728" s="86" t="str">
        <f t="shared" si="41"/>
        <v/>
      </c>
      <c r="K1728" s="86" t="str">
        <f>IF(AND(A1728="",D1728="",E1728="",F1728=""),"",IF(D1728="","SEM CATEGORIA",IF(E1728="","SEM SUBCATEGORIA",IF(COUNTIFS(CADASTROS!$L$7:$L$93,D1728,CADASTROS!$D$7:$D$93,E1728)=0,"INCOMPATÍVEL","OK"))))</f>
        <v/>
      </c>
    </row>
    <row r="1729" spans="1:11" ht="30" hidden="1" customHeight="1" x14ac:dyDescent="0.25">
      <c r="A1729" s="86" t="str">
        <f>IF(COUNTIF(EXTRATO!$A$2:$A$3000,"BAN-01586")=0,"","BAN-01586")</f>
        <v/>
      </c>
      <c r="B1729" s="85" t="str">
        <f>IF(A1729="","",IF(INDEX(EXTRATO!$C$2:$C$3000,MATCH($A1729,EXTRATO!$A$2:$A$3000,0))="","",INDEX(EXTRATO!$C$2:$C$3000,MATCH($A1729,EXTRATO!$A$2:$A$3000,0))))</f>
        <v/>
      </c>
      <c r="C1729" s="86" t="str">
        <f t="shared" si="40"/>
        <v/>
      </c>
      <c r="D1729" s="81"/>
      <c r="E1729" s="79"/>
      <c r="F1729" s="80" t="str">
        <f>IF(A1729="","",SUMIF(EXTRATO!$A$2:$A$3000,$A1729,EXTRATO!$J$2:$J$3000)+SUMIF(EXTRATO!$A$2:$A$3000,$A1729,EXTRATO!$K$2:$K$3000)+SUMIF(EXTRATO!$A$2:$A$3000,$A1729,EXTRATO!$L$2:$L$3000)+SUMIF(EXTRATO!$A$2:$A$3000,$A1729,EXTRATO!$M$2:$M$3000))</f>
        <v/>
      </c>
      <c r="G1729" s="81" t="str">
        <f>IF(A1729="","",IF(INDEX(EXTRATO!$G$2:$G$3000,MATCH($A1729,EXTRATO!$A$2:$A$3000,0))="","",INDEX(EXTRATO!$G$2:$G$3000,MATCH($A1729,EXTRATO!$A$2:$A$3000,0))))</f>
        <v/>
      </c>
      <c r="H1729" s="86" t="str">
        <f>IF(A1729="","",IF(INDEX(EXTRATO!$F$2:$F$3000,MATCH($A1729,EXTRATO!$A$2:$A$3000,0))="","",INDEX(EXTRATO!$F$2:$F$3000,MATCH($A1729,EXTRATO!$A$2:$A$3000,0))))</f>
        <v/>
      </c>
      <c r="I1729" s="88" t="str">
        <f>IF(A1729="","",IF(INDEX(EXTRATO!$H$2:$H$3000,MATCH($A1729,EXTRATO!$A$2:$A$3000,0))="","",INDEX(EXTRATO!$H$2:$H$3000,MATCH($A1729,EXTRATO!$A$2:$A$3000,0))))</f>
        <v/>
      </c>
      <c r="J1729" s="86" t="str">
        <f t="shared" si="41"/>
        <v/>
      </c>
      <c r="K1729" s="86" t="str">
        <f>IF(AND(A1729="",D1729="",E1729="",F1729=""),"",IF(D1729="","SEM CATEGORIA",IF(E1729="","SEM SUBCATEGORIA",IF(COUNTIFS(CADASTROS!$L$7:$L$93,D1729,CADASTROS!$D$7:$D$93,E1729)=0,"INCOMPATÍVEL","OK"))))</f>
        <v/>
      </c>
    </row>
    <row r="1730" spans="1:11" ht="30" hidden="1" customHeight="1" x14ac:dyDescent="0.25">
      <c r="A1730" s="86" t="str">
        <f>IF(COUNTIF(EXTRATO!$A$2:$A$3000,"BAN-01587")=0,"","BAN-01587")</f>
        <v/>
      </c>
      <c r="B1730" s="85" t="str">
        <f>IF(A1730="","",IF(INDEX(EXTRATO!$C$2:$C$3000,MATCH($A1730,EXTRATO!$A$2:$A$3000,0))="","",INDEX(EXTRATO!$C$2:$C$3000,MATCH($A1730,EXTRATO!$A$2:$A$3000,0))))</f>
        <v/>
      </c>
      <c r="C1730" s="86" t="str">
        <f t="shared" si="40"/>
        <v/>
      </c>
      <c r="D1730" s="81"/>
      <c r="E1730" s="79"/>
      <c r="F1730" s="80" t="str">
        <f>IF(A1730="","",SUMIF(EXTRATO!$A$2:$A$3000,$A1730,EXTRATO!$J$2:$J$3000)+SUMIF(EXTRATO!$A$2:$A$3000,$A1730,EXTRATO!$K$2:$K$3000)+SUMIF(EXTRATO!$A$2:$A$3000,$A1730,EXTRATO!$L$2:$L$3000)+SUMIF(EXTRATO!$A$2:$A$3000,$A1730,EXTRATO!$M$2:$M$3000))</f>
        <v/>
      </c>
      <c r="G1730" s="81" t="str">
        <f>IF(A1730="","",IF(INDEX(EXTRATO!$G$2:$G$3000,MATCH($A1730,EXTRATO!$A$2:$A$3000,0))="","",INDEX(EXTRATO!$G$2:$G$3000,MATCH($A1730,EXTRATO!$A$2:$A$3000,0))))</f>
        <v/>
      </c>
      <c r="H1730" s="86" t="str">
        <f>IF(A1730="","",IF(INDEX(EXTRATO!$F$2:$F$3000,MATCH($A1730,EXTRATO!$A$2:$A$3000,0))="","",INDEX(EXTRATO!$F$2:$F$3000,MATCH($A1730,EXTRATO!$A$2:$A$3000,0))))</f>
        <v/>
      </c>
      <c r="I1730" s="88" t="str">
        <f>IF(A1730="","",IF(INDEX(EXTRATO!$H$2:$H$3000,MATCH($A1730,EXTRATO!$A$2:$A$3000,0))="","",INDEX(EXTRATO!$H$2:$H$3000,MATCH($A1730,EXTRATO!$A$2:$A$3000,0))))</f>
        <v/>
      </c>
      <c r="J1730" s="86" t="str">
        <f t="shared" si="41"/>
        <v/>
      </c>
      <c r="K1730" s="86" t="str">
        <f>IF(AND(A1730="",D1730="",E1730="",F1730=""),"",IF(D1730="","SEM CATEGORIA",IF(E1730="","SEM SUBCATEGORIA",IF(COUNTIFS(CADASTROS!$L$7:$L$93,D1730,CADASTROS!$D$7:$D$93,E1730)=0,"INCOMPATÍVEL","OK"))))</f>
        <v/>
      </c>
    </row>
    <row r="1731" spans="1:11" ht="30" hidden="1" customHeight="1" x14ac:dyDescent="0.25">
      <c r="A1731" s="86" t="str">
        <f>IF(COUNTIF(EXTRATO!$A$2:$A$3000,"BAN-01588")=0,"","BAN-01588")</f>
        <v/>
      </c>
      <c r="B1731" s="85" t="str">
        <f>IF(A1731="","",IF(INDEX(EXTRATO!$C$2:$C$3000,MATCH($A1731,EXTRATO!$A$2:$A$3000,0))="","",INDEX(EXTRATO!$C$2:$C$3000,MATCH($A1731,EXTRATO!$A$2:$A$3000,0))))</f>
        <v/>
      </c>
      <c r="C1731" s="86" t="str">
        <f t="shared" si="40"/>
        <v/>
      </c>
      <c r="D1731" s="81"/>
      <c r="E1731" s="79"/>
      <c r="F1731" s="80" t="str">
        <f>IF(A1731="","",SUMIF(EXTRATO!$A$2:$A$3000,$A1731,EXTRATO!$J$2:$J$3000)+SUMIF(EXTRATO!$A$2:$A$3000,$A1731,EXTRATO!$K$2:$K$3000)+SUMIF(EXTRATO!$A$2:$A$3000,$A1731,EXTRATO!$L$2:$L$3000)+SUMIF(EXTRATO!$A$2:$A$3000,$A1731,EXTRATO!$M$2:$M$3000))</f>
        <v/>
      </c>
      <c r="G1731" s="81" t="str">
        <f>IF(A1731="","",IF(INDEX(EXTRATO!$G$2:$G$3000,MATCH($A1731,EXTRATO!$A$2:$A$3000,0))="","",INDEX(EXTRATO!$G$2:$G$3000,MATCH($A1731,EXTRATO!$A$2:$A$3000,0))))</f>
        <v/>
      </c>
      <c r="H1731" s="86" t="str">
        <f>IF(A1731="","",IF(INDEX(EXTRATO!$F$2:$F$3000,MATCH($A1731,EXTRATO!$A$2:$A$3000,0))="","",INDEX(EXTRATO!$F$2:$F$3000,MATCH($A1731,EXTRATO!$A$2:$A$3000,0))))</f>
        <v/>
      </c>
      <c r="I1731" s="88" t="str">
        <f>IF(A1731="","",IF(INDEX(EXTRATO!$H$2:$H$3000,MATCH($A1731,EXTRATO!$A$2:$A$3000,0))="","",INDEX(EXTRATO!$H$2:$H$3000,MATCH($A1731,EXTRATO!$A$2:$A$3000,0))))</f>
        <v/>
      </c>
      <c r="J1731" s="86" t="str">
        <f t="shared" si="41"/>
        <v/>
      </c>
      <c r="K1731" s="86" t="str">
        <f>IF(AND(A1731="",D1731="",E1731="",F1731=""),"",IF(D1731="","SEM CATEGORIA",IF(E1731="","SEM SUBCATEGORIA",IF(COUNTIFS(CADASTROS!$L$7:$L$93,D1731,CADASTROS!$D$7:$D$93,E1731)=0,"INCOMPATÍVEL","OK"))))</f>
        <v/>
      </c>
    </row>
    <row r="1732" spans="1:11" ht="30" hidden="1" customHeight="1" x14ac:dyDescent="0.25">
      <c r="A1732" s="86" t="str">
        <f>IF(COUNTIF(EXTRATO!$A$2:$A$3000,"BAN-01589")=0,"","BAN-01589")</f>
        <v/>
      </c>
      <c r="B1732" s="85" t="str">
        <f>IF(A1732="","",IF(INDEX(EXTRATO!$C$2:$C$3000,MATCH($A1732,EXTRATO!$A$2:$A$3000,0))="","",INDEX(EXTRATO!$C$2:$C$3000,MATCH($A1732,EXTRATO!$A$2:$A$3000,0))))</f>
        <v/>
      </c>
      <c r="C1732" s="86" t="str">
        <f t="shared" si="40"/>
        <v/>
      </c>
      <c r="D1732" s="81"/>
      <c r="E1732" s="79"/>
      <c r="F1732" s="80" t="str">
        <f>IF(A1732="","",SUMIF(EXTRATO!$A$2:$A$3000,$A1732,EXTRATO!$J$2:$J$3000)+SUMIF(EXTRATO!$A$2:$A$3000,$A1732,EXTRATO!$K$2:$K$3000)+SUMIF(EXTRATO!$A$2:$A$3000,$A1732,EXTRATO!$L$2:$L$3000)+SUMIF(EXTRATO!$A$2:$A$3000,$A1732,EXTRATO!$M$2:$M$3000))</f>
        <v/>
      </c>
      <c r="G1732" s="81" t="str">
        <f>IF(A1732="","",IF(INDEX(EXTRATO!$G$2:$G$3000,MATCH($A1732,EXTRATO!$A$2:$A$3000,0))="","",INDEX(EXTRATO!$G$2:$G$3000,MATCH($A1732,EXTRATO!$A$2:$A$3000,0))))</f>
        <v/>
      </c>
      <c r="H1732" s="86" t="str">
        <f>IF(A1732="","",IF(INDEX(EXTRATO!$F$2:$F$3000,MATCH($A1732,EXTRATO!$A$2:$A$3000,0))="","",INDEX(EXTRATO!$F$2:$F$3000,MATCH($A1732,EXTRATO!$A$2:$A$3000,0))))</f>
        <v/>
      </c>
      <c r="I1732" s="88" t="str">
        <f>IF(A1732="","",IF(INDEX(EXTRATO!$H$2:$H$3000,MATCH($A1732,EXTRATO!$A$2:$A$3000,0))="","",INDEX(EXTRATO!$H$2:$H$3000,MATCH($A1732,EXTRATO!$A$2:$A$3000,0))))</f>
        <v/>
      </c>
      <c r="J1732" s="86" t="str">
        <f t="shared" si="41"/>
        <v/>
      </c>
      <c r="K1732" s="86" t="str">
        <f>IF(AND(A1732="",D1732="",E1732="",F1732=""),"",IF(D1732="","SEM CATEGORIA",IF(E1732="","SEM SUBCATEGORIA",IF(COUNTIFS(CADASTROS!$L$7:$L$93,D1732,CADASTROS!$D$7:$D$93,E1732)=0,"INCOMPATÍVEL","OK"))))</f>
        <v/>
      </c>
    </row>
    <row r="1733" spans="1:11" ht="30" hidden="1" customHeight="1" x14ac:dyDescent="0.25">
      <c r="A1733" s="86" t="str">
        <f>IF(COUNTIF(EXTRATO!$A$2:$A$3000,"BAN-01590")=0,"","BAN-01590")</f>
        <v/>
      </c>
      <c r="B1733" s="85" t="str">
        <f>IF(A1733="","",IF(INDEX(EXTRATO!$C$2:$C$3000,MATCH($A1733,EXTRATO!$A$2:$A$3000,0))="","",INDEX(EXTRATO!$C$2:$C$3000,MATCH($A1733,EXTRATO!$A$2:$A$3000,0))))</f>
        <v/>
      </c>
      <c r="C1733" s="86" t="str">
        <f t="shared" si="40"/>
        <v/>
      </c>
      <c r="D1733" s="81"/>
      <c r="E1733" s="79"/>
      <c r="F1733" s="80" t="str">
        <f>IF(A1733="","",SUMIF(EXTRATO!$A$2:$A$3000,$A1733,EXTRATO!$J$2:$J$3000)+SUMIF(EXTRATO!$A$2:$A$3000,$A1733,EXTRATO!$K$2:$K$3000)+SUMIF(EXTRATO!$A$2:$A$3000,$A1733,EXTRATO!$L$2:$L$3000)+SUMIF(EXTRATO!$A$2:$A$3000,$A1733,EXTRATO!$M$2:$M$3000))</f>
        <v/>
      </c>
      <c r="G1733" s="81" t="str">
        <f>IF(A1733="","",IF(INDEX(EXTRATO!$G$2:$G$3000,MATCH($A1733,EXTRATO!$A$2:$A$3000,0))="","",INDEX(EXTRATO!$G$2:$G$3000,MATCH($A1733,EXTRATO!$A$2:$A$3000,0))))</f>
        <v/>
      </c>
      <c r="H1733" s="86" t="str">
        <f>IF(A1733="","",IF(INDEX(EXTRATO!$F$2:$F$3000,MATCH($A1733,EXTRATO!$A$2:$A$3000,0))="","",INDEX(EXTRATO!$F$2:$F$3000,MATCH($A1733,EXTRATO!$A$2:$A$3000,0))))</f>
        <v/>
      </c>
      <c r="I1733" s="88" t="str">
        <f>IF(A1733="","",IF(INDEX(EXTRATO!$H$2:$H$3000,MATCH($A1733,EXTRATO!$A$2:$A$3000,0))="","",INDEX(EXTRATO!$H$2:$H$3000,MATCH($A1733,EXTRATO!$A$2:$A$3000,0))))</f>
        <v/>
      </c>
      <c r="J1733" s="86" t="str">
        <f t="shared" si="41"/>
        <v/>
      </c>
      <c r="K1733" s="86" t="str">
        <f>IF(AND(A1733="",D1733="",E1733="",F1733=""),"",IF(D1733="","SEM CATEGORIA",IF(E1733="","SEM SUBCATEGORIA",IF(COUNTIFS(CADASTROS!$L$7:$L$93,D1733,CADASTROS!$D$7:$D$93,E1733)=0,"INCOMPATÍVEL","OK"))))</f>
        <v/>
      </c>
    </row>
    <row r="1734" spans="1:11" ht="30" hidden="1" customHeight="1" x14ac:dyDescent="0.25">
      <c r="A1734" s="86" t="str">
        <f>IF(COUNTIF(EXTRATO!$A$2:$A$3000,"BAN-01591")=0,"","BAN-01591")</f>
        <v/>
      </c>
      <c r="B1734" s="85" t="str">
        <f>IF(A1734="","",IF(INDEX(EXTRATO!$C$2:$C$3000,MATCH($A1734,EXTRATO!$A$2:$A$3000,0))="","",INDEX(EXTRATO!$C$2:$C$3000,MATCH($A1734,EXTRATO!$A$2:$A$3000,0))))</f>
        <v/>
      </c>
      <c r="C1734" s="86" t="str">
        <f t="shared" si="40"/>
        <v/>
      </c>
      <c r="D1734" s="81"/>
      <c r="E1734" s="79"/>
      <c r="F1734" s="80" t="str">
        <f>IF(A1734="","",SUMIF(EXTRATO!$A$2:$A$3000,$A1734,EXTRATO!$J$2:$J$3000)+SUMIF(EXTRATO!$A$2:$A$3000,$A1734,EXTRATO!$K$2:$K$3000)+SUMIF(EXTRATO!$A$2:$A$3000,$A1734,EXTRATO!$L$2:$L$3000)+SUMIF(EXTRATO!$A$2:$A$3000,$A1734,EXTRATO!$M$2:$M$3000))</f>
        <v/>
      </c>
      <c r="G1734" s="81" t="str">
        <f>IF(A1734="","",IF(INDEX(EXTRATO!$G$2:$G$3000,MATCH($A1734,EXTRATO!$A$2:$A$3000,0))="","",INDEX(EXTRATO!$G$2:$G$3000,MATCH($A1734,EXTRATO!$A$2:$A$3000,0))))</f>
        <v/>
      </c>
      <c r="H1734" s="86" t="str">
        <f>IF(A1734="","",IF(INDEX(EXTRATO!$F$2:$F$3000,MATCH($A1734,EXTRATO!$A$2:$A$3000,0))="","",INDEX(EXTRATO!$F$2:$F$3000,MATCH($A1734,EXTRATO!$A$2:$A$3000,0))))</f>
        <v/>
      </c>
      <c r="I1734" s="88" t="str">
        <f>IF(A1734="","",IF(INDEX(EXTRATO!$H$2:$H$3000,MATCH($A1734,EXTRATO!$A$2:$A$3000,0))="","",INDEX(EXTRATO!$H$2:$H$3000,MATCH($A1734,EXTRATO!$A$2:$A$3000,0))))</f>
        <v/>
      </c>
      <c r="J1734" s="86" t="str">
        <f t="shared" si="41"/>
        <v/>
      </c>
      <c r="K1734" s="86" t="str">
        <f>IF(AND(A1734="",D1734="",E1734="",F1734=""),"",IF(D1734="","SEM CATEGORIA",IF(E1734="","SEM SUBCATEGORIA",IF(COUNTIFS(CADASTROS!$L$7:$L$93,D1734,CADASTROS!$D$7:$D$93,E1734)=0,"INCOMPATÍVEL","OK"))))</f>
        <v/>
      </c>
    </row>
    <row r="1735" spans="1:11" ht="30" hidden="1" customHeight="1" x14ac:dyDescent="0.25">
      <c r="A1735" s="86" t="str">
        <f>IF(COUNTIF(EXTRATO!$A$2:$A$3000,"BAN-01592")=0,"","BAN-01592")</f>
        <v/>
      </c>
      <c r="B1735" s="85" t="str">
        <f>IF(A1735="","",IF(INDEX(EXTRATO!$C$2:$C$3000,MATCH($A1735,EXTRATO!$A$2:$A$3000,0))="","",INDEX(EXTRATO!$C$2:$C$3000,MATCH($A1735,EXTRATO!$A$2:$A$3000,0))))</f>
        <v/>
      </c>
      <c r="C1735" s="86" t="str">
        <f t="shared" si="40"/>
        <v/>
      </c>
      <c r="D1735" s="81"/>
      <c r="E1735" s="79"/>
      <c r="F1735" s="80" t="str">
        <f>IF(A1735="","",SUMIF(EXTRATO!$A$2:$A$3000,$A1735,EXTRATO!$J$2:$J$3000)+SUMIF(EXTRATO!$A$2:$A$3000,$A1735,EXTRATO!$K$2:$K$3000)+SUMIF(EXTRATO!$A$2:$A$3000,$A1735,EXTRATO!$L$2:$L$3000)+SUMIF(EXTRATO!$A$2:$A$3000,$A1735,EXTRATO!$M$2:$M$3000))</f>
        <v/>
      </c>
      <c r="G1735" s="81" t="str">
        <f>IF(A1735="","",IF(INDEX(EXTRATO!$G$2:$G$3000,MATCH($A1735,EXTRATO!$A$2:$A$3000,0))="","",INDEX(EXTRATO!$G$2:$G$3000,MATCH($A1735,EXTRATO!$A$2:$A$3000,0))))</f>
        <v/>
      </c>
      <c r="H1735" s="86" t="str">
        <f>IF(A1735="","",IF(INDEX(EXTRATO!$F$2:$F$3000,MATCH($A1735,EXTRATO!$A$2:$A$3000,0))="","",INDEX(EXTRATO!$F$2:$F$3000,MATCH($A1735,EXTRATO!$A$2:$A$3000,0))))</f>
        <v/>
      </c>
      <c r="I1735" s="88" t="str">
        <f>IF(A1735="","",IF(INDEX(EXTRATO!$H$2:$H$3000,MATCH($A1735,EXTRATO!$A$2:$A$3000,0))="","",INDEX(EXTRATO!$H$2:$H$3000,MATCH($A1735,EXTRATO!$A$2:$A$3000,0))))</f>
        <v/>
      </c>
      <c r="J1735" s="86" t="str">
        <f t="shared" si="41"/>
        <v/>
      </c>
      <c r="K1735" s="86" t="str">
        <f>IF(AND(A1735="",D1735="",E1735="",F1735=""),"",IF(D1735="","SEM CATEGORIA",IF(E1735="","SEM SUBCATEGORIA",IF(COUNTIFS(CADASTROS!$L$7:$L$93,D1735,CADASTROS!$D$7:$D$93,E1735)=0,"INCOMPATÍVEL","OK"))))</f>
        <v/>
      </c>
    </row>
    <row r="1736" spans="1:11" ht="30" hidden="1" customHeight="1" x14ac:dyDescent="0.25">
      <c r="A1736" s="86" t="str">
        <f>IF(COUNTIF(EXTRATO!$A$2:$A$3000,"BAN-01593")=0,"","BAN-01593")</f>
        <v/>
      </c>
      <c r="B1736" s="85" t="str">
        <f>IF(A1736="","",IF(INDEX(EXTRATO!$C$2:$C$3000,MATCH($A1736,EXTRATO!$A$2:$A$3000,0))="","",INDEX(EXTRATO!$C$2:$C$3000,MATCH($A1736,EXTRATO!$A$2:$A$3000,0))))</f>
        <v/>
      </c>
      <c r="C1736" s="86" t="str">
        <f t="shared" si="40"/>
        <v/>
      </c>
      <c r="D1736" s="81"/>
      <c r="E1736" s="79"/>
      <c r="F1736" s="80" t="str">
        <f>IF(A1736="","",SUMIF(EXTRATO!$A$2:$A$3000,$A1736,EXTRATO!$J$2:$J$3000)+SUMIF(EXTRATO!$A$2:$A$3000,$A1736,EXTRATO!$K$2:$K$3000)+SUMIF(EXTRATO!$A$2:$A$3000,$A1736,EXTRATO!$L$2:$L$3000)+SUMIF(EXTRATO!$A$2:$A$3000,$A1736,EXTRATO!$M$2:$M$3000))</f>
        <v/>
      </c>
      <c r="G1736" s="81" t="str">
        <f>IF(A1736="","",IF(INDEX(EXTRATO!$G$2:$G$3000,MATCH($A1736,EXTRATO!$A$2:$A$3000,0))="","",INDEX(EXTRATO!$G$2:$G$3000,MATCH($A1736,EXTRATO!$A$2:$A$3000,0))))</f>
        <v/>
      </c>
      <c r="H1736" s="86" t="str">
        <f>IF(A1736="","",IF(INDEX(EXTRATO!$F$2:$F$3000,MATCH($A1736,EXTRATO!$A$2:$A$3000,0))="","",INDEX(EXTRATO!$F$2:$F$3000,MATCH($A1736,EXTRATO!$A$2:$A$3000,0))))</f>
        <v/>
      </c>
      <c r="I1736" s="88" t="str">
        <f>IF(A1736="","",IF(INDEX(EXTRATO!$H$2:$H$3000,MATCH($A1736,EXTRATO!$A$2:$A$3000,0))="","",INDEX(EXTRATO!$H$2:$H$3000,MATCH($A1736,EXTRATO!$A$2:$A$3000,0))))</f>
        <v/>
      </c>
      <c r="J1736" s="86" t="str">
        <f t="shared" si="41"/>
        <v/>
      </c>
      <c r="K1736" s="86" t="str">
        <f>IF(AND(A1736="",D1736="",E1736="",F1736=""),"",IF(D1736="","SEM CATEGORIA",IF(E1736="","SEM SUBCATEGORIA",IF(COUNTIFS(CADASTROS!$L$7:$L$93,D1736,CADASTROS!$D$7:$D$93,E1736)=0,"INCOMPATÍVEL","OK"))))</f>
        <v/>
      </c>
    </row>
    <row r="1737" spans="1:11" ht="30" hidden="1" customHeight="1" x14ac:dyDescent="0.25">
      <c r="A1737" s="86" t="str">
        <f>IF(COUNTIF(EXTRATO!$A$2:$A$3000,"BAN-01594")=0,"","BAN-01594")</f>
        <v/>
      </c>
      <c r="B1737" s="85" t="str">
        <f>IF(A1737="","",IF(INDEX(EXTRATO!$C$2:$C$3000,MATCH($A1737,EXTRATO!$A$2:$A$3000,0))="","",INDEX(EXTRATO!$C$2:$C$3000,MATCH($A1737,EXTRATO!$A$2:$A$3000,0))))</f>
        <v/>
      </c>
      <c r="C1737" s="86" t="str">
        <f t="shared" si="40"/>
        <v/>
      </c>
      <c r="D1737" s="81"/>
      <c r="E1737" s="79"/>
      <c r="F1737" s="80" t="str">
        <f>IF(A1737="","",SUMIF(EXTRATO!$A$2:$A$3000,$A1737,EXTRATO!$J$2:$J$3000)+SUMIF(EXTRATO!$A$2:$A$3000,$A1737,EXTRATO!$K$2:$K$3000)+SUMIF(EXTRATO!$A$2:$A$3000,$A1737,EXTRATO!$L$2:$L$3000)+SUMIF(EXTRATO!$A$2:$A$3000,$A1737,EXTRATO!$M$2:$M$3000))</f>
        <v/>
      </c>
      <c r="G1737" s="81" t="str">
        <f>IF(A1737="","",IF(INDEX(EXTRATO!$G$2:$G$3000,MATCH($A1737,EXTRATO!$A$2:$A$3000,0))="","",INDEX(EXTRATO!$G$2:$G$3000,MATCH($A1737,EXTRATO!$A$2:$A$3000,0))))</f>
        <v/>
      </c>
      <c r="H1737" s="86" t="str">
        <f>IF(A1737="","",IF(INDEX(EXTRATO!$F$2:$F$3000,MATCH($A1737,EXTRATO!$A$2:$A$3000,0))="","",INDEX(EXTRATO!$F$2:$F$3000,MATCH($A1737,EXTRATO!$A$2:$A$3000,0))))</f>
        <v/>
      </c>
      <c r="I1737" s="88" t="str">
        <f>IF(A1737="","",IF(INDEX(EXTRATO!$H$2:$H$3000,MATCH($A1737,EXTRATO!$A$2:$A$3000,0))="","",INDEX(EXTRATO!$H$2:$H$3000,MATCH($A1737,EXTRATO!$A$2:$A$3000,0))))</f>
        <v/>
      </c>
      <c r="J1737" s="86" t="str">
        <f t="shared" si="41"/>
        <v/>
      </c>
      <c r="K1737" s="86" t="str">
        <f>IF(AND(A1737="",D1737="",E1737="",F1737=""),"",IF(D1737="","SEM CATEGORIA",IF(E1737="","SEM SUBCATEGORIA",IF(COUNTIFS(CADASTROS!$L$7:$L$93,D1737,CADASTROS!$D$7:$D$93,E1737)=0,"INCOMPATÍVEL","OK"))))</f>
        <v/>
      </c>
    </row>
    <row r="1738" spans="1:11" ht="30" hidden="1" customHeight="1" x14ac:dyDescent="0.25">
      <c r="A1738" s="86" t="str">
        <f>IF(COUNTIF(EXTRATO!$A$2:$A$3000,"BAN-01595")=0,"","BAN-01595")</f>
        <v/>
      </c>
      <c r="B1738" s="85" t="str">
        <f>IF(A1738="","",IF(INDEX(EXTRATO!$C$2:$C$3000,MATCH($A1738,EXTRATO!$A$2:$A$3000,0))="","",INDEX(EXTRATO!$C$2:$C$3000,MATCH($A1738,EXTRATO!$A$2:$A$3000,0))))</f>
        <v/>
      </c>
      <c r="C1738" s="86" t="str">
        <f t="shared" si="40"/>
        <v/>
      </c>
      <c r="D1738" s="81"/>
      <c r="E1738" s="79"/>
      <c r="F1738" s="80" t="str">
        <f>IF(A1738="","",SUMIF(EXTRATO!$A$2:$A$3000,$A1738,EXTRATO!$J$2:$J$3000)+SUMIF(EXTRATO!$A$2:$A$3000,$A1738,EXTRATO!$K$2:$K$3000)+SUMIF(EXTRATO!$A$2:$A$3000,$A1738,EXTRATO!$L$2:$L$3000)+SUMIF(EXTRATO!$A$2:$A$3000,$A1738,EXTRATO!$M$2:$M$3000))</f>
        <v/>
      </c>
      <c r="G1738" s="81" t="str">
        <f>IF(A1738="","",IF(INDEX(EXTRATO!$G$2:$G$3000,MATCH($A1738,EXTRATO!$A$2:$A$3000,0))="","",INDEX(EXTRATO!$G$2:$G$3000,MATCH($A1738,EXTRATO!$A$2:$A$3000,0))))</f>
        <v/>
      </c>
      <c r="H1738" s="86" t="str">
        <f>IF(A1738="","",IF(INDEX(EXTRATO!$F$2:$F$3000,MATCH($A1738,EXTRATO!$A$2:$A$3000,0))="","",INDEX(EXTRATO!$F$2:$F$3000,MATCH($A1738,EXTRATO!$A$2:$A$3000,0))))</f>
        <v/>
      </c>
      <c r="I1738" s="88" t="str">
        <f>IF(A1738="","",IF(INDEX(EXTRATO!$H$2:$H$3000,MATCH($A1738,EXTRATO!$A$2:$A$3000,0))="","",INDEX(EXTRATO!$H$2:$H$3000,MATCH($A1738,EXTRATO!$A$2:$A$3000,0))))</f>
        <v/>
      </c>
      <c r="J1738" s="86" t="str">
        <f t="shared" si="41"/>
        <v/>
      </c>
      <c r="K1738" s="86" t="str">
        <f>IF(AND(A1738="",D1738="",E1738="",F1738=""),"",IF(D1738="","SEM CATEGORIA",IF(E1738="","SEM SUBCATEGORIA",IF(COUNTIFS(CADASTROS!$L$7:$L$93,D1738,CADASTROS!$D$7:$D$93,E1738)=0,"INCOMPATÍVEL","OK"))))</f>
        <v/>
      </c>
    </row>
    <row r="1739" spans="1:11" ht="30" hidden="1" customHeight="1" x14ac:dyDescent="0.25">
      <c r="A1739" s="86" t="str">
        <f>IF(COUNTIF(EXTRATO!$A$2:$A$3000,"BAN-01596")=0,"","BAN-01596")</f>
        <v/>
      </c>
      <c r="B1739" s="85" t="str">
        <f>IF(A1739="","",IF(INDEX(EXTRATO!$C$2:$C$3000,MATCH($A1739,EXTRATO!$A$2:$A$3000,0))="","",INDEX(EXTRATO!$C$2:$C$3000,MATCH($A1739,EXTRATO!$A$2:$A$3000,0))))</f>
        <v/>
      </c>
      <c r="C1739" s="86" t="str">
        <f t="shared" si="40"/>
        <v/>
      </c>
      <c r="D1739" s="81"/>
      <c r="E1739" s="79"/>
      <c r="F1739" s="80" t="str">
        <f>IF(A1739="","",SUMIF(EXTRATO!$A$2:$A$3000,$A1739,EXTRATO!$J$2:$J$3000)+SUMIF(EXTRATO!$A$2:$A$3000,$A1739,EXTRATO!$K$2:$K$3000)+SUMIF(EXTRATO!$A$2:$A$3000,$A1739,EXTRATO!$L$2:$L$3000)+SUMIF(EXTRATO!$A$2:$A$3000,$A1739,EXTRATO!$M$2:$M$3000))</f>
        <v/>
      </c>
      <c r="G1739" s="81" t="str">
        <f>IF(A1739="","",IF(INDEX(EXTRATO!$G$2:$G$3000,MATCH($A1739,EXTRATO!$A$2:$A$3000,0))="","",INDEX(EXTRATO!$G$2:$G$3000,MATCH($A1739,EXTRATO!$A$2:$A$3000,0))))</f>
        <v/>
      </c>
      <c r="H1739" s="86" t="str">
        <f>IF(A1739="","",IF(INDEX(EXTRATO!$F$2:$F$3000,MATCH($A1739,EXTRATO!$A$2:$A$3000,0))="","",INDEX(EXTRATO!$F$2:$F$3000,MATCH($A1739,EXTRATO!$A$2:$A$3000,0))))</f>
        <v/>
      </c>
      <c r="I1739" s="88" t="str">
        <f>IF(A1739="","",IF(INDEX(EXTRATO!$H$2:$H$3000,MATCH($A1739,EXTRATO!$A$2:$A$3000,0))="","",INDEX(EXTRATO!$H$2:$H$3000,MATCH($A1739,EXTRATO!$A$2:$A$3000,0))))</f>
        <v/>
      </c>
      <c r="J1739" s="86" t="str">
        <f t="shared" si="41"/>
        <v/>
      </c>
      <c r="K1739" s="86" t="str">
        <f>IF(AND(A1739="",D1739="",E1739="",F1739=""),"",IF(D1739="","SEM CATEGORIA",IF(E1739="","SEM SUBCATEGORIA",IF(COUNTIFS(CADASTROS!$L$7:$L$93,D1739,CADASTROS!$D$7:$D$93,E1739)=0,"INCOMPATÍVEL","OK"))))</f>
        <v/>
      </c>
    </row>
    <row r="1740" spans="1:11" ht="30" hidden="1" customHeight="1" x14ac:dyDescent="0.25">
      <c r="A1740" s="86" t="str">
        <f>IF(COUNTIF(EXTRATO!$A$2:$A$3000,"BAN-01597")=0,"","BAN-01597")</f>
        <v/>
      </c>
      <c r="B1740" s="85" t="str">
        <f>IF(A1740="","",IF(INDEX(EXTRATO!$C$2:$C$3000,MATCH($A1740,EXTRATO!$A$2:$A$3000,0))="","",INDEX(EXTRATO!$C$2:$C$3000,MATCH($A1740,EXTRATO!$A$2:$A$3000,0))))</f>
        <v/>
      </c>
      <c r="C1740" s="86" t="str">
        <f t="shared" si="40"/>
        <v/>
      </c>
      <c r="D1740" s="81"/>
      <c r="E1740" s="79"/>
      <c r="F1740" s="80" t="str">
        <f>IF(A1740="","",SUMIF(EXTRATO!$A$2:$A$3000,$A1740,EXTRATO!$J$2:$J$3000)+SUMIF(EXTRATO!$A$2:$A$3000,$A1740,EXTRATO!$K$2:$K$3000)+SUMIF(EXTRATO!$A$2:$A$3000,$A1740,EXTRATO!$L$2:$L$3000)+SUMIF(EXTRATO!$A$2:$A$3000,$A1740,EXTRATO!$M$2:$M$3000))</f>
        <v/>
      </c>
      <c r="G1740" s="81" t="str">
        <f>IF(A1740="","",IF(INDEX(EXTRATO!$G$2:$G$3000,MATCH($A1740,EXTRATO!$A$2:$A$3000,0))="","",INDEX(EXTRATO!$G$2:$G$3000,MATCH($A1740,EXTRATO!$A$2:$A$3000,0))))</f>
        <v/>
      </c>
      <c r="H1740" s="86" t="str">
        <f>IF(A1740="","",IF(INDEX(EXTRATO!$F$2:$F$3000,MATCH($A1740,EXTRATO!$A$2:$A$3000,0))="","",INDEX(EXTRATO!$F$2:$F$3000,MATCH($A1740,EXTRATO!$A$2:$A$3000,0))))</f>
        <v/>
      </c>
      <c r="I1740" s="88" t="str">
        <f>IF(A1740="","",IF(INDEX(EXTRATO!$H$2:$H$3000,MATCH($A1740,EXTRATO!$A$2:$A$3000,0))="","",INDEX(EXTRATO!$H$2:$H$3000,MATCH($A1740,EXTRATO!$A$2:$A$3000,0))))</f>
        <v/>
      </c>
      <c r="J1740" s="86" t="str">
        <f t="shared" si="41"/>
        <v/>
      </c>
      <c r="K1740" s="86" t="str">
        <f>IF(AND(A1740="",D1740="",E1740="",F1740=""),"",IF(D1740="","SEM CATEGORIA",IF(E1740="","SEM SUBCATEGORIA",IF(COUNTIFS(CADASTROS!$L$7:$L$93,D1740,CADASTROS!$D$7:$D$93,E1740)=0,"INCOMPATÍVEL","OK"))))</f>
        <v/>
      </c>
    </row>
    <row r="1741" spans="1:11" ht="30" hidden="1" customHeight="1" x14ac:dyDescent="0.25">
      <c r="A1741" s="86" t="str">
        <f>IF(COUNTIF(EXTRATO!$A$2:$A$3000,"BAN-01598")=0,"","BAN-01598")</f>
        <v/>
      </c>
      <c r="B1741" s="85" t="str">
        <f>IF(A1741="","",IF(INDEX(EXTRATO!$C$2:$C$3000,MATCH($A1741,EXTRATO!$A$2:$A$3000,0))="","",INDEX(EXTRATO!$C$2:$C$3000,MATCH($A1741,EXTRATO!$A$2:$A$3000,0))))</f>
        <v/>
      </c>
      <c r="C1741" s="86" t="str">
        <f t="shared" si="40"/>
        <v/>
      </c>
      <c r="D1741" s="81"/>
      <c r="E1741" s="79"/>
      <c r="F1741" s="80" t="str">
        <f>IF(A1741="","",SUMIF(EXTRATO!$A$2:$A$3000,$A1741,EXTRATO!$J$2:$J$3000)+SUMIF(EXTRATO!$A$2:$A$3000,$A1741,EXTRATO!$K$2:$K$3000)+SUMIF(EXTRATO!$A$2:$A$3000,$A1741,EXTRATO!$L$2:$L$3000)+SUMIF(EXTRATO!$A$2:$A$3000,$A1741,EXTRATO!$M$2:$M$3000))</f>
        <v/>
      </c>
      <c r="G1741" s="81" t="str">
        <f>IF(A1741="","",IF(INDEX(EXTRATO!$G$2:$G$3000,MATCH($A1741,EXTRATO!$A$2:$A$3000,0))="","",INDEX(EXTRATO!$G$2:$G$3000,MATCH($A1741,EXTRATO!$A$2:$A$3000,0))))</f>
        <v/>
      </c>
      <c r="H1741" s="86" t="str">
        <f>IF(A1741="","",IF(INDEX(EXTRATO!$F$2:$F$3000,MATCH($A1741,EXTRATO!$A$2:$A$3000,0))="","",INDEX(EXTRATO!$F$2:$F$3000,MATCH($A1741,EXTRATO!$A$2:$A$3000,0))))</f>
        <v/>
      </c>
      <c r="I1741" s="88" t="str">
        <f>IF(A1741="","",IF(INDEX(EXTRATO!$H$2:$H$3000,MATCH($A1741,EXTRATO!$A$2:$A$3000,0))="","",INDEX(EXTRATO!$H$2:$H$3000,MATCH($A1741,EXTRATO!$A$2:$A$3000,0))))</f>
        <v/>
      </c>
      <c r="J1741" s="86" t="str">
        <f t="shared" si="41"/>
        <v/>
      </c>
      <c r="K1741" s="86" t="str">
        <f>IF(AND(A1741="",D1741="",E1741="",F1741=""),"",IF(D1741="","SEM CATEGORIA",IF(E1741="","SEM SUBCATEGORIA",IF(COUNTIFS(CADASTROS!$L$7:$L$93,D1741,CADASTROS!$D$7:$D$93,E1741)=0,"INCOMPATÍVEL","OK"))))</f>
        <v/>
      </c>
    </row>
    <row r="1742" spans="1:11" ht="30" hidden="1" customHeight="1" x14ac:dyDescent="0.25">
      <c r="A1742" s="86" t="str">
        <f>IF(COUNTIF(EXTRATO!$A$2:$A$3000,"BAN-01599")=0,"","BAN-01599")</f>
        <v/>
      </c>
      <c r="B1742" s="85" t="str">
        <f>IF(A1742="","",IF(INDEX(EXTRATO!$C$2:$C$3000,MATCH($A1742,EXTRATO!$A$2:$A$3000,0))="","",INDEX(EXTRATO!$C$2:$C$3000,MATCH($A1742,EXTRATO!$A$2:$A$3000,0))))</f>
        <v/>
      </c>
      <c r="C1742" s="86" t="str">
        <f t="shared" si="40"/>
        <v/>
      </c>
      <c r="D1742" s="81"/>
      <c r="E1742" s="79"/>
      <c r="F1742" s="80" t="str">
        <f>IF(A1742="","",SUMIF(EXTRATO!$A$2:$A$3000,$A1742,EXTRATO!$J$2:$J$3000)+SUMIF(EXTRATO!$A$2:$A$3000,$A1742,EXTRATO!$K$2:$K$3000)+SUMIF(EXTRATO!$A$2:$A$3000,$A1742,EXTRATO!$L$2:$L$3000)+SUMIF(EXTRATO!$A$2:$A$3000,$A1742,EXTRATO!$M$2:$M$3000))</f>
        <v/>
      </c>
      <c r="G1742" s="81" t="str">
        <f>IF(A1742="","",IF(INDEX(EXTRATO!$G$2:$G$3000,MATCH($A1742,EXTRATO!$A$2:$A$3000,0))="","",INDEX(EXTRATO!$G$2:$G$3000,MATCH($A1742,EXTRATO!$A$2:$A$3000,0))))</f>
        <v/>
      </c>
      <c r="H1742" s="86" t="str">
        <f>IF(A1742="","",IF(INDEX(EXTRATO!$F$2:$F$3000,MATCH($A1742,EXTRATO!$A$2:$A$3000,0))="","",INDEX(EXTRATO!$F$2:$F$3000,MATCH($A1742,EXTRATO!$A$2:$A$3000,0))))</f>
        <v/>
      </c>
      <c r="I1742" s="88" t="str">
        <f>IF(A1742="","",IF(INDEX(EXTRATO!$H$2:$H$3000,MATCH($A1742,EXTRATO!$A$2:$A$3000,0))="","",INDEX(EXTRATO!$H$2:$H$3000,MATCH($A1742,EXTRATO!$A$2:$A$3000,0))))</f>
        <v/>
      </c>
      <c r="J1742" s="86" t="str">
        <f t="shared" si="41"/>
        <v/>
      </c>
      <c r="K1742" s="86" t="str">
        <f>IF(AND(A1742="",D1742="",E1742="",F1742=""),"",IF(D1742="","SEM CATEGORIA",IF(E1742="","SEM SUBCATEGORIA",IF(COUNTIFS(CADASTROS!$L$7:$L$93,D1742,CADASTROS!$D$7:$D$93,E1742)=0,"INCOMPATÍVEL","OK"))))</f>
        <v/>
      </c>
    </row>
    <row r="1743" spans="1:11" ht="30" hidden="1" customHeight="1" x14ac:dyDescent="0.25">
      <c r="A1743" s="86" t="str">
        <f>IF(COUNTIF(EXTRATO!$A$2:$A$3000,"BAN-01600")=0,"","BAN-01600")</f>
        <v/>
      </c>
      <c r="B1743" s="85" t="str">
        <f>IF(A1743="","",IF(INDEX(EXTRATO!$C$2:$C$3000,MATCH($A1743,EXTRATO!$A$2:$A$3000,0))="","",INDEX(EXTRATO!$C$2:$C$3000,MATCH($A1743,EXTRATO!$A$2:$A$3000,0))))</f>
        <v/>
      </c>
      <c r="C1743" s="86" t="str">
        <f t="shared" si="40"/>
        <v/>
      </c>
      <c r="D1743" s="81"/>
      <c r="E1743" s="79"/>
      <c r="F1743" s="80" t="str">
        <f>IF(A1743="","",SUMIF(EXTRATO!$A$2:$A$3000,$A1743,EXTRATO!$J$2:$J$3000)+SUMIF(EXTRATO!$A$2:$A$3000,$A1743,EXTRATO!$K$2:$K$3000)+SUMIF(EXTRATO!$A$2:$A$3000,$A1743,EXTRATO!$L$2:$L$3000)+SUMIF(EXTRATO!$A$2:$A$3000,$A1743,EXTRATO!$M$2:$M$3000))</f>
        <v/>
      </c>
      <c r="G1743" s="81" t="str">
        <f>IF(A1743="","",IF(INDEX(EXTRATO!$G$2:$G$3000,MATCH($A1743,EXTRATO!$A$2:$A$3000,0))="","",INDEX(EXTRATO!$G$2:$G$3000,MATCH($A1743,EXTRATO!$A$2:$A$3000,0))))</f>
        <v/>
      </c>
      <c r="H1743" s="86" t="str">
        <f>IF(A1743="","",IF(INDEX(EXTRATO!$F$2:$F$3000,MATCH($A1743,EXTRATO!$A$2:$A$3000,0))="","",INDEX(EXTRATO!$F$2:$F$3000,MATCH($A1743,EXTRATO!$A$2:$A$3000,0))))</f>
        <v/>
      </c>
      <c r="I1743" s="88" t="str">
        <f>IF(A1743="","",IF(INDEX(EXTRATO!$H$2:$H$3000,MATCH($A1743,EXTRATO!$A$2:$A$3000,0))="","",INDEX(EXTRATO!$H$2:$H$3000,MATCH($A1743,EXTRATO!$A$2:$A$3000,0))))</f>
        <v/>
      </c>
      <c r="J1743" s="86" t="str">
        <f t="shared" si="41"/>
        <v/>
      </c>
      <c r="K1743" s="86" t="str">
        <f>IF(AND(A1743="",D1743="",E1743="",F1743=""),"",IF(D1743="","SEM CATEGORIA",IF(E1743="","SEM SUBCATEGORIA",IF(COUNTIFS(CADASTROS!$L$7:$L$93,D1743,CADASTROS!$D$7:$D$93,E1743)=0,"INCOMPATÍVEL","OK"))))</f>
        <v/>
      </c>
    </row>
    <row r="1744" spans="1:11" ht="30" hidden="1" customHeight="1" x14ac:dyDescent="0.25">
      <c r="A1744" s="86" t="str">
        <f>IF(COUNTIF(EXTRATO!$A$2:$A$3000,"BAN-01601")=0,"","BAN-01601")</f>
        <v/>
      </c>
      <c r="B1744" s="85" t="str">
        <f>IF(A1744="","",IF(INDEX(EXTRATO!$C$2:$C$3000,MATCH($A1744,EXTRATO!$A$2:$A$3000,0))="","",INDEX(EXTRATO!$C$2:$C$3000,MATCH($A1744,EXTRATO!$A$2:$A$3000,0))))</f>
        <v/>
      </c>
      <c r="C1744" s="86" t="str">
        <f t="shared" si="40"/>
        <v/>
      </c>
      <c r="D1744" s="81"/>
      <c r="E1744" s="79"/>
      <c r="F1744" s="80" t="str">
        <f>IF(A1744="","",SUMIF(EXTRATO!$A$2:$A$3000,$A1744,EXTRATO!$J$2:$J$3000)+SUMIF(EXTRATO!$A$2:$A$3000,$A1744,EXTRATO!$K$2:$K$3000)+SUMIF(EXTRATO!$A$2:$A$3000,$A1744,EXTRATO!$L$2:$L$3000)+SUMIF(EXTRATO!$A$2:$A$3000,$A1744,EXTRATO!$M$2:$M$3000))</f>
        <v/>
      </c>
      <c r="G1744" s="81" t="str">
        <f>IF(A1744="","",IF(INDEX(EXTRATO!$G$2:$G$3000,MATCH($A1744,EXTRATO!$A$2:$A$3000,0))="","",INDEX(EXTRATO!$G$2:$G$3000,MATCH($A1744,EXTRATO!$A$2:$A$3000,0))))</f>
        <v/>
      </c>
      <c r="H1744" s="86" t="str">
        <f>IF(A1744="","",IF(INDEX(EXTRATO!$F$2:$F$3000,MATCH($A1744,EXTRATO!$A$2:$A$3000,0))="","",INDEX(EXTRATO!$F$2:$F$3000,MATCH($A1744,EXTRATO!$A$2:$A$3000,0))))</f>
        <v/>
      </c>
      <c r="I1744" s="88" t="str">
        <f>IF(A1744="","",IF(INDEX(EXTRATO!$H$2:$H$3000,MATCH($A1744,EXTRATO!$A$2:$A$3000,0))="","",INDEX(EXTRATO!$H$2:$H$3000,MATCH($A1744,EXTRATO!$A$2:$A$3000,0))))</f>
        <v/>
      </c>
      <c r="J1744" s="86" t="str">
        <f t="shared" si="41"/>
        <v/>
      </c>
      <c r="K1744" s="86" t="str">
        <f>IF(AND(A1744="",D1744="",E1744="",F1744=""),"",IF(D1744="","SEM CATEGORIA",IF(E1744="","SEM SUBCATEGORIA",IF(COUNTIFS(CADASTROS!$L$7:$L$93,D1744,CADASTROS!$D$7:$D$93,E1744)=0,"INCOMPATÍVEL","OK"))))</f>
        <v/>
      </c>
    </row>
    <row r="1745" spans="1:11" ht="30" hidden="1" customHeight="1" x14ac:dyDescent="0.25">
      <c r="A1745" s="86" t="str">
        <f>IF(COUNTIF(EXTRATO!$A$2:$A$3000,"BAN-01602")=0,"","BAN-01602")</f>
        <v/>
      </c>
      <c r="B1745" s="85" t="str">
        <f>IF(A1745="","",IF(INDEX(EXTRATO!$C$2:$C$3000,MATCH($A1745,EXTRATO!$A$2:$A$3000,0))="","",INDEX(EXTRATO!$C$2:$C$3000,MATCH($A1745,EXTRATO!$A$2:$A$3000,0))))</f>
        <v/>
      </c>
      <c r="C1745" s="86" t="str">
        <f t="shared" si="40"/>
        <v/>
      </c>
      <c r="D1745" s="81"/>
      <c r="E1745" s="79"/>
      <c r="F1745" s="80" t="str">
        <f>IF(A1745="","",SUMIF(EXTRATO!$A$2:$A$3000,$A1745,EXTRATO!$J$2:$J$3000)+SUMIF(EXTRATO!$A$2:$A$3000,$A1745,EXTRATO!$K$2:$K$3000)+SUMIF(EXTRATO!$A$2:$A$3000,$A1745,EXTRATO!$L$2:$L$3000)+SUMIF(EXTRATO!$A$2:$A$3000,$A1745,EXTRATO!$M$2:$M$3000))</f>
        <v/>
      </c>
      <c r="G1745" s="81" t="str">
        <f>IF(A1745="","",IF(INDEX(EXTRATO!$G$2:$G$3000,MATCH($A1745,EXTRATO!$A$2:$A$3000,0))="","",INDEX(EXTRATO!$G$2:$G$3000,MATCH($A1745,EXTRATO!$A$2:$A$3000,0))))</f>
        <v/>
      </c>
      <c r="H1745" s="86" t="str">
        <f>IF(A1745="","",IF(INDEX(EXTRATO!$F$2:$F$3000,MATCH($A1745,EXTRATO!$A$2:$A$3000,0))="","",INDEX(EXTRATO!$F$2:$F$3000,MATCH($A1745,EXTRATO!$A$2:$A$3000,0))))</f>
        <v/>
      </c>
      <c r="I1745" s="88" t="str">
        <f>IF(A1745="","",IF(INDEX(EXTRATO!$H$2:$H$3000,MATCH($A1745,EXTRATO!$A$2:$A$3000,0))="","",INDEX(EXTRATO!$H$2:$H$3000,MATCH($A1745,EXTRATO!$A$2:$A$3000,0))))</f>
        <v/>
      </c>
      <c r="J1745" s="86" t="str">
        <f t="shared" si="41"/>
        <v/>
      </c>
      <c r="K1745" s="86" t="str">
        <f>IF(AND(A1745="",D1745="",E1745="",F1745=""),"",IF(D1745="","SEM CATEGORIA",IF(E1745="","SEM SUBCATEGORIA",IF(COUNTIFS(CADASTROS!$L$7:$L$93,D1745,CADASTROS!$D$7:$D$93,E1745)=0,"INCOMPATÍVEL","OK"))))</f>
        <v/>
      </c>
    </row>
    <row r="1746" spans="1:11" ht="30" hidden="1" customHeight="1" x14ac:dyDescent="0.25">
      <c r="A1746" s="86" t="str">
        <f>IF(COUNTIF(EXTRATO!$A$2:$A$3000,"BAN-01603")=0,"","BAN-01603")</f>
        <v/>
      </c>
      <c r="B1746" s="85" t="str">
        <f>IF(A1746="","",IF(INDEX(EXTRATO!$C$2:$C$3000,MATCH($A1746,EXTRATO!$A$2:$A$3000,0))="","",INDEX(EXTRATO!$C$2:$C$3000,MATCH($A1746,EXTRATO!$A$2:$A$3000,0))))</f>
        <v/>
      </c>
      <c r="C1746" s="86" t="str">
        <f t="shared" si="40"/>
        <v/>
      </c>
      <c r="D1746" s="81"/>
      <c r="E1746" s="79"/>
      <c r="F1746" s="80" t="str">
        <f>IF(A1746="","",SUMIF(EXTRATO!$A$2:$A$3000,$A1746,EXTRATO!$J$2:$J$3000)+SUMIF(EXTRATO!$A$2:$A$3000,$A1746,EXTRATO!$K$2:$K$3000)+SUMIF(EXTRATO!$A$2:$A$3000,$A1746,EXTRATO!$L$2:$L$3000)+SUMIF(EXTRATO!$A$2:$A$3000,$A1746,EXTRATO!$M$2:$M$3000))</f>
        <v/>
      </c>
      <c r="G1746" s="81" t="str">
        <f>IF(A1746="","",IF(INDEX(EXTRATO!$G$2:$G$3000,MATCH($A1746,EXTRATO!$A$2:$A$3000,0))="","",INDEX(EXTRATO!$G$2:$G$3000,MATCH($A1746,EXTRATO!$A$2:$A$3000,0))))</f>
        <v/>
      </c>
      <c r="H1746" s="86" t="str">
        <f>IF(A1746="","",IF(INDEX(EXTRATO!$F$2:$F$3000,MATCH($A1746,EXTRATO!$A$2:$A$3000,0))="","",INDEX(EXTRATO!$F$2:$F$3000,MATCH($A1746,EXTRATO!$A$2:$A$3000,0))))</f>
        <v/>
      </c>
      <c r="I1746" s="88" t="str">
        <f>IF(A1746="","",IF(INDEX(EXTRATO!$H$2:$H$3000,MATCH($A1746,EXTRATO!$A$2:$A$3000,0))="","",INDEX(EXTRATO!$H$2:$H$3000,MATCH($A1746,EXTRATO!$A$2:$A$3000,0))))</f>
        <v/>
      </c>
      <c r="J1746" s="86" t="str">
        <f t="shared" si="41"/>
        <v/>
      </c>
      <c r="K1746" s="86" t="str">
        <f>IF(AND(A1746="",D1746="",E1746="",F1746=""),"",IF(D1746="","SEM CATEGORIA",IF(E1746="","SEM SUBCATEGORIA",IF(COUNTIFS(CADASTROS!$L$7:$L$93,D1746,CADASTROS!$D$7:$D$93,E1746)=0,"INCOMPATÍVEL","OK"))))</f>
        <v/>
      </c>
    </row>
    <row r="1747" spans="1:11" ht="30" hidden="1" customHeight="1" x14ac:dyDescent="0.25">
      <c r="A1747" s="86" t="str">
        <f>IF(COUNTIF(EXTRATO!$A$2:$A$3000,"BAN-01604")=0,"","BAN-01604")</f>
        <v/>
      </c>
      <c r="B1747" s="85" t="str">
        <f>IF(A1747="","",IF(INDEX(EXTRATO!$C$2:$C$3000,MATCH($A1747,EXTRATO!$A$2:$A$3000,0))="","",INDEX(EXTRATO!$C$2:$C$3000,MATCH($A1747,EXTRATO!$A$2:$A$3000,0))))</f>
        <v/>
      </c>
      <c r="C1747" s="86" t="str">
        <f t="shared" si="40"/>
        <v/>
      </c>
      <c r="D1747" s="81"/>
      <c r="E1747" s="79"/>
      <c r="F1747" s="80" t="str">
        <f>IF(A1747="","",SUMIF(EXTRATO!$A$2:$A$3000,$A1747,EXTRATO!$J$2:$J$3000)+SUMIF(EXTRATO!$A$2:$A$3000,$A1747,EXTRATO!$K$2:$K$3000)+SUMIF(EXTRATO!$A$2:$A$3000,$A1747,EXTRATO!$L$2:$L$3000)+SUMIF(EXTRATO!$A$2:$A$3000,$A1747,EXTRATO!$M$2:$M$3000))</f>
        <v/>
      </c>
      <c r="G1747" s="81" t="str">
        <f>IF(A1747="","",IF(INDEX(EXTRATO!$G$2:$G$3000,MATCH($A1747,EXTRATO!$A$2:$A$3000,0))="","",INDEX(EXTRATO!$G$2:$G$3000,MATCH($A1747,EXTRATO!$A$2:$A$3000,0))))</f>
        <v/>
      </c>
      <c r="H1747" s="86" t="str">
        <f>IF(A1747="","",IF(INDEX(EXTRATO!$F$2:$F$3000,MATCH($A1747,EXTRATO!$A$2:$A$3000,0))="","",INDEX(EXTRATO!$F$2:$F$3000,MATCH($A1747,EXTRATO!$A$2:$A$3000,0))))</f>
        <v/>
      </c>
      <c r="I1747" s="88" t="str">
        <f>IF(A1747="","",IF(INDEX(EXTRATO!$H$2:$H$3000,MATCH($A1747,EXTRATO!$A$2:$A$3000,0))="","",INDEX(EXTRATO!$H$2:$H$3000,MATCH($A1747,EXTRATO!$A$2:$A$3000,0))))</f>
        <v/>
      </c>
      <c r="J1747" s="86" t="str">
        <f t="shared" si="41"/>
        <v/>
      </c>
      <c r="K1747" s="86" t="str">
        <f>IF(AND(A1747="",D1747="",E1747="",F1747=""),"",IF(D1747="","SEM CATEGORIA",IF(E1747="","SEM SUBCATEGORIA",IF(COUNTIFS(CADASTROS!$L$7:$L$93,D1747,CADASTROS!$D$7:$D$93,E1747)=0,"INCOMPATÍVEL","OK"))))</f>
        <v/>
      </c>
    </row>
    <row r="1748" spans="1:11" ht="30" hidden="1" customHeight="1" x14ac:dyDescent="0.25">
      <c r="A1748" s="86" t="str">
        <f>IF(COUNTIF(EXTRATO!$A$2:$A$3000,"BAN-01605")=0,"","BAN-01605")</f>
        <v/>
      </c>
      <c r="B1748" s="85" t="str">
        <f>IF(A1748="","",IF(INDEX(EXTRATO!$C$2:$C$3000,MATCH($A1748,EXTRATO!$A$2:$A$3000,0))="","",INDEX(EXTRATO!$C$2:$C$3000,MATCH($A1748,EXTRATO!$A$2:$A$3000,0))))</f>
        <v/>
      </c>
      <c r="C1748" s="86" t="str">
        <f t="shared" si="40"/>
        <v/>
      </c>
      <c r="D1748" s="81"/>
      <c r="E1748" s="79"/>
      <c r="F1748" s="80" t="str">
        <f>IF(A1748="","",SUMIF(EXTRATO!$A$2:$A$3000,$A1748,EXTRATO!$J$2:$J$3000)+SUMIF(EXTRATO!$A$2:$A$3000,$A1748,EXTRATO!$K$2:$K$3000)+SUMIF(EXTRATO!$A$2:$A$3000,$A1748,EXTRATO!$L$2:$L$3000)+SUMIF(EXTRATO!$A$2:$A$3000,$A1748,EXTRATO!$M$2:$M$3000))</f>
        <v/>
      </c>
      <c r="G1748" s="81" t="str">
        <f>IF(A1748="","",IF(INDEX(EXTRATO!$G$2:$G$3000,MATCH($A1748,EXTRATO!$A$2:$A$3000,0))="","",INDEX(EXTRATO!$G$2:$G$3000,MATCH($A1748,EXTRATO!$A$2:$A$3000,0))))</f>
        <v/>
      </c>
      <c r="H1748" s="86" t="str">
        <f>IF(A1748="","",IF(INDEX(EXTRATO!$F$2:$F$3000,MATCH($A1748,EXTRATO!$A$2:$A$3000,0))="","",INDEX(EXTRATO!$F$2:$F$3000,MATCH($A1748,EXTRATO!$A$2:$A$3000,0))))</f>
        <v/>
      </c>
      <c r="I1748" s="88" t="str">
        <f>IF(A1748="","",IF(INDEX(EXTRATO!$H$2:$H$3000,MATCH($A1748,EXTRATO!$A$2:$A$3000,0))="","",INDEX(EXTRATO!$H$2:$H$3000,MATCH($A1748,EXTRATO!$A$2:$A$3000,0))))</f>
        <v/>
      </c>
      <c r="J1748" s="86" t="str">
        <f t="shared" si="41"/>
        <v/>
      </c>
      <c r="K1748" s="86" t="str">
        <f>IF(AND(A1748="",D1748="",E1748="",F1748=""),"",IF(D1748="","SEM CATEGORIA",IF(E1748="","SEM SUBCATEGORIA",IF(COUNTIFS(CADASTROS!$L$7:$L$93,D1748,CADASTROS!$D$7:$D$93,E1748)=0,"INCOMPATÍVEL","OK"))))</f>
        <v/>
      </c>
    </row>
    <row r="1749" spans="1:11" ht="30" hidden="1" customHeight="1" x14ac:dyDescent="0.25">
      <c r="A1749" s="86" t="str">
        <f>IF(COUNTIF(EXTRATO!$A$2:$A$3000,"BAN-01606")=0,"","BAN-01606")</f>
        <v/>
      </c>
      <c r="B1749" s="85" t="str">
        <f>IF(A1749="","",IF(INDEX(EXTRATO!$C$2:$C$3000,MATCH($A1749,EXTRATO!$A$2:$A$3000,0))="","",INDEX(EXTRATO!$C$2:$C$3000,MATCH($A1749,EXTRATO!$A$2:$A$3000,0))))</f>
        <v/>
      </c>
      <c r="C1749" s="86" t="str">
        <f t="shared" ref="C1749:C1812" si="42">IF(B1749="","",MONTH(B1749))</f>
        <v/>
      </c>
      <c r="D1749" s="81"/>
      <c r="E1749" s="79"/>
      <c r="F1749" s="80" t="str">
        <f>IF(A1749="","",SUMIF(EXTRATO!$A$2:$A$3000,$A1749,EXTRATO!$J$2:$J$3000)+SUMIF(EXTRATO!$A$2:$A$3000,$A1749,EXTRATO!$K$2:$K$3000)+SUMIF(EXTRATO!$A$2:$A$3000,$A1749,EXTRATO!$L$2:$L$3000)+SUMIF(EXTRATO!$A$2:$A$3000,$A1749,EXTRATO!$M$2:$M$3000))</f>
        <v/>
      </c>
      <c r="G1749" s="81" t="str">
        <f>IF(A1749="","",IF(INDEX(EXTRATO!$G$2:$G$3000,MATCH($A1749,EXTRATO!$A$2:$A$3000,0))="","",INDEX(EXTRATO!$G$2:$G$3000,MATCH($A1749,EXTRATO!$A$2:$A$3000,0))))</f>
        <v/>
      </c>
      <c r="H1749" s="86" t="str">
        <f>IF(A1749="","",IF(INDEX(EXTRATO!$F$2:$F$3000,MATCH($A1749,EXTRATO!$A$2:$A$3000,0))="","",INDEX(EXTRATO!$F$2:$F$3000,MATCH($A1749,EXTRATO!$A$2:$A$3000,0))))</f>
        <v/>
      </c>
      <c r="I1749" s="88" t="str">
        <f>IF(A1749="","",IF(INDEX(EXTRATO!$H$2:$H$3000,MATCH($A1749,EXTRATO!$A$2:$A$3000,0))="","",INDEX(EXTRATO!$H$2:$H$3000,MATCH($A1749,EXTRATO!$A$2:$A$3000,0))))</f>
        <v/>
      </c>
      <c r="J1749" s="86" t="str">
        <f t="shared" si="41"/>
        <v/>
      </c>
      <c r="K1749" s="86" t="str">
        <f>IF(AND(A1749="",D1749="",E1749="",F1749=""),"",IF(D1749="","SEM CATEGORIA",IF(E1749="","SEM SUBCATEGORIA",IF(COUNTIFS(CADASTROS!$L$7:$L$93,D1749,CADASTROS!$D$7:$D$93,E1749)=0,"INCOMPATÍVEL","OK"))))</f>
        <v/>
      </c>
    </row>
    <row r="1750" spans="1:11" ht="30" hidden="1" customHeight="1" x14ac:dyDescent="0.25">
      <c r="A1750" s="86" t="str">
        <f>IF(COUNTIF(EXTRATO!$A$2:$A$3000,"BAN-01607")=0,"","BAN-01607")</f>
        <v/>
      </c>
      <c r="B1750" s="85" t="str">
        <f>IF(A1750="","",IF(INDEX(EXTRATO!$C$2:$C$3000,MATCH($A1750,EXTRATO!$A$2:$A$3000,0))="","",INDEX(EXTRATO!$C$2:$C$3000,MATCH($A1750,EXTRATO!$A$2:$A$3000,0))))</f>
        <v/>
      </c>
      <c r="C1750" s="86" t="str">
        <f t="shared" si="42"/>
        <v/>
      </c>
      <c r="D1750" s="81"/>
      <c r="E1750" s="79"/>
      <c r="F1750" s="80" t="str">
        <f>IF(A1750="","",SUMIF(EXTRATO!$A$2:$A$3000,$A1750,EXTRATO!$J$2:$J$3000)+SUMIF(EXTRATO!$A$2:$A$3000,$A1750,EXTRATO!$K$2:$K$3000)+SUMIF(EXTRATO!$A$2:$A$3000,$A1750,EXTRATO!$L$2:$L$3000)+SUMIF(EXTRATO!$A$2:$A$3000,$A1750,EXTRATO!$M$2:$M$3000))</f>
        <v/>
      </c>
      <c r="G1750" s="81" t="str">
        <f>IF(A1750="","",IF(INDEX(EXTRATO!$G$2:$G$3000,MATCH($A1750,EXTRATO!$A$2:$A$3000,0))="","",INDEX(EXTRATO!$G$2:$G$3000,MATCH($A1750,EXTRATO!$A$2:$A$3000,0))))</f>
        <v/>
      </c>
      <c r="H1750" s="86" t="str">
        <f>IF(A1750="","",IF(INDEX(EXTRATO!$F$2:$F$3000,MATCH($A1750,EXTRATO!$A$2:$A$3000,0))="","",INDEX(EXTRATO!$F$2:$F$3000,MATCH($A1750,EXTRATO!$A$2:$A$3000,0))))</f>
        <v/>
      </c>
      <c r="I1750" s="88" t="str">
        <f>IF(A1750="","",IF(INDEX(EXTRATO!$H$2:$H$3000,MATCH($A1750,EXTRATO!$A$2:$A$3000,0))="","",INDEX(EXTRATO!$H$2:$H$3000,MATCH($A1750,EXTRATO!$A$2:$A$3000,0))))</f>
        <v/>
      </c>
      <c r="J1750" s="86" t="str">
        <f t="shared" si="41"/>
        <v/>
      </c>
      <c r="K1750" s="86" t="str">
        <f>IF(AND(A1750="",D1750="",E1750="",F1750=""),"",IF(D1750="","SEM CATEGORIA",IF(E1750="","SEM SUBCATEGORIA",IF(COUNTIFS(CADASTROS!$L$7:$L$93,D1750,CADASTROS!$D$7:$D$93,E1750)=0,"INCOMPATÍVEL","OK"))))</f>
        <v/>
      </c>
    </row>
    <row r="1751" spans="1:11" ht="30" hidden="1" customHeight="1" x14ac:dyDescent="0.25">
      <c r="A1751" s="86" t="str">
        <f>IF(COUNTIF(EXTRATO!$A$2:$A$3000,"BAN-01608")=0,"","BAN-01608")</f>
        <v/>
      </c>
      <c r="B1751" s="85" t="str">
        <f>IF(A1751="","",IF(INDEX(EXTRATO!$C$2:$C$3000,MATCH($A1751,EXTRATO!$A$2:$A$3000,0))="","",INDEX(EXTRATO!$C$2:$C$3000,MATCH($A1751,EXTRATO!$A$2:$A$3000,0))))</f>
        <v/>
      </c>
      <c r="C1751" s="86" t="str">
        <f t="shared" si="42"/>
        <v/>
      </c>
      <c r="D1751" s="81"/>
      <c r="E1751" s="79"/>
      <c r="F1751" s="80" t="str">
        <f>IF(A1751="","",SUMIF(EXTRATO!$A$2:$A$3000,$A1751,EXTRATO!$J$2:$J$3000)+SUMIF(EXTRATO!$A$2:$A$3000,$A1751,EXTRATO!$K$2:$K$3000)+SUMIF(EXTRATO!$A$2:$A$3000,$A1751,EXTRATO!$L$2:$L$3000)+SUMIF(EXTRATO!$A$2:$A$3000,$A1751,EXTRATO!$M$2:$M$3000))</f>
        <v/>
      </c>
      <c r="G1751" s="81" t="str">
        <f>IF(A1751="","",IF(INDEX(EXTRATO!$G$2:$G$3000,MATCH($A1751,EXTRATO!$A$2:$A$3000,0))="","",INDEX(EXTRATO!$G$2:$G$3000,MATCH($A1751,EXTRATO!$A$2:$A$3000,0))))</f>
        <v/>
      </c>
      <c r="H1751" s="86" t="str">
        <f>IF(A1751="","",IF(INDEX(EXTRATO!$F$2:$F$3000,MATCH($A1751,EXTRATO!$A$2:$A$3000,0))="","",INDEX(EXTRATO!$F$2:$F$3000,MATCH($A1751,EXTRATO!$A$2:$A$3000,0))))</f>
        <v/>
      </c>
      <c r="I1751" s="88" t="str">
        <f>IF(A1751="","",IF(INDEX(EXTRATO!$H$2:$H$3000,MATCH($A1751,EXTRATO!$A$2:$A$3000,0))="","",INDEX(EXTRATO!$H$2:$H$3000,MATCH($A1751,EXTRATO!$A$2:$A$3000,0))))</f>
        <v/>
      </c>
      <c r="J1751" s="86" t="str">
        <f t="shared" si="41"/>
        <v/>
      </c>
      <c r="K1751" s="86" t="str">
        <f>IF(AND(A1751="",D1751="",E1751="",F1751=""),"",IF(D1751="","SEM CATEGORIA",IF(E1751="","SEM SUBCATEGORIA",IF(COUNTIFS(CADASTROS!$L$7:$L$93,D1751,CADASTROS!$D$7:$D$93,E1751)=0,"INCOMPATÍVEL","OK"))))</f>
        <v/>
      </c>
    </row>
    <row r="1752" spans="1:11" ht="30" hidden="1" customHeight="1" x14ac:dyDescent="0.25">
      <c r="A1752" s="86" t="str">
        <f>IF(COUNTIF(EXTRATO!$A$2:$A$3000,"BAN-01609")=0,"","BAN-01609")</f>
        <v/>
      </c>
      <c r="B1752" s="85" t="str">
        <f>IF(A1752="","",IF(INDEX(EXTRATO!$C$2:$C$3000,MATCH($A1752,EXTRATO!$A$2:$A$3000,0))="","",INDEX(EXTRATO!$C$2:$C$3000,MATCH($A1752,EXTRATO!$A$2:$A$3000,0))))</f>
        <v/>
      </c>
      <c r="C1752" s="86" t="str">
        <f t="shared" si="42"/>
        <v/>
      </c>
      <c r="D1752" s="81"/>
      <c r="E1752" s="79"/>
      <c r="F1752" s="80" t="str">
        <f>IF(A1752="","",SUMIF(EXTRATO!$A$2:$A$3000,$A1752,EXTRATO!$J$2:$J$3000)+SUMIF(EXTRATO!$A$2:$A$3000,$A1752,EXTRATO!$K$2:$K$3000)+SUMIF(EXTRATO!$A$2:$A$3000,$A1752,EXTRATO!$L$2:$L$3000)+SUMIF(EXTRATO!$A$2:$A$3000,$A1752,EXTRATO!$M$2:$M$3000))</f>
        <v/>
      </c>
      <c r="G1752" s="81" t="str">
        <f>IF(A1752="","",IF(INDEX(EXTRATO!$G$2:$G$3000,MATCH($A1752,EXTRATO!$A$2:$A$3000,0))="","",INDEX(EXTRATO!$G$2:$G$3000,MATCH($A1752,EXTRATO!$A$2:$A$3000,0))))</f>
        <v/>
      </c>
      <c r="H1752" s="86" t="str">
        <f>IF(A1752="","",IF(INDEX(EXTRATO!$F$2:$F$3000,MATCH($A1752,EXTRATO!$A$2:$A$3000,0))="","",INDEX(EXTRATO!$F$2:$F$3000,MATCH($A1752,EXTRATO!$A$2:$A$3000,0))))</f>
        <v/>
      </c>
      <c r="I1752" s="88" t="str">
        <f>IF(A1752="","",IF(INDEX(EXTRATO!$H$2:$H$3000,MATCH($A1752,EXTRATO!$A$2:$A$3000,0))="","",INDEX(EXTRATO!$H$2:$H$3000,MATCH($A1752,EXTRATO!$A$2:$A$3000,0))))</f>
        <v/>
      </c>
      <c r="J1752" s="86" t="str">
        <f t="shared" si="41"/>
        <v/>
      </c>
      <c r="K1752" s="86" t="str">
        <f>IF(AND(A1752="",D1752="",E1752="",F1752=""),"",IF(D1752="","SEM CATEGORIA",IF(E1752="","SEM SUBCATEGORIA",IF(COUNTIFS(CADASTROS!$L$7:$L$93,D1752,CADASTROS!$D$7:$D$93,E1752)=0,"INCOMPATÍVEL","OK"))))</f>
        <v/>
      </c>
    </row>
    <row r="1753" spans="1:11" ht="30" hidden="1" customHeight="1" x14ac:dyDescent="0.25">
      <c r="A1753" s="86" t="str">
        <f>IF(COUNTIF(EXTRATO!$A$2:$A$3000,"BAN-01610")=0,"","BAN-01610")</f>
        <v/>
      </c>
      <c r="B1753" s="85" t="str">
        <f>IF(A1753="","",IF(INDEX(EXTRATO!$C$2:$C$3000,MATCH($A1753,EXTRATO!$A$2:$A$3000,0))="","",INDEX(EXTRATO!$C$2:$C$3000,MATCH($A1753,EXTRATO!$A$2:$A$3000,0))))</f>
        <v/>
      </c>
      <c r="C1753" s="86" t="str">
        <f t="shared" si="42"/>
        <v/>
      </c>
      <c r="D1753" s="81"/>
      <c r="E1753" s="79"/>
      <c r="F1753" s="80" t="str">
        <f>IF(A1753="","",SUMIF(EXTRATO!$A$2:$A$3000,$A1753,EXTRATO!$J$2:$J$3000)+SUMIF(EXTRATO!$A$2:$A$3000,$A1753,EXTRATO!$K$2:$K$3000)+SUMIF(EXTRATO!$A$2:$A$3000,$A1753,EXTRATO!$L$2:$L$3000)+SUMIF(EXTRATO!$A$2:$A$3000,$A1753,EXTRATO!$M$2:$M$3000))</f>
        <v/>
      </c>
      <c r="G1753" s="81" t="str">
        <f>IF(A1753="","",IF(INDEX(EXTRATO!$G$2:$G$3000,MATCH($A1753,EXTRATO!$A$2:$A$3000,0))="","",INDEX(EXTRATO!$G$2:$G$3000,MATCH($A1753,EXTRATO!$A$2:$A$3000,0))))</f>
        <v/>
      </c>
      <c r="H1753" s="86" t="str">
        <f>IF(A1753="","",IF(INDEX(EXTRATO!$F$2:$F$3000,MATCH($A1753,EXTRATO!$A$2:$A$3000,0))="","",INDEX(EXTRATO!$F$2:$F$3000,MATCH($A1753,EXTRATO!$A$2:$A$3000,0))))</f>
        <v/>
      </c>
      <c r="I1753" s="88" t="str">
        <f>IF(A1753="","",IF(INDEX(EXTRATO!$H$2:$H$3000,MATCH($A1753,EXTRATO!$A$2:$A$3000,0))="","",INDEX(EXTRATO!$H$2:$H$3000,MATCH($A1753,EXTRATO!$A$2:$A$3000,0))))</f>
        <v/>
      </c>
      <c r="J1753" s="86" t="str">
        <f t="shared" si="41"/>
        <v/>
      </c>
      <c r="K1753" s="86" t="str">
        <f>IF(AND(A1753="",D1753="",E1753="",F1753=""),"",IF(D1753="","SEM CATEGORIA",IF(E1753="","SEM SUBCATEGORIA",IF(COUNTIFS(CADASTROS!$L$7:$L$93,D1753,CADASTROS!$D$7:$D$93,E1753)=0,"INCOMPATÍVEL","OK"))))</f>
        <v/>
      </c>
    </row>
    <row r="1754" spans="1:11" ht="30" hidden="1" customHeight="1" x14ac:dyDescent="0.25">
      <c r="A1754" s="86" t="str">
        <f>IF(COUNTIF(EXTRATO!$A$2:$A$3000,"BAN-01611")=0,"","BAN-01611")</f>
        <v/>
      </c>
      <c r="B1754" s="85" t="str">
        <f>IF(A1754="","",IF(INDEX(EXTRATO!$C$2:$C$3000,MATCH($A1754,EXTRATO!$A$2:$A$3000,0))="","",INDEX(EXTRATO!$C$2:$C$3000,MATCH($A1754,EXTRATO!$A$2:$A$3000,0))))</f>
        <v/>
      </c>
      <c r="C1754" s="86" t="str">
        <f t="shared" si="42"/>
        <v/>
      </c>
      <c r="D1754" s="81"/>
      <c r="E1754" s="79"/>
      <c r="F1754" s="80" t="str">
        <f>IF(A1754="","",SUMIF(EXTRATO!$A$2:$A$3000,$A1754,EXTRATO!$J$2:$J$3000)+SUMIF(EXTRATO!$A$2:$A$3000,$A1754,EXTRATO!$K$2:$K$3000)+SUMIF(EXTRATO!$A$2:$A$3000,$A1754,EXTRATO!$L$2:$L$3000)+SUMIF(EXTRATO!$A$2:$A$3000,$A1754,EXTRATO!$M$2:$M$3000))</f>
        <v/>
      </c>
      <c r="G1754" s="81" t="str">
        <f>IF(A1754="","",IF(INDEX(EXTRATO!$G$2:$G$3000,MATCH($A1754,EXTRATO!$A$2:$A$3000,0))="","",INDEX(EXTRATO!$G$2:$G$3000,MATCH($A1754,EXTRATO!$A$2:$A$3000,0))))</f>
        <v/>
      </c>
      <c r="H1754" s="86" t="str">
        <f>IF(A1754="","",IF(INDEX(EXTRATO!$F$2:$F$3000,MATCH($A1754,EXTRATO!$A$2:$A$3000,0))="","",INDEX(EXTRATO!$F$2:$F$3000,MATCH($A1754,EXTRATO!$A$2:$A$3000,0))))</f>
        <v/>
      </c>
      <c r="I1754" s="88" t="str">
        <f>IF(A1754="","",IF(INDEX(EXTRATO!$H$2:$H$3000,MATCH($A1754,EXTRATO!$A$2:$A$3000,0))="","",INDEX(EXTRATO!$H$2:$H$3000,MATCH($A1754,EXTRATO!$A$2:$A$3000,0))))</f>
        <v/>
      </c>
      <c r="J1754" s="86" t="str">
        <f t="shared" si="41"/>
        <v/>
      </c>
      <c r="K1754" s="86" t="str">
        <f>IF(AND(A1754="",D1754="",E1754="",F1754=""),"",IF(D1754="","SEM CATEGORIA",IF(E1754="","SEM SUBCATEGORIA",IF(COUNTIFS(CADASTROS!$L$7:$L$93,D1754,CADASTROS!$D$7:$D$93,E1754)=0,"INCOMPATÍVEL","OK"))))</f>
        <v/>
      </c>
    </row>
    <row r="1755" spans="1:11" ht="30" hidden="1" customHeight="1" x14ac:dyDescent="0.25">
      <c r="A1755" s="86" t="str">
        <f>IF(COUNTIF(EXTRATO!$A$2:$A$3000,"BAN-01612")=0,"","BAN-01612")</f>
        <v/>
      </c>
      <c r="B1755" s="85" t="str">
        <f>IF(A1755="","",IF(INDEX(EXTRATO!$C$2:$C$3000,MATCH($A1755,EXTRATO!$A$2:$A$3000,0))="","",INDEX(EXTRATO!$C$2:$C$3000,MATCH($A1755,EXTRATO!$A$2:$A$3000,0))))</f>
        <v/>
      </c>
      <c r="C1755" s="86" t="str">
        <f t="shared" si="42"/>
        <v/>
      </c>
      <c r="D1755" s="81"/>
      <c r="E1755" s="79"/>
      <c r="F1755" s="80" t="str">
        <f>IF(A1755="","",SUMIF(EXTRATO!$A$2:$A$3000,$A1755,EXTRATO!$J$2:$J$3000)+SUMIF(EXTRATO!$A$2:$A$3000,$A1755,EXTRATO!$K$2:$K$3000)+SUMIF(EXTRATO!$A$2:$A$3000,$A1755,EXTRATO!$L$2:$L$3000)+SUMIF(EXTRATO!$A$2:$A$3000,$A1755,EXTRATO!$M$2:$M$3000))</f>
        <v/>
      </c>
      <c r="G1755" s="81" t="str">
        <f>IF(A1755="","",IF(INDEX(EXTRATO!$G$2:$G$3000,MATCH($A1755,EXTRATO!$A$2:$A$3000,0))="","",INDEX(EXTRATO!$G$2:$G$3000,MATCH($A1755,EXTRATO!$A$2:$A$3000,0))))</f>
        <v/>
      </c>
      <c r="H1755" s="86" t="str">
        <f>IF(A1755="","",IF(INDEX(EXTRATO!$F$2:$F$3000,MATCH($A1755,EXTRATO!$A$2:$A$3000,0))="","",INDEX(EXTRATO!$F$2:$F$3000,MATCH($A1755,EXTRATO!$A$2:$A$3000,0))))</f>
        <v/>
      </c>
      <c r="I1755" s="88" t="str">
        <f>IF(A1755="","",IF(INDEX(EXTRATO!$H$2:$H$3000,MATCH($A1755,EXTRATO!$A$2:$A$3000,0))="","",INDEX(EXTRATO!$H$2:$H$3000,MATCH($A1755,EXTRATO!$A$2:$A$3000,0))))</f>
        <v/>
      </c>
      <c r="J1755" s="86" t="str">
        <f t="shared" si="41"/>
        <v/>
      </c>
      <c r="K1755" s="86" t="str">
        <f>IF(AND(A1755="",D1755="",E1755="",F1755=""),"",IF(D1755="","SEM CATEGORIA",IF(E1755="","SEM SUBCATEGORIA",IF(COUNTIFS(CADASTROS!$L$7:$L$93,D1755,CADASTROS!$D$7:$D$93,E1755)=0,"INCOMPATÍVEL","OK"))))</f>
        <v/>
      </c>
    </row>
    <row r="1756" spans="1:11" ht="30" hidden="1" customHeight="1" x14ac:dyDescent="0.25">
      <c r="A1756" s="86" t="str">
        <f>IF(COUNTIF(EXTRATO!$A$2:$A$3000,"BAN-01613")=0,"","BAN-01613")</f>
        <v/>
      </c>
      <c r="B1756" s="85" t="str">
        <f>IF(A1756="","",IF(INDEX(EXTRATO!$C$2:$C$3000,MATCH($A1756,EXTRATO!$A$2:$A$3000,0))="","",INDEX(EXTRATO!$C$2:$C$3000,MATCH($A1756,EXTRATO!$A$2:$A$3000,0))))</f>
        <v/>
      </c>
      <c r="C1756" s="86" t="str">
        <f t="shared" si="42"/>
        <v/>
      </c>
      <c r="D1756" s="81"/>
      <c r="E1756" s="79"/>
      <c r="F1756" s="80" t="str">
        <f>IF(A1756="","",SUMIF(EXTRATO!$A$2:$A$3000,$A1756,EXTRATO!$J$2:$J$3000)+SUMIF(EXTRATO!$A$2:$A$3000,$A1756,EXTRATO!$K$2:$K$3000)+SUMIF(EXTRATO!$A$2:$A$3000,$A1756,EXTRATO!$L$2:$L$3000)+SUMIF(EXTRATO!$A$2:$A$3000,$A1756,EXTRATO!$M$2:$M$3000))</f>
        <v/>
      </c>
      <c r="G1756" s="81" t="str">
        <f>IF(A1756="","",IF(INDEX(EXTRATO!$G$2:$G$3000,MATCH($A1756,EXTRATO!$A$2:$A$3000,0))="","",INDEX(EXTRATO!$G$2:$G$3000,MATCH($A1756,EXTRATO!$A$2:$A$3000,0))))</f>
        <v/>
      </c>
      <c r="H1756" s="86" t="str">
        <f>IF(A1756="","",IF(INDEX(EXTRATO!$F$2:$F$3000,MATCH($A1756,EXTRATO!$A$2:$A$3000,0))="","",INDEX(EXTRATO!$F$2:$F$3000,MATCH($A1756,EXTRATO!$A$2:$A$3000,0))))</f>
        <v/>
      </c>
      <c r="I1756" s="88" t="str">
        <f>IF(A1756="","",IF(INDEX(EXTRATO!$H$2:$H$3000,MATCH($A1756,EXTRATO!$A$2:$A$3000,0))="","",INDEX(EXTRATO!$H$2:$H$3000,MATCH($A1756,EXTRATO!$A$2:$A$3000,0))))</f>
        <v/>
      </c>
      <c r="J1756" s="86" t="str">
        <f t="shared" si="41"/>
        <v/>
      </c>
      <c r="K1756" s="86" t="str">
        <f>IF(AND(A1756="",D1756="",E1756="",F1756=""),"",IF(D1756="","SEM CATEGORIA",IF(E1756="","SEM SUBCATEGORIA",IF(COUNTIFS(CADASTROS!$L$7:$L$93,D1756,CADASTROS!$D$7:$D$93,E1756)=0,"INCOMPATÍVEL","OK"))))</f>
        <v/>
      </c>
    </row>
    <row r="1757" spans="1:11" ht="30" hidden="1" customHeight="1" x14ac:dyDescent="0.25">
      <c r="A1757" s="86" t="str">
        <f>IF(COUNTIF(EXTRATO!$A$2:$A$3000,"BAN-01614")=0,"","BAN-01614")</f>
        <v/>
      </c>
      <c r="B1757" s="85" t="str">
        <f>IF(A1757="","",IF(INDEX(EXTRATO!$C$2:$C$3000,MATCH($A1757,EXTRATO!$A$2:$A$3000,0))="","",INDEX(EXTRATO!$C$2:$C$3000,MATCH($A1757,EXTRATO!$A$2:$A$3000,0))))</f>
        <v/>
      </c>
      <c r="C1757" s="86" t="str">
        <f t="shared" si="42"/>
        <v/>
      </c>
      <c r="D1757" s="81"/>
      <c r="E1757" s="79"/>
      <c r="F1757" s="80" t="str">
        <f>IF(A1757="","",SUMIF(EXTRATO!$A$2:$A$3000,$A1757,EXTRATO!$J$2:$J$3000)+SUMIF(EXTRATO!$A$2:$A$3000,$A1757,EXTRATO!$K$2:$K$3000)+SUMIF(EXTRATO!$A$2:$A$3000,$A1757,EXTRATO!$L$2:$L$3000)+SUMIF(EXTRATO!$A$2:$A$3000,$A1757,EXTRATO!$M$2:$M$3000))</f>
        <v/>
      </c>
      <c r="G1757" s="81" t="str">
        <f>IF(A1757="","",IF(INDEX(EXTRATO!$G$2:$G$3000,MATCH($A1757,EXTRATO!$A$2:$A$3000,0))="","",INDEX(EXTRATO!$G$2:$G$3000,MATCH($A1757,EXTRATO!$A$2:$A$3000,0))))</f>
        <v/>
      </c>
      <c r="H1757" s="86" t="str">
        <f>IF(A1757="","",IF(INDEX(EXTRATO!$F$2:$F$3000,MATCH($A1757,EXTRATO!$A$2:$A$3000,0))="","",INDEX(EXTRATO!$F$2:$F$3000,MATCH($A1757,EXTRATO!$A$2:$A$3000,0))))</f>
        <v/>
      </c>
      <c r="I1757" s="88" t="str">
        <f>IF(A1757="","",IF(INDEX(EXTRATO!$H$2:$H$3000,MATCH($A1757,EXTRATO!$A$2:$A$3000,0))="","",INDEX(EXTRATO!$H$2:$H$3000,MATCH($A1757,EXTRATO!$A$2:$A$3000,0))))</f>
        <v/>
      </c>
      <c r="J1757" s="86" t="str">
        <f t="shared" si="41"/>
        <v/>
      </c>
      <c r="K1757" s="86" t="str">
        <f>IF(AND(A1757="",D1757="",E1757="",F1757=""),"",IF(D1757="","SEM CATEGORIA",IF(E1757="","SEM SUBCATEGORIA",IF(COUNTIFS(CADASTROS!$L$7:$L$93,D1757,CADASTROS!$D$7:$D$93,E1757)=0,"INCOMPATÍVEL","OK"))))</f>
        <v/>
      </c>
    </row>
    <row r="1758" spans="1:11" ht="30" hidden="1" customHeight="1" x14ac:dyDescent="0.25">
      <c r="A1758" s="86" t="str">
        <f>IF(COUNTIF(EXTRATO!$A$2:$A$3000,"BAN-01615")=0,"","BAN-01615")</f>
        <v/>
      </c>
      <c r="B1758" s="85" t="str">
        <f>IF(A1758="","",IF(INDEX(EXTRATO!$C$2:$C$3000,MATCH($A1758,EXTRATO!$A$2:$A$3000,0))="","",INDEX(EXTRATO!$C$2:$C$3000,MATCH($A1758,EXTRATO!$A$2:$A$3000,0))))</f>
        <v/>
      </c>
      <c r="C1758" s="86" t="str">
        <f t="shared" si="42"/>
        <v/>
      </c>
      <c r="D1758" s="81"/>
      <c r="E1758" s="79"/>
      <c r="F1758" s="80" t="str">
        <f>IF(A1758="","",SUMIF(EXTRATO!$A$2:$A$3000,$A1758,EXTRATO!$J$2:$J$3000)+SUMIF(EXTRATO!$A$2:$A$3000,$A1758,EXTRATO!$K$2:$K$3000)+SUMIF(EXTRATO!$A$2:$A$3000,$A1758,EXTRATO!$L$2:$L$3000)+SUMIF(EXTRATO!$A$2:$A$3000,$A1758,EXTRATO!$M$2:$M$3000))</f>
        <v/>
      </c>
      <c r="G1758" s="81" t="str">
        <f>IF(A1758="","",IF(INDEX(EXTRATO!$G$2:$G$3000,MATCH($A1758,EXTRATO!$A$2:$A$3000,0))="","",INDEX(EXTRATO!$G$2:$G$3000,MATCH($A1758,EXTRATO!$A$2:$A$3000,0))))</f>
        <v/>
      </c>
      <c r="H1758" s="86" t="str">
        <f>IF(A1758="","",IF(INDEX(EXTRATO!$F$2:$F$3000,MATCH($A1758,EXTRATO!$A$2:$A$3000,0))="","",INDEX(EXTRATO!$F$2:$F$3000,MATCH($A1758,EXTRATO!$A$2:$A$3000,0))))</f>
        <v/>
      </c>
      <c r="I1758" s="88" t="str">
        <f>IF(A1758="","",IF(INDEX(EXTRATO!$H$2:$H$3000,MATCH($A1758,EXTRATO!$A$2:$A$3000,0))="","",INDEX(EXTRATO!$H$2:$H$3000,MATCH($A1758,EXTRATO!$A$2:$A$3000,0))))</f>
        <v/>
      </c>
      <c r="J1758" s="86" t="str">
        <f t="shared" si="41"/>
        <v/>
      </c>
      <c r="K1758" s="86" t="str">
        <f>IF(AND(A1758="",D1758="",E1758="",F1758=""),"",IF(D1758="","SEM CATEGORIA",IF(E1758="","SEM SUBCATEGORIA",IF(COUNTIFS(CADASTROS!$L$7:$L$93,D1758,CADASTROS!$D$7:$D$93,E1758)=0,"INCOMPATÍVEL","OK"))))</f>
        <v/>
      </c>
    </row>
    <row r="1759" spans="1:11" ht="30" hidden="1" customHeight="1" x14ac:dyDescent="0.25">
      <c r="A1759" s="86" t="str">
        <f>IF(COUNTIF(EXTRATO!$A$2:$A$3000,"BAN-01616")=0,"","BAN-01616")</f>
        <v/>
      </c>
      <c r="B1759" s="85" t="str">
        <f>IF(A1759="","",IF(INDEX(EXTRATO!$C$2:$C$3000,MATCH($A1759,EXTRATO!$A$2:$A$3000,0))="","",INDEX(EXTRATO!$C$2:$C$3000,MATCH($A1759,EXTRATO!$A$2:$A$3000,0))))</f>
        <v/>
      </c>
      <c r="C1759" s="86" t="str">
        <f t="shared" si="42"/>
        <v/>
      </c>
      <c r="D1759" s="81"/>
      <c r="E1759" s="79"/>
      <c r="F1759" s="80" t="str">
        <f>IF(A1759="","",SUMIF(EXTRATO!$A$2:$A$3000,$A1759,EXTRATO!$J$2:$J$3000)+SUMIF(EXTRATO!$A$2:$A$3000,$A1759,EXTRATO!$K$2:$K$3000)+SUMIF(EXTRATO!$A$2:$A$3000,$A1759,EXTRATO!$L$2:$L$3000)+SUMIF(EXTRATO!$A$2:$A$3000,$A1759,EXTRATO!$M$2:$M$3000))</f>
        <v/>
      </c>
      <c r="G1759" s="81" t="str">
        <f>IF(A1759="","",IF(INDEX(EXTRATO!$G$2:$G$3000,MATCH($A1759,EXTRATO!$A$2:$A$3000,0))="","",INDEX(EXTRATO!$G$2:$G$3000,MATCH($A1759,EXTRATO!$A$2:$A$3000,0))))</f>
        <v/>
      </c>
      <c r="H1759" s="86" t="str">
        <f>IF(A1759="","",IF(INDEX(EXTRATO!$F$2:$F$3000,MATCH($A1759,EXTRATO!$A$2:$A$3000,0))="","",INDEX(EXTRATO!$F$2:$F$3000,MATCH($A1759,EXTRATO!$A$2:$A$3000,0))))</f>
        <v/>
      </c>
      <c r="I1759" s="88" t="str">
        <f>IF(A1759="","",IF(INDEX(EXTRATO!$H$2:$H$3000,MATCH($A1759,EXTRATO!$A$2:$A$3000,0))="","",INDEX(EXTRATO!$H$2:$H$3000,MATCH($A1759,EXTRATO!$A$2:$A$3000,0))))</f>
        <v/>
      </c>
      <c r="J1759" s="86" t="str">
        <f t="shared" si="41"/>
        <v/>
      </c>
      <c r="K1759" s="86" t="str">
        <f>IF(AND(A1759="",D1759="",E1759="",F1759=""),"",IF(D1759="","SEM CATEGORIA",IF(E1759="","SEM SUBCATEGORIA",IF(COUNTIFS(CADASTROS!$L$7:$L$93,D1759,CADASTROS!$D$7:$D$93,E1759)=0,"INCOMPATÍVEL","OK"))))</f>
        <v/>
      </c>
    </row>
    <row r="1760" spans="1:11" ht="30" hidden="1" customHeight="1" x14ac:dyDescent="0.25">
      <c r="A1760" s="86" t="str">
        <f>IF(COUNTIF(EXTRATO!$A$2:$A$3000,"BAN-01617")=0,"","BAN-01617")</f>
        <v/>
      </c>
      <c r="B1760" s="85" t="str">
        <f>IF(A1760="","",IF(INDEX(EXTRATO!$C$2:$C$3000,MATCH($A1760,EXTRATO!$A$2:$A$3000,0))="","",INDEX(EXTRATO!$C$2:$C$3000,MATCH($A1760,EXTRATO!$A$2:$A$3000,0))))</f>
        <v/>
      </c>
      <c r="C1760" s="86" t="str">
        <f t="shared" si="42"/>
        <v/>
      </c>
      <c r="D1760" s="81"/>
      <c r="E1760" s="79"/>
      <c r="F1760" s="80" t="str">
        <f>IF(A1760="","",SUMIF(EXTRATO!$A$2:$A$3000,$A1760,EXTRATO!$J$2:$J$3000)+SUMIF(EXTRATO!$A$2:$A$3000,$A1760,EXTRATO!$K$2:$K$3000)+SUMIF(EXTRATO!$A$2:$A$3000,$A1760,EXTRATO!$L$2:$L$3000)+SUMIF(EXTRATO!$A$2:$A$3000,$A1760,EXTRATO!$M$2:$M$3000))</f>
        <v/>
      </c>
      <c r="G1760" s="81" t="str">
        <f>IF(A1760="","",IF(INDEX(EXTRATO!$G$2:$G$3000,MATCH($A1760,EXTRATO!$A$2:$A$3000,0))="","",INDEX(EXTRATO!$G$2:$G$3000,MATCH($A1760,EXTRATO!$A$2:$A$3000,0))))</f>
        <v/>
      </c>
      <c r="H1760" s="86" t="str">
        <f>IF(A1760="","",IF(INDEX(EXTRATO!$F$2:$F$3000,MATCH($A1760,EXTRATO!$A$2:$A$3000,0))="","",INDEX(EXTRATO!$F$2:$F$3000,MATCH($A1760,EXTRATO!$A$2:$A$3000,0))))</f>
        <v/>
      </c>
      <c r="I1760" s="88" t="str">
        <f>IF(A1760="","",IF(INDEX(EXTRATO!$H$2:$H$3000,MATCH($A1760,EXTRATO!$A$2:$A$3000,0))="","",INDEX(EXTRATO!$H$2:$H$3000,MATCH($A1760,EXTRATO!$A$2:$A$3000,0))))</f>
        <v/>
      </c>
      <c r="J1760" s="86" t="str">
        <f t="shared" si="41"/>
        <v/>
      </c>
      <c r="K1760" s="86" t="str">
        <f>IF(AND(A1760="",D1760="",E1760="",F1760=""),"",IF(D1760="","SEM CATEGORIA",IF(E1760="","SEM SUBCATEGORIA",IF(COUNTIFS(CADASTROS!$L$7:$L$93,D1760,CADASTROS!$D$7:$D$93,E1760)=0,"INCOMPATÍVEL","OK"))))</f>
        <v/>
      </c>
    </row>
    <row r="1761" spans="1:11" ht="30" hidden="1" customHeight="1" x14ac:dyDescent="0.25">
      <c r="A1761" s="86" t="str">
        <f>IF(COUNTIF(EXTRATO!$A$2:$A$3000,"BAN-01618")=0,"","BAN-01618")</f>
        <v/>
      </c>
      <c r="B1761" s="85" t="str">
        <f>IF(A1761="","",IF(INDEX(EXTRATO!$C$2:$C$3000,MATCH($A1761,EXTRATO!$A$2:$A$3000,0))="","",INDEX(EXTRATO!$C$2:$C$3000,MATCH($A1761,EXTRATO!$A$2:$A$3000,0))))</f>
        <v/>
      </c>
      <c r="C1761" s="86" t="str">
        <f t="shared" si="42"/>
        <v/>
      </c>
      <c r="D1761" s="81"/>
      <c r="E1761" s="79"/>
      <c r="F1761" s="80" t="str">
        <f>IF(A1761="","",SUMIF(EXTRATO!$A$2:$A$3000,$A1761,EXTRATO!$J$2:$J$3000)+SUMIF(EXTRATO!$A$2:$A$3000,$A1761,EXTRATO!$K$2:$K$3000)+SUMIF(EXTRATO!$A$2:$A$3000,$A1761,EXTRATO!$L$2:$L$3000)+SUMIF(EXTRATO!$A$2:$A$3000,$A1761,EXTRATO!$M$2:$M$3000))</f>
        <v/>
      </c>
      <c r="G1761" s="81" t="str">
        <f>IF(A1761="","",IF(INDEX(EXTRATO!$G$2:$G$3000,MATCH($A1761,EXTRATO!$A$2:$A$3000,0))="","",INDEX(EXTRATO!$G$2:$G$3000,MATCH($A1761,EXTRATO!$A$2:$A$3000,0))))</f>
        <v/>
      </c>
      <c r="H1761" s="86" t="str">
        <f>IF(A1761="","",IF(INDEX(EXTRATO!$F$2:$F$3000,MATCH($A1761,EXTRATO!$A$2:$A$3000,0))="","",INDEX(EXTRATO!$F$2:$F$3000,MATCH($A1761,EXTRATO!$A$2:$A$3000,0))))</f>
        <v/>
      </c>
      <c r="I1761" s="88" t="str">
        <f>IF(A1761="","",IF(INDEX(EXTRATO!$H$2:$H$3000,MATCH($A1761,EXTRATO!$A$2:$A$3000,0))="","",INDEX(EXTRATO!$H$2:$H$3000,MATCH($A1761,EXTRATO!$A$2:$A$3000,0))))</f>
        <v/>
      </c>
      <c r="J1761" s="86" t="str">
        <f t="shared" si="41"/>
        <v/>
      </c>
      <c r="K1761" s="86" t="str">
        <f>IF(AND(A1761="",D1761="",E1761="",F1761=""),"",IF(D1761="","SEM CATEGORIA",IF(E1761="","SEM SUBCATEGORIA",IF(COUNTIFS(CADASTROS!$L$7:$L$93,D1761,CADASTROS!$D$7:$D$93,E1761)=0,"INCOMPATÍVEL","OK"))))</f>
        <v/>
      </c>
    </row>
    <row r="1762" spans="1:11" ht="30" hidden="1" customHeight="1" x14ac:dyDescent="0.25">
      <c r="A1762" s="86" t="str">
        <f>IF(COUNTIF(EXTRATO!$A$2:$A$3000,"BAN-01619")=0,"","BAN-01619")</f>
        <v/>
      </c>
      <c r="B1762" s="85" t="str">
        <f>IF(A1762="","",IF(INDEX(EXTRATO!$C$2:$C$3000,MATCH($A1762,EXTRATO!$A$2:$A$3000,0))="","",INDEX(EXTRATO!$C$2:$C$3000,MATCH($A1762,EXTRATO!$A$2:$A$3000,0))))</f>
        <v/>
      </c>
      <c r="C1762" s="86" t="str">
        <f t="shared" si="42"/>
        <v/>
      </c>
      <c r="D1762" s="81"/>
      <c r="E1762" s="79"/>
      <c r="F1762" s="80" t="str">
        <f>IF(A1762="","",SUMIF(EXTRATO!$A$2:$A$3000,$A1762,EXTRATO!$J$2:$J$3000)+SUMIF(EXTRATO!$A$2:$A$3000,$A1762,EXTRATO!$K$2:$K$3000)+SUMIF(EXTRATO!$A$2:$A$3000,$A1762,EXTRATO!$L$2:$L$3000)+SUMIF(EXTRATO!$A$2:$A$3000,$A1762,EXTRATO!$M$2:$M$3000))</f>
        <v/>
      </c>
      <c r="G1762" s="81" t="str">
        <f>IF(A1762="","",IF(INDEX(EXTRATO!$G$2:$G$3000,MATCH($A1762,EXTRATO!$A$2:$A$3000,0))="","",INDEX(EXTRATO!$G$2:$G$3000,MATCH($A1762,EXTRATO!$A$2:$A$3000,0))))</f>
        <v/>
      </c>
      <c r="H1762" s="86" t="str">
        <f>IF(A1762="","",IF(INDEX(EXTRATO!$F$2:$F$3000,MATCH($A1762,EXTRATO!$A$2:$A$3000,0))="","",INDEX(EXTRATO!$F$2:$F$3000,MATCH($A1762,EXTRATO!$A$2:$A$3000,0))))</f>
        <v/>
      </c>
      <c r="I1762" s="88" t="str">
        <f>IF(A1762="","",IF(INDEX(EXTRATO!$H$2:$H$3000,MATCH($A1762,EXTRATO!$A$2:$A$3000,0))="","",INDEX(EXTRATO!$H$2:$H$3000,MATCH($A1762,EXTRATO!$A$2:$A$3000,0))))</f>
        <v/>
      </c>
      <c r="J1762" s="86" t="str">
        <f t="shared" si="41"/>
        <v/>
      </c>
      <c r="K1762" s="86" t="str">
        <f>IF(AND(A1762="",D1762="",E1762="",F1762=""),"",IF(D1762="","SEM CATEGORIA",IF(E1762="","SEM SUBCATEGORIA",IF(COUNTIFS(CADASTROS!$L$7:$L$93,D1762,CADASTROS!$D$7:$D$93,E1762)=0,"INCOMPATÍVEL","OK"))))</f>
        <v/>
      </c>
    </row>
    <row r="1763" spans="1:11" ht="30" hidden="1" customHeight="1" x14ac:dyDescent="0.25">
      <c r="A1763" s="86" t="str">
        <f>IF(COUNTIF(EXTRATO!$A$2:$A$3000,"BAN-01620")=0,"","BAN-01620")</f>
        <v/>
      </c>
      <c r="B1763" s="85" t="str">
        <f>IF(A1763="","",IF(INDEX(EXTRATO!$C$2:$C$3000,MATCH($A1763,EXTRATO!$A$2:$A$3000,0))="","",INDEX(EXTRATO!$C$2:$C$3000,MATCH($A1763,EXTRATO!$A$2:$A$3000,0))))</f>
        <v/>
      </c>
      <c r="C1763" s="86" t="str">
        <f t="shared" si="42"/>
        <v/>
      </c>
      <c r="D1763" s="81"/>
      <c r="E1763" s="79"/>
      <c r="F1763" s="80" t="str">
        <f>IF(A1763="","",SUMIF(EXTRATO!$A$2:$A$3000,$A1763,EXTRATO!$J$2:$J$3000)+SUMIF(EXTRATO!$A$2:$A$3000,$A1763,EXTRATO!$K$2:$K$3000)+SUMIF(EXTRATO!$A$2:$A$3000,$A1763,EXTRATO!$L$2:$L$3000)+SUMIF(EXTRATO!$A$2:$A$3000,$A1763,EXTRATO!$M$2:$M$3000))</f>
        <v/>
      </c>
      <c r="G1763" s="81" t="str">
        <f>IF(A1763="","",IF(INDEX(EXTRATO!$G$2:$G$3000,MATCH($A1763,EXTRATO!$A$2:$A$3000,0))="","",INDEX(EXTRATO!$G$2:$G$3000,MATCH($A1763,EXTRATO!$A$2:$A$3000,0))))</f>
        <v/>
      </c>
      <c r="H1763" s="86" t="str">
        <f>IF(A1763="","",IF(INDEX(EXTRATO!$F$2:$F$3000,MATCH($A1763,EXTRATO!$A$2:$A$3000,0))="","",INDEX(EXTRATO!$F$2:$F$3000,MATCH($A1763,EXTRATO!$A$2:$A$3000,0))))</f>
        <v/>
      </c>
      <c r="I1763" s="88" t="str">
        <f>IF(A1763="","",IF(INDEX(EXTRATO!$H$2:$H$3000,MATCH($A1763,EXTRATO!$A$2:$A$3000,0))="","",INDEX(EXTRATO!$H$2:$H$3000,MATCH($A1763,EXTRATO!$A$2:$A$3000,0))))</f>
        <v/>
      </c>
      <c r="J1763" s="86" t="str">
        <f t="shared" si="41"/>
        <v/>
      </c>
      <c r="K1763" s="86" t="str">
        <f>IF(AND(A1763="",D1763="",E1763="",F1763=""),"",IF(D1763="","SEM CATEGORIA",IF(E1763="","SEM SUBCATEGORIA",IF(COUNTIFS(CADASTROS!$L$7:$L$93,D1763,CADASTROS!$D$7:$D$93,E1763)=0,"INCOMPATÍVEL","OK"))))</f>
        <v/>
      </c>
    </row>
    <row r="1764" spans="1:11" ht="30" hidden="1" customHeight="1" x14ac:dyDescent="0.25">
      <c r="A1764" s="86" t="str">
        <f>IF(COUNTIF(EXTRATO!$A$2:$A$3000,"BAN-01621")=0,"","BAN-01621")</f>
        <v/>
      </c>
      <c r="B1764" s="85" t="str">
        <f>IF(A1764="","",IF(INDEX(EXTRATO!$C$2:$C$3000,MATCH($A1764,EXTRATO!$A$2:$A$3000,0))="","",INDEX(EXTRATO!$C$2:$C$3000,MATCH($A1764,EXTRATO!$A$2:$A$3000,0))))</f>
        <v/>
      </c>
      <c r="C1764" s="86" t="str">
        <f t="shared" si="42"/>
        <v/>
      </c>
      <c r="D1764" s="81"/>
      <c r="E1764" s="79"/>
      <c r="F1764" s="80" t="str">
        <f>IF(A1764="","",SUMIF(EXTRATO!$A$2:$A$3000,$A1764,EXTRATO!$J$2:$J$3000)+SUMIF(EXTRATO!$A$2:$A$3000,$A1764,EXTRATO!$K$2:$K$3000)+SUMIF(EXTRATO!$A$2:$A$3000,$A1764,EXTRATO!$L$2:$L$3000)+SUMIF(EXTRATO!$A$2:$A$3000,$A1764,EXTRATO!$M$2:$M$3000))</f>
        <v/>
      </c>
      <c r="G1764" s="81" t="str">
        <f>IF(A1764="","",IF(INDEX(EXTRATO!$G$2:$G$3000,MATCH($A1764,EXTRATO!$A$2:$A$3000,0))="","",INDEX(EXTRATO!$G$2:$G$3000,MATCH($A1764,EXTRATO!$A$2:$A$3000,0))))</f>
        <v/>
      </c>
      <c r="H1764" s="86" t="str">
        <f>IF(A1764="","",IF(INDEX(EXTRATO!$F$2:$F$3000,MATCH($A1764,EXTRATO!$A$2:$A$3000,0))="","",INDEX(EXTRATO!$F$2:$F$3000,MATCH($A1764,EXTRATO!$A$2:$A$3000,0))))</f>
        <v/>
      </c>
      <c r="I1764" s="88" t="str">
        <f>IF(A1764="","",IF(INDEX(EXTRATO!$H$2:$H$3000,MATCH($A1764,EXTRATO!$A$2:$A$3000,0))="","",INDEX(EXTRATO!$H$2:$H$3000,MATCH($A1764,EXTRATO!$A$2:$A$3000,0))))</f>
        <v/>
      </c>
      <c r="J1764" s="86" t="str">
        <f t="shared" si="41"/>
        <v/>
      </c>
      <c r="K1764" s="86" t="str">
        <f>IF(AND(A1764="",D1764="",E1764="",F1764=""),"",IF(D1764="","SEM CATEGORIA",IF(E1764="","SEM SUBCATEGORIA",IF(COUNTIFS(CADASTROS!$L$7:$L$93,D1764,CADASTROS!$D$7:$D$93,E1764)=0,"INCOMPATÍVEL","OK"))))</f>
        <v/>
      </c>
    </row>
    <row r="1765" spans="1:11" ht="30" hidden="1" customHeight="1" x14ac:dyDescent="0.25">
      <c r="A1765" s="86" t="str">
        <f>IF(COUNTIF(EXTRATO!$A$2:$A$3000,"BAN-01622")=0,"","BAN-01622")</f>
        <v/>
      </c>
      <c r="B1765" s="85" t="str">
        <f>IF(A1765="","",IF(INDEX(EXTRATO!$C$2:$C$3000,MATCH($A1765,EXTRATO!$A$2:$A$3000,0))="","",INDEX(EXTRATO!$C$2:$C$3000,MATCH($A1765,EXTRATO!$A$2:$A$3000,0))))</f>
        <v/>
      </c>
      <c r="C1765" s="86" t="str">
        <f t="shared" si="42"/>
        <v/>
      </c>
      <c r="D1765" s="81"/>
      <c r="E1765" s="79"/>
      <c r="F1765" s="80" t="str">
        <f>IF(A1765="","",SUMIF(EXTRATO!$A$2:$A$3000,$A1765,EXTRATO!$J$2:$J$3000)+SUMIF(EXTRATO!$A$2:$A$3000,$A1765,EXTRATO!$K$2:$K$3000)+SUMIF(EXTRATO!$A$2:$A$3000,$A1765,EXTRATO!$L$2:$L$3000)+SUMIF(EXTRATO!$A$2:$A$3000,$A1765,EXTRATO!$M$2:$M$3000))</f>
        <v/>
      </c>
      <c r="G1765" s="81" t="str">
        <f>IF(A1765="","",IF(INDEX(EXTRATO!$G$2:$G$3000,MATCH($A1765,EXTRATO!$A$2:$A$3000,0))="","",INDEX(EXTRATO!$G$2:$G$3000,MATCH($A1765,EXTRATO!$A$2:$A$3000,0))))</f>
        <v/>
      </c>
      <c r="H1765" s="86" t="str">
        <f>IF(A1765="","",IF(INDEX(EXTRATO!$F$2:$F$3000,MATCH($A1765,EXTRATO!$A$2:$A$3000,0))="","",INDEX(EXTRATO!$F$2:$F$3000,MATCH($A1765,EXTRATO!$A$2:$A$3000,0))))</f>
        <v/>
      </c>
      <c r="I1765" s="88" t="str">
        <f>IF(A1765="","",IF(INDEX(EXTRATO!$H$2:$H$3000,MATCH($A1765,EXTRATO!$A$2:$A$3000,0))="","",INDEX(EXTRATO!$H$2:$H$3000,MATCH($A1765,EXTRATO!$A$2:$A$3000,0))))</f>
        <v/>
      </c>
      <c r="J1765" s="86" t="str">
        <f t="shared" si="41"/>
        <v/>
      </c>
      <c r="K1765" s="86" t="str">
        <f>IF(AND(A1765="",D1765="",E1765="",F1765=""),"",IF(D1765="","SEM CATEGORIA",IF(E1765="","SEM SUBCATEGORIA",IF(COUNTIFS(CADASTROS!$L$7:$L$93,D1765,CADASTROS!$D$7:$D$93,E1765)=0,"INCOMPATÍVEL","OK"))))</f>
        <v/>
      </c>
    </row>
    <row r="1766" spans="1:11" ht="30" hidden="1" customHeight="1" x14ac:dyDescent="0.25">
      <c r="A1766" s="86" t="str">
        <f>IF(COUNTIF(EXTRATO!$A$2:$A$3000,"BAN-01623")=0,"","BAN-01623")</f>
        <v/>
      </c>
      <c r="B1766" s="85" t="str">
        <f>IF(A1766="","",IF(INDEX(EXTRATO!$C$2:$C$3000,MATCH($A1766,EXTRATO!$A$2:$A$3000,0))="","",INDEX(EXTRATO!$C$2:$C$3000,MATCH($A1766,EXTRATO!$A$2:$A$3000,0))))</f>
        <v/>
      </c>
      <c r="C1766" s="86" t="str">
        <f t="shared" si="42"/>
        <v/>
      </c>
      <c r="D1766" s="81"/>
      <c r="E1766" s="79"/>
      <c r="F1766" s="80" t="str">
        <f>IF(A1766="","",SUMIF(EXTRATO!$A$2:$A$3000,$A1766,EXTRATO!$J$2:$J$3000)+SUMIF(EXTRATO!$A$2:$A$3000,$A1766,EXTRATO!$K$2:$K$3000)+SUMIF(EXTRATO!$A$2:$A$3000,$A1766,EXTRATO!$L$2:$L$3000)+SUMIF(EXTRATO!$A$2:$A$3000,$A1766,EXTRATO!$M$2:$M$3000))</f>
        <v/>
      </c>
      <c r="G1766" s="81" t="str">
        <f>IF(A1766="","",IF(INDEX(EXTRATO!$G$2:$G$3000,MATCH($A1766,EXTRATO!$A$2:$A$3000,0))="","",INDEX(EXTRATO!$G$2:$G$3000,MATCH($A1766,EXTRATO!$A$2:$A$3000,0))))</f>
        <v/>
      </c>
      <c r="H1766" s="86" t="str">
        <f>IF(A1766="","",IF(INDEX(EXTRATO!$F$2:$F$3000,MATCH($A1766,EXTRATO!$A$2:$A$3000,0))="","",INDEX(EXTRATO!$F$2:$F$3000,MATCH($A1766,EXTRATO!$A$2:$A$3000,0))))</f>
        <v/>
      </c>
      <c r="I1766" s="88" t="str">
        <f>IF(A1766="","",IF(INDEX(EXTRATO!$H$2:$H$3000,MATCH($A1766,EXTRATO!$A$2:$A$3000,0))="","",INDEX(EXTRATO!$H$2:$H$3000,MATCH($A1766,EXTRATO!$A$2:$A$3000,0))))</f>
        <v/>
      </c>
      <c r="J1766" s="86" t="str">
        <f t="shared" si="41"/>
        <v/>
      </c>
      <c r="K1766" s="86" t="str">
        <f>IF(AND(A1766="",D1766="",E1766="",F1766=""),"",IF(D1766="","SEM CATEGORIA",IF(E1766="","SEM SUBCATEGORIA",IF(COUNTIFS(CADASTROS!$L$7:$L$93,D1766,CADASTROS!$D$7:$D$93,E1766)=0,"INCOMPATÍVEL","OK"))))</f>
        <v/>
      </c>
    </row>
    <row r="1767" spans="1:11" ht="30" hidden="1" customHeight="1" x14ac:dyDescent="0.25">
      <c r="A1767" s="86" t="str">
        <f>IF(COUNTIF(EXTRATO!$A$2:$A$3000,"BAN-01624")=0,"","BAN-01624")</f>
        <v/>
      </c>
      <c r="B1767" s="85" t="str">
        <f>IF(A1767="","",IF(INDEX(EXTRATO!$C$2:$C$3000,MATCH($A1767,EXTRATO!$A$2:$A$3000,0))="","",INDEX(EXTRATO!$C$2:$C$3000,MATCH($A1767,EXTRATO!$A$2:$A$3000,0))))</f>
        <v/>
      </c>
      <c r="C1767" s="86" t="str">
        <f t="shared" si="42"/>
        <v/>
      </c>
      <c r="D1767" s="81"/>
      <c r="E1767" s="79"/>
      <c r="F1767" s="80" t="str">
        <f>IF(A1767="","",SUMIF(EXTRATO!$A$2:$A$3000,$A1767,EXTRATO!$J$2:$J$3000)+SUMIF(EXTRATO!$A$2:$A$3000,$A1767,EXTRATO!$K$2:$K$3000)+SUMIF(EXTRATO!$A$2:$A$3000,$A1767,EXTRATO!$L$2:$L$3000)+SUMIF(EXTRATO!$A$2:$A$3000,$A1767,EXTRATO!$M$2:$M$3000))</f>
        <v/>
      </c>
      <c r="G1767" s="81" t="str">
        <f>IF(A1767="","",IF(INDEX(EXTRATO!$G$2:$G$3000,MATCH($A1767,EXTRATO!$A$2:$A$3000,0))="","",INDEX(EXTRATO!$G$2:$G$3000,MATCH($A1767,EXTRATO!$A$2:$A$3000,0))))</f>
        <v/>
      </c>
      <c r="H1767" s="86" t="str">
        <f>IF(A1767="","",IF(INDEX(EXTRATO!$F$2:$F$3000,MATCH($A1767,EXTRATO!$A$2:$A$3000,0))="","",INDEX(EXTRATO!$F$2:$F$3000,MATCH($A1767,EXTRATO!$A$2:$A$3000,0))))</f>
        <v/>
      </c>
      <c r="I1767" s="88" t="str">
        <f>IF(A1767="","",IF(INDEX(EXTRATO!$H$2:$H$3000,MATCH($A1767,EXTRATO!$A$2:$A$3000,0))="","",INDEX(EXTRATO!$H$2:$H$3000,MATCH($A1767,EXTRATO!$A$2:$A$3000,0))))</f>
        <v/>
      </c>
      <c r="J1767" s="86" t="str">
        <f t="shared" si="41"/>
        <v/>
      </c>
      <c r="K1767" s="86" t="str">
        <f>IF(AND(A1767="",D1767="",E1767="",F1767=""),"",IF(D1767="","SEM CATEGORIA",IF(E1767="","SEM SUBCATEGORIA",IF(COUNTIFS(CADASTROS!$L$7:$L$93,D1767,CADASTROS!$D$7:$D$93,E1767)=0,"INCOMPATÍVEL","OK"))))</f>
        <v/>
      </c>
    </row>
    <row r="1768" spans="1:11" ht="30" hidden="1" customHeight="1" x14ac:dyDescent="0.25">
      <c r="A1768" s="86" t="str">
        <f>IF(COUNTIF(EXTRATO!$A$2:$A$3000,"BAN-01625")=0,"","BAN-01625")</f>
        <v/>
      </c>
      <c r="B1768" s="85" t="str">
        <f>IF(A1768="","",IF(INDEX(EXTRATO!$C$2:$C$3000,MATCH($A1768,EXTRATO!$A$2:$A$3000,0))="","",INDEX(EXTRATO!$C$2:$C$3000,MATCH($A1768,EXTRATO!$A$2:$A$3000,0))))</f>
        <v/>
      </c>
      <c r="C1768" s="86" t="str">
        <f t="shared" si="42"/>
        <v/>
      </c>
      <c r="D1768" s="81"/>
      <c r="E1768" s="79"/>
      <c r="F1768" s="80" t="str">
        <f>IF(A1768="","",SUMIF(EXTRATO!$A$2:$A$3000,$A1768,EXTRATO!$J$2:$J$3000)+SUMIF(EXTRATO!$A$2:$A$3000,$A1768,EXTRATO!$K$2:$K$3000)+SUMIF(EXTRATO!$A$2:$A$3000,$A1768,EXTRATO!$L$2:$L$3000)+SUMIF(EXTRATO!$A$2:$A$3000,$A1768,EXTRATO!$M$2:$M$3000))</f>
        <v/>
      </c>
      <c r="G1768" s="81" t="str">
        <f>IF(A1768="","",IF(INDEX(EXTRATO!$G$2:$G$3000,MATCH($A1768,EXTRATO!$A$2:$A$3000,0))="","",INDEX(EXTRATO!$G$2:$G$3000,MATCH($A1768,EXTRATO!$A$2:$A$3000,0))))</f>
        <v/>
      </c>
      <c r="H1768" s="86" t="str">
        <f>IF(A1768="","",IF(INDEX(EXTRATO!$F$2:$F$3000,MATCH($A1768,EXTRATO!$A$2:$A$3000,0))="","",INDEX(EXTRATO!$F$2:$F$3000,MATCH($A1768,EXTRATO!$A$2:$A$3000,0))))</f>
        <v/>
      </c>
      <c r="I1768" s="88" t="str">
        <f>IF(A1768="","",IF(INDEX(EXTRATO!$H$2:$H$3000,MATCH($A1768,EXTRATO!$A$2:$A$3000,0))="","",INDEX(EXTRATO!$H$2:$H$3000,MATCH($A1768,EXTRATO!$A$2:$A$3000,0))))</f>
        <v/>
      </c>
      <c r="J1768" s="86" t="str">
        <f t="shared" si="41"/>
        <v/>
      </c>
      <c r="K1768" s="86" t="str">
        <f>IF(AND(A1768="",D1768="",E1768="",F1768=""),"",IF(D1768="","SEM CATEGORIA",IF(E1768="","SEM SUBCATEGORIA",IF(COUNTIFS(CADASTROS!$L$7:$L$93,D1768,CADASTROS!$D$7:$D$93,E1768)=0,"INCOMPATÍVEL","OK"))))</f>
        <v/>
      </c>
    </row>
    <row r="1769" spans="1:11" ht="30" hidden="1" customHeight="1" x14ac:dyDescent="0.25">
      <c r="A1769" s="86" t="str">
        <f>IF(COUNTIF(EXTRATO!$A$2:$A$3000,"BAN-01626")=0,"","BAN-01626")</f>
        <v/>
      </c>
      <c r="B1769" s="85" t="str">
        <f>IF(A1769="","",IF(INDEX(EXTRATO!$C$2:$C$3000,MATCH($A1769,EXTRATO!$A$2:$A$3000,0))="","",INDEX(EXTRATO!$C$2:$C$3000,MATCH($A1769,EXTRATO!$A$2:$A$3000,0))))</f>
        <v/>
      </c>
      <c r="C1769" s="86" t="str">
        <f t="shared" si="42"/>
        <v/>
      </c>
      <c r="D1769" s="81"/>
      <c r="E1769" s="79"/>
      <c r="F1769" s="80" t="str">
        <f>IF(A1769="","",SUMIF(EXTRATO!$A$2:$A$3000,$A1769,EXTRATO!$J$2:$J$3000)+SUMIF(EXTRATO!$A$2:$A$3000,$A1769,EXTRATO!$K$2:$K$3000)+SUMIF(EXTRATO!$A$2:$A$3000,$A1769,EXTRATO!$L$2:$L$3000)+SUMIF(EXTRATO!$A$2:$A$3000,$A1769,EXTRATO!$M$2:$M$3000))</f>
        <v/>
      </c>
      <c r="G1769" s="81" t="str">
        <f>IF(A1769="","",IF(INDEX(EXTRATO!$G$2:$G$3000,MATCH($A1769,EXTRATO!$A$2:$A$3000,0))="","",INDEX(EXTRATO!$G$2:$G$3000,MATCH($A1769,EXTRATO!$A$2:$A$3000,0))))</f>
        <v/>
      </c>
      <c r="H1769" s="86" t="str">
        <f>IF(A1769="","",IF(INDEX(EXTRATO!$F$2:$F$3000,MATCH($A1769,EXTRATO!$A$2:$A$3000,0))="","",INDEX(EXTRATO!$F$2:$F$3000,MATCH($A1769,EXTRATO!$A$2:$A$3000,0))))</f>
        <v/>
      </c>
      <c r="I1769" s="88" t="str">
        <f>IF(A1769="","",IF(INDEX(EXTRATO!$H$2:$H$3000,MATCH($A1769,EXTRATO!$A$2:$A$3000,0))="","",INDEX(EXTRATO!$H$2:$H$3000,MATCH($A1769,EXTRATO!$A$2:$A$3000,0))))</f>
        <v/>
      </c>
      <c r="J1769" s="86" t="str">
        <f t="shared" si="41"/>
        <v/>
      </c>
      <c r="K1769" s="86" t="str">
        <f>IF(AND(A1769="",D1769="",E1769="",F1769=""),"",IF(D1769="","SEM CATEGORIA",IF(E1769="","SEM SUBCATEGORIA",IF(COUNTIFS(CADASTROS!$L$7:$L$93,D1769,CADASTROS!$D$7:$D$93,E1769)=0,"INCOMPATÍVEL","OK"))))</f>
        <v/>
      </c>
    </row>
    <row r="1770" spans="1:11" ht="30" hidden="1" customHeight="1" x14ac:dyDescent="0.25">
      <c r="A1770" s="86" t="str">
        <f>IF(COUNTIF(EXTRATO!$A$2:$A$3000,"BAN-01627")=0,"","BAN-01627")</f>
        <v/>
      </c>
      <c r="B1770" s="85" t="str">
        <f>IF(A1770="","",IF(INDEX(EXTRATO!$C$2:$C$3000,MATCH($A1770,EXTRATO!$A$2:$A$3000,0))="","",INDEX(EXTRATO!$C$2:$C$3000,MATCH($A1770,EXTRATO!$A$2:$A$3000,0))))</f>
        <v/>
      </c>
      <c r="C1770" s="86" t="str">
        <f t="shared" si="42"/>
        <v/>
      </c>
      <c r="D1770" s="81"/>
      <c r="E1770" s="79"/>
      <c r="F1770" s="80" t="str">
        <f>IF(A1770="","",SUMIF(EXTRATO!$A$2:$A$3000,$A1770,EXTRATO!$J$2:$J$3000)+SUMIF(EXTRATO!$A$2:$A$3000,$A1770,EXTRATO!$K$2:$K$3000)+SUMIF(EXTRATO!$A$2:$A$3000,$A1770,EXTRATO!$L$2:$L$3000)+SUMIF(EXTRATO!$A$2:$A$3000,$A1770,EXTRATO!$M$2:$M$3000))</f>
        <v/>
      </c>
      <c r="G1770" s="81" t="str">
        <f>IF(A1770="","",IF(INDEX(EXTRATO!$G$2:$G$3000,MATCH($A1770,EXTRATO!$A$2:$A$3000,0))="","",INDEX(EXTRATO!$G$2:$G$3000,MATCH($A1770,EXTRATO!$A$2:$A$3000,0))))</f>
        <v/>
      </c>
      <c r="H1770" s="86" t="str">
        <f>IF(A1770="","",IF(INDEX(EXTRATO!$F$2:$F$3000,MATCH($A1770,EXTRATO!$A$2:$A$3000,0))="","",INDEX(EXTRATO!$F$2:$F$3000,MATCH($A1770,EXTRATO!$A$2:$A$3000,0))))</f>
        <v/>
      </c>
      <c r="I1770" s="88" t="str">
        <f>IF(A1770="","",IF(INDEX(EXTRATO!$H$2:$H$3000,MATCH($A1770,EXTRATO!$A$2:$A$3000,0))="","",INDEX(EXTRATO!$H$2:$H$3000,MATCH($A1770,EXTRATO!$A$2:$A$3000,0))))</f>
        <v/>
      </c>
      <c r="J1770" s="86" t="str">
        <f t="shared" si="41"/>
        <v/>
      </c>
      <c r="K1770" s="86" t="str">
        <f>IF(AND(A1770="",D1770="",E1770="",F1770=""),"",IF(D1770="","SEM CATEGORIA",IF(E1770="","SEM SUBCATEGORIA",IF(COUNTIFS(CADASTROS!$L$7:$L$93,D1770,CADASTROS!$D$7:$D$93,E1770)=0,"INCOMPATÍVEL","OK"))))</f>
        <v/>
      </c>
    </row>
    <row r="1771" spans="1:11" ht="30" hidden="1" customHeight="1" x14ac:dyDescent="0.25">
      <c r="A1771" s="86" t="str">
        <f>IF(COUNTIF(EXTRATO!$A$2:$A$3000,"BAN-01628")=0,"","BAN-01628")</f>
        <v/>
      </c>
      <c r="B1771" s="85" t="str">
        <f>IF(A1771="","",IF(INDEX(EXTRATO!$C$2:$C$3000,MATCH($A1771,EXTRATO!$A$2:$A$3000,0))="","",INDEX(EXTRATO!$C$2:$C$3000,MATCH($A1771,EXTRATO!$A$2:$A$3000,0))))</f>
        <v/>
      </c>
      <c r="C1771" s="86" t="str">
        <f t="shared" si="42"/>
        <v/>
      </c>
      <c r="D1771" s="81"/>
      <c r="E1771" s="79"/>
      <c r="F1771" s="80" t="str">
        <f>IF(A1771="","",SUMIF(EXTRATO!$A$2:$A$3000,$A1771,EXTRATO!$J$2:$J$3000)+SUMIF(EXTRATO!$A$2:$A$3000,$A1771,EXTRATO!$K$2:$K$3000)+SUMIF(EXTRATO!$A$2:$A$3000,$A1771,EXTRATO!$L$2:$L$3000)+SUMIF(EXTRATO!$A$2:$A$3000,$A1771,EXTRATO!$M$2:$M$3000))</f>
        <v/>
      </c>
      <c r="G1771" s="81" t="str">
        <f>IF(A1771="","",IF(INDEX(EXTRATO!$G$2:$G$3000,MATCH($A1771,EXTRATO!$A$2:$A$3000,0))="","",INDEX(EXTRATO!$G$2:$G$3000,MATCH($A1771,EXTRATO!$A$2:$A$3000,0))))</f>
        <v/>
      </c>
      <c r="H1771" s="86" t="str">
        <f>IF(A1771="","",IF(INDEX(EXTRATO!$F$2:$F$3000,MATCH($A1771,EXTRATO!$A$2:$A$3000,0))="","",INDEX(EXTRATO!$F$2:$F$3000,MATCH($A1771,EXTRATO!$A$2:$A$3000,0))))</f>
        <v/>
      </c>
      <c r="I1771" s="88" t="str">
        <f>IF(A1771="","",IF(INDEX(EXTRATO!$H$2:$H$3000,MATCH($A1771,EXTRATO!$A$2:$A$3000,0))="","",INDEX(EXTRATO!$H$2:$H$3000,MATCH($A1771,EXTRATO!$A$2:$A$3000,0))))</f>
        <v/>
      </c>
      <c r="J1771" s="86" t="str">
        <f t="shared" si="41"/>
        <v/>
      </c>
      <c r="K1771" s="86" t="str">
        <f>IF(AND(A1771="",D1771="",E1771="",F1771=""),"",IF(D1771="","SEM CATEGORIA",IF(E1771="","SEM SUBCATEGORIA",IF(COUNTIFS(CADASTROS!$L$7:$L$93,D1771,CADASTROS!$D$7:$D$93,E1771)=0,"INCOMPATÍVEL","OK"))))</f>
        <v/>
      </c>
    </row>
    <row r="1772" spans="1:11" ht="30" hidden="1" customHeight="1" x14ac:dyDescent="0.25">
      <c r="A1772" s="86" t="str">
        <f>IF(COUNTIF(EXTRATO!$A$2:$A$3000,"BAN-01629")=0,"","BAN-01629")</f>
        <v/>
      </c>
      <c r="B1772" s="85" t="str">
        <f>IF(A1772="","",IF(INDEX(EXTRATO!$C$2:$C$3000,MATCH($A1772,EXTRATO!$A$2:$A$3000,0))="","",INDEX(EXTRATO!$C$2:$C$3000,MATCH($A1772,EXTRATO!$A$2:$A$3000,0))))</f>
        <v/>
      </c>
      <c r="C1772" s="86" t="str">
        <f t="shared" si="42"/>
        <v/>
      </c>
      <c r="D1772" s="81"/>
      <c r="E1772" s="79"/>
      <c r="F1772" s="80" t="str">
        <f>IF(A1772="","",SUMIF(EXTRATO!$A$2:$A$3000,$A1772,EXTRATO!$J$2:$J$3000)+SUMIF(EXTRATO!$A$2:$A$3000,$A1772,EXTRATO!$K$2:$K$3000)+SUMIF(EXTRATO!$A$2:$A$3000,$A1772,EXTRATO!$L$2:$L$3000)+SUMIF(EXTRATO!$A$2:$A$3000,$A1772,EXTRATO!$M$2:$M$3000))</f>
        <v/>
      </c>
      <c r="G1772" s="81" t="str">
        <f>IF(A1772="","",IF(INDEX(EXTRATO!$G$2:$G$3000,MATCH($A1772,EXTRATO!$A$2:$A$3000,0))="","",INDEX(EXTRATO!$G$2:$G$3000,MATCH($A1772,EXTRATO!$A$2:$A$3000,0))))</f>
        <v/>
      </c>
      <c r="H1772" s="86" t="str">
        <f>IF(A1772="","",IF(INDEX(EXTRATO!$F$2:$F$3000,MATCH($A1772,EXTRATO!$A$2:$A$3000,0))="","",INDEX(EXTRATO!$F$2:$F$3000,MATCH($A1772,EXTRATO!$A$2:$A$3000,0))))</f>
        <v/>
      </c>
      <c r="I1772" s="88" t="str">
        <f>IF(A1772="","",IF(INDEX(EXTRATO!$H$2:$H$3000,MATCH($A1772,EXTRATO!$A$2:$A$3000,0))="","",INDEX(EXTRATO!$H$2:$H$3000,MATCH($A1772,EXTRATO!$A$2:$A$3000,0))))</f>
        <v/>
      </c>
      <c r="J1772" s="86" t="str">
        <f t="shared" ref="J1772:J1835" si="43">IF(A1772="","",IF(K1772="OK","MANUAL","PENDENTE"))</f>
        <v/>
      </c>
      <c r="K1772" s="86" t="str">
        <f>IF(AND(A1772="",D1772="",E1772="",F1772=""),"",IF(D1772="","SEM CATEGORIA",IF(E1772="","SEM SUBCATEGORIA",IF(COUNTIFS(CADASTROS!$L$7:$L$93,D1772,CADASTROS!$D$7:$D$93,E1772)=0,"INCOMPATÍVEL","OK"))))</f>
        <v/>
      </c>
    </row>
    <row r="1773" spans="1:11" ht="30" hidden="1" customHeight="1" x14ac:dyDescent="0.25">
      <c r="A1773" s="86" t="str">
        <f>IF(COUNTIF(EXTRATO!$A$2:$A$3000,"BAN-01630")=0,"","BAN-01630")</f>
        <v/>
      </c>
      <c r="B1773" s="85" t="str">
        <f>IF(A1773="","",IF(INDEX(EXTRATO!$C$2:$C$3000,MATCH($A1773,EXTRATO!$A$2:$A$3000,0))="","",INDEX(EXTRATO!$C$2:$C$3000,MATCH($A1773,EXTRATO!$A$2:$A$3000,0))))</f>
        <v/>
      </c>
      <c r="C1773" s="86" t="str">
        <f t="shared" si="42"/>
        <v/>
      </c>
      <c r="D1773" s="81"/>
      <c r="E1773" s="79"/>
      <c r="F1773" s="80" t="str">
        <f>IF(A1773="","",SUMIF(EXTRATO!$A$2:$A$3000,$A1773,EXTRATO!$J$2:$J$3000)+SUMIF(EXTRATO!$A$2:$A$3000,$A1773,EXTRATO!$K$2:$K$3000)+SUMIF(EXTRATO!$A$2:$A$3000,$A1773,EXTRATO!$L$2:$L$3000)+SUMIF(EXTRATO!$A$2:$A$3000,$A1773,EXTRATO!$M$2:$M$3000))</f>
        <v/>
      </c>
      <c r="G1773" s="81" t="str">
        <f>IF(A1773="","",IF(INDEX(EXTRATO!$G$2:$G$3000,MATCH($A1773,EXTRATO!$A$2:$A$3000,0))="","",INDEX(EXTRATO!$G$2:$G$3000,MATCH($A1773,EXTRATO!$A$2:$A$3000,0))))</f>
        <v/>
      </c>
      <c r="H1773" s="86" t="str">
        <f>IF(A1773="","",IF(INDEX(EXTRATO!$F$2:$F$3000,MATCH($A1773,EXTRATO!$A$2:$A$3000,0))="","",INDEX(EXTRATO!$F$2:$F$3000,MATCH($A1773,EXTRATO!$A$2:$A$3000,0))))</f>
        <v/>
      </c>
      <c r="I1773" s="88" t="str">
        <f>IF(A1773="","",IF(INDEX(EXTRATO!$H$2:$H$3000,MATCH($A1773,EXTRATO!$A$2:$A$3000,0))="","",INDEX(EXTRATO!$H$2:$H$3000,MATCH($A1773,EXTRATO!$A$2:$A$3000,0))))</f>
        <v/>
      </c>
      <c r="J1773" s="86" t="str">
        <f t="shared" si="43"/>
        <v/>
      </c>
      <c r="K1773" s="86" t="str">
        <f>IF(AND(A1773="",D1773="",E1773="",F1773=""),"",IF(D1773="","SEM CATEGORIA",IF(E1773="","SEM SUBCATEGORIA",IF(COUNTIFS(CADASTROS!$L$7:$L$93,D1773,CADASTROS!$D$7:$D$93,E1773)=0,"INCOMPATÍVEL","OK"))))</f>
        <v/>
      </c>
    </row>
    <row r="1774" spans="1:11" ht="30" hidden="1" customHeight="1" x14ac:dyDescent="0.25">
      <c r="A1774" s="86" t="str">
        <f>IF(COUNTIF(EXTRATO!$A$2:$A$3000,"BAN-01631")=0,"","BAN-01631")</f>
        <v/>
      </c>
      <c r="B1774" s="85" t="str">
        <f>IF(A1774="","",IF(INDEX(EXTRATO!$C$2:$C$3000,MATCH($A1774,EXTRATO!$A$2:$A$3000,0))="","",INDEX(EXTRATO!$C$2:$C$3000,MATCH($A1774,EXTRATO!$A$2:$A$3000,0))))</f>
        <v/>
      </c>
      <c r="C1774" s="86" t="str">
        <f t="shared" si="42"/>
        <v/>
      </c>
      <c r="D1774" s="81"/>
      <c r="E1774" s="79"/>
      <c r="F1774" s="80" t="str">
        <f>IF(A1774="","",SUMIF(EXTRATO!$A$2:$A$3000,$A1774,EXTRATO!$J$2:$J$3000)+SUMIF(EXTRATO!$A$2:$A$3000,$A1774,EXTRATO!$K$2:$K$3000)+SUMIF(EXTRATO!$A$2:$A$3000,$A1774,EXTRATO!$L$2:$L$3000)+SUMIF(EXTRATO!$A$2:$A$3000,$A1774,EXTRATO!$M$2:$M$3000))</f>
        <v/>
      </c>
      <c r="G1774" s="81" t="str">
        <f>IF(A1774="","",IF(INDEX(EXTRATO!$G$2:$G$3000,MATCH($A1774,EXTRATO!$A$2:$A$3000,0))="","",INDEX(EXTRATO!$G$2:$G$3000,MATCH($A1774,EXTRATO!$A$2:$A$3000,0))))</f>
        <v/>
      </c>
      <c r="H1774" s="86" t="str">
        <f>IF(A1774="","",IF(INDEX(EXTRATO!$F$2:$F$3000,MATCH($A1774,EXTRATO!$A$2:$A$3000,0))="","",INDEX(EXTRATO!$F$2:$F$3000,MATCH($A1774,EXTRATO!$A$2:$A$3000,0))))</f>
        <v/>
      </c>
      <c r="I1774" s="88" t="str">
        <f>IF(A1774="","",IF(INDEX(EXTRATO!$H$2:$H$3000,MATCH($A1774,EXTRATO!$A$2:$A$3000,0))="","",INDEX(EXTRATO!$H$2:$H$3000,MATCH($A1774,EXTRATO!$A$2:$A$3000,0))))</f>
        <v/>
      </c>
      <c r="J1774" s="86" t="str">
        <f t="shared" si="43"/>
        <v/>
      </c>
      <c r="K1774" s="86" t="str">
        <f>IF(AND(A1774="",D1774="",E1774="",F1774=""),"",IF(D1774="","SEM CATEGORIA",IF(E1774="","SEM SUBCATEGORIA",IF(COUNTIFS(CADASTROS!$L$7:$L$93,D1774,CADASTROS!$D$7:$D$93,E1774)=0,"INCOMPATÍVEL","OK"))))</f>
        <v/>
      </c>
    </row>
    <row r="1775" spans="1:11" ht="30" hidden="1" customHeight="1" x14ac:dyDescent="0.25">
      <c r="A1775" s="86" t="str">
        <f>IF(COUNTIF(EXTRATO!$A$2:$A$3000,"BAN-01632")=0,"","BAN-01632")</f>
        <v/>
      </c>
      <c r="B1775" s="85" t="str">
        <f>IF(A1775="","",IF(INDEX(EXTRATO!$C$2:$C$3000,MATCH($A1775,EXTRATO!$A$2:$A$3000,0))="","",INDEX(EXTRATO!$C$2:$C$3000,MATCH($A1775,EXTRATO!$A$2:$A$3000,0))))</f>
        <v/>
      </c>
      <c r="C1775" s="86" t="str">
        <f t="shared" si="42"/>
        <v/>
      </c>
      <c r="D1775" s="81"/>
      <c r="E1775" s="79"/>
      <c r="F1775" s="80" t="str">
        <f>IF(A1775="","",SUMIF(EXTRATO!$A$2:$A$3000,$A1775,EXTRATO!$J$2:$J$3000)+SUMIF(EXTRATO!$A$2:$A$3000,$A1775,EXTRATO!$K$2:$K$3000)+SUMIF(EXTRATO!$A$2:$A$3000,$A1775,EXTRATO!$L$2:$L$3000)+SUMIF(EXTRATO!$A$2:$A$3000,$A1775,EXTRATO!$M$2:$M$3000))</f>
        <v/>
      </c>
      <c r="G1775" s="81" t="str">
        <f>IF(A1775="","",IF(INDEX(EXTRATO!$G$2:$G$3000,MATCH($A1775,EXTRATO!$A$2:$A$3000,0))="","",INDEX(EXTRATO!$G$2:$G$3000,MATCH($A1775,EXTRATO!$A$2:$A$3000,0))))</f>
        <v/>
      </c>
      <c r="H1775" s="86" t="str">
        <f>IF(A1775="","",IF(INDEX(EXTRATO!$F$2:$F$3000,MATCH($A1775,EXTRATO!$A$2:$A$3000,0))="","",INDEX(EXTRATO!$F$2:$F$3000,MATCH($A1775,EXTRATO!$A$2:$A$3000,0))))</f>
        <v/>
      </c>
      <c r="I1775" s="88" t="str">
        <f>IF(A1775="","",IF(INDEX(EXTRATO!$H$2:$H$3000,MATCH($A1775,EXTRATO!$A$2:$A$3000,0))="","",INDEX(EXTRATO!$H$2:$H$3000,MATCH($A1775,EXTRATO!$A$2:$A$3000,0))))</f>
        <v/>
      </c>
      <c r="J1775" s="86" t="str">
        <f t="shared" si="43"/>
        <v/>
      </c>
      <c r="K1775" s="86" t="str">
        <f>IF(AND(A1775="",D1775="",E1775="",F1775=""),"",IF(D1775="","SEM CATEGORIA",IF(E1775="","SEM SUBCATEGORIA",IF(COUNTIFS(CADASTROS!$L$7:$L$93,D1775,CADASTROS!$D$7:$D$93,E1775)=0,"INCOMPATÍVEL","OK"))))</f>
        <v/>
      </c>
    </row>
    <row r="1776" spans="1:11" ht="30" hidden="1" customHeight="1" x14ac:dyDescent="0.25">
      <c r="A1776" s="86" t="str">
        <f>IF(COUNTIF(EXTRATO!$A$2:$A$3000,"BAN-01633")=0,"","BAN-01633")</f>
        <v/>
      </c>
      <c r="B1776" s="85" t="str">
        <f>IF(A1776="","",IF(INDEX(EXTRATO!$C$2:$C$3000,MATCH($A1776,EXTRATO!$A$2:$A$3000,0))="","",INDEX(EXTRATO!$C$2:$C$3000,MATCH($A1776,EXTRATO!$A$2:$A$3000,0))))</f>
        <v/>
      </c>
      <c r="C1776" s="86" t="str">
        <f t="shared" si="42"/>
        <v/>
      </c>
      <c r="D1776" s="81"/>
      <c r="E1776" s="79"/>
      <c r="F1776" s="80" t="str">
        <f>IF(A1776="","",SUMIF(EXTRATO!$A$2:$A$3000,$A1776,EXTRATO!$J$2:$J$3000)+SUMIF(EXTRATO!$A$2:$A$3000,$A1776,EXTRATO!$K$2:$K$3000)+SUMIF(EXTRATO!$A$2:$A$3000,$A1776,EXTRATO!$L$2:$L$3000)+SUMIF(EXTRATO!$A$2:$A$3000,$A1776,EXTRATO!$M$2:$M$3000))</f>
        <v/>
      </c>
      <c r="G1776" s="81" t="str">
        <f>IF(A1776="","",IF(INDEX(EXTRATO!$G$2:$G$3000,MATCH($A1776,EXTRATO!$A$2:$A$3000,0))="","",INDEX(EXTRATO!$G$2:$G$3000,MATCH($A1776,EXTRATO!$A$2:$A$3000,0))))</f>
        <v/>
      </c>
      <c r="H1776" s="86" t="str">
        <f>IF(A1776="","",IF(INDEX(EXTRATO!$F$2:$F$3000,MATCH($A1776,EXTRATO!$A$2:$A$3000,0))="","",INDEX(EXTRATO!$F$2:$F$3000,MATCH($A1776,EXTRATO!$A$2:$A$3000,0))))</f>
        <v/>
      </c>
      <c r="I1776" s="88" t="str">
        <f>IF(A1776="","",IF(INDEX(EXTRATO!$H$2:$H$3000,MATCH($A1776,EXTRATO!$A$2:$A$3000,0))="","",INDEX(EXTRATO!$H$2:$H$3000,MATCH($A1776,EXTRATO!$A$2:$A$3000,0))))</f>
        <v/>
      </c>
      <c r="J1776" s="86" t="str">
        <f t="shared" si="43"/>
        <v/>
      </c>
      <c r="K1776" s="86" t="str">
        <f>IF(AND(A1776="",D1776="",E1776="",F1776=""),"",IF(D1776="","SEM CATEGORIA",IF(E1776="","SEM SUBCATEGORIA",IF(COUNTIFS(CADASTROS!$L$7:$L$93,D1776,CADASTROS!$D$7:$D$93,E1776)=0,"INCOMPATÍVEL","OK"))))</f>
        <v/>
      </c>
    </row>
    <row r="1777" spans="1:11" ht="30" hidden="1" customHeight="1" x14ac:dyDescent="0.25">
      <c r="A1777" s="86" t="str">
        <f>IF(COUNTIF(EXTRATO!$A$2:$A$3000,"BAN-01634")=0,"","BAN-01634")</f>
        <v/>
      </c>
      <c r="B1777" s="85" t="str">
        <f>IF(A1777="","",IF(INDEX(EXTRATO!$C$2:$C$3000,MATCH($A1777,EXTRATO!$A$2:$A$3000,0))="","",INDEX(EXTRATO!$C$2:$C$3000,MATCH($A1777,EXTRATO!$A$2:$A$3000,0))))</f>
        <v/>
      </c>
      <c r="C1777" s="86" t="str">
        <f t="shared" si="42"/>
        <v/>
      </c>
      <c r="D1777" s="81"/>
      <c r="E1777" s="79"/>
      <c r="F1777" s="80" t="str">
        <f>IF(A1777="","",SUMIF(EXTRATO!$A$2:$A$3000,$A1777,EXTRATO!$J$2:$J$3000)+SUMIF(EXTRATO!$A$2:$A$3000,$A1777,EXTRATO!$K$2:$K$3000)+SUMIF(EXTRATO!$A$2:$A$3000,$A1777,EXTRATO!$L$2:$L$3000)+SUMIF(EXTRATO!$A$2:$A$3000,$A1777,EXTRATO!$M$2:$M$3000))</f>
        <v/>
      </c>
      <c r="G1777" s="81" t="str">
        <f>IF(A1777="","",IF(INDEX(EXTRATO!$G$2:$G$3000,MATCH($A1777,EXTRATO!$A$2:$A$3000,0))="","",INDEX(EXTRATO!$G$2:$G$3000,MATCH($A1777,EXTRATO!$A$2:$A$3000,0))))</f>
        <v/>
      </c>
      <c r="H1777" s="86" t="str">
        <f>IF(A1777="","",IF(INDEX(EXTRATO!$F$2:$F$3000,MATCH($A1777,EXTRATO!$A$2:$A$3000,0))="","",INDEX(EXTRATO!$F$2:$F$3000,MATCH($A1777,EXTRATO!$A$2:$A$3000,0))))</f>
        <v/>
      </c>
      <c r="I1777" s="88" t="str">
        <f>IF(A1777="","",IF(INDEX(EXTRATO!$H$2:$H$3000,MATCH($A1777,EXTRATO!$A$2:$A$3000,0))="","",INDEX(EXTRATO!$H$2:$H$3000,MATCH($A1777,EXTRATO!$A$2:$A$3000,0))))</f>
        <v/>
      </c>
      <c r="J1777" s="86" t="str">
        <f t="shared" si="43"/>
        <v/>
      </c>
      <c r="K1777" s="86" t="str">
        <f>IF(AND(A1777="",D1777="",E1777="",F1777=""),"",IF(D1777="","SEM CATEGORIA",IF(E1777="","SEM SUBCATEGORIA",IF(COUNTIFS(CADASTROS!$L$7:$L$93,D1777,CADASTROS!$D$7:$D$93,E1777)=0,"INCOMPATÍVEL","OK"))))</f>
        <v/>
      </c>
    </row>
    <row r="1778" spans="1:11" ht="30" hidden="1" customHeight="1" x14ac:dyDescent="0.25">
      <c r="A1778" s="86" t="str">
        <f>IF(COUNTIF(EXTRATO!$A$2:$A$3000,"BAN-01635")=0,"","BAN-01635")</f>
        <v/>
      </c>
      <c r="B1778" s="85" t="str">
        <f>IF(A1778="","",IF(INDEX(EXTRATO!$C$2:$C$3000,MATCH($A1778,EXTRATO!$A$2:$A$3000,0))="","",INDEX(EXTRATO!$C$2:$C$3000,MATCH($A1778,EXTRATO!$A$2:$A$3000,0))))</f>
        <v/>
      </c>
      <c r="C1778" s="86" t="str">
        <f t="shared" si="42"/>
        <v/>
      </c>
      <c r="D1778" s="81"/>
      <c r="E1778" s="79"/>
      <c r="F1778" s="80" t="str">
        <f>IF(A1778="","",SUMIF(EXTRATO!$A$2:$A$3000,$A1778,EXTRATO!$J$2:$J$3000)+SUMIF(EXTRATO!$A$2:$A$3000,$A1778,EXTRATO!$K$2:$K$3000)+SUMIF(EXTRATO!$A$2:$A$3000,$A1778,EXTRATO!$L$2:$L$3000)+SUMIF(EXTRATO!$A$2:$A$3000,$A1778,EXTRATO!$M$2:$M$3000))</f>
        <v/>
      </c>
      <c r="G1778" s="81" t="str">
        <f>IF(A1778="","",IF(INDEX(EXTRATO!$G$2:$G$3000,MATCH($A1778,EXTRATO!$A$2:$A$3000,0))="","",INDEX(EXTRATO!$G$2:$G$3000,MATCH($A1778,EXTRATO!$A$2:$A$3000,0))))</f>
        <v/>
      </c>
      <c r="H1778" s="86" t="str">
        <f>IF(A1778="","",IF(INDEX(EXTRATO!$F$2:$F$3000,MATCH($A1778,EXTRATO!$A$2:$A$3000,0))="","",INDEX(EXTRATO!$F$2:$F$3000,MATCH($A1778,EXTRATO!$A$2:$A$3000,0))))</f>
        <v/>
      </c>
      <c r="I1778" s="88" t="str">
        <f>IF(A1778="","",IF(INDEX(EXTRATO!$H$2:$H$3000,MATCH($A1778,EXTRATO!$A$2:$A$3000,0))="","",INDEX(EXTRATO!$H$2:$H$3000,MATCH($A1778,EXTRATO!$A$2:$A$3000,0))))</f>
        <v/>
      </c>
      <c r="J1778" s="86" t="str">
        <f t="shared" si="43"/>
        <v/>
      </c>
      <c r="K1778" s="86" t="str">
        <f>IF(AND(A1778="",D1778="",E1778="",F1778=""),"",IF(D1778="","SEM CATEGORIA",IF(E1778="","SEM SUBCATEGORIA",IF(COUNTIFS(CADASTROS!$L$7:$L$93,D1778,CADASTROS!$D$7:$D$93,E1778)=0,"INCOMPATÍVEL","OK"))))</f>
        <v/>
      </c>
    </row>
    <row r="1779" spans="1:11" ht="30" hidden="1" customHeight="1" x14ac:dyDescent="0.25">
      <c r="A1779" s="86" t="str">
        <f>IF(COUNTIF(EXTRATO!$A$2:$A$3000,"BAN-01636")=0,"","BAN-01636")</f>
        <v/>
      </c>
      <c r="B1779" s="85" t="str">
        <f>IF(A1779="","",IF(INDEX(EXTRATO!$C$2:$C$3000,MATCH($A1779,EXTRATO!$A$2:$A$3000,0))="","",INDEX(EXTRATO!$C$2:$C$3000,MATCH($A1779,EXTRATO!$A$2:$A$3000,0))))</f>
        <v/>
      </c>
      <c r="C1779" s="86" t="str">
        <f t="shared" si="42"/>
        <v/>
      </c>
      <c r="D1779" s="81"/>
      <c r="E1779" s="79"/>
      <c r="F1779" s="80" t="str">
        <f>IF(A1779="","",SUMIF(EXTRATO!$A$2:$A$3000,$A1779,EXTRATO!$J$2:$J$3000)+SUMIF(EXTRATO!$A$2:$A$3000,$A1779,EXTRATO!$K$2:$K$3000)+SUMIF(EXTRATO!$A$2:$A$3000,$A1779,EXTRATO!$L$2:$L$3000)+SUMIF(EXTRATO!$A$2:$A$3000,$A1779,EXTRATO!$M$2:$M$3000))</f>
        <v/>
      </c>
      <c r="G1779" s="81" t="str">
        <f>IF(A1779="","",IF(INDEX(EXTRATO!$G$2:$G$3000,MATCH($A1779,EXTRATO!$A$2:$A$3000,0))="","",INDEX(EXTRATO!$G$2:$G$3000,MATCH($A1779,EXTRATO!$A$2:$A$3000,0))))</f>
        <v/>
      </c>
      <c r="H1779" s="86" t="str">
        <f>IF(A1779="","",IF(INDEX(EXTRATO!$F$2:$F$3000,MATCH($A1779,EXTRATO!$A$2:$A$3000,0))="","",INDEX(EXTRATO!$F$2:$F$3000,MATCH($A1779,EXTRATO!$A$2:$A$3000,0))))</f>
        <v/>
      </c>
      <c r="I1779" s="88" t="str">
        <f>IF(A1779="","",IF(INDEX(EXTRATO!$H$2:$H$3000,MATCH($A1779,EXTRATO!$A$2:$A$3000,0))="","",INDEX(EXTRATO!$H$2:$H$3000,MATCH($A1779,EXTRATO!$A$2:$A$3000,0))))</f>
        <v/>
      </c>
      <c r="J1779" s="86" t="str">
        <f t="shared" si="43"/>
        <v/>
      </c>
      <c r="K1779" s="86" t="str">
        <f>IF(AND(A1779="",D1779="",E1779="",F1779=""),"",IF(D1779="","SEM CATEGORIA",IF(E1779="","SEM SUBCATEGORIA",IF(COUNTIFS(CADASTROS!$L$7:$L$93,D1779,CADASTROS!$D$7:$D$93,E1779)=0,"INCOMPATÍVEL","OK"))))</f>
        <v/>
      </c>
    </row>
    <row r="1780" spans="1:11" ht="30" hidden="1" customHeight="1" x14ac:dyDescent="0.25">
      <c r="A1780" s="86" t="str">
        <f>IF(COUNTIF(EXTRATO!$A$2:$A$3000,"BAN-01637")=0,"","BAN-01637")</f>
        <v/>
      </c>
      <c r="B1780" s="85" t="str">
        <f>IF(A1780="","",IF(INDEX(EXTRATO!$C$2:$C$3000,MATCH($A1780,EXTRATO!$A$2:$A$3000,0))="","",INDEX(EXTRATO!$C$2:$C$3000,MATCH($A1780,EXTRATO!$A$2:$A$3000,0))))</f>
        <v/>
      </c>
      <c r="C1780" s="86" t="str">
        <f t="shared" si="42"/>
        <v/>
      </c>
      <c r="D1780" s="81"/>
      <c r="E1780" s="79"/>
      <c r="F1780" s="80" t="str">
        <f>IF(A1780="","",SUMIF(EXTRATO!$A$2:$A$3000,$A1780,EXTRATO!$J$2:$J$3000)+SUMIF(EXTRATO!$A$2:$A$3000,$A1780,EXTRATO!$K$2:$K$3000)+SUMIF(EXTRATO!$A$2:$A$3000,$A1780,EXTRATO!$L$2:$L$3000)+SUMIF(EXTRATO!$A$2:$A$3000,$A1780,EXTRATO!$M$2:$M$3000))</f>
        <v/>
      </c>
      <c r="G1780" s="81" t="str">
        <f>IF(A1780="","",IF(INDEX(EXTRATO!$G$2:$G$3000,MATCH($A1780,EXTRATO!$A$2:$A$3000,0))="","",INDEX(EXTRATO!$G$2:$G$3000,MATCH($A1780,EXTRATO!$A$2:$A$3000,0))))</f>
        <v/>
      </c>
      <c r="H1780" s="86" t="str">
        <f>IF(A1780="","",IF(INDEX(EXTRATO!$F$2:$F$3000,MATCH($A1780,EXTRATO!$A$2:$A$3000,0))="","",INDEX(EXTRATO!$F$2:$F$3000,MATCH($A1780,EXTRATO!$A$2:$A$3000,0))))</f>
        <v/>
      </c>
      <c r="I1780" s="88" t="str">
        <f>IF(A1780="","",IF(INDEX(EXTRATO!$H$2:$H$3000,MATCH($A1780,EXTRATO!$A$2:$A$3000,0))="","",INDEX(EXTRATO!$H$2:$H$3000,MATCH($A1780,EXTRATO!$A$2:$A$3000,0))))</f>
        <v/>
      </c>
      <c r="J1780" s="86" t="str">
        <f t="shared" si="43"/>
        <v/>
      </c>
      <c r="K1780" s="86" t="str">
        <f>IF(AND(A1780="",D1780="",E1780="",F1780=""),"",IF(D1780="","SEM CATEGORIA",IF(E1780="","SEM SUBCATEGORIA",IF(COUNTIFS(CADASTROS!$L$7:$L$93,D1780,CADASTROS!$D$7:$D$93,E1780)=0,"INCOMPATÍVEL","OK"))))</f>
        <v/>
      </c>
    </row>
    <row r="1781" spans="1:11" ht="30" hidden="1" customHeight="1" x14ac:dyDescent="0.25">
      <c r="A1781" s="86" t="str">
        <f>IF(COUNTIF(EXTRATO!$A$2:$A$3000,"BAN-01638")=0,"","BAN-01638")</f>
        <v/>
      </c>
      <c r="B1781" s="85" t="str">
        <f>IF(A1781="","",IF(INDEX(EXTRATO!$C$2:$C$3000,MATCH($A1781,EXTRATO!$A$2:$A$3000,0))="","",INDEX(EXTRATO!$C$2:$C$3000,MATCH($A1781,EXTRATO!$A$2:$A$3000,0))))</f>
        <v/>
      </c>
      <c r="C1781" s="86" t="str">
        <f t="shared" si="42"/>
        <v/>
      </c>
      <c r="D1781" s="81"/>
      <c r="E1781" s="79"/>
      <c r="F1781" s="80" t="str">
        <f>IF(A1781="","",SUMIF(EXTRATO!$A$2:$A$3000,$A1781,EXTRATO!$J$2:$J$3000)+SUMIF(EXTRATO!$A$2:$A$3000,$A1781,EXTRATO!$K$2:$K$3000)+SUMIF(EXTRATO!$A$2:$A$3000,$A1781,EXTRATO!$L$2:$L$3000)+SUMIF(EXTRATO!$A$2:$A$3000,$A1781,EXTRATO!$M$2:$M$3000))</f>
        <v/>
      </c>
      <c r="G1781" s="81" t="str">
        <f>IF(A1781="","",IF(INDEX(EXTRATO!$G$2:$G$3000,MATCH($A1781,EXTRATO!$A$2:$A$3000,0))="","",INDEX(EXTRATO!$G$2:$G$3000,MATCH($A1781,EXTRATO!$A$2:$A$3000,0))))</f>
        <v/>
      </c>
      <c r="H1781" s="86" t="str">
        <f>IF(A1781="","",IF(INDEX(EXTRATO!$F$2:$F$3000,MATCH($A1781,EXTRATO!$A$2:$A$3000,0))="","",INDEX(EXTRATO!$F$2:$F$3000,MATCH($A1781,EXTRATO!$A$2:$A$3000,0))))</f>
        <v/>
      </c>
      <c r="I1781" s="88" t="str">
        <f>IF(A1781="","",IF(INDEX(EXTRATO!$H$2:$H$3000,MATCH($A1781,EXTRATO!$A$2:$A$3000,0))="","",INDEX(EXTRATO!$H$2:$H$3000,MATCH($A1781,EXTRATO!$A$2:$A$3000,0))))</f>
        <v/>
      </c>
      <c r="J1781" s="86" t="str">
        <f t="shared" si="43"/>
        <v/>
      </c>
      <c r="K1781" s="86" t="str">
        <f>IF(AND(A1781="",D1781="",E1781="",F1781=""),"",IF(D1781="","SEM CATEGORIA",IF(E1781="","SEM SUBCATEGORIA",IF(COUNTIFS(CADASTROS!$L$7:$L$93,D1781,CADASTROS!$D$7:$D$93,E1781)=0,"INCOMPATÍVEL","OK"))))</f>
        <v/>
      </c>
    </row>
    <row r="1782" spans="1:11" ht="30" hidden="1" customHeight="1" x14ac:dyDescent="0.25">
      <c r="A1782" s="86" t="str">
        <f>IF(COUNTIF(EXTRATO!$A$2:$A$3000,"BAN-01639")=0,"","BAN-01639")</f>
        <v/>
      </c>
      <c r="B1782" s="85" t="str">
        <f>IF(A1782="","",IF(INDEX(EXTRATO!$C$2:$C$3000,MATCH($A1782,EXTRATO!$A$2:$A$3000,0))="","",INDEX(EXTRATO!$C$2:$C$3000,MATCH($A1782,EXTRATO!$A$2:$A$3000,0))))</f>
        <v/>
      </c>
      <c r="C1782" s="86" t="str">
        <f t="shared" si="42"/>
        <v/>
      </c>
      <c r="D1782" s="81"/>
      <c r="E1782" s="79"/>
      <c r="F1782" s="80" t="str">
        <f>IF(A1782="","",SUMIF(EXTRATO!$A$2:$A$3000,$A1782,EXTRATO!$J$2:$J$3000)+SUMIF(EXTRATO!$A$2:$A$3000,$A1782,EXTRATO!$K$2:$K$3000)+SUMIF(EXTRATO!$A$2:$A$3000,$A1782,EXTRATO!$L$2:$L$3000)+SUMIF(EXTRATO!$A$2:$A$3000,$A1782,EXTRATO!$M$2:$M$3000))</f>
        <v/>
      </c>
      <c r="G1782" s="81" t="str">
        <f>IF(A1782="","",IF(INDEX(EXTRATO!$G$2:$G$3000,MATCH($A1782,EXTRATO!$A$2:$A$3000,0))="","",INDEX(EXTRATO!$G$2:$G$3000,MATCH($A1782,EXTRATO!$A$2:$A$3000,0))))</f>
        <v/>
      </c>
      <c r="H1782" s="86" t="str">
        <f>IF(A1782="","",IF(INDEX(EXTRATO!$F$2:$F$3000,MATCH($A1782,EXTRATO!$A$2:$A$3000,0))="","",INDEX(EXTRATO!$F$2:$F$3000,MATCH($A1782,EXTRATO!$A$2:$A$3000,0))))</f>
        <v/>
      </c>
      <c r="I1782" s="88" t="str">
        <f>IF(A1782="","",IF(INDEX(EXTRATO!$H$2:$H$3000,MATCH($A1782,EXTRATO!$A$2:$A$3000,0))="","",INDEX(EXTRATO!$H$2:$H$3000,MATCH($A1782,EXTRATO!$A$2:$A$3000,0))))</f>
        <v/>
      </c>
      <c r="J1782" s="86" t="str">
        <f t="shared" si="43"/>
        <v/>
      </c>
      <c r="K1782" s="86" t="str">
        <f>IF(AND(A1782="",D1782="",E1782="",F1782=""),"",IF(D1782="","SEM CATEGORIA",IF(E1782="","SEM SUBCATEGORIA",IF(COUNTIFS(CADASTROS!$L$7:$L$93,D1782,CADASTROS!$D$7:$D$93,E1782)=0,"INCOMPATÍVEL","OK"))))</f>
        <v/>
      </c>
    </row>
    <row r="1783" spans="1:11" ht="30" hidden="1" customHeight="1" x14ac:dyDescent="0.25">
      <c r="A1783" s="86" t="str">
        <f>IF(COUNTIF(EXTRATO!$A$2:$A$3000,"BAN-01640")=0,"","BAN-01640")</f>
        <v/>
      </c>
      <c r="B1783" s="85" t="str">
        <f>IF(A1783="","",IF(INDEX(EXTRATO!$C$2:$C$3000,MATCH($A1783,EXTRATO!$A$2:$A$3000,0))="","",INDEX(EXTRATO!$C$2:$C$3000,MATCH($A1783,EXTRATO!$A$2:$A$3000,0))))</f>
        <v/>
      </c>
      <c r="C1783" s="86" t="str">
        <f t="shared" si="42"/>
        <v/>
      </c>
      <c r="D1783" s="81"/>
      <c r="E1783" s="79"/>
      <c r="F1783" s="80" t="str">
        <f>IF(A1783="","",SUMIF(EXTRATO!$A$2:$A$3000,$A1783,EXTRATO!$J$2:$J$3000)+SUMIF(EXTRATO!$A$2:$A$3000,$A1783,EXTRATO!$K$2:$K$3000)+SUMIF(EXTRATO!$A$2:$A$3000,$A1783,EXTRATO!$L$2:$L$3000)+SUMIF(EXTRATO!$A$2:$A$3000,$A1783,EXTRATO!$M$2:$M$3000))</f>
        <v/>
      </c>
      <c r="G1783" s="81" t="str">
        <f>IF(A1783="","",IF(INDEX(EXTRATO!$G$2:$G$3000,MATCH($A1783,EXTRATO!$A$2:$A$3000,0))="","",INDEX(EXTRATO!$G$2:$G$3000,MATCH($A1783,EXTRATO!$A$2:$A$3000,0))))</f>
        <v/>
      </c>
      <c r="H1783" s="86" t="str">
        <f>IF(A1783="","",IF(INDEX(EXTRATO!$F$2:$F$3000,MATCH($A1783,EXTRATO!$A$2:$A$3000,0))="","",INDEX(EXTRATO!$F$2:$F$3000,MATCH($A1783,EXTRATO!$A$2:$A$3000,0))))</f>
        <v/>
      </c>
      <c r="I1783" s="88" t="str">
        <f>IF(A1783="","",IF(INDEX(EXTRATO!$H$2:$H$3000,MATCH($A1783,EXTRATO!$A$2:$A$3000,0))="","",INDEX(EXTRATO!$H$2:$H$3000,MATCH($A1783,EXTRATO!$A$2:$A$3000,0))))</f>
        <v/>
      </c>
      <c r="J1783" s="86" t="str">
        <f t="shared" si="43"/>
        <v/>
      </c>
      <c r="K1783" s="86" t="str">
        <f>IF(AND(A1783="",D1783="",E1783="",F1783=""),"",IF(D1783="","SEM CATEGORIA",IF(E1783="","SEM SUBCATEGORIA",IF(COUNTIFS(CADASTROS!$L$7:$L$93,D1783,CADASTROS!$D$7:$D$93,E1783)=0,"INCOMPATÍVEL","OK"))))</f>
        <v/>
      </c>
    </row>
    <row r="1784" spans="1:11" ht="30" hidden="1" customHeight="1" x14ac:dyDescent="0.25">
      <c r="A1784" s="86" t="str">
        <f>IF(COUNTIF(EXTRATO!$A$2:$A$3000,"BAN-01641")=0,"","BAN-01641")</f>
        <v/>
      </c>
      <c r="B1784" s="85" t="str">
        <f>IF(A1784="","",IF(INDEX(EXTRATO!$C$2:$C$3000,MATCH($A1784,EXTRATO!$A$2:$A$3000,0))="","",INDEX(EXTRATO!$C$2:$C$3000,MATCH($A1784,EXTRATO!$A$2:$A$3000,0))))</f>
        <v/>
      </c>
      <c r="C1784" s="86" t="str">
        <f t="shared" si="42"/>
        <v/>
      </c>
      <c r="D1784" s="81"/>
      <c r="E1784" s="79"/>
      <c r="F1784" s="80" t="str">
        <f>IF(A1784="","",SUMIF(EXTRATO!$A$2:$A$3000,$A1784,EXTRATO!$J$2:$J$3000)+SUMIF(EXTRATO!$A$2:$A$3000,$A1784,EXTRATO!$K$2:$K$3000)+SUMIF(EXTRATO!$A$2:$A$3000,$A1784,EXTRATO!$L$2:$L$3000)+SUMIF(EXTRATO!$A$2:$A$3000,$A1784,EXTRATO!$M$2:$M$3000))</f>
        <v/>
      </c>
      <c r="G1784" s="81" t="str">
        <f>IF(A1784="","",IF(INDEX(EXTRATO!$G$2:$G$3000,MATCH($A1784,EXTRATO!$A$2:$A$3000,0))="","",INDEX(EXTRATO!$G$2:$G$3000,MATCH($A1784,EXTRATO!$A$2:$A$3000,0))))</f>
        <v/>
      </c>
      <c r="H1784" s="86" t="str">
        <f>IF(A1784="","",IF(INDEX(EXTRATO!$F$2:$F$3000,MATCH($A1784,EXTRATO!$A$2:$A$3000,0))="","",INDEX(EXTRATO!$F$2:$F$3000,MATCH($A1784,EXTRATO!$A$2:$A$3000,0))))</f>
        <v/>
      </c>
      <c r="I1784" s="88" t="str">
        <f>IF(A1784="","",IF(INDEX(EXTRATO!$H$2:$H$3000,MATCH($A1784,EXTRATO!$A$2:$A$3000,0))="","",INDEX(EXTRATO!$H$2:$H$3000,MATCH($A1784,EXTRATO!$A$2:$A$3000,0))))</f>
        <v/>
      </c>
      <c r="J1784" s="86" t="str">
        <f t="shared" si="43"/>
        <v/>
      </c>
      <c r="K1784" s="86" t="str">
        <f>IF(AND(A1784="",D1784="",E1784="",F1784=""),"",IF(D1784="","SEM CATEGORIA",IF(E1784="","SEM SUBCATEGORIA",IF(COUNTIFS(CADASTROS!$L$7:$L$93,D1784,CADASTROS!$D$7:$D$93,E1784)=0,"INCOMPATÍVEL","OK"))))</f>
        <v/>
      </c>
    </row>
    <row r="1785" spans="1:11" ht="30" hidden="1" customHeight="1" x14ac:dyDescent="0.25">
      <c r="A1785" s="86" t="str">
        <f>IF(COUNTIF(EXTRATO!$A$2:$A$3000,"BAN-01642")=0,"","BAN-01642")</f>
        <v/>
      </c>
      <c r="B1785" s="85" t="str">
        <f>IF(A1785="","",IF(INDEX(EXTRATO!$C$2:$C$3000,MATCH($A1785,EXTRATO!$A$2:$A$3000,0))="","",INDEX(EXTRATO!$C$2:$C$3000,MATCH($A1785,EXTRATO!$A$2:$A$3000,0))))</f>
        <v/>
      </c>
      <c r="C1785" s="86" t="str">
        <f t="shared" si="42"/>
        <v/>
      </c>
      <c r="D1785" s="81"/>
      <c r="E1785" s="79"/>
      <c r="F1785" s="80" t="str">
        <f>IF(A1785="","",SUMIF(EXTRATO!$A$2:$A$3000,$A1785,EXTRATO!$J$2:$J$3000)+SUMIF(EXTRATO!$A$2:$A$3000,$A1785,EXTRATO!$K$2:$K$3000)+SUMIF(EXTRATO!$A$2:$A$3000,$A1785,EXTRATO!$L$2:$L$3000)+SUMIF(EXTRATO!$A$2:$A$3000,$A1785,EXTRATO!$M$2:$M$3000))</f>
        <v/>
      </c>
      <c r="G1785" s="81" t="str">
        <f>IF(A1785="","",IF(INDEX(EXTRATO!$G$2:$G$3000,MATCH($A1785,EXTRATO!$A$2:$A$3000,0))="","",INDEX(EXTRATO!$G$2:$G$3000,MATCH($A1785,EXTRATO!$A$2:$A$3000,0))))</f>
        <v/>
      </c>
      <c r="H1785" s="86" t="str">
        <f>IF(A1785="","",IF(INDEX(EXTRATO!$F$2:$F$3000,MATCH($A1785,EXTRATO!$A$2:$A$3000,0))="","",INDEX(EXTRATO!$F$2:$F$3000,MATCH($A1785,EXTRATO!$A$2:$A$3000,0))))</f>
        <v/>
      </c>
      <c r="I1785" s="88" t="str">
        <f>IF(A1785="","",IF(INDEX(EXTRATO!$H$2:$H$3000,MATCH($A1785,EXTRATO!$A$2:$A$3000,0))="","",INDEX(EXTRATO!$H$2:$H$3000,MATCH($A1785,EXTRATO!$A$2:$A$3000,0))))</f>
        <v/>
      </c>
      <c r="J1785" s="86" t="str">
        <f t="shared" si="43"/>
        <v/>
      </c>
      <c r="K1785" s="86" t="str">
        <f>IF(AND(A1785="",D1785="",E1785="",F1785=""),"",IF(D1785="","SEM CATEGORIA",IF(E1785="","SEM SUBCATEGORIA",IF(COUNTIFS(CADASTROS!$L$7:$L$93,D1785,CADASTROS!$D$7:$D$93,E1785)=0,"INCOMPATÍVEL","OK"))))</f>
        <v/>
      </c>
    </row>
    <row r="1786" spans="1:11" ht="30" hidden="1" customHeight="1" x14ac:dyDescent="0.25">
      <c r="A1786" s="86" t="str">
        <f>IF(COUNTIF(EXTRATO!$A$2:$A$3000,"BAN-01643")=0,"","BAN-01643")</f>
        <v/>
      </c>
      <c r="B1786" s="85" t="str">
        <f>IF(A1786="","",IF(INDEX(EXTRATO!$C$2:$C$3000,MATCH($A1786,EXTRATO!$A$2:$A$3000,0))="","",INDEX(EXTRATO!$C$2:$C$3000,MATCH($A1786,EXTRATO!$A$2:$A$3000,0))))</f>
        <v/>
      </c>
      <c r="C1786" s="86" t="str">
        <f t="shared" si="42"/>
        <v/>
      </c>
      <c r="D1786" s="81"/>
      <c r="E1786" s="79"/>
      <c r="F1786" s="80" t="str">
        <f>IF(A1786="","",SUMIF(EXTRATO!$A$2:$A$3000,$A1786,EXTRATO!$J$2:$J$3000)+SUMIF(EXTRATO!$A$2:$A$3000,$A1786,EXTRATO!$K$2:$K$3000)+SUMIF(EXTRATO!$A$2:$A$3000,$A1786,EXTRATO!$L$2:$L$3000)+SUMIF(EXTRATO!$A$2:$A$3000,$A1786,EXTRATO!$M$2:$M$3000))</f>
        <v/>
      </c>
      <c r="G1786" s="81" t="str">
        <f>IF(A1786="","",IF(INDEX(EXTRATO!$G$2:$G$3000,MATCH($A1786,EXTRATO!$A$2:$A$3000,0))="","",INDEX(EXTRATO!$G$2:$G$3000,MATCH($A1786,EXTRATO!$A$2:$A$3000,0))))</f>
        <v/>
      </c>
      <c r="H1786" s="86" t="str">
        <f>IF(A1786="","",IF(INDEX(EXTRATO!$F$2:$F$3000,MATCH($A1786,EXTRATO!$A$2:$A$3000,0))="","",INDEX(EXTRATO!$F$2:$F$3000,MATCH($A1786,EXTRATO!$A$2:$A$3000,0))))</f>
        <v/>
      </c>
      <c r="I1786" s="88" t="str">
        <f>IF(A1786="","",IF(INDEX(EXTRATO!$H$2:$H$3000,MATCH($A1786,EXTRATO!$A$2:$A$3000,0))="","",INDEX(EXTRATO!$H$2:$H$3000,MATCH($A1786,EXTRATO!$A$2:$A$3000,0))))</f>
        <v/>
      </c>
      <c r="J1786" s="86" t="str">
        <f t="shared" si="43"/>
        <v/>
      </c>
      <c r="K1786" s="86" t="str">
        <f>IF(AND(A1786="",D1786="",E1786="",F1786=""),"",IF(D1786="","SEM CATEGORIA",IF(E1786="","SEM SUBCATEGORIA",IF(COUNTIFS(CADASTROS!$L$7:$L$93,D1786,CADASTROS!$D$7:$D$93,E1786)=0,"INCOMPATÍVEL","OK"))))</f>
        <v/>
      </c>
    </row>
    <row r="1787" spans="1:11" ht="30" hidden="1" customHeight="1" x14ac:dyDescent="0.25">
      <c r="A1787" s="86" t="str">
        <f>IF(COUNTIF(EXTRATO!$A$2:$A$3000,"BAN-01644")=0,"","BAN-01644")</f>
        <v/>
      </c>
      <c r="B1787" s="85" t="str">
        <f>IF(A1787="","",IF(INDEX(EXTRATO!$C$2:$C$3000,MATCH($A1787,EXTRATO!$A$2:$A$3000,0))="","",INDEX(EXTRATO!$C$2:$C$3000,MATCH($A1787,EXTRATO!$A$2:$A$3000,0))))</f>
        <v/>
      </c>
      <c r="C1787" s="86" t="str">
        <f t="shared" si="42"/>
        <v/>
      </c>
      <c r="D1787" s="81"/>
      <c r="E1787" s="79"/>
      <c r="F1787" s="80" t="str">
        <f>IF(A1787="","",SUMIF(EXTRATO!$A$2:$A$3000,$A1787,EXTRATO!$J$2:$J$3000)+SUMIF(EXTRATO!$A$2:$A$3000,$A1787,EXTRATO!$K$2:$K$3000)+SUMIF(EXTRATO!$A$2:$A$3000,$A1787,EXTRATO!$L$2:$L$3000)+SUMIF(EXTRATO!$A$2:$A$3000,$A1787,EXTRATO!$M$2:$M$3000))</f>
        <v/>
      </c>
      <c r="G1787" s="81" t="str">
        <f>IF(A1787="","",IF(INDEX(EXTRATO!$G$2:$G$3000,MATCH($A1787,EXTRATO!$A$2:$A$3000,0))="","",INDEX(EXTRATO!$G$2:$G$3000,MATCH($A1787,EXTRATO!$A$2:$A$3000,0))))</f>
        <v/>
      </c>
      <c r="H1787" s="86" t="str">
        <f>IF(A1787="","",IF(INDEX(EXTRATO!$F$2:$F$3000,MATCH($A1787,EXTRATO!$A$2:$A$3000,0))="","",INDEX(EXTRATO!$F$2:$F$3000,MATCH($A1787,EXTRATO!$A$2:$A$3000,0))))</f>
        <v/>
      </c>
      <c r="I1787" s="88" t="str">
        <f>IF(A1787="","",IF(INDEX(EXTRATO!$H$2:$H$3000,MATCH($A1787,EXTRATO!$A$2:$A$3000,0))="","",INDEX(EXTRATO!$H$2:$H$3000,MATCH($A1787,EXTRATO!$A$2:$A$3000,0))))</f>
        <v/>
      </c>
      <c r="J1787" s="86" t="str">
        <f t="shared" si="43"/>
        <v/>
      </c>
      <c r="K1787" s="86" t="str">
        <f>IF(AND(A1787="",D1787="",E1787="",F1787=""),"",IF(D1787="","SEM CATEGORIA",IF(E1787="","SEM SUBCATEGORIA",IF(COUNTIFS(CADASTROS!$L$7:$L$93,D1787,CADASTROS!$D$7:$D$93,E1787)=0,"INCOMPATÍVEL","OK"))))</f>
        <v/>
      </c>
    </row>
    <row r="1788" spans="1:11" ht="30" hidden="1" customHeight="1" x14ac:dyDescent="0.25">
      <c r="A1788" s="86" t="str">
        <f>IF(COUNTIF(EXTRATO!$A$2:$A$3000,"BAN-01645")=0,"","BAN-01645")</f>
        <v/>
      </c>
      <c r="B1788" s="85" t="str">
        <f>IF(A1788="","",IF(INDEX(EXTRATO!$C$2:$C$3000,MATCH($A1788,EXTRATO!$A$2:$A$3000,0))="","",INDEX(EXTRATO!$C$2:$C$3000,MATCH($A1788,EXTRATO!$A$2:$A$3000,0))))</f>
        <v/>
      </c>
      <c r="C1788" s="86" t="str">
        <f t="shared" si="42"/>
        <v/>
      </c>
      <c r="D1788" s="81"/>
      <c r="E1788" s="79"/>
      <c r="F1788" s="80" t="str">
        <f>IF(A1788="","",SUMIF(EXTRATO!$A$2:$A$3000,$A1788,EXTRATO!$J$2:$J$3000)+SUMIF(EXTRATO!$A$2:$A$3000,$A1788,EXTRATO!$K$2:$K$3000)+SUMIF(EXTRATO!$A$2:$A$3000,$A1788,EXTRATO!$L$2:$L$3000)+SUMIF(EXTRATO!$A$2:$A$3000,$A1788,EXTRATO!$M$2:$M$3000))</f>
        <v/>
      </c>
      <c r="G1788" s="81" t="str">
        <f>IF(A1788="","",IF(INDEX(EXTRATO!$G$2:$G$3000,MATCH($A1788,EXTRATO!$A$2:$A$3000,0))="","",INDEX(EXTRATO!$G$2:$G$3000,MATCH($A1788,EXTRATO!$A$2:$A$3000,0))))</f>
        <v/>
      </c>
      <c r="H1788" s="86" t="str">
        <f>IF(A1788="","",IF(INDEX(EXTRATO!$F$2:$F$3000,MATCH($A1788,EXTRATO!$A$2:$A$3000,0))="","",INDEX(EXTRATO!$F$2:$F$3000,MATCH($A1788,EXTRATO!$A$2:$A$3000,0))))</f>
        <v/>
      </c>
      <c r="I1788" s="88" t="str">
        <f>IF(A1788="","",IF(INDEX(EXTRATO!$H$2:$H$3000,MATCH($A1788,EXTRATO!$A$2:$A$3000,0))="","",INDEX(EXTRATO!$H$2:$H$3000,MATCH($A1788,EXTRATO!$A$2:$A$3000,0))))</f>
        <v/>
      </c>
      <c r="J1788" s="86" t="str">
        <f t="shared" si="43"/>
        <v/>
      </c>
      <c r="K1788" s="86" t="str">
        <f>IF(AND(A1788="",D1788="",E1788="",F1788=""),"",IF(D1788="","SEM CATEGORIA",IF(E1788="","SEM SUBCATEGORIA",IF(COUNTIFS(CADASTROS!$L$7:$L$93,D1788,CADASTROS!$D$7:$D$93,E1788)=0,"INCOMPATÍVEL","OK"))))</f>
        <v/>
      </c>
    </row>
    <row r="1789" spans="1:11" ht="30" hidden="1" customHeight="1" x14ac:dyDescent="0.25">
      <c r="A1789" s="86" t="str">
        <f>IF(COUNTIF(EXTRATO!$A$2:$A$3000,"BAN-01646")=0,"","BAN-01646")</f>
        <v/>
      </c>
      <c r="B1789" s="85" t="str">
        <f>IF(A1789="","",IF(INDEX(EXTRATO!$C$2:$C$3000,MATCH($A1789,EXTRATO!$A$2:$A$3000,0))="","",INDEX(EXTRATO!$C$2:$C$3000,MATCH($A1789,EXTRATO!$A$2:$A$3000,0))))</f>
        <v/>
      </c>
      <c r="C1789" s="86" t="str">
        <f t="shared" si="42"/>
        <v/>
      </c>
      <c r="D1789" s="81"/>
      <c r="E1789" s="79"/>
      <c r="F1789" s="80" t="str">
        <f>IF(A1789="","",SUMIF(EXTRATO!$A$2:$A$3000,$A1789,EXTRATO!$J$2:$J$3000)+SUMIF(EXTRATO!$A$2:$A$3000,$A1789,EXTRATO!$K$2:$K$3000)+SUMIF(EXTRATO!$A$2:$A$3000,$A1789,EXTRATO!$L$2:$L$3000)+SUMIF(EXTRATO!$A$2:$A$3000,$A1789,EXTRATO!$M$2:$M$3000))</f>
        <v/>
      </c>
      <c r="G1789" s="81" t="str">
        <f>IF(A1789="","",IF(INDEX(EXTRATO!$G$2:$G$3000,MATCH($A1789,EXTRATO!$A$2:$A$3000,0))="","",INDEX(EXTRATO!$G$2:$G$3000,MATCH($A1789,EXTRATO!$A$2:$A$3000,0))))</f>
        <v/>
      </c>
      <c r="H1789" s="86" t="str">
        <f>IF(A1789="","",IF(INDEX(EXTRATO!$F$2:$F$3000,MATCH($A1789,EXTRATO!$A$2:$A$3000,0))="","",INDEX(EXTRATO!$F$2:$F$3000,MATCH($A1789,EXTRATO!$A$2:$A$3000,0))))</f>
        <v/>
      </c>
      <c r="I1789" s="88" t="str">
        <f>IF(A1789="","",IF(INDEX(EXTRATO!$H$2:$H$3000,MATCH($A1789,EXTRATO!$A$2:$A$3000,0))="","",INDEX(EXTRATO!$H$2:$H$3000,MATCH($A1789,EXTRATO!$A$2:$A$3000,0))))</f>
        <v/>
      </c>
      <c r="J1789" s="86" t="str">
        <f t="shared" si="43"/>
        <v/>
      </c>
      <c r="K1789" s="86" t="str">
        <f>IF(AND(A1789="",D1789="",E1789="",F1789=""),"",IF(D1789="","SEM CATEGORIA",IF(E1789="","SEM SUBCATEGORIA",IF(COUNTIFS(CADASTROS!$L$7:$L$93,D1789,CADASTROS!$D$7:$D$93,E1789)=0,"INCOMPATÍVEL","OK"))))</f>
        <v/>
      </c>
    </row>
    <row r="1790" spans="1:11" ht="30" hidden="1" customHeight="1" x14ac:dyDescent="0.25">
      <c r="A1790" s="86" t="str">
        <f>IF(COUNTIF(EXTRATO!$A$2:$A$3000,"BAN-01647")=0,"","BAN-01647")</f>
        <v/>
      </c>
      <c r="B1790" s="85" t="str">
        <f>IF(A1790="","",IF(INDEX(EXTRATO!$C$2:$C$3000,MATCH($A1790,EXTRATO!$A$2:$A$3000,0))="","",INDEX(EXTRATO!$C$2:$C$3000,MATCH($A1790,EXTRATO!$A$2:$A$3000,0))))</f>
        <v/>
      </c>
      <c r="C1790" s="86" t="str">
        <f t="shared" si="42"/>
        <v/>
      </c>
      <c r="D1790" s="81"/>
      <c r="E1790" s="79"/>
      <c r="F1790" s="80" t="str">
        <f>IF(A1790="","",SUMIF(EXTRATO!$A$2:$A$3000,$A1790,EXTRATO!$J$2:$J$3000)+SUMIF(EXTRATO!$A$2:$A$3000,$A1790,EXTRATO!$K$2:$K$3000)+SUMIF(EXTRATO!$A$2:$A$3000,$A1790,EXTRATO!$L$2:$L$3000)+SUMIF(EXTRATO!$A$2:$A$3000,$A1790,EXTRATO!$M$2:$M$3000))</f>
        <v/>
      </c>
      <c r="G1790" s="81" t="str">
        <f>IF(A1790="","",IF(INDEX(EXTRATO!$G$2:$G$3000,MATCH($A1790,EXTRATO!$A$2:$A$3000,0))="","",INDEX(EXTRATO!$G$2:$G$3000,MATCH($A1790,EXTRATO!$A$2:$A$3000,0))))</f>
        <v/>
      </c>
      <c r="H1790" s="86" t="str">
        <f>IF(A1790="","",IF(INDEX(EXTRATO!$F$2:$F$3000,MATCH($A1790,EXTRATO!$A$2:$A$3000,0))="","",INDEX(EXTRATO!$F$2:$F$3000,MATCH($A1790,EXTRATO!$A$2:$A$3000,0))))</f>
        <v/>
      </c>
      <c r="I1790" s="88" t="str">
        <f>IF(A1790="","",IF(INDEX(EXTRATO!$H$2:$H$3000,MATCH($A1790,EXTRATO!$A$2:$A$3000,0))="","",INDEX(EXTRATO!$H$2:$H$3000,MATCH($A1790,EXTRATO!$A$2:$A$3000,0))))</f>
        <v/>
      </c>
      <c r="J1790" s="86" t="str">
        <f t="shared" si="43"/>
        <v/>
      </c>
      <c r="K1790" s="86" t="str">
        <f>IF(AND(A1790="",D1790="",E1790="",F1790=""),"",IF(D1790="","SEM CATEGORIA",IF(E1790="","SEM SUBCATEGORIA",IF(COUNTIFS(CADASTROS!$L$7:$L$93,D1790,CADASTROS!$D$7:$D$93,E1790)=0,"INCOMPATÍVEL","OK"))))</f>
        <v/>
      </c>
    </row>
    <row r="1791" spans="1:11" ht="30" hidden="1" customHeight="1" x14ac:dyDescent="0.25">
      <c r="A1791" s="86" t="str">
        <f>IF(COUNTIF(EXTRATO!$A$2:$A$3000,"BAN-01648")=0,"","BAN-01648")</f>
        <v/>
      </c>
      <c r="B1791" s="85" t="str">
        <f>IF(A1791="","",IF(INDEX(EXTRATO!$C$2:$C$3000,MATCH($A1791,EXTRATO!$A$2:$A$3000,0))="","",INDEX(EXTRATO!$C$2:$C$3000,MATCH($A1791,EXTRATO!$A$2:$A$3000,0))))</f>
        <v/>
      </c>
      <c r="C1791" s="86" t="str">
        <f t="shared" si="42"/>
        <v/>
      </c>
      <c r="D1791" s="81"/>
      <c r="E1791" s="79"/>
      <c r="F1791" s="80" t="str">
        <f>IF(A1791="","",SUMIF(EXTRATO!$A$2:$A$3000,$A1791,EXTRATO!$J$2:$J$3000)+SUMIF(EXTRATO!$A$2:$A$3000,$A1791,EXTRATO!$K$2:$K$3000)+SUMIF(EXTRATO!$A$2:$A$3000,$A1791,EXTRATO!$L$2:$L$3000)+SUMIF(EXTRATO!$A$2:$A$3000,$A1791,EXTRATO!$M$2:$M$3000))</f>
        <v/>
      </c>
      <c r="G1791" s="81" t="str">
        <f>IF(A1791="","",IF(INDEX(EXTRATO!$G$2:$G$3000,MATCH($A1791,EXTRATO!$A$2:$A$3000,0))="","",INDEX(EXTRATO!$G$2:$G$3000,MATCH($A1791,EXTRATO!$A$2:$A$3000,0))))</f>
        <v/>
      </c>
      <c r="H1791" s="86" t="str">
        <f>IF(A1791="","",IF(INDEX(EXTRATO!$F$2:$F$3000,MATCH($A1791,EXTRATO!$A$2:$A$3000,0))="","",INDEX(EXTRATO!$F$2:$F$3000,MATCH($A1791,EXTRATO!$A$2:$A$3000,0))))</f>
        <v/>
      </c>
      <c r="I1791" s="88" t="str">
        <f>IF(A1791="","",IF(INDEX(EXTRATO!$H$2:$H$3000,MATCH($A1791,EXTRATO!$A$2:$A$3000,0))="","",INDEX(EXTRATO!$H$2:$H$3000,MATCH($A1791,EXTRATO!$A$2:$A$3000,0))))</f>
        <v/>
      </c>
      <c r="J1791" s="86" t="str">
        <f t="shared" si="43"/>
        <v/>
      </c>
      <c r="K1791" s="86" t="str">
        <f>IF(AND(A1791="",D1791="",E1791="",F1791=""),"",IF(D1791="","SEM CATEGORIA",IF(E1791="","SEM SUBCATEGORIA",IF(COUNTIFS(CADASTROS!$L$7:$L$93,D1791,CADASTROS!$D$7:$D$93,E1791)=0,"INCOMPATÍVEL","OK"))))</f>
        <v/>
      </c>
    </row>
    <row r="1792" spans="1:11" ht="30" hidden="1" customHeight="1" x14ac:dyDescent="0.25">
      <c r="A1792" s="86" t="str">
        <f>IF(COUNTIF(EXTRATO!$A$2:$A$3000,"BAN-01649")=0,"","BAN-01649")</f>
        <v/>
      </c>
      <c r="B1792" s="85" t="str">
        <f>IF(A1792="","",IF(INDEX(EXTRATO!$C$2:$C$3000,MATCH($A1792,EXTRATO!$A$2:$A$3000,0))="","",INDEX(EXTRATO!$C$2:$C$3000,MATCH($A1792,EXTRATO!$A$2:$A$3000,0))))</f>
        <v/>
      </c>
      <c r="C1792" s="86" t="str">
        <f t="shared" si="42"/>
        <v/>
      </c>
      <c r="D1792" s="81"/>
      <c r="E1792" s="79"/>
      <c r="F1792" s="80" t="str">
        <f>IF(A1792="","",SUMIF(EXTRATO!$A$2:$A$3000,$A1792,EXTRATO!$J$2:$J$3000)+SUMIF(EXTRATO!$A$2:$A$3000,$A1792,EXTRATO!$K$2:$K$3000)+SUMIF(EXTRATO!$A$2:$A$3000,$A1792,EXTRATO!$L$2:$L$3000)+SUMIF(EXTRATO!$A$2:$A$3000,$A1792,EXTRATO!$M$2:$M$3000))</f>
        <v/>
      </c>
      <c r="G1792" s="81" t="str">
        <f>IF(A1792="","",IF(INDEX(EXTRATO!$G$2:$G$3000,MATCH($A1792,EXTRATO!$A$2:$A$3000,0))="","",INDEX(EXTRATO!$G$2:$G$3000,MATCH($A1792,EXTRATO!$A$2:$A$3000,0))))</f>
        <v/>
      </c>
      <c r="H1792" s="86" t="str">
        <f>IF(A1792="","",IF(INDEX(EXTRATO!$F$2:$F$3000,MATCH($A1792,EXTRATO!$A$2:$A$3000,0))="","",INDEX(EXTRATO!$F$2:$F$3000,MATCH($A1792,EXTRATO!$A$2:$A$3000,0))))</f>
        <v/>
      </c>
      <c r="I1792" s="88" t="str">
        <f>IF(A1792="","",IF(INDEX(EXTRATO!$H$2:$H$3000,MATCH($A1792,EXTRATO!$A$2:$A$3000,0))="","",INDEX(EXTRATO!$H$2:$H$3000,MATCH($A1792,EXTRATO!$A$2:$A$3000,0))))</f>
        <v/>
      </c>
      <c r="J1792" s="86" t="str">
        <f t="shared" si="43"/>
        <v/>
      </c>
      <c r="K1792" s="86" t="str">
        <f>IF(AND(A1792="",D1792="",E1792="",F1792=""),"",IF(D1792="","SEM CATEGORIA",IF(E1792="","SEM SUBCATEGORIA",IF(COUNTIFS(CADASTROS!$L$7:$L$93,D1792,CADASTROS!$D$7:$D$93,E1792)=0,"INCOMPATÍVEL","OK"))))</f>
        <v/>
      </c>
    </row>
    <row r="1793" spans="1:11" ht="30" hidden="1" customHeight="1" x14ac:dyDescent="0.25">
      <c r="A1793" s="86" t="str">
        <f>IF(COUNTIF(EXTRATO!$A$2:$A$3000,"BAN-01650")=0,"","BAN-01650")</f>
        <v/>
      </c>
      <c r="B1793" s="85" t="str">
        <f>IF(A1793="","",IF(INDEX(EXTRATO!$C$2:$C$3000,MATCH($A1793,EXTRATO!$A$2:$A$3000,0))="","",INDEX(EXTRATO!$C$2:$C$3000,MATCH($A1793,EXTRATO!$A$2:$A$3000,0))))</f>
        <v/>
      </c>
      <c r="C1793" s="86" t="str">
        <f t="shared" si="42"/>
        <v/>
      </c>
      <c r="D1793" s="81"/>
      <c r="E1793" s="79"/>
      <c r="F1793" s="80" t="str">
        <f>IF(A1793="","",SUMIF(EXTRATO!$A$2:$A$3000,$A1793,EXTRATO!$J$2:$J$3000)+SUMIF(EXTRATO!$A$2:$A$3000,$A1793,EXTRATO!$K$2:$K$3000)+SUMIF(EXTRATO!$A$2:$A$3000,$A1793,EXTRATO!$L$2:$L$3000)+SUMIF(EXTRATO!$A$2:$A$3000,$A1793,EXTRATO!$M$2:$M$3000))</f>
        <v/>
      </c>
      <c r="G1793" s="81" t="str">
        <f>IF(A1793="","",IF(INDEX(EXTRATO!$G$2:$G$3000,MATCH($A1793,EXTRATO!$A$2:$A$3000,0))="","",INDEX(EXTRATO!$G$2:$G$3000,MATCH($A1793,EXTRATO!$A$2:$A$3000,0))))</f>
        <v/>
      </c>
      <c r="H1793" s="86" t="str">
        <f>IF(A1793="","",IF(INDEX(EXTRATO!$F$2:$F$3000,MATCH($A1793,EXTRATO!$A$2:$A$3000,0))="","",INDEX(EXTRATO!$F$2:$F$3000,MATCH($A1793,EXTRATO!$A$2:$A$3000,0))))</f>
        <v/>
      </c>
      <c r="I1793" s="88" t="str">
        <f>IF(A1793="","",IF(INDEX(EXTRATO!$H$2:$H$3000,MATCH($A1793,EXTRATO!$A$2:$A$3000,0))="","",INDEX(EXTRATO!$H$2:$H$3000,MATCH($A1793,EXTRATO!$A$2:$A$3000,0))))</f>
        <v/>
      </c>
      <c r="J1793" s="86" t="str">
        <f t="shared" si="43"/>
        <v/>
      </c>
      <c r="K1793" s="86" t="str">
        <f>IF(AND(A1793="",D1793="",E1793="",F1793=""),"",IF(D1793="","SEM CATEGORIA",IF(E1793="","SEM SUBCATEGORIA",IF(COUNTIFS(CADASTROS!$L$7:$L$93,D1793,CADASTROS!$D$7:$D$93,E1793)=0,"INCOMPATÍVEL","OK"))))</f>
        <v/>
      </c>
    </row>
    <row r="1794" spans="1:11" ht="30" hidden="1" customHeight="1" x14ac:dyDescent="0.25">
      <c r="A1794" s="86" t="str">
        <f>IF(COUNTIF(EXTRATO!$A$2:$A$3000,"BAN-01651")=0,"","BAN-01651")</f>
        <v/>
      </c>
      <c r="B1794" s="85" t="str">
        <f>IF(A1794="","",IF(INDEX(EXTRATO!$C$2:$C$3000,MATCH($A1794,EXTRATO!$A$2:$A$3000,0))="","",INDEX(EXTRATO!$C$2:$C$3000,MATCH($A1794,EXTRATO!$A$2:$A$3000,0))))</f>
        <v/>
      </c>
      <c r="C1794" s="86" t="str">
        <f t="shared" si="42"/>
        <v/>
      </c>
      <c r="D1794" s="81"/>
      <c r="E1794" s="79"/>
      <c r="F1794" s="80" t="str">
        <f>IF(A1794="","",SUMIF(EXTRATO!$A$2:$A$3000,$A1794,EXTRATO!$J$2:$J$3000)+SUMIF(EXTRATO!$A$2:$A$3000,$A1794,EXTRATO!$K$2:$K$3000)+SUMIF(EXTRATO!$A$2:$A$3000,$A1794,EXTRATO!$L$2:$L$3000)+SUMIF(EXTRATO!$A$2:$A$3000,$A1794,EXTRATO!$M$2:$M$3000))</f>
        <v/>
      </c>
      <c r="G1794" s="81" t="str">
        <f>IF(A1794="","",IF(INDEX(EXTRATO!$G$2:$G$3000,MATCH($A1794,EXTRATO!$A$2:$A$3000,0))="","",INDEX(EXTRATO!$G$2:$G$3000,MATCH($A1794,EXTRATO!$A$2:$A$3000,0))))</f>
        <v/>
      </c>
      <c r="H1794" s="86" t="str">
        <f>IF(A1794="","",IF(INDEX(EXTRATO!$F$2:$F$3000,MATCH($A1794,EXTRATO!$A$2:$A$3000,0))="","",INDEX(EXTRATO!$F$2:$F$3000,MATCH($A1794,EXTRATO!$A$2:$A$3000,0))))</f>
        <v/>
      </c>
      <c r="I1794" s="88" t="str">
        <f>IF(A1794="","",IF(INDEX(EXTRATO!$H$2:$H$3000,MATCH($A1794,EXTRATO!$A$2:$A$3000,0))="","",INDEX(EXTRATO!$H$2:$H$3000,MATCH($A1794,EXTRATO!$A$2:$A$3000,0))))</f>
        <v/>
      </c>
      <c r="J1794" s="86" t="str">
        <f t="shared" si="43"/>
        <v/>
      </c>
      <c r="K1794" s="86" t="str">
        <f>IF(AND(A1794="",D1794="",E1794="",F1794=""),"",IF(D1794="","SEM CATEGORIA",IF(E1794="","SEM SUBCATEGORIA",IF(COUNTIFS(CADASTROS!$L$7:$L$93,D1794,CADASTROS!$D$7:$D$93,E1794)=0,"INCOMPATÍVEL","OK"))))</f>
        <v/>
      </c>
    </row>
    <row r="1795" spans="1:11" ht="30" hidden="1" customHeight="1" x14ac:dyDescent="0.25">
      <c r="A1795" s="86" t="str">
        <f>IF(COUNTIF(EXTRATO!$A$2:$A$3000,"BAN-01652")=0,"","BAN-01652")</f>
        <v/>
      </c>
      <c r="B1795" s="85" t="str">
        <f>IF(A1795="","",IF(INDEX(EXTRATO!$C$2:$C$3000,MATCH($A1795,EXTRATO!$A$2:$A$3000,0))="","",INDEX(EXTRATO!$C$2:$C$3000,MATCH($A1795,EXTRATO!$A$2:$A$3000,0))))</f>
        <v/>
      </c>
      <c r="C1795" s="86" t="str">
        <f t="shared" si="42"/>
        <v/>
      </c>
      <c r="D1795" s="81"/>
      <c r="E1795" s="79"/>
      <c r="F1795" s="80" t="str">
        <f>IF(A1795="","",SUMIF(EXTRATO!$A$2:$A$3000,$A1795,EXTRATO!$J$2:$J$3000)+SUMIF(EXTRATO!$A$2:$A$3000,$A1795,EXTRATO!$K$2:$K$3000)+SUMIF(EXTRATO!$A$2:$A$3000,$A1795,EXTRATO!$L$2:$L$3000)+SUMIF(EXTRATO!$A$2:$A$3000,$A1795,EXTRATO!$M$2:$M$3000))</f>
        <v/>
      </c>
      <c r="G1795" s="81" t="str">
        <f>IF(A1795="","",IF(INDEX(EXTRATO!$G$2:$G$3000,MATCH($A1795,EXTRATO!$A$2:$A$3000,0))="","",INDEX(EXTRATO!$G$2:$G$3000,MATCH($A1795,EXTRATO!$A$2:$A$3000,0))))</f>
        <v/>
      </c>
      <c r="H1795" s="86" t="str">
        <f>IF(A1795="","",IF(INDEX(EXTRATO!$F$2:$F$3000,MATCH($A1795,EXTRATO!$A$2:$A$3000,0))="","",INDEX(EXTRATO!$F$2:$F$3000,MATCH($A1795,EXTRATO!$A$2:$A$3000,0))))</f>
        <v/>
      </c>
      <c r="I1795" s="88" t="str">
        <f>IF(A1795="","",IF(INDEX(EXTRATO!$H$2:$H$3000,MATCH($A1795,EXTRATO!$A$2:$A$3000,0))="","",INDEX(EXTRATO!$H$2:$H$3000,MATCH($A1795,EXTRATO!$A$2:$A$3000,0))))</f>
        <v/>
      </c>
      <c r="J1795" s="86" t="str">
        <f t="shared" si="43"/>
        <v/>
      </c>
      <c r="K1795" s="86" t="str">
        <f>IF(AND(A1795="",D1795="",E1795="",F1795=""),"",IF(D1795="","SEM CATEGORIA",IF(E1795="","SEM SUBCATEGORIA",IF(COUNTIFS(CADASTROS!$L$7:$L$93,D1795,CADASTROS!$D$7:$D$93,E1795)=0,"INCOMPATÍVEL","OK"))))</f>
        <v/>
      </c>
    </row>
    <row r="1796" spans="1:11" ht="30" hidden="1" customHeight="1" x14ac:dyDescent="0.25">
      <c r="A1796" s="86" t="str">
        <f>IF(COUNTIF(EXTRATO!$A$2:$A$3000,"BAN-01653")=0,"","BAN-01653")</f>
        <v/>
      </c>
      <c r="B1796" s="85" t="str">
        <f>IF(A1796="","",IF(INDEX(EXTRATO!$C$2:$C$3000,MATCH($A1796,EXTRATO!$A$2:$A$3000,0))="","",INDEX(EXTRATO!$C$2:$C$3000,MATCH($A1796,EXTRATO!$A$2:$A$3000,0))))</f>
        <v/>
      </c>
      <c r="C1796" s="86" t="str">
        <f t="shared" si="42"/>
        <v/>
      </c>
      <c r="D1796" s="81"/>
      <c r="E1796" s="79"/>
      <c r="F1796" s="80" t="str">
        <f>IF(A1796="","",SUMIF(EXTRATO!$A$2:$A$3000,$A1796,EXTRATO!$J$2:$J$3000)+SUMIF(EXTRATO!$A$2:$A$3000,$A1796,EXTRATO!$K$2:$K$3000)+SUMIF(EXTRATO!$A$2:$A$3000,$A1796,EXTRATO!$L$2:$L$3000)+SUMIF(EXTRATO!$A$2:$A$3000,$A1796,EXTRATO!$M$2:$M$3000))</f>
        <v/>
      </c>
      <c r="G1796" s="81" t="str">
        <f>IF(A1796="","",IF(INDEX(EXTRATO!$G$2:$G$3000,MATCH($A1796,EXTRATO!$A$2:$A$3000,0))="","",INDEX(EXTRATO!$G$2:$G$3000,MATCH($A1796,EXTRATO!$A$2:$A$3000,0))))</f>
        <v/>
      </c>
      <c r="H1796" s="86" t="str">
        <f>IF(A1796="","",IF(INDEX(EXTRATO!$F$2:$F$3000,MATCH($A1796,EXTRATO!$A$2:$A$3000,0))="","",INDEX(EXTRATO!$F$2:$F$3000,MATCH($A1796,EXTRATO!$A$2:$A$3000,0))))</f>
        <v/>
      </c>
      <c r="I1796" s="88" t="str">
        <f>IF(A1796="","",IF(INDEX(EXTRATO!$H$2:$H$3000,MATCH($A1796,EXTRATO!$A$2:$A$3000,0))="","",INDEX(EXTRATO!$H$2:$H$3000,MATCH($A1796,EXTRATO!$A$2:$A$3000,0))))</f>
        <v/>
      </c>
      <c r="J1796" s="86" t="str">
        <f t="shared" si="43"/>
        <v/>
      </c>
      <c r="K1796" s="86" t="str">
        <f>IF(AND(A1796="",D1796="",E1796="",F1796=""),"",IF(D1796="","SEM CATEGORIA",IF(E1796="","SEM SUBCATEGORIA",IF(COUNTIFS(CADASTROS!$L$7:$L$93,D1796,CADASTROS!$D$7:$D$93,E1796)=0,"INCOMPATÍVEL","OK"))))</f>
        <v/>
      </c>
    </row>
    <row r="1797" spans="1:11" ht="30" hidden="1" customHeight="1" x14ac:dyDescent="0.25">
      <c r="A1797" s="86" t="str">
        <f>IF(COUNTIF(EXTRATO!$A$2:$A$3000,"BAN-01654")=0,"","BAN-01654")</f>
        <v/>
      </c>
      <c r="B1797" s="85" t="str">
        <f>IF(A1797="","",IF(INDEX(EXTRATO!$C$2:$C$3000,MATCH($A1797,EXTRATO!$A$2:$A$3000,0))="","",INDEX(EXTRATO!$C$2:$C$3000,MATCH($A1797,EXTRATO!$A$2:$A$3000,0))))</f>
        <v/>
      </c>
      <c r="C1797" s="86" t="str">
        <f t="shared" si="42"/>
        <v/>
      </c>
      <c r="D1797" s="81"/>
      <c r="E1797" s="79"/>
      <c r="F1797" s="80" t="str">
        <f>IF(A1797="","",SUMIF(EXTRATO!$A$2:$A$3000,$A1797,EXTRATO!$J$2:$J$3000)+SUMIF(EXTRATO!$A$2:$A$3000,$A1797,EXTRATO!$K$2:$K$3000)+SUMIF(EXTRATO!$A$2:$A$3000,$A1797,EXTRATO!$L$2:$L$3000)+SUMIF(EXTRATO!$A$2:$A$3000,$A1797,EXTRATO!$M$2:$M$3000))</f>
        <v/>
      </c>
      <c r="G1797" s="81" t="str">
        <f>IF(A1797="","",IF(INDEX(EXTRATO!$G$2:$G$3000,MATCH($A1797,EXTRATO!$A$2:$A$3000,0))="","",INDEX(EXTRATO!$G$2:$G$3000,MATCH($A1797,EXTRATO!$A$2:$A$3000,0))))</f>
        <v/>
      </c>
      <c r="H1797" s="86" t="str">
        <f>IF(A1797="","",IF(INDEX(EXTRATO!$F$2:$F$3000,MATCH($A1797,EXTRATO!$A$2:$A$3000,0))="","",INDEX(EXTRATO!$F$2:$F$3000,MATCH($A1797,EXTRATO!$A$2:$A$3000,0))))</f>
        <v/>
      </c>
      <c r="I1797" s="88" t="str">
        <f>IF(A1797="","",IF(INDEX(EXTRATO!$H$2:$H$3000,MATCH($A1797,EXTRATO!$A$2:$A$3000,0))="","",INDEX(EXTRATO!$H$2:$H$3000,MATCH($A1797,EXTRATO!$A$2:$A$3000,0))))</f>
        <v/>
      </c>
      <c r="J1797" s="86" t="str">
        <f t="shared" si="43"/>
        <v/>
      </c>
      <c r="K1797" s="86" t="str">
        <f>IF(AND(A1797="",D1797="",E1797="",F1797=""),"",IF(D1797="","SEM CATEGORIA",IF(E1797="","SEM SUBCATEGORIA",IF(COUNTIFS(CADASTROS!$L$7:$L$93,D1797,CADASTROS!$D$7:$D$93,E1797)=0,"INCOMPATÍVEL","OK"))))</f>
        <v/>
      </c>
    </row>
    <row r="1798" spans="1:11" ht="30" hidden="1" customHeight="1" x14ac:dyDescent="0.25">
      <c r="A1798" s="86" t="str">
        <f>IF(COUNTIF(EXTRATO!$A$2:$A$3000,"BAN-01655")=0,"","BAN-01655")</f>
        <v/>
      </c>
      <c r="B1798" s="85" t="str">
        <f>IF(A1798="","",IF(INDEX(EXTRATO!$C$2:$C$3000,MATCH($A1798,EXTRATO!$A$2:$A$3000,0))="","",INDEX(EXTRATO!$C$2:$C$3000,MATCH($A1798,EXTRATO!$A$2:$A$3000,0))))</f>
        <v/>
      </c>
      <c r="C1798" s="86" t="str">
        <f t="shared" si="42"/>
        <v/>
      </c>
      <c r="D1798" s="81"/>
      <c r="E1798" s="79"/>
      <c r="F1798" s="80" t="str">
        <f>IF(A1798="","",SUMIF(EXTRATO!$A$2:$A$3000,$A1798,EXTRATO!$J$2:$J$3000)+SUMIF(EXTRATO!$A$2:$A$3000,$A1798,EXTRATO!$K$2:$K$3000)+SUMIF(EXTRATO!$A$2:$A$3000,$A1798,EXTRATO!$L$2:$L$3000)+SUMIF(EXTRATO!$A$2:$A$3000,$A1798,EXTRATO!$M$2:$M$3000))</f>
        <v/>
      </c>
      <c r="G1798" s="81" t="str">
        <f>IF(A1798="","",IF(INDEX(EXTRATO!$G$2:$G$3000,MATCH($A1798,EXTRATO!$A$2:$A$3000,0))="","",INDEX(EXTRATO!$G$2:$G$3000,MATCH($A1798,EXTRATO!$A$2:$A$3000,0))))</f>
        <v/>
      </c>
      <c r="H1798" s="86" t="str">
        <f>IF(A1798="","",IF(INDEX(EXTRATO!$F$2:$F$3000,MATCH($A1798,EXTRATO!$A$2:$A$3000,0))="","",INDEX(EXTRATO!$F$2:$F$3000,MATCH($A1798,EXTRATO!$A$2:$A$3000,0))))</f>
        <v/>
      </c>
      <c r="I1798" s="88" t="str">
        <f>IF(A1798="","",IF(INDEX(EXTRATO!$H$2:$H$3000,MATCH($A1798,EXTRATO!$A$2:$A$3000,0))="","",INDEX(EXTRATO!$H$2:$H$3000,MATCH($A1798,EXTRATO!$A$2:$A$3000,0))))</f>
        <v/>
      </c>
      <c r="J1798" s="86" t="str">
        <f t="shared" si="43"/>
        <v/>
      </c>
      <c r="K1798" s="86" t="str">
        <f>IF(AND(A1798="",D1798="",E1798="",F1798=""),"",IF(D1798="","SEM CATEGORIA",IF(E1798="","SEM SUBCATEGORIA",IF(COUNTIFS(CADASTROS!$L$7:$L$93,D1798,CADASTROS!$D$7:$D$93,E1798)=0,"INCOMPATÍVEL","OK"))))</f>
        <v/>
      </c>
    </row>
    <row r="1799" spans="1:11" ht="30" hidden="1" customHeight="1" x14ac:dyDescent="0.25">
      <c r="A1799" s="86" t="str">
        <f>IF(COUNTIF(EXTRATO!$A$2:$A$3000,"BAN-01656")=0,"","BAN-01656")</f>
        <v/>
      </c>
      <c r="B1799" s="85" t="str">
        <f>IF(A1799="","",IF(INDEX(EXTRATO!$C$2:$C$3000,MATCH($A1799,EXTRATO!$A$2:$A$3000,0))="","",INDEX(EXTRATO!$C$2:$C$3000,MATCH($A1799,EXTRATO!$A$2:$A$3000,0))))</f>
        <v/>
      </c>
      <c r="C1799" s="86" t="str">
        <f t="shared" si="42"/>
        <v/>
      </c>
      <c r="D1799" s="81"/>
      <c r="E1799" s="79"/>
      <c r="F1799" s="80" t="str">
        <f>IF(A1799="","",SUMIF(EXTRATO!$A$2:$A$3000,$A1799,EXTRATO!$J$2:$J$3000)+SUMIF(EXTRATO!$A$2:$A$3000,$A1799,EXTRATO!$K$2:$K$3000)+SUMIF(EXTRATO!$A$2:$A$3000,$A1799,EXTRATO!$L$2:$L$3000)+SUMIF(EXTRATO!$A$2:$A$3000,$A1799,EXTRATO!$M$2:$M$3000))</f>
        <v/>
      </c>
      <c r="G1799" s="81" t="str">
        <f>IF(A1799="","",IF(INDEX(EXTRATO!$G$2:$G$3000,MATCH($A1799,EXTRATO!$A$2:$A$3000,0))="","",INDEX(EXTRATO!$G$2:$G$3000,MATCH($A1799,EXTRATO!$A$2:$A$3000,0))))</f>
        <v/>
      </c>
      <c r="H1799" s="86" t="str">
        <f>IF(A1799="","",IF(INDEX(EXTRATO!$F$2:$F$3000,MATCH($A1799,EXTRATO!$A$2:$A$3000,0))="","",INDEX(EXTRATO!$F$2:$F$3000,MATCH($A1799,EXTRATO!$A$2:$A$3000,0))))</f>
        <v/>
      </c>
      <c r="I1799" s="88" t="str">
        <f>IF(A1799="","",IF(INDEX(EXTRATO!$H$2:$H$3000,MATCH($A1799,EXTRATO!$A$2:$A$3000,0))="","",INDEX(EXTRATO!$H$2:$H$3000,MATCH($A1799,EXTRATO!$A$2:$A$3000,0))))</f>
        <v/>
      </c>
      <c r="J1799" s="86" t="str">
        <f t="shared" si="43"/>
        <v/>
      </c>
      <c r="K1799" s="86" t="str">
        <f>IF(AND(A1799="",D1799="",E1799="",F1799=""),"",IF(D1799="","SEM CATEGORIA",IF(E1799="","SEM SUBCATEGORIA",IF(COUNTIFS(CADASTROS!$L$7:$L$93,D1799,CADASTROS!$D$7:$D$93,E1799)=0,"INCOMPATÍVEL","OK"))))</f>
        <v/>
      </c>
    </row>
    <row r="1800" spans="1:11" ht="30" hidden="1" customHeight="1" x14ac:dyDescent="0.25">
      <c r="A1800" s="86" t="str">
        <f>IF(COUNTIF(EXTRATO!$A$2:$A$3000,"BAN-01657")=0,"","BAN-01657")</f>
        <v/>
      </c>
      <c r="B1800" s="85" t="str">
        <f>IF(A1800="","",IF(INDEX(EXTRATO!$C$2:$C$3000,MATCH($A1800,EXTRATO!$A$2:$A$3000,0))="","",INDEX(EXTRATO!$C$2:$C$3000,MATCH($A1800,EXTRATO!$A$2:$A$3000,0))))</f>
        <v/>
      </c>
      <c r="C1800" s="86" t="str">
        <f t="shared" si="42"/>
        <v/>
      </c>
      <c r="D1800" s="81"/>
      <c r="E1800" s="79"/>
      <c r="F1800" s="80" t="str">
        <f>IF(A1800="","",SUMIF(EXTRATO!$A$2:$A$3000,$A1800,EXTRATO!$J$2:$J$3000)+SUMIF(EXTRATO!$A$2:$A$3000,$A1800,EXTRATO!$K$2:$K$3000)+SUMIF(EXTRATO!$A$2:$A$3000,$A1800,EXTRATO!$L$2:$L$3000)+SUMIF(EXTRATO!$A$2:$A$3000,$A1800,EXTRATO!$M$2:$M$3000))</f>
        <v/>
      </c>
      <c r="G1800" s="81" t="str">
        <f>IF(A1800="","",IF(INDEX(EXTRATO!$G$2:$G$3000,MATCH($A1800,EXTRATO!$A$2:$A$3000,0))="","",INDEX(EXTRATO!$G$2:$G$3000,MATCH($A1800,EXTRATO!$A$2:$A$3000,0))))</f>
        <v/>
      </c>
      <c r="H1800" s="86" t="str">
        <f>IF(A1800="","",IF(INDEX(EXTRATO!$F$2:$F$3000,MATCH($A1800,EXTRATO!$A$2:$A$3000,0))="","",INDEX(EXTRATO!$F$2:$F$3000,MATCH($A1800,EXTRATO!$A$2:$A$3000,0))))</f>
        <v/>
      </c>
      <c r="I1800" s="88" t="str">
        <f>IF(A1800="","",IF(INDEX(EXTRATO!$H$2:$H$3000,MATCH($A1800,EXTRATO!$A$2:$A$3000,0))="","",INDEX(EXTRATO!$H$2:$H$3000,MATCH($A1800,EXTRATO!$A$2:$A$3000,0))))</f>
        <v/>
      </c>
      <c r="J1800" s="86" t="str">
        <f t="shared" si="43"/>
        <v/>
      </c>
      <c r="K1800" s="86" t="str">
        <f>IF(AND(A1800="",D1800="",E1800="",F1800=""),"",IF(D1800="","SEM CATEGORIA",IF(E1800="","SEM SUBCATEGORIA",IF(COUNTIFS(CADASTROS!$L$7:$L$93,D1800,CADASTROS!$D$7:$D$93,E1800)=0,"INCOMPATÍVEL","OK"))))</f>
        <v/>
      </c>
    </row>
    <row r="1801" spans="1:11" ht="30" hidden="1" customHeight="1" x14ac:dyDescent="0.25">
      <c r="A1801" s="86" t="str">
        <f>IF(COUNTIF(EXTRATO!$A$2:$A$3000,"BAN-01658")=0,"","BAN-01658")</f>
        <v/>
      </c>
      <c r="B1801" s="85" t="str">
        <f>IF(A1801="","",IF(INDEX(EXTRATO!$C$2:$C$3000,MATCH($A1801,EXTRATO!$A$2:$A$3000,0))="","",INDEX(EXTRATO!$C$2:$C$3000,MATCH($A1801,EXTRATO!$A$2:$A$3000,0))))</f>
        <v/>
      </c>
      <c r="C1801" s="86" t="str">
        <f t="shared" si="42"/>
        <v/>
      </c>
      <c r="D1801" s="81"/>
      <c r="E1801" s="79"/>
      <c r="F1801" s="80" t="str">
        <f>IF(A1801="","",SUMIF(EXTRATO!$A$2:$A$3000,$A1801,EXTRATO!$J$2:$J$3000)+SUMIF(EXTRATO!$A$2:$A$3000,$A1801,EXTRATO!$K$2:$K$3000)+SUMIF(EXTRATO!$A$2:$A$3000,$A1801,EXTRATO!$L$2:$L$3000)+SUMIF(EXTRATO!$A$2:$A$3000,$A1801,EXTRATO!$M$2:$M$3000))</f>
        <v/>
      </c>
      <c r="G1801" s="81" t="str">
        <f>IF(A1801="","",IF(INDEX(EXTRATO!$G$2:$G$3000,MATCH($A1801,EXTRATO!$A$2:$A$3000,0))="","",INDEX(EXTRATO!$G$2:$G$3000,MATCH($A1801,EXTRATO!$A$2:$A$3000,0))))</f>
        <v/>
      </c>
      <c r="H1801" s="86" t="str">
        <f>IF(A1801="","",IF(INDEX(EXTRATO!$F$2:$F$3000,MATCH($A1801,EXTRATO!$A$2:$A$3000,0))="","",INDEX(EXTRATO!$F$2:$F$3000,MATCH($A1801,EXTRATO!$A$2:$A$3000,0))))</f>
        <v/>
      </c>
      <c r="I1801" s="88" t="str">
        <f>IF(A1801="","",IF(INDEX(EXTRATO!$H$2:$H$3000,MATCH($A1801,EXTRATO!$A$2:$A$3000,0))="","",INDEX(EXTRATO!$H$2:$H$3000,MATCH($A1801,EXTRATO!$A$2:$A$3000,0))))</f>
        <v/>
      </c>
      <c r="J1801" s="86" t="str">
        <f t="shared" si="43"/>
        <v/>
      </c>
      <c r="K1801" s="86" t="str">
        <f>IF(AND(A1801="",D1801="",E1801="",F1801=""),"",IF(D1801="","SEM CATEGORIA",IF(E1801="","SEM SUBCATEGORIA",IF(COUNTIFS(CADASTROS!$L$7:$L$93,D1801,CADASTROS!$D$7:$D$93,E1801)=0,"INCOMPATÍVEL","OK"))))</f>
        <v/>
      </c>
    </row>
    <row r="1802" spans="1:11" ht="30" hidden="1" customHeight="1" x14ac:dyDescent="0.25">
      <c r="A1802" s="86" t="str">
        <f>IF(COUNTIF(EXTRATO!$A$2:$A$3000,"BAN-01659")=0,"","BAN-01659")</f>
        <v/>
      </c>
      <c r="B1802" s="85" t="str">
        <f>IF(A1802="","",IF(INDEX(EXTRATO!$C$2:$C$3000,MATCH($A1802,EXTRATO!$A$2:$A$3000,0))="","",INDEX(EXTRATO!$C$2:$C$3000,MATCH($A1802,EXTRATO!$A$2:$A$3000,0))))</f>
        <v/>
      </c>
      <c r="C1802" s="86" t="str">
        <f t="shared" si="42"/>
        <v/>
      </c>
      <c r="D1802" s="81"/>
      <c r="E1802" s="79"/>
      <c r="F1802" s="80" t="str">
        <f>IF(A1802="","",SUMIF(EXTRATO!$A$2:$A$3000,$A1802,EXTRATO!$J$2:$J$3000)+SUMIF(EXTRATO!$A$2:$A$3000,$A1802,EXTRATO!$K$2:$K$3000)+SUMIF(EXTRATO!$A$2:$A$3000,$A1802,EXTRATO!$L$2:$L$3000)+SUMIF(EXTRATO!$A$2:$A$3000,$A1802,EXTRATO!$M$2:$M$3000))</f>
        <v/>
      </c>
      <c r="G1802" s="81" t="str">
        <f>IF(A1802="","",IF(INDEX(EXTRATO!$G$2:$G$3000,MATCH($A1802,EXTRATO!$A$2:$A$3000,0))="","",INDEX(EXTRATO!$G$2:$G$3000,MATCH($A1802,EXTRATO!$A$2:$A$3000,0))))</f>
        <v/>
      </c>
      <c r="H1802" s="86" t="str">
        <f>IF(A1802="","",IF(INDEX(EXTRATO!$F$2:$F$3000,MATCH($A1802,EXTRATO!$A$2:$A$3000,0))="","",INDEX(EXTRATO!$F$2:$F$3000,MATCH($A1802,EXTRATO!$A$2:$A$3000,0))))</f>
        <v/>
      </c>
      <c r="I1802" s="88" t="str">
        <f>IF(A1802="","",IF(INDEX(EXTRATO!$H$2:$H$3000,MATCH($A1802,EXTRATO!$A$2:$A$3000,0))="","",INDEX(EXTRATO!$H$2:$H$3000,MATCH($A1802,EXTRATO!$A$2:$A$3000,0))))</f>
        <v/>
      </c>
      <c r="J1802" s="86" t="str">
        <f t="shared" si="43"/>
        <v/>
      </c>
      <c r="K1802" s="86" t="str">
        <f>IF(AND(A1802="",D1802="",E1802="",F1802=""),"",IF(D1802="","SEM CATEGORIA",IF(E1802="","SEM SUBCATEGORIA",IF(COUNTIFS(CADASTROS!$L$7:$L$93,D1802,CADASTROS!$D$7:$D$93,E1802)=0,"INCOMPATÍVEL","OK"))))</f>
        <v/>
      </c>
    </row>
    <row r="1803" spans="1:11" ht="30" hidden="1" customHeight="1" x14ac:dyDescent="0.25">
      <c r="A1803" s="86" t="str">
        <f>IF(COUNTIF(EXTRATO!$A$2:$A$3000,"BAN-01660")=0,"","BAN-01660")</f>
        <v/>
      </c>
      <c r="B1803" s="85" t="str">
        <f>IF(A1803="","",IF(INDEX(EXTRATO!$C$2:$C$3000,MATCH($A1803,EXTRATO!$A$2:$A$3000,0))="","",INDEX(EXTRATO!$C$2:$C$3000,MATCH($A1803,EXTRATO!$A$2:$A$3000,0))))</f>
        <v/>
      </c>
      <c r="C1803" s="86" t="str">
        <f t="shared" si="42"/>
        <v/>
      </c>
      <c r="D1803" s="81"/>
      <c r="E1803" s="79"/>
      <c r="F1803" s="80" t="str">
        <f>IF(A1803="","",SUMIF(EXTRATO!$A$2:$A$3000,$A1803,EXTRATO!$J$2:$J$3000)+SUMIF(EXTRATO!$A$2:$A$3000,$A1803,EXTRATO!$K$2:$K$3000)+SUMIF(EXTRATO!$A$2:$A$3000,$A1803,EXTRATO!$L$2:$L$3000)+SUMIF(EXTRATO!$A$2:$A$3000,$A1803,EXTRATO!$M$2:$M$3000))</f>
        <v/>
      </c>
      <c r="G1803" s="81" t="str">
        <f>IF(A1803="","",IF(INDEX(EXTRATO!$G$2:$G$3000,MATCH($A1803,EXTRATO!$A$2:$A$3000,0))="","",INDEX(EXTRATO!$G$2:$G$3000,MATCH($A1803,EXTRATO!$A$2:$A$3000,0))))</f>
        <v/>
      </c>
      <c r="H1803" s="86" t="str">
        <f>IF(A1803="","",IF(INDEX(EXTRATO!$F$2:$F$3000,MATCH($A1803,EXTRATO!$A$2:$A$3000,0))="","",INDEX(EXTRATO!$F$2:$F$3000,MATCH($A1803,EXTRATO!$A$2:$A$3000,0))))</f>
        <v/>
      </c>
      <c r="I1803" s="88" t="str">
        <f>IF(A1803="","",IF(INDEX(EXTRATO!$H$2:$H$3000,MATCH($A1803,EXTRATO!$A$2:$A$3000,0))="","",INDEX(EXTRATO!$H$2:$H$3000,MATCH($A1803,EXTRATO!$A$2:$A$3000,0))))</f>
        <v/>
      </c>
      <c r="J1803" s="86" t="str">
        <f t="shared" si="43"/>
        <v/>
      </c>
      <c r="K1803" s="86" t="str">
        <f>IF(AND(A1803="",D1803="",E1803="",F1803=""),"",IF(D1803="","SEM CATEGORIA",IF(E1803="","SEM SUBCATEGORIA",IF(COUNTIFS(CADASTROS!$L$7:$L$93,D1803,CADASTROS!$D$7:$D$93,E1803)=0,"INCOMPATÍVEL","OK"))))</f>
        <v/>
      </c>
    </row>
    <row r="1804" spans="1:11" ht="30" hidden="1" customHeight="1" x14ac:dyDescent="0.25">
      <c r="A1804" s="86" t="str">
        <f>IF(COUNTIF(EXTRATO!$A$2:$A$3000,"BAN-01661")=0,"","BAN-01661")</f>
        <v/>
      </c>
      <c r="B1804" s="85" t="str">
        <f>IF(A1804="","",IF(INDEX(EXTRATO!$C$2:$C$3000,MATCH($A1804,EXTRATO!$A$2:$A$3000,0))="","",INDEX(EXTRATO!$C$2:$C$3000,MATCH($A1804,EXTRATO!$A$2:$A$3000,0))))</f>
        <v/>
      </c>
      <c r="C1804" s="86" t="str">
        <f t="shared" si="42"/>
        <v/>
      </c>
      <c r="D1804" s="81"/>
      <c r="E1804" s="79"/>
      <c r="F1804" s="80" t="str">
        <f>IF(A1804="","",SUMIF(EXTRATO!$A$2:$A$3000,$A1804,EXTRATO!$J$2:$J$3000)+SUMIF(EXTRATO!$A$2:$A$3000,$A1804,EXTRATO!$K$2:$K$3000)+SUMIF(EXTRATO!$A$2:$A$3000,$A1804,EXTRATO!$L$2:$L$3000)+SUMIF(EXTRATO!$A$2:$A$3000,$A1804,EXTRATO!$M$2:$M$3000))</f>
        <v/>
      </c>
      <c r="G1804" s="81" t="str">
        <f>IF(A1804="","",IF(INDEX(EXTRATO!$G$2:$G$3000,MATCH($A1804,EXTRATO!$A$2:$A$3000,0))="","",INDEX(EXTRATO!$G$2:$G$3000,MATCH($A1804,EXTRATO!$A$2:$A$3000,0))))</f>
        <v/>
      </c>
      <c r="H1804" s="86" t="str">
        <f>IF(A1804="","",IF(INDEX(EXTRATO!$F$2:$F$3000,MATCH($A1804,EXTRATO!$A$2:$A$3000,0))="","",INDEX(EXTRATO!$F$2:$F$3000,MATCH($A1804,EXTRATO!$A$2:$A$3000,0))))</f>
        <v/>
      </c>
      <c r="I1804" s="88" t="str">
        <f>IF(A1804="","",IF(INDEX(EXTRATO!$H$2:$H$3000,MATCH($A1804,EXTRATO!$A$2:$A$3000,0))="","",INDEX(EXTRATO!$H$2:$H$3000,MATCH($A1804,EXTRATO!$A$2:$A$3000,0))))</f>
        <v/>
      </c>
      <c r="J1804" s="86" t="str">
        <f t="shared" si="43"/>
        <v/>
      </c>
      <c r="K1804" s="86" t="str">
        <f>IF(AND(A1804="",D1804="",E1804="",F1804=""),"",IF(D1804="","SEM CATEGORIA",IF(E1804="","SEM SUBCATEGORIA",IF(COUNTIFS(CADASTROS!$L$7:$L$93,D1804,CADASTROS!$D$7:$D$93,E1804)=0,"INCOMPATÍVEL","OK"))))</f>
        <v/>
      </c>
    </row>
    <row r="1805" spans="1:11" ht="30" hidden="1" customHeight="1" x14ac:dyDescent="0.25">
      <c r="A1805" s="86" t="str">
        <f>IF(COUNTIF(EXTRATO!$A$2:$A$3000,"BAN-01662")=0,"","BAN-01662")</f>
        <v/>
      </c>
      <c r="B1805" s="85" t="str">
        <f>IF(A1805="","",IF(INDEX(EXTRATO!$C$2:$C$3000,MATCH($A1805,EXTRATO!$A$2:$A$3000,0))="","",INDEX(EXTRATO!$C$2:$C$3000,MATCH($A1805,EXTRATO!$A$2:$A$3000,0))))</f>
        <v/>
      </c>
      <c r="C1805" s="86" t="str">
        <f t="shared" si="42"/>
        <v/>
      </c>
      <c r="D1805" s="81"/>
      <c r="E1805" s="79"/>
      <c r="F1805" s="80" t="str">
        <f>IF(A1805="","",SUMIF(EXTRATO!$A$2:$A$3000,$A1805,EXTRATO!$J$2:$J$3000)+SUMIF(EXTRATO!$A$2:$A$3000,$A1805,EXTRATO!$K$2:$K$3000)+SUMIF(EXTRATO!$A$2:$A$3000,$A1805,EXTRATO!$L$2:$L$3000)+SUMIF(EXTRATO!$A$2:$A$3000,$A1805,EXTRATO!$M$2:$M$3000))</f>
        <v/>
      </c>
      <c r="G1805" s="81" t="str">
        <f>IF(A1805="","",IF(INDEX(EXTRATO!$G$2:$G$3000,MATCH($A1805,EXTRATO!$A$2:$A$3000,0))="","",INDEX(EXTRATO!$G$2:$G$3000,MATCH($A1805,EXTRATO!$A$2:$A$3000,0))))</f>
        <v/>
      </c>
      <c r="H1805" s="86" t="str">
        <f>IF(A1805="","",IF(INDEX(EXTRATO!$F$2:$F$3000,MATCH($A1805,EXTRATO!$A$2:$A$3000,0))="","",INDEX(EXTRATO!$F$2:$F$3000,MATCH($A1805,EXTRATO!$A$2:$A$3000,0))))</f>
        <v/>
      </c>
      <c r="I1805" s="88" t="str">
        <f>IF(A1805="","",IF(INDEX(EXTRATO!$H$2:$H$3000,MATCH($A1805,EXTRATO!$A$2:$A$3000,0))="","",INDEX(EXTRATO!$H$2:$H$3000,MATCH($A1805,EXTRATO!$A$2:$A$3000,0))))</f>
        <v/>
      </c>
      <c r="J1805" s="86" t="str">
        <f t="shared" si="43"/>
        <v/>
      </c>
      <c r="K1805" s="86" t="str">
        <f>IF(AND(A1805="",D1805="",E1805="",F1805=""),"",IF(D1805="","SEM CATEGORIA",IF(E1805="","SEM SUBCATEGORIA",IF(COUNTIFS(CADASTROS!$L$7:$L$93,D1805,CADASTROS!$D$7:$D$93,E1805)=0,"INCOMPATÍVEL","OK"))))</f>
        <v/>
      </c>
    </row>
    <row r="1806" spans="1:11" ht="30" hidden="1" customHeight="1" x14ac:dyDescent="0.25">
      <c r="A1806" s="86" t="str">
        <f>IF(COUNTIF(EXTRATO!$A$2:$A$3000,"BAN-01663")=0,"","BAN-01663")</f>
        <v/>
      </c>
      <c r="B1806" s="85" t="str">
        <f>IF(A1806="","",IF(INDEX(EXTRATO!$C$2:$C$3000,MATCH($A1806,EXTRATO!$A$2:$A$3000,0))="","",INDEX(EXTRATO!$C$2:$C$3000,MATCH($A1806,EXTRATO!$A$2:$A$3000,0))))</f>
        <v/>
      </c>
      <c r="C1806" s="86" t="str">
        <f t="shared" si="42"/>
        <v/>
      </c>
      <c r="D1806" s="81"/>
      <c r="E1806" s="79"/>
      <c r="F1806" s="80" t="str">
        <f>IF(A1806="","",SUMIF(EXTRATO!$A$2:$A$3000,$A1806,EXTRATO!$J$2:$J$3000)+SUMIF(EXTRATO!$A$2:$A$3000,$A1806,EXTRATO!$K$2:$K$3000)+SUMIF(EXTRATO!$A$2:$A$3000,$A1806,EXTRATO!$L$2:$L$3000)+SUMIF(EXTRATO!$A$2:$A$3000,$A1806,EXTRATO!$M$2:$M$3000))</f>
        <v/>
      </c>
      <c r="G1806" s="81" t="str">
        <f>IF(A1806="","",IF(INDEX(EXTRATO!$G$2:$G$3000,MATCH($A1806,EXTRATO!$A$2:$A$3000,0))="","",INDEX(EXTRATO!$G$2:$G$3000,MATCH($A1806,EXTRATO!$A$2:$A$3000,0))))</f>
        <v/>
      </c>
      <c r="H1806" s="86" t="str">
        <f>IF(A1806="","",IF(INDEX(EXTRATO!$F$2:$F$3000,MATCH($A1806,EXTRATO!$A$2:$A$3000,0))="","",INDEX(EXTRATO!$F$2:$F$3000,MATCH($A1806,EXTRATO!$A$2:$A$3000,0))))</f>
        <v/>
      </c>
      <c r="I1806" s="88" t="str">
        <f>IF(A1806="","",IF(INDEX(EXTRATO!$H$2:$H$3000,MATCH($A1806,EXTRATO!$A$2:$A$3000,0))="","",INDEX(EXTRATO!$H$2:$H$3000,MATCH($A1806,EXTRATO!$A$2:$A$3000,0))))</f>
        <v/>
      </c>
      <c r="J1806" s="86" t="str">
        <f t="shared" si="43"/>
        <v/>
      </c>
      <c r="K1806" s="86" t="str">
        <f>IF(AND(A1806="",D1806="",E1806="",F1806=""),"",IF(D1806="","SEM CATEGORIA",IF(E1806="","SEM SUBCATEGORIA",IF(COUNTIFS(CADASTROS!$L$7:$L$93,D1806,CADASTROS!$D$7:$D$93,E1806)=0,"INCOMPATÍVEL","OK"))))</f>
        <v/>
      </c>
    </row>
    <row r="1807" spans="1:11" ht="30" hidden="1" customHeight="1" x14ac:dyDescent="0.25">
      <c r="A1807" s="86" t="str">
        <f>IF(COUNTIF(EXTRATO!$A$2:$A$3000,"BAN-01664")=0,"","BAN-01664")</f>
        <v/>
      </c>
      <c r="B1807" s="85" t="str">
        <f>IF(A1807="","",IF(INDEX(EXTRATO!$C$2:$C$3000,MATCH($A1807,EXTRATO!$A$2:$A$3000,0))="","",INDEX(EXTRATO!$C$2:$C$3000,MATCH($A1807,EXTRATO!$A$2:$A$3000,0))))</f>
        <v/>
      </c>
      <c r="C1807" s="86" t="str">
        <f t="shared" si="42"/>
        <v/>
      </c>
      <c r="D1807" s="81"/>
      <c r="E1807" s="79"/>
      <c r="F1807" s="80" t="str">
        <f>IF(A1807="","",SUMIF(EXTRATO!$A$2:$A$3000,$A1807,EXTRATO!$J$2:$J$3000)+SUMIF(EXTRATO!$A$2:$A$3000,$A1807,EXTRATO!$K$2:$K$3000)+SUMIF(EXTRATO!$A$2:$A$3000,$A1807,EXTRATO!$L$2:$L$3000)+SUMIF(EXTRATO!$A$2:$A$3000,$A1807,EXTRATO!$M$2:$M$3000))</f>
        <v/>
      </c>
      <c r="G1807" s="81" t="str">
        <f>IF(A1807="","",IF(INDEX(EXTRATO!$G$2:$G$3000,MATCH($A1807,EXTRATO!$A$2:$A$3000,0))="","",INDEX(EXTRATO!$G$2:$G$3000,MATCH($A1807,EXTRATO!$A$2:$A$3000,0))))</f>
        <v/>
      </c>
      <c r="H1807" s="86" t="str">
        <f>IF(A1807="","",IF(INDEX(EXTRATO!$F$2:$F$3000,MATCH($A1807,EXTRATO!$A$2:$A$3000,0))="","",INDEX(EXTRATO!$F$2:$F$3000,MATCH($A1807,EXTRATO!$A$2:$A$3000,0))))</f>
        <v/>
      </c>
      <c r="I1807" s="88" t="str">
        <f>IF(A1807="","",IF(INDEX(EXTRATO!$H$2:$H$3000,MATCH($A1807,EXTRATO!$A$2:$A$3000,0))="","",INDEX(EXTRATO!$H$2:$H$3000,MATCH($A1807,EXTRATO!$A$2:$A$3000,0))))</f>
        <v/>
      </c>
      <c r="J1807" s="86" t="str">
        <f t="shared" si="43"/>
        <v/>
      </c>
      <c r="K1807" s="86" t="str">
        <f>IF(AND(A1807="",D1807="",E1807="",F1807=""),"",IF(D1807="","SEM CATEGORIA",IF(E1807="","SEM SUBCATEGORIA",IF(COUNTIFS(CADASTROS!$L$7:$L$93,D1807,CADASTROS!$D$7:$D$93,E1807)=0,"INCOMPATÍVEL","OK"))))</f>
        <v/>
      </c>
    </row>
    <row r="1808" spans="1:11" ht="30" hidden="1" customHeight="1" x14ac:dyDescent="0.25">
      <c r="A1808" s="86" t="str">
        <f>IF(COUNTIF(EXTRATO!$A$2:$A$3000,"BAN-01665")=0,"","BAN-01665")</f>
        <v/>
      </c>
      <c r="B1808" s="85" t="str">
        <f>IF(A1808="","",IF(INDEX(EXTRATO!$C$2:$C$3000,MATCH($A1808,EXTRATO!$A$2:$A$3000,0))="","",INDEX(EXTRATO!$C$2:$C$3000,MATCH($A1808,EXTRATO!$A$2:$A$3000,0))))</f>
        <v/>
      </c>
      <c r="C1808" s="86" t="str">
        <f t="shared" si="42"/>
        <v/>
      </c>
      <c r="D1808" s="81"/>
      <c r="E1808" s="79"/>
      <c r="F1808" s="80" t="str">
        <f>IF(A1808="","",SUMIF(EXTRATO!$A$2:$A$3000,$A1808,EXTRATO!$J$2:$J$3000)+SUMIF(EXTRATO!$A$2:$A$3000,$A1808,EXTRATO!$K$2:$K$3000)+SUMIF(EXTRATO!$A$2:$A$3000,$A1808,EXTRATO!$L$2:$L$3000)+SUMIF(EXTRATO!$A$2:$A$3000,$A1808,EXTRATO!$M$2:$M$3000))</f>
        <v/>
      </c>
      <c r="G1808" s="81" t="str">
        <f>IF(A1808="","",IF(INDEX(EXTRATO!$G$2:$G$3000,MATCH($A1808,EXTRATO!$A$2:$A$3000,0))="","",INDEX(EXTRATO!$G$2:$G$3000,MATCH($A1808,EXTRATO!$A$2:$A$3000,0))))</f>
        <v/>
      </c>
      <c r="H1808" s="86" t="str">
        <f>IF(A1808="","",IF(INDEX(EXTRATO!$F$2:$F$3000,MATCH($A1808,EXTRATO!$A$2:$A$3000,0))="","",INDEX(EXTRATO!$F$2:$F$3000,MATCH($A1808,EXTRATO!$A$2:$A$3000,0))))</f>
        <v/>
      </c>
      <c r="I1808" s="88" t="str">
        <f>IF(A1808="","",IF(INDEX(EXTRATO!$H$2:$H$3000,MATCH($A1808,EXTRATO!$A$2:$A$3000,0))="","",INDEX(EXTRATO!$H$2:$H$3000,MATCH($A1808,EXTRATO!$A$2:$A$3000,0))))</f>
        <v/>
      </c>
      <c r="J1808" s="86" t="str">
        <f t="shared" si="43"/>
        <v/>
      </c>
      <c r="K1808" s="86" t="str">
        <f>IF(AND(A1808="",D1808="",E1808="",F1808=""),"",IF(D1808="","SEM CATEGORIA",IF(E1808="","SEM SUBCATEGORIA",IF(COUNTIFS(CADASTROS!$L$7:$L$93,D1808,CADASTROS!$D$7:$D$93,E1808)=0,"INCOMPATÍVEL","OK"))))</f>
        <v/>
      </c>
    </row>
    <row r="1809" spans="1:11" ht="30" hidden="1" customHeight="1" x14ac:dyDescent="0.25">
      <c r="A1809" s="86" t="str">
        <f>IF(COUNTIF(EXTRATO!$A$2:$A$3000,"BAN-01666")=0,"","BAN-01666")</f>
        <v/>
      </c>
      <c r="B1809" s="85" t="str">
        <f>IF(A1809="","",IF(INDEX(EXTRATO!$C$2:$C$3000,MATCH($A1809,EXTRATO!$A$2:$A$3000,0))="","",INDEX(EXTRATO!$C$2:$C$3000,MATCH($A1809,EXTRATO!$A$2:$A$3000,0))))</f>
        <v/>
      </c>
      <c r="C1809" s="86" t="str">
        <f t="shared" si="42"/>
        <v/>
      </c>
      <c r="D1809" s="81"/>
      <c r="E1809" s="79"/>
      <c r="F1809" s="80" t="str">
        <f>IF(A1809="","",SUMIF(EXTRATO!$A$2:$A$3000,$A1809,EXTRATO!$J$2:$J$3000)+SUMIF(EXTRATO!$A$2:$A$3000,$A1809,EXTRATO!$K$2:$K$3000)+SUMIF(EXTRATO!$A$2:$A$3000,$A1809,EXTRATO!$L$2:$L$3000)+SUMIF(EXTRATO!$A$2:$A$3000,$A1809,EXTRATO!$M$2:$M$3000))</f>
        <v/>
      </c>
      <c r="G1809" s="81" t="str">
        <f>IF(A1809="","",IF(INDEX(EXTRATO!$G$2:$G$3000,MATCH($A1809,EXTRATO!$A$2:$A$3000,0))="","",INDEX(EXTRATO!$G$2:$G$3000,MATCH($A1809,EXTRATO!$A$2:$A$3000,0))))</f>
        <v/>
      </c>
      <c r="H1809" s="86" t="str">
        <f>IF(A1809="","",IF(INDEX(EXTRATO!$F$2:$F$3000,MATCH($A1809,EXTRATO!$A$2:$A$3000,0))="","",INDEX(EXTRATO!$F$2:$F$3000,MATCH($A1809,EXTRATO!$A$2:$A$3000,0))))</f>
        <v/>
      </c>
      <c r="I1809" s="88" t="str">
        <f>IF(A1809="","",IF(INDEX(EXTRATO!$H$2:$H$3000,MATCH($A1809,EXTRATO!$A$2:$A$3000,0))="","",INDEX(EXTRATO!$H$2:$H$3000,MATCH($A1809,EXTRATO!$A$2:$A$3000,0))))</f>
        <v/>
      </c>
      <c r="J1809" s="86" t="str">
        <f t="shared" si="43"/>
        <v/>
      </c>
      <c r="K1809" s="86" t="str">
        <f>IF(AND(A1809="",D1809="",E1809="",F1809=""),"",IF(D1809="","SEM CATEGORIA",IF(E1809="","SEM SUBCATEGORIA",IF(COUNTIFS(CADASTROS!$L$7:$L$93,D1809,CADASTROS!$D$7:$D$93,E1809)=0,"INCOMPATÍVEL","OK"))))</f>
        <v/>
      </c>
    </row>
    <row r="1810" spans="1:11" ht="30" hidden="1" customHeight="1" x14ac:dyDescent="0.25">
      <c r="A1810" s="86" t="str">
        <f>IF(COUNTIF(EXTRATO!$A$2:$A$3000,"BAN-01667")=0,"","BAN-01667")</f>
        <v/>
      </c>
      <c r="B1810" s="85" t="str">
        <f>IF(A1810="","",IF(INDEX(EXTRATO!$C$2:$C$3000,MATCH($A1810,EXTRATO!$A$2:$A$3000,0))="","",INDEX(EXTRATO!$C$2:$C$3000,MATCH($A1810,EXTRATO!$A$2:$A$3000,0))))</f>
        <v/>
      </c>
      <c r="C1810" s="86" t="str">
        <f t="shared" si="42"/>
        <v/>
      </c>
      <c r="D1810" s="81"/>
      <c r="E1810" s="79"/>
      <c r="F1810" s="80" t="str">
        <f>IF(A1810="","",SUMIF(EXTRATO!$A$2:$A$3000,$A1810,EXTRATO!$J$2:$J$3000)+SUMIF(EXTRATO!$A$2:$A$3000,$A1810,EXTRATO!$K$2:$K$3000)+SUMIF(EXTRATO!$A$2:$A$3000,$A1810,EXTRATO!$L$2:$L$3000)+SUMIF(EXTRATO!$A$2:$A$3000,$A1810,EXTRATO!$M$2:$M$3000))</f>
        <v/>
      </c>
      <c r="G1810" s="81" t="str">
        <f>IF(A1810="","",IF(INDEX(EXTRATO!$G$2:$G$3000,MATCH($A1810,EXTRATO!$A$2:$A$3000,0))="","",INDEX(EXTRATO!$G$2:$G$3000,MATCH($A1810,EXTRATO!$A$2:$A$3000,0))))</f>
        <v/>
      </c>
      <c r="H1810" s="86" t="str">
        <f>IF(A1810="","",IF(INDEX(EXTRATO!$F$2:$F$3000,MATCH($A1810,EXTRATO!$A$2:$A$3000,0))="","",INDEX(EXTRATO!$F$2:$F$3000,MATCH($A1810,EXTRATO!$A$2:$A$3000,0))))</f>
        <v/>
      </c>
      <c r="I1810" s="88" t="str">
        <f>IF(A1810="","",IF(INDEX(EXTRATO!$H$2:$H$3000,MATCH($A1810,EXTRATO!$A$2:$A$3000,0))="","",INDEX(EXTRATO!$H$2:$H$3000,MATCH($A1810,EXTRATO!$A$2:$A$3000,0))))</f>
        <v/>
      </c>
      <c r="J1810" s="86" t="str">
        <f t="shared" si="43"/>
        <v/>
      </c>
      <c r="K1810" s="86" t="str">
        <f>IF(AND(A1810="",D1810="",E1810="",F1810=""),"",IF(D1810="","SEM CATEGORIA",IF(E1810="","SEM SUBCATEGORIA",IF(COUNTIFS(CADASTROS!$L$7:$L$93,D1810,CADASTROS!$D$7:$D$93,E1810)=0,"INCOMPATÍVEL","OK"))))</f>
        <v/>
      </c>
    </row>
    <row r="1811" spans="1:11" ht="30" hidden="1" customHeight="1" x14ac:dyDescent="0.25">
      <c r="A1811" s="86" t="str">
        <f>IF(COUNTIF(EXTRATO!$A$2:$A$3000,"BAN-01668")=0,"","BAN-01668")</f>
        <v/>
      </c>
      <c r="B1811" s="85" t="str">
        <f>IF(A1811="","",IF(INDEX(EXTRATO!$C$2:$C$3000,MATCH($A1811,EXTRATO!$A$2:$A$3000,0))="","",INDEX(EXTRATO!$C$2:$C$3000,MATCH($A1811,EXTRATO!$A$2:$A$3000,0))))</f>
        <v/>
      </c>
      <c r="C1811" s="86" t="str">
        <f t="shared" si="42"/>
        <v/>
      </c>
      <c r="D1811" s="81"/>
      <c r="E1811" s="79"/>
      <c r="F1811" s="80" t="str">
        <f>IF(A1811="","",SUMIF(EXTRATO!$A$2:$A$3000,$A1811,EXTRATO!$J$2:$J$3000)+SUMIF(EXTRATO!$A$2:$A$3000,$A1811,EXTRATO!$K$2:$K$3000)+SUMIF(EXTRATO!$A$2:$A$3000,$A1811,EXTRATO!$L$2:$L$3000)+SUMIF(EXTRATO!$A$2:$A$3000,$A1811,EXTRATO!$M$2:$M$3000))</f>
        <v/>
      </c>
      <c r="G1811" s="81" t="str">
        <f>IF(A1811="","",IF(INDEX(EXTRATO!$G$2:$G$3000,MATCH($A1811,EXTRATO!$A$2:$A$3000,0))="","",INDEX(EXTRATO!$G$2:$G$3000,MATCH($A1811,EXTRATO!$A$2:$A$3000,0))))</f>
        <v/>
      </c>
      <c r="H1811" s="86" t="str">
        <f>IF(A1811="","",IF(INDEX(EXTRATO!$F$2:$F$3000,MATCH($A1811,EXTRATO!$A$2:$A$3000,0))="","",INDEX(EXTRATO!$F$2:$F$3000,MATCH($A1811,EXTRATO!$A$2:$A$3000,0))))</f>
        <v/>
      </c>
      <c r="I1811" s="88" t="str">
        <f>IF(A1811="","",IF(INDEX(EXTRATO!$H$2:$H$3000,MATCH($A1811,EXTRATO!$A$2:$A$3000,0))="","",INDEX(EXTRATO!$H$2:$H$3000,MATCH($A1811,EXTRATO!$A$2:$A$3000,0))))</f>
        <v/>
      </c>
      <c r="J1811" s="86" t="str">
        <f t="shared" si="43"/>
        <v/>
      </c>
      <c r="K1811" s="86" t="str">
        <f>IF(AND(A1811="",D1811="",E1811="",F1811=""),"",IF(D1811="","SEM CATEGORIA",IF(E1811="","SEM SUBCATEGORIA",IF(COUNTIFS(CADASTROS!$L$7:$L$93,D1811,CADASTROS!$D$7:$D$93,E1811)=0,"INCOMPATÍVEL","OK"))))</f>
        <v/>
      </c>
    </row>
    <row r="1812" spans="1:11" ht="30" hidden="1" customHeight="1" x14ac:dyDescent="0.25">
      <c r="A1812" s="86" t="str">
        <f>IF(COUNTIF(EXTRATO!$A$2:$A$3000,"BAN-01669")=0,"","BAN-01669")</f>
        <v/>
      </c>
      <c r="B1812" s="85" t="str">
        <f>IF(A1812="","",IF(INDEX(EXTRATO!$C$2:$C$3000,MATCH($A1812,EXTRATO!$A$2:$A$3000,0))="","",INDEX(EXTRATO!$C$2:$C$3000,MATCH($A1812,EXTRATO!$A$2:$A$3000,0))))</f>
        <v/>
      </c>
      <c r="C1812" s="86" t="str">
        <f t="shared" si="42"/>
        <v/>
      </c>
      <c r="D1812" s="81"/>
      <c r="E1812" s="79"/>
      <c r="F1812" s="80" t="str">
        <f>IF(A1812="","",SUMIF(EXTRATO!$A$2:$A$3000,$A1812,EXTRATO!$J$2:$J$3000)+SUMIF(EXTRATO!$A$2:$A$3000,$A1812,EXTRATO!$K$2:$K$3000)+SUMIF(EXTRATO!$A$2:$A$3000,$A1812,EXTRATO!$L$2:$L$3000)+SUMIF(EXTRATO!$A$2:$A$3000,$A1812,EXTRATO!$M$2:$M$3000))</f>
        <v/>
      </c>
      <c r="G1812" s="81" t="str">
        <f>IF(A1812="","",IF(INDEX(EXTRATO!$G$2:$G$3000,MATCH($A1812,EXTRATO!$A$2:$A$3000,0))="","",INDEX(EXTRATO!$G$2:$G$3000,MATCH($A1812,EXTRATO!$A$2:$A$3000,0))))</f>
        <v/>
      </c>
      <c r="H1812" s="86" t="str">
        <f>IF(A1812="","",IF(INDEX(EXTRATO!$F$2:$F$3000,MATCH($A1812,EXTRATO!$A$2:$A$3000,0))="","",INDEX(EXTRATO!$F$2:$F$3000,MATCH($A1812,EXTRATO!$A$2:$A$3000,0))))</f>
        <v/>
      </c>
      <c r="I1812" s="88" t="str">
        <f>IF(A1812="","",IF(INDEX(EXTRATO!$H$2:$H$3000,MATCH($A1812,EXTRATO!$A$2:$A$3000,0))="","",INDEX(EXTRATO!$H$2:$H$3000,MATCH($A1812,EXTRATO!$A$2:$A$3000,0))))</f>
        <v/>
      </c>
      <c r="J1812" s="86" t="str">
        <f t="shared" si="43"/>
        <v/>
      </c>
      <c r="K1812" s="86" t="str">
        <f>IF(AND(A1812="",D1812="",E1812="",F1812=""),"",IF(D1812="","SEM CATEGORIA",IF(E1812="","SEM SUBCATEGORIA",IF(COUNTIFS(CADASTROS!$L$7:$L$93,D1812,CADASTROS!$D$7:$D$93,E1812)=0,"INCOMPATÍVEL","OK"))))</f>
        <v/>
      </c>
    </row>
    <row r="1813" spans="1:11" ht="30" hidden="1" customHeight="1" x14ac:dyDescent="0.25">
      <c r="A1813" s="86" t="str">
        <f>IF(COUNTIF(EXTRATO!$A$2:$A$3000,"BAN-01670")=0,"","BAN-01670")</f>
        <v/>
      </c>
      <c r="B1813" s="85" t="str">
        <f>IF(A1813="","",IF(INDEX(EXTRATO!$C$2:$C$3000,MATCH($A1813,EXTRATO!$A$2:$A$3000,0))="","",INDEX(EXTRATO!$C$2:$C$3000,MATCH($A1813,EXTRATO!$A$2:$A$3000,0))))</f>
        <v/>
      </c>
      <c r="C1813" s="86" t="str">
        <f t="shared" ref="C1813:C1876" si="44">IF(B1813="","",MONTH(B1813))</f>
        <v/>
      </c>
      <c r="D1813" s="81"/>
      <c r="E1813" s="79"/>
      <c r="F1813" s="80" t="str">
        <f>IF(A1813="","",SUMIF(EXTRATO!$A$2:$A$3000,$A1813,EXTRATO!$J$2:$J$3000)+SUMIF(EXTRATO!$A$2:$A$3000,$A1813,EXTRATO!$K$2:$K$3000)+SUMIF(EXTRATO!$A$2:$A$3000,$A1813,EXTRATO!$L$2:$L$3000)+SUMIF(EXTRATO!$A$2:$A$3000,$A1813,EXTRATO!$M$2:$M$3000))</f>
        <v/>
      </c>
      <c r="G1813" s="81" t="str">
        <f>IF(A1813="","",IF(INDEX(EXTRATO!$G$2:$G$3000,MATCH($A1813,EXTRATO!$A$2:$A$3000,0))="","",INDEX(EXTRATO!$G$2:$G$3000,MATCH($A1813,EXTRATO!$A$2:$A$3000,0))))</f>
        <v/>
      </c>
      <c r="H1813" s="86" t="str">
        <f>IF(A1813="","",IF(INDEX(EXTRATO!$F$2:$F$3000,MATCH($A1813,EXTRATO!$A$2:$A$3000,0))="","",INDEX(EXTRATO!$F$2:$F$3000,MATCH($A1813,EXTRATO!$A$2:$A$3000,0))))</f>
        <v/>
      </c>
      <c r="I1813" s="88" t="str">
        <f>IF(A1813="","",IF(INDEX(EXTRATO!$H$2:$H$3000,MATCH($A1813,EXTRATO!$A$2:$A$3000,0))="","",INDEX(EXTRATO!$H$2:$H$3000,MATCH($A1813,EXTRATO!$A$2:$A$3000,0))))</f>
        <v/>
      </c>
      <c r="J1813" s="86" t="str">
        <f t="shared" si="43"/>
        <v/>
      </c>
      <c r="K1813" s="86" t="str">
        <f>IF(AND(A1813="",D1813="",E1813="",F1813=""),"",IF(D1813="","SEM CATEGORIA",IF(E1813="","SEM SUBCATEGORIA",IF(COUNTIFS(CADASTROS!$L$7:$L$93,D1813,CADASTROS!$D$7:$D$93,E1813)=0,"INCOMPATÍVEL","OK"))))</f>
        <v/>
      </c>
    </row>
    <row r="1814" spans="1:11" ht="30" hidden="1" customHeight="1" x14ac:dyDescent="0.25">
      <c r="A1814" s="86" t="str">
        <f>IF(COUNTIF(EXTRATO!$A$2:$A$3000,"BAN-01671")=0,"","BAN-01671")</f>
        <v/>
      </c>
      <c r="B1814" s="85" t="str">
        <f>IF(A1814="","",IF(INDEX(EXTRATO!$C$2:$C$3000,MATCH($A1814,EXTRATO!$A$2:$A$3000,0))="","",INDEX(EXTRATO!$C$2:$C$3000,MATCH($A1814,EXTRATO!$A$2:$A$3000,0))))</f>
        <v/>
      </c>
      <c r="C1814" s="86" t="str">
        <f t="shared" si="44"/>
        <v/>
      </c>
      <c r="D1814" s="81"/>
      <c r="E1814" s="79"/>
      <c r="F1814" s="80" t="str">
        <f>IF(A1814="","",SUMIF(EXTRATO!$A$2:$A$3000,$A1814,EXTRATO!$J$2:$J$3000)+SUMIF(EXTRATO!$A$2:$A$3000,$A1814,EXTRATO!$K$2:$K$3000)+SUMIF(EXTRATO!$A$2:$A$3000,$A1814,EXTRATO!$L$2:$L$3000)+SUMIF(EXTRATO!$A$2:$A$3000,$A1814,EXTRATO!$M$2:$M$3000))</f>
        <v/>
      </c>
      <c r="G1814" s="81" t="str">
        <f>IF(A1814="","",IF(INDEX(EXTRATO!$G$2:$G$3000,MATCH($A1814,EXTRATO!$A$2:$A$3000,0))="","",INDEX(EXTRATO!$G$2:$G$3000,MATCH($A1814,EXTRATO!$A$2:$A$3000,0))))</f>
        <v/>
      </c>
      <c r="H1814" s="86" t="str">
        <f>IF(A1814="","",IF(INDEX(EXTRATO!$F$2:$F$3000,MATCH($A1814,EXTRATO!$A$2:$A$3000,0))="","",INDEX(EXTRATO!$F$2:$F$3000,MATCH($A1814,EXTRATO!$A$2:$A$3000,0))))</f>
        <v/>
      </c>
      <c r="I1814" s="88" t="str">
        <f>IF(A1814="","",IF(INDEX(EXTRATO!$H$2:$H$3000,MATCH($A1814,EXTRATO!$A$2:$A$3000,0))="","",INDEX(EXTRATO!$H$2:$H$3000,MATCH($A1814,EXTRATO!$A$2:$A$3000,0))))</f>
        <v/>
      </c>
      <c r="J1814" s="86" t="str">
        <f t="shared" si="43"/>
        <v/>
      </c>
      <c r="K1814" s="86" t="str">
        <f>IF(AND(A1814="",D1814="",E1814="",F1814=""),"",IF(D1814="","SEM CATEGORIA",IF(E1814="","SEM SUBCATEGORIA",IF(COUNTIFS(CADASTROS!$L$7:$L$93,D1814,CADASTROS!$D$7:$D$93,E1814)=0,"INCOMPATÍVEL","OK"))))</f>
        <v/>
      </c>
    </row>
    <row r="1815" spans="1:11" ht="30" hidden="1" customHeight="1" x14ac:dyDescent="0.25">
      <c r="A1815" s="86" t="str">
        <f>IF(COUNTIF(EXTRATO!$A$2:$A$3000,"BAN-01672")=0,"","BAN-01672")</f>
        <v/>
      </c>
      <c r="B1815" s="85" t="str">
        <f>IF(A1815="","",IF(INDEX(EXTRATO!$C$2:$C$3000,MATCH($A1815,EXTRATO!$A$2:$A$3000,0))="","",INDEX(EXTRATO!$C$2:$C$3000,MATCH($A1815,EXTRATO!$A$2:$A$3000,0))))</f>
        <v/>
      </c>
      <c r="C1815" s="86" t="str">
        <f t="shared" si="44"/>
        <v/>
      </c>
      <c r="D1815" s="81"/>
      <c r="E1815" s="79"/>
      <c r="F1815" s="80" t="str">
        <f>IF(A1815="","",SUMIF(EXTRATO!$A$2:$A$3000,$A1815,EXTRATO!$J$2:$J$3000)+SUMIF(EXTRATO!$A$2:$A$3000,$A1815,EXTRATO!$K$2:$K$3000)+SUMIF(EXTRATO!$A$2:$A$3000,$A1815,EXTRATO!$L$2:$L$3000)+SUMIF(EXTRATO!$A$2:$A$3000,$A1815,EXTRATO!$M$2:$M$3000))</f>
        <v/>
      </c>
      <c r="G1815" s="81" t="str">
        <f>IF(A1815="","",IF(INDEX(EXTRATO!$G$2:$G$3000,MATCH($A1815,EXTRATO!$A$2:$A$3000,0))="","",INDEX(EXTRATO!$G$2:$G$3000,MATCH($A1815,EXTRATO!$A$2:$A$3000,0))))</f>
        <v/>
      </c>
      <c r="H1815" s="86" t="str">
        <f>IF(A1815="","",IF(INDEX(EXTRATO!$F$2:$F$3000,MATCH($A1815,EXTRATO!$A$2:$A$3000,0))="","",INDEX(EXTRATO!$F$2:$F$3000,MATCH($A1815,EXTRATO!$A$2:$A$3000,0))))</f>
        <v/>
      </c>
      <c r="I1815" s="88" t="str">
        <f>IF(A1815="","",IF(INDEX(EXTRATO!$H$2:$H$3000,MATCH($A1815,EXTRATO!$A$2:$A$3000,0))="","",INDEX(EXTRATO!$H$2:$H$3000,MATCH($A1815,EXTRATO!$A$2:$A$3000,0))))</f>
        <v/>
      </c>
      <c r="J1815" s="86" t="str">
        <f t="shared" si="43"/>
        <v/>
      </c>
      <c r="K1815" s="86" t="str">
        <f>IF(AND(A1815="",D1815="",E1815="",F1815=""),"",IF(D1815="","SEM CATEGORIA",IF(E1815="","SEM SUBCATEGORIA",IF(COUNTIFS(CADASTROS!$L$7:$L$93,D1815,CADASTROS!$D$7:$D$93,E1815)=0,"INCOMPATÍVEL","OK"))))</f>
        <v/>
      </c>
    </row>
    <row r="1816" spans="1:11" ht="30" hidden="1" customHeight="1" x14ac:dyDescent="0.25">
      <c r="A1816" s="86" t="str">
        <f>IF(COUNTIF(EXTRATO!$A$2:$A$3000,"BAN-01673")=0,"","BAN-01673")</f>
        <v/>
      </c>
      <c r="B1816" s="85" t="str">
        <f>IF(A1816="","",IF(INDEX(EXTRATO!$C$2:$C$3000,MATCH($A1816,EXTRATO!$A$2:$A$3000,0))="","",INDEX(EXTRATO!$C$2:$C$3000,MATCH($A1816,EXTRATO!$A$2:$A$3000,0))))</f>
        <v/>
      </c>
      <c r="C1816" s="86" t="str">
        <f t="shared" si="44"/>
        <v/>
      </c>
      <c r="D1816" s="81"/>
      <c r="E1816" s="79"/>
      <c r="F1816" s="80" t="str">
        <f>IF(A1816="","",SUMIF(EXTRATO!$A$2:$A$3000,$A1816,EXTRATO!$J$2:$J$3000)+SUMIF(EXTRATO!$A$2:$A$3000,$A1816,EXTRATO!$K$2:$K$3000)+SUMIF(EXTRATO!$A$2:$A$3000,$A1816,EXTRATO!$L$2:$L$3000)+SUMIF(EXTRATO!$A$2:$A$3000,$A1816,EXTRATO!$M$2:$M$3000))</f>
        <v/>
      </c>
      <c r="G1816" s="81" t="str">
        <f>IF(A1816="","",IF(INDEX(EXTRATO!$G$2:$G$3000,MATCH($A1816,EXTRATO!$A$2:$A$3000,0))="","",INDEX(EXTRATO!$G$2:$G$3000,MATCH($A1816,EXTRATO!$A$2:$A$3000,0))))</f>
        <v/>
      </c>
      <c r="H1816" s="86" t="str">
        <f>IF(A1816="","",IF(INDEX(EXTRATO!$F$2:$F$3000,MATCH($A1816,EXTRATO!$A$2:$A$3000,0))="","",INDEX(EXTRATO!$F$2:$F$3000,MATCH($A1816,EXTRATO!$A$2:$A$3000,0))))</f>
        <v/>
      </c>
      <c r="I1816" s="88" t="str">
        <f>IF(A1816="","",IF(INDEX(EXTRATO!$H$2:$H$3000,MATCH($A1816,EXTRATO!$A$2:$A$3000,0))="","",INDEX(EXTRATO!$H$2:$H$3000,MATCH($A1816,EXTRATO!$A$2:$A$3000,0))))</f>
        <v/>
      </c>
      <c r="J1816" s="86" t="str">
        <f t="shared" si="43"/>
        <v/>
      </c>
      <c r="K1816" s="86" t="str">
        <f>IF(AND(A1816="",D1816="",E1816="",F1816=""),"",IF(D1816="","SEM CATEGORIA",IF(E1816="","SEM SUBCATEGORIA",IF(COUNTIFS(CADASTROS!$L$7:$L$93,D1816,CADASTROS!$D$7:$D$93,E1816)=0,"INCOMPATÍVEL","OK"))))</f>
        <v/>
      </c>
    </row>
    <row r="1817" spans="1:11" ht="30" hidden="1" customHeight="1" x14ac:dyDescent="0.25">
      <c r="A1817" s="86" t="str">
        <f>IF(COUNTIF(EXTRATO!$A$2:$A$3000,"BAN-01674")=0,"","BAN-01674")</f>
        <v/>
      </c>
      <c r="B1817" s="85" t="str">
        <f>IF(A1817="","",IF(INDEX(EXTRATO!$C$2:$C$3000,MATCH($A1817,EXTRATO!$A$2:$A$3000,0))="","",INDEX(EXTRATO!$C$2:$C$3000,MATCH($A1817,EXTRATO!$A$2:$A$3000,0))))</f>
        <v/>
      </c>
      <c r="C1817" s="86" t="str">
        <f t="shared" si="44"/>
        <v/>
      </c>
      <c r="D1817" s="81"/>
      <c r="E1817" s="79"/>
      <c r="F1817" s="80" t="str">
        <f>IF(A1817="","",SUMIF(EXTRATO!$A$2:$A$3000,$A1817,EXTRATO!$J$2:$J$3000)+SUMIF(EXTRATO!$A$2:$A$3000,$A1817,EXTRATO!$K$2:$K$3000)+SUMIF(EXTRATO!$A$2:$A$3000,$A1817,EXTRATO!$L$2:$L$3000)+SUMIF(EXTRATO!$A$2:$A$3000,$A1817,EXTRATO!$M$2:$M$3000))</f>
        <v/>
      </c>
      <c r="G1817" s="81" t="str">
        <f>IF(A1817="","",IF(INDEX(EXTRATO!$G$2:$G$3000,MATCH($A1817,EXTRATO!$A$2:$A$3000,0))="","",INDEX(EXTRATO!$G$2:$G$3000,MATCH($A1817,EXTRATO!$A$2:$A$3000,0))))</f>
        <v/>
      </c>
      <c r="H1817" s="86" t="str">
        <f>IF(A1817="","",IF(INDEX(EXTRATO!$F$2:$F$3000,MATCH($A1817,EXTRATO!$A$2:$A$3000,0))="","",INDEX(EXTRATO!$F$2:$F$3000,MATCH($A1817,EXTRATO!$A$2:$A$3000,0))))</f>
        <v/>
      </c>
      <c r="I1817" s="88" t="str">
        <f>IF(A1817="","",IF(INDEX(EXTRATO!$H$2:$H$3000,MATCH($A1817,EXTRATO!$A$2:$A$3000,0))="","",INDEX(EXTRATO!$H$2:$H$3000,MATCH($A1817,EXTRATO!$A$2:$A$3000,0))))</f>
        <v/>
      </c>
      <c r="J1817" s="86" t="str">
        <f t="shared" si="43"/>
        <v/>
      </c>
      <c r="K1817" s="86" t="str">
        <f>IF(AND(A1817="",D1817="",E1817="",F1817=""),"",IF(D1817="","SEM CATEGORIA",IF(E1817="","SEM SUBCATEGORIA",IF(COUNTIFS(CADASTROS!$L$7:$L$93,D1817,CADASTROS!$D$7:$D$93,E1817)=0,"INCOMPATÍVEL","OK"))))</f>
        <v/>
      </c>
    </row>
    <row r="1818" spans="1:11" ht="30" hidden="1" customHeight="1" x14ac:dyDescent="0.25">
      <c r="A1818" s="86" t="str">
        <f>IF(COUNTIF(EXTRATO!$A$2:$A$3000,"BAN-01675")=0,"","BAN-01675")</f>
        <v/>
      </c>
      <c r="B1818" s="85" t="str">
        <f>IF(A1818="","",IF(INDEX(EXTRATO!$C$2:$C$3000,MATCH($A1818,EXTRATO!$A$2:$A$3000,0))="","",INDEX(EXTRATO!$C$2:$C$3000,MATCH($A1818,EXTRATO!$A$2:$A$3000,0))))</f>
        <v/>
      </c>
      <c r="C1818" s="86" t="str">
        <f t="shared" si="44"/>
        <v/>
      </c>
      <c r="D1818" s="81"/>
      <c r="E1818" s="79"/>
      <c r="F1818" s="80" t="str">
        <f>IF(A1818="","",SUMIF(EXTRATO!$A$2:$A$3000,$A1818,EXTRATO!$J$2:$J$3000)+SUMIF(EXTRATO!$A$2:$A$3000,$A1818,EXTRATO!$K$2:$K$3000)+SUMIF(EXTRATO!$A$2:$A$3000,$A1818,EXTRATO!$L$2:$L$3000)+SUMIF(EXTRATO!$A$2:$A$3000,$A1818,EXTRATO!$M$2:$M$3000))</f>
        <v/>
      </c>
      <c r="G1818" s="81" t="str">
        <f>IF(A1818="","",IF(INDEX(EXTRATO!$G$2:$G$3000,MATCH($A1818,EXTRATO!$A$2:$A$3000,0))="","",INDEX(EXTRATO!$G$2:$G$3000,MATCH($A1818,EXTRATO!$A$2:$A$3000,0))))</f>
        <v/>
      </c>
      <c r="H1818" s="86" t="str">
        <f>IF(A1818="","",IF(INDEX(EXTRATO!$F$2:$F$3000,MATCH($A1818,EXTRATO!$A$2:$A$3000,0))="","",INDEX(EXTRATO!$F$2:$F$3000,MATCH($A1818,EXTRATO!$A$2:$A$3000,0))))</f>
        <v/>
      </c>
      <c r="I1818" s="88" t="str">
        <f>IF(A1818="","",IF(INDEX(EXTRATO!$H$2:$H$3000,MATCH($A1818,EXTRATO!$A$2:$A$3000,0))="","",INDEX(EXTRATO!$H$2:$H$3000,MATCH($A1818,EXTRATO!$A$2:$A$3000,0))))</f>
        <v/>
      </c>
      <c r="J1818" s="86" t="str">
        <f t="shared" si="43"/>
        <v/>
      </c>
      <c r="K1818" s="86" t="str">
        <f>IF(AND(A1818="",D1818="",E1818="",F1818=""),"",IF(D1818="","SEM CATEGORIA",IF(E1818="","SEM SUBCATEGORIA",IF(COUNTIFS(CADASTROS!$L$7:$L$93,D1818,CADASTROS!$D$7:$D$93,E1818)=0,"INCOMPATÍVEL","OK"))))</f>
        <v/>
      </c>
    </row>
    <row r="1819" spans="1:11" ht="30" hidden="1" customHeight="1" x14ac:dyDescent="0.25">
      <c r="A1819" s="86" t="str">
        <f>IF(COUNTIF(EXTRATO!$A$2:$A$3000,"BAN-01676")=0,"","BAN-01676")</f>
        <v/>
      </c>
      <c r="B1819" s="85" t="str">
        <f>IF(A1819="","",IF(INDEX(EXTRATO!$C$2:$C$3000,MATCH($A1819,EXTRATO!$A$2:$A$3000,0))="","",INDEX(EXTRATO!$C$2:$C$3000,MATCH($A1819,EXTRATO!$A$2:$A$3000,0))))</f>
        <v/>
      </c>
      <c r="C1819" s="86" t="str">
        <f t="shared" si="44"/>
        <v/>
      </c>
      <c r="D1819" s="81"/>
      <c r="E1819" s="79"/>
      <c r="F1819" s="80" t="str">
        <f>IF(A1819="","",SUMIF(EXTRATO!$A$2:$A$3000,$A1819,EXTRATO!$J$2:$J$3000)+SUMIF(EXTRATO!$A$2:$A$3000,$A1819,EXTRATO!$K$2:$K$3000)+SUMIF(EXTRATO!$A$2:$A$3000,$A1819,EXTRATO!$L$2:$L$3000)+SUMIF(EXTRATO!$A$2:$A$3000,$A1819,EXTRATO!$M$2:$M$3000))</f>
        <v/>
      </c>
      <c r="G1819" s="81" t="str">
        <f>IF(A1819="","",IF(INDEX(EXTRATO!$G$2:$G$3000,MATCH($A1819,EXTRATO!$A$2:$A$3000,0))="","",INDEX(EXTRATO!$G$2:$G$3000,MATCH($A1819,EXTRATO!$A$2:$A$3000,0))))</f>
        <v/>
      </c>
      <c r="H1819" s="86" t="str">
        <f>IF(A1819="","",IF(INDEX(EXTRATO!$F$2:$F$3000,MATCH($A1819,EXTRATO!$A$2:$A$3000,0))="","",INDEX(EXTRATO!$F$2:$F$3000,MATCH($A1819,EXTRATO!$A$2:$A$3000,0))))</f>
        <v/>
      </c>
      <c r="I1819" s="88" t="str">
        <f>IF(A1819="","",IF(INDEX(EXTRATO!$H$2:$H$3000,MATCH($A1819,EXTRATO!$A$2:$A$3000,0))="","",INDEX(EXTRATO!$H$2:$H$3000,MATCH($A1819,EXTRATO!$A$2:$A$3000,0))))</f>
        <v/>
      </c>
      <c r="J1819" s="86" t="str">
        <f t="shared" si="43"/>
        <v/>
      </c>
      <c r="K1819" s="86" t="str">
        <f>IF(AND(A1819="",D1819="",E1819="",F1819=""),"",IF(D1819="","SEM CATEGORIA",IF(E1819="","SEM SUBCATEGORIA",IF(COUNTIFS(CADASTROS!$L$7:$L$93,D1819,CADASTROS!$D$7:$D$93,E1819)=0,"INCOMPATÍVEL","OK"))))</f>
        <v/>
      </c>
    </row>
    <row r="1820" spans="1:11" ht="30" hidden="1" customHeight="1" x14ac:dyDescent="0.25">
      <c r="A1820" s="86" t="str">
        <f>IF(COUNTIF(EXTRATO!$A$2:$A$3000,"BAN-01677")=0,"","BAN-01677")</f>
        <v/>
      </c>
      <c r="B1820" s="85" t="str">
        <f>IF(A1820="","",IF(INDEX(EXTRATO!$C$2:$C$3000,MATCH($A1820,EXTRATO!$A$2:$A$3000,0))="","",INDEX(EXTRATO!$C$2:$C$3000,MATCH($A1820,EXTRATO!$A$2:$A$3000,0))))</f>
        <v/>
      </c>
      <c r="C1820" s="86" t="str">
        <f t="shared" si="44"/>
        <v/>
      </c>
      <c r="D1820" s="81"/>
      <c r="E1820" s="79"/>
      <c r="F1820" s="80" t="str">
        <f>IF(A1820="","",SUMIF(EXTRATO!$A$2:$A$3000,$A1820,EXTRATO!$J$2:$J$3000)+SUMIF(EXTRATO!$A$2:$A$3000,$A1820,EXTRATO!$K$2:$K$3000)+SUMIF(EXTRATO!$A$2:$A$3000,$A1820,EXTRATO!$L$2:$L$3000)+SUMIF(EXTRATO!$A$2:$A$3000,$A1820,EXTRATO!$M$2:$M$3000))</f>
        <v/>
      </c>
      <c r="G1820" s="81" t="str">
        <f>IF(A1820="","",IF(INDEX(EXTRATO!$G$2:$G$3000,MATCH($A1820,EXTRATO!$A$2:$A$3000,0))="","",INDEX(EXTRATO!$G$2:$G$3000,MATCH($A1820,EXTRATO!$A$2:$A$3000,0))))</f>
        <v/>
      </c>
      <c r="H1820" s="86" t="str">
        <f>IF(A1820="","",IF(INDEX(EXTRATO!$F$2:$F$3000,MATCH($A1820,EXTRATO!$A$2:$A$3000,0))="","",INDEX(EXTRATO!$F$2:$F$3000,MATCH($A1820,EXTRATO!$A$2:$A$3000,0))))</f>
        <v/>
      </c>
      <c r="I1820" s="88" t="str">
        <f>IF(A1820="","",IF(INDEX(EXTRATO!$H$2:$H$3000,MATCH($A1820,EXTRATO!$A$2:$A$3000,0))="","",INDEX(EXTRATO!$H$2:$H$3000,MATCH($A1820,EXTRATO!$A$2:$A$3000,0))))</f>
        <v/>
      </c>
      <c r="J1820" s="86" t="str">
        <f t="shared" si="43"/>
        <v/>
      </c>
      <c r="K1820" s="86" t="str">
        <f>IF(AND(A1820="",D1820="",E1820="",F1820=""),"",IF(D1820="","SEM CATEGORIA",IF(E1820="","SEM SUBCATEGORIA",IF(COUNTIFS(CADASTROS!$L$7:$L$93,D1820,CADASTROS!$D$7:$D$93,E1820)=0,"INCOMPATÍVEL","OK"))))</f>
        <v/>
      </c>
    </row>
    <row r="1821" spans="1:11" ht="30" hidden="1" customHeight="1" x14ac:dyDescent="0.25">
      <c r="A1821" s="86" t="str">
        <f>IF(COUNTIF(EXTRATO!$A$2:$A$3000,"BAN-01678")=0,"","BAN-01678")</f>
        <v/>
      </c>
      <c r="B1821" s="85" t="str">
        <f>IF(A1821="","",IF(INDEX(EXTRATO!$C$2:$C$3000,MATCH($A1821,EXTRATO!$A$2:$A$3000,0))="","",INDEX(EXTRATO!$C$2:$C$3000,MATCH($A1821,EXTRATO!$A$2:$A$3000,0))))</f>
        <v/>
      </c>
      <c r="C1821" s="86" t="str">
        <f t="shared" si="44"/>
        <v/>
      </c>
      <c r="D1821" s="81"/>
      <c r="E1821" s="79"/>
      <c r="F1821" s="80" t="str">
        <f>IF(A1821="","",SUMIF(EXTRATO!$A$2:$A$3000,$A1821,EXTRATO!$J$2:$J$3000)+SUMIF(EXTRATO!$A$2:$A$3000,$A1821,EXTRATO!$K$2:$K$3000)+SUMIF(EXTRATO!$A$2:$A$3000,$A1821,EXTRATO!$L$2:$L$3000)+SUMIF(EXTRATO!$A$2:$A$3000,$A1821,EXTRATO!$M$2:$M$3000))</f>
        <v/>
      </c>
      <c r="G1821" s="81" t="str">
        <f>IF(A1821="","",IF(INDEX(EXTRATO!$G$2:$G$3000,MATCH($A1821,EXTRATO!$A$2:$A$3000,0))="","",INDEX(EXTRATO!$G$2:$G$3000,MATCH($A1821,EXTRATO!$A$2:$A$3000,0))))</f>
        <v/>
      </c>
      <c r="H1821" s="86" t="str">
        <f>IF(A1821="","",IF(INDEX(EXTRATO!$F$2:$F$3000,MATCH($A1821,EXTRATO!$A$2:$A$3000,0))="","",INDEX(EXTRATO!$F$2:$F$3000,MATCH($A1821,EXTRATO!$A$2:$A$3000,0))))</f>
        <v/>
      </c>
      <c r="I1821" s="88" t="str">
        <f>IF(A1821="","",IF(INDEX(EXTRATO!$H$2:$H$3000,MATCH($A1821,EXTRATO!$A$2:$A$3000,0))="","",INDEX(EXTRATO!$H$2:$H$3000,MATCH($A1821,EXTRATO!$A$2:$A$3000,0))))</f>
        <v/>
      </c>
      <c r="J1821" s="86" t="str">
        <f t="shared" si="43"/>
        <v/>
      </c>
      <c r="K1821" s="86" t="str">
        <f>IF(AND(A1821="",D1821="",E1821="",F1821=""),"",IF(D1821="","SEM CATEGORIA",IF(E1821="","SEM SUBCATEGORIA",IF(COUNTIFS(CADASTROS!$L$7:$L$93,D1821,CADASTROS!$D$7:$D$93,E1821)=0,"INCOMPATÍVEL","OK"))))</f>
        <v/>
      </c>
    </row>
    <row r="1822" spans="1:11" ht="30" hidden="1" customHeight="1" x14ac:dyDescent="0.25">
      <c r="A1822" s="86" t="str">
        <f>IF(COUNTIF(EXTRATO!$A$2:$A$3000,"BAN-01679")=0,"","BAN-01679")</f>
        <v/>
      </c>
      <c r="B1822" s="85" t="str">
        <f>IF(A1822="","",IF(INDEX(EXTRATO!$C$2:$C$3000,MATCH($A1822,EXTRATO!$A$2:$A$3000,0))="","",INDEX(EXTRATO!$C$2:$C$3000,MATCH($A1822,EXTRATO!$A$2:$A$3000,0))))</f>
        <v/>
      </c>
      <c r="C1822" s="86" t="str">
        <f t="shared" si="44"/>
        <v/>
      </c>
      <c r="D1822" s="81"/>
      <c r="E1822" s="79"/>
      <c r="F1822" s="80" t="str">
        <f>IF(A1822="","",SUMIF(EXTRATO!$A$2:$A$3000,$A1822,EXTRATO!$J$2:$J$3000)+SUMIF(EXTRATO!$A$2:$A$3000,$A1822,EXTRATO!$K$2:$K$3000)+SUMIF(EXTRATO!$A$2:$A$3000,$A1822,EXTRATO!$L$2:$L$3000)+SUMIF(EXTRATO!$A$2:$A$3000,$A1822,EXTRATO!$M$2:$M$3000))</f>
        <v/>
      </c>
      <c r="G1822" s="81" t="str">
        <f>IF(A1822="","",IF(INDEX(EXTRATO!$G$2:$G$3000,MATCH($A1822,EXTRATO!$A$2:$A$3000,0))="","",INDEX(EXTRATO!$G$2:$G$3000,MATCH($A1822,EXTRATO!$A$2:$A$3000,0))))</f>
        <v/>
      </c>
      <c r="H1822" s="86" t="str">
        <f>IF(A1822="","",IF(INDEX(EXTRATO!$F$2:$F$3000,MATCH($A1822,EXTRATO!$A$2:$A$3000,0))="","",INDEX(EXTRATO!$F$2:$F$3000,MATCH($A1822,EXTRATO!$A$2:$A$3000,0))))</f>
        <v/>
      </c>
      <c r="I1822" s="88" t="str">
        <f>IF(A1822="","",IF(INDEX(EXTRATO!$H$2:$H$3000,MATCH($A1822,EXTRATO!$A$2:$A$3000,0))="","",INDEX(EXTRATO!$H$2:$H$3000,MATCH($A1822,EXTRATO!$A$2:$A$3000,0))))</f>
        <v/>
      </c>
      <c r="J1822" s="86" t="str">
        <f t="shared" si="43"/>
        <v/>
      </c>
      <c r="K1822" s="86" t="str">
        <f>IF(AND(A1822="",D1822="",E1822="",F1822=""),"",IF(D1822="","SEM CATEGORIA",IF(E1822="","SEM SUBCATEGORIA",IF(COUNTIFS(CADASTROS!$L$7:$L$93,D1822,CADASTROS!$D$7:$D$93,E1822)=0,"INCOMPATÍVEL","OK"))))</f>
        <v/>
      </c>
    </row>
    <row r="1823" spans="1:11" ht="30" hidden="1" customHeight="1" x14ac:dyDescent="0.25">
      <c r="A1823" s="86" t="str">
        <f>IF(COUNTIF(EXTRATO!$A$2:$A$3000,"BAN-01680")=0,"","BAN-01680")</f>
        <v/>
      </c>
      <c r="B1823" s="85" t="str">
        <f>IF(A1823="","",IF(INDEX(EXTRATO!$C$2:$C$3000,MATCH($A1823,EXTRATO!$A$2:$A$3000,0))="","",INDEX(EXTRATO!$C$2:$C$3000,MATCH($A1823,EXTRATO!$A$2:$A$3000,0))))</f>
        <v/>
      </c>
      <c r="C1823" s="86" t="str">
        <f t="shared" si="44"/>
        <v/>
      </c>
      <c r="D1823" s="81"/>
      <c r="E1823" s="79"/>
      <c r="F1823" s="80" t="str">
        <f>IF(A1823="","",SUMIF(EXTRATO!$A$2:$A$3000,$A1823,EXTRATO!$J$2:$J$3000)+SUMIF(EXTRATO!$A$2:$A$3000,$A1823,EXTRATO!$K$2:$K$3000)+SUMIF(EXTRATO!$A$2:$A$3000,$A1823,EXTRATO!$L$2:$L$3000)+SUMIF(EXTRATO!$A$2:$A$3000,$A1823,EXTRATO!$M$2:$M$3000))</f>
        <v/>
      </c>
      <c r="G1823" s="81" t="str">
        <f>IF(A1823="","",IF(INDEX(EXTRATO!$G$2:$G$3000,MATCH($A1823,EXTRATO!$A$2:$A$3000,0))="","",INDEX(EXTRATO!$G$2:$G$3000,MATCH($A1823,EXTRATO!$A$2:$A$3000,0))))</f>
        <v/>
      </c>
      <c r="H1823" s="86" t="str">
        <f>IF(A1823="","",IF(INDEX(EXTRATO!$F$2:$F$3000,MATCH($A1823,EXTRATO!$A$2:$A$3000,0))="","",INDEX(EXTRATO!$F$2:$F$3000,MATCH($A1823,EXTRATO!$A$2:$A$3000,0))))</f>
        <v/>
      </c>
      <c r="I1823" s="88" t="str">
        <f>IF(A1823="","",IF(INDEX(EXTRATO!$H$2:$H$3000,MATCH($A1823,EXTRATO!$A$2:$A$3000,0))="","",INDEX(EXTRATO!$H$2:$H$3000,MATCH($A1823,EXTRATO!$A$2:$A$3000,0))))</f>
        <v/>
      </c>
      <c r="J1823" s="86" t="str">
        <f t="shared" si="43"/>
        <v/>
      </c>
      <c r="K1823" s="86" t="str">
        <f>IF(AND(A1823="",D1823="",E1823="",F1823=""),"",IF(D1823="","SEM CATEGORIA",IF(E1823="","SEM SUBCATEGORIA",IF(COUNTIFS(CADASTROS!$L$7:$L$93,D1823,CADASTROS!$D$7:$D$93,E1823)=0,"INCOMPATÍVEL","OK"))))</f>
        <v/>
      </c>
    </row>
    <row r="1824" spans="1:11" ht="30" hidden="1" customHeight="1" x14ac:dyDescent="0.25">
      <c r="A1824" s="86" t="str">
        <f>IF(COUNTIF(EXTRATO!$A$2:$A$3000,"BAN-01681")=0,"","BAN-01681")</f>
        <v/>
      </c>
      <c r="B1824" s="85" t="str">
        <f>IF(A1824="","",IF(INDEX(EXTRATO!$C$2:$C$3000,MATCH($A1824,EXTRATO!$A$2:$A$3000,0))="","",INDEX(EXTRATO!$C$2:$C$3000,MATCH($A1824,EXTRATO!$A$2:$A$3000,0))))</f>
        <v/>
      </c>
      <c r="C1824" s="86" t="str">
        <f t="shared" si="44"/>
        <v/>
      </c>
      <c r="D1824" s="81"/>
      <c r="E1824" s="79"/>
      <c r="F1824" s="80" t="str">
        <f>IF(A1824="","",SUMIF(EXTRATO!$A$2:$A$3000,$A1824,EXTRATO!$J$2:$J$3000)+SUMIF(EXTRATO!$A$2:$A$3000,$A1824,EXTRATO!$K$2:$K$3000)+SUMIF(EXTRATO!$A$2:$A$3000,$A1824,EXTRATO!$L$2:$L$3000)+SUMIF(EXTRATO!$A$2:$A$3000,$A1824,EXTRATO!$M$2:$M$3000))</f>
        <v/>
      </c>
      <c r="G1824" s="81" t="str">
        <f>IF(A1824="","",IF(INDEX(EXTRATO!$G$2:$G$3000,MATCH($A1824,EXTRATO!$A$2:$A$3000,0))="","",INDEX(EXTRATO!$G$2:$G$3000,MATCH($A1824,EXTRATO!$A$2:$A$3000,0))))</f>
        <v/>
      </c>
      <c r="H1824" s="86" t="str">
        <f>IF(A1824="","",IF(INDEX(EXTRATO!$F$2:$F$3000,MATCH($A1824,EXTRATO!$A$2:$A$3000,0))="","",INDEX(EXTRATO!$F$2:$F$3000,MATCH($A1824,EXTRATO!$A$2:$A$3000,0))))</f>
        <v/>
      </c>
      <c r="I1824" s="88" t="str">
        <f>IF(A1824="","",IF(INDEX(EXTRATO!$H$2:$H$3000,MATCH($A1824,EXTRATO!$A$2:$A$3000,0))="","",INDEX(EXTRATO!$H$2:$H$3000,MATCH($A1824,EXTRATO!$A$2:$A$3000,0))))</f>
        <v/>
      </c>
      <c r="J1824" s="86" t="str">
        <f t="shared" si="43"/>
        <v/>
      </c>
      <c r="K1824" s="86" t="str">
        <f>IF(AND(A1824="",D1824="",E1824="",F1824=""),"",IF(D1824="","SEM CATEGORIA",IF(E1824="","SEM SUBCATEGORIA",IF(COUNTIFS(CADASTROS!$L$7:$L$93,D1824,CADASTROS!$D$7:$D$93,E1824)=0,"INCOMPATÍVEL","OK"))))</f>
        <v/>
      </c>
    </row>
    <row r="1825" spans="1:11" ht="30" hidden="1" customHeight="1" x14ac:dyDescent="0.25">
      <c r="A1825" s="86" t="str">
        <f>IF(COUNTIF(EXTRATO!$A$2:$A$3000,"BAN-01682")=0,"","BAN-01682")</f>
        <v/>
      </c>
      <c r="B1825" s="85" t="str">
        <f>IF(A1825="","",IF(INDEX(EXTRATO!$C$2:$C$3000,MATCH($A1825,EXTRATO!$A$2:$A$3000,0))="","",INDEX(EXTRATO!$C$2:$C$3000,MATCH($A1825,EXTRATO!$A$2:$A$3000,0))))</f>
        <v/>
      </c>
      <c r="C1825" s="86" t="str">
        <f t="shared" si="44"/>
        <v/>
      </c>
      <c r="D1825" s="81"/>
      <c r="E1825" s="79"/>
      <c r="F1825" s="80" t="str">
        <f>IF(A1825="","",SUMIF(EXTRATO!$A$2:$A$3000,$A1825,EXTRATO!$J$2:$J$3000)+SUMIF(EXTRATO!$A$2:$A$3000,$A1825,EXTRATO!$K$2:$K$3000)+SUMIF(EXTRATO!$A$2:$A$3000,$A1825,EXTRATO!$L$2:$L$3000)+SUMIF(EXTRATO!$A$2:$A$3000,$A1825,EXTRATO!$M$2:$M$3000))</f>
        <v/>
      </c>
      <c r="G1825" s="81" t="str">
        <f>IF(A1825="","",IF(INDEX(EXTRATO!$G$2:$G$3000,MATCH($A1825,EXTRATO!$A$2:$A$3000,0))="","",INDEX(EXTRATO!$G$2:$G$3000,MATCH($A1825,EXTRATO!$A$2:$A$3000,0))))</f>
        <v/>
      </c>
      <c r="H1825" s="86" t="str">
        <f>IF(A1825="","",IF(INDEX(EXTRATO!$F$2:$F$3000,MATCH($A1825,EXTRATO!$A$2:$A$3000,0))="","",INDEX(EXTRATO!$F$2:$F$3000,MATCH($A1825,EXTRATO!$A$2:$A$3000,0))))</f>
        <v/>
      </c>
      <c r="I1825" s="88" t="str">
        <f>IF(A1825="","",IF(INDEX(EXTRATO!$H$2:$H$3000,MATCH($A1825,EXTRATO!$A$2:$A$3000,0))="","",INDEX(EXTRATO!$H$2:$H$3000,MATCH($A1825,EXTRATO!$A$2:$A$3000,0))))</f>
        <v/>
      </c>
      <c r="J1825" s="86" t="str">
        <f t="shared" si="43"/>
        <v/>
      </c>
      <c r="K1825" s="86" t="str">
        <f>IF(AND(A1825="",D1825="",E1825="",F1825=""),"",IF(D1825="","SEM CATEGORIA",IF(E1825="","SEM SUBCATEGORIA",IF(COUNTIFS(CADASTROS!$L$7:$L$93,D1825,CADASTROS!$D$7:$D$93,E1825)=0,"INCOMPATÍVEL","OK"))))</f>
        <v/>
      </c>
    </row>
    <row r="1826" spans="1:11" ht="30" hidden="1" customHeight="1" x14ac:dyDescent="0.25">
      <c r="A1826" s="86" t="str">
        <f>IF(COUNTIF(EXTRATO!$A$2:$A$3000,"BAN-01683")=0,"","BAN-01683")</f>
        <v/>
      </c>
      <c r="B1826" s="85" t="str">
        <f>IF(A1826="","",IF(INDEX(EXTRATO!$C$2:$C$3000,MATCH($A1826,EXTRATO!$A$2:$A$3000,0))="","",INDEX(EXTRATO!$C$2:$C$3000,MATCH($A1826,EXTRATO!$A$2:$A$3000,0))))</f>
        <v/>
      </c>
      <c r="C1826" s="86" t="str">
        <f t="shared" si="44"/>
        <v/>
      </c>
      <c r="D1826" s="81"/>
      <c r="E1826" s="79"/>
      <c r="F1826" s="80" t="str">
        <f>IF(A1826="","",SUMIF(EXTRATO!$A$2:$A$3000,$A1826,EXTRATO!$J$2:$J$3000)+SUMIF(EXTRATO!$A$2:$A$3000,$A1826,EXTRATO!$K$2:$K$3000)+SUMIF(EXTRATO!$A$2:$A$3000,$A1826,EXTRATO!$L$2:$L$3000)+SUMIF(EXTRATO!$A$2:$A$3000,$A1826,EXTRATO!$M$2:$M$3000))</f>
        <v/>
      </c>
      <c r="G1826" s="81" t="str">
        <f>IF(A1826="","",IF(INDEX(EXTRATO!$G$2:$G$3000,MATCH($A1826,EXTRATO!$A$2:$A$3000,0))="","",INDEX(EXTRATO!$G$2:$G$3000,MATCH($A1826,EXTRATO!$A$2:$A$3000,0))))</f>
        <v/>
      </c>
      <c r="H1826" s="86" t="str">
        <f>IF(A1826="","",IF(INDEX(EXTRATO!$F$2:$F$3000,MATCH($A1826,EXTRATO!$A$2:$A$3000,0))="","",INDEX(EXTRATO!$F$2:$F$3000,MATCH($A1826,EXTRATO!$A$2:$A$3000,0))))</f>
        <v/>
      </c>
      <c r="I1826" s="88" t="str">
        <f>IF(A1826="","",IF(INDEX(EXTRATO!$H$2:$H$3000,MATCH($A1826,EXTRATO!$A$2:$A$3000,0))="","",INDEX(EXTRATO!$H$2:$H$3000,MATCH($A1826,EXTRATO!$A$2:$A$3000,0))))</f>
        <v/>
      </c>
      <c r="J1826" s="86" t="str">
        <f t="shared" si="43"/>
        <v/>
      </c>
      <c r="K1826" s="86" t="str">
        <f>IF(AND(A1826="",D1826="",E1826="",F1826=""),"",IF(D1826="","SEM CATEGORIA",IF(E1826="","SEM SUBCATEGORIA",IF(COUNTIFS(CADASTROS!$L$7:$L$93,D1826,CADASTROS!$D$7:$D$93,E1826)=0,"INCOMPATÍVEL","OK"))))</f>
        <v/>
      </c>
    </row>
    <row r="1827" spans="1:11" ht="30" hidden="1" customHeight="1" x14ac:dyDescent="0.25">
      <c r="A1827" s="86" t="str">
        <f>IF(COUNTIF(EXTRATO!$A$2:$A$3000,"BAN-01684")=0,"","BAN-01684")</f>
        <v/>
      </c>
      <c r="B1827" s="85" t="str">
        <f>IF(A1827="","",IF(INDEX(EXTRATO!$C$2:$C$3000,MATCH($A1827,EXTRATO!$A$2:$A$3000,0))="","",INDEX(EXTRATO!$C$2:$C$3000,MATCH($A1827,EXTRATO!$A$2:$A$3000,0))))</f>
        <v/>
      </c>
      <c r="C1827" s="86" t="str">
        <f t="shared" si="44"/>
        <v/>
      </c>
      <c r="D1827" s="81"/>
      <c r="E1827" s="79"/>
      <c r="F1827" s="80" t="str">
        <f>IF(A1827="","",SUMIF(EXTRATO!$A$2:$A$3000,$A1827,EXTRATO!$J$2:$J$3000)+SUMIF(EXTRATO!$A$2:$A$3000,$A1827,EXTRATO!$K$2:$K$3000)+SUMIF(EXTRATO!$A$2:$A$3000,$A1827,EXTRATO!$L$2:$L$3000)+SUMIF(EXTRATO!$A$2:$A$3000,$A1827,EXTRATO!$M$2:$M$3000))</f>
        <v/>
      </c>
      <c r="G1827" s="81" t="str">
        <f>IF(A1827="","",IF(INDEX(EXTRATO!$G$2:$G$3000,MATCH($A1827,EXTRATO!$A$2:$A$3000,0))="","",INDEX(EXTRATO!$G$2:$G$3000,MATCH($A1827,EXTRATO!$A$2:$A$3000,0))))</f>
        <v/>
      </c>
      <c r="H1827" s="86" t="str">
        <f>IF(A1827="","",IF(INDEX(EXTRATO!$F$2:$F$3000,MATCH($A1827,EXTRATO!$A$2:$A$3000,0))="","",INDEX(EXTRATO!$F$2:$F$3000,MATCH($A1827,EXTRATO!$A$2:$A$3000,0))))</f>
        <v/>
      </c>
      <c r="I1827" s="88" t="str">
        <f>IF(A1827="","",IF(INDEX(EXTRATO!$H$2:$H$3000,MATCH($A1827,EXTRATO!$A$2:$A$3000,0))="","",INDEX(EXTRATO!$H$2:$H$3000,MATCH($A1827,EXTRATO!$A$2:$A$3000,0))))</f>
        <v/>
      </c>
      <c r="J1827" s="86" t="str">
        <f t="shared" si="43"/>
        <v/>
      </c>
      <c r="K1827" s="86" t="str">
        <f>IF(AND(A1827="",D1827="",E1827="",F1827=""),"",IF(D1827="","SEM CATEGORIA",IF(E1827="","SEM SUBCATEGORIA",IF(COUNTIFS(CADASTROS!$L$7:$L$93,D1827,CADASTROS!$D$7:$D$93,E1827)=0,"INCOMPATÍVEL","OK"))))</f>
        <v/>
      </c>
    </row>
    <row r="1828" spans="1:11" ht="30" hidden="1" customHeight="1" x14ac:dyDescent="0.25">
      <c r="A1828" s="86" t="str">
        <f>IF(COUNTIF(EXTRATO!$A$2:$A$3000,"BAN-01685")=0,"","BAN-01685")</f>
        <v/>
      </c>
      <c r="B1828" s="85" t="str">
        <f>IF(A1828="","",IF(INDEX(EXTRATO!$C$2:$C$3000,MATCH($A1828,EXTRATO!$A$2:$A$3000,0))="","",INDEX(EXTRATO!$C$2:$C$3000,MATCH($A1828,EXTRATO!$A$2:$A$3000,0))))</f>
        <v/>
      </c>
      <c r="C1828" s="86" t="str">
        <f t="shared" si="44"/>
        <v/>
      </c>
      <c r="D1828" s="81"/>
      <c r="E1828" s="79"/>
      <c r="F1828" s="80" t="str">
        <f>IF(A1828="","",SUMIF(EXTRATO!$A$2:$A$3000,$A1828,EXTRATO!$J$2:$J$3000)+SUMIF(EXTRATO!$A$2:$A$3000,$A1828,EXTRATO!$K$2:$K$3000)+SUMIF(EXTRATO!$A$2:$A$3000,$A1828,EXTRATO!$L$2:$L$3000)+SUMIF(EXTRATO!$A$2:$A$3000,$A1828,EXTRATO!$M$2:$M$3000))</f>
        <v/>
      </c>
      <c r="G1828" s="81" t="str">
        <f>IF(A1828="","",IF(INDEX(EXTRATO!$G$2:$G$3000,MATCH($A1828,EXTRATO!$A$2:$A$3000,0))="","",INDEX(EXTRATO!$G$2:$G$3000,MATCH($A1828,EXTRATO!$A$2:$A$3000,0))))</f>
        <v/>
      </c>
      <c r="H1828" s="86" t="str">
        <f>IF(A1828="","",IF(INDEX(EXTRATO!$F$2:$F$3000,MATCH($A1828,EXTRATO!$A$2:$A$3000,0))="","",INDEX(EXTRATO!$F$2:$F$3000,MATCH($A1828,EXTRATO!$A$2:$A$3000,0))))</f>
        <v/>
      </c>
      <c r="I1828" s="88" t="str">
        <f>IF(A1828="","",IF(INDEX(EXTRATO!$H$2:$H$3000,MATCH($A1828,EXTRATO!$A$2:$A$3000,0))="","",INDEX(EXTRATO!$H$2:$H$3000,MATCH($A1828,EXTRATO!$A$2:$A$3000,0))))</f>
        <v/>
      </c>
      <c r="J1828" s="86" t="str">
        <f t="shared" si="43"/>
        <v/>
      </c>
      <c r="K1828" s="86" t="str">
        <f>IF(AND(A1828="",D1828="",E1828="",F1828=""),"",IF(D1828="","SEM CATEGORIA",IF(E1828="","SEM SUBCATEGORIA",IF(COUNTIFS(CADASTROS!$L$7:$L$93,D1828,CADASTROS!$D$7:$D$93,E1828)=0,"INCOMPATÍVEL","OK"))))</f>
        <v/>
      </c>
    </row>
    <row r="1829" spans="1:11" ht="30" hidden="1" customHeight="1" x14ac:dyDescent="0.25">
      <c r="A1829" s="86" t="str">
        <f>IF(COUNTIF(EXTRATO!$A$2:$A$3000,"BAN-01686")=0,"","BAN-01686")</f>
        <v/>
      </c>
      <c r="B1829" s="85" t="str">
        <f>IF(A1829="","",IF(INDEX(EXTRATO!$C$2:$C$3000,MATCH($A1829,EXTRATO!$A$2:$A$3000,0))="","",INDEX(EXTRATO!$C$2:$C$3000,MATCH($A1829,EXTRATO!$A$2:$A$3000,0))))</f>
        <v/>
      </c>
      <c r="C1829" s="86" t="str">
        <f t="shared" si="44"/>
        <v/>
      </c>
      <c r="D1829" s="81"/>
      <c r="E1829" s="79"/>
      <c r="F1829" s="80" t="str">
        <f>IF(A1829="","",SUMIF(EXTRATO!$A$2:$A$3000,$A1829,EXTRATO!$J$2:$J$3000)+SUMIF(EXTRATO!$A$2:$A$3000,$A1829,EXTRATO!$K$2:$K$3000)+SUMIF(EXTRATO!$A$2:$A$3000,$A1829,EXTRATO!$L$2:$L$3000)+SUMIF(EXTRATO!$A$2:$A$3000,$A1829,EXTRATO!$M$2:$M$3000))</f>
        <v/>
      </c>
      <c r="G1829" s="81" t="str">
        <f>IF(A1829="","",IF(INDEX(EXTRATO!$G$2:$G$3000,MATCH($A1829,EXTRATO!$A$2:$A$3000,0))="","",INDEX(EXTRATO!$G$2:$G$3000,MATCH($A1829,EXTRATO!$A$2:$A$3000,0))))</f>
        <v/>
      </c>
      <c r="H1829" s="86" t="str">
        <f>IF(A1829="","",IF(INDEX(EXTRATO!$F$2:$F$3000,MATCH($A1829,EXTRATO!$A$2:$A$3000,0))="","",INDEX(EXTRATO!$F$2:$F$3000,MATCH($A1829,EXTRATO!$A$2:$A$3000,0))))</f>
        <v/>
      </c>
      <c r="I1829" s="88" t="str">
        <f>IF(A1829="","",IF(INDEX(EXTRATO!$H$2:$H$3000,MATCH($A1829,EXTRATO!$A$2:$A$3000,0))="","",INDEX(EXTRATO!$H$2:$H$3000,MATCH($A1829,EXTRATO!$A$2:$A$3000,0))))</f>
        <v/>
      </c>
      <c r="J1829" s="86" t="str">
        <f t="shared" si="43"/>
        <v/>
      </c>
      <c r="K1829" s="86" t="str">
        <f>IF(AND(A1829="",D1829="",E1829="",F1829=""),"",IF(D1829="","SEM CATEGORIA",IF(E1829="","SEM SUBCATEGORIA",IF(COUNTIFS(CADASTROS!$L$7:$L$93,D1829,CADASTROS!$D$7:$D$93,E1829)=0,"INCOMPATÍVEL","OK"))))</f>
        <v/>
      </c>
    </row>
    <row r="1830" spans="1:11" ht="30" hidden="1" customHeight="1" x14ac:dyDescent="0.25">
      <c r="A1830" s="86" t="str">
        <f>IF(COUNTIF(EXTRATO!$A$2:$A$3000,"BAN-01687")=0,"","BAN-01687")</f>
        <v/>
      </c>
      <c r="B1830" s="85" t="str">
        <f>IF(A1830="","",IF(INDEX(EXTRATO!$C$2:$C$3000,MATCH($A1830,EXTRATO!$A$2:$A$3000,0))="","",INDEX(EXTRATO!$C$2:$C$3000,MATCH($A1830,EXTRATO!$A$2:$A$3000,0))))</f>
        <v/>
      </c>
      <c r="C1830" s="86" t="str">
        <f t="shared" si="44"/>
        <v/>
      </c>
      <c r="D1830" s="81"/>
      <c r="E1830" s="79"/>
      <c r="F1830" s="80" t="str">
        <f>IF(A1830="","",SUMIF(EXTRATO!$A$2:$A$3000,$A1830,EXTRATO!$J$2:$J$3000)+SUMIF(EXTRATO!$A$2:$A$3000,$A1830,EXTRATO!$K$2:$K$3000)+SUMIF(EXTRATO!$A$2:$A$3000,$A1830,EXTRATO!$L$2:$L$3000)+SUMIF(EXTRATO!$A$2:$A$3000,$A1830,EXTRATO!$M$2:$M$3000))</f>
        <v/>
      </c>
      <c r="G1830" s="81" t="str">
        <f>IF(A1830="","",IF(INDEX(EXTRATO!$G$2:$G$3000,MATCH($A1830,EXTRATO!$A$2:$A$3000,0))="","",INDEX(EXTRATO!$G$2:$G$3000,MATCH($A1830,EXTRATO!$A$2:$A$3000,0))))</f>
        <v/>
      </c>
      <c r="H1830" s="86" t="str">
        <f>IF(A1830="","",IF(INDEX(EXTRATO!$F$2:$F$3000,MATCH($A1830,EXTRATO!$A$2:$A$3000,0))="","",INDEX(EXTRATO!$F$2:$F$3000,MATCH($A1830,EXTRATO!$A$2:$A$3000,0))))</f>
        <v/>
      </c>
      <c r="I1830" s="88" t="str">
        <f>IF(A1830="","",IF(INDEX(EXTRATO!$H$2:$H$3000,MATCH($A1830,EXTRATO!$A$2:$A$3000,0))="","",INDEX(EXTRATO!$H$2:$H$3000,MATCH($A1830,EXTRATO!$A$2:$A$3000,0))))</f>
        <v/>
      </c>
      <c r="J1830" s="86" t="str">
        <f t="shared" si="43"/>
        <v/>
      </c>
      <c r="K1830" s="86" t="str">
        <f>IF(AND(A1830="",D1830="",E1830="",F1830=""),"",IF(D1830="","SEM CATEGORIA",IF(E1830="","SEM SUBCATEGORIA",IF(COUNTIFS(CADASTROS!$L$7:$L$93,D1830,CADASTROS!$D$7:$D$93,E1830)=0,"INCOMPATÍVEL","OK"))))</f>
        <v/>
      </c>
    </row>
    <row r="1831" spans="1:11" ht="30" hidden="1" customHeight="1" x14ac:dyDescent="0.25">
      <c r="A1831" s="86" t="str">
        <f>IF(COUNTIF(EXTRATO!$A$2:$A$3000,"BAN-01688")=0,"","BAN-01688")</f>
        <v/>
      </c>
      <c r="B1831" s="85" t="str">
        <f>IF(A1831="","",IF(INDEX(EXTRATO!$C$2:$C$3000,MATCH($A1831,EXTRATO!$A$2:$A$3000,0))="","",INDEX(EXTRATO!$C$2:$C$3000,MATCH($A1831,EXTRATO!$A$2:$A$3000,0))))</f>
        <v/>
      </c>
      <c r="C1831" s="86" t="str">
        <f t="shared" si="44"/>
        <v/>
      </c>
      <c r="D1831" s="81"/>
      <c r="E1831" s="79"/>
      <c r="F1831" s="80" t="str">
        <f>IF(A1831="","",SUMIF(EXTRATO!$A$2:$A$3000,$A1831,EXTRATO!$J$2:$J$3000)+SUMIF(EXTRATO!$A$2:$A$3000,$A1831,EXTRATO!$K$2:$K$3000)+SUMIF(EXTRATO!$A$2:$A$3000,$A1831,EXTRATO!$L$2:$L$3000)+SUMIF(EXTRATO!$A$2:$A$3000,$A1831,EXTRATO!$M$2:$M$3000))</f>
        <v/>
      </c>
      <c r="G1831" s="81" t="str">
        <f>IF(A1831="","",IF(INDEX(EXTRATO!$G$2:$G$3000,MATCH($A1831,EXTRATO!$A$2:$A$3000,0))="","",INDEX(EXTRATO!$G$2:$G$3000,MATCH($A1831,EXTRATO!$A$2:$A$3000,0))))</f>
        <v/>
      </c>
      <c r="H1831" s="86" t="str">
        <f>IF(A1831="","",IF(INDEX(EXTRATO!$F$2:$F$3000,MATCH($A1831,EXTRATO!$A$2:$A$3000,0))="","",INDEX(EXTRATO!$F$2:$F$3000,MATCH($A1831,EXTRATO!$A$2:$A$3000,0))))</f>
        <v/>
      </c>
      <c r="I1831" s="88" t="str">
        <f>IF(A1831="","",IF(INDEX(EXTRATO!$H$2:$H$3000,MATCH($A1831,EXTRATO!$A$2:$A$3000,0))="","",INDEX(EXTRATO!$H$2:$H$3000,MATCH($A1831,EXTRATO!$A$2:$A$3000,0))))</f>
        <v/>
      </c>
      <c r="J1831" s="86" t="str">
        <f t="shared" si="43"/>
        <v/>
      </c>
      <c r="K1831" s="86" t="str">
        <f>IF(AND(A1831="",D1831="",E1831="",F1831=""),"",IF(D1831="","SEM CATEGORIA",IF(E1831="","SEM SUBCATEGORIA",IF(COUNTIFS(CADASTROS!$L$7:$L$93,D1831,CADASTROS!$D$7:$D$93,E1831)=0,"INCOMPATÍVEL","OK"))))</f>
        <v/>
      </c>
    </row>
    <row r="1832" spans="1:11" ht="30" hidden="1" customHeight="1" x14ac:dyDescent="0.25">
      <c r="A1832" s="86" t="str">
        <f>IF(COUNTIF(EXTRATO!$A$2:$A$3000,"BAN-01689")=0,"","BAN-01689")</f>
        <v/>
      </c>
      <c r="B1832" s="85" t="str">
        <f>IF(A1832="","",IF(INDEX(EXTRATO!$C$2:$C$3000,MATCH($A1832,EXTRATO!$A$2:$A$3000,0))="","",INDEX(EXTRATO!$C$2:$C$3000,MATCH($A1832,EXTRATO!$A$2:$A$3000,0))))</f>
        <v/>
      </c>
      <c r="C1832" s="86" t="str">
        <f t="shared" si="44"/>
        <v/>
      </c>
      <c r="D1832" s="81"/>
      <c r="E1832" s="79"/>
      <c r="F1832" s="80" t="str">
        <f>IF(A1832="","",SUMIF(EXTRATO!$A$2:$A$3000,$A1832,EXTRATO!$J$2:$J$3000)+SUMIF(EXTRATO!$A$2:$A$3000,$A1832,EXTRATO!$K$2:$K$3000)+SUMIF(EXTRATO!$A$2:$A$3000,$A1832,EXTRATO!$L$2:$L$3000)+SUMIF(EXTRATO!$A$2:$A$3000,$A1832,EXTRATO!$M$2:$M$3000))</f>
        <v/>
      </c>
      <c r="G1832" s="81" t="str">
        <f>IF(A1832="","",IF(INDEX(EXTRATO!$G$2:$G$3000,MATCH($A1832,EXTRATO!$A$2:$A$3000,0))="","",INDEX(EXTRATO!$G$2:$G$3000,MATCH($A1832,EXTRATO!$A$2:$A$3000,0))))</f>
        <v/>
      </c>
      <c r="H1832" s="86" t="str">
        <f>IF(A1832="","",IF(INDEX(EXTRATO!$F$2:$F$3000,MATCH($A1832,EXTRATO!$A$2:$A$3000,0))="","",INDEX(EXTRATO!$F$2:$F$3000,MATCH($A1832,EXTRATO!$A$2:$A$3000,0))))</f>
        <v/>
      </c>
      <c r="I1832" s="88" t="str">
        <f>IF(A1832="","",IF(INDEX(EXTRATO!$H$2:$H$3000,MATCH($A1832,EXTRATO!$A$2:$A$3000,0))="","",INDEX(EXTRATO!$H$2:$H$3000,MATCH($A1832,EXTRATO!$A$2:$A$3000,0))))</f>
        <v/>
      </c>
      <c r="J1832" s="86" t="str">
        <f t="shared" si="43"/>
        <v/>
      </c>
      <c r="K1832" s="86" t="str">
        <f>IF(AND(A1832="",D1832="",E1832="",F1832=""),"",IF(D1832="","SEM CATEGORIA",IF(E1832="","SEM SUBCATEGORIA",IF(COUNTIFS(CADASTROS!$L$7:$L$93,D1832,CADASTROS!$D$7:$D$93,E1832)=0,"INCOMPATÍVEL","OK"))))</f>
        <v/>
      </c>
    </row>
    <row r="1833" spans="1:11" ht="30" hidden="1" customHeight="1" x14ac:dyDescent="0.25">
      <c r="A1833" s="86" t="str">
        <f>IF(COUNTIF(EXTRATO!$A$2:$A$3000,"BAN-01690")=0,"","BAN-01690")</f>
        <v/>
      </c>
      <c r="B1833" s="85" t="str">
        <f>IF(A1833="","",IF(INDEX(EXTRATO!$C$2:$C$3000,MATCH($A1833,EXTRATO!$A$2:$A$3000,0))="","",INDEX(EXTRATO!$C$2:$C$3000,MATCH($A1833,EXTRATO!$A$2:$A$3000,0))))</f>
        <v/>
      </c>
      <c r="C1833" s="86" t="str">
        <f t="shared" si="44"/>
        <v/>
      </c>
      <c r="D1833" s="81"/>
      <c r="E1833" s="79"/>
      <c r="F1833" s="80" t="str">
        <f>IF(A1833="","",SUMIF(EXTRATO!$A$2:$A$3000,$A1833,EXTRATO!$J$2:$J$3000)+SUMIF(EXTRATO!$A$2:$A$3000,$A1833,EXTRATO!$K$2:$K$3000)+SUMIF(EXTRATO!$A$2:$A$3000,$A1833,EXTRATO!$L$2:$L$3000)+SUMIF(EXTRATO!$A$2:$A$3000,$A1833,EXTRATO!$M$2:$M$3000))</f>
        <v/>
      </c>
      <c r="G1833" s="81" t="str">
        <f>IF(A1833="","",IF(INDEX(EXTRATO!$G$2:$G$3000,MATCH($A1833,EXTRATO!$A$2:$A$3000,0))="","",INDEX(EXTRATO!$G$2:$G$3000,MATCH($A1833,EXTRATO!$A$2:$A$3000,0))))</f>
        <v/>
      </c>
      <c r="H1833" s="86" t="str">
        <f>IF(A1833="","",IF(INDEX(EXTRATO!$F$2:$F$3000,MATCH($A1833,EXTRATO!$A$2:$A$3000,0))="","",INDEX(EXTRATO!$F$2:$F$3000,MATCH($A1833,EXTRATO!$A$2:$A$3000,0))))</f>
        <v/>
      </c>
      <c r="I1833" s="88" t="str">
        <f>IF(A1833="","",IF(INDEX(EXTRATO!$H$2:$H$3000,MATCH($A1833,EXTRATO!$A$2:$A$3000,0))="","",INDEX(EXTRATO!$H$2:$H$3000,MATCH($A1833,EXTRATO!$A$2:$A$3000,0))))</f>
        <v/>
      </c>
      <c r="J1833" s="86" t="str">
        <f t="shared" si="43"/>
        <v/>
      </c>
      <c r="K1833" s="86" t="str">
        <f>IF(AND(A1833="",D1833="",E1833="",F1833=""),"",IF(D1833="","SEM CATEGORIA",IF(E1833="","SEM SUBCATEGORIA",IF(COUNTIFS(CADASTROS!$L$7:$L$93,D1833,CADASTROS!$D$7:$D$93,E1833)=0,"INCOMPATÍVEL","OK"))))</f>
        <v/>
      </c>
    </row>
    <row r="1834" spans="1:11" ht="30" hidden="1" customHeight="1" x14ac:dyDescent="0.25">
      <c r="A1834" s="86" t="str">
        <f>IF(COUNTIF(EXTRATO!$A$2:$A$3000,"BAN-01691")=0,"","BAN-01691")</f>
        <v/>
      </c>
      <c r="B1834" s="85" t="str">
        <f>IF(A1834="","",IF(INDEX(EXTRATO!$C$2:$C$3000,MATCH($A1834,EXTRATO!$A$2:$A$3000,0))="","",INDEX(EXTRATO!$C$2:$C$3000,MATCH($A1834,EXTRATO!$A$2:$A$3000,0))))</f>
        <v/>
      </c>
      <c r="C1834" s="86" t="str">
        <f t="shared" si="44"/>
        <v/>
      </c>
      <c r="D1834" s="81"/>
      <c r="E1834" s="79"/>
      <c r="F1834" s="80" t="str">
        <f>IF(A1834="","",SUMIF(EXTRATO!$A$2:$A$3000,$A1834,EXTRATO!$J$2:$J$3000)+SUMIF(EXTRATO!$A$2:$A$3000,$A1834,EXTRATO!$K$2:$K$3000)+SUMIF(EXTRATO!$A$2:$A$3000,$A1834,EXTRATO!$L$2:$L$3000)+SUMIF(EXTRATO!$A$2:$A$3000,$A1834,EXTRATO!$M$2:$M$3000))</f>
        <v/>
      </c>
      <c r="G1834" s="81" t="str">
        <f>IF(A1834="","",IF(INDEX(EXTRATO!$G$2:$G$3000,MATCH($A1834,EXTRATO!$A$2:$A$3000,0))="","",INDEX(EXTRATO!$G$2:$G$3000,MATCH($A1834,EXTRATO!$A$2:$A$3000,0))))</f>
        <v/>
      </c>
      <c r="H1834" s="86" t="str">
        <f>IF(A1834="","",IF(INDEX(EXTRATO!$F$2:$F$3000,MATCH($A1834,EXTRATO!$A$2:$A$3000,0))="","",INDEX(EXTRATO!$F$2:$F$3000,MATCH($A1834,EXTRATO!$A$2:$A$3000,0))))</f>
        <v/>
      </c>
      <c r="I1834" s="88" t="str">
        <f>IF(A1834="","",IF(INDEX(EXTRATO!$H$2:$H$3000,MATCH($A1834,EXTRATO!$A$2:$A$3000,0))="","",INDEX(EXTRATO!$H$2:$H$3000,MATCH($A1834,EXTRATO!$A$2:$A$3000,0))))</f>
        <v/>
      </c>
      <c r="J1834" s="86" t="str">
        <f t="shared" si="43"/>
        <v/>
      </c>
      <c r="K1834" s="86" t="str">
        <f>IF(AND(A1834="",D1834="",E1834="",F1834=""),"",IF(D1834="","SEM CATEGORIA",IF(E1834="","SEM SUBCATEGORIA",IF(COUNTIFS(CADASTROS!$L$7:$L$93,D1834,CADASTROS!$D$7:$D$93,E1834)=0,"INCOMPATÍVEL","OK"))))</f>
        <v/>
      </c>
    </row>
    <row r="1835" spans="1:11" ht="30" hidden="1" customHeight="1" x14ac:dyDescent="0.25">
      <c r="A1835" s="86" t="str">
        <f>IF(COUNTIF(EXTRATO!$A$2:$A$3000,"BAN-01692")=0,"","BAN-01692")</f>
        <v/>
      </c>
      <c r="B1835" s="85" t="str">
        <f>IF(A1835="","",IF(INDEX(EXTRATO!$C$2:$C$3000,MATCH($A1835,EXTRATO!$A$2:$A$3000,0))="","",INDEX(EXTRATO!$C$2:$C$3000,MATCH($A1835,EXTRATO!$A$2:$A$3000,0))))</f>
        <v/>
      </c>
      <c r="C1835" s="86" t="str">
        <f t="shared" si="44"/>
        <v/>
      </c>
      <c r="D1835" s="81"/>
      <c r="E1835" s="79"/>
      <c r="F1835" s="80" t="str">
        <f>IF(A1835="","",SUMIF(EXTRATO!$A$2:$A$3000,$A1835,EXTRATO!$J$2:$J$3000)+SUMIF(EXTRATO!$A$2:$A$3000,$A1835,EXTRATO!$K$2:$K$3000)+SUMIF(EXTRATO!$A$2:$A$3000,$A1835,EXTRATO!$L$2:$L$3000)+SUMIF(EXTRATO!$A$2:$A$3000,$A1835,EXTRATO!$M$2:$M$3000))</f>
        <v/>
      </c>
      <c r="G1835" s="81" t="str">
        <f>IF(A1835="","",IF(INDEX(EXTRATO!$G$2:$G$3000,MATCH($A1835,EXTRATO!$A$2:$A$3000,0))="","",INDEX(EXTRATO!$G$2:$G$3000,MATCH($A1835,EXTRATO!$A$2:$A$3000,0))))</f>
        <v/>
      </c>
      <c r="H1835" s="86" t="str">
        <f>IF(A1835="","",IF(INDEX(EXTRATO!$F$2:$F$3000,MATCH($A1835,EXTRATO!$A$2:$A$3000,0))="","",INDEX(EXTRATO!$F$2:$F$3000,MATCH($A1835,EXTRATO!$A$2:$A$3000,0))))</f>
        <v/>
      </c>
      <c r="I1835" s="88" t="str">
        <f>IF(A1835="","",IF(INDEX(EXTRATO!$H$2:$H$3000,MATCH($A1835,EXTRATO!$A$2:$A$3000,0))="","",INDEX(EXTRATO!$H$2:$H$3000,MATCH($A1835,EXTRATO!$A$2:$A$3000,0))))</f>
        <v/>
      </c>
      <c r="J1835" s="86" t="str">
        <f t="shared" si="43"/>
        <v/>
      </c>
      <c r="K1835" s="86" t="str">
        <f>IF(AND(A1835="",D1835="",E1835="",F1835=""),"",IF(D1835="","SEM CATEGORIA",IF(E1835="","SEM SUBCATEGORIA",IF(COUNTIFS(CADASTROS!$L$7:$L$93,D1835,CADASTROS!$D$7:$D$93,E1835)=0,"INCOMPATÍVEL","OK"))))</f>
        <v/>
      </c>
    </row>
    <row r="1836" spans="1:11" ht="30" hidden="1" customHeight="1" x14ac:dyDescent="0.25">
      <c r="A1836" s="86" t="str">
        <f>IF(COUNTIF(EXTRATO!$A$2:$A$3000,"BAN-01693")=0,"","BAN-01693")</f>
        <v/>
      </c>
      <c r="B1836" s="85" t="str">
        <f>IF(A1836="","",IF(INDEX(EXTRATO!$C$2:$C$3000,MATCH($A1836,EXTRATO!$A$2:$A$3000,0))="","",INDEX(EXTRATO!$C$2:$C$3000,MATCH($A1836,EXTRATO!$A$2:$A$3000,0))))</f>
        <v/>
      </c>
      <c r="C1836" s="86" t="str">
        <f t="shared" si="44"/>
        <v/>
      </c>
      <c r="D1836" s="81"/>
      <c r="E1836" s="79"/>
      <c r="F1836" s="80" t="str">
        <f>IF(A1836="","",SUMIF(EXTRATO!$A$2:$A$3000,$A1836,EXTRATO!$J$2:$J$3000)+SUMIF(EXTRATO!$A$2:$A$3000,$A1836,EXTRATO!$K$2:$K$3000)+SUMIF(EXTRATO!$A$2:$A$3000,$A1836,EXTRATO!$L$2:$L$3000)+SUMIF(EXTRATO!$A$2:$A$3000,$A1836,EXTRATO!$M$2:$M$3000))</f>
        <v/>
      </c>
      <c r="G1836" s="81" t="str">
        <f>IF(A1836="","",IF(INDEX(EXTRATO!$G$2:$G$3000,MATCH($A1836,EXTRATO!$A$2:$A$3000,0))="","",INDEX(EXTRATO!$G$2:$G$3000,MATCH($A1836,EXTRATO!$A$2:$A$3000,0))))</f>
        <v/>
      </c>
      <c r="H1836" s="86" t="str">
        <f>IF(A1836="","",IF(INDEX(EXTRATO!$F$2:$F$3000,MATCH($A1836,EXTRATO!$A$2:$A$3000,0))="","",INDEX(EXTRATO!$F$2:$F$3000,MATCH($A1836,EXTRATO!$A$2:$A$3000,0))))</f>
        <v/>
      </c>
      <c r="I1836" s="88" t="str">
        <f>IF(A1836="","",IF(INDEX(EXTRATO!$H$2:$H$3000,MATCH($A1836,EXTRATO!$A$2:$A$3000,0))="","",INDEX(EXTRATO!$H$2:$H$3000,MATCH($A1836,EXTRATO!$A$2:$A$3000,0))))</f>
        <v/>
      </c>
      <c r="J1836" s="86" t="str">
        <f t="shared" ref="J1836:J1899" si="45">IF(A1836="","",IF(K1836="OK","MANUAL","PENDENTE"))</f>
        <v/>
      </c>
      <c r="K1836" s="86" t="str">
        <f>IF(AND(A1836="",D1836="",E1836="",F1836=""),"",IF(D1836="","SEM CATEGORIA",IF(E1836="","SEM SUBCATEGORIA",IF(COUNTIFS(CADASTROS!$L$7:$L$93,D1836,CADASTROS!$D$7:$D$93,E1836)=0,"INCOMPATÍVEL","OK"))))</f>
        <v/>
      </c>
    </row>
    <row r="1837" spans="1:11" ht="30" hidden="1" customHeight="1" x14ac:dyDescent="0.25">
      <c r="A1837" s="86" t="str">
        <f>IF(COUNTIF(EXTRATO!$A$2:$A$3000,"BAN-01694")=0,"","BAN-01694")</f>
        <v/>
      </c>
      <c r="B1837" s="85" t="str">
        <f>IF(A1837="","",IF(INDEX(EXTRATO!$C$2:$C$3000,MATCH($A1837,EXTRATO!$A$2:$A$3000,0))="","",INDEX(EXTRATO!$C$2:$C$3000,MATCH($A1837,EXTRATO!$A$2:$A$3000,0))))</f>
        <v/>
      </c>
      <c r="C1837" s="86" t="str">
        <f t="shared" si="44"/>
        <v/>
      </c>
      <c r="D1837" s="81"/>
      <c r="E1837" s="79"/>
      <c r="F1837" s="80" t="str">
        <f>IF(A1837="","",SUMIF(EXTRATO!$A$2:$A$3000,$A1837,EXTRATO!$J$2:$J$3000)+SUMIF(EXTRATO!$A$2:$A$3000,$A1837,EXTRATO!$K$2:$K$3000)+SUMIF(EXTRATO!$A$2:$A$3000,$A1837,EXTRATO!$L$2:$L$3000)+SUMIF(EXTRATO!$A$2:$A$3000,$A1837,EXTRATO!$M$2:$M$3000))</f>
        <v/>
      </c>
      <c r="G1837" s="81" t="str">
        <f>IF(A1837="","",IF(INDEX(EXTRATO!$G$2:$G$3000,MATCH($A1837,EXTRATO!$A$2:$A$3000,0))="","",INDEX(EXTRATO!$G$2:$G$3000,MATCH($A1837,EXTRATO!$A$2:$A$3000,0))))</f>
        <v/>
      </c>
      <c r="H1837" s="86" t="str">
        <f>IF(A1837="","",IF(INDEX(EXTRATO!$F$2:$F$3000,MATCH($A1837,EXTRATO!$A$2:$A$3000,0))="","",INDEX(EXTRATO!$F$2:$F$3000,MATCH($A1837,EXTRATO!$A$2:$A$3000,0))))</f>
        <v/>
      </c>
      <c r="I1837" s="88" t="str">
        <f>IF(A1837="","",IF(INDEX(EXTRATO!$H$2:$H$3000,MATCH($A1837,EXTRATO!$A$2:$A$3000,0))="","",INDEX(EXTRATO!$H$2:$H$3000,MATCH($A1837,EXTRATO!$A$2:$A$3000,0))))</f>
        <v/>
      </c>
      <c r="J1837" s="86" t="str">
        <f t="shared" si="45"/>
        <v/>
      </c>
      <c r="K1837" s="86" t="str">
        <f>IF(AND(A1837="",D1837="",E1837="",F1837=""),"",IF(D1837="","SEM CATEGORIA",IF(E1837="","SEM SUBCATEGORIA",IF(COUNTIFS(CADASTROS!$L$7:$L$93,D1837,CADASTROS!$D$7:$D$93,E1837)=0,"INCOMPATÍVEL","OK"))))</f>
        <v/>
      </c>
    </row>
    <row r="1838" spans="1:11" ht="30" hidden="1" customHeight="1" x14ac:dyDescent="0.25">
      <c r="A1838" s="86" t="str">
        <f>IF(COUNTIF(EXTRATO!$A$2:$A$3000,"BAN-01695")=0,"","BAN-01695")</f>
        <v/>
      </c>
      <c r="B1838" s="85" t="str">
        <f>IF(A1838="","",IF(INDEX(EXTRATO!$C$2:$C$3000,MATCH($A1838,EXTRATO!$A$2:$A$3000,0))="","",INDEX(EXTRATO!$C$2:$C$3000,MATCH($A1838,EXTRATO!$A$2:$A$3000,0))))</f>
        <v/>
      </c>
      <c r="C1838" s="86" t="str">
        <f t="shared" si="44"/>
        <v/>
      </c>
      <c r="D1838" s="81"/>
      <c r="E1838" s="79"/>
      <c r="F1838" s="80" t="str">
        <f>IF(A1838="","",SUMIF(EXTRATO!$A$2:$A$3000,$A1838,EXTRATO!$J$2:$J$3000)+SUMIF(EXTRATO!$A$2:$A$3000,$A1838,EXTRATO!$K$2:$K$3000)+SUMIF(EXTRATO!$A$2:$A$3000,$A1838,EXTRATO!$L$2:$L$3000)+SUMIF(EXTRATO!$A$2:$A$3000,$A1838,EXTRATO!$M$2:$M$3000))</f>
        <v/>
      </c>
      <c r="G1838" s="81" t="str">
        <f>IF(A1838="","",IF(INDEX(EXTRATO!$G$2:$G$3000,MATCH($A1838,EXTRATO!$A$2:$A$3000,0))="","",INDEX(EXTRATO!$G$2:$G$3000,MATCH($A1838,EXTRATO!$A$2:$A$3000,0))))</f>
        <v/>
      </c>
      <c r="H1838" s="86" t="str">
        <f>IF(A1838="","",IF(INDEX(EXTRATO!$F$2:$F$3000,MATCH($A1838,EXTRATO!$A$2:$A$3000,0))="","",INDEX(EXTRATO!$F$2:$F$3000,MATCH($A1838,EXTRATO!$A$2:$A$3000,0))))</f>
        <v/>
      </c>
      <c r="I1838" s="88" t="str">
        <f>IF(A1838="","",IF(INDEX(EXTRATO!$H$2:$H$3000,MATCH($A1838,EXTRATO!$A$2:$A$3000,0))="","",INDEX(EXTRATO!$H$2:$H$3000,MATCH($A1838,EXTRATO!$A$2:$A$3000,0))))</f>
        <v/>
      </c>
      <c r="J1838" s="86" t="str">
        <f t="shared" si="45"/>
        <v/>
      </c>
      <c r="K1838" s="86" t="str">
        <f>IF(AND(A1838="",D1838="",E1838="",F1838=""),"",IF(D1838="","SEM CATEGORIA",IF(E1838="","SEM SUBCATEGORIA",IF(COUNTIFS(CADASTROS!$L$7:$L$93,D1838,CADASTROS!$D$7:$D$93,E1838)=0,"INCOMPATÍVEL","OK"))))</f>
        <v/>
      </c>
    </row>
    <row r="1839" spans="1:11" ht="30" hidden="1" customHeight="1" x14ac:dyDescent="0.25">
      <c r="A1839" s="86" t="str">
        <f>IF(COUNTIF(EXTRATO!$A$2:$A$3000,"BAN-01696")=0,"","BAN-01696")</f>
        <v/>
      </c>
      <c r="B1839" s="85" t="str">
        <f>IF(A1839="","",IF(INDEX(EXTRATO!$C$2:$C$3000,MATCH($A1839,EXTRATO!$A$2:$A$3000,0))="","",INDEX(EXTRATO!$C$2:$C$3000,MATCH($A1839,EXTRATO!$A$2:$A$3000,0))))</f>
        <v/>
      </c>
      <c r="C1839" s="86" t="str">
        <f t="shared" si="44"/>
        <v/>
      </c>
      <c r="D1839" s="81"/>
      <c r="E1839" s="79"/>
      <c r="F1839" s="80" t="str">
        <f>IF(A1839="","",SUMIF(EXTRATO!$A$2:$A$3000,$A1839,EXTRATO!$J$2:$J$3000)+SUMIF(EXTRATO!$A$2:$A$3000,$A1839,EXTRATO!$K$2:$K$3000)+SUMIF(EXTRATO!$A$2:$A$3000,$A1839,EXTRATO!$L$2:$L$3000)+SUMIF(EXTRATO!$A$2:$A$3000,$A1839,EXTRATO!$M$2:$M$3000))</f>
        <v/>
      </c>
      <c r="G1839" s="81" t="str">
        <f>IF(A1839="","",IF(INDEX(EXTRATO!$G$2:$G$3000,MATCH($A1839,EXTRATO!$A$2:$A$3000,0))="","",INDEX(EXTRATO!$G$2:$G$3000,MATCH($A1839,EXTRATO!$A$2:$A$3000,0))))</f>
        <v/>
      </c>
      <c r="H1839" s="86" t="str">
        <f>IF(A1839="","",IF(INDEX(EXTRATO!$F$2:$F$3000,MATCH($A1839,EXTRATO!$A$2:$A$3000,0))="","",INDEX(EXTRATO!$F$2:$F$3000,MATCH($A1839,EXTRATO!$A$2:$A$3000,0))))</f>
        <v/>
      </c>
      <c r="I1839" s="88" t="str">
        <f>IF(A1839="","",IF(INDEX(EXTRATO!$H$2:$H$3000,MATCH($A1839,EXTRATO!$A$2:$A$3000,0))="","",INDEX(EXTRATO!$H$2:$H$3000,MATCH($A1839,EXTRATO!$A$2:$A$3000,0))))</f>
        <v/>
      </c>
      <c r="J1839" s="86" t="str">
        <f t="shared" si="45"/>
        <v/>
      </c>
      <c r="K1839" s="86" t="str">
        <f>IF(AND(A1839="",D1839="",E1839="",F1839=""),"",IF(D1839="","SEM CATEGORIA",IF(E1839="","SEM SUBCATEGORIA",IF(COUNTIFS(CADASTROS!$L$7:$L$93,D1839,CADASTROS!$D$7:$D$93,E1839)=0,"INCOMPATÍVEL","OK"))))</f>
        <v/>
      </c>
    </row>
    <row r="1840" spans="1:11" ht="30" hidden="1" customHeight="1" x14ac:dyDescent="0.25">
      <c r="A1840" s="86" t="str">
        <f>IF(COUNTIF(EXTRATO!$A$2:$A$3000,"BAN-01697")=0,"","BAN-01697")</f>
        <v/>
      </c>
      <c r="B1840" s="85" t="str">
        <f>IF(A1840="","",IF(INDEX(EXTRATO!$C$2:$C$3000,MATCH($A1840,EXTRATO!$A$2:$A$3000,0))="","",INDEX(EXTRATO!$C$2:$C$3000,MATCH($A1840,EXTRATO!$A$2:$A$3000,0))))</f>
        <v/>
      </c>
      <c r="C1840" s="86" t="str">
        <f t="shared" si="44"/>
        <v/>
      </c>
      <c r="D1840" s="81"/>
      <c r="E1840" s="79"/>
      <c r="F1840" s="80" t="str">
        <f>IF(A1840="","",SUMIF(EXTRATO!$A$2:$A$3000,$A1840,EXTRATO!$J$2:$J$3000)+SUMIF(EXTRATO!$A$2:$A$3000,$A1840,EXTRATO!$K$2:$K$3000)+SUMIF(EXTRATO!$A$2:$A$3000,$A1840,EXTRATO!$L$2:$L$3000)+SUMIF(EXTRATO!$A$2:$A$3000,$A1840,EXTRATO!$M$2:$M$3000))</f>
        <v/>
      </c>
      <c r="G1840" s="81" t="str">
        <f>IF(A1840="","",IF(INDEX(EXTRATO!$G$2:$G$3000,MATCH($A1840,EXTRATO!$A$2:$A$3000,0))="","",INDEX(EXTRATO!$G$2:$G$3000,MATCH($A1840,EXTRATO!$A$2:$A$3000,0))))</f>
        <v/>
      </c>
      <c r="H1840" s="86" t="str">
        <f>IF(A1840="","",IF(INDEX(EXTRATO!$F$2:$F$3000,MATCH($A1840,EXTRATO!$A$2:$A$3000,0))="","",INDEX(EXTRATO!$F$2:$F$3000,MATCH($A1840,EXTRATO!$A$2:$A$3000,0))))</f>
        <v/>
      </c>
      <c r="I1840" s="88" t="str">
        <f>IF(A1840="","",IF(INDEX(EXTRATO!$H$2:$H$3000,MATCH($A1840,EXTRATO!$A$2:$A$3000,0))="","",INDEX(EXTRATO!$H$2:$H$3000,MATCH($A1840,EXTRATO!$A$2:$A$3000,0))))</f>
        <v/>
      </c>
      <c r="J1840" s="86" t="str">
        <f t="shared" si="45"/>
        <v/>
      </c>
      <c r="K1840" s="86" t="str">
        <f>IF(AND(A1840="",D1840="",E1840="",F1840=""),"",IF(D1840="","SEM CATEGORIA",IF(E1840="","SEM SUBCATEGORIA",IF(COUNTIFS(CADASTROS!$L$7:$L$93,D1840,CADASTROS!$D$7:$D$93,E1840)=0,"INCOMPATÍVEL","OK"))))</f>
        <v/>
      </c>
    </row>
    <row r="1841" spans="1:11" ht="30" hidden="1" customHeight="1" x14ac:dyDescent="0.25">
      <c r="A1841" s="86" t="str">
        <f>IF(COUNTIF(EXTRATO!$A$2:$A$3000,"BAN-01698")=0,"","BAN-01698")</f>
        <v/>
      </c>
      <c r="B1841" s="85" t="str">
        <f>IF(A1841="","",IF(INDEX(EXTRATO!$C$2:$C$3000,MATCH($A1841,EXTRATO!$A$2:$A$3000,0))="","",INDEX(EXTRATO!$C$2:$C$3000,MATCH($A1841,EXTRATO!$A$2:$A$3000,0))))</f>
        <v/>
      </c>
      <c r="C1841" s="86" t="str">
        <f t="shared" si="44"/>
        <v/>
      </c>
      <c r="D1841" s="81"/>
      <c r="E1841" s="79"/>
      <c r="F1841" s="80" t="str">
        <f>IF(A1841="","",SUMIF(EXTRATO!$A$2:$A$3000,$A1841,EXTRATO!$J$2:$J$3000)+SUMIF(EXTRATO!$A$2:$A$3000,$A1841,EXTRATO!$K$2:$K$3000)+SUMIF(EXTRATO!$A$2:$A$3000,$A1841,EXTRATO!$L$2:$L$3000)+SUMIF(EXTRATO!$A$2:$A$3000,$A1841,EXTRATO!$M$2:$M$3000))</f>
        <v/>
      </c>
      <c r="G1841" s="81" t="str">
        <f>IF(A1841="","",IF(INDEX(EXTRATO!$G$2:$G$3000,MATCH($A1841,EXTRATO!$A$2:$A$3000,0))="","",INDEX(EXTRATO!$G$2:$G$3000,MATCH($A1841,EXTRATO!$A$2:$A$3000,0))))</f>
        <v/>
      </c>
      <c r="H1841" s="86" t="str">
        <f>IF(A1841="","",IF(INDEX(EXTRATO!$F$2:$F$3000,MATCH($A1841,EXTRATO!$A$2:$A$3000,0))="","",INDEX(EXTRATO!$F$2:$F$3000,MATCH($A1841,EXTRATO!$A$2:$A$3000,0))))</f>
        <v/>
      </c>
      <c r="I1841" s="88" t="str">
        <f>IF(A1841="","",IF(INDEX(EXTRATO!$H$2:$H$3000,MATCH($A1841,EXTRATO!$A$2:$A$3000,0))="","",INDEX(EXTRATO!$H$2:$H$3000,MATCH($A1841,EXTRATO!$A$2:$A$3000,0))))</f>
        <v/>
      </c>
      <c r="J1841" s="86" t="str">
        <f t="shared" si="45"/>
        <v/>
      </c>
      <c r="K1841" s="86" t="str">
        <f>IF(AND(A1841="",D1841="",E1841="",F1841=""),"",IF(D1841="","SEM CATEGORIA",IF(E1841="","SEM SUBCATEGORIA",IF(COUNTIFS(CADASTROS!$L$7:$L$93,D1841,CADASTROS!$D$7:$D$93,E1841)=0,"INCOMPATÍVEL","OK"))))</f>
        <v/>
      </c>
    </row>
    <row r="1842" spans="1:11" ht="30" hidden="1" customHeight="1" x14ac:dyDescent="0.25">
      <c r="A1842" s="86" t="str">
        <f>IF(COUNTIF(EXTRATO!$A$2:$A$3000,"BAN-01699")=0,"","BAN-01699")</f>
        <v/>
      </c>
      <c r="B1842" s="85" t="str">
        <f>IF(A1842="","",IF(INDEX(EXTRATO!$C$2:$C$3000,MATCH($A1842,EXTRATO!$A$2:$A$3000,0))="","",INDEX(EXTRATO!$C$2:$C$3000,MATCH($A1842,EXTRATO!$A$2:$A$3000,0))))</f>
        <v/>
      </c>
      <c r="C1842" s="86" t="str">
        <f t="shared" si="44"/>
        <v/>
      </c>
      <c r="D1842" s="81"/>
      <c r="E1842" s="79"/>
      <c r="F1842" s="80" t="str">
        <f>IF(A1842="","",SUMIF(EXTRATO!$A$2:$A$3000,$A1842,EXTRATO!$J$2:$J$3000)+SUMIF(EXTRATO!$A$2:$A$3000,$A1842,EXTRATO!$K$2:$K$3000)+SUMIF(EXTRATO!$A$2:$A$3000,$A1842,EXTRATO!$L$2:$L$3000)+SUMIF(EXTRATO!$A$2:$A$3000,$A1842,EXTRATO!$M$2:$M$3000))</f>
        <v/>
      </c>
      <c r="G1842" s="81" t="str">
        <f>IF(A1842="","",IF(INDEX(EXTRATO!$G$2:$G$3000,MATCH($A1842,EXTRATO!$A$2:$A$3000,0))="","",INDEX(EXTRATO!$G$2:$G$3000,MATCH($A1842,EXTRATO!$A$2:$A$3000,0))))</f>
        <v/>
      </c>
      <c r="H1842" s="86" t="str">
        <f>IF(A1842="","",IF(INDEX(EXTRATO!$F$2:$F$3000,MATCH($A1842,EXTRATO!$A$2:$A$3000,0))="","",INDEX(EXTRATO!$F$2:$F$3000,MATCH($A1842,EXTRATO!$A$2:$A$3000,0))))</f>
        <v/>
      </c>
      <c r="I1842" s="88" t="str">
        <f>IF(A1842="","",IF(INDEX(EXTRATO!$H$2:$H$3000,MATCH($A1842,EXTRATO!$A$2:$A$3000,0))="","",INDEX(EXTRATO!$H$2:$H$3000,MATCH($A1842,EXTRATO!$A$2:$A$3000,0))))</f>
        <v/>
      </c>
      <c r="J1842" s="86" t="str">
        <f t="shared" si="45"/>
        <v/>
      </c>
      <c r="K1842" s="86" t="str">
        <f>IF(AND(A1842="",D1842="",E1842="",F1842=""),"",IF(D1842="","SEM CATEGORIA",IF(E1842="","SEM SUBCATEGORIA",IF(COUNTIFS(CADASTROS!$L$7:$L$93,D1842,CADASTROS!$D$7:$D$93,E1842)=0,"INCOMPATÍVEL","OK"))))</f>
        <v/>
      </c>
    </row>
    <row r="1843" spans="1:11" ht="30" hidden="1" customHeight="1" x14ac:dyDescent="0.25">
      <c r="A1843" s="86" t="str">
        <f>IF(COUNTIF(EXTRATO!$A$2:$A$3000,"BAN-01700")=0,"","BAN-01700")</f>
        <v/>
      </c>
      <c r="B1843" s="85" t="str">
        <f>IF(A1843="","",IF(INDEX(EXTRATO!$C$2:$C$3000,MATCH($A1843,EXTRATO!$A$2:$A$3000,0))="","",INDEX(EXTRATO!$C$2:$C$3000,MATCH($A1843,EXTRATO!$A$2:$A$3000,0))))</f>
        <v/>
      </c>
      <c r="C1843" s="86" t="str">
        <f t="shared" si="44"/>
        <v/>
      </c>
      <c r="D1843" s="81"/>
      <c r="E1843" s="79"/>
      <c r="F1843" s="80" t="str">
        <f>IF(A1843="","",SUMIF(EXTRATO!$A$2:$A$3000,$A1843,EXTRATO!$J$2:$J$3000)+SUMIF(EXTRATO!$A$2:$A$3000,$A1843,EXTRATO!$K$2:$K$3000)+SUMIF(EXTRATO!$A$2:$A$3000,$A1843,EXTRATO!$L$2:$L$3000)+SUMIF(EXTRATO!$A$2:$A$3000,$A1843,EXTRATO!$M$2:$M$3000))</f>
        <v/>
      </c>
      <c r="G1843" s="81" t="str">
        <f>IF(A1843="","",IF(INDEX(EXTRATO!$G$2:$G$3000,MATCH($A1843,EXTRATO!$A$2:$A$3000,0))="","",INDEX(EXTRATO!$G$2:$G$3000,MATCH($A1843,EXTRATO!$A$2:$A$3000,0))))</f>
        <v/>
      </c>
      <c r="H1843" s="86" t="str">
        <f>IF(A1843="","",IF(INDEX(EXTRATO!$F$2:$F$3000,MATCH($A1843,EXTRATO!$A$2:$A$3000,0))="","",INDEX(EXTRATO!$F$2:$F$3000,MATCH($A1843,EXTRATO!$A$2:$A$3000,0))))</f>
        <v/>
      </c>
      <c r="I1843" s="88" t="str">
        <f>IF(A1843="","",IF(INDEX(EXTRATO!$H$2:$H$3000,MATCH($A1843,EXTRATO!$A$2:$A$3000,0))="","",INDEX(EXTRATO!$H$2:$H$3000,MATCH($A1843,EXTRATO!$A$2:$A$3000,0))))</f>
        <v/>
      </c>
      <c r="J1843" s="86" t="str">
        <f t="shared" si="45"/>
        <v/>
      </c>
      <c r="K1843" s="86" t="str">
        <f>IF(AND(A1843="",D1843="",E1843="",F1843=""),"",IF(D1843="","SEM CATEGORIA",IF(E1843="","SEM SUBCATEGORIA",IF(COUNTIFS(CADASTROS!$L$7:$L$93,D1843,CADASTROS!$D$7:$D$93,E1843)=0,"INCOMPATÍVEL","OK"))))</f>
        <v/>
      </c>
    </row>
    <row r="1844" spans="1:11" ht="30" hidden="1" customHeight="1" x14ac:dyDescent="0.25">
      <c r="A1844" s="86" t="str">
        <f>IF(COUNTIF(EXTRATO!$A$2:$A$3000,"BAN-01701")=0,"","BAN-01701")</f>
        <v/>
      </c>
      <c r="B1844" s="85" t="str">
        <f>IF(A1844="","",IF(INDEX(EXTRATO!$C$2:$C$3000,MATCH($A1844,EXTRATO!$A$2:$A$3000,0))="","",INDEX(EXTRATO!$C$2:$C$3000,MATCH($A1844,EXTRATO!$A$2:$A$3000,0))))</f>
        <v/>
      </c>
      <c r="C1844" s="86" t="str">
        <f t="shared" si="44"/>
        <v/>
      </c>
      <c r="D1844" s="81"/>
      <c r="E1844" s="79"/>
      <c r="F1844" s="80" t="str">
        <f>IF(A1844="","",SUMIF(EXTRATO!$A$2:$A$3000,$A1844,EXTRATO!$J$2:$J$3000)+SUMIF(EXTRATO!$A$2:$A$3000,$A1844,EXTRATO!$K$2:$K$3000)+SUMIF(EXTRATO!$A$2:$A$3000,$A1844,EXTRATO!$L$2:$L$3000)+SUMIF(EXTRATO!$A$2:$A$3000,$A1844,EXTRATO!$M$2:$M$3000))</f>
        <v/>
      </c>
      <c r="G1844" s="81" t="str">
        <f>IF(A1844="","",IF(INDEX(EXTRATO!$G$2:$G$3000,MATCH($A1844,EXTRATO!$A$2:$A$3000,0))="","",INDEX(EXTRATO!$G$2:$G$3000,MATCH($A1844,EXTRATO!$A$2:$A$3000,0))))</f>
        <v/>
      </c>
      <c r="H1844" s="86" t="str">
        <f>IF(A1844="","",IF(INDEX(EXTRATO!$F$2:$F$3000,MATCH($A1844,EXTRATO!$A$2:$A$3000,0))="","",INDEX(EXTRATO!$F$2:$F$3000,MATCH($A1844,EXTRATO!$A$2:$A$3000,0))))</f>
        <v/>
      </c>
      <c r="I1844" s="88" t="str">
        <f>IF(A1844="","",IF(INDEX(EXTRATO!$H$2:$H$3000,MATCH($A1844,EXTRATO!$A$2:$A$3000,0))="","",INDEX(EXTRATO!$H$2:$H$3000,MATCH($A1844,EXTRATO!$A$2:$A$3000,0))))</f>
        <v/>
      </c>
      <c r="J1844" s="86" t="str">
        <f t="shared" si="45"/>
        <v/>
      </c>
      <c r="K1844" s="86" t="str">
        <f>IF(AND(A1844="",D1844="",E1844="",F1844=""),"",IF(D1844="","SEM CATEGORIA",IF(E1844="","SEM SUBCATEGORIA",IF(COUNTIFS(CADASTROS!$L$7:$L$93,D1844,CADASTROS!$D$7:$D$93,E1844)=0,"INCOMPATÍVEL","OK"))))</f>
        <v/>
      </c>
    </row>
    <row r="1845" spans="1:11" ht="30" hidden="1" customHeight="1" x14ac:dyDescent="0.25">
      <c r="A1845" s="86" t="str">
        <f>IF(COUNTIF(EXTRATO!$A$2:$A$3000,"BAN-01702")=0,"","BAN-01702")</f>
        <v/>
      </c>
      <c r="B1845" s="85" t="str">
        <f>IF(A1845="","",IF(INDEX(EXTRATO!$C$2:$C$3000,MATCH($A1845,EXTRATO!$A$2:$A$3000,0))="","",INDEX(EXTRATO!$C$2:$C$3000,MATCH($A1845,EXTRATO!$A$2:$A$3000,0))))</f>
        <v/>
      </c>
      <c r="C1845" s="86" t="str">
        <f t="shared" si="44"/>
        <v/>
      </c>
      <c r="D1845" s="81"/>
      <c r="E1845" s="79"/>
      <c r="F1845" s="80" t="str">
        <f>IF(A1845="","",SUMIF(EXTRATO!$A$2:$A$3000,$A1845,EXTRATO!$J$2:$J$3000)+SUMIF(EXTRATO!$A$2:$A$3000,$A1845,EXTRATO!$K$2:$K$3000)+SUMIF(EXTRATO!$A$2:$A$3000,$A1845,EXTRATO!$L$2:$L$3000)+SUMIF(EXTRATO!$A$2:$A$3000,$A1845,EXTRATO!$M$2:$M$3000))</f>
        <v/>
      </c>
      <c r="G1845" s="81" t="str">
        <f>IF(A1845="","",IF(INDEX(EXTRATO!$G$2:$G$3000,MATCH($A1845,EXTRATO!$A$2:$A$3000,0))="","",INDEX(EXTRATO!$G$2:$G$3000,MATCH($A1845,EXTRATO!$A$2:$A$3000,0))))</f>
        <v/>
      </c>
      <c r="H1845" s="86" t="str">
        <f>IF(A1845="","",IF(INDEX(EXTRATO!$F$2:$F$3000,MATCH($A1845,EXTRATO!$A$2:$A$3000,0))="","",INDEX(EXTRATO!$F$2:$F$3000,MATCH($A1845,EXTRATO!$A$2:$A$3000,0))))</f>
        <v/>
      </c>
      <c r="I1845" s="88" t="str">
        <f>IF(A1845="","",IF(INDEX(EXTRATO!$H$2:$H$3000,MATCH($A1845,EXTRATO!$A$2:$A$3000,0))="","",INDEX(EXTRATO!$H$2:$H$3000,MATCH($A1845,EXTRATO!$A$2:$A$3000,0))))</f>
        <v/>
      </c>
      <c r="J1845" s="86" t="str">
        <f t="shared" si="45"/>
        <v/>
      </c>
      <c r="K1845" s="86" t="str">
        <f>IF(AND(A1845="",D1845="",E1845="",F1845=""),"",IF(D1845="","SEM CATEGORIA",IF(E1845="","SEM SUBCATEGORIA",IF(COUNTIFS(CADASTROS!$L$7:$L$93,D1845,CADASTROS!$D$7:$D$93,E1845)=0,"INCOMPATÍVEL","OK"))))</f>
        <v/>
      </c>
    </row>
    <row r="1846" spans="1:11" ht="30" hidden="1" customHeight="1" x14ac:dyDescent="0.25">
      <c r="A1846" s="86" t="str">
        <f>IF(COUNTIF(EXTRATO!$A$2:$A$3000,"BAN-01703")=0,"","BAN-01703")</f>
        <v/>
      </c>
      <c r="B1846" s="85" t="str">
        <f>IF(A1846="","",IF(INDEX(EXTRATO!$C$2:$C$3000,MATCH($A1846,EXTRATO!$A$2:$A$3000,0))="","",INDEX(EXTRATO!$C$2:$C$3000,MATCH($A1846,EXTRATO!$A$2:$A$3000,0))))</f>
        <v/>
      </c>
      <c r="C1846" s="86" t="str">
        <f t="shared" si="44"/>
        <v/>
      </c>
      <c r="D1846" s="81"/>
      <c r="E1846" s="79"/>
      <c r="F1846" s="80" t="str">
        <f>IF(A1846="","",SUMIF(EXTRATO!$A$2:$A$3000,$A1846,EXTRATO!$J$2:$J$3000)+SUMIF(EXTRATO!$A$2:$A$3000,$A1846,EXTRATO!$K$2:$K$3000)+SUMIF(EXTRATO!$A$2:$A$3000,$A1846,EXTRATO!$L$2:$L$3000)+SUMIF(EXTRATO!$A$2:$A$3000,$A1846,EXTRATO!$M$2:$M$3000))</f>
        <v/>
      </c>
      <c r="G1846" s="81" t="str">
        <f>IF(A1846="","",IF(INDEX(EXTRATO!$G$2:$G$3000,MATCH($A1846,EXTRATO!$A$2:$A$3000,0))="","",INDEX(EXTRATO!$G$2:$G$3000,MATCH($A1846,EXTRATO!$A$2:$A$3000,0))))</f>
        <v/>
      </c>
      <c r="H1846" s="86" t="str">
        <f>IF(A1846="","",IF(INDEX(EXTRATO!$F$2:$F$3000,MATCH($A1846,EXTRATO!$A$2:$A$3000,0))="","",INDEX(EXTRATO!$F$2:$F$3000,MATCH($A1846,EXTRATO!$A$2:$A$3000,0))))</f>
        <v/>
      </c>
      <c r="I1846" s="88" t="str">
        <f>IF(A1846="","",IF(INDEX(EXTRATO!$H$2:$H$3000,MATCH($A1846,EXTRATO!$A$2:$A$3000,0))="","",INDEX(EXTRATO!$H$2:$H$3000,MATCH($A1846,EXTRATO!$A$2:$A$3000,0))))</f>
        <v/>
      </c>
      <c r="J1846" s="86" t="str">
        <f t="shared" si="45"/>
        <v/>
      </c>
      <c r="K1846" s="86" t="str">
        <f>IF(AND(A1846="",D1846="",E1846="",F1846=""),"",IF(D1846="","SEM CATEGORIA",IF(E1846="","SEM SUBCATEGORIA",IF(COUNTIFS(CADASTROS!$L$7:$L$93,D1846,CADASTROS!$D$7:$D$93,E1846)=0,"INCOMPATÍVEL","OK"))))</f>
        <v/>
      </c>
    </row>
    <row r="1847" spans="1:11" ht="30" hidden="1" customHeight="1" x14ac:dyDescent="0.25">
      <c r="A1847" s="86" t="str">
        <f>IF(COUNTIF(EXTRATO!$A$2:$A$3000,"BAN-01704")=0,"","BAN-01704")</f>
        <v/>
      </c>
      <c r="B1847" s="85" t="str">
        <f>IF(A1847="","",IF(INDEX(EXTRATO!$C$2:$C$3000,MATCH($A1847,EXTRATO!$A$2:$A$3000,0))="","",INDEX(EXTRATO!$C$2:$C$3000,MATCH($A1847,EXTRATO!$A$2:$A$3000,0))))</f>
        <v/>
      </c>
      <c r="C1847" s="86" t="str">
        <f t="shared" si="44"/>
        <v/>
      </c>
      <c r="D1847" s="81"/>
      <c r="E1847" s="79"/>
      <c r="F1847" s="80" t="str">
        <f>IF(A1847="","",SUMIF(EXTRATO!$A$2:$A$3000,$A1847,EXTRATO!$J$2:$J$3000)+SUMIF(EXTRATO!$A$2:$A$3000,$A1847,EXTRATO!$K$2:$K$3000)+SUMIF(EXTRATO!$A$2:$A$3000,$A1847,EXTRATO!$L$2:$L$3000)+SUMIF(EXTRATO!$A$2:$A$3000,$A1847,EXTRATO!$M$2:$M$3000))</f>
        <v/>
      </c>
      <c r="G1847" s="81" t="str">
        <f>IF(A1847="","",IF(INDEX(EXTRATO!$G$2:$G$3000,MATCH($A1847,EXTRATO!$A$2:$A$3000,0))="","",INDEX(EXTRATO!$G$2:$G$3000,MATCH($A1847,EXTRATO!$A$2:$A$3000,0))))</f>
        <v/>
      </c>
      <c r="H1847" s="86" t="str">
        <f>IF(A1847="","",IF(INDEX(EXTRATO!$F$2:$F$3000,MATCH($A1847,EXTRATO!$A$2:$A$3000,0))="","",INDEX(EXTRATO!$F$2:$F$3000,MATCH($A1847,EXTRATO!$A$2:$A$3000,0))))</f>
        <v/>
      </c>
      <c r="I1847" s="88" t="str">
        <f>IF(A1847="","",IF(INDEX(EXTRATO!$H$2:$H$3000,MATCH($A1847,EXTRATO!$A$2:$A$3000,0))="","",INDEX(EXTRATO!$H$2:$H$3000,MATCH($A1847,EXTRATO!$A$2:$A$3000,0))))</f>
        <v/>
      </c>
      <c r="J1847" s="86" t="str">
        <f t="shared" si="45"/>
        <v/>
      </c>
      <c r="K1847" s="86" t="str">
        <f>IF(AND(A1847="",D1847="",E1847="",F1847=""),"",IF(D1847="","SEM CATEGORIA",IF(E1847="","SEM SUBCATEGORIA",IF(COUNTIFS(CADASTROS!$L$7:$L$93,D1847,CADASTROS!$D$7:$D$93,E1847)=0,"INCOMPATÍVEL","OK"))))</f>
        <v/>
      </c>
    </row>
    <row r="1848" spans="1:11" ht="30" hidden="1" customHeight="1" x14ac:dyDescent="0.25">
      <c r="A1848" s="86" t="str">
        <f>IF(COUNTIF(EXTRATO!$A$2:$A$3000,"BAN-01705")=0,"","BAN-01705")</f>
        <v/>
      </c>
      <c r="B1848" s="85" t="str">
        <f>IF(A1848="","",IF(INDEX(EXTRATO!$C$2:$C$3000,MATCH($A1848,EXTRATO!$A$2:$A$3000,0))="","",INDEX(EXTRATO!$C$2:$C$3000,MATCH($A1848,EXTRATO!$A$2:$A$3000,0))))</f>
        <v/>
      </c>
      <c r="C1848" s="86" t="str">
        <f t="shared" si="44"/>
        <v/>
      </c>
      <c r="D1848" s="81"/>
      <c r="E1848" s="79"/>
      <c r="F1848" s="80" t="str">
        <f>IF(A1848="","",SUMIF(EXTRATO!$A$2:$A$3000,$A1848,EXTRATO!$J$2:$J$3000)+SUMIF(EXTRATO!$A$2:$A$3000,$A1848,EXTRATO!$K$2:$K$3000)+SUMIF(EXTRATO!$A$2:$A$3000,$A1848,EXTRATO!$L$2:$L$3000)+SUMIF(EXTRATO!$A$2:$A$3000,$A1848,EXTRATO!$M$2:$M$3000))</f>
        <v/>
      </c>
      <c r="G1848" s="81" t="str">
        <f>IF(A1848="","",IF(INDEX(EXTRATO!$G$2:$G$3000,MATCH($A1848,EXTRATO!$A$2:$A$3000,0))="","",INDEX(EXTRATO!$G$2:$G$3000,MATCH($A1848,EXTRATO!$A$2:$A$3000,0))))</f>
        <v/>
      </c>
      <c r="H1848" s="86" t="str">
        <f>IF(A1848="","",IF(INDEX(EXTRATO!$F$2:$F$3000,MATCH($A1848,EXTRATO!$A$2:$A$3000,0))="","",INDEX(EXTRATO!$F$2:$F$3000,MATCH($A1848,EXTRATO!$A$2:$A$3000,0))))</f>
        <v/>
      </c>
      <c r="I1848" s="88" t="str">
        <f>IF(A1848="","",IF(INDEX(EXTRATO!$H$2:$H$3000,MATCH($A1848,EXTRATO!$A$2:$A$3000,0))="","",INDEX(EXTRATO!$H$2:$H$3000,MATCH($A1848,EXTRATO!$A$2:$A$3000,0))))</f>
        <v/>
      </c>
      <c r="J1848" s="86" t="str">
        <f t="shared" si="45"/>
        <v/>
      </c>
      <c r="K1848" s="86" t="str">
        <f>IF(AND(A1848="",D1848="",E1848="",F1848=""),"",IF(D1848="","SEM CATEGORIA",IF(E1848="","SEM SUBCATEGORIA",IF(COUNTIFS(CADASTROS!$L$7:$L$93,D1848,CADASTROS!$D$7:$D$93,E1848)=0,"INCOMPATÍVEL","OK"))))</f>
        <v/>
      </c>
    </row>
    <row r="1849" spans="1:11" ht="30" hidden="1" customHeight="1" x14ac:dyDescent="0.25">
      <c r="A1849" s="86" t="str">
        <f>IF(COUNTIF(EXTRATO!$A$2:$A$3000,"BAN-01706")=0,"","BAN-01706")</f>
        <v/>
      </c>
      <c r="B1849" s="85" t="str">
        <f>IF(A1849="","",IF(INDEX(EXTRATO!$C$2:$C$3000,MATCH($A1849,EXTRATO!$A$2:$A$3000,0))="","",INDEX(EXTRATO!$C$2:$C$3000,MATCH($A1849,EXTRATO!$A$2:$A$3000,0))))</f>
        <v/>
      </c>
      <c r="C1849" s="86" t="str">
        <f t="shared" si="44"/>
        <v/>
      </c>
      <c r="D1849" s="81"/>
      <c r="E1849" s="79"/>
      <c r="F1849" s="80" t="str">
        <f>IF(A1849="","",SUMIF(EXTRATO!$A$2:$A$3000,$A1849,EXTRATO!$J$2:$J$3000)+SUMIF(EXTRATO!$A$2:$A$3000,$A1849,EXTRATO!$K$2:$K$3000)+SUMIF(EXTRATO!$A$2:$A$3000,$A1849,EXTRATO!$L$2:$L$3000)+SUMIF(EXTRATO!$A$2:$A$3000,$A1849,EXTRATO!$M$2:$M$3000))</f>
        <v/>
      </c>
      <c r="G1849" s="81" t="str">
        <f>IF(A1849="","",IF(INDEX(EXTRATO!$G$2:$G$3000,MATCH($A1849,EXTRATO!$A$2:$A$3000,0))="","",INDEX(EXTRATO!$G$2:$G$3000,MATCH($A1849,EXTRATO!$A$2:$A$3000,0))))</f>
        <v/>
      </c>
      <c r="H1849" s="86" t="str">
        <f>IF(A1849="","",IF(INDEX(EXTRATO!$F$2:$F$3000,MATCH($A1849,EXTRATO!$A$2:$A$3000,0))="","",INDEX(EXTRATO!$F$2:$F$3000,MATCH($A1849,EXTRATO!$A$2:$A$3000,0))))</f>
        <v/>
      </c>
      <c r="I1849" s="88" t="str">
        <f>IF(A1849="","",IF(INDEX(EXTRATO!$H$2:$H$3000,MATCH($A1849,EXTRATO!$A$2:$A$3000,0))="","",INDEX(EXTRATO!$H$2:$H$3000,MATCH($A1849,EXTRATO!$A$2:$A$3000,0))))</f>
        <v/>
      </c>
      <c r="J1849" s="86" t="str">
        <f t="shared" si="45"/>
        <v/>
      </c>
      <c r="K1849" s="86" t="str">
        <f>IF(AND(A1849="",D1849="",E1849="",F1849=""),"",IF(D1849="","SEM CATEGORIA",IF(E1849="","SEM SUBCATEGORIA",IF(COUNTIFS(CADASTROS!$L$7:$L$93,D1849,CADASTROS!$D$7:$D$93,E1849)=0,"INCOMPATÍVEL","OK"))))</f>
        <v/>
      </c>
    </row>
    <row r="1850" spans="1:11" ht="30" hidden="1" customHeight="1" x14ac:dyDescent="0.25">
      <c r="A1850" s="86" t="str">
        <f>IF(COUNTIF(EXTRATO!$A$2:$A$3000,"BAN-01707")=0,"","BAN-01707")</f>
        <v/>
      </c>
      <c r="B1850" s="85" t="str">
        <f>IF(A1850="","",IF(INDEX(EXTRATO!$C$2:$C$3000,MATCH($A1850,EXTRATO!$A$2:$A$3000,0))="","",INDEX(EXTRATO!$C$2:$C$3000,MATCH($A1850,EXTRATO!$A$2:$A$3000,0))))</f>
        <v/>
      </c>
      <c r="C1850" s="86" t="str">
        <f t="shared" si="44"/>
        <v/>
      </c>
      <c r="D1850" s="81"/>
      <c r="E1850" s="79"/>
      <c r="F1850" s="80" t="str">
        <f>IF(A1850="","",SUMIF(EXTRATO!$A$2:$A$3000,$A1850,EXTRATO!$J$2:$J$3000)+SUMIF(EXTRATO!$A$2:$A$3000,$A1850,EXTRATO!$K$2:$K$3000)+SUMIF(EXTRATO!$A$2:$A$3000,$A1850,EXTRATO!$L$2:$L$3000)+SUMIF(EXTRATO!$A$2:$A$3000,$A1850,EXTRATO!$M$2:$M$3000))</f>
        <v/>
      </c>
      <c r="G1850" s="81" t="str">
        <f>IF(A1850="","",IF(INDEX(EXTRATO!$G$2:$G$3000,MATCH($A1850,EXTRATO!$A$2:$A$3000,0))="","",INDEX(EXTRATO!$G$2:$G$3000,MATCH($A1850,EXTRATO!$A$2:$A$3000,0))))</f>
        <v/>
      </c>
      <c r="H1850" s="86" t="str">
        <f>IF(A1850="","",IF(INDEX(EXTRATO!$F$2:$F$3000,MATCH($A1850,EXTRATO!$A$2:$A$3000,0))="","",INDEX(EXTRATO!$F$2:$F$3000,MATCH($A1850,EXTRATO!$A$2:$A$3000,0))))</f>
        <v/>
      </c>
      <c r="I1850" s="88" t="str">
        <f>IF(A1850="","",IF(INDEX(EXTRATO!$H$2:$H$3000,MATCH($A1850,EXTRATO!$A$2:$A$3000,0))="","",INDEX(EXTRATO!$H$2:$H$3000,MATCH($A1850,EXTRATO!$A$2:$A$3000,0))))</f>
        <v/>
      </c>
      <c r="J1850" s="86" t="str">
        <f t="shared" si="45"/>
        <v/>
      </c>
      <c r="K1850" s="86" t="str">
        <f>IF(AND(A1850="",D1850="",E1850="",F1850=""),"",IF(D1850="","SEM CATEGORIA",IF(E1850="","SEM SUBCATEGORIA",IF(COUNTIFS(CADASTROS!$L$7:$L$93,D1850,CADASTROS!$D$7:$D$93,E1850)=0,"INCOMPATÍVEL","OK"))))</f>
        <v/>
      </c>
    </row>
    <row r="1851" spans="1:11" ht="30" hidden="1" customHeight="1" x14ac:dyDescent="0.25">
      <c r="A1851" s="86" t="str">
        <f>IF(COUNTIF(EXTRATO!$A$2:$A$3000,"BAN-01708")=0,"","BAN-01708")</f>
        <v/>
      </c>
      <c r="B1851" s="85" t="str">
        <f>IF(A1851="","",IF(INDEX(EXTRATO!$C$2:$C$3000,MATCH($A1851,EXTRATO!$A$2:$A$3000,0))="","",INDEX(EXTRATO!$C$2:$C$3000,MATCH($A1851,EXTRATO!$A$2:$A$3000,0))))</f>
        <v/>
      </c>
      <c r="C1851" s="86" t="str">
        <f t="shared" si="44"/>
        <v/>
      </c>
      <c r="D1851" s="81"/>
      <c r="E1851" s="79"/>
      <c r="F1851" s="80" t="str">
        <f>IF(A1851="","",SUMIF(EXTRATO!$A$2:$A$3000,$A1851,EXTRATO!$J$2:$J$3000)+SUMIF(EXTRATO!$A$2:$A$3000,$A1851,EXTRATO!$K$2:$K$3000)+SUMIF(EXTRATO!$A$2:$A$3000,$A1851,EXTRATO!$L$2:$L$3000)+SUMIF(EXTRATO!$A$2:$A$3000,$A1851,EXTRATO!$M$2:$M$3000))</f>
        <v/>
      </c>
      <c r="G1851" s="81" t="str">
        <f>IF(A1851="","",IF(INDEX(EXTRATO!$G$2:$G$3000,MATCH($A1851,EXTRATO!$A$2:$A$3000,0))="","",INDEX(EXTRATO!$G$2:$G$3000,MATCH($A1851,EXTRATO!$A$2:$A$3000,0))))</f>
        <v/>
      </c>
      <c r="H1851" s="86" t="str">
        <f>IF(A1851="","",IF(INDEX(EXTRATO!$F$2:$F$3000,MATCH($A1851,EXTRATO!$A$2:$A$3000,0))="","",INDEX(EXTRATO!$F$2:$F$3000,MATCH($A1851,EXTRATO!$A$2:$A$3000,0))))</f>
        <v/>
      </c>
      <c r="I1851" s="88" t="str">
        <f>IF(A1851="","",IF(INDEX(EXTRATO!$H$2:$H$3000,MATCH($A1851,EXTRATO!$A$2:$A$3000,0))="","",INDEX(EXTRATO!$H$2:$H$3000,MATCH($A1851,EXTRATO!$A$2:$A$3000,0))))</f>
        <v/>
      </c>
      <c r="J1851" s="86" t="str">
        <f t="shared" si="45"/>
        <v/>
      </c>
      <c r="K1851" s="86" t="str">
        <f>IF(AND(A1851="",D1851="",E1851="",F1851=""),"",IF(D1851="","SEM CATEGORIA",IF(E1851="","SEM SUBCATEGORIA",IF(COUNTIFS(CADASTROS!$L$7:$L$93,D1851,CADASTROS!$D$7:$D$93,E1851)=0,"INCOMPATÍVEL","OK"))))</f>
        <v/>
      </c>
    </row>
    <row r="1852" spans="1:11" ht="30" hidden="1" customHeight="1" x14ac:dyDescent="0.25">
      <c r="A1852" s="86" t="str">
        <f>IF(COUNTIF(EXTRATO!$A$2:$A$3000,"BAN-01709")=0,"","BAN-01709")</f>
        <v/>
      </c>
      <c r="B1852" s="85" t="str">
        <f>IF(A1852="","",IF(INDEX(EXTRATO!$C$2:$C$3000,MATCH($A1852,EXTRATO!$A$2:$A$3000,0))="","",INDEX(EXTRATO!$C$2:$C$3000,MATCH($A1852,EXTRATO!$A$2:$A$3000,0))))</f>
        <v/>
      </c>
      <c r="C1852" s="86" t="str">
        <f t="shared" si="44"/>
        <v/>
      </c>
      <c r="D1852" s="81"/>
      <c r="E1852" s="79"/>
      <c r="F1852" s="80" t="str">
        <f>IF(A1852="","",SUMIF(EXTRATO!$A$2:$A$3000,$A1852,EXTRATO!$J$2:$J$3000)+SUMIF(EXTRATO!$A$2:$A$3000,$A1852,EXTRATO!$K$2:$K$3000)+SUMIF(EXTRATO!$A$2:$A$3000,$A1852,EXTRATO!$L$2:$L$3000)+SUMIF(EXTRATO!$A$2:$A$3000,$A1852,EXTRATO!$M$2:$M$3000))</f>
        <v/>
      </c>
      <c r="G1852" s="81" t="str">
        <f>IF(A1852="","",IF(INDEX(EXTRATO!$G$2:$G$3000,MATCH($A1852,EXTRATO!$A$2:$A$3000,0))="","",INDEX(EXTRATO!$G$2:$G$3000,MATCH($A1852,EXTRATO!$A$2:$A$3000,0))))</f>
        <v/>
      </c>
      <c r="H1852" s="86" t="str">
        <f>IF(A1852="","",IF(INDEX(EXTRATO!$F$2:$F$3000,MATCH($A1852,EXTRATO!$A$2:$A$3000,0))="","",INDEX(EXTRATO!$F$2:$F$3000,MATCH($A1852,EXTRATO!$A$2:$A$3000,0))))</f>
        <v/>
      </c>
      <c r="I1852" s="88" t="str">
        <f>IF(A1852="","",IF(INDEX(EXTRATO!$H$2:$H$3000,MATCH($A1852,EXTRATO!$A$2:$A$3000,0))="","",INDEX(EXTRATO!$H$2:$H$3000,MATCH($A1852,EXTRATO!$A$2:$A$3000,0))))</f>
        <v/>
      </c>
      <c r="J1852" s="86" t="str">
        <f t="shared" si="45"/>
        <v/>
      </c>
      <c r="K1852" s="86" t="str">
        <f>IF(AND(A1852="",D1852="",E1852="",F1852=""),"",IF(D1852="","SEM CATEGORIA",IF(E1852="","SEM SUBCATEGORIA",IF(COUNTIFS(CADASTROS!$L$7:$L$93,D1852,CADASTROS!$D$7:$D$93,E1852)=0,"INCOMPATÍVEL","OK"))))</f>
        <v/>
      </c>
    </row>
    <row r="1853" spans="1:11" ht="30" hidden="1" customHeight="1" x14ac:dyDescent="0.25">
      <c r="A1853" s="86" t="str">
        <f>IF(COUNTIF(EXTRATO!$A$2:$A$3000,"BAN-01710")=0,"","BAN-01710")</f>
        <v/>
      </c>
      <c r="B1853" s="85" t="str">
        <f>IF(A1853="","",IF(INDEX(EXTRATO!$C$2:$C$3000,MATCH($A1853,EXTRATO!$A$2:$A$3000,0))="","",INDEX(EXTRATO!$C$2:$C$3000,MATCH($A1853,EXTRATO!$A$2:$A$3000,0))))</f>
        <v/>
      </c>
      <c r="C1853" s="86" t="str">
        <f t="shared" si="44"/>
        <v/>
      </c>
      <c r="D1853" s="81"/>
      <c r="E1853" s="79"/>
      <c r="F1853" s="80" t="str">
        <f>IF(A1853="","",SUMIF(EXTRATO!$A$2:$A$3000,$A1853,EXTRATO!$J$2:$J$3000)+SUMIF(EXTRATO!$A$2:$A$3000,$A1853,EXTRATO!$K$2:$K$3000)+SUMIF(EXTRATO!$A$2:$A$3000,$A1853,EXTRATO!$L$2:$L$3000)+SUMIF(EXTRATO!$A$2:$A$3000,$A1853,EXTRATO!$M$2:$M$3000))</f>
        <v/>
      </c>
      <c r="G1853" s="81" t="str">
        <f>IF(A1853="","",IF(INDEX(EXTRATO!$G$2:$G$3000,MATCH($A1853,EXTRATO!$A$2:$A$3000,0))="","",INDEX(EXTRATO!$G$2:$G$3000,MATCH($A1853,EXTRATO!$A$2:$A$3000,0))))</f>
        <v/>
      </c>
      <c r="H1853" s="86" t="str">
        <f>IF(A1853="","",IF(INDEX(EXTRATO!$F$2:$F$3000,MATCH($A1853,EXTRATO!$A$2:$A$3000,0))="","",INDEX(EXTRATO!$F$2:$F$3000,MATCH($A1853,EXTRATO!$A$2:$A$3000,0))))</f>
        <v/>
      </c>
      <c r="I1853" s="88" t="str">
        <f>IF(A1853="","",IF(INDEX(EXTRATO!$H$2:$H$3000,MATCH($A1853,EXTRATO!$A$2:$A$3000,0))="","",INDEX(EXTRATO!$H$2:$H$3000,MATCH($A1853,EXTRATO!$A$2:$A$3000,0))))</f>
        <v/>
      </c>
      <c r="J1853" s="86" t="str">
        <f t="shared" si="45"/>
        <v/>
      </c>
      <c r="K1853" s="86" t="str">
        <f>IF(AND(A1853="",D1853="",E1853="",F1853=""),"",IF(D1853="","SEM CATEGORIA",IF(E1853="","SEM SUBCATEGORIA",IF(COUNTIFS(CADASTROS!$L$7:$L$93,D1853,CADASTROS!$D$7:$D$93,E1853)=0,"INCOMPATÍVEL","OK"))))</f>
        <v/>
      </c>
    </row>
    <row r="1854" spans="1:11" ht="30" hidden="1" customHeight="1" x14ac:dyDescent="0.25">
      <c r="A1854" s="86" t="str">
        <f>IF(COUNTIF(EXTRATO!$A$2:$A$3000,"BAN-01711")=0,"","BAN-01711")</f>
        <v/>
      </c>
      <c r="B1854" s="85" t="str">
        <f>IF(A1854="","",IF(INDEX(EXTRATO!$C$2:$C$3000,MATCH($A1854,EXTRATO!$A$2:$A$3000,0))="","",INDEX(EXTRATO!$C$2:$C$3000,MATCH($A1854,EXTRATO!$A$2:$A$3000,0))))</f>
        <v/>
      </c>
      <c r="C1854" s="86" t="str">
        <f t="shared" si="44"/>
        <v/>
      </c>
      <c r="D1854" s="81"/>
      <c r="E1854" s="79"/>
      <c r="F1854" s="80" t="str">
        <f>IF(A1854="","",SUMIF(EXTRATO!$A$2:$A$3000,$A1854,EXTRATO!$J$2:$J$3000)+SUMIF(EXTRATO!$A$2:$A$3000,$A1854,EXTRATO!$K$2:$K$3000)+SUMIF(EXTRATO!$A$2:$A$3000,$A1854,EXTRATO!$L$2:$L$3000)+SUMIF(EXTRATO!$A$2:$A$3000,$A1854,EXTRATO!$M$2:$M$3000))</f>
        <v/>
      </c>
      <c r="G1854" s="81" t="str">
        <f>IF(A1854="","",IF(INDEX(EXTRATO!$G$2:$G$3000,MATCH($A1854,EXTRATO!$A$2:$A$3000,0))="","",INDEX(EXTRATO!$G$2:$G$3000,MATCH($A1854,EXTRATO!$A$2:$A$3000,0))))</f>
        <v/>
      </c>
      <c r="H1854" s="86" t="str">
        <f>IF(A1854="","",IF(INDEX(EXTRATO!$F$2:$F$3000,MATCH($A1854,EXTRATO!$A$2:$A$3000,0))="","",INDEX(EXTRATO!$F$2:$F$3000,MATCH($A1854,EXTRATO!$A$2:$A$3000,0))))</f>
        <v/>
      </c>
      <c r="I1854" s="88" t="str">
        <f>IF(A1854="","",IF(INDEX(EXTRATO!$H$2:$H$3000,MATCH($A1854,EXTRATO!$A$2:$A$3000,0))="","",INDEX(EXTRATO!$H$2:$H$3000,MATCH($A1854,EXTRATO!$A$2:$A$3000,0))))</f>
        <v/>
      </c>
      <c r="J1854" s="86" t="str">
        <f t="shared" si="45"/>
        <v/>
      </c>
      <c r="K1854" s="86" t="str">
        <f>IF(AND(A1854="",D1854="",E1854="",F1854=""),"",IF(D1854="","SEM CATEGORIA",IF(E1854="","SEM SUBCATEGORIA",IF(COUNTIFS(CADASTROS!$L$7:$L$93,D1854,CADASTROS!$D$7:$D$93,E1854)=0,"INCOMPATÍVEL","OK"))))</f>
        <v/>
      </c>
    </row>
    <row r="1855" spans="1:11" ht="30" hidden="1" customHeight="1" x14ac:dyDescent="0.25">
      <c r="A1855" s="86" t="str">
        <f>IF(COUNTIF(EXTRATO!$A$2:$A$3000,"BAN-01712")=0,"","BAN-01712")</f>
        <v/>
      </c>
      <c r="B1855" s="85" t="str">
        <f>IF(A1855="","",IF(INDEX(EXTRATO!$C$2:$C$3000,MATCH($A1855,EXTRATO!$A$2:$A$3000,0))="","",INDEX(EXTRATO!$C$2:$C$3000,MATCH($A1855,EXTRATO!$A$2:$A$3000,0))))</f>
        <v/>
      </c>
      <c r="C1855" s="86" t="str">
        <f t="shared" si="44"/>
        <v/>
      </c>
      <c r="D1855" s="81"/>
      <c r="E1855" s="79"/>
      <c r="F1855" s="80" t="str">
        <f>IF(A1855="","",SUMIF(EXTRATO!$A$2:$A$3000,$A1855,EXTRATO!$J$2:$J$3000)+SUMIF(EXTRATO!$A$2:$A$3000,$A1855,EXTRATO!$K$2:$K$3000)+SUMIF(EXTRATO!$A$2:$A$3000,$A1855,EXTRATO!$L$2:$L$3000)+SUMIF(EXTRATO!$A$2:$A$3000,$A1855,EXTRATO!$M$2:$M$3000))</f>
        <v/>
      </c>
      <c r="G1855" s="81" t="str">
        <f>IF(A1855="","",IF(INDEX(EXTRATO!$G$2:$G$3000,MATCH($A1855,EXTRATO!$A$2:$A$3000,0))="","",INDEX(EXTRATO!$G$2:$G$3000,MATCH($A1855,EXTRATO!$A$2:$A$3000,0))))</f>
        <v/>
      </c>
      <c r="H1855" s="86" t="str">
        <f>IF(A1855="","",IF(INDEX(EXTRATO!$F$2:$F$3000,MATCH($A1855,EXTRATO!$A$2:$A$3000,0))="","",INDEX(EXTRATO!$F$2:$F$3000,MATCH($A1855,EXTRATO!$A$2:$A$3000,0))))</f>
        <v/>
      </c>
      <c r="I1855" s="88" t="str">
        <f>IF(A1855="","",IF(INDEX(EXTRATO!$H$2:$H$3000,MATCH($A1855,EXTRATO!$A$2:$A$3000,0))="","",INDEX(EXTRATO!$H$2:$H$3000,MATCH($A1855,EXTRATO!$A$2:$A$3000,0))))</f>
        <v/>
      </c>
      <c r="J1855" s="86" t="str">
        <f t="shared" si="45"/>
        <v/>
      </c>
      <c r="K1855" s="86" t="str">
        <f>IF(AND(A1855="",D1855="",E1855="",F1855=""),"",IF(D1855="","SEM CATEGORIA",IF(E1855="","SEM SUBCATEGORIA",IF(COUNTIFS(CADASTROS!$L$7:$L$93,D1855,CADASTROS!$D$7:$D$93,E1855)=0,"INCOMPATÍVEL","OK"))))</f>
        <v/>
      </c>
    </row>
    <row r="1856" spans="1:11" ht="30" hidden="1" customHeight="1" x14ac:dyDescent="0.25">
      <c r="A1856" s="86" t="str">
        <f>IF(COUNTIF(EXTRATO!$A$2:$A$3000,"BAN-01713")=0,"","BAN-01713")</f>
        <v/>
      </c>
      <c r="B1856" s="85" t="str">
        <f>IF(A1856="","",IF(INDEX(EXTRATO!$C$2:$C$3000,MATCH($A1856,EXTRATO!$A$2:$A$3000,0))="","",INDEX(EXTRATO!$C$2:$C$3000,MATCH($A1856,EXTRATO!$A$2:$A$3000,0))))</f>
        <v/>
      </c>
      <c r="C1856" s="86" t="str">
        <f t="shared" si="44"/>
        <v/>
      </c>
      <c r="D1856" s="81"/>
      <c r="E1856" s="79"/>
      <c r="F1856" s="80" t="str">
        <f>IF(A1856="","",SUMIF(EXTRATO!$A$2:$A$3000,$A1856,EXTRATO!$J$2:$J$3000)+SUMIF(EXTRATO!$A$2:$A$3000,$A1856,EXTRATO!$K$2:$K$3000)+SUMIF(EXTRATO!$A$2:$A$3000,$A1856,EXTRATO!$L$2:$L$3000)+SUMIF(EXTRATO!$A$2:$A$3000,$A1856,EXTRATO!$M$2:$M$3000))</f>
        <v/>
      </c>
      <c r="G1856" s="81" t="str">
        <f>IF(A1856="","",IF(INDEX(EXTRATO!$G$2:$G$3000,MATCH($A1856,EXTRATO!$A$2:$A$3000,0))="","",INDEX(EXTRATO!$G$2:$G$3000,MATCH($A1856,EXTRATO!$A$2:$A$3000,0))))</f>
        <v/>
      </c>
      <c r="H1856" s="86" t="str">
        <f>IF(A1856="","",IF(INDEX(EXTRATO!$F$2:$F$3000,MATCH($A1856,EXTRATO!$A$2:$A$3000,0))="","",INDEX(EXTRATO!$F$2:$F$3000,MATCH($A1856,EXTRATO!$A$2:$A$3000,0))))</f>
        <v/>
      </c>
      <c r="I1856" s="88" t="str">
        <f>IF(A1856="","",IF(INDEX(EXTRATO!$H$2:$H$3000,MATCH($A1856,EXTRATO!$A$2:$A$3000,0))="","",INDEX(EXTRATO!$H$2:$H$3000,MATCH($A1856,EXTRATO!$A$2:$A$3000,0))))</f>
        <v/>
      </c>
      <c r="J1856" s="86" t="str">
        <f t="shared" si="45"/>
        <v/>
      </c>
      <c r="K1856" s="86" t="str">
        <f>IF(AND(A1856="",D1856="",E1856="",F1856=""),"",IF(D1856="","SEM CATEGORIA",IF(E1856="","SEM SUBCATEGORIA",IF(COUNTIFS(CADASTROS!$L$7:$L$93,D1856,CADASTROS!$D$7:$D$93,E1856)=0,"INCOMPATÍVEL","OK"))))</f>
        <v/>
      </c>
    </row>
    <row r="1857" spans="1:11" ht="30" hidden="1" customHeight="1" x14ac:dyDescent="0.25">
      <c r="A1857" s="86" t="str">
        <f>IF(COUNTIF(EXTRATO!$A$2:$A$3000,"BAN-01714")=0,"","BAN-01714")</f>
        <v/>
      </c>
      <c r="B1857" s="85" t="str">
        <f>IF(A1857="","",IF(INDEX(EXTRATO!$C$2:$C$3000,MATCH($A1857,EXTRATO!$A$2:$A$3000,0))="","",INDEX(EXTRATO!$C$2:$C$3000,MATCH($A1857,EXTRATO!$A$2:$A$3000,0))))</f>
        <v/>
      </c>
      <c r="C1857" s="86" t="str">
        <f t="shared" si="44"/>
        <v/>
      </c>
      <c r="D1857" s="81"/>
      <c r="E1857" s="79"/>
      <c r="F1857" s="80" t="str">
        <f>IF(A1857="","",SUMIF(EXTRATO!$A$2:$A$3000,$A1857,EXTRATO!$J$2:$J$3000)+SUMIF(EXTRATO!$A$2:$A$3000,$A1857,EXTRATO!$K$2:$K$3000)+SUMIF(EXTRATO!$A$2:$A$3000,$A1857,EXTRATO!$L$2:$L$3000)+SUMIF(EXTRATO!$A$2:$A$3000,$A1857,EXTRATO!$M$2:$M$3000))</f>
        <v/>
      </c>
      <c r="G1857" s="81" t="str">
        <f>IF(A1857="","",IF(INDEX(EXTRATO!$G$2:$G$3000,MATCH($A1857,EXTRATO!$A$2:$A$3000,0))="","",INDEX(EXTRATO!$G$2:$G$3000,MATCH($A1857,EXTRATO!$A$2:$A$3000,0))))</f>
        <v/>
      </c>
      <c r="H1857" s="86" t="str">
        <f>IF(A1857="","",IF(INDEX(EXTRATO!$F$2:$F$3000,MATCH($A1857,EXTRATO!$A$2:$A$3000,0))="","",INDEX(EXTRATO!$F$2:$F$3000,MATCH($A1857,EXTRATO!$A$2:$A$3000,0))))</f>
        <v/>
      </c>
      <c r="I1857" s="88" t="str">
        <f>IF(A1857="","",IF(INDEX(EXTRATO!$H$2:$H$3000,MATCH($A1857,EXTRATO!$A$2:$A$3000,0))="","",INDEX(EXTRATO!$H$2:$H$3000,MATCH($A1857,EXTRATO!$A$2:$A$3000,0))))</f>
        <v/>
      </c>
      <c r="J1857" s="86" t="str">
        <f t="shared" si="45"/>
        <v/>
      </c>
      <c r="K1857" s="86" t="str">
        <f>IF(AND(A1857="",D1857="",E1857="",F1857=""),"",IF(D1857="","SEM CATEGORIA",IF(E1857="","SEM SUBCATEGORIA",IF(COUNTIFS(CADASTROS!$L$7:$L$93,D1857,CADASTROS!$D$7:$D$93,E1857)=0,"INCOMPATÍVEL","OK"))))</f>
        <v/>
      </c>
    </row>
    <row r="1858" spans="1:11" ht="30" hidden="1" customHeight="1" x14ac:dyDescent="0.25">
      <c r="A1858" s="86" t="str">
        <f>IF(COUNTIF(EXTRATO!$A$2:$A$3000,"BAN-01715")=0,"","BAN-01715")</f>
        <v/>
      </c>
      <c r="B1858" s="85" t="str">
        <f>IF(A1858="","",IF(INDEX(EXTRATO!$C$2:$C$3000,MATCH($A1858,EXTRATO!$A$2:$A$3000,0))="","",INDEX(EXTRATO!$C$2:$C$3000,MATCH($A1858,EXTRATO!$A$2:$A$3000,0))))</f>
        <v/>
      </c>
      <c r="C1858" s="86" t="str">
        <f t="shared" si="44"/>
        <v/>
      </c>
      <c r="D1858" s="81"/>
      <c r="E1858" s="79"/>
      <c r="F1858" s="80" t="str">
        <f>IF(A1858="","",SUMIF(EXTRATO!$A$2:$A$3000,$A1858,EXTRATO!$J$2:$J$3000)+SUMIF(EXTRATO!$A$2:$A$3000,$A1858,EXTRATO!$K$2:$K$3000)+SUMIF(EXTRATO!$A$2:$A$3000,$A1858,EXTRATO!$L$2:$L$3000)+SUMIF(EXTRATO!$A$2:$A$3000,$A1858,EXTRATO!$M$2:$M$3000))</f>
        <v/>
      </c>
      <c r="G1858" s="81" t="str">
        <f>IF(A1858="","",IF(INDEX(EXTRATO!$G$2:$G$3000,MATCH($A1858,EXTRATO!$A$2:$A$3000,0))="","",INDEX(EXTRATO!$G$2:$G$3000,MATCH($A1858,EXTRATO!$A$2:$A$3000,0))))</f>
        <v/>
      </c>
      <c r="H1858" s="86" t="str">
        <f>IF(A1858="","",IF(INDEX(EXTRATO!$F$2:$F$3000,MATCH($A1858,EXTRATO!$A$2:$A$3000,0))="","",INDEX(EXTRATO!$F$2:$F$3000,MATCH($A1858,EXTRATO!$A$2:$A$3000,0))))</f>
        <v/>
      </c>
      <c r="I1858" s="88" t="str">
        <f>IF(A1858="","",IF(INDEX(EXTRATO!$H$2:$H$3000,MATCH($A1858,EXTRATO!$A$2:$A$3000,0))="","",INDEX(EXTRATO!$H$2:$H$3000,MATCH($A1858,EXTRATO!$A$2:$A$3000,0))))</f>
        <v/>
      </c>
      <c r="J1858" s="86" t="str">
        <f t="shared" si="45"/>
        <v/>
      </c>
      <c r="K1858" s="86" t="str">
        <f>IF(AND(A1858="",D1858="",E1858="",F1858=""),"",IF(D1858="","SEM CATEGORIA",IF(E1858="","SEM SUBCATEGORIA",IF(COUNTIFS(CADASTROS!$L$7:$L$93,D1858,CADASTROS!$D$7:$D$93,E1858)=0,"INCOMPATÍVEL","OK"))))</f>
        <v/>
      </c>
    </row>
    <row r="1859" spans="1:11" ht="30" hidden="1" customHeight="1" x14ac:dyDescent="0.25">
      <c r="A1859" s="86" t="str">
        <f>IF(COUNTIF(EXTRATO!$A$2:$A$3000,"BAN-01716")=0,"","BAN-01716")</f>
        <v/>
      </c>
      <c r="B1859" s="85" t="str">
        <f>IF(A1859="","",IF(INDEX(EXTRATO!$C$2:$C$3000,MATCH($A1859,EXTRATO!$A$2:$A$3000,0))="","",INDEX(EXTRATO!$C$2:$C$3000,MATCH($A1859,EXTRATO!$A$2:$A$3000,0))))</f>
        <v/>
      </c>
      <c r="C1859" s="86" t="str">
        <f t="shared" si="44"/>
        <v/>
      </c>
      <c r="D1859" s="81"/>
      <c r="E1859" s="79"/>
      <c r="F1859" s="80" t="str">
        <f>IF(A1859="","",SUMIF(EXTRATO!$A$2:$A$3000,$A1859,EXTRATO!$J$2:$J$3000)+SUMIF(EXTRATO!$A$2:$A$3000,$A1859,EXTRATO!$K$2:$K$3000)+SUMIF(EXTRATO!$A$2:$A$3000,$A1859,EXTRATO!$L$2:$L$3000)+SUMIF(EXTRATO!$A$2:$A$3000,$A1859,EXTRATO!$M$2:$M$3000))</f>
        <v/>
      </c>
      <c r="G1859" s="81" t="str">
        <f>IF(A1859="","",IF(INDEX(EXTRATO!$G$2:$G$3000,MATCH($A1859,EXTRATO!$A$2:$A$3000,0))="","",INDEX(EXTRATO!$G$2:$G$3000,MATCH($A1859,EXTRATO!$A$2:$A$3000,0))))</f>
        <v/>
      </c>
      <c r="H1859" s="86" t="str">
        <f>IF(A1859="","",IF(INDEX(EXTRATO!$F$2:$F$3000,MATCH($A1859,EXTRATO!$A$2:$A$3000,0))="","",INDEX(EXTRATO!$F$2:$F$3000,MATCH($A1859,EXTRATO!$A$2:$A$3000,0))))</f>
        <v/>
      </c>
      <c r="I1859" s="88" t="str">
        <f>IF(A1859="","",IF(INDEX(EXTRATO!$H$2:$H$3000,MATCH($A1859,EXTRATO!$A$2:$A$3000,0))="","",INDEX(EXTRATO!$H$2:$H$3000,MATCH($A1859,EXTRATO!$A$2:$A$3000,0))))</f>
        <v/>
      </c>
      <c r="J1859" s="86" t="str">
        <f t="shared" si="45"/>
        <v/>
      </c>
      <c r="K1859" s="86" t="str">
        <f>IF(AND(A1859="",D1859="",E1859="",F1859=""),"",IF(D1859="","SEM CATEGORIA",IF(E1859="","SEM SUBCATEGORIA",IF(COUNTIFS(CADASTROS!$L$7:$L$93,D1859,CADASTROS!$D$7:$D$93,E1859)=0,"INCOMPATÍVEL","OK"))))</f>
        <v/>
      </c>
    </row>
    <row r="1860" spans="1:11" ht="30" hidden="1" customHeight="1" x14ac:dyDescent="0.25">
      <c r="A1860" s="86" t="str">
        <f>IF(COUNTIF(EXTRATO!$A$2:$A$3000,"BAN-01717")=0,"","BAN-01717")</f>
        <v/>
      </c>
      <c r="B1860" s="85" t="str">
        <f>IF(A1860="","",IF(INDEX(EXTRATO!$C$2:$C$3000,MATCH($A1860,EXTRATO!$A$2:$A$3000,0))="","",INDEX(EXTRATO!$C$2:$C$3000,MATCH($A1860,EXTRATO!$A$2:$A$3000,0))))</f>
        <v/>
      </c>
      <c r="C1860" s="86" t="str">
        <f t="shared" si="44"/>
        <v/>
      </c>
      <c r="D1860" s="81"/>
      <c r="E1860" s="79"/>
      <c r="F1860" s="80" t="str">
        <f>IF(A1860="","",SUMIF(EXTRATO!$A$2:$A$3000,$A1860,EXTRATO!$J$2:$J$3000)+SUMIF(EXTRATO!$A$2:$A$3000,$A1860,EXTRATO!$K$2:$K$3000)+SUMIF(EXTRATO!$A$2:$A$3000,$A1860,EXTRATO!$L$2:$L$3000)+SUMIF(EXTRATO!$A$2:$A$3000,$A1860,EXTRATO!$M$2:$M$3000))</f>
        <v/>
      </c>
      <c r="G1860" s="81" t="str">
        <f>IF(A1860="","",IF(INDEX(EXTRATO!$G$2:$G$3000,MATCH($A1860,EXTRATO!$A$2:$A$3000,0))="","",INDEX(EXTRATO!$G$2:$G$3000,MATCH($A1860,EXTRATO!$A$2:$A$3000,0))))</f>
        <v/>
      </c>
      <c r="H1860" s="86" t="str">
        <f>IF(A1860="","",IF(INDEX(EXTRATO!$F$2:$F$3000,MATCH($A1860,EXTRATO!$A$2:$A$3000,0))="","",INDEX(EXTRATO!$F$2:$F$3000,MATCH($A1860,EXTRATO!$A$2:$A$3000,0))))</f>
        <v/>
      </c>
      <c r="I1860" s="88" t="str">
        <f>IF(A1860="","",IF(INDEX(EXTRATO!$H$2:$H$3000,MATCH($A1860,EXTRATO!$A$2:$A$3000,0))="","",INDEX(EXTRATO!$H$2:$H$3000,MATCH($A1860,EXTRATO!$A$2:$A$3000,0))))</f>
        <v/>
      </c>
      <c r="J1860" s="86" t="str">
        <f t="shared" si="45"/>
        <v/>
      </c>
      <c r="K1860" s="86" t="str">
        <f>IF(AND(A1860="",D1860="",E1860="",F1860=""),"",IF(D1860="","SEM CATEGORIA",IF(E1860="","SEM SUBCATEGORIA",IF(COUNTIFS(CADASTROS!$L$7:$L$93,D1860,CADASTROS!$D$7:$D$93,E1860)=0,"INCOMPATÍVEL","OK"))))</f>
        <v/>
      </c>
    </row>
    <row r="1861" spans="1:11" ht="30" hidden="1" customHeight="1" x14ac:dyDescent="0.25">
      <c r="A1861" s="86" t="str">
        <f>IF(COUNTIF(EXTRATO!$A$2:$A$3000,"BAN-01718")=0,"","BAN-01718")</f>
        <v/>
      </c>
      <c r="B1861" s="85" t="str">
        <f>IF(A1861="","",IF(INDEX(EXTRATO!$C$2:$C$3000,MATCH($A1861,EXTRATO!$A$2:$A$3000,0))="","",INDEX(EXTRATO!$C$2:$C$3000,MATCH($A1861,EXTRATO!$A$2:$A$3000,0))))</f>
        <v/>
      </c>
      <c r="C1861" s="86" t="str">
        <f t="shared" si="44"/>
        <v/>
      </c>
      <c r="D1861" s="81"/>
      <c r="E1861" s="79"/>
      <c r="F1861" s="80" t="str">
        <f>IF(A1861="","",SUMIF(EXTRATO!$A$2:$A$3000,$A1861,EXTRATO!$J$2:$J$3000)+SUMIF(EXTRATO!$A$2:$A$3000,$A1861,EXTRATO!$K$2:$K$3000)+SUMIF(EXTRATO!$A$2:$A$3000,$A1861,EXTRATO!$L$2:$L$3000)+SUMIF(EXTRATO!$A$2:$A$3000,$A1861,EXTRATO!$M$2:$M$3000))</f>
        <v/>
      </c>
      <c r="G1861" s="81" t="str">
        <f>IF(A1861="","",IF(INDEX(EXTRATO!$G$2:$G$3000,MATCH($A1861,EXTRATO!$A$2:$A$3000,0))="","",INDEX(EXTRATO!$G$2:$G$3000,MATCH($A1861,EXTRATO!$A$2:$A$3000,0))))</f>
        <v/>
      </c>
      <c r="H1861" s="86" t="str">
        <f>IF(A1861="","",IF(INDEX(EXTRATO!$F$2:$F$3000,MATCH($A1861,EXTRATO!$A$2:$A$3000,0))="","",INDEX(EXTRATO!$F$2:$F$3000,MATCH($A1861,EXTRATO!$A$2:$A$3000,0))))</f>
        <v/>
      </c>
      <c r="I1861" s="88" t="str">
        <f>IF(A1861="","",IF(INDEX(EXTRATO!$H$2:$H$3000,MATCH($A1861,EXTRATO!$A$2:$A$3000,0))="","",INDEX(EXTRATO!$H$2:$H$3000,MATCH($A1861,EXTRATO!$A$2:$A$3000,0))))</f>
        <v/>
      </c>
      <c r="J1861" s="86" t="str">
        <f t="shared" si="45"/>
        <v/>
      </c>
      <c r="K1861" s="86" t="str">
        <f>IF(AND(A1861="",D1861="",E1861="",F1861=""),"",IF(D1861="","SEM CATEGORIA",IF(E1861="","SEM SUBCATEGORIA",IF(COUNTIFS(CADASTROS!$L$7:$L$93,D1861,CADASTROS!$D$7:$D$93,E1861)=0,"INCOMPATÍVEL","OK"))))</f>
        <v/>
      </c>
    </row>
    <row r="1862" spans="1:11" ht="30" hidden="1" customHeight="1" x14ac:dyDescent="0.25">
      <c r="A1862" s="86" t="str">
        <f>IF(COUNTIF(EXTRATO!$A$2:$A$3000,"BAN-01719")=0,"","BAN-01719")</f>
        <v/>
      </c>
      <c r="B1862" s="85" t="str">
        <f>IF(A1862="","",IF(INDEX(EXTRATO!$C$2:$C$3000,MATCH($A1862,EXTRATO!$A$2:$A$3000,0))="","",INDEX(EXTRATO!$C$2:$C$3000,MATCH($A1862,EXTRATO!$A$2:$A$3000,0))))</f>
        <v/>
      </c>
      <c r="C1862" s="86" t="str">
        <f t="shared" si="44"/>
        <v/>
      </c>
      <c r="D1862" s="81"/>
      <c r="E1862" s="79"/>
      <c r="F1862" s="80" t="str">
        <f>IF(A1862="","",SUMIF(EXTRATO!$A$2:$A$3000,$A1862,EXTRATO!$J$2:$J$3000)+SUMIF(EXTRATO!$A$2:$A$3000,$A1862,EXTRATO!$K$2:$K$3000)+SUMIF(EXTRATO!$A$2:$A$3000,$A1862,EXTRATO!$L$2:$L$3000)+SUMIF(EXTRATO!$A$2:$A$3000,$A1862,EXTRATO!$M$2:$M$3000))</f>
        <v/>
      </c>
      <c r="G1862" s="81" t="str">
        <f>IF(A1862="","",IF(INDEX(EXTRATO!$G$2:$G$3000,MATCH($A1862,EXTRATO!$A$2:$A$3000,0))="","",INDEX(EXTRATO!$G$2:$G$3000,MATCH($A1862,EXTRATO!$A$2:$A$3000,0))))</f>
        <v/>
      </c>
      <c r="H1862" s="86" t="str">
        <f>IF(A1862="","",IF(INDEX(EXTRATO!$F$2:$F$3000,MATCH($A1862,EXTRATO!$A$2:$A$3000,0))="","",INDEX(EXTRATO!$F$2:$F$3000,MATCH($A1862,EXTRATO!$A$2:$A$3000,0))))</f>
        <v/>
      </c>
      <c r="I1862" s="88" t="str">
        <f>IF(A1862="","",IF(INDEX(EXTRATO!$H$2:$H$3000,MATCH($A1862,EXTRATO!$A$2:$A$3000,0))="","",INDEX(EXTRATO!$H$2:$H$3000,MATCH($A1862,EXTRATO!$A$2:$A$3000,0))))</f>
        <v/>
      </c>
      <c r="J1862" s="86" t="str">
        <f t="shared" si="45"/>
        <v/>
      </c>
      <c r="K1862" s="86" t="str">
        <f>IF(AND(A1862="",D1862="",E1862="",F1862=""),"",IF(D1862="","SEM CATEGORIA",IF(E1862="","SEM SUBCATEGORIA",IF(COUNTIFS(CADASTROS!$L$7:$L$93,D1862,CADASTROS!$D$7:$D$93,E1862)=0,"INCOMPATÍVEL","OK"))))</f>
        <v/>
      </c>
    </row>
    <row r="1863" spans="1:11" ht="30" hidden="1" customHeight="1" x14ac:dyDescent="0.25">
      <c r="A1863" s="86" t="str">
        <f>IF(COUNTIF(EXTRATO!$A$2:$A$3000,"BAN-01720")=0,"","BAN-01720")</f>
        <v/>
      </c>
      <c r="B1863" s="85" t="str">
        <f>IF(A1863="","",IF(INDEX(EXTRATO!$C$2:$C$3000,MATCH($A1863,EXTRATO!$A$2:$A$3000,0))="","",INDEX(EXTRATO!$C$2:$C$3000,MATCH($A1863,EXTRATO!$A$2:$A$3000,0))))</f>
        <v/>
      </c>
      <c r="C1863" s="86" t="str">
        <f t="shared" si="44"/>
        <v/>
      </c>
      <c r="D1863" s="81"/>
      <c r="E1863" s="79"/>
      <c r="F1863" s="80" t="str">
        <f>IF(A1863="","",SUMIF(EXTRATO!$A$2:$A$3000,$A1863,EXTRATO!$J$2:$J$3000)+SUMIF(EXTRATO!$A$2:$A$3000,$A1863,EXTRATO!$K$2:$K$3000)+SUMIF(EXTRATO!$A$2:$A$3000,$A1863,EXTRATO!$L$2:$L$3000)+SUMIF(EXTRATO!$A$2:$A$3000,$A1863,EXTRATO!$M$2:$M$3000))</f>
        <v/>
      </c>
      <c r="G1863" s="81" t="str">
        <f>IF(A1863="","",IF(INDEX(EXTRATO!$G$2:$G$3000,MATCH($A1863,EXTRATO!$A$2:$A$3000,0))="","",INDEX(EXTRATO!$G$2:$G$3000,MATCH($A1863,EXTRATO!$A$2:$A$3000,0))))</f>
        <v/>
      </c>
      <c r="H1863" s="86" t="str">
        <f>IF(A1863="","",IF(INDEX(EXTRATO!$F$2:$F$3000,MATCH($A1863,EXTRATO!$A$2:$A$3000,0))="","",INDEX(EXTRATO!$F$2:$F$3000,MATCH($A1863,EXTRATO!$A$2:$A$3000,0))))</f>
        <v/>
      </c>
      <c r="I1863" s="88" t="str">
        <f>IF(A1863="","",IF(INDEX(EXTRATO!$H$2:$H$3000,MATCH($A1863,EXTRATO!$A$2:$A$3000,0))="","",INDEX(EXTRATO!$H$2:$H$3000,MATCH($A1863,EXTRATO!$A$2:$A$3000,0))))</f>
        <v/>
      </c>
      <c r="J1863" s="86" t="str">
        <f t="shared" si="45"/>
        <v/>
      </c>
      <c r="K1863" s="86" t="str">
        <f>IF(AND(A1863="",D1863="",E1863="",F1863=""),"",IF(D1863="","SEM CATEGORIA",IF(E1863="","SEM SUBCATEGORIA",IF(COUNTIFS(CADASTROS!$L$7:$L$93,D1863,CADASTROS!$D$7:$D$93,E1863)=0,"INCOMPATÍVEL","OK"))))</f>
        <v/>
      </c>
    </row>
    <row r="1864" spans="1:11" ht="30" hidden="1" customHeight="1" x14ac:dyDescent="0.25">
      <c r="A1864" s="86" t="str">
        <f>IF(COUNTIF(EXTRATO!$A$2:$A$3000,"BAN-01721")=0,"","BAN-01721")</f>
        <v/>
      </c>
      <c r="B1864" s="85" t="str">
        <f>IF(A1864="","",IF(INDEX(EXTRATO!$C$2:$C$3000,MATCH($A1864,EXTRATO!$A$2:$A$3000,0))="","",INDEX(EXTRATO!$C$2:$C$3000,MATCH($A1864,EXTRATO!$A$2:$A$3000,0))))</f>
        <v/>
      </c>
      <c r="C1864" s="86" t="str">
        <f t="shared" si="44"/>
        <v/>
      </c>
      <c r="D1864" s="81"/>
      <c r="E1864" s="79"/>
      <c r="F1864" s="80" t="str">
        <f>IF(A1864="","",SUMIF(EXTRATO!$A$2:$A$3000,$A1864,EXTRATO!$J$2:$J$3000)+SUMIF(EXTRATO!$A$2:$A$3000,$A1864,EXTRATO!$K$2:$K$3000)+SUMIF(EXTRATO!$A$2:$A$3000,$A1864,EXTRATO!$L$2:$L$3000)+SUMIF(EXTRATO!$A$2:$A$3000,$A1864,EXTRATO!$M$2:$M$3000))</f>
        <v/>
      </c>
      <c r="G1864" s="81" t="str">
        <f>IF(A1864="","",IF(INDEX(EXTRATO!$G$2:$G$3000,MATCH($A1864,EXTRATO!$A$2:$A$3000,0))="","",INDEX(EXTRATO!$G$2:$G$3000,MATCH($A1864,EXTRATO!$A$2:$A$3000,0))))</f>
        <v/>
      </c>
      <c r="H1864" s="86" t="str">
        <f>IF(A1864="","",IF(INDEX(EXTRATO!$F$2:$F$3000,MATCH($A1864,EXTRATO!$A$2:$A$3000,0))="","",INDEX(EXTRATO!$F$2:$F$3000,MATCH($A1864,EXTRATO!$A$2:$A$3000,0))))</f>
        <v/>
      </c>
      <c r="I1864" s="88" t="str">
        <f>IF(A1864="","",IF(INDEX(EXTRATO!$H$2:$H$3000,MATCH($A1864,EXTRATO!$A$2:$A$3000,0))="","",INDEX(EXTRATO!$H$2:$H$3000,MATCH($A1864,EXTRATO!$A$2:$A$3000,0))))</f>
        <v/>
      </c>
      <c r="J1864" s="86" t="str">
        <f t="shared" si="45"/>
        <v/>
      </c>
      <c r="K1864" s="86" t="str">
        <f>IF(AND(A1864="",D1864="",E1864="",F1864=""),"",IF(D1864="","SEM CATEGORIA",IF(E1864="","SEM SUBCATEGORIA",IF(COUNTIFS(CADASTROS!$L$7:$L$93,D1864,CADASTROS!$D$7:$D$93,E1864)=0,"INCOMPATÍVEL","OK"))))</f>
        <v/>
      </c>
    </row>
    <row r="1865" spans="1:11" ht="30" hidden="1" customHeight="1" x14ac:dyDescent="0.25">
      <c r="A1865" s="86" t="str">
        <f>IF(COUNTIF(EXTRATO!$A$2:$A$3000,"BAN-01722")=0,"","BAN-01722")</f>
        <v/>
      </c>
      <c r="B1865" s="85" t="str">
        <f>IF(A1865="","",IF(INDEX(EXTRATO!$C$2:$C$3000,MATCH($A1865,EXTRATO!$A$2:$A$3000,0))="","",INDEX(EXTRATO!$C$2:$C$3000,MATCH($A1865,EXTRATO!$A$2:$A$3000,0))))</f>
        <v/>
      </c>
      <c r="C1865" s="86" t="str">
        <f t="shared" si="44"/>
        <v/>
      </c>
      <c r="D1865" s="81"/>
      <c r="E1865" s="79"/>
      <c r="F1865" s="80" t="str">
        <f>IF(A1865="","",SUMIF(EXTRATO!$A$2:$A$3000,$A1865,EXTRATO!$J$2:$J$3000)+SUMIF(EXTRATO!$A$2:$A$3000,$A1865,EXTRATO!$K$2:$K$3000)+SUMIF(EXTRATO!$A$2:$A$3000,$A1865,EXTRATO!$L$2:$L$3000)+SUMIF(EXTRATO!$A$2:$A$3000,$A1865,EXTRATO!$M$2:$M$3000))</f>
        <v/>
      </c>
      <c r="G1865" s="81" t="str">
        <f>IF(A1865="","",IF(INDEX(EXTRATO!$G$2:$G$3000,MATCH($A1865,EXTRATO!$A$2:$A$3000,0))="","",INDEX(EXTRATO!$G$2:$G$3000,MATCH($A1865,EXTRATO!$A$2:$A$3000,0))))</f>
        <v/>
      </c>
      <c r="H1865" s="86" t="str">
        <f>IF(A1865="","",IF(INDEX(EXTRATO!$F$2:$F$3000,MATCH($A1865,EXTRATO!$A$2:$A$3000,0))="","",INDEX(EXTRATO!$F$2:$F$3000,MATCH($A1865,EXTRATO!$A$2:$A$3000,0))))</f>
        <v/>
      </c>
      <c r="I1865" s="88" t="str">
        <f>IF(A1865="","",IF(INDEX(EXTRATO!$H$2:$H$3000,MATCH($A1865,EXTRATO!$A$2:$A$3000,0))="","",INDEX(EXTRATO!$H$2:$H$3000,MATCH($A1865,EXTRATO!$A$2:$A$3000,0))))</f>
        <v/>
      </c>
      <c r="J1865" s="86" t="str">
        <f t="shared" si="45"/>
        <v/>
      </c>
      <c r="K1865" s="86" t="str">
        <f>IF(AND(A1865="",D1865="",E1865="",F1865=""),"",IF(D1865="","SEM CATEGORIA",IF(E1865="","SEM SUBCATEGORIA",IF(COUNTIFS(CADASTROS!$L$7:$L$93,D1865,CADASTROS!$D$7:$D$93,E1865)=0,"INCOMPATÍVEL","OK"))))</f>
        <v/>
      </c>
    </row>
    <row r="1866" spans="1:11" ht="30" hidden="1" customHeight="1" x14ac:dyDescent="0.25">
      <c r="A1866" s="86" t="str">
        <f>IF(COUNTIF(EXTRATO!$A$2:$A$3000,"BAN-01723")=0,"","BAN-01723")</f>
        <v/>
      </c>
      <c r="B1866" s="85" t="str">
        <f>IF(A1866="","",IF(INDEX(EXTRATO!$C$2:$C$3000,MATCH($A1866,EXTRATO!$A$2:$A$3000,0))="","",INDEX(EXTRATO!$C$2:$C$3000,MATCH($A1866,EXTRATO!$A$2:$A$3000,0))))</f>
        <v/>
      </c>
      <c r="C1866" s="86" t="str">
        <f t="shared" si="44"/>
        <v/>
      </c>
      <c r="D1866" s="81"/>
      <c r="E1866" s="79"/>
      <c r="F1866" s="80" t="str">
        <f>IF(A1866="","",SUMIF(EXTRATO!$A$2:$A$3000,$A1866,EXTRATO!$J$2:$J$3000)+SUMIF(EXTRATO!$A$2:$A$3000,$A1866,EXTRATO!$K$2:$K$3000)+SUMIF(EXTRATO!$A$2:$A$3000,$A1866,EXTRATO!$L$2:$L$3000)+SUMIF(EXTRATO!$A$2:$A$3000,$A1866,EXTRATO!$M$2:$M$3000))</f>
        <v/>
      </c>
      <c r="G1866" s="81" t="str">
        <f>IF(A1866="","",IF(INDEX(EXTRATO!$G$2:$G$3000,MATCH($A1866,EXTRATO!$A$2:$A$3000,0))="","",INDEX(EXTRATO!$G$2:$G$3000,MATCH($A1866,EXTRATO!$A$2:$A$3000,0))))</f>
        <v/>
      </c>
      <c r="H1866" s="86" t="str">
        <f>IF(A1866="","",IF(INDEX(EXTRATO!$F$2:$F$3000,MATCH($A1866,EXTRATO!$A$2:$A$3000,0))="","",INDEX(EXTRATO!$F$2:$F$3000,MATCH($A1866,EXTRATO!$A$2:$A$3000,0))))</f>
        <v/>
      </c>
      <c r="I1866" s="88" t="str">
        <f>IF(A1866="","",IF(INDEX(EXTRATO!$H$2:$H$3000,MATCH($A1866,EXTRATO!$A$2:$A$3000,0))="","",INDEX(EXTRATO!$H$2:$H$3000,MATCH($A1866,EXTRATO!$A$2:$A$3000,0))))</f>
        <v/>
      </c>
      <c r="J1866" s="86" t="str">
        <f t="shared" si="45"/>
        <v/>
      </c>
      <c r="K1866" s="86" t="str">
        <f>IF(AND(A1866="",D1866="",E1866="",F1866=""),"",IF(D1866="","SEM CATEGORIA",IF(E1866="","SEM SUBCATEGORIA",IF(COUNTIFS(CADASTROS!$L$7:$L$93,D1866,CADASTROS!$D$7:$D$93,E1866)=0,"INCOMPATÍVEL","OK"))))</f>
        <v/>
      </c>
    </row>
    <row r="1867" spans="1:11" ht="30" hidden="1" customHeight="1" x14ac:dyDescent="0.25">
      <c r="A1867" s="86" t="str">
        <f>IF(COUNTIF(EXTRATO!$A$2:$A$3000,"BAN-01724")=0,"","BAN-01724")</f>
        <v/>
      </c>
      <c r="B1867" s="85" t="str">
        <f>IF(A1867="","",IF(INDEX(EXTRATO!$C$2:$C$3000,MATCH($A1867,EXTRATO!$A$2:$A$3000,0))="","",INDEX(EXTRATO!$C$2:$C$3000,MATCH($A1867,EXTRATO!$A$2:$A$3000,0))))</f>
        <v/>
      </c>
      <c r="C1867" s="86" t="str">
        <f t="shared" si="44"/>
        <v/>
      </c>
      <c r="D1867" s="81"/>
      <c r="E1867" s="79"/>
      <c r="F1867" s="80" t="str">
        <f>IF(A1867="","",SUMIF(EXTRATO!$A$2:$A$3000,$A1867,EXTRATO!$J$2:$J$3000)+SUMIF(EXTRATO!$A$2:$A$3000,$A1867,EXTRATO!$K$2:$K$3000)+SUMIF(EXTRATO!$A$2:$A$3000,$A1867,EXTRATO!$L$2:$L$3000)+SUMIF(EXTRATO!$A$2:$A$3000,$A1867,EXTRATO!$M$2:$M$3000))</f>
        <v/>
      </c>
      <c r="G1867" s="81" t="str">
        <f>IF(A1867="","",IF(INDEX(EXTRATO!$G$2:$G$3000,MATCH($A1867,EXTRATO!$A$2:$A$3000,0))="","",INDEX(EXTRATO!$G$2:$G$3000,MATCH($A1867,EXTRATO!$A$2:$A$3000,0))))</f>
        <v/>
      </c>
      <c r="H1867" s="86" t="str">
        <f>IF(A1867="","",IF(INDEX(EXTRATO!$F$2:$F$3000,MATCH($A1867,EXTRATO!$A$2:$A$3000,0))="","",INDEX(EXTRATO!$F$2:$F$3000,MATCH($A1867,EXTRATO!$A$2:$A$3000,0))))</f>
        <v/>
      </c>
      <c r="I1867" s="88" t="str">
        <f>IF(A1867="","",IF(INDEX(EXTRATO!$H$2:$H$3000,MATCH($A1867,EXTRATO!$A$2:$A$3000,0))="","",INDEX(EXTRATO!$H$2:$H$3000,MATCH($A1867,EXTRATO!$A$2:$A$3000,0))))</f>
        <v/>
      </c>
      <c r="J1867" s="86" t="str">
        <f t="shared" si="45"/>
        <v/>
      </c>
      <c r="K1867" s="86" t="str">
        <f>IF(AND(A1867="",D1867="",E1867="",F1867=""),"",IF(D1867="","SEM CATEGORIA",IF(E1867="","SEM SUBCATEGORIA",IF(COUNTIFS(CADASTROS!$L$7:$L$93,D1867,CADASTROS!$D$7:$D$93,E1867)=0,"INCOMPATÍVEL","OK"))))</f>
        <v/>
      </c>
    </row>
    <row r="1868" spans="1:11" ht="30" hidden="1" customHeight="1" x14ac:dyDescent="0.25">
      <c r="A1868" s="86" t="str">
        <f>IF(COUNTIF(EXTRATO!$A$2:$A$3000,"BAN-01725")=0,"","BAN-01725")</f>
        <v/>
      </c>
      <c r="B1868" s="85" t="str">
        <f>IF(A1868="","",IF(INDEX(EXTRATO!$C$2:$C$3000,MATCH($A1868,EXTRATO!$A$2:$A$3000,0))="","",INDEX(EXTRATO!$C$2:$C$3000,MATCH($A1868,EXTRATO!$A$2:$A$3000,0))))</f>
        <v/>
      </c>
      <c r="C1868" s="86" t="str">
        <f t="shared" si="44"/>
        <v/>
      </c>
      <c r="D1868" s="81"/>
      <c r="E1868" s="79"/>
      <c r="F1868" s="80" t="str">
        <f>IF(A1868="","",SUMIF(EXTRATO!$A$2:$A$3000,$A1868,EXTRATO!$J$2:$J$3000)+SUMIF(EXTRATO!$A$2:$A$3000,$A1868,EXTRATO!$K$2:$K$3000)+SUMIF(EXTRATO!$A$2:$A$3000,$A1868,EXTRATO!$L$2:$L$3000)+SUMIF(EXTRATO!$A$2:$A$3000,$A1868,EXTRATO!$M$2:$M$3000))</f>
        <v/>
      </c>
      <c r="G1868" s="81" t="str">
        <f>IF(A1868="","",IF(INDEX(EXTRATO!$G$2:$G$3000,MATCH($A1868,EXTRATO!$A$2:$A$3000,0))="","",INDEX(EXTRATO!$G$2:$G$3000,MATCH($A1868,EXTRATO!$A$2:$A$3000,0))))</f>
        <v/>
      </c>
      <c r="H1868" s="86" t="str">
        <f>IF(A1868="","",IF(INDEX(EXTRATO!$F$2:$F$3000,MATCH($A1868,EXTRATO!$A$2:$A$3000,0))="","",INDEX(EXTRATO!$F$2:$F$3000,MATCH($A1868,EXTRATO!$A$2:$A$3000,0))))</f>
        <v/>
      </c>
      <c r="I1868" s="88" t="str">
        <f>IF(A1868="","",IF(INDEX(EXTRATO!$H$2:$H$3000,MATCH($A1868,EXTRATO!$A$2:$A$3000,0))="","",INDEX(EXTRATO!$H$2:$H$3000,MATCH($A1868,EXTRATO!$A$2:$A$3000,0))))</f>
        <v/>
      </c>
      <c r="J1868" s="86" t="str">
        <f t="shared" si="45"/>
        <v/>
      </c>
      <c r="K1868" s="86" t="str">
        <f>IF(AND(A1868="",D1868="",E1868="",F1868=""),"",IF(D1868="","SEM CATEGORIA",IF(E1868="","SEM SUBCATEGORIA",IF(COUNTIFS(CADASTROS!$L$7:$L$93,D1868,CADASTROS!$D$7:$D$93,E1868)=0,"INCOMPATÍVEL","OK"))))</f>
        <v/>
      </c>
    </row>
    <row r="1869" spans="1:11" ht="30" hidden="1" customHeight="1" x14ac:dyDescent="0.25">
      <c r="A1869" s="86" t="str">
        <f>IF(COUNTIF(EXTRATO!$A$2:$A$3000,"BAN-01726")=0,"","BAN-01726")</f>
        <v/>
      </c>
      <c r="B1869" s="85" t="str">
        <f>IF(A1869="","",IF(INDEX(EXTRATO!$C$2:$C$3000,MATCH($A1869,EXTRATO!$A$2:$A$3000,0))="","",INDEX(EXTRATO!$C$2:$C$3000,MATCH($A1869,EXTRATO!$A$2:$A$3000,0))))</f>
        <v/>
      </c>
      <c r="C1869" s="86" t="str">
        <f t="shared" si="44"/>
        <v/>
      </c>
      <c r="D1869" s="81"/>
      <c r="E1869" s="79"/>
      <c r="F1869" s="80" t="str">
        <f>IF(A1869="","",SUMIF(EXTRATO!$A$2:$A$3000,$A1869,EXTRATO!$J$2:$J$3000)+SUMIF(EXTRATO!$A$2:$A$3000,$A1869,EXTRATO!$K$2:$K$3000)+SUMIF(EXTRATO!$A$2:$A$3000,$A1869,EXTRATO!$L$2:$L$3000)+SUMIF(EXTRATO!$A$2:$A$3000,$A1869,EXTRATO!$M$2:$M$3000))</f>
        <v/>
      </c>
      <c r="G1869" s="81" t="str">
        <f>IF(A1869="","",IF(INDEX(EXTRATO!$G$2:$G$3000,MATCH($A1869,EXTRATO!$A$2:$A$3000,0))="","",INDEX(EXTRATO!$G$2:$G$3000,MATCH($A1869,EXTRATO!$A$2:$A$3000,0))))</f>
        <v/>
      </c>
      <c r="H1869" s="86" t="str">
        <f>IF(A1869="","",IF(INDEX(EXTRATO!$F$2:$F$3000,MATCH($A1869,EXTRATO!$A$2:$A$3000,0))="","",INDEX(EXTRATO!$F$2:$F$3000,MATCH($A1869,EXTRATO!$A$2:$A$3000,0))))</f>
        <v/>
      </c>
      <c r="I1869" s="88" t="str">
        <f>IF(A1869="","",IF(INDEX(EXTRATO!$H$2:$H$3000,MATCH($A1869,EXTRATO!$A$2:$A$3000,0))="","",INDEX(EXTRATO!$H$2:$H$3000,MATCH($A1869,EXTRATO!$A$2:$A$3000,0))))</f>
        <v/>
      </c>
      <c r="J1869" s="86" t="str">
        <f t="shared" si="45"/>
        <v/>
      </c>
      <c r="K1869" s="86" t="str">
        <f>IF(AND(A1869="",D1869="",E1869="",F1869=""),"",IF(D1869="","SEM CATEGORIA",IF(E1869="","SEM SUBCATEGORIA",IF(COUNTIFS(CADASTROS!$L$7:$L$93,D1869,CADASTROS!$D$7:$D$93,E1869)=0,"INCOMPATÍVEL","OK"))))</f>
        <v/>
      </c>
    </row>
    <row r="1870" spans="1:11" ht="30" hidden="1" customHeight="1" x14ac:dyDescent="0.25">
      <c r="A1870" s="86" t="str">
        <f>IF(COUNTIF(EXTRATO!$A$2:$A$3000,"BAN-01727")=0,"","BAN-01727")</f>
        <v/>
      </c>
      <c r="B1870" s="85" t="str">
        <f>IF(A1870="","",IF(INDEX(EXTRATO!$C$2:$C$3000,MATCH($A1870,EXTRATO!$A$2:$A$3000,0))="","",INDEX(EXTRATO!$C$2:$C$3000,MATCH($A1870,EXTRATO!$A$2:$A$3000,0))))</f>
        <v/>
      </c>
      <c r="C1870" s="86" t="str">
        <f t="shared" si="44"/>
        <v/>
      </c>
      <c r="D1870" s="81"/>
      <c r="E1870" s="79"/>
      <c r="F1870" s="80" t="str">
        <f>IF(A1870="","",SUMIF(EXTRATO!$A$2:$A$3000,$A1870,EXTRATO!$J$2:$J$3000)+SUMIF(EXTRATO!$A$2:$A$3000,$A1870,EXTRATO!$K$2:$K$3000)+SUMIF(EXTRATO!$A$2:$A$3000,$A1870,EXTRATO!$L$2:$L$3000)+SUMIF(EXTRATO!$A$2:$A$3000,$A1870,EXTRATO!$M$2:$M$3000))</f>
        <v/>
      </c>
      <c r="G1870" s="81" t="str">
        <f>IF(A1870="","",IF(INDEX(EXTRATO!$G$2:$G$3000,MATCH($A1870,EXTRATO!$A$2:$A$3000,0))="","",INDEX(EXTRATO!$G$2:$G$3000,MATCH($A1870,EXTRATO!$A$2:$A$3000,0))))</f>
        <v/>
      </c>
      <c r="H1870" s="86" t="str">
        <f>IF(A1870="","",IF(INDEX(EXTRATO!$F$2:$F$3000,MATCH($A1870,EXTRATO!$A$2:$A$3000,0))="","",INDEX(EXTRATO!$F$2:$F$3000,MATCH($A1870,EXTRATO!$A$2:$A$3000,0))))</f>
        <v/>
      </c>
      <c r="I1870" s="88" t="str">
        <f>IF(A1870="","",IF(INDEX(EXTRATO!$H$2:$H$3000,MATCH($A1870,EXTRATO!$A$2:$A$3000,0))="","",INDEX(EXTRATO!$H$2:$H$3000,MATCH($A1870,EXTRATO!$A$2:$A$3000,0))))</f>
        <v/>
      </c>
      <c r="J1870" s="86" t="str">
        <f t="shared" si="45"/>
        <v/>
      </c>
      <c r="K1870" s="86" t="str">
        <f>IF(AND(A1870="",D1870="",E1870="",F1870=""),"",IF(D1870="","SEM CATEGORIA",IF(E1870="","SEM SUBCATEGORIA",IF(COUNTIFS(CADASTROS!$L$7:$L$93,D1870,CADASTROS!$D$7:$D$93,E1870)=0,"INCOMPATÍVEL","OK"))))</f>
        <v/>
      </c>
    </row>
    <row r="1871" spans="1:11" ht="30" hidden="1" customHeight="1" x14ac:dyDescent="0.25">
      <c r="A1871" s="86" t="str">
        <f>IF(COUNTIF(EXTRATO!$A$2:$A$3000,"BAN-01728")=0,"","BAN-01728")</f>
        <v/>
      </c>
      <c r="B1871" s="85" t="str">
        <f>IF(A1871="","",IF(INDEX(EXTRATO!$C$2:$C$3000,MATCH($A1871,EXTRATO!$A$2:$A$3000,0))="","",INDEX(EXTRATO!$C$2:$C$3000,MATCH($A1871,EXTRATO!$A$2:$A$3000,0))))</f>
        <v/>
      </c>
      <c r="C1871" s="86" t="str">
        <f t="shared" si="44"/>
        <v/>
      </c>
      <c r="D1871" s="81"/>
      <c r="E1871" s="79"/>
      <c r="F1871" s="80" t="str">
        <f>IF(A1871="","",SUMIF(EXTRATO!$A$2:$A$3000,$A1871,EXTRATO!$J$2:$J$3000)+SUMIF(EXTRATO!$A$2:$A$3000,$A1871,EXTRATO!$K$2:$K$3000)+SUMIF(EXTRATO!$A$2:$A$3000,$A1871,EXTRATO!$L$2:$L$3000)+SUMIF(EXTRATO!$A$2:$A$3000,$A1871,EXTRATO!$M$2:$M$3000))</f>
        <v/>
      </c>
      <c r="G1871" s="81" t="str">
        <f>IF(A1871="","",IF(INDEX(EXTRATO!$G$2:$G$3000,MATCH($A1871,EXTRATO!$A$2:$A$3000,0))="","",INDEX(EXTRATO!$G$2:$G$3000,MATCH($A1871,EXTRATO!$A$2:$A$3000,0))))</f>
        <v/>
      </c>
      <c r="H1871" s="86" t="str">
        <f>IF(A1871="","",IF(INDEX(EXTRATO!$F$2:$F$3000,MATCH($A1871,EXTRATO!$A$2:$A$3000,0))="","",INDEX(EXTRATO!$F$2:$F$3000,MATCH($A1871,EXTRATO!$A$2:$A$3000,0))))</f>
        <v/>
      </c>
      <c r="I1871" s="88" t="str">
        <f>IF(A1871="","",IF(INDEX(EXTRATO!$H$2:$H$3000,MATCH($A1871,EXTRATO!$A$2:$A$3000,0))="","",INDEX(EXTRATO!$H$2:$H$3000,MATCH($A1871,EXTRATO!$A$2:$A$3000,0))))</f>
        <v/>
      </c>
      <c r="J1871" s="86" t="str">
        <f t="shared" si="45"/>
        <v/>
      </c>
      <c r="K1871" s="86" t="str">
        <f>IF(AND(A1871="",D1871="",E1871="",F1871=""),"",IF(D1871="","SEM CATEGORIA",IF(E1871="","SEM SUBCATEGORIA",IF(COUNTIFS(CADASTROS!$L$7:$L$93,D1871,CADASTROS!$D$7:$D$93,E1871)=0,"INCOMPATÍVEL","OK"))))</f>
        <v/>
      </c>
    </row>
    <row r="1872" spans="1:11" ht="30" hidden="1" customHeight="1" x14ac:dyDescent="0.25">
      <c r="A1872" s="86" t="str">
        <f>IF(COUNTIF(EXTRATO!$A$2:$A$3000,"BAN-01729")=0,"","BAN-01729")</f>
        <v/>
      </c>
      <c r="B1872" s="85" t="str">
        <f>IF(A1872="","",IF(INDEX(EXTRATO!$C$2:$C$3000,MATCH($A1872,EXTRATO!$A$2:$A$3000,0))="","",INDEX(EXTRATO!$C$2:$C$3000,MATCH($A1872,EXTRATO!$A$2:$A$3000,0))))</f>
        <v/>
      </c>
      <c r="C1872" s="86" t="str">
        <f t="shared" si="44"/>
        <v/>
      </c>
      <c r="D1872" s="81"/>
      <c r="E1872" s="79"/>
      <c r="F1872" s="80" t="str">
        <f>IF(A1872="","",SUMIF(EXTRATO!$A$2:$A$3000,$A1872,EXTRATO!$J$2:$J$3000)+SUMIF(EXTRATO!$A$2:$A$3000,$A1872,EXTRATO!$K$2:$K$3000)+SUMIF(EXTRATO!$A$2:$A$3000,$A1872,EXTRATO!$L$2:$L$3000)+SUMIF(EXTRATO!$A$2:$A$3000,$A1872,EXTRATO!$M$2:$M$3000))</f>
        <v/>
      </c>
      <c r="G1872" s="81" t="str">
        <f>IF(A1872="","",IF(INDEX(EXTRATO!$G$2:$G$3000,MATCH($A1872,EXTRATO!$A$2:$A$3000,0))="","",INDEX(EXTRATO!$G$2:$G$3000,MATCH($A1872,EXTRATO!$A$2:$A$3000,0))))</f>
        <v/>
      </c>
      <c r="H1872" s="86" t="str">
        <f>IF(A1872="","",IF(INDEX(EXTRATO!$F$2:$F$3000,MATCH($A1872,EXTRATO!$A$2:$A$3000,0))="","",INDEX(EXTRATO!$F$2:$F$3000,MATCH($A1872,EXTRATO!$A$2:$A$3000,0))))</f>
        <v/>
      </c>
      <c r="I1872" s="88" t="str">
        <f>IF(A1872="","",IF(INDEX(EXTRATO!$H$2:$H$3000,MATCH($A1872,EXTRATO!$A$2:$A$3000,0))="","",INDEX(EXTRATO!$H$2:$H$3000,MATCH($A1872,EXTRATO!$A$2:$A$3000,0))))</f>
        <v/>
      </c>
      <c r="J1872" s="86" t="str">
        <f t="shared" si="45"/>
        <v/>
      </c>
      <c r="K1872" s="86" t="str">
        <f>IF(AND(A1872="",D1872="",E1872="",F1872=""),"",IF(D1872="","SEM CATEGORIA",IF(E1872="","SEM SUBCATEGORIA",IF(COUNTIFS(CADASTROS!$L$7:$L$93,D1872,CADASTROS!$D$7:$D$93,E1872)=0,"INCOMPATÍVEL","OK"))))</f>
        <v/>
      </c>
    </row>
    <row r="1873" spans="1:11" ht="30" hidden="1" customHeight="1" x14ac:dyDescent="0.25">
      <c r="A1873" s="86" t="str">
        <f>IF(COUNTIF(EXTRATO!$A$2:$A$3000,"BAN-01730")=0,"","BAN-01730")</f>
        <v/>
      </c>
      <c r="B1873" s="85" t="str">
        <f>IF(A1873="","",IF(INDEX(EXTRATO!$C$2:$C$3000,MATCH($A1873,EXTRATO!$A$2:$A$3000,0))="","",INDEX(EXTRATO!$C$2:$C$3000,MATCH($A1873,EXTRATO!$A$2:$A$3000,0))))</f>
        <v/>
      </c>
      <c r="C1873" s="86" t="str">
        <f t="shared" si="44"/>
        <v/>
      </c>
      <c r="D1873" s="81"/>
      <c r="E1873" s="79"/>
      <c r="F1873" s="80" t="str">
        <f>IF(A1873="","",SUMIF(EXTRATO!$A$2:$A$3000,$A1873,EXTRATO!$J$2:$J$3000)+SUMIF(EXTRATO!$A$2:$A$3000,$A1873,EXTRATO!$K$2:$K$3000)+SUMIF(EXTRATO!$A$2:$A$3000,$A1873,EXTRATO!$L$2:$L$3000)+SUMIF(EXTRATO!$A$2:$A$3000,$A1873,EXTRATO!$M$2:$M$3000))</f>
        <v/>
      </c>
      <c r="G1873" s="81" t="str">
        <f>IF(A1873="","",IF(INDEX(EXTRATO!$G$2:$G$3000,MATCH($A1873,EXTRATO!$A$2:$A$3000,0))="","",INDEX(EXTRATO!$G$2:$G$3000,MATCH($A1873,EXTRATO!$A$2:$A$3000,0))))</f>
        <v/>
      </c>
      <c r="H1873" s="86" t="str">
        <f>IF(A1873="","",IF(INDEX(EXTRATO!$F$2:$F$3000,MATCH($A1873,EXTRATO!$A$2:$A$3000,0))="","",INDEX(EXTRATO!$F$2:$F$3000,MATCH($A1873,EXTRATO!$A$2:$A$3000,0))))</f>
        <v/>
      </c>
      <c r="I1873" s="88" t="str">
        <f>IF(A1873="","",IF(INDEX(EXTRATO!$H$2:$H$3000,MATCH($A1873,EXTRATO!$A$2:$A$3000,0))="","",INDEX(EXTRATO!$H$2:$H$3000,MATCH($A1873,EXTRATO!$A$2:$A$3000,0))))</f>
        <v/>
      </c>
      <c r="J1873" s="86" t="str">
        <f t="shared" si="45"/>
        <v/>
      </c>
      <c r="K1873" s="86" t="str">
        <f>IF(AND(A1873="",D1873="",E1873="",F1873=""),"",IF(D1873="","SEM CATEGORIA",IF(E1873="","SEM SUBCATEGORIA",IF(COUNTIFS(CADASTROS!$L$7:$L$93,D1873,CADASTROS!$D$7:$D$93,E1873)=0,"INCOMPATÍVEL","OK"))))</f>
        <v/>
      </c>
    </row>
    <row r="1874" spans="1:11" ht="30" hidden="1" customHeight="1" x14ac:dyDescent="0.25">
      <c r="A1874" s="86" t="str">
        <f>IF(COUNTIF(EXTRATO!$A$2:$A$3000,"BAN-01731")=0,"","BAN-01731")</f>
        <v/>
      </c>
      <c r="B1874" s="85" t="str">
        <f>IF(A1874="","",IF(INDEX(EXTRATO!$C$2:$C$3000,MATCH($A1874,EXTRATO!$A$2:$A$3000,0))="","",INDEX(EXTRATO!$C$2:$C$3000,MATCH($A1874,EXTRATO!$A$2:$A$3000,0))))</f>
        <v/>
      </c>
      <c r="C1874" s="86" t="str">
        <f t="shared" si="44"/>
        <v/>
      </c>
      <c r="D1874" s="81"/>
      <c r="E1874" s="79"/>
      <c r="F1874" s="80" t="str">
        <f>IF(A1874="","",SUMIF(EXTRATO!$A$2:$A$3000,$A1874,EXTRATO!$J$2:$J$3000)+SUMIF(EXTRATO!$A$2:$A$3000,$A1874,EXTRATO!$K$2:$K$3000)+SUMIF(EXTRATO!$A$2:$A$3000,$A1874,EXTRATO!$L$2:$L$3000)+SUMIF(EXTRATO!$A$2:$A$3000,$A1874,EXTRATO!$M$2:$M$3000))</f>
        <v/>
      </c>
      <c r="G1874" s="81" t="str">
        <f>IF(A1874="","",IF(INDEX(EXTRATO!$G$2:$G$3000,MATCH($A1874,EXTRATO!$A$2:$A$3000,0))="","",INDEX(EXTRATO!$G$2:$G$3000,MATCH($A1874,EXTRATO!$A$2:$A$3000,0))))</f>
        <v/>
      </c>
      <c r="H1874" s="86" t="str">
        <f>IF(A1874="","",IF(INDEX(EXTRATO!$F$2:$F$3000,MATCH($A1874,EXTRATO!$A$2:$A$3000,0))="","",INDEX(EXTRATO!$F$2:$F$3000,MATCH($A1874,EXTRATO!$A$2:$A$3000,0))))</f>
        <v/>
      </c>
      <c r="I1874" s="88" t="str">
        <f>IF(A1874="","",IF(INDEX(EXTRATO!$H$2:$H$3000,MATCH($A1874,EXTRATO!$A$2:$A$3000,0))="","",INDEX(EXTRATO!$H$2:$H$3000,MATCH($A1874,EXTRATO!$A$2:$A$3000,0))))</f>
        <v/>
      </c>
      <c r="J1874" s="86" t="str">
        <f t="shared" si="45"/>
        <v/>
      </c>
      <c r="K1874" s="86" t="str">
        <f>IF(AND(A1874="",D1874="",E1874="",F1874=""),"",IF(D1874="","SEM CATEGORIA",IF(E1874="","SEM SUBCATEGORIA",IF(COUNTIFS(CADASTROS!$L$7:$L$93,D1874,CADASTROS!$D$7:$D$93,E1874)=0,"INCOMPATÍVEL","OK"))))</f>
        <v/>
      </c>
    </row>
    <row r="1875" spans="1:11" ht="30" hidden="1" customHeight="1" x14ac:dyDescent="0.25">
      <c r="A1875" s="86" t="str">
        <f>IF(COUNTIF(EXTRATO!$A$2:$A$3000,"BAN-01732")=0,"","BAN-01732")</f>
        <v/>
      </c>
      <c r="B1875" s="85" t="str">
        <f>IF(A1875="","",IF(INDEX(EXTRATO!$C$2:$C$3000,MATCH($A1875,EXTRATO!$A$2:$A$3000,0))="","",INDEX(EXTRATO!$C$2:$C$3000,MATCH($A1875,EXTRATO!$A$2:$A$3000,0))))</f>
        <v/>
      </c>
      <c r="C1875" s="86" t="str">
        <f t="shared" si="44"/>
        <v/>
      </c>
      <c r="D1875" s="81"/>
      <c r="E1875" s="79"/>
      <c r="F1875" s="80" t="str">
        <f>IF(A1875="","",SUMIF(EXTRATO!$A$2:$A$3000,$A1875,EXTRATO!$J$2:$J$3000)+SUMIF(EXTRATO!$A$2:$A$3000,$A1875,EXTRATO!$K$2:$K$3000)+SUMIF(EXTRATO!$A$2:$A$3000,$A1875,EXTRATO!$L$2:$L$3000)+SUMIF(EXTRATO!$A$2:$A$3000,$A1875,EXTRATO!$M$2:$M$3000))</f>
        <v/>
      </c>
      <c r="G1875" s="81" t="str">
        <f>IF(A1875="","",IF(INDEX(EXTRATO!$G$2:$G$3000,MATCH($A1875,EXTRATO!$A$2:$A$3000,0))="","",INDEX(EXTRATO!$G$2:$G$3000,MATCH($A1875,EXTRATO!$A$2:$A$3000,0))))</f>
        <v/>
      </c>
      <c r="H1875" s="86" t="str">
        <f>IF(A1875="","",IF(INDEX(EXTRATO!$F$2:$F$3000,MATCH($A1875,EXTRATO!$A$2:$A$3000,0))="","",INDEX(EXTRATO!$F$2:$F$3000,MATCH($A1875,EXTRATO!$A$2:$A$3000,0))))</f>
        <v/>
      </c>
      <c r="I1875" s="88" t="str">
        <f>IF(A1875="","",IF(INDEX(EXTRATO!$H$2:$H$3000,MATCH($A1875,EXTRATO!$A$2:$A$3000,0))="","",INDEX(EXTRATO!$H$2:$H$3000,MATCH($A1875,EXTRATO!$A$2:$A$3000,0))))</f>
        <v/>
      </c>
      <c r="J1875" s="86" t="str">
        <f t="shared" si="45"/>
        <v/>
      </c>
      <c r="K1875" s="86" t="str">
        <f>IF(AND(A1875="",D1875="",E1875="",F1875=""),"",IF(D1875="","SEM CATEGORIA",IF(E1875="","SEM SUBCATEGORIA",IF(COUNTIFS(CADASTROS!$L$7:$L$93,D1875,CADASTROS!$D$7:$D$93,E1875)=0,"INCOMPATÍVEL","OK"))))</f>
        <v/>
      </c>
    </row>
    <row r="1876" spans="1:11" ht="30" hidden="1" customHeight="1" x14ac:dyDescent="0.25">
      <c r="A1876" s="86" t="str">
        <f>IF(COUNTIF(EXTRATO!$A$2:$A$3000,"BAN-01733")=0,"","BAN-01733")</f>
        <v/>
      </c>
      <c r="B1876" s="85" t="str">
        <f>IF(A1876="","",IF(INDEX(EXTRATO!$C$2:$C$3000,MATCH($A1876,EXTRATO!$A$2:$A$3000,0))="","",INDEX(EXTRATO!$C$2:$C$3000,MATCH($A1876,EXTRATO!$A$2:$A$3000,0))))</f>
        <v/>
      </c>
      <c r="C1876" s="86" t="str">
        <f t="shared" si="44"/>
        <v/>
      </c>
      <c r="D1876" s="81"/>
      <c r="E1876" s="79"/>
      <c r="F1876" s="80" t="str">
        <f>IF(A1876="","",SUMIF(EXTRATO!$A$2:$A$3000,$A1876,EXTRATO!$J$2:$J$3000)+SUMIF(EXTRATO!$A$2:$A$3000,$A1876,EXTRATO!$K$2:$K$3000)+SUMIF(EXTRATO!$A$2:$A$3000,$A1876,EXTRATO!$L$2:$L$3000)+SUMIF(EXTRATO!$A$2:$A$3000,$A1876,EXTRATO!$M$2:$M$3000))</f>
        <v/>
      </c>
      <c r="G1876" s="81" t="str">
        <f>IF(A1876="","",IF(INDEX(EXTRATO!$G$2:$G$3000,MATCH($A1876,EXTRATO!$A$2:$A$3000,0))="","",INDEX(EXTRATO!$G$2:$G$3000,MATCH($A1876,EXTRATO!$A$2:$A$3000,0))))</f>
        <v/>
      </c>
      <c r="H1876" s="86" t="str">
        <f>IF(A1876="","",IF(INDEX(EXTRATO!$F$2:$F$3000,MATCH($A1876,EXTRATO!$A$2:$A$3000,0))="","",INDEX(EXTRATO!$F$2:$F$3000,MATCH($A1876,EXTRATO!$A$2:$A$3000,0))))</f>
        <v/>
      </c>
      <c r="I1876" s="88" t="str">
        <f>IF(A1876="","",IF(INDEX(EXTRATO!$H$2:$H$3000,MATCH($A1876,EXTRATO!$A$2:$A$3000,0))="","",INDEX(EXTRATO!$H$2:$H$3000,MATCH($A1876,EXTRATO!$A$2:$A$3000,0))))</f>
        <v/>
      </c>
      <c r="J1876" s="86" t="str">
        <f t="shared" si="45"/>
        <v/>
      </c>
      <c r="K1876" s="86" t="str">
        <f>IF(AND(A1876="",D1876="",E1876="",F1876=""),"",IF(D1876="","SEM CATEGORIA",IF(E1876="","SEM SUBCATEGORIA",IF(COUNTIFS(CADASTROS!$L$7:$L$93,D1876,CADASTROS!$D$7:$D$93,E1876)=0,"INCOMPATÍVEL","OK"))))</f>
        <v/>
      </c>
    </row>
    <row r="1877" spans="1:11" ht="30" hidden="1" customHeight="1" x14ac:dyDescent="0.25">
      <c r="A1877" s="86" t="str">
        <f>IF(COUNTIF(EXTRATO!$A$2:$A$3000,"BAN-01734")=0,"","BAN-01734")</f>
        <v/>
      </c>
      <c r="B1877" s="85" t="str">
        <f>IF(A1877="","",IF(INDEX(EXTRATO!$C$2:$C$3000,MATCH($A1877,EXTRATO!$A$2:$A$3000,0))="","",INDEX(EXTRATO!$C$2:$C$3000,MATCH($A1877,EXTRATO!$A$2:$A$3000,0))))</f>
        <v/>
      </c>
      <c r="C1877" s="86" t="str">
        <f t="shared" ref="C1877:C1940" si="46">IF(B1877="","",MONTH(B1877))</f>
        <v/>
      </c>
      <c r="D1877" s="81"/>
      <c r="E1877" s="79"/>
      <c r="F1877" s="80" t="str">
        <f>IF(A1877="","",SUMIF(EXTRATO!$A$2:$A$3000,$A1877,EXTRATO!$J$2:$J$3000)+SUMIF(EXTRATO!$A$2:$A$3000,$A1877,EXTRATO!$K$2:$K$3000)+SUMIF(EXTRATO!$A$2:$A$3000,$A1877,EXTRATO!$L$2:$L$3000)+SUMIF(EXTRATO!$A$2:$A$3000,$A1877,EXTRATO!$M$2:$M$3000))</f>
        <v/>
      </c>
      <c r="G1877" s="81" t="str">
        <f>IF(A1877="","",IF(INDEX(EXTRATO!$G$2:$G$3000,MATCH($A1877,EXTRATO!$A$2:$A$3000,0))="","",INDEX(EXTRATO!$G$2:$G$3000,MATCH($A1877,EXTRATO!$A$2:$A$3000,0))))</f>
        <v/>
      </c>
      <c r="H1877" s="86" t="str">
        <f>IF(A1877="","",IF(INDEX(EXTRATO!$F$2:$F$3000,MATCH($A1877,EXTRATO!$A$2:$A$3000,0))="","",INDEX(EXTRATO!$F$2:$F$3000,MATCH($A1877,EXTRATO!$A$2:$A$3000,0))))</f>
        <v/>
      </c>
      <c r="I1877" s="88" t="str">
        <f>IF(A1877="","",IF(INDEX(EXTRATO!$H$2:$H$3000,MATCH($A1877,EXTRATO!$A$2:$A$3000,0))="","",INDEX(EXTRATO!$H$2:$H$3000,MATCH($A1877,EXTRATO!$A$2:$A$3000,0))))</f>
        <v/>
      </c>
      <c r="J1877" s="86" t="str">
        <f t="shared" si="45"/>
        <v/>
      </c>
      <c r="K1877" s="86" t="str">
        <f>IF(AND(A1877="",D1877="",E1877="",F1877=""),"",IF(D1877="","SEM CATEGORIA",IF(E1877="","SEM SUBCATEGORIA",IF(COUNTIFS(CADASTROS!$L$7:$L$93,D1877,CADASTROS!$D$7:$D$93,E1877)=0,"INCOMPATÍVEL","OK"))))</f>
        <v/>
      </c>
    </row>
    <row r="1878" spans="1:11" ht="30" hidden="1" customHeight="1" x14ac:dyDescent="0.25">
      <c r="A1878" s="86" t="str">
        <f>IF(COUNTIF(EXTRATO!$A$2:$A$3000,"BAN-01735")=0,"","BAN-01735")</f>
        <v/>
      </c>
      <c r="B1878" s="85" t="str">
        <f>IF(A1878="","",IF(INDEX(EXTRATO!$C$2:$C$3000,MATCH($A1878,EXTRATO!$A$2:$A$3000,0))="","",INDEX(EXTRATO!$C$2:$C$3000,MATCH($A1878,EXTRATO!$A$2:$A$3000,0))))</f>
        <v/>
      </c>
      <c r="C1878" s="86" t="str">
        <f t="shared" si="46"/>
        <v/>
      </c>
      <c r="D1878" s="81"/>
      <c r="E1878" s="79"/>
      <c r="F1878" s="80" t="str">
        <f>IF(A1878="","",SUMIF(EXTRATO!$A$2:$A$3000,$A1878,EXTRATO!$J$2:$J$3000)+SUMIF(EXTRATO!$A$2:$A$3000,$A1878,EXTRATO!$K$2:$K$3000)+SUMIF(EXTRATO!$A$2:$A$3000,$A1878,EXTRATO!$L$2:$L$3000)+SUMIF(EXTRATO!$A$2:$A$3000,$A1878,EXTRATO!$M$2:$M$3000))</f>
        <v/>
      </c>
      <c r="G1878" s="81" t="str">
        <f>IF(A1878="","",IF(INDEX(EXTRATO!$G$2:$G$3000,MATCH($A1878,EXTRATO!$A$2:$A$3000,0))="","",INDEX(EXTRATO!$G$2:$G$3000,MATCH($A1878,EXTRATO!$A$2:$A$3000,0))))</f>
        <v/>
      </c>
      <c r="H1878" s="86" t="str">
        <f>IF(A1878="","",IF(INDEX(EXTRATO!$F$2:$F$3000,MATCH($A1878,EXTRATO!$A$2:$A$3000,0))="","",INDEX(EXTRATO!$F$2:$F$3000,MATCH($A1878,EXTRATO!$A$2:$A$3000,0))))</f>
        <v/>
      </c>
      <c r="I1878" s="88" t="str">
        <f>IF(A1878="","",IF(INDEX(EXTRATO!$H$2:$H$3000,MATCH($A1878,EXTRATO!$A$2:$A$3000,0))="","",INDEX(EXTRATO!$H$2:$H$3000,MATCH($A1878,EXTRATO!$A$2:$A$3000,0))))</f>
        <v/>
      </c>
      <c r="J1878" s="86" t="str">
        <f t="shared" si="45"/>
        <v/>
      </c>
      <c r="K1878" s="86" t="str">
        <f>IF(AND(A1878="",D1878="",E1878="",F1878=""),"",IF(D1878="","SEM CATEGORIA",IF(E1878="","SEM SUBCATEGORIA",IF(COUNTIFS(CADASTROS!$L$7:$L$93,D1878,CADASTROS!$D$7:$D$93,E1878)=0,"INCOMPATÍVEL","OK"))))</f>
        <v/>
      </c>
    </row>
    <row r="1879" spans="1:11" ht="30" hidden="1" customHeight="1" x14ac:dyDescent="0.25">
      <c r="A1879" s="86" t="str">
        <f>IF(COUNTIF(EXTRATO!$A$2:$A$3000,"BAN-01736")=0,"","BAN-01736")</f>
        <v/>
      </c>
      <c r="B1879" s="85" t="str">
        <f>IF(A1879="","",IF(INDEX(EXTRATO!$C$2:$C$3000,MATCH($A1879,EXTRATO!$A$2:$A$3000,0))="","",INDEX(EXTRATO!$C$2:$C$3000,MATCH($A1879,EXTRATO!$A$2:$A$3000,0))))</f>
        <v/>
      </c>
      <c r="C1879" s="86" t="str">
        <f t="shared" si="46"/>
        <v/>
      </c>
      <c r="D1879" s="81"/>
      <c r="E1879" s="79"/>
      <c r="F1879" s="80" t="str">
        <f>IF(A1879="","",SUMIF(EXTRATO!$A$2:$A$3000,$A1879,EXTRATO!$J$2:$J$3000)+SUMIF(EXTRATO!$A$2:$A$3000,$A1879,EXTRATO!$K$2:$K$3000)+SUMIF(EXTRATO!$A$2:$A$3000,$A1879,EXTRATO!$L$2:$L$3000)+SUMIF(EXTRATO!$A$2:$A$3000,$A1879,EXTRATO!$M$2:$M$3000))</f>
        <v/>
      </c>
      <c r="G1879" s="81" t="str">
        <f>IF(A1879="","",IF(INDEX(EXTRATO!$G$2:$G$3000,MATCH($A1879,EXTRATO!$A$2:$A$3000,0))="","",INDEX(EXTRATO!$G$2:$G$3000,MATCH($A1879,EXTRATO!$A$2:$A$3000,0))))</f>
        <v/>
      </c>
      <c r="H1879" s="86" t="str">
        <f>IF(A1879="","",IF(INDEX(EXTRATO!$F$2:$F$3000,MATCH($A1879,EXTRATO!$A$2:$A$3000,0))="","",INDEX(EXTRATO!$F$2:$F$3000,MATCH($A1879,EXTRATO!$A$2:$A$3000,0))))</f>
        <v/>
      </c>
      <c r="I1879" s="88" t="str">
        <f>IF(A1879="","",IF(INDEX(EXTRATO!$H$2:$H$3000,MATCH($A1879,EXTRATO!$A$2:$A$3000,0))="","",INDEX(EXTRATO!$H$2:$H$3000,MATCH($A1879,EXTRATO!$A$2:$A$3000,0))))</f>
        <v/>
      </c>
      <c r="J1879" s="86" t="str">
        <f t="shared" si="45"/>
        <v/>
      </c>
      <c r="K1879" s="86" t="str">
        <f>IF(AND(A1879="",D1879="",E1879="",F1879=""),"",IF(D1879="","SEM CATEGORIA",IF(E1879="","SEM SUBCATEGORIA",IF(COUNTIFS(CADASTROS!$L$7:$L$93,D1879,CADASTROS!$D$7:$D$93,E1879)=0,"INCOMPATÍVEL","OK"))))</f>
        <v/>
      </c>
    </row>
    <row r="1880" spans="1:11" ht="30" hidden="1" customHeight="1" x14ac:dyDescent="0.25">
      <c r="A1880" s="86" t="str">
        <f>IF(COUNTIF(EXTRATO!$A$2:$A$3000,"BAN-01737")=0,"","BAN-01737")</f>
        <v/>
      </c>
      <c r="B1880" s="85" t="str">
        <f>IF(A1880="","",IF(INDEX(EXTRATO!$C$2:$C$3000,MATCH($A1880,EXTRATO!$A$2:$A$3000,0))="","",INDEX(EXTRATO!$C$2:$C$3000,MATCH($A1880,EXTRATO!$A$2:$A$3000,0))))</f>
        <v/>
      </c>
      <c r="C1880" s="86" t="str">
        <f t="shared" si="46"/>
        <v/>
      </c>
      <c r="D1880" s="81"/>
      <c r="E1880" s="79"/>
      <c r="F1880" s="80" t="str">
        <f>IF(A1880="","",SUMIF(EXTRATO!$A$2:$A$3000,$A1880,EXTRATO!$J$2:$J$3000)+SUMIF(EXTRATO!$A$2:$A$3000,$A1880,EXTRATO!$K$2:$K$3000)+SUMIF(EXTRATO!$A$2:$A$3000,$A1880,EXTRATO!$L$2:$L$3000)+SUMIF(EXTRATO!$A$2:$A$3000,$A1880,EXTRATO!$M$2:$M$3000))</f>
        <v/>
      </c>
      <c r="G1880" s="81" t="str">
        <f>IF(A1880="","",IF(INDEX(EXTRATO!$G$2:$G$3000,MATCH($A1880,EXTRATO!$A$2:$A$3000,0))="","",INDEX(EXTRATO!$G$2:$G$3000,MATCH($A1880,EXTRATO!$A$2:$A$3000,0))))</f>
        <v/>
      </c>
      <c r="H1880" s="86" t="str">
        <f>IF(A1880="","",IF(INDEX(EXTRATO!$F$2:$F$3000,MATCH($A1880,EXTRATO!$A$2:$A$3000,0))="","",INDEX(EXTRATO!$F$2:$F$3000,MATCH($A1880,EXTRATO!$A$2:$A$3000,0))))</f>
        <v/>
      </c>
      <c r="I1880" s="88" t="str">
        <f>IF(A1880="","",IF(INDEX(EXTRATO!$H$2:$H$3000,MATCH($A1880,EXTRATO!$A$2:$A$3000,0))="","",INDEX(EXTRATO!$H$2:$H$3000,MATCH($A1880,EXTRATO!$A$2:$A$3000,0))))</f>
        <v/>
      </c>
      <c r="J1880" s="86" t="str">
        <f t="shared" si="45"/>
        <v/>
      </c>
      <c r="K1880" s="86" t="str">
        <f>IF(AND(A1880="",D1880="",E1880="",F1880=""),"",IF(D1880="","SEM CATEGORIA",IF(E1880="","SEM SUBCATEGORIA",IF(COUNTIFS(CADASTROS!$L$7:$L$93,D1880,CADASTROS!$D$7:$D$93,E1880)=0,"INCOMPATÍVEL","OK"))))</f>
        <v/>
      </c>
    </row>
    <row r="1881" spans="1:11" ht="30" hidden="1" customHeight="1" x14ac:dyDescent="0.25">
      <c r="A1881" s="86" t="str">
        <f>IF(COUNTIF(EXTRATO!$A$2:$A$3000,"BAN-01738")=0,"","BAN-01738")</f>
        <v/>
      </c>
      <c r="B1881" s="85" t="str">
        <f>IF(A1881="","",IF(INDEX(EXTRATO!$C$2:$C$3000,MATCH($A1881,EXTRATO!$A$2:$A$3000,0))="","",INDEX(EXTRATO!$C$2:$C$3000,MATCH($A1881,EXTRATO!$A$2:$A$3000,0))))</f>
        <v/>
      </c>
      <c r="C1881" s="86" t="str">
        <f t="shared" si="46"/>
        <v/>
      </c>
      <c r="D1881" s="81"/>
      <c r="E1881" s="79"/>
      <c r="F1881" s="80" t="str">
        <f>IF(A1881="","",SUMIF(EXTRATO!$A$2:$A$3000,$A1881,EXTRATO!$J$2:$J$3000)+SUMIF(EXTRATO!$A$2:$A$3000,$A1881,EXTRATO!$K$2:$K$3000)+SUMIF(EXTRATO!$A$2:$A$3000,$A1881,EXTRATO!$L$2:$L$3000)+SUMIF(EXTRATO!$A$2:$A$3000,$A1881,EXTRATO!$M$2:$M$3000))</f>
        <v/>
      </c>
      <c r="G1881" s="81" t="str">
        <f>IF(A1881="","",IF(INDEX(EXTRATO!$G$2:$G$3000,MATCH($A1881,EXTRATO!$A$2:$A$3000,0))="","",INDEX(EXTRATO!$G$2:$G$3000,MATCH($A1881,EXTRATO!$A$2:$A$3000,0))))</f>
        <v/>
      </c>
      <c r="H1881" s="86" t="str">
        <f>IF(A1881="","",IF(INDEX(EXTRATO!$F$2:$F$3000,MATCH($A1881,EXTRATO!$A$2:$A$3000,0))="","",INDEX(EXTRATO!$F$2:$F$3000,MATCH($A1881,EXTRATO!$A$2:$A$3000,0))))</f>
        <v/>
      </c>
      <c r="I1881" s="88" t="str">
        <f>IF(A1881="","",IF(INDEX(EXTRATO!$H$2:$H$3000,MATCH($A1881,EXTRATO!$A$2:$A$3000,0))="","",INDEX(EXTRATO!$H$2:$H$3000,MATCH($A1881,EXTRATO!$A$2:$A$3000,0))))</f>
        <v/>
      </c>
      <c r="J1881" s="86" t="str">
        <f t="shared" si="45"/>
        <v/>
      </c>
      <c r="K1881" s="86" t="str">
        <f>IF(AND(A1881="",D1881="",E1881="",F1881=""),"",IF(D1881="","SEM CATEGORIA",IF(E1881="","SEM SUBCATEGORIA",IF(COUNTIFS(CADASTROS!$L$7:$L$93,D1881,CADASTROS!$D$7:$D$93,E1881)=0,"INCOMPATÍVEL","OK"))))</f>
        <v/>
      </c>
    </row>
    <row r="1882" spans="1:11" ht="30" hidden="1" customHeight="1" x14ac:dyDescent="0.25">
      <c r="A1882" s="86" t="str">
        <f>IF(COUNTIF(EXTRATO!$A$2:$A$3000,"BAN-01739")=0,"","BAN-01739")</f>
        <v/>
      </c>
      <c r="B1882" s="85" t="str">
        <f>IF(A1882="","",IF(INDEX(EXTRATO!$C$2:$C$3000,MATCH($A1882,EXTRATO!$A$2:$A$3000,0))="","",INDEX(EXTRATO!$C$2:$C$3000,MATCH($A1882,EXTRATO!$A$2:$A$3000,0))))</f>
        <v/>
      </c>
      <c r="C1882" s="86" t="str">
        <f t="shared" si="46"/>
        <v/>
      </c>
      <c r="D1882" s="81"/>
      <c r="E1882" s="79"/>
      <c r="F1882" s="80" t="str">
        <f>IF(A1882="","",SUMIF(EXTRATO!$A$2:$A$3000,$A1882,EXTRATO!$J$2:$J$3000)+SUMIF(EXTRATO!$A$2:$A$3000,$A1882,EXTRATO!$K$2:$K$3000)+SUMIF(EXTRATO!$A$2:$A$3000,$A1882,EXTRATO!$L$2:$L$3000)+SUMIF(EXTRATO!$A$2:$A$3000,$A1882,EXTRATO!$M$2:$M$3000))</f>
        <v/>
      </c>
      <c r="G1882" s="81" t="str">
        <f>IF(A1882="","",IF(INDEX(EXTRATO!$G$2:$G$3000,MATCH($A1882,EXTRATO!$A$2:$A$3000,0))="","",INDEX(EXTRATO!$G$2:$G$3000,MATCH($A1882,EXTRATO!$A$2:$A$3000,0))))</f>
        <v/>
      </c>
      <c r="H1882" s="86" t="str">
        <f>IF(A1882="","",IF(INDEX(EXTRATO!$F$2:$F$3000,MATCH($A1882,EXTRATO!$A$2:$A$3000,0))="","",INDEX(EXTRATO!$F$2:$F$3000,MATCH($A1882,EXTRATO!$A$2:$A$3000,0))))</f>
        <v/>
      </c>
      <c r="I1882" s="88" t="str">
        <f>IF(A1882="","",IF(INDEX(EXTRATO!$H$2:$H$3000,MATCH($A1882,EXTRATO!$A$2:$A$3000,0))="","",INDEX(EXTRATO!$H$2:$H$3000,MATCH($A1882,EXTRATO!$A$2:$A$3000,0))))</f>
        <v/>
      </c>
      <c r="J1882" s="86" t="str">
        <f t="shared" si="45"/>
        <v/>
      </c>
      <c r="K1882" s="86" t="str">
        <f>IF(AND(A1882="",D1882="",E1882="",F1882=""),"",IF(D1882="","SEM CATEGORIA",IF(E1882="","SEM SUBCATEGORIA",IF(COUNTIFS(CADASTROS!$L$7:$L$93,D1882,CADASTROS!$D$7:$D$93,E1882)=0,"INCOMPATÍVEL","OK"))))</f>
        <v/>
      </c>
    </row>
    <row r="1883" spans="1:11" ht="30" hidden="1" customHeight="1" x14ac:dyDescent="0.25">
      <c r="A1883" s="86" t="str">
        <f>IF(COUNTIF(EXTRATO!$A$2:$A$3000,"BAN-01740")=0,"","BAN-01740")</f>
        <v/>
      </c>
      <c r="B1883" s="85" t="str">
        <f>IF(A1883="","",IF(INDEX(EXTRATO!$C$2:$C$3000,MATCH($A1883,EXTRATO!$A$2:$A$3000,0))="","",INDEX(EXTRATO!$C$2:$C$3000,MATCH($A1883,EXTRATO!$A$2:$A$3000,0))))</f>
        <v/>
      </c>
      <c r="C1883" s="86" t="str">
        <f t="shared" si="46"/>
        <v/>
      </c>
      <c r="D1883" s="81"/>
      <c r="E1883" s="79"/>
      <c r="F1883" s="80" t="str">
        <f>IF(A1883="","",SUMIF(EXTRATO!$A$2:$A$3000,$A1883,EXTRATO!$J$2:$J$3000)+SUMIF(EXTRATO!$A$2:$A$3000,$A1883,EXTRATO!$K$2:$K$3000)+SUMIF(EXTRATO!$A$2:$A$3000,$A1883,EXTRATO!$L$2:$L$3000)+SUMIF(EXTRATO!$A$2:$A$3000,$A1883,EXTRATO!$M$2:$M$3000))</f>
        <v/>
      </c>
      <c r="G1883" s="81" t="str">
        <f>IF(A1883="","",IF(INDEX(EXTRATO!$G$2:$G$3000,MATCH($A1883,EXTRATO!$A$2:$A$3000,0))="","",INDEX(EXTRATO!$G$2:$G$3000,MATCH($A1883,EXTRATO!$A$2:$A$3000,0))))</f>
        <v/>
      </c>
      <c r="H1883" s="86" t="str">
        <f>IF(A1883="","",IF(INDEX(EXTRATO!$F$2:$F$3000,MATCH($A1883,EXTRATO!$A$2:$A$3000,0))="","",INDEX(EXTRATO!$F$2:$F$3000,MATCH($A1883,EXTRATO!$A$2:$A$3000,0))))</f>
        <v/>
      </c>
      <c r="I1883" s="88" t="str">
        <f>IF(A1883="","",IF(INDEX(EXTRATO!$H$2:$H$3000,MATCH($A1883,EXTRATO!$A$2:$A$3000,0))="","",INDEX(EXTRATO!$H$2:$H$3000,MATCH($A1883,EXTRATO!$A$2:$A$3000,0))))</f>
        <v/>
      </c>
      <c r="J1883" s="86" t="str">
        <f t="shared" si="45"/>
        <v/>
      </c>
      <c r="K1883" s="86" t="str">
        <f>IF(AND(A1883="",D1883="",E1883="",F1883=""),"",IF(D1883="","SEM CATEGORIA",IF(E1883="","SEM SUBCATEGORIA",IF(COUNTIFS(CADASTROS!$L$7:$L$93,D1883,CADASTROS!$D$7:$D$93,E1883)=0,"INCOMPATÍVEL","OK"))))</f>
        <v/>
      </c>
    </row>
    <row r="1884" spans="1:11" ht="30" hidden="1" customHeight="1" x14ac:dyDescent="0.25">
      <c r="A1884" s="86" t="str">
        <f>IF(COUNTIF(EXTRATO!$A$2:$A$3000,"BAN-01741")=0,"","BAN-01741")</f>
        <v/>
      </c>
      <c r="B1884" s="85" t="str">
        <f>IF(A1884="","",IF(INDEX(EXTRATO!$C$2:$C$3000,MATCH($A1884,EXTRATO!$A$2:$A$3000,0))="","",INDEX(EXTRATO!$C$2:$C$3000,MATCH($A1884,EXTRATO!$A$2:$A$3000,0))))</f>
        <v/>
      </c>
      <c r="C1884" s="86" t="str">
        <f t="shared" si="46"/>
        <v/>
      </c>
      <c r="D1884" s="81"/>
      <c r="E1884" s="79"/>
      <c r="F1884" s="80" t="str">
        <f>IF(A1884="","",SUMIF(EXTRATO!$A$2:$A$3000,$A1884,EXTRATO!$J$2:$J$3000)+SUMIF(EXTRATO!$A$2:$A$3000,$A1884,EXTRATO!$K$2:$K$3000)+SUMIF(EXTRATO!$A$2:$A$3000,$A1884,EXTRATO!$L$2:$L$3000)+SUMIF(EXTRATO!$A$2:$A$3000,$A1884,EXTRATO!$M$2:$M$3000))</f>
        <v/>
      </c>
      <c r="G1884" s="81" t="str">
        <f>IF(A1884="","",IF(INDEX(EXTRATO!$G$2:$G$3000,MATCH($A1884,EXTRATO!$A$2:$A$3000,0))="","",INDEX(EXTRATO!$G$2:$G$3000,MATCH($A1884,EXTRATO!$A$2:$A$3000,0))))</f>
        <v/>
      </c>
      <c r="H1884" s="86" t="str">
        <f>IF(A1884="","",IF(INDEX(EXTRATO!$F$2:$F$3000,MATCH($A1884,EXTRATO!$A$2:$A$3000,0))="","",INDEX(EXTRATO!$F$2:$F$3000,MATCH($A1884,EXTRATO!$A$2:$A$3000,0))))</f>
        <v/>
      </c>
      <c r="I1884" s="88" t="str">
        <f>IF(A1884="","",IF(INDEX(EXTRATO!$H$2:$H$3000,MATCH($A1884,EXTRATO!$A$2:$A$3000,0))="","",INDEX(EXTRATO!$H$2:$H$3000,MATCH($A1884,EXTRATO!$A$2:$A$3000,0))))</f>
        <v/>
      </c>
      <c r="J1884" s="86" t="str">
        <f t="shared" si="45"/>
        <v/>
      </c>
      <c r="K1884" s="86" t="str">
        <f>IF(AND(A1884="",D1884="",E1884="",F1884=""),"",IF(D1884="","SEM CATEGORIA",IF(E1884="","SEM SUBCATEGORIA",IF(COUNTIFS(CADASTROS!$L$7:$L$93,D1884,CADASTROS!$D$7:$D$93,E1884)=0,"INCOMPATÍVEL","OK"))))</f>
        <v/>
      </c>
    </row>
    <row r="1885" spans="1:11" ht="30" hidden="1" customHeight="1" x14ac:dyDescent="0.25">
      <c r="A1885" s="86" t="str">
        <f>IF(COUNTIF(EXTRATO!$A$2:$A$3000,"BAN-01742")=0,"","BAN-01742")</f>
        <v/>
      </c>
      <c r="B1885" s="85" t="str">
        <f>IF(A1885="","",IF(INDEX(EXTRATO!$C$2:$C$3000,MATCH($A1885,EXTRATO!$A$2:$A$3000,0))="","",INDEX(EXTRATO!$C$2:$C$3000,MATCH($A1885,EXTRATO!$A$2:$A$3000,0))))</f>
        <v/>
      </c>
      <c r="C1885" s="86" t="str">
        <f t="shared" si="46"/>
        <v/>
      </c>
      <c r="D1885" s="81"/>
      <c r="E1885" s="79"/>
      <c r="F1885" s="80" t="str">
        <f>IF(A1885="","",SUMIF(EXTRATO!$A$2:$A$3000,$A1885,EXTRATO!$J$2:$J$3000)+SUMIF(EXTRATO!$A$2:$A$3000,$A1885,EXTRATO!$K$2:$K$3000)+SUMIF(EXTRATO!$A$2:$A$3000,$A1885,EXTRATO!$L$2:$L$3000)+SUMIF(EXTRATO!$A$2:$A$3000,$A1885,EXTRATO!$M$2:$M$3000))</f>
        <v/>
      </c>
      <c r="G1885" s="81" t="str">
        <f>IF(A1885="","",IF(INDEX(EXTRATO!$G$2:$G$3000,MATCH($A1885,EXTRATO!$A$2:$A$3000,0))="","",INDEX(EXTRATO!$G$2:$G$3000,MATCH($A1885,EXTRATO!$A$2:$A$3000,0))))</f>
        <v/>
      </c>
      <c r="H1885" s="86" t="str">
        <f>IF(A1885="","",IF(INDEX(EXTRATO!$F$2:$F$3000,MATCH($A1885,EXTRATO!$A$2:$A$3000,0))="","",INDEX(EXTRATO!$F$2:$F$3000,MATCH($A1885,EXTRATO!$A$2:$A$3000,0))))</f>
        <v/>
      </c>
      <c r="I1885" s="88" t="str">
        <f>IF(A1885="","",IF(INDEX(EXTRATO!$H$2:$H$3000,MATCH($A1885,EXTRATO!$A$2:$A$3000,0))="","",INDEX(EXTRATO!$H$2:$H$3000,MATCH($A1885,EXTRATO!$A$2:$A$3000,0))))</f>
        <v/>
      </c>
      <c r="J1885" s="86" t="str">
        <f t="shared" si="45"/>
        <v/>
      </c>
      <c r="K1885" s="86" t="str">
        <f>IF(AND(A1885="",D1885="",E1885="",F1885=""),"",IF(D1885="","SEM CATEGORIA",IF(E1885="","SEM SUBCATEGORIA",IF(COUNTIFS(CADASTROS!$L$7:$L$93,D1885,CADASTROS!$D$7:$D$93,E1885)=0,"INCOMPATÍVEL","OK"))))</f>
        <v/>
      </c>
    </row>
    <row r="1886" spans="1:11" ht="30" hidden="1" customHeight="1" x14ac:dyDescent="0.25">
      <c r="A1886" s="86" t="str">
        <f>IF(COUNTIF(EXTRATO!$A$2:$A$3000,"BAN-01743")=0,"","BAN-01743")</f>
        <v/>
      </c>
      <c r="B1886" s="85" t="str">
        <f>IF(A1886="","",IF(INDEX(EXTRATO!$C$2:$C$3000,MATCH($A1886,EXTRATO!$A$2:$A$3000,0))="","",INDEX(EXTRATO!$C$2:$C$3000,MATCH($A1886,EXTRATO!$A$2:$A$3000,0))))</f>
        <v/>
      </c>
      <c r="C1886" s="86" t="str">
        <f t="shared" si="46"/>
        <v/>
      </c>
      <c r="D1886" s="81"/>
      <c r="E1886" s="79"/>
      <c r="F1886" s="80" t="str">
        <f>IF(A1886="","",SUMIF(EXTRATO!$A$2:$A$3000,$A1886,EXTRATO!$J$2:$J$3000)+SUMIF(EXTRATO!$A$2:$A$3000,$A1886,EXTRATO!$K$2:$K$3000)+SUMIF(EXTRATO!$A$2:$A$3000,$A1886,EXTRATO!$L$2:$L$3000)+SUMIF(EXTRATO!$A$2:$A$3000,$A1886,EXTRATO!$M$2:$M$3000))</f>
        <v/>
      </c>
      <c r="G1886" s="81" t="str">
        <f>IF(A1886="","",IF(INDEX(EXTRATO!$G$2:$G$3000,MATCH($A1886,EXTRATO!$A$2:$A$3000,0))="","",INDEX(EXTRATO!$G$2:$G$3000,MATCH($A1886,EXTRATO!$A$2:$A$3000,0))))</f>
        <v/>
      </c>
      <c r="H1886" s="86" t="str">
        <f>IF(A1886="","",IF(INDEX(EXTRATO!$F$2:$F$3000,MATCH($A1886,EXTRATO!$A$2:$A$3000,0))="","",INDEX(EXTRATO!$F$2:$F$3000,MATCH($A1886,EXTRATO!$A$2:$A$3000,0))))</f>
        <v/>
      </c>
      <c r="I1886" s="88" t="str">
        <f>IF(A1886="","",IF(INDEX(EXTRATO!$H$2:$H$3000,MATCH($A1886,EXTRATO!$A$2:$A$3000,0))="","",INDEX(EXTRATO!$H$2:$H$3000,MATCH($A1886,EXTRATO!$A$2:$A$3000,0))))</f>
        <v/>
      </c>
      <c r="J1886" s="86" t="str">
        <f t="shared" si="45"/>
        <v/>
      </c>
      <c r="K1886" s="86" t="str">
        <f>IF(AND(A1886="",D1886="",E1886="",F1886=""),"",IF(D1886="","SEM CATEGORIA",IF(E1886="","SEM SUBCATEGORIA",IF(COUNTIFS(CADASTROS!$L$7:$L$93,D1886,CADASTROS!$D$7:$D$93,E1886)=0,"INCOMPATÍVEL","OK"))))</f>
        <v/>
      </c>
    </row>
    <row r="1887" spans="1:11" ht="30" hidden="1" customHeight="1" x14ac:dyDescent="0.25">
      <c r="A1887" s="86" t="str">
        <f>IF(COUNTIF(EXTRATO!$A$2:$A$3000,"BAN-01744")=0,"","BAN-01744")</f>
        <v/>
      </c>
      <c r="B1887" s="85" t="str">
        <f>IF(A1887="","",IF(INDEX(EXTRATO!$C$2:$C$3000,MATCH($A1887,EXTRATO!$A$2:$A$3000,0))="","",INDEX(EXTRATO!$C$2:$C$3000,MATCH($A1887,EXTRATO!$A$2:$A$3000,0))))</f>
        <v/>
      </c>
      <c r="C1887" s="86" t="str">
        <f t="shared" si="46"/>
        <v/>
      </c>
      <c r="D1887" s="81"/>
      <c r="E1887" s="79"/>
      <c r="F1887" s="80" t="str">
        <f>IF(A1887="","",SUMIF(EXTRATO!$A$2:$A$3000,$A1887,EXTRATO!$J$2:$J$3000)+SUMIF(EXTRATO!$A$2:$A$3000,$A1887,EXTRATO!$K$2:$K$3000)+SUMIF(EXTRATO!$A$2:$A$3000,$A1887,EXTRATO!$L$2:$L$3000)+SUMIF(EXTRATO!$A$2:$A$3000,$A1887,EXTRATO!$M$2:$M$3000))</f>
        <v/>
      </c>
      <c r="G1887" s="81" t="str">
        <f>IF(A1887="","",IF(INDEX(EXTRATO!$G$2:$G$3000,MATCH($A1887,EXTRATO!$A$2:$A$3000,0))="","",INDEX(EXTRATO!$G$2:$G$3000,MATCH($A1887,EXTRATO!$A$2:$A$3000,0))))</f>
        <v/>
      </c>
      <c r="H1887" s="86" t="str">
        <f>IF(A1887="","",IF(INDEX(EXTRATO!$F$2:$F$3000,MATCH($A1887,EXTRATO!$A$2:$A$3000,0))="","",INDEX(EXTRATO!$F$2:$F$3000,MATCH($A1887,EXTRATO!$A$2:$A$3000,0))))</f>
        <v/>
      </c>
      <c r="I1887" s="88" t="str">
        <f>IF(A1887="","",IF(INDEX(EXTRATO!$H$2:$H$3000,MATCH($A1887,EXTRATO!$A$2:$A$3000,0))="","",INDEX(EXTRATO!$H$2:$H$3000,MATCH($A1887,EXTRATO!$A$2:$A$3000,0))))</f>
        <v/>
      </c>
      <c r="J1887" s="86" t="str">
        <f t="shared" si="45"/>
        <v/>
      </c>
      <c r="K1887" s="86" t="str">
        <f>IF(AND(A1887="",D1887="",E1887="",F1887=""),"",IF(D1887="","SEM CATEGORIA",IF(E1887="","SEM SUBCATEGORIA",IF(COUNTIFS(CADASTROS!$L$7:$L$93,D1887,CADASTROS!$D$7:$D$93,E1887)=0,"INCOMPATÍVEL","OK"))))</f>
        <v/>
      </c>
    </row>
    <row r="1888" spans="1:11" ht="30" hidden="1" customHeight="1" x14ac:dyDescent="0.25">
      <c r="A1888" s="86" t="str">
        <f>IF(COUNTIF(EXTRATO!$A$2:$A$3000,"BAN-01745")=0,"","BAN-01745")</f>
        <v/>
      </c>
      <c r="B1888" s="85" t="str">
        <f>IF(A1888="","",IF(INDEX(EXTRATO!$C$2:$C$3000,MATCH($A1888,EXTRATO!$A$2:$A$3000,0))="","",INDEX(EXTRATO!$C$2:$C$3000,MATCH($A1888,EXTRATO!$A$2:$A$3000,0))))</f>
        <v/>
      </c>
      <c r="C1888" s="86" t="str">
        <f t="shared" si="46"/>
        <v/>
      </c>
      <c r="D1888" s="81"/>
      <c r="E1888" s="79"/>
      <c r="F1888" s="80" t="str">
        <f>IF(A1888="","",SUMIF(EXTRATO!$A$2:$A$3000,$A1888,EXTRATO!$J$2:$J$3000)+SUMIF(EXTRATO!$A$2:$A$3000,$A1888,EXTRATO!$K$2:$K$3000)+SUMIF(EXTRATO!$A$2:$A$3000,$A1888,EXTRATO!$L$2:$L$3000)+SUMIF(EXTRATO!$A$2:$A$3000,$A1888,EXTRATO!$M$2:$M$3000))</f>
        <v/>
      </c>
      <c r="G1888" s="81" t="str">
        <f>IF(A1888="","",IF(INDEX(EXTRATO!$G$2:$G$3000,MATCH($A1888,EXTRATO!$A$2:$A$3000,0))="","",INDEX(EXTRATO!$G$2:$G$3000,MATCH($A1888,EXTRATO!$A$2:$A$3000,0))))</f>
        <v/>
      </c>
      <c r="H1888" s="86" t="str">
        <f>IF(A1888="","",IF(INDEX(EXTRATO!$F$2:$F$3000,MATCH($A1888,EXTRATO!$A$2:$A$3000,0))="","",INDEX(EXTRATO!$F$2:$F$3000,MATCH($A1888,EXTRATO!$A$2:$A$3000,0))))</f>
        <v/>
      </c>
      <c r="I1888" s="88" t="str">
        <f>IF(A1888="","",IF(INDEX(EXTRATO!$H$2:$H$3000,MATCH($A1888,EXTRATO!$A$2:$A$3000,0))="","",INDEX(EXTRATO!$H$2:$H$3000,MATCH($A1888,EXTRATO!$A$2:$A$3000,0))))</f>
        <v/>
      </c>
      <c r="J1888" s="86" t="str">
        <f t="shared" si="45"/>
        <v/>
      </c>
      <c r="K1888" s="86" t="str">
        <f>IF(AND(A1888="",D1888="",E1888="",F1888=""),"",IF(D1888="","SEM CATEGORIA",IF(E1888="","SEM SUBCATEGORIA",IF(COUNTIFS(CADASTROS!$L$7:$L$93,D1888,CADASTROS!$D$7:$D$93,E1888)=0,"INCOMPATÍVEL","OK"))))</f>
        <v/>
      </c>
    </row>
    <row r="1889" spans="1:11" ht="30" hidden="1" customHeight="1" x14ac:dyDescent="0.25">
      <c r="A1889" s="86" t="str">
        <f>IF(COUNTIF(EXTRATO!$A$2:$A$3000,"BAN-01746")=0,"","BAN-01746")</f>
        <v/>
      </c>
      <c r="B1889" s="85" t="str">
        <f>IF(A1889="","",IF(INDEX(EXTRATO!$C$2:$C$3000,MATCH($A1889,EXTRATO!$A$2:$A$3000,0))="","",INDEX(EXTRATO!$C$2:$C$3000,MATCH($A1889,EXTRATO!$A$2:$A$3000,0))))</f>
        <v/>
      </c>
      <c r="C1889" s="86" t="str">
        <f t="shared" si="46"/>
        <v/>
      </c>
      <c r="D1889" s="81"/>
      <c r="E1889" s="79"/>
      <c r="F1889" s="80" t="str">
        <f>IF(A1889="","",SUMIF(EXTRATO!$A$2:$A$3000,$A1889,EXTRATO!$J$2:$J$3000)+SUMIF(EXTRATO!$A$2:$A$3000,$A1889,EXTRATO!$K$2:$K$3000)+SUMIF(EXTRATO!$A$2:$A$3000,$A1889,EXTRATO!$L$2:$L$3000)+SUMIF(EXTRATO!$A$2:$A$3000,$A1889,EXTRATO!$M$2:$M$3000))</f>
        <v/>
      </c>
      <c r="G1889" s="81" t="str">
        <f>IF(A1889="","",IF(INDEX(EXTRATO!$G$2:$G$3000,MATCH($A1889,EXTRATO!$A$2:$A$3000,0))="","",INDEX(EXTRATO!$G$2:$G$3000,MATCH($A1889,EXTRATO!$A$2:$A$3000,0))))</f>
        <v/>
      </c>
      <c r="H1889" s="86" t="str">
        <f>IF(A1889="","",IF(INDEX(EXTRATO!$F$2:$F$3000,MATCH($A1889,EXTRATO!$A$2:$A$3000,0))="","",INDEX(EXTRATO!$F$2:$F$3000,MATCH($A1889,EXTRATO!$A$2:$A$3000,0))))</f>
        <v/>
      </c>
      <c r="I1889" s="88" t="str">
        <f>IF(A1889="","",IF(INDEX(EXTRATO!$H$2:$H$3000,MATCH($A1889,EXTRATO!$A$2:$A$3000,0))="","",INDEX(EXTRATO!$H$2:$H$3000,MATCH($A1889,EXTRATO!$A$2:$A$3000,0))))</f>
        <v/>
      </c>
      <c r="J1889" s="86" t="str">
        <f t="shared" si="45"/>
        <v/>
      </c>
      <c r="K1889" s="86" t="str">
        <f>IF(AND(A1889="",D1889="",E1889="",F1889=""),"",IF(D1889="","SEM CATEGORIA",IF(E1889="","SEM SUBCATEGORIA",IF(COUNTIFS(CADASTROS!$L$7:$L$93,D1889,CADASTROS!$D$7:$D$93,E1889)=0,"INCOMPATÍVEL","OK"))))</f>
        <v/>
      </c>
    </row>
    <row r="1890" spans="1:11" ht="30" hidden="1" customHeight="1" x14ac:dyDescent="0.25">
      <c r="A1890" s="86" t="str">
        <f>IF(COUNTIF(EXTRATO!$A$2:$A$3000,"BAN-01747")=0,"","BAN-01747")</f>
        <v/>
      </c>
      <c r="B1890" s="85" t="str">
        <f>IF(A1890="","",IF(INDEX(EXTRATO!$C$2:$C$3000,MATCH($A1890,EXTRATO!$A$2:$A$3000,0))="","",INDEX(EXTRATO!$C$2:$C$3000,MATCH($A1890,EXTRATO!$A$2:$A$3000,0))))</f>
        <v/>
      </c>
      <c r="C1890" s="86" t="str">
        <f t="shared" si="46"/>
        <v/>
      </c>
      <c r="D1890" s="81"/>
      <c r="E1890" s="79"/>
      <c r="F1890" s="80" t="str">
        <f>IF(A1890="","",SUMIF(EXTRATO!$A$2:$A$3000,$A1890,EXTRATO!$J$2:$J$3000)+SUMIF(EXTRATO!$A$2:$A$3000,$A1890,EXTRATO!$K$2:$K$3000)+SUMIF(EXTRATO!$A$2:$A$3000,$A1890,EXTRATO!$L$2:$L$3000)+SUMIF(EXTRATO!$A$2:$A$3000,$A1890,EXTRATO!$M$2:$M$3000))</f>
        <v/>
      </c>
      <c r="G1890" s="81" t="str">
        <f>IF(A1890="","",IF(INDEX(EXTRATO!$G$2:$G$3000,MATCH($A1890,EXTRATO!$A$2:$A$3000,0))="","",INDEX(EXTRATO!$G$2:$G$3000,MATCH($A1890,EXTRATO!$A$2:$A$3000,0))))</f>
        <v/>
      </c>
      <c r="H1890" s="86" t="str">
        <f>IF(A1890="","",IF(INDEX(EXTRATO!$F$2:$F$3000,MATCH($A1890,EXTRATO!$A$2:$A$3000,0))="","",INDEX(EXTRATO!$F$2:$F$3000,MATCH($A1890,EXTRATO!$A$2:$A$3000,0))))</f>
        <v/>
      </c>
      <c r="I1890" s="88" t="str">
        <f>IF(A1890="","",IF(INDEX(EXTRATO!$H$2:$H$3000,MATCH($A1890,EXTRATO!$A$2:$A$3000,0))="","",INDEX(EXTRATO!$H$2:$H$3000,MATCH($A1890,EXTRATO!$A$2:$A$3000,0))))</f>
        <v/>
      </c>
      <c r="J1890" s="86" t="str">
        <f t="shared" si="45"/>
        <v/>
      </c>
      <c r="K1890" s="86" t="str">
        <f>IF(AND(A1890="",D1890="",E1890="",F1890=""),"",IF(D1890="","SEM CATEGORIA",IF(E1890="","SEM SUBCATEGORIA",IF(COUNTIFS(CADASTROS!$L$7:$L$93,D1890,CADASTROS!$D$7:$D$93,E1890)=0,"INCOMPATÍVEL","OK"))))</f>
        <v/>
      </c>
    </row>
    <row r="1891" spans="1:11" ht="30" hidden="1" customHeight="1" x14ac:dyDescent="0.25">
      <c r="A1891" s="86" t="str">
        <f>IF(COUNTIF(EXTRATO!$A$2:$A$3000,"BAN-01748")=0,"","BAN-01748")</f>
        <v/>
      </c>
      <c r="B1891" s="85" t="str">
        <f>IF(A1891="","",IF(INDEX(EXTRATO!$C$2:$C$3000,MATCH($A1891,EXTRATO!$A$2:$A$3000,0))="","",INDEX(EXTRATO!$C$2:$C$3000,MATCH($A1891,EXTRATO!$A$2:$A$3000,0))))</f>
        <v/>
      </c>
      <c r="C1891" s="86" t="str">
        <f t="shared" si="46"/>
        <v/>
      </c>
      <c r="D1891" s="81"/>
      <c r="E1891" s="79"/>
      <c r="F1891" s="80" t="str">
        <f>IF(A1891="","",SUMIF(EXTRATO!$A$2:$A$3000,$A1891,EXTRATO!$J$2:$J$3000)+SUMIF(EXTRATO!$A$2:$A$3000,$A1891,EXTRATO!$K$2:$K$3000)+SUMIF(EXTRATO!$A$2:$A$3000,$A1891,EXTRATO!$L$2:$L$3000)+SUMIF(EXTRATO!$A$2:$A$3000,$A1891,EXTRATO!$M$2:$M$3000))</f>
        <v/>
      </c>
      <c r="G1891" s="81" t="str">
        <f>IF(A1891="","",IF(INDEX(EXTRATO!$G$2:$G$3000,MATCH($A1891,EXTRATO!$A$2:$A$3000,0))="","",INDEX(EXTRATO!$G$2:$G$3000,MATCH($A1891,EXTRATO!$A$2:$A$3000,0))))</f>
        <v/>
      </c>
      <c r="H1891" s="86" t="str">
        <f>IF(A1891="","",IF(INDEX(EXTRATO!$F$2:$F$3000,MATCH($A1891,EXTRATO!$A$2:$A$3000,0))="","",INDEX(EXTRATO!$F$2:$F$3000,MATCH($A1891,EXTRATO!$A$2:$A$3000,0))))</f>
        <v/>
      </c>
      <c r="I1891" s="88" t="str">
        <f>IF(A1891="","",IF(INDEX(EXTRATO!$H$2:$H$3000,MATCH($A1891,EXTRATO!$A$2:$A$3000,0))="","",INDEX(EXTRATO!$H$2:$H$3000,MATCH($A1891,EXTRATO!$A$2:$A$3000,0))))</f>
        <v/>
      </c>
      <c r="J1891" s="86" t="str">
        <f t="shared" si="45"/>
        <v/>
      </c>
      <c r="K1891" s="86" t="str">
        <f>IF(AND(A1891="",D1891="",E1891="",F1891=""),"",IF(D1891="","SEM CATEGORIA",IF(E1891="","SEM SUBCATEGORIA",IF(COUNTIFS(CADASTROS!$L$7:$L$93,D1891,CADASTROS!$D$7:$D$93,E1891)=0,"INCOMPATÍVEL","OK"))))</f>
        <v/>
      </c>
    </row>
    <row r="1892" spans="1:11" ht="30" hidden="1" customHeight="1" x14ac:dyDescent="0.25">
      <c r="A1892" s="86" t="str">
        <f>IF(COUNTIF(EXTRATO!$A$2:$A$3000,"BAN-01749")=0,"","BAN-01749")</f>
        <v/>
      </c>
      <c r="B1892" s="85" t="str">
        <f>IF(A1892="","",IF(INDEX(EXTRATO!$C$2:$C$3000,MATCH($A1892,EXTRATO!$A$2:$A$3000,0))="","",INDEX(EXTRATO!$C$2:$C$3000,MATCH($A1892,EXTRATO!$A$2:$A$3000,0))))</f>
        <v/>
      </c>
      <c r="C1892" s="86" t="str">
        <f t="shared" si="46"/>
        <v/>
      </c>
      <c r="D1892" s="81"/>
      <c r="E1892" s="79"/>
      <c r="F1892" s="80" t="str">
        <f>IF(A1892="","",SUMIF(EXTRATO!$A$2:$A$3000,$A1892,EXTRATO!$J$2:$J$3000)+SUMIF(EXTRATO!$A$2:$A$3000,$A1892,EXTRATO!$K$2:$K$3000)+SUMIF(EXTRATO!$A$2:$A$3000,$A1892,EXTRATO!$L$2:$L$3000)+SUMIF(EXTRATO!$A$2:$A$3000,$A1892,EXTRATO!$M$2:$M$3000))</f>
        <v/>
      </c>
      <c r="G1892" s="81" t="str">
        <f>IF(A1892="","",IF(INDEX(EXTRATO!$G$2:$G$3000,MATCH($A1892,EXTRATO!$A$2:$A$3000,0))="","",INDEX(EXTRATO!$G$2:$G$3000,MATCH($A1892,EXTRATO!$A$2:$A$3000,0))))</f>
        <v/>
      </c>
      <c r="H1892" s="86" t="str">
        <f>IF(A1892="","",IF(INDEX(EXTRATO!$F$2:$F$3000,MATCH($A1892,EXTRATO!$A$2:$A$3000,0))="","",INDEX(EXTRATO!$F$2:$F$3000,MATCH($A1892,EXTRATO!$A$2:$A$3000,0))))</f>
        <v/>
      </c>
      <c r="I1892" s="88" t="str">
        <f>IF(A1892="","",IF(INDEX(EXTRATO!$H$2:$H$3000,MATCH($A1892,EXTRATO!$A$2:$A$3000,0))="","",INDEX(EXTRATO!$H$2:$H$3000,MATCH($A1892,EXTRATO!$A$2:$A$3000,0))))</f>
        <v/>
      </c>
      <c r="J1892" s="86" t="str">
        <f t="shared" si="45"/>
        <v/>
      </c>
      <c r="K1892" s="86" t="str">
        <f>IF(AND(A1892="",D1892="",E1892="",F1892=""),"",IF(D1892="","SEM CATEGORIA",IF(E1892="","SEM SUBCATEGORIA",IF(COUNTIFS(CADASTROS!$L$7:$L$93,D1892,CADASTROS!$D$7:$D$93,E1892)=0,"INCOMPATÍVEL","OK"))))</f>
        <v/>
      </c>
    </row>
    <row r="1893" spans="1:11" ht="30" hidden="1" customHeight="1" x14ac:dyDescent="0.25">
      <c r="A1893" s="86" t="str">
        <f>IF(COUNTIF(EXTRATO!$A$2:$A$3000,"BAN-01750")=0,"","BAN-01750")</f>
        <v/>
      </c>
      <c r="B1893" s="85" t="str">
        <f>IF(A1893="","",IF(INDEX(EXTRATO!$C$2:$C$3000,MATCH($A1893,EXTRATO!$A$2:$A$3000,0))="","",INDEX(EXTRATO!$C$2:$C$3000,MATCH($A1893,EXTRATO!$A$2:$A$3000,0))))</f>
        <v/>
      </c>
      <c r="C1893" s="86" t="str">
        <f t="shared" si="46"/>
        <v/>
      </c>
      <c r="D1893" s="81"/>
      <c r="E1893" s="79"/>
      <c r="F1893" s="80" t="str">
        <f>IF(A1893="","",SUMIF(EXTRATO!$A$2:$A$3000,$A1893,EXTRATO!$J$2:$J$3000)+SUMIF(EXTRATO!$A$2:$A$3000,$A1893,EXTRATO!$K$2:$K$3000)+SUMIF(EXTRATO!$A$2:$A$3000,$A1893,EXTRATO!$L$2:$L$3000)+SUMIF(EXTRATO!$A$2:$A$3000,$A1893,EXTRATO!$M$2:$M$3000))</f>
        <v/>
      </c>
      <c r="G1893" s="81" t="str">
        <f>IF(A1893="","",IF(INDEX(EXTRATO!$G$2:$G$3000,MATCH($A1893,EXTRATO!$A$2:$A$3000,0))="","",INDEX(EXTRATO!$G$2:$G$3000,MATCH($A1893,EXTRATO!$A$2:$A$3000,0))))</f>
        <v/>
      </c>
      <c r="H1893" s="86" t="str">
        <f>IF(A1893="","",IF(INDEX(EXTRATO!$F$2:$F$3000,MATCH($A1893,EXTRATO!$A$2:$A$3000,0))="","",INDEX(EXTRATO!$F$2:$F$3000,MATCH($A1893,EXTRATO!$A$2:$A$3000,0))))</f>
        <v/>
      </c>
      <c r="I1893" s="88" t="str">
        <f>IF(A1893="","",IF(INDEX(EXTRATO!$H$2:$H$3000,MATCH($A1893,EXTRATO!$A$2:$A$3000,0))="","",INDEX(EXTRATO!$H$2:$H$3000,MATCH($A1893,EXTRATO!$A$2:$A$3000,0))))</f>
        <v/>
      </c>
      <c r="J1893" s="86" t="str">
        <f t="shared" si="45"/>
        <v/>
      </c>
      <c r="K1893" s="86" t="str">
        <f>IF(AND(A1893="",D1893="",E1893="",F1893=""),"",IF(D1893="","SEM CATEGORIA",IF(E1893="","SEM SUBCATEGORIA",IF(COUNTIFS(CADASTROS!$L$7:$L$93,D1893,CADASTROS!$D$7:$D$93,E1893)=0,"INCOMPATÍVEL","OK"))))</f>
        <v/>
      </c>
    </row>
    <row r="1894" spans="1:11" ht="30" hidden="1" customHeight="1" x14ac:dyDescent="0.25">
      <c r="A1894" s="86" t="str">
        <f>IF(COUNTIF(EXTRATO!$A$2:$A$3000,"BAN-01751")=0,"","BAN-01751")</f>
        <v/>
      </c>
      <c r="B1894" s="85" t="str">
        <f>IF(A1894="","",IF(INDEX(EXTRATO!$C$2:$C$3000,MATCH($A1894,EXTRATO!$A$2:$A$3000,0))="","",INDEX(EXTRATO!$C$2:$C$3000,MATCH($A1894,EXTRATO!$A$2:$A$3000,0))))</f>
        <v/>
      </c>
      <c r="C1894" s="86" t="str">
        <f t="shared" si="46"/>
        <v/>
      </c>
      <c r="D1894" s="81"/>
      <c r="E1894" s="79"/>
      <c r="F1894" s="80" t="str">
        <f>IF(A1894="","",SUMIF(EXTRATO!$A$2:$A$3000,$A1894,EXTRATO!$J$2:$J$3000)+SUMIF(EXTRATO!$A$2:$A$3000,$A1894,EXTRATO!$K$2:$K$3000)+SUMIF(EXTRATO!$A$2:$A$3000,$A1894,EXTRATO!$L$2:$L$3000)+SUMIF(EXTRATO!$A$2:$A$3000,$A1894,EXTRATO!$M$2:$M$3000))</f>
        <v/>
      </c>
      <c r="G1894" s="81" t="str">
        <f>IF(A1894="","",IF(INDEX(EXTRATO!$G$2:$G$3000,MATCH($A1894,EXTRATO!$A$2:$A$3000,0))="","",INDEX(EXTRATO!$G$2:$G$3000,MATCH($A1894,EXTRATO!$A$2:$A$3000,0))))</f>
        <v/>
      </c>
      <c r="H1894" s="86" t="str">
        <f>IF(A1894="","",IF(INDEX(EXTRATO!$F$2:$F$3000,MATCH($A1894,EXTRATO!$A$2:$A$3000,0))="","",INDEX(EXTRATO!$F$2:$F$3000,MATCH($A1894,EXTRATO!$A$2:$A$3000,0))))</f>
        <v/>
      </c>
      <c r="I1894" s="88" t="str">
        <f>IF(A1894="","",IF(INDEX(EXTRATO!$H$2:$H$3000,MATCH($A1894,EXTRATO!$A$2:$A$3000,0))="","",INDEX(EXTRATO!$H$2:$H$3000,MATCH($A1894,EXTRATO!$A$2:$A$3000,0))))</f>
        <v/>
      </c>
      <c r="J1894" s="86" t="str">
        <f t="shared" si="45"/>
        <v/>
      </c>
      <c r="K1894" s="86" t="str">
        <f>IF(AND(A1894="",D1894="",E1894="",F1894=""),"",IF(D1894="","SEM CATEGORIA",IF(E1894="","SEM SUBCATEGORIA",IF(COUNTIFS(CADASTROS!$L$7:$L$93,D1894,CADASTROS!$D$7:$D$93,E1894)=0,"INCOMPATÍVEL","OK"))))</f>
        <v/>
      </c>
    </row>
    <row r="1895" spans="1:11" ht="30" hidden="1" customHeight="1" x14ac:dyDescent="0.25">
      <c r="A1895" s="86" t="str">
        <f>IF(COUNTIF(EXTRATO!$A$2:$A$3000,"BAN-01752")=0,"","BAN-01752")</f>
        <v/>
      </c>
      <c r="B1895" s="85" t="str">
        <f>IF(A1895="","",IF(INDEX(EXTRATO!$C$2:$C$3000,MATCH($A1895,EXTRATO!$A$2:$A$3000,0))="","",INDEX(EXTRATO!$C$2:$C$3000,MATCH($A1895,EXTRATO!$A$2:$A$3000,0))))</f>
        <v/>
      </c>
      <c r="C1895" s="86" t="str">
        <f t="shared" si="46"/>
        <v/>
      </c>
      <c r="D1895" s="81"/>
      <c r="E1895" s="79"/>
      <c r="F1895" s="80" t="str">
        <f>IF(A1895="","",SUMIF(EXTRATO!$A$2:$A$3000,$A1895,EXTRATO!$J$2:$J$3000)+SUMIF(EXTRATO!$A$2:$A$3000,$A1895,EXTRATO!$K$2:$K$3000)+SUMIF(EXTRATO!$A$2:$A$3000,$A1895,EXTRATO!$L$2:$L$3000)+SUMIF(EXTRATO!$A$2:$A$3000,$A1895,EXTRATO!$M$2:$M$3000))</f>
        <v/>
      </c>
      <c r="G1895" s="81" t="str">
        <f>IF(A1895="","",IF(INDEX(EXTRATO!$G$2:$G$3000,MATCH($A1895,EXTRATO!$A$2:$A$3000,0))="","",INDEX(EXTRATO!$G$2:$G$3000,MATCH($A1895,EXTRATO!$A$2:$A$3000,0))))</f>
        <v/>
      </c>
      <c r="H1895" s="86" t="str">
        <f>IF(A1895="","",IF(INDEX(EXTRATO!$F$2:$F$3000,MATCH($A1895,EXTRATO!$A$2:$A$3000,0))="","",INDEX(EXTRATO!$F$2:$F$3000,MATCH($A1895,EXTRATO!$A$2:$A$3000,0))))</f>
        <v/>
      </c>
      <c r="I1895" s="88" t="str">
        <f>IF(A1895="","",IF(INDEX(EXTRATO!$H$2:$H$3000,MATCH($A1895,EXTRATO!$A$2:$A$3000,0))="","",INDEX(EXTRATO!$H$2:$H$3000,MATCH($A1895,EXTRATO!$A$2:$A$3000,0))))</f>
        <v/>
      </c>
      <c r="J1895" s="86" t="str">
        <f t="shared" si="45"/>
        <v/>
      </c>
      <c r="K1895" s="86" t="str">
        <f>IF(AND(A1895="",D1895="",E1895="",F1895=""),"",IF(D1895="","SEM CATEGORIA",IF(E1895="","SEM SUBCATEGORIA",IF(COUNTIFS(CADASTROS!$L$7:$L$93,D1895,CADASTROS!$D$7:$D$93,E1895)=0,"INCOMPATÍVEL","OK"))))</f>
        <v/>
      </c>
    </row>
    <row r="1896" spans="1:11" ht="30" hidden="1" customHeight="1" x14ac:dyDescent="0.25">
      <c r="A1896" s="86" t="str">
        <f>IF(COUNTIF(EXTRATO!$A$2:$A$3000,"BAN-01753")=0,"","BAN-01753")</f>
        <v/>
      </c>
      <c r="B1896" s="85" t="str">
        <f>IF(A1896="","",IF(INDEX(EXTRATO!$C$2:$C$3000,MATCH($A1896,EXTRATO!$A$2:$A$3000,0))="","",INDEX(EXTRATO!$C$2:$C$3000,MATCH($A1896,EXTRATO!$A$2:$A$3000,0))))</f>
        <v/>
      </c>
      <c r="C1896" s="86" t="str">
        <f t="shared" si="46"/>
        <v/>
      </c>
      <c r="D1896" s="81"/>
      <c r="E1896" s="79"/>
      <c r="F1896" s="80" t="str">
        <f>IF(A1896="","",SUMIF(EXTRATO!$A$2:$A$3000,$A1896,EXTRATO!$J$2:$J$3000)+SUMIF(EXTRATO!$A$2:$A$3000,$A1896,EXTRATO!$K$2:$K$3000)+SUMIF(EXTRATO!$A$2:$A$3000,$A1896,EXTRATO!$L$2:$L$3000)+SUMIF(EXTRATO!$A$2:$A$3000,$A1896,EXTRATO!$M$2:$M$3000))</f>
        <v/>
      </c>
      <c r="G1896" s="81" t="str">
        <f>IF(A1896="","",IF(INDEX(EXTRATO!$G$2:$G$3000,MATCH($A1896,EXTRATO!$A$2:$A$3000,0))="","",INDEX(EXTRATO!$G$2:$G$3000,MATCH($A1896,EXTRATO!$A$2:$A$3000,0))))</f>
        <v/>
      </c>
      <c r="H1896" s="86" t="str">
        <f>IF(A1896="","",IF(INDEX(EXTRATO!$F$2:$F$3000,MATCH($A1896,EXTRATO!$A$2:$A$3000,0))="","",INDEX(EXTRATO!$F$2:$F$3000,MATCH($A1896,EXTRATO!$A$2:$A$3000,0))))</f>
        <v/>
      </c>
      <c r="I1896" s="88" t="str">
        <f>IF(A1896="","",IF(INDEX(EXTRATO!$H$2:$H$3000,MATCH($A1896,EXTRATO!$A$2:$A$3000,0))="","",INDEX(EXTRATO!$H$2:$H$3000,MATCH($A1896,EXTRATO!$A$2:$A$3000,0))))</f>
        <v/>
      </c>
      <c r="J1896" s="86" t="str">
        <f t="shared" si="45"/>
        <v/>
      </c>
      <c r="K1896" s="86" t="str">
        <f>IF(AND(A1896="",D1896="",E1896="",F1896=""),"",IF(D1896="","SEM CATEGORIA",IF(E1896="","SEM SUBCATEGORIA",IF(COUNTIFS(CADASTROS!$L$7:$L$93,D1896,CADASTROS!$D$7:$D$93,E1896)=0,"INCOMPATÍVEL","OK"))))</f>
        <v/>
      </c>
    </row>
    <row r="1897" spans="1:11" ht="30" hidden="1" customHeight="1" x14ac:dyDescent="0.25">
      <c r="A1897" s="86" t="str">
        <f>IF(COUNTIF(EXTRATO!$A$2:$A$3000,"BAN-01754")=0,"","BAN-01754")</f>
        <v/>
      </c>
      <c r="B1897" s="85" t="str">
        <f>IF(A1897="","",IF(INDEX(EXTRATO!$C$2:$C$3000,MATCH($A1897,EXTRATO!$A$2:$A$3000,0))="","",INDEX(EXTRATO!$C$2:$C$3000,MATCH($A1897,EXTRATO!$A$2:$A$3000,0))))</f>
        <v/>
      </c>
      <c r="C1897" s="86" t="str">
        <f t="shared" si="46"/>
        <v/>
      </c>
      <c r="D1897" s="81"/>
      <c r="E1897" s="79"/>
      <c r="F1897" s="80" t="str">
        <f>IF(A1897="","",SUMIF(EXTRATO!$A$2:$A$3000,$A1897,EXTRATO!$J$2:$J$3000)+SUMIF(EXTRATO!$A$2:$A$3000,$A1897,EXTRATO!$K$2:$K$3000)+SUMIF(EXTRATO!$A$2:$A$3000,$A1897,EXTRATO!$L$2:$L$3000)+SUMIF(EXTRATO!$A$2:$A$3000,$A1897,EXTRATO!$M$2:$M$3000))</f>
        <v/>
      </c>
      <c r="G1897" s="81" t="str">
        <f>IF(A1897="","",IF(INDEX(EXTRATO!$G$2:$G$3000,MATCH($A1897,EXTRATO!$A$2:$A$3000,0))="","",INDEX(EXTRATO!$G$2:$G$3000,MATCH($A1897,EXTRATO!$A$2:$A$3000,0))))</f>
        <v/>
      </c>
      <c r="H1897" s="86" t="str">
        <f>IF(A1897="","",IF(INDEX(EXTRATO!$F$2:$F$3000,MATCH($A1897,EXTRATO!$A$2:$A$3000,0))="","",INDEX(EXTRATO!$F$2:$F$3000,MATCH($A1897,EXTRATO!$A$2:$A$3000,0))))</f>
        <v/>
      </c>
      <c r="I1897" s="88" t="str">
        <f>IF(A1897="","",IF(INDEX(EXTRATO!$H$2:$H$3000,MATCH($A1897,EXTRATO!$A$2:$A$3000,0))="","",INDEX(EXTRATO!$H$2:$H$3000,MATCH($A1897,EXTRATO!$A$2:$A$3000,0))))</f>
        <v/>
      </c>
      <c r="J1897" s="86" t="str">
        <f t="shared" si="45"/>
        <v/>
      </c>
      <c r="K1897" s="86" t="str">
        <f>IF(AND(A1897="",D1897="",E1897="",F1897=""),"",IF(D1897="","SEM CATEGORIA",IF(E1897="","SEM SUBCATEGORIA",IF(COUNTIFS(CADASTROS!$L$7:$L$93,D1897,CADASTROS!$D$7:$D$93,E1897)=0,"INCOMPATÍVEL","OK"))))</f>
        <v/>
      </c>
    </row>
    <row r="1898" spans="1:11" ht="30" hidden="1" customHeight="1" x14ac:dyDescent="0.25">
      <c r="A1898" s="86" t="str">
        <f>IF(COUNTIF(EXTRATO!$A$2:$A$3000,"BAN-01755")=0,"","BAN-01755")</f>
        <v/>
      </c>
      <c r="B1898" s="85" t="str">
        <f>IF(A1898="","",IF(INDEX(EXTRATO!$C$2:$C$3000,MATCH($A1898,EXTRATO!$A$2:$A$3000,0))="","",INDEX(EXTRATO!$C$2:$C$3000,MATCH($A1898,EXTRATO!$A$2:$A$3000,0))))</f>
        <v/>
      </c>
      <c r="C1898" s="86" t="str">
        <f t="shared" si="46"/>
        <v/>
      </c>
      <c r="D1898" s="81"/>
      <c r="E1898" s="79"/>
      <c r="F1898" s="80" t="str">
        <f>IF(A1898="","",SUMIF(EXTRATO!$A$2:$A$3000,$A1898,EXTRATO!$J$2:$J$3000)+SUMIF(EXTRATO!$A$2:$A$3000,$A1898,EXTRATO!$K$2:$K$3000)+SUMIF(EXTRATO!$A$2:$A$3000,$A1898,EXTRATO!$L$2:$L$3000)+SUMIF(EXTRATO!$A$2:$A$3000,$A1898,EXTRATO!$M$2:$M$3000))</f>
        <v/>
      </c>
      <c r="G1898" s="81" t="str">
        <f>IF(A1898="","",IF(INDEX(EXTRATO!$G$2:$G$3000,MATCH($A1898,EXTRATO!$A$2:$A$3000,0))="","",INDEX(EXTRATO!$G$2:$G$3000,MATCH($A1898,EXTRATO!$A$2:$A$3000,0))))</f>
        <v/>
      </c>
      <c r="H1898" s="86" t="str">
        <f>IF(A1898="","",IF(INDEX(EXTRATO!$F$2:$F$3000,MATCH($A1898,EXTRATO!$A$2:$A$3000,0))="","",INDEX(EXTRATO!$F$2:$F$3000,MATCH($A1898,EXTRATO!$A$2:$A$3000,0))))</f>
        <v/>
      </c>
      <c r="I1898" s="88" t="str">
        <f>IF(A1898="","",IF(INDEX(EXTRATO!$H$2:$H$3000,MATCH($A1898,EXTRATO!$A$2:$A$3000,0))="","",INDEX(EXTRATO!$H$2:$H$3000,MATCH($A1898,EXTRATO!$A$2:$A$3000,0))))</f>
        <v/>
      </c>
      <c r="J1898" s="86" t="str">
        <f t="shared" si="45"/>
        <v/>
      </c>
      <c r="K1898" s="86" t="str">
        <f>IF(AND(A1898="",D1898="",E1898="",F1898=""),"",IF(D1898="","SEM CATEGORIA",IF(E1898="","SEM SUBCATEGORIA",IF(COUNTIFS(CADASTROS!$L$7:$L$93,D1898,CADASTROS!$D$7:$D$93,E1898)=0,"INCOMPATÍVEL","OK"))))</f>
        <v/>
      </c>
    </row>
    <row r="1899" spans="1:11" ht="30" hidden="1" customHeight="1" x14ac:dyDescent="0.25">
      <c r="A1899" s="86" t="str">
        <f>IF(COUNTIF(EXTRATO!$A$2:$A$3000,"BAN-01756")=0,"","BAN-01756")</f>
        <v/>
      </c>
      <c r="B1899" s="85" t="str">
        <f>IF(A1899="","",IF(INDEX(EXTRATO!$C$2:$C$3000,MATCH($A1899,EXTRATO!$A$2:$A$3000,0))="","",INDEX(EXTRATO!$C$2:$C$3000,MATCH($A1899,EXTRATO!$A$2:$A$3000,0))))</f>
        <v/>
      </c>
      <c r="C1899" s="86" t="str">
        <f t="shared" si="46"/>
        <v/>
      </c>
      <c r="D1899" s="81"/>
      <c r="E1899" s="79"/>
      <c r="F1899" s="80" t="str">
        <f>IF(A1899="","",SUMIF(EXTRATO!$A$2:$A$3000,$A1899,EXTRATO!$J$2:$J$3000)+SUMIF(EXTRATO!$A$2:$A$3000,$A1899,EXTRATO!$K$2:$K$3000)+SUMIF(EXTRATO!$A$2:$A$3000,$A1899,EXTRATO!$L$2:$L$3000)+SUMIF(EXTRATO!$A$2:$A$3000,$A1899,EXTRATO!$M$2:$M$3000))</f>
        <v/>
      </c>
      <c r="G1899" s="81" t="str">
        <f>IF(A1899="","",IF(INDEX(EXTRATO!$G$2:$G$3000,MATCH($A1899,EXTRATO!$A$2:$A$3000,0))="","",INDEX(EXTRATO!$G$2:$G$3000,MATCH($A1899,EXTRATO!$A$2:$A$3000,0))))</f>
        <v/>
      </c>
      <c r="H1899" s="86" t="str">
        <f>IF(A1899="","",IF(INDEX(EXTRATO!$F$2:$F$3000,MATCH($A1899,EXTRATO!$A$2:$A$3000,0))="","",INDEX(EXTRATO!$F$2:$F$3000,MATCH($A1899,EXTRATO!$A$2:$A$3000,0))))</f>
        <v/>
      </c>
      <c r="I1899" s="88" t="str">
        <f>IF(A1899="","",IF(INDEX(EXTRATO!$H$2:$H$3000,MATCH($A1899,EXTRATO!$A$2:$A$3000,0))="","",INDEX(EXTRATO!$H$2:$H$3000,MATCH($A1899,EXTRATO!$A$2:$A$3000,0))))</f>
        <v/>
      </c>
      <c r="J1899" s="86" t="str">
        <f t="shared" si="45"/>
        <v/>
      </c>
      <c r="K1899" s="86" t="str">
        <f>IF(AND(A1899="",D1899="",E1899="",F1899=""),"",IF(D1899="","SEM CATEGORIA",IF(E1899="","SEM SUBCATEGORIA",IF(COUNTIFS(CADASTROS!$L$7:$L$93,D1899,CADASTROS!$D$7:$D$93,E1899)=0,"INCOMPATÍVEL","OK"))))</f>
        <v/>
      </c>
    </row>
    <row r="1900" spans="1:11" ht="30" hidden="1" customHeight="1" x14ac:dyDescent="0.25">
      <c r="A1900" s="86" t="str">
        <f>IF(COUNTIF(EXTRATO!$A$2:$A$3000,"BAN-01757")=0,"","BAN-01757")</f>
        <v/>
      </c>
      <c r="B1900" s="85" t="str">
        <f>IF(A1900="","",IF(INDEX(EXTRATO!$C$2:$C$3000,MATCH($A1900,EXTRATO!$A$2:$A$3000,0))="","",INDEX(EXTRATO!$C$2:$C$3000,MATCH($A1900,EXTRATO!$A$2:$A$3000,0))))</f>
        <v/>
      </c>
      <c r="C1900" s="86" t="str">
        <f t="shared" si="46"/>
        <v/>
      </c>
      <c r="D1900" s="81"/>
      <c r="E1900" s="79"/>
      <c r="F1900" s="80" t="str">
        <f>IF(A1900="","",SUMIF(EXTRATO!$A$2:$A$3000,$A1900,EXTRATO!$J$2:$J$3000)+SUMIF(EXTRATO!$A$2:$A$3000,$A1900,EXTRATO!$K$2:$K$3000)+SUMIF(EXTRATO!$A$2:$A$3000,$A1900,EXTRATO!$L$2:$L$3000)+SUMIF(EXTRATO!$A$2:$A$3000,$A1900,EXTRATO!$M$2:$M$3000))</f>
        <v/>
      </c>
      <c r="G1900" s="81" t="str">
        <f>IF(A1900="","",IF(INDEX(EXTRATO!$G$2:$G$3000,MATCH($A1900,EXTRATO!$A$2:$A$3000,0))="","",INDEX(EXTRATO!$G$2:$G$3000,MATCH($A1900,EXTRATO!$A$2:$A$3000,0))))</f>
        <v/>
      </c>
      <c r="H1900" s="86" t="str">
        <f>IF(A1900="","",IF(INDEX(EXTRATO!$F$2:$F$3000,MATCH($A1900,EXTRATO!$A$2:$A$3000,0))="","",INDEX(EXTRATO!$F$2:$F$3000,MATCH($A1900,EXTRATO!$A$2:$A$3000,0))))</f>
        <v/>
      </c>
      <c r="I1900" s="88" t="str">
        <f>IF(A1900="","",IF(INDEX(EXTRATO!$H$2:$H$3000,MATCH($A1900,EXTRATO!$A$2:$A$3000,0))="","",INDEX(EXTRATO!$H$2:$H$3000,MATCH($A1900,EXTRATO!$A$2:$A$3000,0))))</f>
        <v/>
      </c>
      <c r="J1900" s="86" t="str">
        <f t="shared" ref="J1900:J1963" si="47">IF(A1900="","",IF(K1900="OK","MANUAL","PENDENTE"))</f>
        <v/>
      </c>
      <c r="K1900" s="86" t="str">
        <f>IF(AND(A1900="",D1900="",E1900="",F1900=""),"",IF(D1900="","SEM CATEGORIA",IF(E1900="","SEM SUBCATEGORIA",IF(COUNTIFS(CADASTROS!$L$7:$L$93,D1900,CADASTROS!$D$7:$D$93,E1900)=0,"INCOMPATÍVEL","OK"))))</f>
        <v/>
      </c>
    </row>
    <row r="1901" spans="1:11" ht="30" hidden="1" customHeight="1" x14ac:dyDescent="0.25">
      <c r="A1901" s="86" t="str">
        <f>IF(COUNTIF(EXTRATO!$A$2:$A$3000,"BAN-01758")=0,"","BAN-01758")</f>
        <v/>
      </c>
      <c r="B1901" s="85" t="str">
        <f>IF(A1901="","",IF(INDEX(EXTRATO!$C$2:$C$3000,MATCH($A1901,EXTRATO!$A$2:$A$3000,0))="","",INDEX(EXTRATO!$C$2:$C$3000,MATCH($A1901,EXTRATO!$A$2:$A$3000,0))))</f>
        <v/>
      </c>
      <c r="C1901" s="86" t="str">
        <f t="shared" si="46"/>
        <v/>
      </c>
      <c r="D1901" s="81"/>
      <c r="E1901" s="79"/>
      <c r="F1901" s="80" t="str">
        <f>IF(A1901="","",SUMIF(EXTRATO!$A$2:$A$3000,$A1901,EXTRATO!$J$2:$J$3000)+SUMIF(EXTRATO!$A$2:$A$3000,$A1901,EXTRATO!$K$2:$K$3000)+SUMIF(EXTRATO!$A$2:$A$3000,$A1901,EXTRATO!$L$2:$L$3000)+SUMIF(EXTRATO!$A$2:$A$3000,$A1901,EXTRATO!$M$2:$M$3000))</f>
        <v/>
      </c>
      <c r="G1901" s="81" t="str">
        <f>IF(A1901="","",IF(INDEX(EXTRATO!$G$2:$G$3000,MATCH($A1901,EXTRATO!$A$2:$A$3000,0))="","",INDEX(EXTRATO!$G$2:$G$3000,MATCH($A1901,EXTRATO!$A$2:$A$3000,0))))</f>
        <v/>
      </c>
      <c r="H1901" s="86" t="str">
        <f>IF(A1901="","",IF(INDEX(EXTRATO!$F$2:$F$3000,MATCH($A1901,EXTRATO!$A$2:$A$3000,0))="","",INDEX(EXTRATO!$F$2:$F$3000,MATCH($A1901,EXTRATO!$A$2:$A$3000,0))))</f>
        <v/>
      </c>
      <c r="I1901" s="88" t="str">
        <f>IF(A1901="","",IF(INDEX(EXTRATO!$H$2:$H$3000,MATCH($A1901,EXTRATO!$A$2:$A$3000,0))="","",INDEX(EXTRATO!$H$2:$H$3000,MATCH($A1901,EXTRATO!$A$2:$A$3000,0))))</f>
        <v/>
      </c>
      <c r="J1901" s="86" t="str">
        <f t="shared" si="47"/>
        <v/>
      </c>
      <c r="K1901" s="86" t="str">
        <f>IF(AND(A1901="",D1901="",E1901="",F1901=""),"",IF(D1901="","SEM CATEGORIA",IF(E1901="","SEM SUBCATEGORIA",IF(COUNTIFS(CADASTROS!$L$7:$L$93,D1901,CADASTROS!$D$7:$D$93,E1901)=0,"INCOMPATÍVEL","OK"))))</f>
        <v/>
      </c>
    </row>
    <row r="1902" spans="1:11" ht="30" hidden="1" customHeight="1" x14ac:dyDescent="0.25">
      <c r="A1902" s="86" t="str">
        <f>IF(COUNTIF(EXTRATO!$A$2:$A$3000,"BAN-01759")=0,"","BAN-01759")</f>
        <v/>
      </c>
      <c r="B1902" s="85" t="str">
        <f>IF(A1902="","",IF(INDEX(EXTRATO!$C$2:$C$3000,MATCH($A1902,EXTRATO!$A$2:$A$3000,0))="","",INDEX(EXTRATO!$C$2:$C$3000,MATCH($A1902,EXTRATO!$A$2:$A$3000,0))))</f>
        <v/>
      </c>
      <c r="C1902" s="86" t="str">
        <f t="shared" si="46"/>
        <v/>
      </c>
      <c r="D1902" s="81"/>
      <c r="E1902" s="79"/>
      <c r="F1902" s="80" t="str">
        <f>IF(A1902="","",SUMIF(EXTRATO!$A$2:$A$3000,$A1902,EXTRATO!$J$2:$J$3000)+SUMIF(EXTRATO!$A$2:$A$3000,$A1902,EXTRATO!$K$2:$K$3000)+SUMIF(EXTRATO!$A$2:$A$3000,$A1902,EXTRATO!$L$2:$L$3000)+SUMIF(EXTRATO!$A$2:$A$3000,$A1902,EXTRATO!$M$2:$M$3000))</f>
        <v/>
      </c>
      <c r="G1902" s="81" t="str">
        <f>IF(A1902="","",IF(INDEX(EXTRATO!$G$2:$G$3000,MATCH($A1902,EXTRATO!$A$2:$A$3000,0))="","",INDEX(EXTRATO!$G$2:$G$3000,MATCH($A1902,EXTRATO!$A$2:$A$3000,0))))</f>
        <v/>
      </c>
      <c r="H1902" s="86" t="str">
        <f>IF(A1902="","",IF(INDEX(EXTRATO!$F$2:$F$3000,MATCH($A1902,EXTRATO!$A$2:$A$3000,0))="","",INDEX(EXTRATO!$F$2:$F$3000,MATCH($A1902,EXTRATO!$A$2:$A$3000,0))))</f>
        <v/>
      </c>
      <c r="I1902" s="88" t="str">
        <f>IF(A1902="","",IF(INDEX(EXTRATO!$H$2:$H$3000,MATCH($A1902,EXTRATO!$A$2:$A$3000,0))="","",INDEX(EXTRATO!$H$2:$H$3000,MATCH($A1902,EXTRATO!$A$2:$A$3000,0))))</f>
        <v/>
      </c>
      <c r="J1902" s="86" t="str">
        <f t="shared" si="47"/>
        <v/>
      </c>
      <c r="K1902" s="86" t="str">
        <f>IF(AND(A1902="",D1902="",E1902="",F1902=""),"",IF(D1902="","SEM CATEGORIA",IF(E1902="","SEM SUBCATEGORIA",IF(COUNTIFS(CADASTROS!$L$7:$L$93,D1902,CADASTROS!$D$7:$D$93,E1902)=0,"INCOMPATÍVEL","OK"))))</f>
        <v/>
      </c>
    </row>
    <row r="1903" spans="1:11" ht="30" hidden="1" customHeight="1" x14ac:dyDescent="0.25">
      <c r="A1903" s="86" t="str">
        <f>IF(COUNTIF(EXTRATO!$A$2:$A$3000,"BAN-01760")=0,"","BAN-01760")</f>
        <v/>
      </c>
      <c r="B1903" s="85" t="str">
        <f>IF(A1903="","",IF(INDEX(EXTRATO!$C$2:$C$3000,MATCH($A1903,EXTRATO!$A$2:$A$3000,0))="","",INDEX(EXTRATO!$C$2:$C$3000,MATCH($A1903,EXTRATO!$A$2:$A$3000,0))))</f>
        <v/>
      </c>
      <c r="C1903" s="86" t="str">
        <f t="shared" si="46"/>
        <v/>
      </c>
      <c r="D1903" s="81"/>
      <c r="E1903" s="79"/>
      <c r="F1903" s="80" t="str">
        <f>IF(A1903="","",SUMIF(EXTRATO!$A$2:$A$3000,$A1903,EXTRATO!$J$2:$J$3000)+SUMIF(EXTRATO!$A$2:$A$3000,$A1903,EXTRATO!$K$2:$K$3000)+SUMIF(EXTRATO!$A$2:$A$3000,$A1903,EXTRATO!$L$2:$L$3000)+SUMIF(EXTRATO!$A$2:$A$3000,$A1903,EXTRATO!$M$2:$M$3000))</f>
        <v/>
      </c>
      <c r="G1903" s="81" t="str">
        <f>IF(A1903="","",IF(INDEX(EXTRATO!$G$2:$G$3000,MATCH($A1903,EXTRATO!$A$2:$A$3000,0))="","",INDEX(EXTRATO!$G$2:$G$3000,MATCH($A1903,EXTRATO!$A$2:$A$3000,0))))</f>
        <v/>
      </c>
      <c r="H1903" s="86" t="str">
        <f>IF(A1903="","",IF(INDEX(EXTRATO!$F$2:$F$3000,MATCH($A1903,EXTRATO!$A$2:$A$3000,0))="","",INDEX(EXTRATO!$F$2:$F$3000,MATCH($A1903,EXTRATO!$A$2:$A$3000,0))))</f>
        <v/>
      </c>
      <c r="I1903" s="88" t="str">
        <f>IF(A1903="","",IF(INDEX(EXTRATO!$H$2:$H$3000,MATCH($A1903,EXTRATO!$A$2:$A$3000,0))="","",INDEX(EXTRATO!$H$2:$H$3000,MATCH($A1903,EXTRATO!$A$2:$A$3000,0))))</f>
        <v/>
      </c>
      <c r="J1903" s="86" t="str">
        <f t="shared" si="47"/>
        <v/>
      </c>
      <c r="K1903" s="86" t="str">
        <f>IF(AND(A1903="",D1903="",E1903="",F1903=""),"",IF(D1903="","SEM CATEGORIA",IF(E1903="","SEM SUBCATEGORIA",IF(COUNTIFS(CADASTROS!$L$7:$L$93,D1903,CADASTROS!$D$7:$D$93,E1903)=0,"INCOMPATÍVEL","OK"))))</f>
        <v/>
      </c>
    </row>
    <row r="1904" spans="1:11" ht="30" hidden="1" customHeight="1" x14ac:dyDescent="0.25">
      <c r="A1904" s="86" t="str">
        <f>IF(COUNTIF(EXTRATO!$A$2:$A$3000,"BAN-01761")=0,"","BAN-01761")</f>
        <v/>
      </c>
      <c r="B1904" s="85" t="str">
        <f>IF(A1904="","",IF(INDEX(EXTRATO!$C$2:$C$3000,MATCH($A1904,EXTRATO!$A$2:$A$3000,0))="","",INDEX(EXTRATO!$C$2:$C$3000,MATCH($A1904,EXTRATO!$A$2:$A$3000,0))))</f>
        <v/>
      </c>
      <c r="C1904" s="86" t="str">
        <f t="shared" si="46"/>
        <v/>
      </c>
      <c r="D1904" s="81"/>
      <c r="E1904" s="79"/>
      <c r="F1904" s="80" t="str">
        <f>IF(A1904="","",SUMIF(EXTRATO!$A$2:$A$3000,$A1904,EXTRATO!$J$2:$J$3000)+SUMIF(EXTRATO!$A$2:$A$3000,$A1904,EXTRATO!$K$2:$K$3000)+SUMIF(EXTRATO!$A$2:$A$3000,$A1904,EXTRATO!$L$2:$L$3000)+SUMIF(EXTRATO!$A$2:$A$3000,$A1904,EXTRATO!$M$2:$M$3000))</f>
        <v/>
      </c>
      <c r="G1904" s="81" t="str">
        <f>IF(A1904="","",IF(INDEX(EXTRATO!$G$2:$G$3000,MATCH($A1904,EXTRATO!$A$2:$A$3000,0))="","",INDEX(EXTRATO!$G$2:$G$3000,MATCH($A1904,EXTRATO!$A$2:$A$3000,0))))</f>
        <v/>
      </c>
      <c r="H1904" s="86" t="str">
        <f>IF(A1904="","",IF(INDEX(EXTRATO!$F$2:$F$3000,MATCH($A1904,EXTRATO!$A$2:$A$3000,0))="","",INDEX(EXTRATO!$F$2:$F$3000,MATCH($A1904,EXTRATO!$A$2:$A$3000,0))))</f>
        <v/>
      </c>
      <c r="I1904" s="88" t="str">
        <f>IF(A1904="","",IF(INDEX(EXTRATO!$H$2:$H$3000,MATCH($A1904,EXTRATO!$A$2:$A$3000,0))="","",INDEX(EXTRATO!$H$2:$H$3000,MATCH($A1904,EXTRATO!$A$2:$A$3000,0))))</f>
        <v/>
      </c>
      <c r="J1904" s="86" t="str">
        <f t="shared" si="47"/>
        <v/>
      </c>
      <c r="K1904" s="86" t="str">
        <f>IF(AND(A1904="",D1904="",E1904="",F1904=""),"",IF(D1904="","SEM CATEGORIA",IF(E1904="","SEM SUBCATEGORIA",IF(COUNTIFS(CADASTROS!$L$7:$L$93,D1904,CADASTROS!$D$7:$D$93,E1904)=0,"INCOMPATÍVEL","OK"))))</f>
        <v/>
      </c>
    </row>
    <row r="1905" spans="1:11" ht="30" hidden="1" customHeight="1" x14ac:dyDescent="0.25">
      <c r="A1905" s="86" t="str">
        <f>IF(COUNTIF(EXTRATO!$A$2:$A$3000,"BAN-01762")=0,"","BAN-01762")</f>
        <v/>
      </c>
      <c r="B1905" s="85" t="str">
        <f>IF(A1905="","",IF(INDEX(EXTRATO!$C$2:$C$3000,MATCH($A1905,EXTRATO!$A$2:$A$3000,0))="","",INDEX(EXTRATO!$C$2:$C$3000,MATCH($A1905,EXTRATO!$A$2:$A$3000,0))))</f>
        <v/>
      </c>
      <c r="C1905" s="86" t="str">
        <f t="shared" si="46"/>
        <v/>
      </c>
      <c r="D1905" s="81"/>
      <c r="E1905" s="79"/>
      <c r="F1905" s="80" t="str">
        <f>IF(A1905="","",SUMIF(EXTRATO!$A$2:$A$3000,$A1905,EXTRATO!$J$2:$J$3000)+SUMIF(EXTRATO!$A$2:$A$3000,$A1905,EXTRATO!$K$2:$K$3000)+SUMIF(EXTRATO!$A$2:$A$3000,$A1905,EXTRATO!$L$2:$L$3000)+SUMIF(EXTRATO!$A$2:$A$3000,$A1905,EXTRATO!$M$2:$M$3000))</f>
        <v/>
      </c>
      <c r="G1905" s="81" t="str">
        <f>IF(A1905="","",IF(INDEX(EXTRATO!$G$2:$G$3000,MATCH($A1905,EXTRATO!$A$2:$A$3000,0))="","",INDEX(EXTRATO!$G$2:$G$3000,MATCH($A1905,EXTRATO!$A$2:$A$3000,0))))</f>
        <v/>
      </c>
      <c r="H1905" s="86" t="str">
        <f>IF(A1905="","",IF(INDEX(EXTRATO!$F$2:$F$3000,MATCH($A1905,EXTRATO!$A$2:$A$3000,0))="","",INDEX(EXTRATO!$F$2:$F$3000,MATCH($A1905,EXTRATO!$A$2:$A$3000,0))))</f>
        <v/>
      </c>
      <c r="I1905" s="88" t="str">
        <f>IF(A1905="","",IF(INDEX(EXTRATO!$H$2:$H$3000,MATCH($A1905,EXTRATO!$A$2:$A$3000,0))="","",INDEX(EXTRATO!$H$2:$H$3000,MATCH($A1905,EXTRATO!$A$2:$A$3000,0))))</f>
        <v/>
      </c>
      <c r="J1905" s="86" t="str">
        <f t="shared" si="47"/>
        <v/>
      </c>
      <c r="K1905" s="86" t="str">
        <f>IF(AND(A1905="",D1905="",E1905="",F1905=""),"",IF(D1905="","SEM CATEGORIA",IF(E1905="","SEM SUBCATEGORIA",IF(COUNTIFS(CADASTROS!$L$7:$L$93,D1905,CADASTROS!$D$7:$D$93,E1905)=0,"INCOMPATÍVEL","OK"))))</f>
        <v/>
      </c>
    </row>
    <row r="1906" spans="1:11" ht="30" hidden="1" customHeight="1" x14ac:dyDescent="0.25">
      <c r="A1906" s="86" t="str">
        <f>IF(COUNTIF(EXTRATO!$A$2:$A$3000,"BAN-01763")=0,"","BAN-01763")</f>
        <v/>
      </c>
      <c r="B1906" s="85" t="str">
        <f>IF(A1906="","",IF(INDEX(EXTRATO!$C$2:$C$3000,MATCH($A1906,EXTRATO!$A$2:$A$3000,0))="","",INDEX(EXTRATO!$C$2:$C$3000,MATCH($A1906,EXTRATO!$A$2:$A$3000,0))))</f>
        <v/>
      </c>
      <c r="C1906" s="86" t="str">
        <f t="shared" si="46"/>
        <v/>
      </c>
      <c r="D1906" s="81"/>
      <c r="E1906" s="79"/>
      <c r="F1906" s="80" t="str">
        <f>IF(A1906="","",SUMIF(EXTRATO!$A$2:$A$3000,$A1906,EXTRATO!$J$2:$J$3000)+SUMIF(EXTRATO!$A$2:$A$3000,$A1906,EXTRATO!$K$2:$K$3000)+SUMIF(EXTRATO!$A$2:$A$3000,$A1906,EXTRATO!$L$2:$L$3000)+SUMIF(EXTRATO!$A$2:$A$3000,$A1906,EXTRATO!$M$2:$M$3000))</f>
        <v/>
      </c>
      <c r="G1906" s="81" t="str">
        <f>IF(A1906="","",IF(INDEX(EXTRATO!$G$2:$G$3000,MATCH($A1906,EXTRATO!$A$2:$A$3000,0))="","",INDEX(EXTRATO!$G$2:$G$3000,MATCH($A1906,EXTRATO!$A$2:$A$3000,0))))</f>
        <v/>
      </c>
      <c r="H1906" s="86" t="str">
        <f>IF(A1906="","",IF(INDEX(EXTRATO!$F$2:$F$3000,MATCH($A1906,EXTRATO!$A$2:$A$3000,0))="","",INDEX(EXTRATO!$F$2:$F$3000,MATCH($A1906,EXTRATO!$A$2:$A$3000,0))))</f>
        <v/>
      </c>
      <c r="I1906" s="88" t="str">
        <f>IF(A1906="","",IF(INDEX(EXTRATO!$H$2:$H$3000,MATCH($A1906,EXTRATO!$A$2:$A$3000,0))="","",INDEX(EXTRATO!$H$2:$H$3000,MATCH($A1906,EXTRATO!$A$2:$A$3000,0))))</f>
        <v/>
      </c>
      <c r="J1906" s="86" t="str">
        <f t="shared" si="47"/>
        <v/>
      </c>
      <c r="K1906" s="86" t="str">
        <f>IF(AND(A1906="",D1906="",E1906="",F1906=""),"",IF(D1906="","SEM CATEGORIA",IF(E1906="","SEM SUBCATEGORIA",IF(COUNTIFS(CADASTROS!$L$7:$L$93,D1906,CADASTROS!$D$7:$D$93,E1906)=0,"INCOMPATÍVEL","OK"))))</f>
        <v/>
      </c>
    </row>
    <row r="1907" spans="1:11" ht="30" hidden="1" customHeight="1" x14ac:dyDescent="0.25">
      <c r="A1907" s="86" t="str">
        <f>IF(COUNTIF(EXTRATO!$A$2:$A$3000,"BAN-01764")=0,"","BAN-01764")</f>
        <v/>
      </c>
      <c r="B1907" s="85" t="str">
        <f>IF(A1907="","",IF(INDEX(EXTRATO!$C$2:$C$3000,MATCH($A1907,EXTRATO!$A$2:$A$3000,0))="","",INDEX(EXTRATO!$C$2:$C$3000,MATCH($A1907,EXTRATO!$A$2:$A$3000,0))))</f>
        <v/>
      </c>
      <c r="C1907" s="86" t="str">
        <f t="shared" si="46"/>
        <v/>
      </c>
      <c r="D1907" s="81"/>
      <c r="E1907" s="79"/>
      <c r="F1907" s="80" t="str">
        <f>IF(A1907="","",SUMIF(EXTRATO!$A$2:$A$3000,$A1907,EXTRATO!$J$2:$J$3000)+SUMIF(EXTRATO!$A$2:$A$3000,$A1907,EXTRATO!$K$2:$K$3000)+SUMIF(EXTRATO!$A$2:$A$3000,$A1907,EXTRATO!$L$2:$L$3000)+SUMIF(EXTRATO!$A$2:$A$3000,$A1907,EXTRATO!$M$2:$M$3000))</f>
        <v/>
      </c>
      <c r="G1907" s="81" t="str">
        <f>IF(A1907="","",IF(INDEX(EXTRATO!$G$2:$G$3000,MATCH($A1907,EXTRATO!$A$2:$A$3000,0))="","",INDEX(EXTRATO!$G$2:$G$3000,MATCH($A1907,EXTRATO!$A$2:$A$3000,0))))</f>
        <v/>
      </c>
      <c r="H1907" s="86" t="str">
        <f>IF(A1907="","",IF(INDEX(EXTRATO!$F$2:$F$3000,MATCH($A1907,EXTRATO!$A$2:$A$3000,0))="","",INDEX(EXTRATO!$F$2:$F$3000,MATCH($A1907,EXTRATO!$A$2:$A$3000,0))))</f>
        <v/>
      </c>
      <c r="I1907" s="88" t="str">
        <f>IF(A1907="","",IF(INDEX(EXTRATO!$H$2:$H$3000,MATCH($A1907,EXTRATO!$A$2:$A$3000,0))="","",INDEX(EXTRATO!$H$2:$H$3000,MATCH($A1907,EXTRATO!$A$2:$A$3000,0))))</f>
        <v/>
      </c>
      <c r="J1907" s="86" t="str">
        <f t="shared" si="47"/>
        <v/>
      </c>
      <c r="K1907" s="86" t="str">
        <f>IF(AND(A1907="",D1907="",E1907="",F1907=""),"",IF(D1907="","SEM CATEGORIA",IF(E1907="","SEM SUBCATEGORIA",IF(COUNTIFS(CADASTROS!$L$7:$L$93,D1907,CADASTROS!$D$7:$D$93,E1907)=0,"INCOMPATÍVEL","OK"))))</f>
        <v/>
      </c>
    </row>
    <row r="1908" spans="1:11" ht="30" hidden="1" customHeight="1" x14ac:dyDescent="0.25">
      <c r="A1908" s="86" t="str">
        <f>IF(COUNTIF(EXTRATO!$A$2:$A$3000,"BAN-01765")=0,"","BAN-01765")</f>
        <v/>
      </c>
      <c r="B1908" s="85" t="str">
        <f>IF(A1908="","",IF(INDEX(EXTRATO!$C$2:$C$3000,MATCH($A1908,EXTRATO!$A$2:$A$3000,0))="","",INDEX(EXTRATO!$C$2:$C$3000,MATCH($A1908,EXTRATO!$A$2:$A$3000,0))))</f>
        <v/>
      </c>
      <c r="C1908" s="86" t="str">
        <f t="shared" si="46"/>
        <v/>
      </c>
      <c r="D1908" s="81"/>
      <c r="E1908" s="79"/>
      <c r="F1908" s="80" t="str">
        <f>IF(A1908="","",SUMIF(EXTRATO!$A$2:$A$3000,$A1908,EXTRATO!$J$2:$J$3000)+SUMIF(EXTRATO!$A$2:$A$3000,$A1908,EXTRATO!$K$2:$K$3000)+SUMIF(EXTRATO!$A$2:$A$3000,$A1908,EXTRATO!$L$2:$L$3000)+SUMIF(EXTRATO!$A$2:$A$3000,$A1908,EXTRATO!$M$2:$M$3000))</f>
        <v/>
      </c>
      <c r="G1908" s="81" t="str">
        <f>IF(A1908="","",IF(INDEX(EXTRATO!$G$2:$G$3000,MATCH($A1908,EXTRATO!$A$2:$A$3000,0))="","",INDEX(EXTRATO!$G$2:$G$3000,MATCH($A1908,EXTRATO!$A$2:$A$3000,0))))</f>
        <v/>
      </c>
      <c r="H1908" s="86" t="str">
        <f>IF(A1908="","",IF(INDEX(EXTRATO!$F$2:$F$3000,MATCH($A1908,EXTRATO!$A$2:$A$3000,0))="","",INDEX(EXTRATO!$F$2:$F$3000,MATCH($A1908,EXTRATO!$A$2:$A$3000,0))))</f>
        <v/>
      </c>
      <c r="I1908" s="88" t="str">
        <f>IF(A1908="","",IF(INDEX(EXTRATO!$H$2:$H$3000,MATCH($A1908,EXTRATO!$A$2:$A$3000,0))="","",INDEX(EXTRATO!$H$2:$H$3000,MATCH($A1908,EXTRATO!$A$2:$A$3000,0))))</f>
        <v/>
      </c>
      <c r="J1908" s="86" t="str">
        <f t="shared" si="47"/>
        <v/>
      </c>
      <c r="K1908" s="86" t="str">
        <f>IF(AND(A1908="",D1908="",E1908="",F1908=""),"",IF(D1908="","SEM CATEGORIA",IF(E1908="","SEM SUBCATEGORIA",IF(COUNTIFS(CADASTROS!$L$7:$L$93,D1908,CADASTROS!$D$7:$D$93,E1908)=0,"INCOMPATÍVEL","OK"))))</f>
        <v/>
      </c>
    </row>
    <row r="1909" spans="1:11" ht="30" hidden="1" customHeight="1" x14ac:dyDescent="0.25">
      <c r="A1909" s="86" t="str">
        <f>IF(COUNTIF(EXTRATO!$A$2:$A$3000,"BAN-01766")=0,"","BAN-01766")</f>
        <v/>
      </c>
      <c r="B1909" s="85" t="str">
        <f>IF(A1909="","",IF(INDEX(EXTRATO!$C$2:$C$3000,MATCH($A1909,EXTRATO!$A$2:$A$3000,0))="","",INDEX(EXTRATO!$C$2:$C$3000,MATCH($A1909,EXTRATO!$A$2:$A$3000,0))))</f>
        <v/>
      </c>
      <c r="C1909" s="86" t="str">
        <f t="shared" si="46"/>
        <v/>
      </c>
      <c r="D1909" s="81"/>
      <c r="E1909" s="79"/>
      <c r="F1909" s="80" t="str">
        <f>IF(A1909="","",SUMIF(EXTRATO!$A$2:$A$3000,$A1909,EXTRATO!$J$2:$J$3000)+SUMIF(EXTRATO!$A$2:$A$3000,$A1909,EXTRATO!$K$2:$K$3000)+SUMIF(EXTRATO!$A$2:$A$3000,$A1909,EXTRATO!$L$2:$L$3000)+SUMIF(EXTRATO!$A$2:$A$3000,$A1909,EXTRATO!$M$2:$M$3000))</f>
        <v/>
      </c>
      <c r="G1909" s="81" t="str">
        <f>IF(A1909="","",IF(INDEX(EXTRATO!$G$2:$G$3000,MATCH($A1909,EXTRATO!$A$2:$A$3000,0))="","",INDEX(EXTRATO!$G$2:$G$3000,MATCH($A1909,EXTRATO!$A$2:$A$3000,0))))</f>
        <v/>
      </c>
      <c r="H1909" s="86" t="str">
        <f>IF(A1909="","",IF(INDEX(EXTRATO!$F$2:$F$3000,MATCH($A1909,EXTRATO!$A$2:$A$3000,0))="","",INDEX(EXTRATO!$F$2:$F$3000,MATCH($A1909,EXTRATO!$A$2:$A$3000,0))))</f>
        <v/>
      </c>
      <c r="I1909" s="88" t="str">
        <f>IF(A1909="","",IF(INDEX(EXTRATO!$H$2:$H$3000,MATCH($A1909,EXTRATO!$A$2:$A$3000,0))="","",INDEX(EXTRATO!$H$2:$H$3000,MATCH($A1909,EXTRATO!$A$2:$A$3000,0))))</f>
        <v/>
      </c>
      <c r="J1909" s="86" t="str">
        <f t="shared" si="47"/>
        <v/>
      </c>
      <c r="K1909" s="86" t="str">
        <f>IF(AND(A1909="",D1909="",E1909="",F1909=""),"",IF(D1909="","SEM CATEGORIA",IF(E1909="","SEM SUBCATEGORIA",IF(COUNTIFS(CADASTROS!$L$7:$L$93,D1909,CADASTROS!$D$7:$D$93,E1909)=0,"INCOMPATÍVEL","OK"))))</f>
        <v/>
      </c>
    </row>
    <row r="1910" spans="1:11" ht="30" hidden="1" customHeight="1" x14ac:dyDescent="0.25">
      <c r="A1910" s="86" t="str">
        <f>IF(COUNTIF(EXTRATO!$A$2:$A$3000,"BAN-01767")=0,"","BAN-01767")</f>
        <v/>
      </c>
      <c r="B1910" s="85" t="str">
        <f>IF(A1910="","",IF(INDEX(EXTRATO!$C$2:$C$3000,MATCH($A1910,EXTRATO!$A$2:$A$3000,0))="","",INDEX(EXTRATO!$C$2:$C$3000,MATCH($A1910,EXTRATO!$A$2:$A$3000,0))))</f>
        <v/>
      </c>
      <c r="C1910" s="86" t="str">
        <f t="shared" si="46"/>
        <v/>
      </c>
      <c r="D1910" s="81"/>
      <c r="E1910" s="79"/>
      <c r="F1910" s="80" t="str">
        <f>IF(A1910="","",SUMIF(EXTRATO!$A$2:$A$3000,$A1910,EXTRATO!$J$2:$J$3000)+SUMIF(EXTRATO!$A$2:$A$3000,$A1910,EXTRATO!$K$2:$K$3000)+SUMIF(EXTRATO!$A$2:$A$3000,$A1910,EXTRATO!$L$2:$L$3000)+SUMIF(EXTRATO!$A$2:$A$3000,$A1910,EXTRATO!$M$2:$M$3000))</f>
        <v/>
      </c>
      <c r="G1910" s="81" t="str">
        <f>IF(A1910="","",IF(INDEX(EXTRATO!$G$2:$G$3000,MATCH($A1910,EXTRATO!$A$2:$A$3000,0))="","",INDEX(EXTRATO!$G$2:$G$3000,MATCH($A1910,EXTRATO!$A$2:$A$3000,0))))</f>
        <v/>
      </c>
      <c r="H1910" s="86" t="str">
        <f>IF(A1910="","",IF(INDEX(EXTRATO!$F$2:$F$3000,MATCH($A1910,EXTRATO!$A$2:$A$3000,0))="","",INDEX(EXTRATO!$F$2:$F$3000,MATCH($A1910,EXTRATO!$A$2:$A$3000,0))))</f>
        <v/>
      </c>
      <c r="I1910" s="88" t="str">
        <f>IF(A1910="","",IF(INDEX(EXTRATO!$H$2:$H$3000,MATCH($A1910,EXTRATO!$A$2:$A$3000,0))="","",INDEX(EXTRATO!$H$2:$H$3000,MATCH($A1910,EXTRATO!$A$2:$A$3000,0))))</f>
        <v/>
      </c>
      <c r="J1910" s="86" t="str">
        <f t="shared" si="47"/>
        <v/>
      </c>
      <c r="K1910" s="86" t="str">
        <f>IF(AND(A1910="",D1910="",E1910="",F1910=""),"",IF(D1910="","SEM CATEGORIA",IF(E1910="","SEM SUBCATEGORIA",IF(COUNTIFS(CADASTROS!$L$7:$L$93,D1910,CADASTROS!$D$7:$D$93,E1910)=0,"INCOMPATÍVEL","OK"))))</f>
        <v/>
      </c>
    </row>
    <row r="1911" spans="1:11" ht="30" hidden="1" customHeight="1" x14ac:dyDescent="0.25">
      <c r="A1911" s="86" t="str">
        <f>IF(COUNTIF(EXTRATO!$A$2:$A$3000,"BAN-01768")=0,"","BAN-01768")</f>
        <v/>
      </c>
      <c r="B1911" s="85" t="str">
        <f>IF(A1911="","",IF(INDEX(EXTRATO!$C$2:$C$3000,MATCH($A1911,EXTRATO!$A$2:$A$3000,0))="","",INDEX(EXTRATO!$C$2:$C$3000,MATCH($A1911,EXTRATO!$A$2:$A$3000,0))))</f>
        <v/>
      </c>
      <c r="C1911" s="86" t="str">
        <f t="shared" si="46"/>
        <v/>
      </c>
      <c r="D1911" s="81"/>
      <c r="E1911" s="79"/>
      <c r="F1911" s="80" t="str">
        <f>IF(A1911="","",SUMIF(EXTRATO!$A$2:$A$3000,$A1911,EXTRATO!$J$2:$J$3000)+SUMIF(EXTRATO!$A$2:$A$3000,$A1911,EXTRATO!$K$2:$K$3000)+SUMIF(EXTRATO!$A$2:$A$3000,$A1911,EXTRATO!$L$2:$L$3000)+SUMIF(EXTRATO!$A$2:$A$3000,$A1911,EXTRATO!$M$2:$M$3000))</f>
        <v/>
      </c>
      <c r="G1911" s="81" t="str">
        <f>IF(A1911="","",IF(INDEX(EXTRATO!$G$2:$G$3000,MATCH($A1911,EXTRATO!$A$2:$A$3000,0))="","",INDEX(EXTRATO!$G$2:$G$3000,MATCH($A1911,EXTRATO!$A$2:$A$3000,0))))</f>
        <v/>
      </c>
      <c r="H1911" s="86" t="str">
        <f>IF(A1911="","",IF(INDEX(EXTRATO!$F$2:$F$3000,MATCH($A1911,EXTRATO!$A$2:$A$3000,0))="","",INDEX(EXTRATO!$F$2:$F$3000,MATCH($A1911,EXTRATO!$A$2:$A$3000,0))))</f>
        <v/>
      </c>
      <c r="I1911" s="88" t="str">
        <f>IF(A1911="","",IF(INDEX(EXTRATO!$H$2:$H$3000,MATCH($A1911,EXTRATO!$A$2:$A$3000,0))="","",INDEX(EXTRATO!$H$2:$H$3000,MATCH($A1911,EXTRATO!$A$2:$A$3000,0))))</f>
        <v/>
      </c>
      <c r="J1911" s="86" t="str">
        <f t="shared" si="47"/>
        <v/>
      </c>
      <c r="K1911" s="86" t="str">
        <f>IF(AND(A1911="",D1911="",E1911="",F1911=""),"",IF(D1911="","SEM CATEGORIA",IF(E1911="","SEM SUBCATEGORIA",IF(COUNTIFS(CADASTROS!$L$7:$L$93,D1911,CADASTROS!$D$7:$D$93,E1911)=0,"INCOMPATÍVEL","OK"))))</f>
        <v/>
      </c>
    </row>
    <row r="1912" spans="1:11" ht="30" hidden="1" customHeight="1" x14ac:dyDescent="0.25">
      <c r="A1912" s="86" t="str">
        <f>IF(COUNTIF(EXTRATO!$A$2:$A$3000,"BAN-01769")=0,"","BAN-01769")</f>
        <v/>
      </c>
      <c r="B1912" s="85" t="str">
        <f>IF(A1912="","",IF(INDEX(EXTRATO!$C$2:$C$3000,MATCH($A1912,EXTRATO!$A$2:$A$3000,0))="","",INDEX(EXTRATO!$C$2:$C$3000,MATCH($A1912,EXTRATO!$A$2:$A$3000,0))))</f>
        <v/>
      </c>
      <c r="C1912" s="86" t="str">
        <f t="shared" si="46"/>
        <v/>
      </c>
      <c r="D1912" s="81"/>
      <c r="E1912" s="79"/>
      <c r="F1912" s="80" t="str">
        <f>IF(A1912="","",SUMIF(EXTRATO!$A$2:$A$3000,$A1912,EXTRATO!$J$2:$J$3000)+SUMIF(EXTRATO!$A$2:$A$3000,$A1912,EXTRATO!$K$2:$K$3000)+SUMIF(EXTRATO!$A$2:$A$3000,$A1912,EXTRATO!$L$2:$L$3000)+SUMIF(EXTRATO!$A$2:$A$3000,$A1912,EXTRATO!$M$2:$M$3000))</f>
        <v/>
      </c>
      <c r="G1912" s="81" t="str">
        <f>IF(A1912="","",IF(INDEX(EXTRATO!$G$2:$G$3000,MATCH($A1912,EXTRATO!$A$2:$A$3000,0))="","",INDEX(EXTRATO!$G$2:$G$3000,MATCH($A1912,EXTRATO!$A$2:$A$3000,0))))</f>
        <v/>
      </c>
      <c r="H1912" s="86" t="str">
        <f>IF(A1912="","",IF(INDEX(EXTRATO!$F$2:$F$3000,MATCH($A1912,EXTRATO!$A$2:$A$3000,0))="","",INDEX(EXTRATO!$F$2:$F$3000,MATCH($A1912,EXTRATO!$A$2:$A$3000,0))))</f>
        <v/>
      </c>
      <c r="I1912" s="88" t="str">
        <f>IF(A1912="","",IF(INDEX(EXTRATO!$H$2:$H$3000,MATCH($A1912,EXTRATO!$A$2:$A$3000,0))="","",INDEX(EXTRATO!$H$2:$H$3000,MATCH($A1912,EXTRATO!$A$2:$A$3000,0))))</f>
        <v/>
      </c>
      <c r="J1912" s="86" t="str">
        <f t="shared" si="47"/>
        <v/>
      </c>
      <c r="K1912" s="86" t="str">
        <f>IF(AND(A1912="",D1912="",E1912="",F1912=""),"",IF(D1912="","SEM CATEGORIA",IF(E1912="","SEM SUBCATEGORIA",IF(COUNTIFS(CADASTROS!$L$7:$L$93,D1912,CADASTROS!$D$7:$D$93,E1912)=0,"INCOMPATÍVEL","OK"))))</f>
        <v/>
      </c>
    </row>
    <row r="1913" spans="1:11" ht="30" hidden="1" customHeight="1" x14ac:dyDescent="0.25">
      <c r="A1913" s="86" t="str">
        <f>IF(COUNTIF(EXTRATO!$A$2:$A$3000,"BAN-01770")=0,"","BAN-01770")</f>
        <v/>
      </c>
      <c r="B1913" s="85" t="str">
        <f>IF(A1913="","",IF(INDEX(EXTRATO!$C$2:$C$3000,MATCH($A1913,EXTRATO!$A$2:$A$3000,0))="","",INDEX(EXTRATO!$C$2:$C$3000,MATCH($A1913,EXTRATO!$A$2:$A$3000,0))))</f>
        <v/>
      </c>
      <c r="C1913" s="86" t="str">
        <f t="shared" si="46"/>
        <v/>
      </c>
      <c r="D1913" s="81"/>
      <c r="E1913" s="79"/>
      <c r="F1913" s="80" t="str">
        <f>IF(A1913="","",SUMIF(EXTRATO!$A$2:$A$3000,$A1913,EXTRATO!$J$2:$J$3000)+SUMIF(EXTRATO!$A$2:$A$3000,$A1913,EXTRATO!$K$2:$K$3000)+SUMIF(EXTRATO!$A$2:$A$3000,$A1913,EXTRATO!$L$2:$L$3000)+SUMIF(EXTRATO!$A$2:$A$3000,$A1913,EXTRATO!$M$2:$M$3000))</f>
        <v/>
      </c>
      <c r="G1913" s="81" t="str">
        <f>IF(A1913="","",IF(INDEX(EXTRATO!$G$2:$G$3000,MATCH($A1913,EXTRATO!$A$2:$A$3000,0))="","",INDEX(EXTRATO!$G$2:$G$3000,MATCH($A1913,EXTRATO!$A$2:$A$3000,0))))</f>
        <v/>
      </c>
      <c r="H1913" s="86" t="str">
        <f>IF(A1913="","",IF(INDEX(EXTRATO!$F$2:$F$3000,MATCH($A1913,EXTRATO!$A$2:$A$3000,0))="","",INDEX(EXTRATO!$F$2:$F$3000,MATCH($A1913,EXTRATO!$A$2:$A$3000,0))))</f>
        <v/>
      </c>
      <c r="I1913" s="88" t="str">
        <f>IF(A1913="","",IF(INDEX(EXTRATO!$H$2:$H$3000,MATCH($A1913,EXTRATO!$A$2:$A$3000,0))="","",INDEX(EXTRATO!$H$2:$H$3000,MATCH($A1913,EXTRATO!$A$2:$A$3000,0))))</f>
        <v/>
      </c>
      <c r="J1913" s="86" t="str">
        <f t="shared" si="47"/>
        <v/>
      </c>
      <c r="K1913" s="86" t="str">
        <f>IF(AND(A1913="",D1913="",E1913="",F1913=""),"",IF(D1913="","SEM CATEGORIA",IF(E1913="","SEM SUBCATEGORIA",IF(COUNTIFS(CADASTROS!$L$7:$L$93,D1913,CADASTROS!$D$7:$D$93,E1913)=0,"INCOMPATÍVEL","OK"))))</f>
        <v/>
      </c>
    </row>
    <row r="1914" spans="1:11" ht="30" hidden="1" customHeight="1" x14ac:dyDescent="0.25">
      <c r="A1914" s="86" t="str">
        <f>IF(COUNTIF(EXTRATO!$A$2:$A$3000,"BAN-01771")=0,"","BAN-01771")</f>
        <v/>
      </c>
      <c r="B1914" s="85" t="str">
        <f>IF(A1914="","",IF(INDEX(EXTRATO!$C$2:$C$3000,MATCH($A1914,EXTRATO!$A$2:$A$3000,0))="","",INDEX(EXTRATO!$C$2:$C$3000,MATCH($A1914,EXTRATO!$A$2:$A$3000,0))))</f>
        <v/>
      </c>
      <c r="C1914" s="86" t="str">
        <f t="shared" si="46"/>
        <v/>
      </c>
      <c r="D1914" s="81"/>
      <c r="E1914" s="79"/>
      <c r="F1914" s="80" t="str">
        <f>IF(A1914="","",SUMIF(EXTRATO!$A$2:$A$3000,$A1914,EXTRATO!$J$2:$J$3000)+SUMIF(EXTRATO!$A$2:$A$3000,$A1914,EXTRATO!$K$2:$K$3000)+SUMIF(EXTRATO!$A$2:$A$3000,$A1914,EXTRATO!$L$2:$L$3000)+SUMIF(EXTRATO!$A$2:$A$3000,$A1914,EXTRATO!$M$2:$M$3000))</f>
        <v/>
      </c>
      <c r="G1914" s="81" t="str">
        <f>IF(A1914="","",IF(INDEX(EXTRATO!$G$2:$G$3000,MATCH($A1914,EXTRATO!$A$2:$A$3000,0))="","",INDEX(EXTRATO!$G$2:$G$3000,MATCH($A1914,EXTRATO!$A$2:$A$3000,0))))</f>
        <v/>
      </c>
      <c r="H1914" s="86" t="str">
        <f>IF(A1914="","",IF(INDEX(EXTRATO!$F$2:$F$3000,MATCH($A1914,EXTRATO!$A$2:$A$3000,0))="","",INDEX(EXTRATO!$F$2:$F$3000,MATCH($A1914,EXTRATO!$A$2:$A$3000,0))))</f>
        <v/>
      </c>
      <c r="I1914" s="88" t="str">
        <f>IF(A1914="","",IF(INDEX(EXTRATO!$H$2:$H$3000,MATCH($A1914,EXTRATO!$A$2:$A$3000,0))="","",INDEX(EXTRATO!$H$2:$H$3000,MATCH($A1914,EXTRATO!$A$2:$A$3000,0))))</f>
        <v/>
      </c>
      <c r="J1914" s="86" t="str">
        <f t="shared" si="47"/>
        <v/>
      </c>
      <c r="K1914" s="86" t="str">
        <f>IF(AND(A1914="",D1914="",E1914="",F1914=""),"",IF(D1914="","SEM CATEGORIA",IF(E1914="","SEM SUBCATEGORIA",IF(COUNTIFS(CADASTROS!$L$7:$L$93,D1914,CADASTROS!$D$7:$D$93,E1914)=0,"INCOMPATÍVEL","OK"))))</f>
        <v/>
      </c>
    </row>
    <row r="1915" spans="1:11" ht="30" hidden="1" customHeight="1" x14ac:dyDescent="0.25">
      <c r="A1915" s="86" t="str">
        <f>IF(COUNTIF(EXTRATO!$A$2:$A$3000,"BAN-01772")=0,"","BAN-01772")</f>
        <v/>
      </c>
      <c r="B1915" s="85" t="str">
        <f>IF(A1915="","",IF(INDEX(EXTRATO!$C$2:$C$3000,MATCH($A1915,EXTRATO!$A$2:$A$3000,0))="","",INDEX(EXTRATO!$C$2:$C$3000,MATCH($A1915,EXTRATO!$A$2:$A$3000,0))))</f>
        <v/>
      </c>
      <c r="C1915" s="86" t="str">
        <f t="shared" si="46"/>
        <v/>
      </c>
      <c r="D1915" s="81"/>
      <c r="E1915" s="79"/>
      <c r="F1915" s="80" t="str">
        <f>IF(A1915="","",SUMIF(EXTRATO!$A$2:$A$3000,$A1915,EXTRATO!$J$2:$J$3000)+SUMIF(EXTRATO!$A$2:$A$3000,$A1915,EXTRATO!$K$2:$K$3000)+SUMIF(EXTRATO!$A$2:$A$3000,$A1915,EXTRATO!$L$2:$L$3000)+SUMIF(EXTRATO!$A$2:$A$3000,$A1915,EXTRATO!$M$2:$M$3000))</f>
        <v/>
      </c>
      <c r="G1915" s="81" t="str">
        <f>IF(A1915="","",IF(INDEX(EXTRATO!$G$2:$G$3000,MATCH($A1915,EXTRATO!$A$2:$A$3000,0))="","",INDEX(EXTRATO!$G$2:$G$3000,MATCH($A1915,EXTRATO!$A$2:$A$3000,0))))</f>
        <v/>
      </c>
      <c r="H1915" s="86" t="str">
        <f>IF(A1915="","",IF(INDEX(EXTRATO!$F$2:$F$3000,MATCH($A1915,EXTRATO!$A$2:$A$3000,0))="","",INDEX(EXTRATO!$F$2:$F$3000,MATCH($A1915,EXTRATO!$A$2:$A$3000,0))))</f>
        <v/>
      </c>
      <c r="I1915" s="88" t="str">
        <f>IF(A1915="","",IF(INDEX(EXTRATO!$H$2:$H$3000,MATCH($A1915,EXTRATO!$A$2:$A$3000,0))="","",INDEX(EXTRATO!$H$2:$H$3000,MATCH($A1915,EXTRATO!$A$2:$A$3000,0))))</f>
        <v/>
      </c>
      <c r="J1915" s="86" t="str">
        <f t="shared" si="47"/>
        <v/>
      </c>
      <c r="K1915" s="86" t="str">
        <f>IF(AND(A1915="",D1915="",E1915="",F1915=""),"",IF(D1915="","SEM CATEGORIA",IF(E1915="","SEM SUBCATEGORIA",IF(COUNTIFS(CADASTROS!$L$7:$L$93,D1915,CADASTROS!$D$7:$D$93,E1915)=0,"INCOMPATÍVEL","OK"))))</f>
        <v/>
      </c>
    </row>
    <row r="1916" spans="1:11" ht="30" hidden="1" customHeight="1" x14ac:dyDescent="0.25">
      <c r="A1916" s="86" t="str">
        <f>IF(COUNTIF(EXTRATO!$A$2:$A$3000,"BAN-01773")=0,"","BAN-01773")</f>
        <v/>
      </c>
      <c r="B1916" s="85" t="str">
        <f>IF(A1916="","",IF(INDEX(EXTRATO!$C$2:$C$3000,MATCH($A1916,EXTRATO!$A$2:$A$3000,0))="","",INDEX(EXTRATO!$C$2:$C$3000,MATCH($A1916,EXTRATO!$A$2:$A$3000,0))))</f>
        <v/>
      </c>
      <c r="C1916" s="86" t="str">
        <f t="shared" si="46"/>
        <v/>
      </c>
      <c r="D1916" s="81"/>
      <c r="E1916" s="79"/>
      <c r="F1916" s="80" t="str">
        <f>IF(A1916="","",SUMIF(EXTRATO!$A$2:$A$3000,$A1916,EXTRATO!$J$2:$J$3000)+SUMIF(EXTRATO!$A$2:$A$3000,$A1916,EXTRATO!$K$2:$K$3000)+SUMIF(EXTRATO!$A$2:$A$3000,$A1916,EXTRATO!$L$2:$L$3000)+SUMIF(EXTRATO!$A$2:$A$3000,$A1916,EXTRATO!$M$2:$M$3000))</f>
        <v/>
      </c>
      <c r="G1916" s="81" t="str">
        <f>IF(A1916="","",IF(INDEX(EXTRATO!$G$2:$G$3000,MATCH($A1916,EXTRATO!$A$2:$A$3000,0))="","",INDEX(EXTRATO!$G$2:$G$3000,MATCH($A1916,EXTRATO!$A$2:$A$3000,0))))</f>
        <v/>
      </c>
      <c r="H1916" s="86" t="str">
        <f>IF(A1916="","",IF(INDEX(EXTRATO!$F$2:$F$3000,MATCH($A1916,EXTRATO!$A$2:$A$3000,0))="","",INDEX(EXTRATO!$F$2:$F$3000,MATCH($A1916,EXTRATO!$A$2:$A$3000,0))))</f>
        <v/>
      </c>
      <c r="I1916" s="88" t="str">
        <f>IF(A1916="","",IF(INDEX(EXTRATO!$H$2:$H$3000,MATCH($A1916,EXTRATO!$A$2:$A$3000,0))="","",INDEX(EXTRATO!$H$2:$H$3000,MATCH($A1916,EXTRATO!$A$2:$A$3000,0))))</f>
        <v/>
      </c>
      <c r="J1916" s="86" t="str">
        <f t="shared" si="47"/>
        <v/>
      </c>
      <c r="K1916" s="86" t="str">
        <f>IF(AND(A1916="",D1916="",E1916="",F1916=""),"",IF(D1916="","SEM CATEGORIA",IF(E1916="","SEM SUBCATEGORIA",IF(COUNTIFS(CADASTROS!$L$7:$L$93,D1916,CADASTROS!$D$7:$D$93,E1916)=0,"INCOMPATÍVEL","OK"))))</f>
        <v/>
      </c>
    </row>
    <row r="1917" spans="1:11" ht="30" hidden="1" customHeight="1" x14ac:dyDescent="0.25">
      <c r="A1917" s="86" t="str">
        <f>IF(COUNTIF(EXTRATO!$A$2:$A$3000,"BAN-01774")=0,"","BAN-01774")</f>
        <v/>
      </c>
      <c r="B1917" s="85" t="str">
        <f>IF(A1917="","",IF(INDEX(EXTRATO!$C$2:$C$3000,MATCH($A1917,EXTRATO!$A$2:$A$3000,0))="","",INDEX(EXTRATO!$C$2:$C$3000,MATCH($A1917,EXTRATO!$A$2:$A$3000,0))))</f>
        <v/>
      </c>
      <c r="C1917" s="86" t="str">
        <f t="shared" si="46"/>
        <v/>
      </c>
      <c r="D1917" s="81"/>
      <c r="E1917" s="79"/>
      <c r="F1917" s="80" t="str">
        <f>IF(A1917="","",SUMIF(EXTRATO!$A$2:$A$3000,$A1917,EXTRATO!$J$2:$J$3000)+SUMIF(EXTRATO!$A$2:$A$3000,$A1917,EXTRATO!$K$2:$K$3000)+SUMIF(EXTRATO!$A$2:$A$3000,$A1917,EXTRATO!$L$2:$L$3000)+SUMIF(EXTRATO!$A$2:$A$3000,$A1917,EXTRATO!$M$2:$M$3000))</f>
        <v/>
      </c>
      <c r="G1917" s="81" t="str">
        <f>IF(A1917="","",IF(INDEX(EXTRATO!$G$2:$G$3000,MATCH($A1917,EXTRATO!$A$2:$A$3000,0))="","",INDEX(EXTRATO!$G$2:$G$3000,MATCH($A1917,EXTRATO!$A$2:$A$3000,0))))</f>
        <v/>
      </c>
      <c r="H1917" s="86" t="str">
        <f>IF(A1917="","",IF(INDEX(EXTRATO!$F$2:$F$3000,MATCH($A1917,EXTRATO!$A$2:$A$3000,0))="","",INDEX(EXTRATO!$F$2:$F$3000,MATCH($A1917,EXTRATO!$A$2:$A$3000,0))))</f>
        <v/>
      </c>
      <c r="I1917" s="88" t="str">
        <f>IF(A1917="","",IF(INDEX(EXTRATO!$H$2:$H$3000,MATCH($A1917,EXTRATO!$A$2:$A$3000,0))="","",INDEX(EXTRATO!$H$2:$H$3000,MATCH($A1917,EXTRATO!$A$2:$A$3000,0))))</f>
        <v/>
      </c>
      <c r="J1917" s="86" t="str">
        <f t="shared" si="47"/>
        <v/>
      </c>
      <c r="K1917" s="86" t="str">
        <f>IF(AND(A1917="",D1917="",E1917="",F1917=""),"",IF(D1917="","SEM CATEGORIA",IF(E1917="","SEM SUBCATEGORIA",IF(COUNTIFS(CADASTROS!$L$7:$L$93,D1917,CADASTROS!$D$7:$D$93,E1917)=0,"INCOMPATÍVEL","OK"))))</f>
        <v/>
      </c>
    </row>
    <row r="1918" spans="1:11" ht="30" hidden="1" customHeight="1" x14ac:dyDescent="0.25">
      <c r="A1918" s="86" t="str">
        <f>IF(COUNTIF(EXTRATO!$A$2:$A$3000,"BAN-01775")=0,"","BAN-01775")</f>
        <v/>
      </c>
      <c r="B1918" s="85" t="str">
        <f>IF(A1918="","",IF(INDEX(EXTRATO!$C$2:$C$3000,MATCH($A1918,EXTRATO!$A$2:$A$3000,0))="","",INDEX(EXTRATO!$C$2:$C$3000,MATCH($A1918,EXTRATO!$A$2:$A$3000,0))))</f>
        <v/>
      </c>
      <c r="C1918" s="86" t="str">
        <f t="shared" si="46"/>
        <v/>
      </c>
      <c r="D1918" s="81"/>
      <c r="E1918" s="79"/>
      <c r="F1918" s="80" t="str">
        <f>IF(A1918="","",SUMIF(EXTRATO!$A$2:$A$3000,$A1918,EXTRATO!$J$2:$J$3000)+SUMIF(EXTRATO!$A$2:$A$3000,$A1918,EXTRATO!$K$2:$K$3000)+SUMIF(EXTRATO!$A$2:$A$3000,$A1918,EXTRATO!$L$2:$L$3000)+SUMIF(EXTRATO!$A$2:$A$3000,$A1918,EXTRATO!$M$2:$M$3000))</f>
        <v/>
      </c>
      <c r="G1918" s="81" t="str">
        <f>IF(A1918="","",IF(INDEX(EXTRATO!$G$2:$G$3000,MATCH($A1918,EXTRATO!$A$2:$A$3000,0))="","",INDEX(EXTRATO!$G$2:$G$3000,MATCH($A1918,EXTRATO!$A$2:$A$3000,0))))</f>
        <v/>
      </c>
      <c r="H1918" s="86" t="str">
        <f>IF(A1918="","",IF(INDEX(EXTRATO!$F$2:$F$3000,MATCH($A1918,EXTRATO!$A$2:$A$3000,0))="","",INDEX(EXTRATO!$F$2:$F$3000,MATCH($A1918,EXTRATO!$A$2:$A$3000,0))))</f>
        <v/>
      </c>
      <c r="I1918" s="88" t="str">
        <f>IF(A1918="","",IF(INDEX(EXTRATO!$H$2:$H$3000,MATCH($A1918,EXTRATO!$A$2:$A$3000,0))="","",INDEX(EXTRATO!$H$2:$H$3000,MATCH($A1918,EXTRATO!$A$2:$A$3000,0))))</f>
        <v/>
      </c>
      <c r="J1918" s="86" t="str">
        <f t="shared" si="47"/>
        <v/>
      </c>
      <c r="K1918" s="86" t="str">
        <f>IF(AND(A1918="",D1918="",E1918="",F1918=""),"",IF(D1918="","SEM CATEGORIA",IF(E1918="","SEM SUBCATEGORIA",IF(COUNTIFS(CADASTROS!$L$7:$L$93,D1918,CADASTROS!$D$7:$D$93,E1918)=0,"INCOMPATÍVEL","OK"))))</f>
        <v/>
      </c>
    </row>
    <row r="1919" spans="1:11" ht="30" hidden="1" customHeight="1" x14ac:dyDescent="0.25">
      <c r="A1919" s="86" t="str">
        <f>IF(COUNTIF(EXTRATO!$A$2:$A$3000,"BAN-01776")=0,"","BAN-01776")</f>
        <v/>
      </c>
      <c r="B1919" s="85" t="str">
        <f>IF(A1919="","",IF(INDEX(EXTRATO!$C$2:$C$3000,MATCH($A1919,EXTRATO!$A$2:$A$3000,0))="","",INDEX(EXTRATO!$C$2:$C$3000,MATCH($A1919,EXTRATO!$A$2:$A$3000,0))))</f>
        <v/>
      </c>
      <c r="C1919" s="86" t="str">
        <f t="shared" si="46"/>
        <v/>
      </c>
      <c r="D1919" s="81"/>
      <c r="E1919" s="79"/>
      <c r="F1919" s="80" t="str">
        <f>IF(A1919="","",SUMIF(EXTRATO!$A$2:$A$3000,$A1919,EXTRATO!$J$2:$J$3000)+SUMIF(EXTRATO!$A$2:$A$3000,$A1919,EXTRATO!$K$2:$K$3000)+SUMIF(EXTRATO!$A$2:$A$3000,$A1919,EXTRATO!$L$2:$L$3000)+SUMIF(EXTRATO!$A$2:$A$3000,$A1919,EXTRATO!$M$2:$M$3000))</f>
        <v/>
      </c>
      <c r="G1919" s="81" t="str">
        <f>IF(A1919="","",IF(INDEX(EXTRATO!$G$2:$G$3000,MATCH($A1919,EXTRATO!$A$2:$A$3000,0))="","",INDEX(EXTRATO!$G$2:$G$3000,MATCH($A1919,EXTRATO!$A$2:$A$3000,0))))</f>
        <v/>
      </c>
      <c r="H1919" s="86" t="str">
        <f>IF(A1919="","",IF(INDEX(EXTRATO!$F$2:$F$3000,MATCH($A1919,EXTRATO!$A$2:$A$3000,0))="","",INDEX(EXTRATO!$F$2:$F$3000,MATCH($A1919,EXTRATO!$A$2:$A$3000,0))))</f>
        <v/>
      </c>
      <c r="I1919" s="88" t="str">
        <f>IF(A1919="","",IF(INDEX(EXTRATO!$H$2:$H$3000,MATCH($A1919,EXTRATO!$A$2:$A$3000,0))="","",INDEX(EXTRATO!$H$2:$H$3000,MATCH($A1919,EXTRATO!$A$2:$A$3000,0))))</f>
        <v/>
      </c>
      <c r="J1919" s="86" t="str">
        <f t="shared" si="47"/>
        <v/>
      </c>
      <c r="K1919" s="86" t="str">
        <f>IF(AND(A1919="",D1919="",E1919="",F1919=""),"",IF(D1919="","SEM CATEGORIA",IF(E1919="","SEM SUBCATEGORIA",IF(COUNTIFS(CADASTROS!$L$7:$L$93,D1919,CADASTROS!$D$7:$D$93,E1919)=0,"INCOMPATÍVEL","OK"))))</f>
        <v/>
      </c>
    </row>
    <row r="1920" spans="1:11" ht="30" hidden="1" customHeight="1" x14ac:dyDescent="0.25">
      <c r="A1920" s="86" t="str">
        <f>IF(COUNTIF(EXTRATO!$A$2:$A$3000,"BAN-01777")=0,"","BAN-01777")</f>
        <v/>
      </c>
      <c r="B1920" s="85" t="str">
        <f>IF(A1920="","",IF(INDEX(EXTRATO!$C$2:$C$3000,MATCH($A1920,EXTRATO!$A$2:$A$3000,0))="","",INDEX(EXTRATO!$C$2:$C$3000,MATCH($A1920,EXTRATO!$A$2:$A$3000,0))))</f>
        <v/>
      </c>
      <c r="C1920" s="86" t="str">
        <f t="shared" si="46"/>
        <v/>
      </c>
      <c r="D1920" s="81"/>
      <c r="E1920" s="79"/>
      <c r="F1920" s="80" t="str">
        <f>IF(A1920="","",SUMIF(EXTRATO!$A$2:$A$3000,$A1920,EXTRATO!$J$2:$J$3000)+SUMIF(EXTRATO!$A$2:$A$3000,$A1920,EXTRATO!$K$2:$K$3000)+SUMIF(EXTRATO!$A$2:$A$3000,$A1920,EXTRATO!$L$2:$L$3000)+SUMIF(EXTRATO!$A$2:$A$3000,$A1920,EXTRATO!$M$2:$M$3000))</f>
        <v/>
      </c>
      <c r="G1920" s="81" t="str">
        <f>IF(A1920="","",IF(INDEX(EXTRATO!$G$2:$G$3000,MATCH($A1920,EXTRATO!$A$2:$A$3000,0))="","",INDEX(EXTRATO!$G$2:$G$3000,MATCH($A1920,EXTRATO!$A$2:$A$3000,0))))</f>
        <v/>
      </c>
      <c r="H1920" s="86" t="str">
        <f>IF(A1920="","",IF(INDEX(EXTRATO!$F$2:$F$3000,MATCH($A1920,EXTRATO!$A$2:$A$3000,0))="","",INDEX(EXTRATO!$F$2:$F$3000,MATCH($A1920,EXTRATO!$A$2:$A$3000,0))))</f>
        <v/>
      </c>
      <c r="I1920" s="88" t="str">
        <f>IF(A1920="","",IF(INDEX(EXTRATO!$H$2:$H$3000,MATCH($A1920,EXTRATO!$A$2:$A$3000,0))="","",INDEX(EXTRATO!$H$2:$H$3000,MATCH($A1920,EXTRATO!$A$2:$A$3000,0))))</f>
        <v/>
      </c>
      <c r="J1920" s="86" t="str">
        <f t="shared" si="47"/>
        <v/>
      </c>
      <c r="K1920" s="86" t="str">
        <f>IF(AND(A1920="",D1920="",E1920="",F1920=""),"",IF(D1920="","SEM CATEGORIA",IF(E1920="","SEM SUBCATEGORIA",IF(COUNTIFS(CADASTROS!$L$7:$L$93,D1920,CADASTROS!$D$7:$D$93,E1920)=0,"INCOMPATÍVEL","OK"))))</f>
        <v/>
      </c>
    </row>
    <row r="1921" spans="1:11" ht="30" hidden="1" customHeight="1" x14ac:dyDescent="0.25">
      <c r="A1921" s="86" t="str">
        <f>IF(COUNTIF(EXTRATO!$A$2:$A$3000,"BAN-01778")=0,"","BAN-01778")</f>
        <v/>
      </c>
      <c r="B1921" s="85" t="str">
        <f>IF(A1921="","",IF(INDEX(EXTRATO!$C$2:$C$3000,MATCH($A1921,EXTRATO!$A$2:$A$3000,0))="","",INDEX(EXTRATO!$C$2:$C$3000,MATCH($A1921,EXTRATO!$A$2:$A$3000,0))))</f>
        <v/>
      </c>
      <c r="C1921" s="86" t="str">
        <f t="shared" si="46"/>
        <v/>
      </c>
      <c r="D1921" s="81"/>
      <c r="E1921" s="79"/>
      <c r="F1921" s="80" t="str">
        <f>IF(A1921="","",SUMIF(EXTRATO!$A$2:$A$3000,$A1921,EXTRATO!$J$2:$J$3000)+SUMIF(EXTRATO!$A$2:$A$3000,$A1921,EXTRATO!$K$2:$K$3000)+SUMIF(EXTRATO!$A$2:$A$3000,$A1921,EXTRATO!$L$2:$L$3000)+SUMIF(EXTRATO!$A$2:$A$3000,$A1921,EXTRATO!$M$2:$M$3000))</f>
        <v/>
      </c>
      <c r="G1921" s="81" t="str">
        <f>IF(A1921="","",IF(INDEX(EXTRATO!$G$2:$G$3000,MATCH($A1921,EXTRATO!$A$2:$A$3000,0))="","",INDEX(EXTRATO!$G$2:$G$3000,MATCH($A1921,EXTRATO!$A$2:$A$3000,0))))</f>
        <v/>
      </c>
      <c r="H1921" s="86" t="str">
        <f>IF(A1921="","",IF(INDEX(EXTRATO!$F$2:$F$3000,MATCH($A1921,EXTRATO!$A$2:$A$3000,0))="","",INDEX(EXTRATO!$F$2:$F$3000,MATCH($A1921,EXTRATO!$A$2:$A$3000,0))))</f>
        <v/>
      </c>
      <c r="I1921" s="88" t="str">
        <f>IF(A1921="","",IF(INDEX(EXTRATO!$H$2:$H$3000,MATCH($A1921,EXTRATO!$A$2:$A$3000,0))="","",INDEX(EXTRATO!$H$2:$H$3000,MATCH($A1921,EXTRATO!$A$2:$A$3000,0))))</f>
        <v/>
      </c>
      <c r="J1921" s="86" t="str">
        <f t="shared" si="47"/>
        <v/>
      </c>
      <c r="K1921" s="86" t="str">
        <f>IF(AND(A1921="",D1921="",E1921="",F1921=""),"",IF(D1921="","SEM CATEGORIA",IF(E1921="","SEM SUBCATEGORIA",IF(COUNTIFS(CADASTROS!$L$7:$L$93,D1921,CADASTROS!$D$7:$D$93,E1921)=0,"INCOMPATÍVEL","OK"))))</f>
        <v/>
      </c>
    </row>
    <row r="1922" spans="1:11" ht="30" hidden="1" customHeight="1" x14ac:dyDescent="0.25">
      <c r="A1922" s="86" t="str">
        <f>IF(COUNTIF(EXTRATO!$A$2:$A$3000,"BAN-01779")=0,"","BAN-01779")</f>
        <v/>
      </c>
      <c r="B1922" s="85" t="str">
        <f>IF(A1922="","",IF(INDEX(EXTRATO!$C$2:$C$3000,MATCH($A1922,EXTRATO!$A$2:$A$3000,0))="","",INDEX(EXTRATO!$C$2:$C$3000,MATCH($A1922,EXTRATO!$A$2:$A$3000,0))))</f>
        <v/>
      </c>
      <c r="C1922" s="86" t="str">
        <f t="shared" si="46"/>
        <v/>
      </c>
      <c r="D1922" s="81"/>
      <c r="E1922" s="79"/>
      <c r="F1922" s="80" t="str">
        <f>IF(A1922="","",SUMIF(EXTRATO!$A$2:$A$3000,$A1922,EXTRATO!$J$2:$J$3000)+SUMIF(EXTRATO!$A$2:$A$3000,$A1922,EXTRATO!$K$2:$K$3000)+SUMIF(EXTRATO!$A$2:$A$3000,$A1922,EXTRATO!$L$2:$L$3000)+SUMIF(EXTRATO!$A$2:$A$3000,$A1922,EXTRATO!$M$2:$M$3000))</f>
        <v/>
      </c>
      <c r="G1922" s="81" t="str">
        <f>IF(A1922="","",IF(INDEX(EXTRATO!$G$2:$G$3000,MATCH($A1922,EXTRATO!$A$2:$A$3000,0))="","",INDEX(EXTRATO!$G$2:$G$3000,MATCH($A1922,EXTRATO!$A$2:$A$3000,0))))</f>
        <v/>
      </c>
      <c r="H1922" s="86" t="str">
        <f>IF(A1922="","",IF(INDEX(EXTRATO!$F$2:$F$3000,MATCH($A1922,EXTRATO!$A$2:$A$3000,0))="","",INDEX(EXTRATO!$F$2:$F$3000,MATCH($A1922,EXTRATO!$A$2:$A$3000,0))))</f>
        <v/>
      </c>
      <c r="I1922" s="88" t="str">
        <f>IF(A1922="","",IF(INDEX(EXTRATO!$H$2:$H$3000,MATCH($A1922,EXTRATO!$A$2:$A$3000,0))="","",INDEX(EXTRATO!$H$2:$H$3000,MATCH($A1922,EXTRATO!$A$2:$A$3000,0))))</f>
        <v/>
      </c>
      <c r="J1922" s="86" t="str">
        <f t="shared" si="47"/>
        <v/>
      </c>
      <c r="K1922" s="86" t="str">
        <f>IF(AND(A1922="",D1922="",E1922="",F1922=""),"",IF(D1922="","SEM CATEGORIA",IF(E1922="","SEM SUBCATEGORIA",IF(COUNTIFS(CADASTROS!$L$7:$L$93,D1922,CADASTROS!$D$7:$D$93,E1922)=0,"INCOMPATÍVEL","OK"))))</f>
        <v/>
      </c>
    </row>
    <row r="1923" spans="1:11" ht="30" hidden="1" customHeight="1" x14ac:dyDescent="0.25">
      <c r="A1923" s="86" t="str">
        <f>IF(COUNTIF(EXTRATO!$A$2:$A$3000,"BAN-01780")=0,"","BAN-01780")</f>
        <v/>
      </c>
      <c r="B1923" s="85" t="str">
        <f>IF(A1923="","",IF(INDEX(EXTRATO!$C$2:$C$3000,MATCH($A1923,EXTRATO!$A$2:$A$3000,0))="","",INDEX(EXTRATO!$C$2:$C$3000,MATCH($A1923,EXTRATO!$A$2:$A$3000,0))))</f>
        <v/>
      </c>
      <c r="C1923" s="86" t="str">
        <f t="shared" si="46"/>
        <v/>
      </c>
      <c r="D1923" s="81"/>
      <c r="E1923" s="79"/>
      <c r="F1923" s="80" t="str">
        <f>IF(A1923="","",SUMIF(EXTRATO!$A$2:$A$3000,$A1923,EXTRATO!$J$2:$J$3000)+SUMIF(EXTRATO!$A$2:$A$3000,$A1923,EXTRATO!$K$2:$K$3000)+SUMIF(EXTRATO!$A$2:$A$3000,$A1923,EXTRATO!$L$2:$L$3000)+SUMIF(EXTRATO!$A$2:$A$3000,$A1923,EXTRATO!$M$2:$M$3000))</f>
        <v/>
      </c>
      <c r="G1923" s="81" t="str">
        <f>IF(A1923="","",IF(INDEX(EXTRATO!$G$2:$G$3000,MATCH($A1923,EXTRATO!$A$2:$A$3000,0))="","",INDEX(EXTRATO!$G$2:$G$3000,MATCH($A1923,EXTRATO!$A$2:$A$3000,0))))</f>
        <v/>
      </c>
      <c r="H1923" s="86" t="str">
        <f>IF(A1923="","",IF(INDEX(EXTRATO!$F$2:$F$3000,MATCH($A1923,EXTRATO!$A$2:$A$3000,0))="","",INDEX(EXTRATO!$F$2:$F$3000,MATCH($A1923,EXTRATO!$A$2:$A$3000,0))))</f>
        <v/>
      </c>
      <c r="I1923" s="88" t="str">
        <f>IF(A1923="","",IF(INDEX(EXTRATO!$H$2:$H$3000,MATCH($A1923,EXTRATO!$A$2:$A$3000,0))="","",INDEX(EXTRATO!$H$2:$H$3000,MATCH($A1923,EXTRATO!$A$2:$A$3000,0))))</f>
        <v/>
      </c>
      <c r="J1923" s="86" t="str">
        <f t="shared" si="47"/>
        <v/>
      </c>
      <c r="K1923" s="86" t="str">
        <f>IF(AND(A1923="",D1923="",E1923="",F1923=""),"",IF(D1923="","SEM CATEGORIA",IF(E1923="","SEM SUBCATEGORIA",IF(COUNTIFS(CADASTROS!$L$7:$L$93,D1923,CADASTROS!$D$7:$D$93,E1923)=0,"INCOMPATÍVEL","OK"))))</f>
        <v/>
      </c>
    </row>
    <row r="1924" spans="1:11" ht="30" hidden="1" customHeight="1" x14ac:dyDescent="0.25">
      <c r="A1924" s="86" t="str">
        <f>IF(COUNTIF(EXTRATO!$A$2:$A$3000,"BAN-01781")=0,"","BAN-01781")</f>
        <v/>
      </c>
      <c r="B1924" s="85" t="str">
        <f>IF(A1924="","",IF(INDEX(EXTRATO!$C$2:$C$3000,MATCH($A1924,EXTRATO!$A$2:$A$3000,0))="","",INDEX(EXTRATO!$C$2:$C$3000,MATCH($A1924,EXTRATO!$A$2:$A$3000,0))))</f>
        <v/>
      </c>
      <c r="C1924" s="86" t="str">
        <f t="shared" si="46"/>
        <v/>
      </c>
      <c r="D1924" s="81"/>
      <c r="E1924" s="79"/>
      <c r="F1924" s="80" t="str">
        <f>IF(A1924="","",SUMIF(EXTRATO!$A$2:$A$3000,$A1924,EXTRATO!$J$2:$J$3000)+SUMIF(EXTRATO!$A$2:$A$3000,$A1924,EXTRATO!$K$2:$K$3000)+SUMIF(EXTRATO!$A$2:$A$3000,$A1924,EXTRATO!$L$2:$L$3000)+SUMIF(EXTRATO!$A$2:$A$3000,$A1924,EXTRATO!$M$2:$M$3000))</f>
        <v/>
      </c>
      <c r="G1924" s="81" t="str">
        <f>IF(A1924="","",IF(INDEX(EXTRATO!$G$2:$G$3000,MATCH($A1924,EXTRATO!$A$2:$A$3000,0))="","",INDEX(EXTRATO!$G$2:$G$3000,MATCH($A1924,EXTRATO!$A$2:$A$3000,0))))</f>
        <v/>
      </c>
      <c r="H1924" s="86" t="str">
        <f>IF(A1924="","",IF(INDEX(EXTRATO!$F$2:$F$3000,MATCH($A1924,EXTRATO!$A$2:$A$3000,0))="","",INDEX(EXTRATO!$F$2:$F$3000,MATCH($A1924,EXTRATO!$A$2:$A$3000,0))))</f>
        <v/>
      </c>
      <c r="I1924" s="88" t="str">
        <f>IF(A1924="","",IF(INDEX(EXTRATO!$H$2:$H$3000,MATCH($A1924,EXTRATO!$A$2:$A$3000,0))="","",INDEX(EXTRATO!$H$2:$H$3000,MATCH($A1924,EXTRATO!$A$2:$A$3000,0))))</f>
        <v/>
      </c>
      <c r="J1924" s="86" t="str">
        <f t="shared" si="47"/>
        <v/>
      </c>
      <c r="K1924" s="86" t="str">
        <f>IF(AND(A1924="",D1924="",E1924="",F1924=""),"",IF(D1924="","SEM CATEGORIA",IF(E1924="","SEM SUBCATEGORIA",IF(COUNTIFS(CADASTROS!$L$7:$L$93,D1924,CADASTROS!$D$7:$D$93,E1924)=0,"INCOMPATÍVEL","OK"))))</f>
        <v/>
      </c>
    </row>
    <row r="1925" spans="1:11" ht="30" hidden="1" customHeight="1" x14ac:dyDescent="0.25">
      <c r="A1925" s="86" t="str">
        <f>IF(COUNTIF(EXTRATO!$A$2:$A$3000,"BAN-01782")=0,"","BAN-01782")</f>
        <v/>
      </c>
      <c r="B1925" s="85" t="str">
        <f>IF(A1925="","",IF(INDEX(EXTRATO!$C$2:$C$3000,MATCH($A1925,EXTRATO!$A$2:$A$3000,0))="","",INDEX(EXTRATO!$C$2:$C$3000,MATCH($A1925,EXTRATO!$A$2:$A$3000,0))))</f>
        <v/>
      </c>
      <c r="C1925" s="86" t="str">
        <f t="shared" si="46"/>
        <v/>
      </c>
      <c r="D1925" s="81"/>
      <c r="E1925" s="79"/>
      <c r="F1925" s="80" t="str">
        <f>IF(A1925="","",SUMIF(EXTRATO!$A$2:$A$3000,$A1925,EXTRATO!$J$2:$J$3000)+SUMIF(EXTRATO!$A$2:$A$3000,$A1925,EXTRATO!$K$2:$K$3000)+SUMIF(EXTRATO!$A$2:$A$3000,$A1925,EXTRATO!$L$2:$L$3000)+SUMIF(EXTRATO!$A$2:$A$3000,$A1925,EXTRATO!$M$2:$M$3000))</f>
        <v/>
      </c>
      <c r="G1925" s="81" t="str">
        <f>IF(A1925="","",IF(INDEX(EXTRATO!$G$2:$G$3000,MATCH($A1925,EXTRATO!$A$2:$A$3000,0))="","",INDEX(EXTRATO!$G$2:$G$3000,MATCH($A1925,EXTRATO!$A$2:$A$3000,0))))</f>
        <v/>
      </c>
      <c r="H1925" s="86" t="str">
        <f>IF(A1925="","",IF(INDEX(EXTRATO!$F$2:$F$3000,MATCH($A1925,EXTRATO!$A$2:$A$3000,0))="","",INDEX(EXTRATO!$F$2:$F$3000,MATCH($A1925,EXTRATO!$A$2:$A$3000,0))))</f>
        <v/>
      </c>
      <c r="I1925" s="88" t="str">
        <f>IF(A1925="","",IF(INDEX(EXTRATO!$H$2:$H$3000,MATCH($A1925,EXTRATO!$A$2:$A$3000,0))="","",INDEX(EXTRATO!$H$2:$H$3000,MATCH($A1925,EXTRATO!$A$2:$A$3000,0))))</f>
        <v/>
      </c>
      <c r="J1925" s="86" t="str">
        <f t="shared" si="47"/>
        <v/>
      </c>
      <c r="K1925" s="86" t="str">
        <f>IF(AND(A1925="",D1925="",E1925="",F1925=""),"",IF(D1925="","SEM CATEGORIA",IF(E1925="","SEM SUBCATEGORIA",IF(COUNTIFS(CADASTROS!$L$7:$L$93,D1925,CADASTROS!$D$7:$D$93,E1925)=0,"INCOMPATÍVEL","OK"))))</f>
        <v/>
      </c>
    </row>
    <row r="1926" spans="1:11" ht="30" hidden="1" customHeight="1" x14ac:dyDescent="0.25">
      <c r="A1926" s="86" t="str">
        <f>IF(COUNTIF(EXTRATO!$A$2:$A$3000,"BAN-01783")=0,"","BAN-01783")</f>
        <v/>
      </c>
      <c r="B1926" s="85" t="str">
        <f>IF(A1926="","",IF(INDEX(EXTRATO!$C$2:$C$3000,MATCH($A1926,EXTRATO!$A$2:$A$3000,0))="","",INDEX(EXTRATO!$C$2:$C$3000,MATCH($A1926,EXTRATO!$A$2:$A$3000,0))))</f>
        <v/>
      </c>
      <c r="C1926" s="86" t="str">
        <f t="shared" si="46"/>
        <v/>
      </c>
      <c r="D1926" s="81"/>
      <c r="E1926" s="79"/>
      <c r="F1926" s="80" t="str">
        <f>IF(A1926="","",SUMIF(EXTRATO!$A$2:$A$3000,$A1926,EXTRATO!$J$2:$J$3000)+SUMIF(EXTRATO!$A$2:$A$3000,$A1926,EXTRATO!$K$2:$K$3000)+SUMIF(EXTRATO!$A$2:$A$3000,$A1926,EXTRATO!$L$2:$L$3000)+SUMIF(EXTRATO!$A$2:$A$3000,$A1926,EXTRATO!$M$2:$M$3000))</f>
        <v/>
      </c>
      <c r="G1926" s="81" t="str">
        <f>IF(A1926="","",IF(INDEX(EXTRATO!$G$2:$G$3000,MATCH($A1926,EXTRATO!$A$2:$A$3000,0))="","",INDEX(EXTRATO!$G$2:$G$3000,MATCH($A1926,EXTRATO!$A$2:$A$3000,0))))</f>
        <v/>
      </c>
      <c r="H1926" s="86" t="str">
        <f>IF(A1926="","",IF(INDEX(EXTRATO!$F$2:$F$3000,MATCH($A1926,EXTRATO!$A$2:$A$3000,0))="","",INDEX(EXTRATO!$F$2:$F$3000,MATCH($A1926,EXTRATO!$A$2:$A$3000,0))))</f>
        <v/>
      </c>
      <c r="I1926" s="88" t="str">
        <f>IF(A1926="","",IF(INDEX(EXTRATO!$H$2:$H$3000,MATCH($A1926,EXTRATO!$A$2:$A$3000,0))="","",INDEX(EXTRATO!$H$2:$H$3000,MATCH($A1926,EXTRATO!$A$2:$A$3000,0))))</f>
        <v/>
      </c>
      <c r="J1926" s="86" t="str">
        <f t="shared" si="47"/>
        <v/>
      </c>
      <c r="K1926" s="86" t="str">
        <f>IF(AND(A1926="",D1926="",E1926="",F1926=""),"",IF(D1926="","SEM CATEGORIA",IF(E1926="","SEM SUBCATEGORIA",IF(COUNTIFS(CADASTROS!$L$7:$L$93,D1926,CADASTROS!$D$7:$D$93,E1926)=0,"INCOMPATÍVEL","OK"))))</f>
        <v/>
      </c>
    </row>
    <row r="1927" spans="1:11" ht="30" hidden="1" customHeight="1" x14ac:dyDescent="0.25">
      <c r="A1927" s="86" t="str">
        <f>IF(COUNTIF(EXTRATO!$A$2:$A$3000,"BAN-01784")=0,"","BAN-01784")</f>
        <v/>
      </c>
      <c r="B1927" s="85" t="str">
        <f>IF(A1927="","",IF(INDEX(EXTRATO!$C$2:$C$3000,MATCH($A1927,EXTRATO!$A$2:$A$3000,0))="","",INDEX(EXTRATO!$C$2:$C$3000,MATCH($A1927,EXTRATO!$A$2:$A$3000,0))))</f>
        <v/>
      </c>
      <c r="C1927" s="86" t="str">
        <f t="shared" si="46"/>
        <v/>
      </c>
      <c r="D1927" s="81"/>
      <c r="E1927" s="79"/>
      <c r="F1927" s="80" t="str">
        <f>IF(A1927="","",SUMIF(EXTRATO!$A$2:$A$3000,$A1927,EXTRATO!$J$2:$J$3000)+SUMIF(EXTRATO!$A$2:$A$3000,$A1927,EXTRATO!$K$2:$K$3000)+SUMIF(EXTRATO!$A$2:$A$3000,$A1927,EXTRATO!$L$2:$L$3000)+SUMIF(EXTRATO!$A$2:$A$3000,$A1927,EXTRATO!$M$2:$M$3000))</f>
        <v/>
      </c>
      <c r="G1927" s="81" t="str">
        <f>IF(A1927="","",IF(INDEX(EXTRATO!$G$2:$G$3000,MATCH($A1927,EXTRATO!$A$2:$A$3000,0))="","",INDEX(EXTRATO!$G$2:$G$3000,MATCH($A1927,EXTRATO!$A$2:$A$3000,0))))</f>
        <v/>
      </c>
      <c r="H1927" s="86" t="str">
        <f>IF(A1927="","",IF(INDEX(EXTRATO!$F$2:$F$3000,MATCH($A1927,EXTRATO!$A$2:$A$3000,0))="","",INDEX(EXTRATO!$F$2:$F$3000,MATCH($A1927,EXTRATO!$A$2:$A$3000,0))))</f>
        <v/>
      </c>
      <c r="I1927" s="88" t="str">
        <f>IF(A1927="","",IF(INDEX(EXTRATO!$H$2:$H$3000,MATCH($A1927,EXTRATO!$A$2:$A$3000,0))="","",INDEX(EXTRATO!$H$2:$H$3000,MATCH($A1927,EXTRATO!$A$2:$A$3000,0))))</f>
        <v/>
      </c>
      <c r="J1927" s="86" t="str">
        <f t="shared" si="47"/>
        <v/>
      </c>
      <c r="K1927" s="86" t="str">
        <f>IF(AND(A1927="",D1927="",E1927="",F1927=""),"",IF(D1927="","SEM CATEGORIA",IF(E1927="","SEM SUBCATEGORIA",IF(COUNTIFS(CADASTROS!$L$7:$L$93,D1927,CADASTROS!$D$7:$D$93,E1927)=0,"INCOMPATÍVEL","OK"))))</f>
        <v/>
      </c>
    </row>
    <row r="1928" spans="1:11" ht="30" hidden="1" customHeight="1" x14ac:dyDescent="0.25">
      <c r="A1928" s="86" t="str">
        <f>IF(COUNTIF(EXTRATO!$A$2:$A$3000,"BAN-01785")=0,"","BAN-01785")</f>
        <v/>
      </c>
      <c r="B1928" s="85" t="str">
        <f>IF(A1928="","",IF(INDEX(EXTRATO!$C$2:$C$3000,MATCH($A1928,EXTRATO!$A$2:$A$3000,0))="","",INDEX(EXTRATO!$C$2:$C$3000,MATCH($A1928,EXTRATO!$A$2:$A$3000,0))))</f>
        <v/>
      </c>
      <c r="C1928" s="86" t="str">
        <f t="shared" si="46"/>
        <v/>
      </c>
      <c r="D1928" s="81"/>
      <c r="E1928" s="79"/>
      <c r="F1928" s="80" t="str">
        <f>IF(A1928="","",SUMIF(EXTRATO!$A$2:$A$3000,$A1928,EXTRATO!$J$2:$J$3000)+SUMIF(EXTRATO!$A$2:$A$3000,$A1928,EXTRATO!$K$2:$K$3000)+SUMIF(EXTRATO!$A$2:$A$3000,$A1928,EXTRATO!$L$2:$L$3000)+SUMIF(EXTRATO!$A$2:$A$3000,$A1928,EXTRATO!$M$2:$M$3000))</f>
        <v/>
      </c>
      <c r="G1928" s="81" t="str">
        <f>IF(A1928="","",IF(INDEX(EXTRATO!$G$2:$G$3000,MATCH($A1928,EXTRATO!$A$2:$A$3000,0))="","",INDEX(EXTRATO!$G$2:$G$3000,MATCH($A1928,EXTRATO!$A$2:$A$3000,0))))</f>
        <v/>
      </c>
      <c r="H1928" s="86" t="str">
        <f>IF(A1928="","",IF(INDEX(EXTRATO!$F$2:$F$3000,MATCH($A1928,EXTRATO!$A$2:$A$3000,0))="","",INDEX(EXTRATO!$F$2:$F$3000,MATCH($A1928,EXTRATO!$A$2:$A$3000,0))))</f>
        <v/>
      </c>
      <c r="I1928" s="88" t="str">
        <f>IF(A1928="","",IF(INDEX(EXTRATO!$H$2:$H$3000,MATCH($A1928,EXTRATO!$A$2:$A$3000,0))="","",INDEX(EXTRATO!$H$2:$H$3000,MATCH($A1928,EXTRATO!$A$2:$A$3000,0))))</f>
        <v/>
      </c>
      <c r="J1928" s="86" t="str">
        <f t="shared" si="47"/>
        <v/>
      </c>
      <c r="K1928" s="86" t="str">
        <f>IF(AND(A1928="",D1928="",E1928="",F1928=""),"",IF(D1928="","SEM CATEGORIA",IF(E1928="","SEM SUBCATEGORIA",IF(COUNTIFS(CADASTROS!$L$7:$L$93,D1928,CADASTROS!$D$7:$D$93,E1928)=0,"INCOMPATÍVEL","OK"))))</f>
        <v/>
      </c>
    </row>
    <row r="1929" spans="1:11" ht="30" hidden="1" customHeight="1" x14ac:dyDescent="0.25">
      <c r="A1929" s="86" t="str">
        <f>IF(COUNTIF(EXTRATO!$A$2:$A$3000,"BAN-01786")=0,"","BAN-01786")</f>
        <v/>
      </c>
      <c r="B1929" s="85" t="str">
        <f>IF(A1929="","",IF(INDEX(EXTRATO!$C$2:$C$3000,MATCH($A1929,EXTRATO!$A$2:$A$3000,0))="","",INDEX(EXTRATO!$C$2:$C$3000,MATCH($A1929,EXTRATO!$A$2:$A$3000,0))))</f>
        <v/>
      </c>
      <c r="C1929" s="86" t="str">
        <f t="shared" si="46"/>
        <v/>
      </c>
      <c r="D1929" s="81"/>
      <c r="E1929" s="79"/>
      <c r="F1929" s="80" t="str">
        <f>IF(A1929="","",SUMIF(EXTRATO!$A$2:$A$3000,$A1929,EXTRATO!$J$2:$J$3000)+SUMIF(EXTRATO!$A$2:$A$3000,$A1929,EXTRATO!$K$2:$K$3000)+SUMIF(EXTRATO!$A$2:$A$3000,$A1929,EXTRATO!$L$2:$L$3000)+SUMIF(EXTRATO!$A$2:$A$3000,$A1929,EXTRATO!$M$2:$M$3000))</f>
        <v/>
      </c>
      <c r="G1929" s="81" t="str">
        <f>IF(A1929="","",IF(INDEX(EXTRATO!$G$2:$G$3000,MATCH($A1929,EXTRATO!$A$2:$A$3000,0))="","",INDEX(EXTRATO!$G$2:$G$3000,MATCH($A1929,EXTRATO!$A$2:$A$3000,0))))</f>
        <v/>
      </c>
      <c r="H1929" s="86" t="str">
        <f>IF(A1929="","",IF(INDEX(EXTRATO!$F$2:$F$3000,MATCH($A1929,EXTRATO!$A$2:$A$3000,0))="","",INDEX(EXTRATO!$F$2:$F$3000,MATCH($A1929,EXTRATO!$A$2:$A$3000,0))))</f>
        <v/>
      </c>
      <c r="I1929" s="88" t="str">
        <f>IF(A1929="","",IF(INDEX(EXTRATO!$H$2:$H$3000,MATCH($A1929,EXTRATO!$A$2:$A$3000,0))="","",INDEX(EXTRATO!$H$2:$H$3000,MATCH($A1929,EXTRATO!$A$2:$A$3000,0))))</f>
        <v/>
      </c>
      <c r="J1929" s="86" t="str">
        <f t="shared" si="47"/>
        <v/>
      </c>
      <c r="K1929" s="86" t="str">
        <f>IF(AND(A1929="",D1929="",E1929="",F1929=""),"",IF(D1929="","SEM CATEGORIA",IF(E1929="","SEM SUBCATEGORIA",IF(COUNTIFS(CADASTROS!$L$7:$L$93,D1929,CADASTROS!$D$7:$D$93,E1929)=0,"INCOMPATÍVEL","OK"))))</f>
        <v/>
      </c>
    </row>
    <row r="1930" spans="1:11" ht="30" hidden="1" customHeight="1" x14ac:dyDescent="0.25">
      <c r="A1930" s="86" t="str">
        <f>IF(COUNTIF(EXTRATO!$A$2:$A$3000,"BAN-01787")=0,"","BAN-01787")</f>
        <v/>
      </c>
      <c r="B1930" s="85" t="str">
        <f>IF(A1930="","",IF(INDEX(EXTRATO!$C$2:$C$3000,MATCH($A1930,EXTRATO!$A$2:$A$3000,0))="","",INDEX(EXTRATO!$C$2:$C$3000,MATCH($A1930,EXTRATO!$A$2:$A$3000,0))))</f>
        <v/>
      </c>
      <c r="C1930" s="86" t="str">
        <f t="shared" si="46"/>
        <v/>
      </c>
      <c r="D1930" s="81"/>
      <c r="E1930" s="79"/>
      <c r="F1930" s="80" t="str">
        <f>IF(A1930="","",SUMIF(EXTRATO!$A$2:$A$3000,$A1930,EXTRATO!$J$2:$J$3000)+SUMIF(EXTRATO!$A$2:$A$3000,$A1930,EXTRATO!$K$2:$K$3000)+SUMIF(EXTRATO!$A$2:$A$3000,$A1930,EXTRATO!$L$2:$L$3000)+SUMIF(EXTRATO!$A$2:$A$3000,$A1930,EXTRATO!$M$2:$M$3000))</f>
        <v/>
      </c>
      <c r="G1930" s="81" t="str">
        <f>IF(A1930="","",IF(INDEX(EXTRATO!$G$2:$G$3000,MATCH($A1930,EXTRATO!$A$2:$A$3000,0))="","",INDEX(EXTRATO!$G$2:$G$3000,MATCH($A1930,EXTRATO!$A$2:$A$3000,0))))</f>
        <v/>
      </c>
      <c r="H1930" s="86" t="str">
        <f>IF(A1930="","",IF(INDEX(EXTRATO!$F$2:$F$3000,MATCH($A1930,EXTRATO!$A$2:$A$3000,0))="","",INDEX(EXTRATO!$F$2:$F$3000,MATCH($A1930,EXTRATO!$A$2:$A$3000,0))))</f>
        <v/>
      </c>
      <c r="I1930" s="88" t="str">
        <f>IF(A1930="","",IF(INDEX(EXTRATO!$H$2:$H$3000,MATCH($A1930,EXTRATO!$A$2:$A$3000,0))="","",INDEX(EXTRATO!$H$2:$H$3000,MATCH($A1930,EXTRATO!$A$2:$A$3000,0))))</f>
        <v/>
      </c>
      <c r="J1930" s="86" t="str">
        <f t="shared" si="47"/>
        <v/>
      </c>
      <c r="K1930" s="86" t="str">
        <f>IF(AND(A1930="",D1930="",E1930="",F1930=""),"",IF(D1930="","SEM CATEGORIA",IF(E1930="","SEM SUBCATEGORIA",IF(COUNTIFS(CADASTROS!$L$7:$L$93,D1930,CADASTROS!$D$7:$D$93,E1930)=0,"INCOMPATÍVEL","OK"))))</f>
        <v/>
      </c>
    </row>
    <row r="1931" spans="1:11" ht="30" hidden="1" customHeight="1" x14ac:dyDescent="0.25">
      <c r="A1931" s="86" t="str">
        <f>IF(COUNTIF(EXTRATO!$A$2:$A$3000,"BAN-01788")=0,"","BAN-01788")</f>
        <v/>
      </c>
      <c r="B1931" s="85" t="str">
        <f>IF(A1931="","",IF(INDEX(EXTRATO!$C$2:$C$3000,MATCH($A1931,EXTRATO!$A$2:$A$3000,0))="","",INDEX(EXTRATO!$C$2:$C$3000,MATCH($A1931,EXTRATO!$A$2:$A$3000,0))))</f>
        <v/>
      </c>
      <c r="C1931" s="86" t="str">
        <f t="shared" si="46"/>
        <v/>
      </c>
      <c r="D1931" s="81"/>
      <c r="E1931" s="79"/>
      <c r="F1931" s="80" t="str">
        <f>IF(A1931="","",SUMIF(EXTRATO!$A$2:$A$3000,$A1931,EXTRATO!$J$2:$J$3000)+SUMIF(EXTRATO!$A$2:$A$3000,$A1931,EXTRATO!$K$2:$K$3000)+SUMIF(EXTRATO!$A$2:$A$3000,$A1931,EXTRATO!$L$2:$L$3000)+SUMIF(EXTRATO!$A$2:$A$3000,$A1931,EXTRATO!$M$2:$M$3000))</f>
        <v/>
      </c>
      <c r="G1931" s="81" t="str">
        <f>IF(A1931="","",IF(INDEX(EXTRATO!$G$2:$G$3000,MATCH($A1931,EXTRATO!$A$2:$A$3000,0))="","",INDEX(EXTRATO!$G$2:$G$3000,MATCH($A1931,EXTRATO!$A$2:$A$3000,0))))</f>
        <v/>
      </c>
      <c r="H1931" s="86" t="str">
        <f>IF(A1931="","",IF(INDEX(EXTRATO!$F$2:$F$3000,MATCH($A1931,EXTRATO!$A$2:$A$3000,0))="","",INDEX(EXTRATO!$F$2:$F$3000,MATCH($A1931,EXTRATO!$A$2:$A$3000,0))))</f>
        <v/>
      </c>
      <c r="I1931" s="88" t="str">
        <f>IF(A1931="","",IF(INDEX(EXTRATO!$H$2:$H$3000,MATCH($A1931,EXTRATO!$A$2:$A$3000,0))="","",INDEX(EXTRATO!$H$2:$H$3000,MATCH($A1931,EXTRATO!$A$2:$A$3000,0))))</f>
        <v/>
      </c>
      <c r="J1931" s="86" t="str">
        <f t="shared" si="47"/>
        <v/>
      </c>
      <c r="K1931" s="86" t="str">
        <f>IF(AND(A1931="",D1931="",E1931="",F1931=""),"",IF(D1931="","SEM CATEGORIA",IF(E1931="","SEM SUBCATEGORIA",IF(COUNTIFS(CADASTROS!$L$7:$L$93,D1931,CADASTROS!$D$7:$D$93,E1931)=0,"INCOMPATÍVEL","OK"))))</f>
        <v/>
      </c>
    </row>
    <row r="1932" spans="1:11" ht="30" hidden="1" customHeight="1" x14ac:dyDescent="0.25">
      <c r="A1932" s="86" t="str">
        <f>IF(COUNTIF(EXTRATO!$A$2:$A$3000,"BAN-01789")=0,"","BAN-01789")</f>
        <v/>
      </c>
      <c r="B1932" s="85" t="str">
        <f>IF(A1932="","",IF(INDEX(EXTRATO!$C$2:$C$3000,MATCH($A1932,EXTRATO!$A$2:$A$3000,0))="","",INDEX(EXTRATO!$C$2:$C$3000,MATCH($A1932,EXTRATO!$A$2:$A$3000,0))))</f>
        <v/>
      </c>
      <c r="C1932" s="86" t="str">
        <f t="shared" si="46"/>
        <v/>
      </c>
      <c r="D1932" s="81"/>
      <c r="E1932" s="79"/>
      <c r="F1932" s="80" t="str">
        <f>IF(A1932="","",SUMIF(EXTRATO!$A$2:$A$3000,$A1932,EXTRATO!$J$2:$J$3000)+SUMIF(EXTRATO!$A$2:$A$3000,$A1932,EXTRATO!$K$2:$K$3000)+SUMIF(EXTRATO!$A$2:$A$3000,$A1932,EXTRATO!$L$2:$L$3000)+SUMIF(EXTRATO!$A$2:$A$3000,$A1932,EXTRATO!$M$2:$M$3000))</f>
        <v/>
      </c>
      <c r="G1932" s="81" t="str">
        <f>IF(A1932="","",IF(INDEX(EXTRATO!$G$2:$G$3000,MATCH($A1932,EXTRATO!$A$2:$A$3000,0))="","",INDEX(EXTRATO!$G$2:$G$3000,MATCH($A1932,EXTRATO!$A$2:$A$3000,0))))</f>
        <v/>
      </c>
      <c r="H1932" s="86" t="str">
        <f>IF(A1932="","",IF(INDEX(EXTRATO!$F$2:$F$3000,MATCH($A1932,EXTRATO!$A$2:$A$3000,0))="","",INDEX(EXTRATO!$F$2:$F$3000,MATCH($A1932,EXTRATO!$A$2:$A$3000,0))))</f>
        <v/>
      </c>
      <c r="I1932" s="88" t="str">
        <f>IF(A1932="","",IF(INDEX(EXTRATO!$H$2:$H$3000,MATCH($A1932,EXTRATO!$A$2:$A$3000,0))="","",INDEX(EXTRATO!$H$2:$H$3000,MATCH($A1932,EXTRATO!$A$2:$A$3000,0))))</f>
        <v/>
      </c>
      <c r="J1932" s="86" t="str">
        <f t="shared" si="47"/>
        <v/>
      </c>
      <c r="K1932" s="86" t="str">
        <f>IF(AND(A1932="",D1932="",E1932="",F1932=""),"",IF(D1932="","SEM CATEGORIA",IF(E1932="","SEM SUBCATEGORIA",IF(COUNTIFS(CADASTROS!$L$7:$L$93,D1932,CADASTROS!$D$7:$D$93,E1932)=0,"INCOMPATÍVEL","OK"))))</f>
        <v/>
      </c>
    </row>
    <row r="1933" spans="1:11" ht="30" hidden="1" customHeight="1" x14ac:dyDescent="0.25">
      <c r="A1933" s="86" t="str">
        <f>IF(COUNTIF(EXTRATO!$A$2:$A$3000,"BAN-01790")=0,"","BAN-01790")</f>
        <v/>
      </c>
      <c r="B1933" s="85" t="str">
        <f>IF(A1933="","",IF(INDEX(EXTRATO!$C$2:$C$3000,MATCH($A1933,EXTRATO!$A$2:$A$3000,0))="","",INDEX(EXTRATO!$C$2:$C$3000,MATCH($A1933,EXTRATO!$A$2:$A$3000,0))))</f>
        <v/>
      </c>
      <c r="C1933" s="86" t="str">
        <f t="shared" si="46"/>
        <v/>
      </c>
      <c r="D1933" s="81"/>
      <c r="E1933" s="79"/>
      <c r="F1933" s="80" t="str">
        <f>IF(A1933="","",SUMIF(EXTRATO!$A$2:$A$3000,$A1933,EXTRATO!$J$2:$J$3000)+SUMIF(EXTRATO!$A$2:$A$3000,$A1933,EXTRATO!$K$2:$K$3000)+SUMIF(EXTRATO!$A$2:$A$3000,$A1933,EXTRATO!$L$2:$L$3000)+SUMIF(EXTRATO!$A$2:$A$3000,$A1933,EXTRATO!$M$2:$M$3000))</f>
        <v/>
      </c>
      <c r="G1933" s="81" t="str">
        <f>IF(A1933="","",IF(INDEX(EXTRATO!$G$2:$G$3000,MATCH($A1933,EXTRATO!$A$2:$A$3000,0))="","",INDEX(EXTRATO!$G$2:$G$3000,MATCH($A1933,EXTRATO!$A$2:$A$3000,0))))</f>
        <v/>
      </c>
      <c r="H1933" s="86" t="str">
        <f>IF(A1933="","",IF(INDEX(EXTRATO!$F$2:$F$3000,MATCH($A1933,EXTRATO!$A$2:$A$3000,0))="","",INDEX(EXTRATO!$F$2:$F$3000,MATCH($A1933,EXTRATO!$A$2:$A$3000,0))))</f>
        <v/>
      </c>
      <c r="I1933" s="88" t="str">
        <f>IF(A1933="","",IF(INDEX(EXTRATO!$H$2:$H$3000,MATCH($A1933,EXTRATO!$A$2:$A$3000,0))="","",INDEX(EXTRATO!$H$2:$H$3000,MATCH($A1933,EXTRATO!$A$2:$A$3000,0))))</f>
        <v/>
      </c>
      <c r="J1933" s="86" t="str">
        <f t="shared" si="47"/>
        <v/>
      </c>
      <c r="K1933" s="86" t="str">
        <f>IF(AND(A1933="",D1933="",E1933="",F1933=""),"",IF(D1933="","SEM CATEGORIA",IF(E1933="","SEM SUBCATEGORIA",IF(COUNTIFS(CADASTROS!$L$7:$L$93,D1933,CADASTROS!$D$7:$D$93,E1933)=0,"INCOMPATÍVEL","OK"))))</f>
        <v/>
      </c>
    </row>
    <row r="1934" spans="1:11" ht="30" hidden="1" customHeight="1" x14ac:dyDescent="0.25">
      <c r="A1934" s="86" t="str">
        <f>IF(COUNTIF(EXTRATO!$A$2:$A$3000,"BAN-01791")=0,"","BAN-01791")</f>
        <v/>
      </c>
      <c r="B1934" s="85" t="str">
        <f>IF(A1934="","",IF(INDEX(EXTRATO!$C$2:$C$3000,MATCH($A1934,EXTRATO!$A$2:$A$3000,0))="","",INDEX(EXTRATO!$C$2:$C$3000,MATCH($A1934,EXTRATO!$A$2:$A$3000,0))))</f>
        <v/>
      </c>
      <c r="C1934" s="86" t="str">
        <f t="shared" si="46"/>
        <v/>
      </c>
      <c r="D1934" s="81"/>
      <c r="E1934" s="79"/>
      <c r="F1934" s="80" t="str">
        <f>IF(A1934="","",SUMIF(EXTRATO!$A$2:$A$3000,$A1934,EXTRATO!$J$2:$J$3000)+SUMIF(EXTRATO!$A$2:$A$3000,$A1934,EXTRATO!$K$2:$K$3000)+SUMIF(EXTRATO!$A$2:$A$3000,$A1934,EXTRATO!$L$2:$L$3000)+SUMIF(EXTRATO!$A$2:$A$3000,$A1934,EXTRATO!$M$2:$M$3000))</f>
        <v/>
      </c>
      <c r="G1934" s="81" t="str">
        <f>IF(A1934="","",IF(INDEX(EXTRATO!$G$2:$G$3000,MATCH($A1934,EXTRATO!$A$2:$A$3000,0))="","",INDEX(EXTRATO!$G$2:$G$3000,MATCH($A1934,EXTRATO!$A$2:$A$3000,0))))</f>
        <v/>
      </c>
      <c r="H1934" s="86" t="str">
        <f>IF(A1934="","",IF(INDEX(EXTRATO!$F$2:$F$3000,MATCH($A1934,EXTRATO!$A$2:$A$3000,0))="","",INDEX(EXTRATO!$F$2:$F$3000,MATCH($A1934,EXTRATO!$A$2:$A$3000,0))))</f>
        <v/>
      </c>
      <c r="I1934" s="88" t="str">
        <f>IF(A1934="","",IF(INDEX(EXTRATO!$H$2:$H$3000,MATCH($A1934,EXTRATO!$A$2:$A$3000,0))="","",INDEX(EXTRATO!$H$2:$H$3000,MATCH($A1934,EXTRATO!$A$2:$A$3000,0))))</f>
        <v/>
      </c>
      <c r="J1934" s="86" t="str">
        <f t="shared" si="47"/>
        <v/>
      </c>
      <c r="K1934" s="86" t="str">
        <f>IF(AND(A1934="",D1934="",E1934="",F1934=""),"",IF(D1934="","SEM CATEGORIA",IF(E1934="","SEM SUBCATEGORIA",IF(COUNTIFS(CADASTROS!$L$7:$L$93,D1934,CADASTROS!$D$7:$D$93,E1934)=0,"INCOMPATÍVEL","OK"))))</f>
        <v/>
      </c>
    </row>
    <row r="1935" spans="1:11" ht="30" hidden="1" customHeight="1" x14ac:dyDescent="0.25">
      <c r="A1935" s="86" t="str">
        <f>IF(COUNTIF(EXTRATO!$A$2:$A$3000,"BAN-01792")=0,"","BAN-01792")</f>
        <v/>
      </c>
      <c r="B1935" s="85" t="str">
        <f>IF(A1935="","",IF(INDEX(EXTRATO!$C$2:$C$3000,MATCH($A1935,EXTRATO!$A$2:$A$3000,0))="","",INDEX(EXTRATO!$C$2:$C$3000,MATCH($A1935,EXTRATO!$A$2:$A$3000,0))))</f>
        <v/>
      </c>
      <c r="C1935" s="86" t="str">
        <f t="shared" si="46"/>
        <v/>
      </c>
      <c r="D1935" s="81"/>
      <c r="E1935" s="79"/>
      <c r="F1935" s="80" t="str">
        <f>IF(A1935="","",SUMIF(EXTRATO!$A$2:$A$3000,$A1935,EXTRATO!$J$2:$J$3000)+SUMIF(EXTRATO!$A$2:$A$3000,$A1935,EXTRATO!$K$2:$K$3000)+SUMIF(EXTRATO!$A$2:$A$3000,$A1935,EXTRATO!$L$2:$L$3000)+SUMIF(EXTRATO!$A$2:$A$3000,$A1935,EXTRATO!$M$2:$M$3000))</f>
        <v/>
      </c>
      <c r="G1935" s="81" t="str">
        <f>IF(A1935="","",IF(INDEX(EXTRATO!$G$2:$G$3000,MATCH($A1935,EXTRATO!$A$2:$A$3000,0))="","",INDEX(EXTRATO!$G$2:$G$3000,MATCH($A1935,EXTRATO!$A$2:$A$3000,0))))</f>
        <v/>
      </c>
      <c r="H1935" s="86" t="str">
        <f>IF(A1935="","",IF(INDEX(EXTRATO!$F$2:$F$3000,MATCH($A1935,EXTRATO!$A$2:$A$3000,0))="","",INDEX(EXTRATO!$F$2:$F$3000,MATCH($A1935,EXTRATO!$A$2:$A$3000,0))))</f>
        <v/>
      </c>
      <c r="I1935" s="88" t="str">
        <f>IF(A1935="","",IF(INDEX(EXTRATO!$H$2:$H$3000,MATCH($A1935,EXTRATO!$A$2:$A$3000,0))="","",INDEX(EXTRATO!$H$2:$H$3000,MATCH($A1935,EXTRATO!$A$2:$A$3000,0))))</f>
        <v/>
      </c>
      <c r="J1935" s="86" t="str">
        <f t="shared" si="47"/>
        <v/>
      </c>
      <c r="K1935" s="86" t="str">
        <f>IF(AND(A1935="",D1935="",E1935="",F1935=""),"",IF(D1935="","SEM CATEGORIA",IF(E1935="","SEM SUBCATEGORIA",IF(COUNTIFS(CADASTROS!$L$7:$L$93,D1935,CADASTROS!$D$7:$D$93,E1935)=0,"INCOMPATÍVEL","OK"))))</f>
        <v/>
      </c>
    </row>
    <row r="1936" spans="1:11" ht="30" hidden="1" customHeight="1" x14ac:dyDescent="0.25">
      <c r="A1936" s="86" t="str">
        <f>IF(COUNTIF(EXTRATO!$A$2:$A$3000,"BAN-01793")=0,"","BAN-01793")</f>
        <v/>
      </c>
      <c r="B1936" s="85" t="str">
        <f>IF(A1936="","",IF(INDEX(EXTRATO!$C$2:$C$3000,MATCH($A1936,EXTRATO!$A$2:$A$3000,0))="","",INDEX(EXTRATO!$C$2:$C$3000,MATCH($A1936,EXTRATO!$A$2:$A$3000,0))))</f>
        <v/>
      </c>
      <c r="C1936" s="86" t="str">
        <f t="shared" si="46"/>
        <v/>
      </c>
      <c r="D1936" s="81"/>
      <c r="E1936" s="79"/>
      <c r="F1936" s="80" t="str">
        <f>IF(A1936="","",SUMIF(EXTRATO!$A$2:$A$3000,$A1936,EXTRATO!$J$2:$J$3000)+SUMIF(EXTRATO!$A$2:$A$3000,$A1936,EXTRATO!$K$2:$K$3000)+SUMIF(EXTRATO!$A$2:$A$3000,$A1936,EXTRATO!$L$2:$L$3000)+SUMIF(EXTRATO!$A$2:$A$3000,$A1936,EXTRATO!$M$2:$M$3000))</f>
        <v/>
      </c>
      <c r="G1936" s="81" t="str">
        <f>IF(A1936="","",IF(INDEX(EXTRATO!$G$2:$G$3000,MATCH($A1936,EXTRATO!$A$2:$A$3000,0))="","",INDEX(EXTRATO!$G$2:$G$3000,MATCH($A1936,EXTRATO!$A$2:$A$3000,0))))</f>
        <v/>
      </c>
      <c r="H1936" s="86" t="str">
        <f>IF(A1936="","",IF(INDEX(EXTRATO!$F$2:$F$3000,MATCH($A1936,EXTRATO!$A$2:$A$3000,0))="","",INDEX(EXTRATO!$F$2:$F$3000,MATCH($A1936,EXTRATO!$A$2:$A$3000,0))))</f>
        <v/>
      </c>
      <c r="I1936" s="88" t="str">
        <f>IF(A1936="","",IF(INDEX(EXTRATO!$H$2:$H$3000,MATCH($A1936,EXTRATO!$A$2:$A$3000,0))="","",INDEX(EXTRATO!$H$2:$H$3000,MATCH($A1936,EXTRATO!$A$2:$A$3000,0))))</f>
        <v/>
      </c>
      <c r="J1936" s="86" t="str">
        <f t="shared" si="47"/>
        <v/>
      </c>
      <c r="K1936" s="86" t="str">
        <f>IF(AND(A1936="",D1936="",E1936="",F1936=""),"",IF(D1936="","SEM CATEGORIA",IF(E1936="","SEM SUBCATEGORIA",IF(COUNTIFS(CADASTROS!$L$7:$L$93,D1936,CADASTROS!$D$7:$D$93,E1936)=0,"INCOMPATÍVEL","OK"))))</f>
        <v/>
      </c>
    </row>
    <row r="1937" spans="1:11" ht="30" hidden="1" customHeight="1" x14ac:dyDescent="0.25">
      <c r="A1937" s="86" t="str">
        <f>IF(COUNTIF(EXTRATO!$A$2:$A$3000,"BAN-01794")=0,"","BAN-01794")</f>
        <v/>
      </c>
      <c r="B1937" s="85" t="str">
        <f>IF(A1937="","",IF(INDEX(EXTRATO!$C$2:$C$3000,MATCH($A1937,EXTRATO!$A$2:$A$3000,0))="","",INDEX(EXTRATO!$C$2:$C$3000,MATCH($A1937,EXTRATO!$A$2:$A$3000,0))))</f>
        <v/>
      </c>
      <c r="C1937" s="86" t="str">
        <f t="shared" si="46"/>
        <v/>
      </c>
      <c r="D1937" s="81"/>
      <c r="E1937" s="79"/>
      <c r="F1937" s="80" t="str">
        <f>IF(A1937="","",SUMIF(EXTRATO!$A$2:$A$3000,$A1937,EXTRATO!$J$2:$J$3000)+SUMIF(EXTRATO!$A$2:$A$3000,$A1937,EXTRATO!$K$2:$K$3000)+SUMIF(EXTRATO!$A$2:$A$3000,$A1937,EXTRATO!$L$2:$L$3000)+SUMIF(EXTRATO!$A$2:$A$3000,$A1937,EXTRATO!$M$2:$M$3000))</f>
        <v/>
      </c>
      <c r="G1937" s="81" t="str">
        <f>IF(A1937="","",IF(INDEX(EXTRATO!$G$2:$G$3000,MATCH($A1937,EXTRATO!$A$2:$A$3000,0))="","",INDEX(EXTRATO!$G$2:$G$3000,MATCH($A1937,EXTRATO!$A$2:$A$3000,0))))</f>
        <v/>
      </c>
      <c r="H1937" s="86" t="str">
        <f>IF(A1937="","",IF(INDEX(EXTRATO!$F$2:$F$3000,MATCH($A1937,EXTRATO!$A$2:$A$3000,0))="","",INDEX(EXTRATO!$F$2:$F$3000,MATCH($A1937,EXTRATO!$A$2:$A$3000,0))))</f>
        <v/>
      </c>
      <c r="I1937" s="88" t="str">
        <f>IF(A1937="","",IF(INDEX(EXTRATO!$H$2:$H$3000,MATCH($A1937,EXTRATO!$A$2:$A$3000,0))="","",INDEX(EXTRATO!$H$2:$H$3000,MATCH($A1937,EXTRATO!$A$2:$A$3000,0))))</f>
        <v/>
      </c>
      <c r="J1937" s="86" t="str">
        <f t="shared" si="47"/>
        <v/>
      </c>
      <c r="K1937" s="86" t="str">
        <f>IF(AND(A1937="",D1937="",E1937="",F1937=""),"",IF(D1937="","SEM CATEGORIA",IF(E1937="","SEM SUBCATEGORIA",IF(COUNTIFS(CADASTROS!$L$7:$L$93,D1937,CADASTROS!$D$7:$D$93,E1937)=0,"INCOMPATÍVEL","OK"))))</f>
        <v/>
      </c>
    </row>
    <row r="1938" spans="1:11" ht="30" hidden="1" customHeight="1" x14ac:dyDescent="0.25">
      <c r="A1938" s="86" t="str">
        <f>IF(COUNTIF(EXTRATO!$A$2:$A$3000,"BAN-01795")=0,"","BAN-01795")</f>
        <v/>
      </c>
      <c r="B1938" s="85" t="str">
        <f>IF(A1938="","",IF(INDEX(EXTRATO!$C$2:$C$3000,MATCH($A1938,EXTRATO!$A$2:$A$3000,0))="","",INDEX(EXTRATO!$C$2:$C$3000,MATCH($A1938,EXTRATO!$A$2:$A$3000,0))))</f>
        <v/>
      </c>
      <c r="C1938" s="86" t="str">
        <f t="shared" si="46"/>
        <v/>
      </c>
      <c r="D1938" s="81"/>
      <c r="E1938" s="79"/>
      <c r="F1938" s="80" t="str">
        <f>IF(A1938="","",SUMIF(EXTRATO!$A$2:$A$3000,$A1938,EXTRATO!$J$2:$J$3000)+SUMIF(EXTRATO!$A$2:$A$3000,$A1938,EXTRATO!$K$2:$K$3000)+SUMIF(EXTRATO!$A$2:$A$3000,$A1938,EXTRATO!$L$2:$L$3000)+SUMIF(EXTRATO!$A$2:$A$3000,$A1938,EXTRATO!$M$2:$M$3000))</f>
        <v/>
      </c>
      <c r="G1938" s="81" t="str">
        <f>IF(A1938="","",IF(INDEX(EXTRATO!$G$2:$G$3000,MATCH($A1938,EXTRATO!$A$2:$A$3000,0))="","",INDEX(EXTRATO!$G$2:$G$3000,MATCH($A1938,EXTRATO!$A$2:$A$3000,0))))</f>
        <v/>
      </c>
      <c r="H1938" s="86" t="str">
        <f>IF(A1938="","",IF(INDEX(EXTRATO!$F$2:$F$3000,MATCH($A1938,EXTRATO!$A$2:$A$3000,0))="","",INDEX(EXTRATO!$F$2:$F$3000,MATCH($A1938,EXTRATO!$A$2:$A$3000,0))))</f>
        <v/>
      </c>
      <c r="I1938" s="88" t="str">
        <f>IF(A1938="","",IF(INDEX(EXTRATO!$H$2:$H$3000,MATCH($A1938,EXTRATO!$A$2:$A$3000,0))="","",INDEX(EXTRATO!$H$2:$H$3000,MATCH($A1938,EXTRATO!$A$2:$A$3000,0))))</f>
        <v/>
      </c>
      <c r="J1938" s="86" t="str">
        <f t="shared" si="47"/>
        <v/>
      </c>
      <c r="K1938" s="86" t="str">
        <f>IF(AND(A1938="",D1938="",E1938="",F1938=""),"",IF(D1938="","SEM CATEGORIA",IF(E1938="","SEM SUBCATEGORIA",IF(COUNTIFS(CADASTROS!$L$7:$L$93,D1938,CADASTROS!$D$7:$D$93,E1938)=0,"INCOMPATÍVEL","OK"))))</f>
        <v/>
      </c>
    </row>
    <row r="1939" spans="1:11" ht="30" hidden="1" customHeight="1" x14ac:dyDescent="0.25">
      <c r="A1939" s="86" t="str">
        <f>IF(COUNTIF(EXTRATO!$A$2:$A$3000,"BAN-01796")=0,"","BAN-01796")</f>
        <v/>
      </c>
      <c r="B1939" s="85" t="str">
        <f>IF(A1939="","",IF(INDEX(EXTRATO!$C$2:$C$3000,MATCH($A1939,EXTRATO!$A$2:$A$3000,0))="","",INDEX(EXTRATO!$C$2:$C$3000,MATCH($A1939,EXTRATO!$A$2:$A$3000,0))))</f>
        <v/>
      </c>
      <c r="C1939" s="86" t="str">
        <f t="shared" si="46"/>
        <v/>
      </c>
      <c r="D1939" s="81"/>
      <c r="E1939" s="79"/>
      <c r="F1939" s="80" t="str">
        <f>IF(A1939="","",SUMIF(EXTRATO!$A$2:$A$3000,$A1939,EXTRATO!$J$2:$J$3000)+SUMIF(EXTRATO!$A$2:$A$3000,$A1939,EXTRATO!$K$2:$K$3000)+SUMIF(EXTRATO!$A$2:$A$3000,$A1939,EXTRATO!$L$2:$L$3000)+SUMIF(EXTRATO!$A$2:$A$3000,$A1939,EXTRATO!$M$2:$M$3000))</f>
        <v/>
      </c>
      <c r="G1939" s="81" t="str">
        <f>IF(A1939="","",IF(INDEX(EXTRATO!$G$2:$G$3000,MATCH($A1939,EXTRATO!$A$2:$A$3000,0))="","",INDEX(EXTRATO!$G$2:$G$3000,MATCH($A1939,EXTRATO!$A$2:$A$3000,0))))</f>
        <v/>
      </c>
      <c r="H1939" s="86" t="str">
        <f>IF(A1939="","",IF(INDEX(EXTRATO!$F$2:$F$3000,MATCH($A1939,EXTRATO!$A$2:$A$3000,0))="","",INDEX(EXTRATO!$F$2:$F$3000,MATCH($A1939,EXTRATO!$A$2:$A$3000,0))))</f>
        <v/>
      </c>
      <c r="I1939" s="88" t="str">
        <f>IF(A1939="","",IF(INDEX(EXTRATO!$H$2:$H$3000,MATCH($A1939,EXTRATO!$A$2:$A$3000,0))="","",INDEX(EXTRATO!$H$2:$H$3000,MATCH($A1939,EXTRATO!$A$2:$A$3000,0))))</f>
        <v/>
      </c>
      <c r="J1939" s="86" t="str">
        <f t="shared" si="47"/>
        <v/>
      </c>
      <c r="K1939" s="86" t="str">
        <f>IF(AND(A1939="",D1939="",E1939="",F1939=""),"",IF(D1939="","SEM CATEGORIA",IF(E1939="","SEM SUBCATEGORIA",IF(COUNTIFS(CADASTROS!$L$7:$L$93,D1939,CADASTROS!$D$7:$D$93,E1939)=0,"INCOMPATÍVEL","OK"))))</f>
        <v/>
      </c>
    </row>
    <row r="1940" spans="1:11" ht="30" hidden="1" customHeight="1" x14ac:dyDescent="0.25">
      <c r="A1940" s="86" t="str">
        <f>IF(COUNTIF(EXTRATO!$A$2:$A$3000,"BAN-01797")=0,"","BAN-01797")</f>
        <v/>
      </c>
      <c r="B1940" s="85" t="str">
        <f>IF(A1940="","",IF(INDEX(EXTRATO!$C$2:$C$3000,MATCH($A1940,EXTRATO!$A$2:$A$3000,0))="","",INDEX(EXTRATO!$C$2:$C$3000,MATCH($A1940,EXTRATO!$A$2:$A$3000,0))))</f>
        <v/>
      </c>
      <c r="C1940" s="86" t="str">
        <f t="shared" si="46"/>
        <v/>
      </c>
      <c r="D1940" s="81"/>
      <c r="E1940" s="79"/>
      <c r="F1940" s="80" t="str">
        <f>IF(A1940="","",SUMIF(EXTRATO!$A$2:$A$3000,$A1940,EXTRATO!$J$2:$J$3000)+SUMIF(EXTRATO!$A$2:$A$3000,$A1940,EXTRATO!$K$2:$K$3000)+SUMIF(EXTRATO!$A$2:$A$3000,$A1940,EXTRATO!$L$2:$L$3000)+SUMIF(EXTRATO!$A$2:$A$3000,$A1940,EXTRATO!$M$2:$M$3000))</f>
        <v/>
      </c>
      <c r="G1940" s="81" t="str">
        <f>IF(A1940="","",IF(INDEX(EXTRATO!$G$2:$G$3000,MATCH($A1940,EXTRATO!$A$2:$A$3000,0))="","",INDEX(EXTRATO!$G$2:$G$3000,MATCH($A1940,EXTRATO!$A$2:$A$3000,0))))</f>
        <v/>
      </c>
      <c r="H1940" s="86" t="str">
        <f>IF(A1940="","",IF(INDEX(EXTRATO!$F$2:$F$3000,MATCH($A1940,EXTRATO!$A$2:$A$3000,0))="","",INDEX(EXTRATO!$F$2:$F$3000,MATCH($A1940,EXTRATO!$A$2:$A$3000,0))))</f>
        <v/>
      </c>
      <c r="I1940" s="88" t="str">
        <f>IF(A1940="","",IF(INDEX(EXTRATO!$H$2:$H$3000,MATCH($A1940,EXTRATO!$A$2:$A$3000,0))="","",INDEX(EXTRATO!$H$2:$H$3000,MATCH($A1940,EXTRATO!$A$2:$A$3000,0))))</f>
        <v/>
      </c>
      <c r="J1940" s="86" t="str">
        <f t="shared" si="47"/>
        <v/>
      </c>
      <c r="K1940" s="86" t="str">
        <f>IF(AND(A1940="",D1940="",E1940="",F1940=""),"",IF(D1940="","SEM CATEGORIA",IF(E1940="","SEM SUBCATEGORIA",IF(COUNTIFS(CADASTROS!$L$7:$L$93,D1940,CADASTROS!$D$7:$D$93,E1940)=0,"INCOMPATÍVEL","OK"))))</f>
        <v/>
      </c>
    </row>
    <row r="1941" spans="1:11" ht="30" hidden="1" customHeight="1" x14ac:dyDescent="0.25">
      <c r="A1941" s="86" t="str">
        <f>IF(COUNTIF(EXTRATO!$A$2:$A$3000,"BAN-01798")=0,"","BAN-01798")</f>
        <v/>
      </c>
      <c r="B1941" s="85" t="str">
        <f>IF(A1941="","",IF(INDEX(EXTRATO!$C$2:$C$3000,MATCH($A1941,EXTRATO!$A$2:$A$3000,0))="","",INDEX(EXTRATO!$C$2:$C$3000,MATCH($A1941,EXTRATO!$A$2:$A$3000,0))))</f>
        <v/>
      </c>
      <c r="C1941" s="86" t="str">
        <f t="shared" ref="C1941:C2004" si="48">IF(B1941="","",MONTH(B1941))</f>
        <v/>
      </c>
      <c r="D1941" s="81"/>
      <c r="E1941" s="79"/>
      <c r="F1941" s="80" t="str">
        <f>IF(A1941="","",SUMIF(EXTRATO!$A$2:$A$3000,$A1941,EXTRATO!$J$2:$J$3000)+SUMIF(EXTRATO!$A$2:$A$3000,$A1941,EXTRATO!$K$2:$K$3000)+SUMIF(EXTRATO!$A$2:$A$3000,$A1941,EXTRATO!$L$2:$L$3000)+SUMIF(EXTRATO!$A$2:$A$3000,$A1941,EXTRATO!$M$2:$M$3000))</f>
        <v/>
      </c>
      <c r="G1941" s="81" t="str">
        <f>IF(A1941="","",IF(INDEX(EXTRATO!$G$2:$G$3000,MATCH($A1941,EXTRATO!$A$2:$A$3000,0))="","",INDEX(EXTRATO!$G$2:$G$3000,MATCH($A1941,EXTRATO!$A$2:$A$3000,0))))</f>
        <v/>
      </c>
      <c r="H1941" s="86" t="str">
        <f>IF(A1941="","",IF(INDEX(EXTRATO!$F$2:$F$3000,MATCH($A1941,EXTRATO!$A$2:$A$3000,0))="","",INDEX(EXTRATO!$F$2:$F$3000,MATCH($A1941,EXTRATO!$A$2:$A$3000,0))))</f>
        <v/>
      </c>
      <c r="I1941" s="88" t="str">
        <f>IF(A1941="","",IF(INDEX(EXTRATO!$H$2:$H$3000,MATCH($A1941,EXTRATO!$A$2:$A$3000,0))="","",INDEX(EXTRATO!$H$2:$H$3000,MATCH($A1941,EXTRATO!$A$2:$A$3000,0))))</f>
        <v/>
      </c>
      <c r="J1941" s="86" t="str">
        <f t="shared" si="47"/>
        <v/>
      </c>
      <c r="K1941" s="86" t="str">
        <f>IF(AND(A1941="",D1941="",E1941="",F1941=""),"",IF(D1941="","SEM CATEGORIA",IF(E1941="","SEM SUBCATEGORIA",IF(COUNTIFS(CADASTROS!$L$7:$L$93,D1941,CADASTROS!$D$7:$D$93,E1941)=0,"INCOMPATÍVEL","OK"))))</f>
        <v/>
      </c>
    </row>
    <row r="1942" spans="1:11" ht="30" hidden="1" customHeight="1" x14ac:dyDescent="0.25">
      <c r="A1942" s="86" t="str">
        <f>IF(COUNTIF(EXTRATO!$A$2:$A$3000,"BAN-01799")=0,"","BAN-01799")</f>
        <v/>
      </c>
      <c r="B1942" s="85" t="str">
        <f>IF(A1942="","",IF(INDEX(EXTRATO!$C$2:$C$3000,MATCH($A1942,EXTRATO!$A$2:$A$3000,0))="","",INDEX(EXTRATO!$C$2:$C$3000,MATCH($A1942,EXTRATO!$A$2:$A$3000,0))))</f>
        <v/>
      </c>
      <c r="C1942" s="86" t="str">
        <f t="shared" si="48"/>
        <v/>
      </c>
      <c r="D1942" s="81"/>
      <c r="E1942" s="79"/>
      <c r="F1942" s="80" t="str">
        <f>IF(A1942="","",SUMIF(EXTRATO!$A$2:$A$3000,$A1942,EXTRATO!$J$2:$J$3000)+SUMIF(EXTRATO!$A$2:$A$3000,$A1942,EXTRATO!$K$2:$K$3000)+SUMIF(EXTRATO!$A$2:$A$3000,$A1942,EXTRATO!$L$2:$L$3000)+SUMIF(EXTRATO!$A$2:$A$3000,$A1942,EXTRATO!$M$2:$M$3000))</f>
        <v/>
      </c>
      <c r="G1942" s="81" t="str">
        <f>IF(A1942="","",IF(INDEX(EXTRATO!$G$2:$G$3000,MATCH($A1942,EXTRATO!$A$2:$A$3000,0))="","",INDEX(EXTRATO!$G$2:$G$3000,MATCH($A1942,EXTRATO!$A$2:$A$3000,0))))</f>
        <v/>
      </c>
      <c r="H1942" s="86" t="str">
        <f>IF(A1942="","",IF(INDEX(EXTRATO!$F$2:$F$3000,MATCH($A1942,EXTRATO!$A$2:$A$3000,0))="","",INDEX(EXTRATO!$F$2:$F$3000,MATCH($A1942,EXTRATO!$A$2:$A$3000,0))))</f>
        <v/>
      </c>
      <c r="I1942" s="88" t="str">
        <f>IF(A1942="","",IF(INDEX(EXTRATO!$H$2:$H$3000,MATCH($A1942,EXTRATO!$A$2:$A$3000,0))="","",INDEX(EXTRATO!$H$2:$H$3000,MATCH($A1942,EXTRATO!$A$2:$A$3000,0))))</f>
        <v/>
      </c>
      <c r="J1942" s="86" t="str">
        <f t="shared" si="47"/>
        <v/>
      </c>
      <c r="K1942" s="86" t="str">
        <f>IF(AND(A1942="",D1942="",E1942="",F1942=""),"",IF(D1942="","SEM CATEGORIA",IF(E1942="","SEM SUBCATEGORIA",IF(COUNTIFS(CADASTROS!$L$7:$L$93,D1942,CADASTROS!$D$7:$D$93,E1942)=0,"INCOMPATÍVEL","OK"))))</f>
        <v/>
      </c>
    </row>
    <row r="1943" spans="1:11" ht="30" hidden="1" customHeight="1" x14ac:dyDescent="0.25">
      <c r="A1943" s="86" t="str">
        <f>IF(COUNTIF(EXTRATO!$A$2:$A$3000,"BAN-01800")=0,"","BAN-01800")</f>
        <v/>
      </c>
      <c r="B1943" s="85" t="str">
        <f>IF(A1943="","",IF(INDEX(EXTRATO!$C$2:$C$3000,MATCH($A1943,EXTRATO!$A$2:$A$3000,0))="","",INDEX(EXTRATO!$C$2:$C$3000,MATCH($A1943,EXTRATO!$A$2:$A$3000,0))))</f>
        <v/>
      </c>
      <c r="C1943" s="86" t="str">
        <f t="shared" si="48"/>
        <v/>
      </c>
      <c r="D1943" s="81"/>
      <c r="E1943" s="79"/>
      <c r="F1943" s="80" t="str">
        <f>IF(A1943="","",SUMIF(EXTRATO!$A$2:$A$3000,$A1943,EXTRATO!$J$2:$J$3000)+SUMIF(EXTRATO!$A$2:$A$3000,$A1943,EXTRATO!$K$2:$K$3000)+SUMIF(EXTRATO!$A$2:$A$3000,$A1943,EXTRATO!$L$2:$L$3000)+SUMIF(EXTRATO!$A$2:$A$3000,$A1943,EXTRATO!$M$2:$M$3000))</f>
        <v/>
      </c>
      <c r="G1943" s="81" t="str">
        <f>IF(A1943="","",IF(INDEX(EXTRATO!$G$2:$G$3000,MATCH($A1943,EXTRATO!$A$2:$A$3000,0))="","",INDEX(EXTRATO!$G$2:$G$3000,MATCH($A1943,EXTRATO!$A$2:$A$3000,0))))</f>
        <v/>
      </c>
      <c r="H1943" s="86" t="str">
        <f>IF(A1943="","",IF(INDEX(EXTRATO!$F$2:$F$3000,MATCH($A1943,EXTRATO!$A$2:$A$3000,0))="","",INDEX(EXTRATO!$F$2:$F$3000,MATCH($A1943,EXTRATO!$A$2:$A$3000,0))))</f>
        <v/>
      </c>
      <c r="I1943" s="88" t="str">
        <f>IF(A1943="","",IF(INDEX(EXTRATO!$H$2:$H$3000,MATCH($A1943,EXTRATO!$A$2:$A$3000,0))="","",INDEX(EXTRATO!$H$2:$H$3000,MATCH($A1943,EXTRATO!$A$2:$A$3000,0))))</f>
        <v/>
      </c>
      <c r="J1943" s="86" t="str">
        <f t="shared" si="47"/>
        <v/>
      </c>
      <c r="K1943" s="86" t="str">
        <f>IF(AND(A1943="",D1943="",E1943="",F1943=""),"",IF(D1943="","SEM CATEGORIA",IF(E1943="","SEM SUBCATEGORIA",IF(COUNTIFS(CADASTROS!$L$7:$L$93,D1943,CADASTROS!$D$7:$D$93,E1943)=0,"INCOMPATÍVEL","OK"))))</f>
        <v/>
      </c>
    </row>
    <row r="1944" spans="1:11" ht="30" hidden="1" customHeight="1" x14ac:dyDescent="0.25">
      <c r="A1944" s="86" t="str">
        <f>IF(COUNTIF(EXTRATO!$A$2:$A$3000,"BAN-01801")=0,"","BAN-01801")</f>
        <v/>
      </c>
      <c r="B1944" s="85" t="str">
        <f>IF(A1944="","",IF(INDEX(EXTRATO!$C$2:$C$3000,MATCH($A1944,EXTRATO!$A$2:$A$3000,0))="","",INDEX(EXTRATO!$C$2:$C$3000,MATCH($A1944,EXTRATO!$A$2:$A$3000,0))))</f>
        <v/>
      </c>
      <c r="C1944" s="86" t="str">
        <f t="shared" si="48"/>
        <v/>
      </c>
      <c r="D1944" s="81"/>
      <c r="E1944" s="79"/>
      <c r="F1944" s="80" t="str">
        <f>IF(A1944="","",SUMIF(EXTRATO!$A$2:$A$3000,$A1944,EXTRATO!$J$2:$J$3000)+SUMIF(EXTRATO!$A$2:$A$3000,$A1944,EXTRATO!$K$2:$K$3000)+SUMIF(EXTRATO!$A$2:$A$3000,$A1944,EXTRATO!$L$2:$L$3000)+SUMIF(EXTRATO!$A$2:$A$3000,$A1944,EXTRATO!$M$2:$M$3000))</f>
        <v/>
      </c>
      <c r="G1944" s="81" t="str">
        <f>IF(A1944="","",IF(INDEX(EXTRATO!$G$2:$G$3000,MATCH($A1944,EXTRATO!$A$2:$A$3000,0))="","",INDEX(EXTRATO!$G$2:$G$3000,MATCH($A1944,EXTRATO!$A$2:$A$3000,0))))</f>
        <v/>
      </c>
      <c r="H1944" s="86" t="str">
        <f>IF(A1944="","",IF(INDEX(EXTRATO!$F$2:$F$3000,MATCH($A1944,EXTRATO!$A$2:$A$3000,0))="","",INDEX(EXTRATO!$F$2:$F$3000,MATCH($A1944,EXTRATO!$A$2:$A$3000,0))))</f>
        <v/>
      </c>
      <c r="I1944" s="88" t="str">
        <f>IF(A1944="","",IF(INDEX(EXTRATO!$H$2:$H$3000,MATCH($A1944,EXTRATO!$A$2:$A$3000,0))="","",INDEX(EXTRATO!$H$2:$H$3000,MATCH($A1944,EXTRATO!$A$2:$A$3000,0))))</f>
        <v/>
      </c>
      <c r="J1944" s="86" t="str">
        <f t="shared" si="47"/>
        <v/>
      </c>
      <c r="K1944" s="86" t="str">
        <f>IF(AND(A1944="",D1944="",E1944="",F1944=""),"",IF(D1944="","SEM CATEGORIA",IF(E1944="","SEM SUBCATEGORIA",IF(COUNTIFS(CADASTROS!$L$7:$L$93,D1944,CADASTROS!$D$7:$D$93,E1944)=0,"INCOMPATÍVEL","OK"))))</f>
        <v/>
      </c>
    </row>
    <row r="1945" spans="1:11" ht="30" hidden="1" customHeight="1" x14ac:dyDescent="0.25">
      <c r="A1945" s="86" t="str">
        <f>IF(COUNTIF(EXTRATO!$A$2:$A$3000,"BAN-01802")=0,"","BAN-01802")</f>
        <v/>
      </c>
      <c r="B1945" s="85" t="str">
        <f>IF(A1945="","",IF(INDEX(EXTRATO!$C$2:$C$3000,MATCH($A1945,EXTRATO!$A$2:$A$3000,0))="","",INDEX(EXTRATO!$C$2:$C$3000,MATCH($A1945,EXTRATO!$A$2:$A$3000,0))))</f>
        <v/>
      </c>
      <c r="C1945" s="86" t="str">
        <f t="shared" si="48"/>
        <v/>
      </c>
      <c r="D1945" s="81"/>
      <c r="E1945" s="79"/>
      <c r="F1945" s="80" t="str">
        <f>IF(A1945="","",SUMIF(EXTRATO!$A$2:$A$3000,$A1945,EXTRATO!$J$2:$J$3000)+SUMIF(EXTRATO!$A$2:$A$3000,$A1945,EXTRATO!$K$2:$K$3000)+SUMIF(EXTRATO!$A$2:$A$3000,$A1945,EXTRATO!$L$2:$L$3000)+SUMIF(EXTRATO!$A$2:$A$3000,$A1945,EXTRATO!$M$2:$M$3000))</f>
        <v/>
      </c>
      <c r="G1945" s="81" t="str">
        <f>IF(A1945="","",IF(INDEX(EXTRATO!$G$2:$G$3000,MATCH($A1945,EXTRATO!$A$2:$A$3000,0))="","",INDEX(EXTRATO!$G$2:$G$3000,MATCH($A1945,EXTRATO!$A$2:$A$3000,0))))</f>
        <v/>
      </c>
      <c r="H1945" s="86" t="str">
        <f>IF(A1945="","",IF(INDEX(EXTRATO!$F$2:$F$3000,MATCH($A1945,EXTRATO!$A$2:$A$3000,0))="","",INDEX(EXTRATO!$F$2:$F$3000,MATCH($A1945,EXTRATO!$A$2:$A$3000,0))))</f>
        <v/>
      </c>
      <c r="I1945" s="88" t="str">
        <f>IF(A1945="","",IF(INDEX(EXTRATO!$H$2:$H$3000,MATCH($A1945,EXTRATO!$A$2:$A$3000,0))="","",INDEX(EXTRATO!$H$2:$H$3000,MATCH($A1945,EXTRATO!$A$2:$A$3000,0))))</f>
        <v/>
      </c>
      <c r="J1945" s="86" t="str">
        <f t="shared" si="47"/>
        <v/>
      </c>
      <c r="K1945" s="86" t="str">
        <f>IF(AND(A1945="",D1945="",E1945="",F1945=""),"",IF(D1945="","SEM CATEGORIA",IF(E1945="","SEM SUBCATEGORIA",IF(COUNTIFS(CADASTROS!$L$7:$L$93,D1945,CADASTROS!$D$7:$D$93,E1945)=0,"INCOMPATÍVEL","OK"))))</f>
        <v/>
      </c>
    </row>
    <row r="1946" spans="1:11" ht="30" hidden="1" customHeight="1" x14ac:dyDescent="0.25">
      <c r="A1946" s="86" t="str">
        <f>IF(COUNTIF(EXTRATO!$A$2:$A$3000,"BAN-01803")=0,"","BAN-01803")</f>
        <v/>
      </c>
      <c r="B1946" s="85" t="str">
        <f>IF(A1946="","",IF(INDEX(EXTRATO!$C$2:$C$3000,MATCH($A1946,EXTRATO!$A$2:$A$3000,0))="","",INDEX(EXTRATO!$C$2:$C$3000,MATCH($A1946,EXTRATO!$A$2:$A$3000,0))))</f>
        <v/>
      </c>
      <c r="C1946" s="86" t="str">
        <f t="shared" si="48"/>
        <v/>
      </c>
      <c r="D1946" s="81"/>
      <c r="E1946" s="79"/>
      <c r="F1946" s="80" t="str">
        <f>IF(A1946="","",SUMIF(EXTRATO!$A$2:$A$3000,$A1946,EXTRATO!$J$2:$J$3000)+SUMIF(EXTRATO!$A$2:$A$3000,$A1946,EXTRATO!$K$2:$K$3000)+SUMIF(EXTRATO!$A$2:$A$3000,$A1946,EXTRATO!$L$2:$L$3000)+SUMIF(EXTRATO!$A$2:$A$3000,$A1946,EXTRATO!$M$2:$M$3000))</f>
        <v/>
      </c>
      <c r="G1946" s="81" t="str">
        <f>IF(A1946="","",IF(INDEX(EXTRATO!$G$2:$G$3000,MATCH($A1946,EXTRATO!$A$2:$A$3000,0))="","",INDEX(EXTRATO!$G$2:$G$3000,MATCH($A1946,EXTRATO!$A$2:$A$3000,0))))</f>
        <v/>
      </c>
      <c r="H1946" s="86" t="str">
        <f>IF(A1946="","",IF(INDEX(EXTRATO!$F$2:$F$3000,MATCH($A1946,EXTRATO!$A$2:$A$3000,0))="","",INDEX(EXTRATO!$F$2:$F$3000,MATCH($A1946,EXTRATO!$A$2:$A$3000,0))))</f>
        <v/>
      </c>
      <c r="I1946" s="88" t="str">
        <f>IF(A1946="","",IF(INDEX(EXTRATO!$H$2:$H$3000,MATCH($A1946,EXTRATO!$A$2:$A$3000,0))="","",INDEX(EXTRATO!$H$2:$H$3000,MATCH($A1946,EXTRATO!$A$2:$A$3000,0))))</f>
        <v/>
      </c>
      <c r="J1946" s="86" t="str">
        <f t="shared" si="47"/>
        <v/>
      </c>
      <c r="K1946" s="86" t="str">
        <f>IF(AND(A1946="",D1946="",E1946="",F1946=""),"",IF(D1946="","SEM CATEGORIA",IF(E1946="","SEM SUBCATEGORIA",IF(COUNTIFS(CADASTROS!$L$7:$L$93,D1946,CADASTROS!$D$7:$D$93,E1946)=0,"INCOMPATÍVEL","OK"))))</f>
        <v/>
      </c>
    </row>
    <row r="1947" spans="1:11" ht="30" hidden="1" customHeight="1" x14ac:dyDescent="0.25">
      <c r="A1947" s="86" t="str">
        <f>IF(COUNTIF(EXTRATO!$A$2:$A$3000,"BAN-01804")=0,"","BAN-01804")</f>
        <v/>
      </c>
      <c r="B1947" s="85" t="str">
        <f>IF(A1947="","",IF(INDEX(EXTRATO!$C$2:$C$3000,MATCH($A1947,EXTRATO!$A$2:$A$3000,0))="","",INDEX(EXTRATO!$C$2:$C$3000,MATCH($A1947,EXTRATO!$A$2:$A$3000,0))))</f>
        <v/>
      </c>
      <c r="C1947" s="86" t="str">
        <f t="shared" si="48"/>
        <v/>
      </c>
      <c r="D1947" s="81"/>
      <c r="E1947" s="79"/>
      <c r="F1947" s="80" t="str">
        <f>IF(A1947="","",SUMIF(EXTRATO!$A$2:$A$3000,$A1947,EXTRATO!$J$2:$J$3000)+SUMIF(EXTRATO!$A$2:$A$3000,$A1947,EXTRATO!$K$2:$K$3000)+SUMIF(EXTRATO!$A$2:$A$3000,$A1947,EXTRATO!$L$2:$L$3000)+SUMIF(EXTRATO!$A$2:$A$3000,$A1947,EXTRATO!$M$2:$M$3000))</f>
        <v/>
      </c>
      <c r="G1947" s="81" t="str">
        <f>IF(A1947="","",IF(INDEX(EXTRATO!$G$2:$G$3000,MATCH($A1947,EXTRATO!$A$2:$A$3000,0))="","",INDEX(EXTRATO!$G$2:$G$3000,MATCH($A1947,EXTRATO!$A$2:$A$3000,0))))</f>
        <v/>
      </c>
      <c r="H1947" s="86" t="str">
        <f>IF(A1947="","",IF(INDEX(EXTRATO!$F$2:$F$3000,MATCH($A1947,EXTRATO!$A$2:$A$3000,0))="","",INDEX(EXTRATO!$F$2:$F$3000,MATCH($A1947,EXTRATO!$A$2:$A$3000,0))))</f>
        <v/>
      </c>
      <c r="I1947" s="88" t="str">
        <f>IF(A1947="","",IF(INDEX(EXTRATO!$H$2:$H$3000,MATCH($A1947,EXTRATO!$A$2:$A$3000,0))="","",INDEX(EXTRATO!$H$2:$H$3000,MATCH($A1947,EXTRATO!$A$2:$A$3000,0))))</f>
        <v/>
      </c>
      <c r="J1947" s="86" t="str">
        <f t="shared" si="47"/>
        <v/>
      </c>
      <c r="K1947" s="86" t="str">
        <f>IF(AND(A1947="",D1947="",E1947="",F1947=""),"",IF(D1947="","SEM CATEGORIA",IF(E1947="","SEM SUBCATEGORIA",IF(COUNTIFS(CADASTROS!$L$7:$L$93,D1947,CADASTROS!$D$7:$D$93,E1947)=0,"INCOMPATÍVEL","OK"))))</f>
        <v/>
      </c>
    </row>
    <row r="1948" spans="1:11" ht="30" hidden="1" customHeight="1" x14ac:dyDescent="0.25">
      <c r="A1948" s="86" t="str">
        <f>IF(COUNTIF(EXTRATO!$A$2:$A$3000,"BAN-01805")=0,"","BAN-01805")</f>
        <v/>
      </c>
      <c r="B1948" s="85" t="str">
        <f>IF(A1948="","",IF(INDEX(EXTRATO!$C$2:$C$3000,MATCH($A1948,EXTRATO!$A$2:$A$3000,0))="","",INDEX(EXTRATO!$C$2:$C$3000,MATCH($A1948,EXTRATO!$A$2:$A$3000,0))))</f>
        <v/>
      </c>
      <c r="C1948" s="86" t="str">
        <f t="shared" si="48"/>
        <v/>
      </c>
      <c r="D1948" s="81"/>
      <c r="E1948" s="79"/>
      <c r="F1948" s="80" t="str">
        <f>IF(A1948="","",SUMIF(EXTRATO!$A$2:$A$3000,$A1948,EXTRATO!$J$2:$J$3000)+SUMIF(EXTRATO!$A$2:$A$3000,$A1948,EXTRATO!$K$2:$K$3000)+SUMIF(EXTRATO!$A$2:$A$3000,$A1948,EXTRATO!$L$2:$L$3000)+SUMIF(EXTRATO!$A$2:$A$3000,$A1948,EXTRATO!$M$2:$M$3000))</f>
        <v/>
      </c>
      <c r="G1948" s="81" t="str">
        <f>IF(A1948="","",IF(INDEX(EXTRATO!$G$2:$G$3000,MATCH($A1948,EXTRATO!$A$2:$A$3000,0))="","",INDEX(EXTRATO!$G$2:$G$3000,MATCH($A1948,EXTRATO!$A$2:$A$3000,0))))</f>
        <v/>
      </c>
      <c r="H1948" s="86" t="str">
        <f>IF(A1948="","",IF(INDEX(EXTRATO!$F$2:$F$3000,MATCH($A1948,EXTRATO!$A$2:$A$3000,0))="","",INDEX(EXTRATO!$F$2:$F$3000,MATCH($A1948,EXTRATO!$A$2:$A$3000,0))))</f>
        <v/>
      </c>
      <c r="I1948" s="88" t="str">
        <f>IF(A1948="","",IF(INDEX(EXTRATO!$H$2:$H$3000,MATCH($A1948,EXTRATO!$A$2:$A$3000,0))="","",INDEX(EXTRATO!$H$2:$H$3000,MATCH($A1948,EXTRATO!$A$2:$A$3000,0))))</f>
        <v/>
      </c>
      <c r="J1948" s="86" t="str">
        <f t="shared" si="47"/>
        <v/>
      </c>
      <c r="K1948" s="86" t="str">
        <f>IF(AND(A1948="",D1948="",E1948="",F1948=""),"",IF(D1948="","SEM CATEGORIA",IF(E1948="","SEM SUBCATEGORIA",IF(COUNTIFS(CADASTROS!$L$7:$L$93,D1948,CADASTROS!$D$7:$D$93,E1948)=0,"INCOMPATÍVEL","OK"))))</f>
        <v/>
      </c>
    </row>
    <row r="1949" spans="1:11" ht="30" hidden="1" customHeight="1" x14ac:dyDescent="0.25">
      <c r="A1949" s="86" t="str">
        <f>IF(COUNTIF(EXTRATO!$A$2:$A$3000,"BAN-01806")=0,"","BAN-01806")</f>
        <v/>
      </c>
      <c r="B1949" s="85" t="str">
        <f>IF(A1949="","",IF(INDEX(EXTRATO!$C$2:$C$3000,MATCH($A1949,EXTRATO!$A$2:$A$3000,0))="","",INDEX(EXTRATO!$C$2:$C$3000,MATCH($A1949,EXTRATO!$A$2:$A$3000,0))))</f>
        <v/>
      </c>
      <c r="C1949" s="86" t="str">
        <f t="shared" si="48"/>
        <v/>
      </c>
      <c r="D1949" s="81"/>
      <c r="E1949" s="79"/>
      <c r="F1949" s="80" t="str">
        <f>IF(A1949="","",SUMIF(EXTRATO!$A$2:$A$3000,$A1949,EXTRATO!$J$2:$J$3000)+SUMIF(EXTRATO!$A$2:$A$3000,$A1949,EXTRATO!$K$2:$K$3000)+SUMIF(EXTRATO!$A$2:$A$3000,$A1949,EXTRATO!$L$2:$L$3000)+SUMIF(EXTRATO!$A$2:$A$3000,$A1949,EXTRATO!$M$2:$M$3000))</f>
        <v/>
      </c>
      <c r="G1949" s="81" t="str">
        <f>IF(A1949="","",IF(INDEX(EXTRATO!$G$2:$G$3000,MATCH($A1949,EXTRATO!$A$2:$A$3000,0))="","",INDEX(EXTRATO!$G$2:$G$3000,MATCH($A1949,EXTRATO!$A$2:$A$3000,0))))</f>
        <v/>
      </c>
      <c r="H1949" s="86" t="str">
        <f>IF(A1949="","",IF(INDEX(EXTRATO!$F$2:$F$3000,MATCH($A1949,EXTRATO!$A$2:$A$3000,0))="","",INDEX(EXTRATO!$F$2:$F$3000,MATCH($A1949,EXTRATO!$A$2:$A$3000,0))))</f>
        <v/>
      </c>
      <c r="I1949" s="88" t="str">
        <f>IF(A1949="","",IF(INDEX(EXTRATO!$H$2:$H$3000,MATCH($A1949,EXTRATO!$A$2:$A$3000,0))="","",INDEX(EXTRATO!$H$2:$H$3000,MATCH($A1949,EXTRATO!$A$2:$A$3000,0))))</f>
        <v/>
      </c>
      <c r="J1949" s="86" t="str">
        <f t="shared" si="47"/>
        <v/>
      </c>
      <c r="K1949" s="86" t="str">
        <f>IF(AND(A1949="",D1949="",E1949="",F1949=""),"",IF(D1949="","SEM CATEGORIA",IF(E1949="","SEM SUBCATEGORIA",IF(COUNTIFS(CADASTROS!$L$7:$L$93,D1949,CADASTROS!$D$7:$D$93,E1949)=0,"INCOMPATÍVEL","OK"))))</f>
        <v/>
      </c>
    </row>
    <row r="1950" spans="1:11" ht="30" hidden="1" customHeight="1" x14ac:dyDescent="0.25">
      <c r="A1950" s="86" t="str">
        <f>IF(COUNTIF(EXTRATO!$A$2:$A$3000,"BAN-01807")=0,"","BAN-01807")</f>
        <v/>
      </c>
      <c r="B1950" s="85" t="str">
        <f>IF(A1950="","",IF(INDEX(EXTRATO!$C$2:$C$3000,MATCH($A1950,EXTRATO!$A$2:$A$3000,0))="","",INDEX(EXTRATO!$C$2:$C$3000,MATCH($A1950,EXTRATO!$A$2:$A$3000,0))))</f>
        <v/>
      </c>
      <c r="C1950" s="86" t="str">
        <f t="shared" si="48"/>
        <v/>
      </c>
      <c r="D1950" s="81"/>
      <c r="E1950" s="79"/>
      <c r="F1950" s="80" t="str">
        <f>IF(A1950="","",SUMIF(EXTRATO!$A$2:$A$3000,$A1950,EXTRATO!$J$2:$J$3000)+SUMIF(EXTRATO!$A$2:$A$3000,$A1950,EXTRATO!$K$2:$K$3000)+SUMIF(EXTRATO!$A$2:$A$3000,$A1950,EXTRATO!$L$2:$L$3000)+SUMIF(EXTRATO!$A$2:$A$3000,$A1950,EXTRATO!$M$2:$M$3000))</f>
        <v/>
      </c>
      <c r="G1950" s="81" t="str">
        <f>IF(A1950="","",IF(INDEX(EXTRATO!$G$2:$G$3000,MATCH($A1950,EXTRATO!$A$2:$A$3000,0))="","",INDEX(EXTRATO!$G$2:$G$3000,MATCH($A1950,EXTRATO!$A$2:$A$3000,0))))</f>
        <v/>
      </c>
      <c r="H1950" s="86" t="str">
        <f>IF(A1950="","",IF(INDEX(EXTRATO!$F$2:$F$3000,MATCH($A1950,EXTRATO!$A$2:$A$3000,0))="","",INDEX(EXTRATO!$F$2:$F$3000,MATCH($A1950,EXTRATO!$A$2:$A$3000,0))))</f>
        <v/>
      </c>
      <c r="I1950" s="88" t="str">
        <f>IF(A1950="","",IF(INDEX(EXTRATO!$H$2:$H$3000,MATCH($A1950,EXTRATO!$A$2:$A$3000,0))="","",INDEX(EXTRATO!$H$2:$H$3000,MATCH($A1950,EXTRATO!$A$2:$A$3000,0))))</f>
        <v/>
      </c>
      <c r="J1950" s="86" t="str">
        <f t="shared" si="47"/>
        <v/>
      </c>
      <c r="K1950" s="86" t="str">
        <f>IF(AND(A1950="",D1950="",E1950="",F1950=""),"",IF(D1950="","SEM CATEGORIA",IF(E1950="","SEM SUBCATEGORIA",IF(COUNTIFS(CADASTROS!$L$7:$L$93,D1950,CADASTROS!$D$7:$D$93,E1950)=0,"INCOMPATÍVEL","OK"))))</f>
        <v/>
      </c>
    </row>
    <row r="1951" spans="1:11" ht="30" hidden="1" customHeight="1" x14ac:dyDescent="0.25">
      <c r="A1951" s="86" t="str">
        <f>IF(COUNTIF(EXTRATO!$A$2:$A$3000,"BAN-01808")=0,"","BAN-01808")</f>
        <v/>
      </c>
      <c r="B1951" s="85" t="str">
        <f>IF(A1951="","",IF(INDEX(EXTRATO!$C$2:$C$3000,MATCH($A1951,EXTRATO!$A$2:$A$3000,0))="","",INDEX(EXTRATO!$C$2:$C$3000,MATCH($A1951,EXTRATO!$A$2:$A$3000,0))))</f>
        <v/>
      </c>
      <c r="C1951" s="86" t="str">
        <f t="shared" si="48"/>
        <v/>
      </c>
      <c r="D1951" s="81"/>
      <c r="E1951" s="79"/>
      <c r="F1951" s="80" t="str">
        <f>IF(A1951="","",SUMIF(EXTRATO!$A$2:$A$3000,$A1951,EXTRATO!$J$2:$J$3000)+SUMIF(EXTRATO!$A$2:$A$3000,$A1951,EXTRATO!$K$2:$K$3000)+SUMIF(EXTRATO!$A$2:$A$3000,$A1951,EXTRATO!$L$2:$L$3000)+SUMIF(EXTRATO!$A$2:$A$3000,$A1951,EXTRATO!$M$2:$M$3000))</f>
        <v/>
      </c>
      <c r="G1951" s="81" t="str">
        <f>IF(A1951="","",IF(INDEX(EXTRATO!$G$2:$G$3000,MATCH($A1951,EXTRATO!$A$2:$A$3000,0))="","",INDEX(EXTRATO!$G$2:$G$3000,MATCH($A1951,EXTRATO!$A$2:$A$3000,0))))</f>
        <v/>
      </c>
      <c r="H1951" s="86" t="str">
        <f>IF(A1951="","",IF(INDEX(EXTRATO!$F$2:$F$3000,MATCH($A1951,EXTRATO!$A$2:$A$3000,0))="","",INDEX(EXTRATO!$F$2:$F$3000,MATCH($A1951,EXTRATO!$A$2:$A$3000,0))))</f>
        <v/>
      </c>
      <c r="I1951" s="88" t="str">
        <f>IF(A1951="","",IF(INDEX(EXTRATO!$H$2:$H$3000,MATCH($A1951,EXTRATO!$A$2:$A$3000,0))="","",INDEX(EXTRATO!$H$2:$H$3000,MATCH($A1951,EXTRATO!$A$2:$A$3000,0))))</f>
        <v/>
      </c>
      <c r="J1951" s="86" t="str">
        <f t="shared" si="47"/>
        <v/>
      </c>
      <c r="K1951" s="86" t="str">
        <f>IF(AND(A1951="",D1951="",E1951="",F1951=""),"",IF(D1951="","SEM CATEGORIA",IF(E1951="","SEM SUBCATEGORIA",IF(COUNTIFS(CADASTROS!$L$7:$L$93,D1951,CADASTROS!$D$7:$D$93,E1951)=0,"INCOMPATÍVEL","OK"))))</f>
        <v/>
      </c>
    </row>
    <row r="1952" spans="1:11" ht="30" hidden="1" customHeight="1" x14ac:dyDescent="0.25">
      <c r="A1952" s="86" t="str">
        <f>IF(COUNTIF(EXTRATO!$A$2:$A$3000,"BAN-01809")=0,"","BAN-01809")</f>
        <v/>
      </c>
      <c r="B1952" s="85" t="str">
        <f>IF(A1952="","",IF(INDEX(EXTRATO!$C$2:$C$3000,MATCH($A1952,EXTRATO!$A$2:$A$3000,0))="","",INDEX(EXTRATO!$C$2:$C$3000,MATCH($A1952,EXTRATO!$A$2:$A$3000,0))))</f>
        <v/>
      </c>
      <c r="C1952" s="86" t="str">
        <f t="shared" si="48"/>
        <v/>
      </c>
      <c r="D1952" s="81"/>
      <c r="E1952" s="79"/>
      <c r="F1952" s="80" t="str">
        <f>IF(A1952="","",SUMIF(EXTRATO!$A$2:$A$3000,$A1952,EXTRATO!$J$2:$J$3000)+SUMIF(EXTRATO!$A$2:$A$3000,$A1952,EXTRATO!$K$2:$K$3000)+SUMIF(EXTRATO!$A$2:$A$3000,$A1952,EXTRATO!$L$2:$L$3000)+SUMIF(EXTRATO!$A$2:$A$3000,$A1952,EXTRATO!$M$2:$M$3000))</f>
        <v/>
      </c>
      <c r="G1952" s="81" t="str">
        <f>IF(A1952="","",IF(INDEX(EXTRATO!$G$2:$G$3000,MATCH($A1952,EXTRATO!$A$2:$A$3000,0))="","",INDEX(EXTRATO!$G$2:$G$3000,MATCH($A1952,EXTRATO!$A$2:$A$3000,0))))</f>
        <v/>
      </c>
      <c r="H1952" s="86" t="str">
        <f>IF(A1952="","",IF(INDEX(EXTRATO!$F$2:$F$3000,MATCH($A1952,EXTRATO!$A$2:$A$3000,0))="","",INDEX(EXTRATO!$F$2:$F$3000,MATCH($A1952,EXTRATO!$A$2:$A$3000,0))))</f>
        <v/>
      </c>
      <c r="I1952" s="88" t="str">
        <f>IF(A1952="","",IF(INDEX(EXTRATO!$H$2:$H$3000,MATCH($A1952,EXTRATO!$A$2:$A$3000,0))="","",INDEX(EXTRATO!$H$2:$H$3000,MATCH($A1952,EXTRATO!$A$2:$A$3000,0))))</f>
        <v/>
      </c>
      <c r="J1952" s="86" t="str">
        <f t="shared" si="47"/>
        <v/>
      </c>
      <c r="K1952" s="86" t="str">
        <f>IF(AND(A1952="",D1952="",E1952="",F1952=""),"",IF(D1952="","SEM CATEGORIA",IF(E1952="","SEM SUBCATEGORIA",IF(COUNTIFS(CADASTROS!$L$7:$L$93,D1952,CADASTROS!$D$7:$D$93,E1952)=0,"INCOMPATÍVEL","OK"))))</f>
        <v/>
      </c>
    </row>
    <row r="1953" spans="1:11" ht="30" hidden="1" customHeight="1" x14ac:dyDescent="0.25">
      <c r="A1953" s="86" t="str">
        <f>IF(COUNTIF(EXTRATO!$A$2:$A$3000,"BAN-01810")=0,"","BAN-01810")</f>
        <v/>
      </c>
      <c r="B1953" s="85" t="str">
        <f>IF(A1953="","",IF(INDEX(EXTRATO!$C$2:$C$3000,MATCH($A1953,EXTRATO!$A$2:$A$3000,0))="","",INDEX(EXTRATO!$C$2:$C$3000,MATCH($A1953,EXTRATO!$A$2:$A$3000,0))))</f>
        <v/>
      </c>
      <c r="C1953" s="86" t="str">
        <f t="shared" si="48"/>
        <v/>
      </c>
      <c r="D1953" s="81"/>
      <c r="E1953" s="79"/>
      <c r="F1953" s="80" t="str">
        <f>IF(A1953="","",SUMIF(EXTRATO!$A$2:$A$3000,$A1953,EXTRATO!$J$2:$J$3000)+SUMIF(EXTRATO!$A$2:$A$3000,$A1953,EXTRATO!$K$2:$K$3000)+SUMIF(EXTRATO!$A$2:$A$3000,$A1953,EXTRATO!$L$2:$L$3000)+SUMIF(EXTRATO!$A$2:$A$3000,$A1953,EXTRATO!$M$2:$M$3000))</f>
        <v/>
      </c>
      <c r="G1953" s="81" t="str">
        <f>IF(A1953="","",IF(INDEX(EXTRATO!$G$2:$G$3000,MATCH($A1953,EXTRATO!$A$2:$A$3000,0))="","",INDEX(EXTRATO!$G$2:$G$3000,MATCH($A1953,EXTRATO!$A$2:$A$3000,0))))</f>
        <v/>
      </c>
      <c r="H1953" s="86" t="str">
        <f>IF(A1953="","",IF(INDEX(EXTRATO!$F$2:$F$3000,MATCH($A1953,EXTRATO!$A$2:$A$3000,0))="","",INDEX(EXTRATO!$F$2:$F$3000,MATCH($A1953,EXTRATO!$A$2:$A$3000,0))))</f>
        <v/>
      </c>
      <c r="I1953" s="88" t="str">
        <f>IF(A1953="","",IF(INDEX(EXTRATO!$H$2:$H$3000,MATCH($A1953,EXTRATO!$A$2:$A$3000,0))="","",INDEX(EXTRATO!$H$2:$H$3000,MATCH($A1953,EXTRATO!$A$2:$A$3000,0))))</f>
        <v/>
      </c>
      <c r="J1953" s="86" t="str">
        <f t="shared" si="47"/>
        <v/>
      </c>
      <c r="K1953" s="86" t="str">
        <f>IF(AND(A1953="",D1953="",E1953="",F1953=""),"",IF(D1953="","SEM CATEGORIA",IF(E1953="","SEM SUBCATEGORIA",IF(COUNTIFS(CADASTROS!$L$7:$L$93,D1953,CADASTROS!$D$7:$D$93,E1953)=0,"INCOMPATÍVEL","OK"))))</f>
        <v/>
      </c>
    </row>
    <row r="1954" spans="1:11" ht="30" hidden="1" customHeight="1" x14ac:dyDescent="0.25">
      <c r="A1954" s="86" t="str">
        <f>IF(COUNTIF(EXTRATO!$A$2:$A$3000,"BAN-01811")=0,"","BAN-01811")</f>
        <v/>
      </c>
      <c r="B1954" s="85" t="str">
        <f>IF(A1954="","",IF(INDEX(EXTRATO!$C$2:$C$3000,MATCH($A1954,EXTRATO!$A$2:$A$3000,0))="","",INDEX(EXTRATO!$C$2:$C$3000,MATCH($A1954,EXTRATO!$A$2:$A$3000,0))))</f>
        <v/>
      </c>
      <c r="C1954" s="86" t="str">
        <f t="shared" si="48"/>
        <v/>
      </c>
      <c r="D1954" s="81"/>
      <c r="E1954" s="79"/>
      <c r="F1954" s="80" t="str">
        <f>IF(A1954="","",SUMIF(EXTRATO!$A$2:$A$3000,$A1954,EXTRATO!$J$2:$J$3000)+SUMIF(EXTRATO!$A$2:$A$3000,$A1954,EXTRATO!$K$2:$K$3000)+SUMIF(EXTRATO!$A$2:$A$3000,$A1954,EXTRATO!$L$2:$L$3000)+SUMIF(EXTRATO!$A$2:$A$3000,$A1954,EXTRATO!$M$2:$M$3000))</f>
        <v/>
      </c>
      <c r="G1954" s="81" t="str">
        <f>IF(A1954="","",IF(INDEX(EXTRATO!$G$2:$G$3000,MATCH($A1954,EXTRATO!$A$2:$A$3000,0))="","",INDEX(EXTRATO!$G$2:$G$3000,MATCH($A1954,EXTRATO!$A$2:$A$3000,0))))</f>
        <v/>
      </c>
      <c r="H1954" s="86" t="str">
        <f>IF(A1954="","",IF(INDEX(EXTRATO!$F$2:$F$3000,MATCH($A1954,EXTRATO!$A$2:$A$3000,0))="","",INDEX(EXTRATO!$F$2:$F$3000,MATCH($A1954,EXTRATO!$A$2:$A$3000,0))))</f>
        <v/>
      </c>
      <c r="I1954" s="88" t="str">
        <f>IF(A1954="","",IF(INDEX(EXTRATO!$H$2:$H$3000,MATCH($A1954,EXTRATO!$A$2:$A$3000,0))="","",INDEX(EXTRATO!$H$2:$H$3000,MATCH($A1954,EXTRATO!$A$2:$A$3000,0))))</f>
        <v/>
      </c>
      <c r="J1954" s="86" t="str">
        <f t="shared" si="47"/>
        <v/>
      </c>
      <c r="K1954" s="86" t="str">
        <f>IF(AND(A1954="",D1954="",E1954="",F1954=""),"",IF(D1954="","SEM CATEGORIA",IF(E1954="","SEM SUBCATEGORIA",IF(COUNTIFS(CADASTROS!$L$7:$L$93,D1954,CADASTROS!$D$7:$D$93,E1954)=0,"INCOMPATÍVEL","OK"))))</f>
        <v/>
      </c>
    </row>
    <row r="1955" spans="1:11" ht="30" hidden="1" customHeight="1" x14ac:dyDescent="0.25">
      <c r="A1955" s="86" t="str">
        <f>IF(COUNTIF(EXTRATO!$A$2:$A$3000,"BAN-01812")=0,"","BAN-01812")</f>
        <v/>
      </c>
      <c r="B1955" s="85" t="str">
        <f>IF(A1955="","",IF(INDEX(EXTRATO!$C$2:$C$3000,MATCH($A1955,EXTRATO!$A$2:$A$3000,0))="","",INDEX(EXTRATO!$C$2:$C$3000,MATCH($A1955,EXTRATO!$A$2:$A$3000,0))))</f>
        <v/>
      </c>
      <c r="C1955" s="86" t="str">
        <f t="shared" si="48"/>
        <v/>
      </c>
      <c r="D1955" s="81"/>
      <c r="E1955" s="79"/>
      <c r="F1955" s="80" t="str">
        <f>IF(A1955="","",SUMIF(EXTRATO!$A$2:$A$3000,$A1955,EXTRATO!$J$2:$J$3000)+SUMIF(EXTRATO!$A$2:$A$3000,$A1955,EXTRATO!$K$2:$K$3000)+SUMIF(EXTRATO!$A$2:$A$3000,$A1955,EXTRATO!$L$2:$L$3000)+SUMIF(EXTRATO!$A$2:$A$3000,$A1955,EXTRATO!$M$2:$M$3000))</f>
        <v/>
      </c>
      <c r="G1955" s="81" t="str">
        <f>IF(A1955="","",IF(INDEX(EXTRATO!$G$2:$G$3000,MATCH($A1955,EXTRATO!$A$2:$A$3000,0))="","",INDEX(EXTRATO!$G$2:$G$3000,MATCH($A1955,EXTRATO!$A$2:$A$3000,0))))</f>
        <v/>
      </c>
      <c r="H1955" s="86" t="str">
        <f>IF(A1955="","",IF(INDEX(EXTRATO!$F$2:$F$3000,MATCH($A1955,EXTRATO!$A$2:$A$3000,0))="","",INDEX(EXTRATO!$F$2:$F$3000,MATCH($A1955,EXTRATO!$A$2:$A$3000,0))))</f>
        <v/>
      </c>
      <c r="I1955" s="88" t="str">
        <f>IF(A1955="","",IF(INDEX(EXTRATO!$H$2:$H$3000,MATCH($A1955,EXTRATO!$A$2:$A$3000,0))="","",INDEX(EXTRATO!$H$2:$H$3000,MATCH($A1955,EXTRATO!$A$2:$A$3000,0))))</f>
        <v/>
      </c>
      <c r="J1955" s="86" t="str">
        <f t="shared" si="47"/>
        <v/>
      </c>
      <c r="K1955" s="86" t="str">
        <f>IF(AND(A1955="",D1955="",E1955="",F1955=""),"",IF(D1955="","SEM CATEGORIA",IF(E1955="","SEM SUBCATEGORIA",IF(COUNTIFS(CADASTROS!$L$7:$L$93,D1955,CADASTROS!$D$7:$D$93,E1955)=0,"INCOMPATÍVEL","OK"))))</f>
        <v/>
      </c>
    </row>
    <row r="1956" spans="1:11" ht="30" hidden="1" customHeight="1" x14ac:dyDescent="0.25">
      <c r="A1956" s="86" t="str">
        <f>IF(COUNTIF(EXTRATO!$A$2:$A$3000,"BAN-01813")=0,"","BAN-01813")</f>
        <v/>
      </c>
      <c r="B1956" s="85" t="str">
        <f>IF(A1956="","",IF(INDEX(EXTRATO!$C$2:$C$3000,MATCH($A1956,EXTRATO!$A$2:$A$3000,0))="","",INDEX(EXTRATO!$C$2:$C$3000,MATCH($A1956,EXTRATO!$A$2:$A$3000,0))))</f>
        <v/>
      </c>
      <c r="C1956" s="86" t="str">
        <f t="shared" si="48"/>
        <v/>
      </c>
      <c r="D1956" s="81"/>
      <c r="E1956" s="79"/>
      <c r="F1956" s="80" t="str">
        <f>IF(A1956="","",SUMIF(EXTRATO!$A$2:$A$3000,$A1956,EXTRATO!$J$2:$J$3000)+SUMIF(EXTRATO!$A$2:$A$3000,$A1956,EXTRATO!$K$2:$K$3000)+SUMIF(EXTRATO!$A$2:$A$3000,$A1956,EXTRATO!$L$2:$L$3000)+SUMIF(EXTRATO!$A$2:$A$3000,$A1956,EXTRATO!$M$2:$M$3000))</f>
        <v/>
      </c>
      <c r="G1956" s="81" t="str">
        <f>IF(A1956="","",IF(INDEX(EXTRATO!$G$2:$G$3000,MATCH($A1956,EXTRATO!$A$2:$A$3000,0))="","",INDEX(EXTRATO!$G$2:$G$3000,MATCH($A1956,EXTRATO!$A$2:$A$3000,0))))</f>
        <v/>
      </c>
      <c r="H1956" s="86" t="str">
        <f>IF(A1956="","",IF(INDEX(EXTRATO!$F$2:$F$3000,MATCH($A1956,EXTRATO!$A$2:$A$3000,0))="","",INDEX(EXTRATO!$F$2:$F$3000,MATCH($A1956,EXTRATO!$A$2:$A$3000,0))))</f>
        <v/>
      </c>
      <c r="I1956" s="88" t="str">
        <f>IF(A1956="","",IF(INDEX(EXTRATO!$H$2:$H$3000,MATCH($A1956,EXTRATO!$A$2:$A$3000,0))="","",INDEX(EXTRATO!$H$2:$H$3000,MATCH($A1956,EXTRATO!$A$2:$A$3000,0))))</f>
        <v/>
      </c>
      <c r="J1956" s="86" t="str">
        <f t="shared" si="47"/>
        <v/>
      </c>
      <c r="K1956" s="86" t="str">
        <f>IF(AND(A1956="",D1956="",E1956="",F1956=""),"",IF(D1956="","SEM CATEGORIA",IF(E1956="","SEM SUBCATEGORIA",IF(COUNTIFS(CADASTROS!$L$7:$L$93,D1956,CADASTROS!$D$7:$D$93,E1956)=0,"INCOMPATÍVEL","OK"))))</f>
        <v/>
      </c>
    </row>
    <row r="1957" spans="1:11" ht="30" hidden="1" customHeight="1" x14ac:dyDescent="0.25">
      <c r="A1957" s="86" t="str">
        <f>IF(COUNTIF(EXTRATO!$A$2:$A$3000,"BAN-01814")=0,"","BAN-01814")</f>
        <v/>
      </c>
      <c r="B1957" s="85" t="str">
        <f>IF(A1957="","",IF(INDEX(EXTRATO!$C$2:$C$3000,MATCH($A1957,EXTRATO!$A$2:$A$3000,0))="","",INDEX(EXTRATO!$C$2:$C$3000,MATCH($A1957,EXTRATO!$A$2:$A$3000,0))))</f>
        <v/>
      </c>
      <c r="C1957" s="86" t="str">
        <f t="shared" si="48"/>
        <v/>
      </c>
      <c r="D1957" s="81"/>
      <c r="E1957" s="79"/>
      <c r="F1957" s="80" t="str">
        <f>IF(A1957="","",SUMIF(EXTRATO!$A$2:$A$3000,$A1957,EXTRATO!$J$2:$J$3000)+SUMIF(EXTRATO!$A$2:$A$3000,$A1957,EXTRATO!$K$2:$K$3000)+SUMIF(EXTRATO!$A$2:$A$3000,$A1957,EXTRATO!$L$2:$L$3000)+SUMIF(EXTRATO!$A$2:$A$3000,$A1957,EXTRATO!$M$2:$M$3000))</f>
        <v/>
      </c>
      <c r="G1957" s="81" t="str">
        <f>IF(A1957="","",IF(INDEX(EXTRATO!$G$2:$G$3000,MATCH($A1957,EXTRATO!$A$2:$A$3000,0))="","",INDEX(EXTRATO!$G$2:$G$3000,MATCH($A1957,EXTRATO!$A$2:$A$3000,0))))</f>
        <v/>
      </c>
      <c r="H1957" s="86" t="str">
        <f>IF(A1957="","",IF(INDEX(EXTRATO!$F$2:$F$3000,MATCH($A1957,EXTRATO!$A$2:$A$3000,0))="","",INDEX(EXTRATO!$F$2:$F$3000,MATCH($A1957,EXTRATO!$A$2:$A$3000,0))))</f>
        <v/>
      </c>
      <c r="I1957" s="88" t="str">
        <f>IF(A1957="","",IF(INDEX(EXTRATO!$H$2:$H$3000,MATCH($A1957,EXTRATO!$A$2:$A$3000,0))="","",INDEX(EXTRATO!$H$2:$H$3000,MATCH($A1957,EXTRATO!$A$2:$A$3000,0))))</f>
        <v/>
      </c>
      <c r="J1957" s="86" t="str">
        <f t="shared" si="47"/>
        <v/>
      </c>
      <c r="K1957" s="86" t="str">
        <f>IF(AND(A1957="",D1957="",E1957="",F1957=""),"",IF(D1957="","SEM CATEGORIA",IF(E1957="","SEM SUBCATEGORIA",IF(COUNTIFS(CADASTROS!$L$7:$L$93,D1957,CADASTROS!$D$7:$D$93,E1957)=0,"INCOMPATÍVEL","OK"))))</f>
        <v/>
      </c>
    </row>
    <row r="1958" spans="1:11" ht="30" hidden="1" customHeight="1" x14ac:dyDescent="0.25">
      <c r="A1958" s="86" t="str">
        <f>IF(COUNTIF(EXTRATO!$A$2:$A$3000,"BAN-01815")=0,"","BAN-01815")</f>
        <v/>
      </c>
      <c r="B1958" s="85" t="str">
        <f>IF(A1958="","",IF(INDEX(EXTRATO!$C$2:$C$3000,MATCH($A1958,EXTRATO!$A$2:$A$3000,0))="","",INDEX(EXTRATO!$C$2:$C$3000,MATCH($A1958,EXTRATO!$A$2:$A$3000,0))))</f>
        <v/>
      </c>
      <c r="C1958" s="86" t="str">
        <f t="shared" si="48"/>
        <v/>
      </c>
      <c r="D1958" s="81"/>
      <c r="E1958" s="79"/>
      <c r="F1958" s="80" t="str">
        <f>IF(A1958="","",SUMIF(EXTRATO!$A$2:$A$3000,$A1958,EXTRATO!$J$2:$J$3000)+SUMIF(EXTRATO!$A$2:$A$3000,$A1958,EXTRATO!$K$2:$K$3000)+SUMIF(EXTRATO!$A$2:$A$3000,$A1958,EXTRATO!$L$2:$L$3000)+SUMIF(EXTRATO!$A$2:$A$3000,$A1958,EXTRATO!$M$2:$M$3000))</f>
        <v/>
      </c>
      <c r="G1958" s="81" t="str">
        <f>IF(A1958="","",IF(INDEX(EXTRATO!$G$2:$G$3000,MATCH($A1958,EXTRATO!$A$2:$A$3000,0))="","",INDEX(EXTRATO!$G$2:$G$3000,MATCH($A1958,EXTRATO!$A$2:$A$3000,0))))</f>
        <v/>
      </c>
      <c r="H1958" s="86" t="str">
        <f>IF(A1958="","",IF(INDEX(EXTRATO!$F$2:$F$3000,MATCH($A1958,EXTRATO!$A$2:$A$3000,0))="","",INDEX(EXTRATO!$F$2:$F$3000,MATCH($A1958,EXTRATO!$A$2:$A$3000,0))))</f>
        <v/>
      </c>
      <c r="I1958" s="88" t="str">
        <f>IF(A1958="","",IF(INDEX(EXTRATO!$H$2:$H$3000,MATCH($A1958,EXTRATO!$A$2:$A$3000,0))="","",INDEX(EXTRATO!$H$2:$H$3000,MATCH($A1958,EXTRATO!$A$2:$A$3000,0))))</f>
        <v/>
      </c>
      <c r="J1958" s="86" t="str">
        <f t="shared" si="47"/>
        <v/>
      </c>
      <c r="K1958" s="86" t="str">
        <f>IF(AND(A1958="",D1958="",E1958="",F1958=""),"",IF(D1958="","SEM CATEGORIA",IF(E1958="","SEM SUBCATEGORIA",IF(COUNTIFS(CADASTROS!$L$7:$L$93,D1958,CADASTROS!$D$7:$D$93,E1958)=0,"INCOMPATÍVEL","OK"))))</f>
        <v/>
      </c>
    </row>
    <row r="1959" spans="1:11" ht="30" hidden="1" customHeight="1" x14ac:dyDescent="0.25">
      <c r="A1959" s="86" t="str">
        <f>IF(COUNTIF(EXTRATO!$A$2:$A$3000,"BAN-01816")=0,"","BAN-01816")</f>
        <v/>
      </c>
      <c r="B1959" s="85" t="str">
        <f>IF(A1959="","",IF(INDEX(EXTRATO!$C$2:$C$3000,MATCH($A1959,EXTRATO!$A$2:$A$3000,0))="","",INDEX(EXTRATO!$C$2:$C$3000,MATCH($A1959,EXTRATO!$A$2:$A$3000,0))))</f>
        <v/>
      </c>
      <c r="C1959" s="86" t="str">
        <f t="shared" si="48"/>
        <v/>
      </c>
      <c r="D1959" s="81"/>
      <c r="E1959" s="79"/>
      <c r="F1959" s="80" t="str">
        <f>IF(A1959="","",SUMIF(EXTRATO!$A$2:$A$3000,$A1959,EXTRATO!$J$2:$J$3000)+SUMIF(EXTRATO!$A$2:$A$3000,$A1959,EXTRATO!$K$2:$K$3000)+SUMIF(EXTRATO!$A$2:$A$3000,$A1959,EXTRATO!$L$2:$L$3000)+SUMIF(EXTRATO!$A$2:$A$3000,$A1959,EXTRATO!$M$2:$M$3000))</f>
        <v/>
      </c>
      <c r="G1959" s="81" t="str">
        <f>IF(A1959="","",IF(INDEX(EXTRATO!$G$2:$G$3000,MATCH($A1959,EXTRATO!$A$2:$A$3000,0))="","",INDEX(EXTRATO!$G$2:$G$3000,MATCH($A1959,EXTRATO!$A$2:$A$3000,0))))</f>
        <v/>
      </c>
      <c r="H1959" s="86" t="str">
        <f>IF(A1959="","",IF(INDEX(EXTRATO!$F$2:$F$3000,MATCH($A1959,EXTRATO!$A$2:$A$3000,0))="","",INDEX(EXTRATO!$F$2:$F$3000,MATCH($A1959,EXTRATO!$A$2:$A$3000,0))))</f>
        <v/>
      </c>
      <c r="I1959" s="88" t="str">
        <f>IF(A1959="","",IF(INDEX(EXTRATO!$H$2:$H$3000,MATCH($A1959,EXTRATO!$A$2:$A$3000,0))="","",INDEX(EXTRATO!$H$2:$H$3000,MATCH($A1959,EXTRATO!$A$2:$A$3000,0))))</f>
        <v/>
      </c>
      <c r="J1959" s="86" t="str">
        <f t="shared" si="47"/>
        <v/>
      </c>
      <c r="K1959" s="86" t="str">
        <f>IF(AND(A1959="",D1959="",E1959="",F1959=""),"",IF(D1959="","SEM CATEGORIA",IF(E1959="","SEM SUBCATEGORIA",IF(COUNTIFS(CADASTROS!$L$7:$L$93,D1959,CADASTROS!$D$7:$D$93,E1959)=0,"INCOMPATÍVEL","OK"))))</f>
        <v/>
      </c>
    </row>
    <row r="1960" spans="1:11" ht="30" hidden="1" customHeight="1" x14ac:dyDescent="0.25">
      <c r="A1960" s="86" t="str">
        <f>IF(COUNTIF(EXTRATO!$A$2:$A$3000,"BAN-01817")=0,"","BAN-01817")</f>
        <v/>
      </c>
      <c r="B1960" s="85" t="str">
        <f>IF(A1960="","",IF(INDEX(EXTRATO!$C$2:$C$3000,MATCH($A1960,EXTRATO!$A$2:$A$3000,0))="","",INDEX(EXTRATO!$C$2:$C$3000,MATCH($A1960,EXTRATO!$A$2:$A$3000,0))))</f>
        <v/>
      </c>
      <c r="C1960" s="86" t="str">
        <f t="shared" si="48"/>
        <v/>
      </c>
      <c r="D1960" s="81"/>
      <c r="E1960" s="79"/>
      <c r="F1960" s="80" t="str">
        <f>IF(A1960="","",SUMIF(EXTRATO!$A$2:$A$3000,$A1960,EXTRATO!$J$2:$J$3000)+SUMIF(EXTRATO!$A$2:$A$3000,$A1960,EXTRATO!$K$2:$K$3000)+SUMIF(EXTRATO!$A$2:$A$3000,$A1960,EXTRATO!$L$2:$L$3000)+SUMIF(EXTRATO!$A$2:$A$3000,$A1960,EXTRATO!$M$2:$M$3000))</f>
        <v/>
      </c>
      <c r="G1960" s="81" t="str">
        <f>IF(A1960="","",IF(INDEX(EXTRATO!$G$2:$G$3000,MATCH($A1960,EXTRATO!$A$2:$A$3000,0))="","",INDEX(EXTRATO!$G$2:$G$3000,MATCH($A1960,EXTRATO!$A$2:$A$3000,0))))</f>
        <v/>
      </c>
      <c r="H1960" s="86" t="str">
        <f>IF(A1960="","",IF(INDEX(EXTRATO!$F$2:$F$3000,MATCH($A1960,EXTRATO!$A$2:$A$3000,0))="","",INDEX(EXTRATO!$F$2:$F$3000,MATCH($A1960,EXTRATO!$A$2:$A$3000,0))))</f>
        <v/>
      </c>
      <c r="I1960" s="88" t="str">
        <f>IF(A1960="","",IF(INDEX(EXTRATO!$H$2:$H$3000,MATCH($A1960,EXTRATO!$A$2:$A$3000,0))="","",INDEX(EXTRATO!$H$2:$H$3000,MATCH($A1960,EXTRATO!$A$2:$A$3000,0))))</f>
        <v/>
      </c>
      <c r="J1960" s="86" t="str">
        <f t="shared" si="47"/>
        <v/>
      </c>
      <c r="K1960" s="86" t="str">
        <f>IF(AND(A1960="",D1960="",E1960="",F1960=""),"",IF(D1960="","SEM CATEGORIA",IF(E1960="","SEM SUBCATEGORIA",IF(COUNTIFS(CADASTROS!$L$7:$L$93,D1960,CADASTROS!$D$7:$D$93,E1960)=0,"INCOMPATÍVEL","OK"))))</f>
        <v/>
      </c>
    </row>
    <row r="1961" spans="1:11" ht="30" hidden="1" customHeight="1" x14ac:dyDescent="0.25">
      <c r="A1961" s="86" t="str">
        <f>IF(COUNTIF(EXTRATO!$A$2:$A$3000,"BAN-01818")=0,"","BAN-01818")</f>
        <v/>
      </c>
      <c r="B1961" s="85" t="str">
        <f>IF(A1961="","",IF(INDEX(EXTRATO!$C$2:$C$3000,MATCH($A1961,EXTRATO!$A$2:$A$3000,0))="","",INDEX(EXTRATO!$C$2:$C$3000,MATCH($A1961,EXTRATO!$A$2:$A$3000,0))))</f>
        <v/>
      </c>
      <c r="C1961" s="86" t="str">
        <f t="shared" si="48"/>
        <v/>
      </c>
      <c r="D1961" s="81"/>
      <c r="E1961" s="79"/>
      <c r="F1961" s="80" t="str">
        <f>IF(A1961="","",SUMIF(EXTRATO!$A$2:$A$3000,$A1961,EXTRATO!$J$2:$J$3000)+SUMIF(EXTRATO!$A$2:$A$3000,$A1961,EXTRATO!$K$2:$K$3000)+SUMIF(EXTRATO!$A$2:$A$3000,$A1961,EXTRATO!$L$2:$L$3000)+SUMIF(EXTRATO!$A$2:$A$3000,$A1961,EXTRATO!$M$2:$M$3000))</f>
        <v/>
      </c>
      <c r="G1961" s="81" t="str">
        <f>IF(A1961="","",IF(INDEX(EXTRATO!$G$2:$G$3000,MATCH($A1961,EXTRATO!$A$2:$A$3000,0))="","",INDEX(EXTRATO!$G$2:$G$3000,MATCH($A1961,EXTRATO!$A$2:$A$3000,0))))</f>
        <v/>
      </c>
      <c r="H1961" s="86" t="str">
        <f>IF(A1961="","",IF(INDEX(EXTRATO!$F$2:$F$3000,MATCH($A1961,EXTRATO!$A$2:$A$3000,0))="","",INDEX(EXTRATO!$F$2:$F$3000,MATCH($A1961,EXTRATO!$A$2:$A$3000,0))))</f>
        <v/>
      </c>
      <c r="I1961" s="88" t="str">
        <f>IF(A1961="","",IF(INDEX(EXTRATO!$H$2:$H$3000,MATCH($A1961,EXTRATO!$A$2:$A$3000,0))="","",INDEX(EXTRATO!$H$2:$H$3000,MATCH($A1961,EXTRATO!$A$2:$A$3000,0))))</f>
        <v/>
      </c>
      <c r="J1961" s="86" t="str">
        <f t="shared" si="47"/>
        <v/>
      </c>
      <c r="K1961" s="86" t="str">
        <f>IF(AND(A1961="",D1961="",E1961="",F1961=""),"",IF(D1961="","SEM CATEGORIA",IF(E1961="","SEM SUBCATEGORIA",IF(COUNTIFS(CADASTROS!$L$7:$L$93,D1961,CADASTROS!$D$7:$D$93,E1961)=0,"INCOMPATÍVEL","OK"))))</f>
        <v/>
      </c>
    </row>
    <row r="1962" spans="1:11" ht="30" hidden="1" customHeight="1" x14ac:dyDescent="0.25">
      <c r="A1962" s="86" t="str">
        <f>IF(COUNTIF(EXTRATO!$A$2:$A$3000,"BAN-01819")=0,"","BAN-01819")</f>
        <v/>
      </c>
      <c r="B1962" s="85" t="str">
        <f>IF(A1962="","",IF(INDEX(EXTRATO!$C$2:$C$3000,MATCH($A1962,EXTRATO!$A$2:$A$3000,0))="","",INDEX(EXTRATO!$C$2:$C$3000,MATCH($A1962,EXTRATO!$A$2:$A$3000,0))))</f>
        <v/>
      </c>
      <c r="C1962" s="86" t="str">
        <f t="shared" si="48"/>
        <v/>
      </c>
      <c r="D1962" s="81"/>
      <c r="E1962" s="79"/>
      <c r="F1962" s="80" t="str">
        <f>IF(A1962="","",SUMIF(EXTRATO!$A$2:$A$3000,$A1962,EXTRATO!$J$2:$J$3000)+SUMIF(EXTRATO!$A$2:$A$3000,$A1962,EXTRATO!$K$2:$K$3000)+SUMIF(EXTRATO!$A$2:$A$3000,$A1962,EXTRATO!$L$2:$L$3000)+SUMIF(EXTRATO!$A$2:$A$3000,$A1962,EXTRATO!$M$2:$M$3000))</f>
        <v/>
      </c>
      <c r="G1962" s="81" t="str">
        <f>IF(A1962="","",IF(INDEX(EXTRATO!$G$2:$G$3000,MATCH($A1962,EXTRATO!$A$2:$A$3000,0))="","",INDEX(EXTRATO!$G$2:$G$3000,MATCH($A1962,EXTRATO!$A$2:$A$3000,0))))</f>
        <v/>
      </c>
      <c r="H1962" s="86" t="str">
        <f>IF(A1962="","",IF(INDEX(EXTRATO!$F$2:$F$3000,MATCH($A1962,EXTRATO!$A$2:$A$3000,0))="","",INDEX(EXTRATO!$F$2:$F$3000,MATCH($A1962,EXTRATO!$A$2:$A$3000,0))))</f>
        <v/>
      </c>
      <c r="I1962" s="88" t="str">
        <f>IF(A1962="","",IF(INDEX(EXTRATO!$H$2:$H$3000,MATCH($A1962,EXTRATO!$A$2:$A$3000,0))="","",INDEX(EXTRATO!$H$2:$H$3000,MATCH($A1962,EXTRATO!$A$2:$A$3000,0))))</f>
        <v/>
      </c>
      <c r="J1962" s="86" t="str">
        <f t="shared" si="47"/>
        <v/>
      </c>
      <c r="K1962" s="86" t="str">
        <f>IF(AND(A1962="",D1962="",E1962="",F1962=""),"",IF(D1962="","SEM CATEGORIA",IF(E1962="","SEM SUBCATEGORIA",IF(COUNTIFS(CADASTROS!$L$7:$L$93,D1962,CADASTROS!$D$7:$D$93,E1962)=0,"INCOMPATÍVEL","OK"))))</f>
        <v/>
      </c>
    </row>
    <row r="1963" spans="1:11" ht="30" hidden="1" customHeight="1" x14ac:dyDescent="0.25">
      <c r="A1963" s="86" t="str">
        <f>IF(COUNTIF(EXTRATO!$A$2:$A$3000,"BAN-01820")=0,"","BAN-01820")</f>
        <v/>
      </c>
      <c r="B1963" s="85" t="str">
        <f>IF(A1963="","",IF(INDEX(EXTRATO!$C$2:$C$3000,MATCH($A1963,EXTRATO!$A$2:$A$3000,0))="","",INDEX(EXTRATO!$C$2:$C$3000,MATCH($A1963,EXTRATO!$A$2:$A$3000,0))))</f>
        <v/>
      </c>
      <c r="C1963" s="86" t="str">
        <f t="shared" si="48"/>
        <v/>
      </c>
      <c r="D1963" s="81"/>
      <c r="E1963" s="79"/>
      <c r="F1963" s="80" t="str">
        <f>IF(A1963="","",SUMIF(EXTRATO!$A$2:$A$3000,$A1963,EXTRATO!$J$2:$J$3000)+SUMIF(EXTRATO!$A$2:$A$3000,$A1963,EXTRATO!$K$2:$K$3000)+SUMIF(EXTRATO!$A$2:$A$3000,$A1963,EXTRATO!$L$2:$L$3000)+SUMIF(EXTRATO!$A$2:$A$3000,$A1963,EXTRATO!$M$2:$M$3000))</f>
        <v/>
      </c>
      <c r="G1963" s="81" t="str">
        <f>IF(A1963="","",IF(INDEX(EXTRATO!$G$2:$G$3000,MATCH($A1963,EXTRATO!$A$2:$A$3000,0))="","",INDEX(EXTRATO!$G$2:$G$3000,MATCH($A1963,EXTRATO!$A$2:$A$3000,0))))</f>
        <v/>
      </c>
      <c r="H1963" s="86" t="str">
        <f>IF(A1963="","",IF(INDEX(EXTRATO!$F$2:$F$3000,MATCH($A1963,EXTRATO!$A$2:$A$3000,0))="","",INDEX(EXTRATO!$F$2:$F$3000,MATCH($A1963,EXTRATO!$A$2:$A$3000,0))))</f>
        <v/>
      </c>
      <c r="I1963" s="88" t="str">
        <f>IF(A1963="","",IF(INDEX(EXTRATO!$H$2:$H$3000,MATCH($A1963,EXTRATO!$A$2:$A$3000,0))="","",INDEX(EXTRATO!$H$2:$H$3000,MATCH($A1963,EXTRATO!$A$2:$A$3000,0))))</f>
        <v/>
      </c>
      <c r="J1963" s="86" t="str">
        <f t="shared" si="47"/>
        <v/>
      </c>
      <c r="K1963" s="86" t="str">
        <f>IF(AND(A1963="",D1963="",E1963="",F1963=""),"",IF(D1963="","SEM CATEGORIA",IF(E1963="","SEM SUBCATEGORIA",IF(COUNTIFS(CADASTROS!$L$7:$L$93,D1963,CADASTROS!$D$7:$D$93,E1963)=0,"INCOMPATÍVEL","OK"))))</f>
        <v/>
      </c>
    </row>
    <row r="1964" spans="1:11" ht="30" hidden="1" customHeight="1" x14ac:dyDescent="0.25">
      <c r="A1964" s="86" t="str">
        <f>IF(COUNTIF(EXTRATO!$A$2:$A$3000,"BAN-01821")=0,"","BAN-01821")</f>
        <v/>
      </c>
      <c r="B1964" s="85" t="str">
        <f>IF(A1964="","",IF(INDEX(EXTRATO!$C$2:$C$3000,MATCH($A1964,EXTRATO!$A$2:$A$3000,0))="","",INDEX(EXTRATO!$C$2:$C$3000,MATCH($A1964,EXTRATO!$A$2:$A$3000,0))))</f>
        <v/>
      </c>
      <c r="C1964" s="86" t="str">
        <f t="shared" si="48"/>
        <v/>
      </c>
      <c r="D1964" s="81"/>
      <c r="E1964" s="79"/>
      <c r="F1964" s="80" t="str">
        <f>IF(A1964="","",SUMIF(EXTRATO!$A$2:$A$3000,$A1964,EXTRATO!$J$2:$J$3000)+SUMIF(EXTRATO!$A$2:$A$3000,$A1964,EXTRATO!$K$2:$K$3000)+SUMIF(EXTRATO!$A$2:$A$3000,$A1964,EXTRATO!$L$2:$L$3000)+SUMIF(EXTRATO!$A$2:$A$3000,$A1964,EXTRATO!$M$2:$M$3000))</f>
        <v/>
      </c>
      <c r="G1964" s="81" t="str">
        <f>IF(A1964="","",IF(INDEX(EXTRATO!$G$2:$G$3000,MATCH($A1964,EXTRATO!$A$2:$A$3000,0))="","",INDEX(EXTRATO!$G$2:$G$3000,MATCH($A1964,EXTRATO!$A$2:$A$3000,0))))</f>
        <v/>
      </c>
      <c r="H1964" s="86" t="str">
        <f>IF(A1964="","",IF(INDEX(EXTRATO!$F$2:$F$3000,MATCH($A1964,EXTRATO!$A$2:$A$3000,0))="","",INDEX(EXTRATO!$F$2:$F$3000,MATCH($A1964,EXTRATO!$A$2:$A$3000,0))))</f>
        <v/>
      </c>
      <c r="I1964" s="88" t="str">
        <f>IF(A1964="","",IF(INDEX(EXTRATO!$H$2:$H$3000,MATCH($A1964,EXTRATO!$A$2:$A$3000,0))="","",INDEX(EXTRATO!$H$2:$H$3000,MATCH($A1964,EXTRATO!$A$2:$A$3000,0))))</f>
        <v/>
      </c>
      <c r="J1964" s="86" t="str">
        <f t="shared" ref="J1964:J2027" si="49">IF(A1964="","",IF(K1964="OK","MANUAL","PENDENTE"))</f>
        <v/>
      </c>
      <c r="K1964" s="86" t="str">
        <f>IF(AND(A1964="",D1964="",E1964="",F1964=""),"",IF(D1964="","SEM CATEGORIA",IF(E1964="","SEM SUBCATEGORIA",IF(COUNTIFS(CADASTROS!$L$7:$L$93,D1964,CADASTROS!$D$7:$D$93,E1964)=0,"INCOMPATÍVEL","OK"))))</f>
        <v/>
      </c>
    </row>
    <row r="1965" spans="1:11" ht="30" hidden="1" customHeight="1" x14ac:dyDescent="0.25">
      <c r="A1965" s="86" t="str">
        <f>IF(COUNTIF(EXTRATO!$A$2:$A$3000,"BAN-01822")=0,"","BAN-01822")</f>
        <v/>
      </c>
      <c r="B1965" s="85" t="str">
        <f>IF(A1965="","",IF(INDEX(EXTRATO!$C$2:$C$3000,MATCH($A1965,EXTRATO!$A$2:$A$3000,0))="","",INDEX(EXTRATO!$C$2:$C$3000,MATCH($A1965,EXTRATO!$A$2:$A$3000,0))))</f>
        <v/>
      </c>
      <c r="C1965" s="86" t="str">
        <f t="shared" si="48"/>
        <v/>
      </c>
      <c r="D1965" s="81"/>
      <c r="E1965" s="79"/>
      <c r="F1965" s="80" t="str">
        <f>IF(A1965="","",SUMIF(EXTRATO!$A$2:$A$3000,$A1965,EXTRATO!$J$2:$J$3000)+SUMIF(EXTRATO!$A$2:$A$3000,$A1965,EXTRATO!$K$2:$K$3000)+SUMIF(EXTRATO!$A$2:$A$3000,$A1965,EXTRATO!$L$2:$L$3000)+SUMIF(EXTRATO!$A$2:$A$3000,$A1965,EXTRATO!$M$2:$M$3000))</f>
        <v/>
      </c>
      <c r="G1965" s="81" t="str">
        <f>IF(A1965="","",IF(INDEX(EXTRATO!$G$2:$G$3000,MATCH($A1965,EXTRATO!$A$2:$A$3000,0))="","",INDEX(EXTRATO!$G$2:$G$3000,MATCH($A1965,EXTRATO!$A$2:$A$3000,0))))</f>
        <v/>
      </c>
      <c r="H1965" s="86" t="str">
        <f>IF(A1965="","",IF(INDEX(EXTRATO!$F$2:$F$3000,MATCH($A1965,EXTRATO!$A$2:$A$3000,0))="","",INDEX(EXTRATO!$F$2:$F$3000,MATCH($A1965,EXTRATO!$A$2:$A$3000,0))))</f>
        <v/>
      </c>
      <c r="I1965" s="88" t="str">
        <f>IF(A1965="","",IF(INDEX(EXTRATO!$H$2:$H$3000,MATCH($A1965,EXTRATO!$A$2:$A$3000,0))="","",INDEX(EXTRATO!$H$2:$H$3000,MATCH($A1965,EXTRATO!$A$2:$A$3000,0))))</f>
        <v/>
      </c>
      <c r="J1965" s="86" t="str">
        <f t="shared" si="49"/>
        <v/>
      </c>
      <c r="K1965" s="86" t="str">
        <f>IF(AND(A1965="",D1965="",E1965="",F1965=""),"",IF(D1965="","SEM CATEGORIA",IF(E1965="","SEM SUBCATEGORIA",IF(COUNTIFS(CADASTROS!$L$7:$L$93,D1965,CADASTROS!$D$7:$D$93,E1965)=0,"INCOMPATÍVEL","OK"))))</f>
        <v/>
      </c>
    </row>
    <row r="1966" spans="1:11" ht="30" hidden="1" customHeight="1" x14ac:dyDescent="0.25">
      <c r="A1966" s="86" t="str">
        <f>IF(COUNTIF(EXTRATO!$A$2:$A$3000,"BAN-01823")=0,"","BAN-01823")</f>
        <v/>
      </c>
      <c r="B1966" s="85" t="str">
        <f>IF(A1966="","",IF(INDEX(EXTRATO!$C$2:$C$3000,MATCH($A1966,EXTRATO!$A$2:$A$3000,0))="","",INDEX(EXTRATO!$C$2:$C$3000,MATCH($A1966,EXTRATO!$A$2:$A$3000,0))))</f>
        <v/>
      </c>
      <c r="C1966" s="86" t="str">
        <f t="shared" si="48"/>
        <v/>
      </c>
      <c r="D1966" s="81"/>
      <c r="E1966" s="79"/>
      <c r="F1966" s="80" t="str">
        <f>IF(A1966="","",SUMIF(EXTRATO!$A$2:$A$3000,$A1966,EXTRATO!$J$2:$J$3000)+SUMIF(EXTRATO!$A$2:$A$3000,$A1966,EXTRATO!$K$2:$K$3000)+SUMIF(EXTRATO!$A$2:$A$3000,$A1966,EXTRATO!$L$2:$L$3000)+SUMIF(EXTRATO!$A$2:$A$3000,$A1966,EXTRATO!$M$2:$M$3000))</f>
        <v/>
      </c>
      <c r="G1966" s="81" t="str">
        <f>IF(A1966="","",IF(INDEX(EXTRATO!$G$2:$G$3000,MATCH($A1966,EXTRATO!$A$2:$A$3000,0))="","",INDEX(EXTRATO!$G$2:$G$3000,MATCH($A1966,EXTRATO!$A$2:$A$3000,0))))</f>
        <v/>
      </c>
      <c r="H1966" s="86" t="str">
        <f>IF(A1966="","",IF(INDEX(EXTRATO!$F$2:$F$3000,MATCH($A1966,EXTRATO!$A$2:$A$3000,0))="","",INDEX(EXTRATO!$F$2:$F$3000,MATCH($A1966,EXTRATO!$A$2:$A$3000,0))))</f>
        <v/>
      </c>
      <c r="I1966" s="88" t="str">
        <f>IF(A1966="","",IF(INDEX(EXTRATO!$H$2:$H$3000,MATCH($A1966,EXTRATO!$A$2:$A$3000,0))="","",INDEX(EXTRATO!$H$2:$H$3000,MATCH($A1966,EXTRATO!$A$2:$A$3000,0))))</f>
        <v/>
      </c>
      <c r="J1966" s="86" t="str">
        <f t="shared" si="49"/>
        <v/>
      </c>
      <c r="K1966" s="86" t="str">
        <f>IF(AND(A1966="",D1966="",E1966="",F1966=""),"",IF(D1966="","SEM CATEGORIA",IF(E1966="","SEM SUBCATEGORIA",IF(COUNTIFS(CADASTROS!$L$7:$L$93,D1966,CADASTROS!$D$7:$D$93,E1966)=0,"INCOMPATÍVEL","OK"))))</f>
        <v/>
      </c>
    </row>
    <row r="1967" spans="1:11" ht="30" hidden="1" customHeight="1" x14ac:dyDescent="0.25">
      <c r="A1967" s="86" t="str">
        <f>IF(COUNTIF(EXTRATO!$A$2:$A$3000,"BAN-01824")=0,"","BAN-01824")</f>
        <v/>
      </c>
      <c r="B1967" s="85" t="str">
        <f>IF(A1967="","",IF(INDEX(EXTRATO!$C$2:$C$3000,MATCH($A1967,EXTRATO!$A$2:$A$3000,0))="","",INDEX(EXTRATO!$C$2:$C$3000,MATCH($A1967,EXTRATO!$A$2:$A$3000,0))))</f>
        <v/>
      </c>
      <c r="C1967" s="86" t="str">
        <f t="shared" si="48"/>
        <v/>
      </c>
      <c r="D1967" s="81"/>
      <c r="E1967" s="79"/>
      <c r="F1967" s="80" t="str">
        <f>IF(A1967="","",SUMIF(EXTRATO!$A$2:$A$3000,$A1967,EXTRATO!$J$2:$J$3000)+SUMIF(EXTRATO!$A$2:$A$3000,$A1967,EXTRATO!$K$2:$K$3000)+SUMIF(EXTRATO!$A$2:$A$3000,$A1967,EXTRATO!$L$2:$L$3000)+SUMIF(EXTRATO!$A$2:$A$3000,$A1967,EXTRATO!$M$2:$M$3000))</f>
        <v/>
      </c>
      <c r="G1967" s="81" t="str">
        <f>IF(A1967="","",IF(INDEX(EXTRATO!$G$2:$G$3000,MATCH($A1967,EXTRATO!$A$2:$A$3000,0))="","",INDEX(EXTRATO!$G$2:$G$3000,MATCH($A1967,EXTRATO!$A$2:$A$3000,0))))</f>
        <v/>
      </c>
      <c r="H1967" s="86" t="str">
        <f>IF(A1967="","",IF(INDEX(EXTRATO!$F$2:$F$3000,MATCH($A1967,EXTRATO!$A$2:$A$3000,0))="","",INDEX(EXTRATO!$F$2:$F$3000,MATCH($A1967,EXTRATO!$A$2:$A$3000,0))))</f>
        <v/>
      </c>
      <c r="I1967" s="88" t="str">
        <f>IF(A1967="","",IF(INDEX(EXTRATO!$H$2:$H$3000,MATCH($A1967,EXTRATO!$A$2:$A$3000,0))="","",INDEX(EXTRATO!$H$2:$H$3000,MATCH($A1967,EXTRATO!$A$2:$A$3000,0))))</f>
        <v/>
      </c>
      <c r="J1967" s="86" t="str">
        <f t="shared" si="49"/>
        <v/>
      </c>
      <c r="K1967" s="86" t="str">
        <f>IF(AND(A1967="",D1967="",E1967="",F1967=""),"",IF(D1967="","SEM CATEGORIA",IF(E1967="","SEM SUBCATEGORIA",IF(COUNTIFS(CADASTROS!$L$7:$L$93,D1967,CADASTROS!$D$7:$D$93,E1967)=0,"INCOMPATÍVEL","OK"))))</f>
        <v/>
      </c>
    </row>
    <row r="1968" spans="1:11" ht="30" hidden="1" customHeight="1" x14ac:dyDescent="0.25">
      <c r="A1968" s="86" t="str">
        <f>IF(COUNTIF(EXTRATO!$A$2:$A$3000,"BAN-01825")=0,"","BAN-01825")</f>
        <v/>
      </c>
      <c r="B1968" s="85" t="str">
        <f>IF(A1968="","",IF(INDEX(EXTRATO!$C$2:$C$3000,MATCH($A1968,EXTRATO!$A$2:$A$3000,0))="","",INDEX(EXTRATO!$C$2:$C$3000,MATCH($A1968,EXTRATO!$A$2:$A$3000,0))))</f>
        <v/>
      </c>
      <c r="C1968" s="86" t="str">
        <f t="shared" si="48"/>
        <v/>
      </c>
      <c r="D1968" s="81"/>
      <c r="E1968" s="79"/>
      <c r="F1968" s="80" t="str">
        <f>IF(A1968="","",SUMIF(EXTRATO!$A$2:$A$3000,$A1968,EXTRATO!$J$2:$J$3000)+SUMIF(EXTRATO!$A$2:$A$3000,$A1968,EXTRATO!$K$2:$K$3000)+SUMIF(EXTRATO!$A$2:$A$3000,$A1968,EXTRATO!$L$2:$L$3000)+SUMIF(EXTRATO!$A$2:$A$3000,$A1968,EXTRATO!$M$2:$M$3000))</f>
        <v/>
      </c>
      <c r="G1968" s="81" t="str">
        <f>IF(A1968="","",IF(INDEX(EXTRATO!$G$2:$G$3000,MATCH($A1968,EXTRATO!$A$2:$A$3000,0))="","",INDEX(EXTRATO!$G$2:$G$3000,MATCH($A1968,EXTRATO!$A$2:$A$3000,0))))</f>
        <v/>
      </c>
      <c r="H1968" s="86" t="str">
        <f>IF(A1968="","",IF(INDEX(EXTRATO!$F$2:$F$3000,MATCH($A1968,EXTRATO!$A$2:$A$3000,0))="","",INDEX(EXTRATO!$F$2:$F$3000,MATCH($A1968,EXTRATO!$A$2:$A$3000,0))))</f>
        <v/>
      </c>
      <c r="I1968" s="88" t="str">
        <f>IF(A1968="","",IF(INDEX(EXTRATO!$H$2:$H$3000,MATCH($A1968,EXTRATO!$A$2:$A$3000,0))="","",INDEX(EXTRATO!$H$2:$H$3000,MATCH($A1968,EXTRATO!$A$2:$A$3000,0))))</f>
        <v/>
      </c>
      <c r="J1968" s="86" t="str">
        <f t="shared" si="49"/>
        <v/>
      </c>
      <c r="K1968" s="86" t="str">
        <f>IF(AND(A1968="",D1968="",E1968="",F1968=""),"",IF(D1968="","SEM CATEGORIA",IF(E1968="","SEM SUBCATEGORIA",IF(COUNTIFS(CADASTROS!$L$7:$L$93,D1968,CADASTROS!$D$7:$D$93,E1968)=0,"INCOMPATÍVEL","OK"))))</f>
        <v/>
      </c>
    </row>
    <row r="1969" spans="1:11" ht="30" hidden="1" customHeight="1" x14ac:dyDescent="0.25">
      <c r="A1969" s="86" t="str">
        <f>IF(COUNTIF(EXTRATO!$A$2:$A$3000,"BAN-01826")=0,"","BAN-01826")</f>
        <v/>
      </c>
      <c r="B1969" s="85" t="str">
        <f>IF(A1969="","",IF(INDEX(EXTRATO!$C$2:$C$3000,MATCH($A1969,EXTRATO!$A$2:$A$3000,0))="","",INDEX(EXTRATO!$C$2:$C$3000,MATCH($A1969,EXTRATO!$A$2:$A$3000,0))))</f>
        <v/>
      </c>
      <c r="C1969" s="86" t="str">
        <f t="shared" si="48"/>
        <v/>
      </c>
      <c r="D1969" s="81"/>
      <c r="E1969" s="79"/>
      <c r="F1969" s="80" t="str">
        <f>IF(A1969="","",SUMIF(EXTRATO!$A$2:$A$3000,$A1969,EXTRATO!$J$2:$J$3000)+SUMIF(EXTRATO!$A$2:$A$3000,$A1969,EXTRATO!$K$2:$K$3000)+SUMIF(EXTRATO!$A$2:$A$3000,$A1969,EXTRATO!$L$2:$L$3000)+SUMIF(EXTRATO!$A$2:$A$3000,$A1969,EXTRATO!$M$2:$M$3000))</f>
        <v/>
      </c>
      <c r="G1969" s="81" t="str">
        <f>IF(A1969="","",IF(INDEX(EXTRATO!$G$2:$G$3000,MATCH($A1969,EXTRATO!$A$2:$A$3000,0))="","",INDEX(EXTRATO!$G$2:$G$3000,MATCH($A1969,EXTRATO!$A$2:$A$3000,0))))</f>
        <v/>
      </c>
      <c r="H1969" s="86" t="str">
        <f>IF(A1969="","",IF(INDEX(EXTRATO!$F$2:$F$3000,MATCH($A1969,EXTRATO!$A$2:$A$3000,0))="","",INDEX(EXTRATO!$F$2:$F$3000,MATCH($A1969,EXTRATO!$A$2:$A$3000,0))))</f>
        <v/>
      </c>
      <c r="I1969" s="88" t="str">
        <f>IF(A1969="","",IF(INDEX(EXTRATO!$H$2:$H$3000,MATCH($A1969,EXTRATO!$A$2:$A$3000,0))="","",INDEX(EXTRATO!$H$2:$H$3000,MATCH($A1969,EXTRATO!$A$2:$A$3000,0))))</f>
        <v/>
      </c>
      <c r="J1969" s="86" t="str">
        <f t="shared" si="49"/>
        <v/>
      </c>
      <c r="K1969" s="86" t="str">
        <f>IF(AND(A1969="",D1969="",E1969="",F1969=""),"",IF(D1969="","SEM CATEGORIA",IF(E1969="","SEM SUBCATEGORIA",IF(COUNTIFS(CADASTROS!$L$7:$L$93,D1969,CADASTROS!$D$7:$D$93,E1969)=0,"INCOMPATÍVEL","OK"))))</f>
        <v/>
      </c>
    </row>
    <row r="1970" spans="1:11" ht="30" hidden="1" customHeight="1" x14ac:dyDescent="0.25">
      <c r="A1970" s="86" t="str">
        <f>IF(COUNTIF(EXTRATO!$A$2:$A$3000,"BAN-01827")=0,"","BAN-01827")</f>
        <v/>
      </c>
      <c r="B1970" s="85" t="str">
        <f>IF(A1970="","",IF(INDEX(EXTRATO!$C$2:$C$3000,MATCH($A1970,EXTRATO!$A$2:$A$3000,0))="","",INDEX(EXTRATO!$C$2:$C$3000,MATCH($A1970,EXTRATO!$A$2:$A$3000,0))))</f>
        <v/>
      </c>
      <c r="C1970" s="86" t="str">
        <f t="shared" si="48"/>
        <v/>
      </c>
      <c r="D1970" s="81"/>
      <c r="E1970" s="79"/>
      <c r="F1970" s="80" t="str">
        <f>IF(A1970="","",SUMIF(EXTRATO!$A$2:$A$3000,$A1970,EXTRATO!$J$2:$J$3000)+SUMIF(EXTRATO!$A$2:$A$3000,$A1970,EXTRATO!$K$2:$K$3000)+SUMIF(EXTRATO!$A$2:$A$3000,$A1970,EXTRATO!$L$2:$L$3000)+SUMIF(EXTRATO!$A$2:$A$3000,$A1970,EXTRATO!$M$2:$M$3000))</f>
        <v/>
      </c>
      <c r="G1970" s="81" t="str">
        <f>IF(A1970="","",IF(INDEX(EXTRATO!$G$2:$G$3000,MATCH($A1970,EXTRATO!$A$2:$A$3000,0))="","",INDEX(EXTRATO!$G$2:$G$3000,MATCH($A1970,EXTRATO!$A$2:$A$3000,0))))</f>
        <v/>
      </c>
      <c r="H1970" s="86" t="str">
        <f>IF(A1970="","",IF(INDEX(EXTRATO!$F$2:$F$3000,MATCH($A1970,EXTRATO!$A$2:$A$3000,0))="","",INDEX(EXTRATO!$F$2:$F$3000,MATCH($A1970,EXTRATO!$A$2:$A$3000,0))))</f>
        <v/>
      </c>
      <c r="I1970" s="88" t="str">
        <f>IF(A1970="","",IF(INDEX(EXTRATO!$H$2:$H$3000,MATCH($A1970,EXTRATO!$A$2:$A$3000,0))="","",INDEX(EXTRATO!$H$2:$H$3000,MATCH($A1970,EXTRATO!$A$2:$A$3000,0))))</f>
        <v/>
      </c>
      <c r="J1970" s="86" t="str">
        <f t="shared" si="49"/>
        <v/>
      </c>
      <c r="K1970" s="86" t="str">
        <f>IF(AND(A1970="",D1970="",E1970="",F1970=""),"",IF(D1970="","SEM CATEGORIA",IF(E1970="","SEM SUBCATEGORIA",IF(COUNTIFS(CADASTROS!$L$7:$L$93,D1970,CADASTROS!$D$7:$D$93,E1970)=0,"INCOMPATÍVEL","OK"))))</f>
        <v/>
      </c>
    </row>
    <row r="1971" spans="1:11" ht="30" hidden="1" customHeight="1" x14ac:dyDescent="0.25">
      <c r="A1971" s="86" t="str">
        <f>IF(COUNTIF(EXTRATO!$A$2:$A$3000,"BAN-01828")=0,"","BAN-01828")</f>
        <v/>
      </c>
      <c r="B1971" s="85" t="str">
        <f>IF(A1971="","",IF(INDEX(EXTRATO!$C$2:$C$3000,MATCH($A1971,EXTRATO!$A$2:$A$3000,0))="","",INDEX(EXTRATO!$C$2:$C$3000,MATCH($A1971,EXTRATO!$A$2:$A$3000,0))))</f>
        <v/>
      </c>
      <c r="C1971" s="86" t="str">
        <f t="shared" si="48"/>
        <v/>
      </c>
      <c r="D1971" s="81"/>
      <c r="E1971" s="79"/>
      <c r="F1971" s="80" t="str">
        <f>IF(A1971="","",SUMIF(EXTRATO!$A$2:$A$3000,$A1971,EXTRATO!$J$2:$J$3000)+SUMIF(EXTRATO!$A$2:$A$3000,$A1971,EXTRATO!$K$2:$K$3000)+SUMIF(EXTRATO!$A$2:$A$3000,$A1971,EXTRATO!$L$2:$L$3000)+SUMIF(EXTRATO!$A$2:$A$3000,$A1971,EXTRATO!$M$2:$M$3000))</f>
        <v/>
      </c>
      <c r="G1971" s="81" t="str">
        <f>IF(A1971="","",IF(INDEX(EXTRATO!$G$2:$G$3000,MATCH($A1971,EXTRATO!$A$2:$A$3000,0))="","",INDEX(EXTRATO!$G$2:$G$3000,MATCH($A1971,EXTRATO!$A$2:$A$3000,0))))</f>
        <v/>
      </c>
      <c r="H1971" s="86" t="str">
        <f>IF(A1971="","",IF(INDEX(EXTRATO!$F$2:$F$3000,MATCH($A1971,EXTRATO!$A$2:$A$3000,0))="","",INDEX(EXTRATO!$F$2:$F$3000,MATCH($A1971,EXTRATO!$A$2:$A$3000,0))))</f>
        <v/>
      </c>
      <c r="I1971" s="88" t="str">
        <f>IF(A1971="","",IF(INDEX(EXTRATO!$H$2:$H$3000,MATCH($A1971,EXTRATO!$A$2:$A$3000,0))="","",INDEX(EXTRATO!$H$2:$H$3000,MATCH($A1971,EXTRATO!$A$2:$A$3000,0))))</f>
        <v/>
      </c>
      <c r="J1971" s="86" t="str">
        <f t="shared" si="49"/>
        <v/>
      </c>
      <c r="K1971" s="86" t="str">
        <f>IF(AND(A1971="",D1971="",E1971="",F1971=""),"",IF(D1971="","SEM CATEGORIA",IF(E1971="","SEM SUBCATEGORIA",IF(COUNTIFS(CADASTROS!$L$7:$L$93,D1971,CADASTROS!$D$7:$D$93,E1971)=0,"INCOMPATÍVEL","OK"))))</f>
        <v/>
      </c>
    </row>
    <row r="1972" spans="1:11" ht="30" hidden="1" customHeight="1" x14ac:dyDescent="0.25">
      <c r="A1972" s="86" t="str">
        <f>IF(COUNTIF(EXTRATO!$A$2:$A$3000,"BAN-01829")=0,"","BAN-01829")</f>
        <v/>
      </c>
      <c r="B1972" s="85" t="str">
        <f>IF(A1972="","",IF(INDEX(EXTRATO!$C$2:$C$3000,MATCH($A1972,EXTRATO!$A$2:$A$3000,0))="","",INDEX(EXTRATO!$C$2:$C$3000,MATCH($A1972,EXTRATO!$A$2:$A$3000,0))))</f>
        <v/>
      </c>
      <c r="C1972" s="86" t="str">
        <f t="shared" si="48"/>
        <v/>
      </c>
      <c r="D1972" s="81"/>
      <c r="E1972" s="79"/>
      <c r="F1972" s="80" t="str">
        <f>IF(A1972="","",SUMIF(EXTRATO!$A$2:$A$3000,$A1972,EXTRATO!$J$2:$J$3000)+SUMIF(EXTRATO!$A$2:$A$3000,$A1972,EXTRATO!$K$2:$K$3000)+SUMIF(EXTRATO!$A$2:$A$3000,$A1972,EXTRATO!$L$2:$L$3000)+SUMIF(EXTRATO!$A$2:$A$3000,$A1972,EXTRATO!$M$2:$M$3000))</f>
        <v/>
      </c>
      <c r="G1972" s="81" t="str">
        <f>IF(A1972="","",IF(INDEX(EXTRATO!$G$2:$G$3000,MATCH($A1972,EXTRATO!$A$2:$A$3000,0))="","",INDEX(EXTRATO!$G$2:$G$3000,MATCH($A1972,EXTRATO!$A$2:$A$3000,0))))</f>
        <v/>
      </c>
      <c r="H1972" s="86" t="str">
        <f>IF(A1972="","",IF(INDEX(EXTRATO!$F$2:$F$3000,MATCH($A1972,EXTRATO!$A$2:$A$3000,0))="","",INDEX(EXTRATO!$F$2:$F$3000,MATCH($A1972,EXTRATO!$A$2:$A$3000,0))))</f>
        <v/>
      </c>
      <c r="I1972" s="88" t="str">
        <f>IF(A1972="","",IF(INDEX(EXTRATO!$H$2:$H$3000,MATCH($A1972,EXTRATO!$A$2:$A$3000,0))="","",INDEX(EXTRATO!$H$2:$H$3000,MATCH($A1972,EXTRATO!$A$2:$A$3000,0))))</f>
        <v/>
      </c>
      <c r="J1972" s="86" t="str">
        <f t="shared" si="49"/>
        <v/>
      </c>
      <c r="K1972" s="86" t="str">
        <f>IF(AND(A1972="",D1972="",E1972="",F1972=""),"",IF(D1972="","SEM CATEGORIA",IF(E1972="","SEM SUBCATEGORIA",IF(COUNTIFS(CADASTROS!$L$7:$L$93,D1972,CADASTROS!$D$7:$D$93,E1972)=0,"INCOMPATÍVEL","OK"))))</f>
        <v/>
      </c>
    </row>
    <row r="1973" spans="1:11" ht="30" hidden="1" customHeight="1" x14ac:dyDescent="0.25">
      <c r="A1973" s="86" t="str">
        <f>IF(COUNTIF(EXTRATO!$A$2:$A$3000,"BAN-01830")=0,"","BAN-01830")</f>
        <v/>
      </c>
      <c r="B1973" s="85" t="str">
        <f>IF(A1973="","",IF(INDEX(EXTRATO!$C$2:$C$3000,MATCH($A1973,EXTRATO!$A$2:$A$3000,0))="","",INDEX(EXTRATO!$C$2:$C$3000,MATCH($A1973,EXTRATO!$A$2:$A$3000,0))))</f>
        <v/>
      </c>
      <c r="C1973" s="86" t="str">
        <f t="shared" si="48"/>
        <v/>
      </c>
      <c r="D1973" s="81"/>
      <c r="E1973" s="79"/>
      <c r="F1973" s="80" t="str">
        <f>IF(A1973="","",SUMIF(EXTRATO!$A$2:$A$3000,$A1973,EXTRATO!$J$2:$J$3000)+SUMIF(EXTRATO!$A$2:$A$3000,$A1973,EXTRATO!$K$2:$K$3000)+SUMIF(EXTRATO!$A$2:$A$3000,$A1973,EXTRATO!$L$2:$L$3000)+SUMIF(EXTRATO!$A$2:$A$3000,$A1973,EXTRATO!$M$2:$M$3000))</f>
        <v/>
      </c>
      <c r="G1973" s="81" t="str">
        <f>IF(A1973="","",IF(INDEX(EXTRATO!$G$2:$G$3000,MATCH($A1973,EXTRATO!$A$2:$A$3000,0))="","",INDEX(EXTRATO!$G$2:$G$3000,MATCH($A1973,EXTRATO!$A$2:$A$3000,0))))</f>
        <v/>
      </c>
      <c r="H1973" s="86" t="str">
        <f>IF(A1973="","",IF(INDEX(EXTRATO!$F$2:$F$3000,MATCH($A1973,EXTRATO!$A$2:$A$3000,0))="","",INDEX(EXTRATO!$F$2:$F$3000,MATCH($A1973,EXTRATO!$A$2:$A$3000,0))))</f>
        <v/>
      </c>
      <c r="I1973" s="88" t="str">
        <f>IF(A1973="","",IF(INDEX(EXTRATO!$H$2:$H$3000,MATCH($A1973,EXTRATO!$A$2:$A$3000,0))="","",INDEX(EXTRATO!$H$2:$H$3000,MATCH($A1973,EXTRATO!$A$2:$A$3000,0))))</f>
        <v/>
      </c>
      <c r="J1973" s="86" t="str">
        <f t="shared" si="49"/>
        <v/>
      </c>
      <c r="K1973" s="86" t="str">
        <f>IF(AND(A1973="",D1973="",E1973="",F1973=""),"",IF(D1973="","SEM CATEGORIA",IF(E1973="","SEM SUBCATEGORIA",IF(COUNTIFS(CADASTROS!$L$7:$L$93,D1973,CADASTROS!$D$7:$D$93,E1973)=0,"INCOMPATÍVEL","OK"))))</f>
        <v/>
      </c>
    </row>
    <row r="1974" spans="1:11" ht="30" hidden="1" customHeight="1" x14ac:dyDescent="0.25">
      <c r="A1974" s="86" t="str">
        <f>IF(COUNTIF(EXTRATO!$A$2:$A$3000,"BAN-01831")=0,"","BAN-01831")</f>
        <v/>
      </c>
      <c r="B1974" s="85" t="str">
        <f>IF(A1974="","",IF(INDEX(EXTRATO!$C$2:$C$3000,MATCH($A1974,EXTRATO!$A$2:$A$3000,0))="","",INDEX(EXTRATO!$C$2:$C$3000,MATCH($A1974,EXTRATO!$A$2:$A$3000,0))))</f>
        <v/>
      </c>
      <c r="C1974" s="86" t="str">
        <f t="shared" si="48"/>
        <v/>
      </c>
      <c r="D1974" s="81"/>
      <c r="E1974" s="79"/>
      <c r="F1974" s="80" t="str">
        <f>IF(A1974="","",SUMIF(EXTRATO!$A$2:$A$3000,$A1974,EXTRATO!$J$2:$J$3000)+SUMIF(EXTRATO!$A$2:$A$3000,$A1974,EXTRATO!$K$2:$K$3000)+SUMIF(EXTRATO!$A$2:$A$3000,$A1974,EXTRATO!$L$2:$L$3000)+SUMIF(EXTRATO!$A$2:$A$3000,$A1974,EXTRATO!$M$2:$M$3000))</f>
        <v/>
      </c>
      <c r="G1974" s="81" t="str">
        <f>IF(A1974="","",IF(INDEX(EXTRATO!$G$2:$G$3000,MATCH($A1974,EXTRATO!$A$2:$A$3000,0))="","",INDEX(EXTRATO!$G$2:$G$3000,MATCH($A1974,EXTRATO!$A$2:$A$3000,0))))</f>
        <v/>
      </c>
      <c r="H1974" s="86" t="str">
        <f>IF(A1974="","",IF(INDEX(EXTRATO!$F$2:$F$3000,MATCH($A1974,EXTRATO!$A$2:$A$3000,0))="","",INDEX(EXTRATO!$F$2:$F$3000,MATCH($A1974,EXTRATO!$A$2:$A$3000,0))))</f>
        <v/>
      </c>
      <c r="I1974" s="88" t="str">
        <f>IF(A1974="","",IF(INDEX(EXTRATO!$H$2:$H$3000,MATCH($A1974,EXTRATO!$A$2:$A$3000,0))="","",INDEX(EXTRATO!$H$2:$H$3000,MATCH($A1974,EXTRATO!$A$2:$A$3000,0))))</f>
        <v/>
      </c>
      <c r="J1974" s="86" t="str">
        <f t="shared" si="49"/>
        <v/>
      </c>
      <c r="K1974" s="86" t="str">
        <f>IF(AND(A1974="",D1974="",E1974="",F1974=""),"",IF(D1974="","SEM CATEGORIA",IF(E1974="","SEM SUBCATEGORIA",IF(COUNTIFS(CADASTROS!$L$7:$L$93,D1974,CADASTROS!$D$7:$D$93,E1974)=0,"INCOMPATÍVEL","OK"))))</f>
        <v/>
      </c>
    </row>
    <row r="1975" spans="1:11" ht="30" hidden="1" customHeight="1" x14ac:dyDescent="0.25">
      <c r="A1975" s="86" t="str">
        <f>IF(COUNTIF(EXTRATO!$A$2:$A$3000,"BAN-01832")=0,"","BAN-01832")</f>
        <v/>
      </c>
      <c r="B1975" s="85" t="str">
        <f>IF(A1975="","",IF(INDEX(EXTRATO!$C$2:$C$3000,MATCH($A1975,EXTRATO!$A$2:$A$3000,0))="","",INDEX(EXTRATO!$C$2:$C$3000,MATCH($A1975,EXTRATO!$A$2:$A$3000,0))))</f>
        <v/>
      </c>
      <c r="C1975" s="86" t="str">
        <f t="shared" si="48"/>
        <v/>
      </c>
      <c r="D1975" s="81"/>
      <c r="E1975" s="79"/>
      <c r="F1975" s="80" t="str">
        <f>IF(A1975="","",SUMIF(EXTRATO!$A$2:$A$3000,$A1975,EXTRATO!$J$2:$J$3000)+SUMIF(EXTRATO!$A$2:$A$3000,$A1975,EXTRATO!$K$2:$K$3000)+SUMIF(EXTRATO!$A$2:$A$3000,$A1975,EXTRATO!$L$2:$L$3000)+SUMIF(EXTRATO!$A$2:$A$3000,$A1975,EXTRATO!$M$2:$M$3000))</f>
        <v/>
      </c>
      <c r="G1975" s="81" t="str">
        <f>IF(A1975="","",IF(INDEX(EXTRATO!$G$2:$G$3000,MATCH($A1975,EXTRATO!$A$2:$A$3000,0))="","",INDEX(EXTRATO!$G$2:$G$3000,MATCH($A1975,EXTRATO!$A$2:$A$3000,0))))</f>
        <v/>
      </c>
      <c r="H1975" s="86" t="str">
        <f>IF(A1975="","",IF(INDEX(EXTRATO!$F$2:$F$3000,MATCH($A1975,EXTRATO!$A$2:$A$3000,0))="","",INDEX(EXTRATO!$F$2:$F$3000,MATCH($A1975,EXTRATO!$A$2:$A$3000,0))))</f>
        <v/>
      </c>
      <c r="I1975" s="88" t="str">
        <f>IF(A1975="","",IF(INDEX(EXTRATO!$H$2:$H$3000,MATCH($A1975,EXTRATO!$A$2:$A$3000,0))="","",INDEX(EXTRATO!$H$2:$H$3000,MATCH($A1975,EXTRATO!$A$2:$A$3000,0))))</f>
        <v/>
      </c>
      <c r="J1975" s="86" t="str">
        <f t="shared" si="49"/>
        <v/>
      </c>
      <c r="K1975" s="86" t="str">
        <f>IF(AND(A1975="",D1975="",E1975="",F1975=""),"",IF(D1975="","SEM CATEGORIA",IF(E1975="","SEM SUBCATEGORIA",IF(COUNTIFS(CADASTROS!$L$7:$L$93,D1975,CADASTROS!$D$7:$D$93,E1975)=0,"INCOMPATÍVEL","OK"))))</f>
        <v/>
      </c>
    </row>
    <row r="1976" spans="1:11" ht="30" hidden="1" customHeight="1" x14ac:dyDescent="0.25">
      <c r="A1976" s="86" t="str">
        <f>IF(COUNTIF(EXTRATO!$A$2:$A$3000,"BAN-01833")=0,"","BAN-01833")</f>
        <v/>
      </c>
      <c r="B1976" s="85" t="str">
        <f>IF(A1976="","",IF(INDEX(EXTRATO!$C$2:$C$3000,MATCH($A1976,EXTRATO!$A$2:$A$3000,0))="","",INDEX(EXTRATO!$C$2:$C$3000,MATCH($A1976,EXTRATO!$A$2:$A$3000,0))))</f>
        <v/>
      </c>
      <c r="C1976" s="86" t="str">
        <f t="shared" si="48"/>
        <v/>
      </c>
      <c r="D1976" s="81"/>
      <c r="E1976" s="79"/>
      <c r="F1976" s="80" t="str">
        <f>IF(A1976="","",SUMIF(EXTRATO!$A$2:$A$3000,$A1976,EXTRATO!$J$2:$J$3000)+SUMIF(EXTRATO!$A$2:$A$3000,$A1976,EXTRATO!$K$2:$K$3000)+SUMIF(EXTRATO!$A$2:$A$3000,$A1976,EXTRATO!$L$2:$L$3000)+SUMIF(EXTRATO!$A$2:$A$3000,$A1976,EXTRATO!$M$2:$M$3000))</f>
        <v/>
      </c>
      <c r="G1976" s="81" t="str">
        <f>IF(A1976="","",IF(INDEX(EXTRATO!$G$2:$G$3000,MATCH($A1976,EXTRATO!$A$2:$A$3000,0))="","",INDEX(EXTRATO!$G$2:$G$3000,MATCH($A1976,EXTRATO!$A$2:$A$3000,0))))</f>
        <v/>
      </c>
      <c r="H1976" s="86" t="str">
        <f>IF(A1976="","",IF(INDEX(EXTRATO!$F$2:$F$3000,MATCH($A1976,EXTRATO!$A$2:$A$3000,0))="","",INDEX(EXTRATO!$F$2:$F$3000,MATCH($A1976,EXTRATO!$A$2:$A$3000,0))))</f>
        <v/>
      </c>
      <c r="I1976" s="88" t="str">
        <f>IF(A1976="","",IF(INDEX(EXTRATO!$H$2:$H$3000,MATCH($A1976,EXTRATO!$A$2:$A$3000,0))="","",INDEX(EXTRATO!$H$2:$H$3000,MATCH($A1976,EXTRATO!$A$2:$A$3000,0))))</f>
        <v/>
      </c>
      <c r="J1976" s="86" t="str">
        <f t="shared" si="49"/>
        <v/>
      </c>
      <c r="K1976" s="86" t="str">
        <f>IF(AND(A1976="",D1976="",E1976="",F1976=""),"",IF(D1976="","SEM CATEGORIA",IF(E1976="","SEM SUBCATEGORIA",IF(COUNTIFS(CADASTROS!$L$7:$L$93,D1976,CADASTROS!$D$7:$D$93,E1976)=0,"INCOMPATÍVEL","OK"))))</f>
        <v/>
      </c>
    </row>
    <row r="1977" spans="1:11" ht="30" hidden="1" customHeight="1" x14ac:dyDescent="0.25">
      <c r="A1977" s="86" t="str">
        <f>IF(COUNTIF(EXTRATO!$A$2:$A$3000,"BAN-01834")=0,"","BAN-01834")</f>
        <v/>
      </c>
      <c r="B1977" s="85" t="str">
        <f>IF(A1977="","",IF(INDEX(EXTRATO!$C$2:$C$3000,MATCH($A1977,EXTRATO!$A$2:$A$3000,0))="","",INDEX(EXTRATO!$C$2:$C$3000,MATCH($A1977,EXTRATO!$A$2:$A$3000,0))))</f>
        <v/>
      </c>
      <c r="C1977" s="86" t="str">
        <f t="shared" si="48"/>
        <v/>
      </c>
      <c r="D1977" s="81"/>
      <c r="E1977" s="79"/>
      <c r="F1977" s="80" t="str">
        <f>IF(A1977="","",SUMIF(EXTRATO!$A$2:$A$3000,$A1977,EXTRATO!$J$2:$J$3000)+SUMIF(EXTRATO!$A$2:$A$3000,$A1977,EXTRATO!$K$2:$K$3000)+SUMIF(EXTRATO!$A$2:$A$3000,$A1977,EXTRATO!$L$2:$L$3000)+SUMIF(EXTRATO!$A$2:$A$3000,$A1977,EXTRATO!$M$2:$M$3000))</f>
        <v/>
      </c>
      <c r="G1977" s="81" t="str">
        <f>IF(A1977="","",IF(INDEX(EXTRATO!$G$2:$G$3000,MATCH($A1977,EXTRATO!$A$2:$A$3000,0))="","",INDEX(EXTRATO!$G$2:$G$3000,MATCH($A1977,EXTRATO!$A$2:$A$3000,0))))</f>
        <v/>
      </c>
      <c r="H1977" s="86" t="str">
        <f>IF(A1977="","",IF(INDEX(EXTRATO!$F$2:$F$3000,MATCH($A1977,EXTRATO!$A$2:$A$3000,0))="","",INDEX(EXTRATO!$F$2:$F$3000,MATCH($A1977,EXTRATO!$A$2:$A$3000,0))))</f>
        <v/>
      </c>
      <c r="I1977" s="88" t="str">
        <f>IF(A1977="","",IF(INDEX(EXTRATO!$H$2:$H$3000,MATCH($A1977,EXTRATO!$A$2:$A$3000,0))="","",INDEX(EXTRATO!$H$2:$H$3000,MATCH($A1977,EXTRATO!$A$2:$A$3000,0))))</f>
        <v/>
      </c>
      <c r="J1977" s="86" t="str">
        <f t="shared" si="49"/>
        <v/>
      </c>
      <c r="K1977" s="86" t="str">
        <f>IF(AND(A1977="",D1977="",E1977="",F1977=""),"",IF(D1977="","SEM CATEGORIA",IF(E1977="","SEM SUBCATEGORIA",IF(COUNTIFS(CADASTROS!$L$7:$L$93,D1977,CADASTROS!$D$7:$D$93,E1977)=0,"INCOMPATÍVEL","OK"))))</f>
        <v/>
      </c>
    </row>
    <row r="1978" spans="1:11" ht="30" hidden="1" customHeight="1" x14ac:dyDescent="0.25">
      <c r="A1978" s="86" t="str">
        <f>IF(COUNTIF(EXTRATO!$A$2:$A$3000,"BAN-01835")=0,"","BAN-01835")</f>
        <v/>
      </c>
      <c r="B1978" s="85" t="str">
        <f>IF(A1978="","",IF(INDEX(EXTRATO!$C$2:$C$3000,MATCH($A1978,EXTRATO!$A$2:$A$3000,0))="","",INDEX(EXTRATO!$C$2:$C$3000,MATCH($A1978,EXTRATO!$A$2:$A$3000,0))))</f>
        <v/>
      </c>
      <c r="C1978" s="86" t="str">
        <f t="shared" si="48"/>
        <v/>
      </c>
      <c r="D1978" s="81"/>
      <c r="E1978" s="79"/>
      <c r="F1978" s="80" t="str">
        <f>IF(A1978="","",SUMIF(EXTRATO!$A$2:$A$3000,$A1978,EXTRATO!$J$2:$J$3000)+SUMIF(EXTRATO!$A$2:$A$3000,$A1978,EXTRATO!$K$2:$K$3000)+SUMIF(EXTRATO!$A$2:$A$3000,$A1978,EXTRATO!$L$2:$L$3000)+SUMIF(EXTRATO!$A$2:$A$3000,$A1978,EXTRATO!$M$2:$M$3000))</f>
        <v/>
      </c>
      <c r="G1978" s="81" t="str">
        <f>IF(A1978="","",IF(INDEX(EXTRATO!$G$2:$G$3000,MATCH($A1978,EXTRATO!$A$2:$A$3000,0))="","",INDEX(EXTRATO!$G$2:$G$3000,MATCH($A1978,EXTRATO!$A$2:$A$3000,0))))</f>
        <v/>
      </c>
      <c r="H1978" s="86" t="str">
        <f>IF(A1978="","",IF(INDEX(EXTRATO!$F$2:$F$3000,MATCH($A1978,EXTRATO!$A$2:$A$3000,0))="","",INDEX(EXTRATO!$F$2:$F$3000,MATCH($A1978,EXTRATO!$A$2:$A$3000,0))))</f>
        <v/>
      </c>
      <c r="I1978" s="88" t="str">
        <f>IF(A1978="","",IF(INDEX(EXTRATO!$H$2:$H$3000,MATCH($A1978,EXTRATO!$A$2:$A$3000,0))="","",INDEX(EXTRATO!$H$2:$H$3000,MATCH($A1978,EXTRATO!$A$2:$A$3000,0))))</f>
        <v/>
      </c>
      <c r="J1978" s="86" t="str">
        <f t="shared" si="49"/>
        <v/>
      </c>
      <c r="K1978" s="86" t="str">
        <f>IF(AND(A1978="",D1978="",E1978="",F1978=""),"",IF(D1978="","SEM CATEGORIA",IF(E1978="","SEM SUBCATEGORIA",IF(COUNTIFS(CADASTROS!$L$7:$L$93,D1978,CADASTROS!$D$7:$D$93,E1978)=0,"INCOMPATÍVEL","OK"))))</f>
        <v/>
      </c>
    </row>
    <row r="1979" spans="1:11" ht="30" hidden="1" customHeight="1" x14ac:dyDescent="0.25">
      <c r="A1979" s="86" t="str">
        <f>IF(COUNTIF(EXTRATO!$A$2:$A$3000,"BAN-01836")=0,"","BAN-01836")</f>
        <v/>
      </c>
      <c r="B1979" s="85" t="str">
        <f>IF(A1979="","",IF(INDEX(EXTRATO!$C$2:$C$3000,MATCH($A1979,EXTRATO!$A$2:$A$3000,0))="","",INDEX(EXTRATO!$C$2:$C$3000,MATCH($A1979,EXTRATO!$A$2:$A$3000,0))))</f>
        <v/>
      </c>
      <c r="C1979" s="86" t="str">
        <f t="shared" si="48"/>
        <v/>
      </c>
      <c r="D1979" s="81"/>
      <c r="E1979" s="79"/>
      <c r="F1979" s="80" t="str">
        <f>IF(A1979="","",SUMIF(EXTRATO!$A$2:$A$3000,$A1979,EXTRATO!$J$2:$J$3000)+SUMIF(EXTRATO!$A$2:$A$3000,$A1979,EXTRATO!$K$2:$K$3000)+SUMIF(EXTRATO!$A$2:$A$3000,$A1979,EXTRATO!$L$2:$L$3000)+SUMIF(EXTRATO!$A$2:$A$3000,$A1979,EXTRATO!$M$2:$M$3000))</f>
        <v/>
      </c>
      <c r="G1979" s="81" t="str">
        <f>IF(A1979="","",IF(INDEX(EXTRATO!$G$2:$G$3000,MATCH($A1979,EXTRATO!$A$2:$A$3000,0))="","",INDEX(EXTRATO!$G$2:$G$3000,MATCH($A1979,EXTRATO!$A$2:$A$3000,0))))</f>
        <v/>
      </c>
      <c r="H1979" s="86" t="str">
        <f>IF(A1979="","",IF(INDEX(EXTRATO!$F$2:$F$3000,MATCH($A1979,EXTRATO!$A$2:$A$3000,0))="","",INDEX(EXTRATO!$F$2:$F$3000,MATCH($A1979,EXTRATO!$A$2:$A$3000,0))))</f>
        <v/>
      </c>
      <c r="I1979" s="88" t="str">
        <f>IF(A1979="","",IF(INDEX(EXTRATO!$H$2:$H$3000,MATCH($A1979,EXTRATO!$A$2:$A$3000,0))="","",INDEX(EXTRATO!$H$2:$H$3000,MATCH($A1979,EXTRATO!$A$2:$A$3000,0))))</f>
        <v/>
      </c>
      <c r="J1979" s="86" t="str">
        <f t="shared" si="49"/>
        <v/>
      </c>
      <c r="K1979" s="86" t="str">
        <f>IF(AND(A1979="",D1979="",E1979="",F1979=""),"",IF(D1979="","SEM CATEGORIA",IF(E1979="","SEM SUBCATEGORIA",IF(COUNTIFS(CADASTROS!$L$7:$L$93,D1979,CADASTROS!$D$7:$D$93,E1979)=0,"INCOMPATÍVEL","OK"))))</f>
        <v/>
      </c>
    </row>
    <row r="1980" spans="1:11" ht="30" hidden="1" customHeight="1" x14ac:dyDescent="0.25">
      <c r="A1980" s="86" t="str">
        <f>IF(COUNTIF(EXTRATO!$A$2:$A$3000,"BAN-01837")=0,"","BAN-01837")</f>
        <v/>
      </c>
      <c r="B1980" s="85" t="str">
        <f>IF(A1980="","",IF(INDEX(EXTRATO!$C$2:$C$3000,MATCH($A1980,EXTRATO!$A$2:$A$3000,0))="","",INDEX(EXTRATO!$C$2:$C$3000,MATCH($A1980,EXTRATO!$A$2:$A$3000,0))))</f>
        <v/>
      </c>
      <c r="C1980" s="86" t="str">
        <f t="shared" si="48"/>
        <v/>
      </c>
      <c r="D1980" s="81"/>
      <c r="E1980" s="79"/>
      <c r="F1980" s="80" t="str">
        <f>IF(A1980="","",SUMIF(EXTRATO!$A$2:$A$3000,$A1980,EXTRATO!$J$2:$J$3000)+SUMIF(EXTRATO!$A$2:$A$3000,$A1980,EXTRATO!$K$2:$K$3000)+SUMIF(EXTRATO!$A$2:$A$3000,$A1980,EXTRATO!$L$2:$L$3000)+SUMIF(EXTRATO!$A$2:$A$3000,$A1980,EXTRATO!$M$2:$M$3000))</f>
        <v/>
      </c>
      <c r="G1980" s="81" t="str">
        <f>IF(A1980="","",IF(INDEX(EXTRATO!$G$2:$G$3000,MATCH($A1980,EXTRATO!$A$2:$A$3000,0))="","",INDEX(EXTRATO!$G$2:$G$3000,MATCH($A1980,EXTRATO!$A$2:$A$3000,0))))</f>
        <v/>
      </c>
      <c r="H1980" s="86" t="str">
        <f>IF(A1980="","",IF(INDEX(EXTRATO!$F$2:$F$3000,MATCH($A1980,EXTRATO!$A$2:$A$3000,0))="","",INDEX(EXTRATO!$F$2:$F$3000,MATCH($A1980,EXTRATO!$A$2:$A$3000,0))))</f>
        <v/>
      </c>
      <c r="I1980" s="88" t="str">
        <f>IF(A1980="","",IF(INDEX(EXTRATO!$H$2:$H$3000,MATCH($A1980,EXTRATO!$A$2:$A$3000,0))="","",INDEX(EXTRATO!$H$2:$H$3000,MATCH($A1980,EXTRATO!$A$2:$A$3000,0))))</f>
        <v/>
      </c>
      <c r="J1980" s="86" t="str">
        <f t="shared" si="49"/>
        <v/>
      </c>
      <c r="K1980" s="86" t="str">
        <f>IF(AND(A1980="",D1980="",E1980="",F1980=""),"",IF(D1980="","SEM CATEGORIA",IF(E1980="","SEM SUBCATEGORIA",IF(COUNTIFS(CADASTROS!$L$7:$L$93,D1980,CADASTROS!$D$7:$D$93,E1980)=0,"INCOMPATÍVEL","OK"))))</f>
        <v/>
      </c>
    </row>
    <row r="1981" spans="1:11" ht="30" hidden="1" customHeight="1" x14ac:dyDescent="0.25">
      <c r="A1981" s="86" t="str">
        <f>IF(COUNTIF(EXTRATO!$A$2:$A$3000,"BAN-01838")=0,"","BAN-01838")</f>
        <v/>
      </c>
      <c r="B1981" s="85" t="str">
        <f>IF(A1981="","",IF(INDEX(EXTRATO!$C$2:$C$3000,MATCH($A1981,EXTRATO!$A$2:$A$3000,0))="","",INDEX(EXTRATO!$C$2:$C$3000,MATCH($A1981,EXTRATO!$A$2:$A$3000,0))))</f>
        <v/>
      </c>
      <c r="C1981" s="86" t="str">
        <f t="shared" si="48"/>
        <v/>
      </c>
      <c r="D1981" s="81"/>
      <c r="E1981" s="79"/>
      <c r="F1981" s="80" t="str">
        <f>IF(A1981="","",SUMIF(EXTRATO!$A$2:$A$3000,$A1981,EXTRATO!$J$2:$J$3000)+SUMIF(EXTRATO!$A$2:$A$3000,$A1981,EXTRATO!$K$2:$K$3000)+SUMIF(EXTRATO!$A$2:$A$3000,$A1981,EXTRATO!$L$2:$L$3000)+SUMIF(EXTRATO!$A$2:$A$3000,$A1981,EXTRATO!$M$2:$M$3000))</f>
        <v/>
      </c>
      <c r="G1981" s="81" t="str">
        <f>IF(A1981="","",IF(INDEX(EXTRATO!$G$2:$G$3000,MATCH($A1981,EXTRATO!$A$2:$A$3000,0))="","",INDEX(EXTRATO!$G$2:$G$3000,MATCH($A1981,EXTRATO!$A$2:$A$3000,0))))</f>
        <v/>
      </c>
      <c r="H1981" s="86" t="str">
        <f>IF(A1981="","",IF(INDEX(EXTRATO!$F$2:$F$3000,MATCH($A1981,EXTRATO!$A$2:$A$3000,0))="","",INDEX(EXTRATO!$F$2:$F$3000,MATCH($A1981,EXTRATO!$A$2:$A$3000,0))))</f>
        <v/>
      </c>
      <c r="I1981" s="88" t="str">
        <f>IF(A1981="","",IF(INDEX(EXTRATO!$H$2:$H$3000,MATCH($A1981,EXTRATO!$A$2:$A$3000,0))="","",INDEX(EXTRATO!$H$2:$H$3000,MATCH($A1981,EXTRATO!$A$2:$A$3000,0))))</f>
        <v/>
      </c>
      <c r="J1981" s="86" t="str">
        <f t="shared" si="49"/>
        <v/>
      </c>
      <c r="K1981" s="86" t="str">
        <f>IF(AND(A1981="",D1981="",E1981="",F1981=""),"",IF(D1981="","SEM CATEGORIA",IF(E1981="","SEM SUBCATEGORIA",IF(COUNTIFS(CADASTROS!$L$7:$L$93,D1981,CADASTROS!$D$7:$D$93,E1981)=0,"INCOMPATÍVEL","OK"))))</f>
        <v/>
      </c>
    </row>
    <row r="1982" spans="1:11" ht="30" hidden="1" customHeight="1" x14ac:dyDescent="0.25">
      <c r="A1982" s="86" t="str">
        <f>IF(COUNTIF(EXTRATO!$A$2:$A$3000,"BAN-01839")=0,"","BAN-01839")</f>
        <v/>
      </c>
      <c r="B1982" s="85" t="str">
        <f>IF(A1982="","",IF(INDEX(EXTRATO!$C$2:$C$3000,MATCH($A1982,EXTRATO!$A$2:$A$3000,0))="","",INDEX(EXTRATO!$C$2:$C$3000,MATCH($A1982,EXTRATO!$A$2:$A$3000,0))))</f>
        <v/>
      </c>
      <c r="C1982" s="86" t="str">
        <f t="shared" si="48"/>
        <v/>
      </c>
      <c r="D1982" s="81"/>
      <c r="E1982" s="79"/>
      <c r="F1982" s="80" t="str">
        <f>IF(A1982="","",SUMIF(EXTRATO!$A$2:$A$3000,$A1982,EXTRATO!$J$2:$J$3000)+SUMIF(EXTRATO!$A$2:$A$3000,$A1982,EXTRATO!$K$2:$K$3000)+SUMIF(EXTRATO!$A$2:$A$3000,$A1982,EXTRATO!$L$2:$L$3000)+SUMIF(EXTRATO!$A$2:$A$3000,$A1982,EXTRATO!$M$2:$M$3000))</f>
        <v/>
      </c>
      <c r="G1982" s="81" t="str">
        <f>IF(A1982="","",IF(INDEX(EXTRATO!$G$2:$G$3000,MATCH($A1982,EXTRATO!$A$2:$A$3000,0))="","",INDEX(EXTRATO!$G$2:$G$3000,MATCH($A1982,EXTRATO!$A$2:$A$3000,0))))</f>
        <v/>
      </c>
      <c r="H1982" s="86" t="str">
        <f>IF(A1982="","",IF(INDEX(EXTRATO!$F$2:$F$3000,MATCH($A1982,EXTRATO!$A$2:$A$3000,0))="","",INDEX(EXTRATO!$F$2:$F$3000,MATCH($A1982,EXTRATO!$A$2:$A$3000,0))))</f>
        <v/>
      </c>
      <c r="I1982" s="88" t="str">
        <f>IF(A1982="","",IF(INDEX(EXTRATO!$H$2:$H$3000,MATCH($A1982,EXTRATO!$A$2:$A$3000,0))="","",INDEX(EXTRATO!$H$2:$H$3000,MATCH($A1982,EXTRATO!$A$2:$A$3000,0))))</f>
        <v/>
      </c>
      <c r="J1982" s="86" t="str">
        <f t="shared" si="49"/>
        <v/>
      </c>
      <c r="K1982" s="86" t="str">
        <f>IF(AND(A1982="",D1982="",E1982="",F1982=""),"",IF(D1982="","SEM CATEGORIA",IF(E1982="","SEM SUBCATEGORIA",IF(COUNTIFS(CADASTROS!$L$7:$L$93,D1982,CADASTROS!$D$7:$D$93,E1982)=0,"INCOMPATÍVEL","OK"))))</f>
        <v/>
      </c>
    </row>
    <row r="1983" spans="1:11" ht="30" hidden="1" customHeight="1" x14ac:dyDescent="0.25">
      <c r="A1983" s="86" t="str">
        <f>IF(COUNTIF(EXTRATO!$A$2:$A$3000,"BAN-01840")=0,"","BAN-01840")</f>
        <v/>
      </c>
      <c r="B1983" s="85" t="str">
        <f>IF(A1983="","",IF(INDEX(EXTRATO!$C$2:$C$3000,MATCH($A1983,EXTRATO!$A$2:$A$3000,0))="","",INDEX(EXTRATO!$C$2:$C$3000,MATCH($A1983,EXTRATO!$A$2:$A$3000,0))))</f>
        <v/>
      </c>
      <c r="C1983" s="86" t="str">
        <f t="shared" si="48"/>
        <v/>
      </c>
      <c r="D1983" s="81"/>
      <c r="E1983" s="79"/>
      <c r="F1983" s="80" t="str">
        <f>IF(A1983="","",SUMIF(EXTRATO!$A$2:$A$3000,$A1983,EXTRATO!$J$2:$J$3000)+SUMIF(EXTRATO!$A$2:$A$3000,$A1983,EXTRATO!$K$2:$K$3000)+SUMIF(EXTRATO!$A$2:$A$3000,$A1983,EXTRATO!$L$2:$L$3000)+SUMIF(EXTRATO!$A$2:$A$3000,$A1983,EXTRATO!$M$2:$M$3000))</f>
        <v/>
      </c>
      <c r="G1983" s="81" t="str">
        <f>IF(A1983="","",IF(INDEX(EXTRATO!$G$2:$G$3000,MATCH($A1983,EXTRATO!$A$2:$A$3000,0))="","",INDEX(EXTRATO!$G$2:$G$3000,MATCH($A1983,EXTRATO!$A$2:$A$3000,0))))</f>
        <v/>
      </c>
      <c r="H1983" s="86" t="str">
        <f>IF(A1983="","",IF(INDEX(EXTRATO!$F$2:$F$3000,MATCH($A1983,EXTRATO!$A$2:$A$3000,0))="","",INDEX(EXTRATO!$F$2:$F$3000,MATCH($A1983,EXTRATO!$A$2:$A$3000,0))))</f>
        <v/>
      </c>
      <c r="I1983" s="88" t="str">
        <f>IF(A1983="","",IF(INDEX(EXTRATO!$H$2:$H$3000,MATCH($A1983,EXTRATO!$A$2:$A$3000,0))="","",INDEX(EXTRATO!$H$2:$H$3000,MATCH($A1983,EXTRATO!$A$2:$A$3000,0))))</f>
        <v/>
      </c>
      <c r="J1983" s="86" t="str">
        <f t="shared" si="49"/>
        <v/>
      </c>
      <c r="K1983" s="86" t="str">
        <f>IF(AND(A1983="",D1983="",E1983="",F1983=""),"",IF(D1983="","SEM CATEGORIA",IF(E1983="","SEM SUBCATEGORIA",IF(COUNTIFS(CADASTROS!$L$7:$L$93,D1983,CADASTROS!$D$7:$D$93,E1983)=0,"INCOMPATÍVEL","OK"))))</f>
        <v/>
      </c>
    </row>
    <row r="1984" spans="1:11" ht="30" hidden="1" customHeight="1" x14ac:dyDescent="0.25">
      <c r="A1984" s="86" t="str">
        <f>IF(COUNTIF(EXTRATO!$A$2:$A$3000,"BAN-01841")=0,"","BAN-01841")</f>
        <v/>
      </c>
      <c r="B1984" s="85" t="str">
        <f>IF(A1984="","",IF(INDEX(EXTRATO!$C$2:$C$3000,MATCH($A1984,EXTRATO!$A$2:$A$3000,0))="","",INDEX(EXTRATO!$C$2:$C$3000,MATCH($A1984,EXTRATO!$A$2:$A$3000,0))))</f>
        <v/>
      </c>
      <c r="C1984" s="86" t="str">
        <f t="shared" si="48"/>
        <v/>
      </c>
      <c r="D1984" s="81"/>
      <c r="E1984" s="79"/>
      <c r="F1984" s="80" t="str">
        <f>IF(A1984="","",SUMIF(EXTRATO!$A$2:$A$3000,$A1984,EXTRATO!$J$2:$J$3000)+SUMIF(EXTRATO!$A$2:$A$3000,$A1984,EXTRATO!$K$2:$K$3000)+SUMIF(EXTRATO!$A$2:$A$3000,$A1984,EXTRATO!$L$2:$L$3000)+SUMIF(EXTRATO!$A$2:$A$3000,$A1984,EXTRATO!$M$2:$M$3000))</f>
        <v/>
      </c>
      <c r="G1984" s="81" t="str">
        <f>IF(A1984="","",IF(INDEX(EXTRATO!$G$2:$G$3000,MATCH($A1984,EXTRATO!$A$2:$A$3000,0))="","",INDEX(EXTRATO!$G$2:$G$3000,MATCH($A1984,EXTRATO!$A$2:$A$3000,0))))</f>
        <v/>
      </c>
      <c r="H1984" s="86" t="str">
        <f>IF(A1984="","",IF(INDEX(EXTRATO!$F$2:$F$3000,MATCH($A1984,EXTRATO!$A$2:$A$3000,0))="","",INDEX(EXTRATO!$F$2:$F$3000,MATCH($A1984,EXTRATO!$A$2:$A$3000,0))))</f>
        <v/>
      </c>
      <c r="I1984" s="88" t="str">
        <f>IF(A1984="","",IF(INDEX(EXTRATO!$H$2:$H$3000,MATCH($A1984,EXTRATO!$A$2:$A$3000,0))="","",INDEX(EXTRATO!$H$2:$H$3000,MATCH($A1984,EXTRATO!$A$2:$A$3000,0))))</f>
        <v/>
      </c>
      <c r="J1984" s="86" t="str">
        <f t="shared" si="49"/>
        <v/>
      </c>
      <c r="K1984" s="86" t="str">
        <f>IF(AND(A1984="",D1984="",E1984="",F1984=""),"",IF(D1984="","SEM CATEGORIA",IF(E1984="","SEM SUBCATEGORIA",IF(COUNTIFS(CADASTROS!$L$7:$L$93,D1984,CADASTROS!$D$7:$D$93,E1984)=0,"INCOMPATÍVEL","OK"))))</f>
        <v/>
      </c>
    </row>
    <row r="1985" spans="1:11" ht="30" hidden="1" customHeight="1" x14ac:dyDescent="0.25">
      <c r="A1985" s="86" t="str">
        <f>IF(COUNTIF(EXTRATO!$A$2:$A$3000,"BAN-01842")=0,"","BAN-01842")</f>
        <v/>
      </c>
      <c r="B1985" s="85" t="str">
        <f>IF(A1985="","",IF(INDEX(EXTRATO!$C$2:$C$3000,MATCH($A1985,EXTRATO!$A$2:$A$3000,0))="","",INDEX(EXTRATO!$C$2:$C$3000,MATCH($A1985,EXTRATO!$A$2:$A$3000,0))))</f>
        <v/>
      </c>
      <c r="C1985" s="86" t="str">
        <f t="shared" si="48"/>
        <v/>
      </c>
      <c r="D1985" s="81"/>
      <c r="E1985" s="79"/>
      <c r="F1985" s="80" t="str">
        <f>IF(A1985="","",SUMIF(EXTRATO!$A$2:$A$3000,$A1985,EXTRATO!$J$2:$J$3000)+SUMIF(EXTRATO!$A$2:$A$3000,$A1985,EXTRATO!$K$2:$K$3000)+SUMIF(EXTRATO!$A$2:$A$3000,$A1985,EXTRATO!$L$2:$L$3000)+SUMIF(EXTRATO!$A$2:$A$3000,$A1985,EXTRATO!$M$2:$M$3000))</f>
        <v/>
      </c>
      <c r="G1985" s="81" t="str">
        <f>IF(A1985="","",IF(INDEX(EXTRATO!$G$2:$G$3000,MATCH($A1985,EXTRATO!$A$2:$A$3000,0))="","",INDEX(EXTRATO!$G$2:$G$3000,MATCH($A1985,EXTRATO!$A$2:$A$3000,0))))</f>
        <v/>
      </c>
      <c r="H1985" s="86" t="str">
        <f>IF(A1985="","",IF(INDEX(EXTRATO!$F$2:$F$3000,MATCH($A1985,EXTRATO!$A$2:$A$3000,0))="","",INDEX(EXTRATO!$F$2:$F$3000,MATCH($A1985,EXTRATO!$A$2:$A$3000,0))))</f>
        <v/>
      </c>
      <c r="I1985" s="88" t="str">
        <f>IF(A1985="","",IF(INDEX(EXTRATO!$H$2:$H$3000,MATCH($A1985,EXTRATO!$A$2:$A$3000,0))="","",INDEX(EXTRATO!$H$2:$H$3000,MATCH($A1985,EXTRATO!$A$2:$A$3000,0))))</f>
        <v/>
      </c>
      <c r="J1985" s="86" t="str">
        <f t="shared" si="49"/>
        <v/>
      </c>
      <c r="K1985" s="86" t="str">
        <f>IF(AND(A1985="",D1985="",E1985="",F1985=""),"",IF(D1985="","SEM CATEGORIA",IF(E1985="","SEM SUBCATEGORIA",IF(COUNTIFS(CADASTROS!$L$7:$L$93,D1985,CADASTROS!$D$7:$D$93,E1985)=0,"INCOMPATÍVEL","OK"))))</f>
        <v/>
      </c>
    </row>
    <row r="1986" spans="1:11" ht="30" hidden="1" customHeight="1" x14ac:dyDescent="0.25">
      <c r="A1986" s="86" t="str">
        <f>IF(COUNTIF(EXTRATO!$A$2:$A$3000,"BAN-01843")=0,"","BAN-01843")</f>
        <v/>
      </c>
      <c r="B1986" s="85" t="str">
        <f>IF(A1986="","",IF(INDEX(EXTRATO!$C$2:$C$3000,MATCH($A1986,EXTRATO!$A$2:$A$3000,0))="","",INDEX(EXTRATO!$C$2:$C$3000,MATCH($A1986,EXTRATO!$A$2:$A$3000,0))))</f>
        <v/>
      </c>
      <c r="C1986" s="86" t="str">
        <f t="shared" si="48"/>
        <v/>
      </c>
      <c r="D1986" s="81"/>
      <c r="E1986" s="79"/>
      <c r="F1986" s="80" t="str">
        <f>IF(A1986="","",SUMIF(EXTRATO!$A$2:$A$3000,$A1986,EXTRATO!$J$2:$J$3000)+SUMIF(EXTRATO!$A$2:$A$3000,$A1986,EXTRATO!$K$2:$K$3000)+SUMIF(EXTRATO!$A$2:$A$3000,$A1986,EXTRATO!$L$2:$L$3000)+SUMIF(EXTRATO!$A$2:$A$3000,$A1986,EXTRATO!$M$2:$M$3000))</f>
        <v/>
      </c>
      <c r="G1986" s="81" t="str">
        <f>IF(A1986="","",IF(INDEX(EXTRATO!$G$2:$G$3000,MATCH($A1986,EXTRATO!$A$2:$A$3000,0))="","",INDEX(EXTRATO!$G$2:$G$3000,MATCH($A1986,EXTRATO!$A$2:$A$3000,0))))</f>
        <v/>
      </c>
      <c r="H1986" s="86" t="str">
        <f>IF(A1986="","",IF(INDEX(EXTRATO!$F$2:$F$3000,MATCH($A1986,EXTRATO!$A$2:$A$3000,0))="","",INDEX(EXTRATO!$F$2:$F$3000,MATCH($A1986,EXTRATO!$A$2:$A$3000,0))))</f>
        <v/>
      </c>
      <c r="I1986" s="88" t="str">
        <f>IF(A1986="","",IF(INDEX(EXTRATO!$H$2:$H$3000,MATCH($A1986,EXTRATO!$A$2:$A$3000,0))="","",INDEX(EXTRATO!$H$2:$H$3000,MATCH($A1986,EXTRATO!$A$2:$A$3000,0))))</f>
        <v/>
      </c>
      <c r="J1986" s="86" t="str">
        <f t="shared" si="49"/>
        <v/>
      </c>
      <c r="K1986" s="86" t="str">
        <f>IF(AND(A1986="",D1986="",E1986="",F1986=""),"",IF(D1986="","SEM CATEGORIA",IF(E1986="","SEM SUBCATEGORIA",IF(COUNTIFS(CADASTROS!$L$7:$L$93,D1986,CADASTROS!$D$7:$D$93,E1986)=0,"INCOMPATÍVEL","OK"))))</f>
        <v/>
      </c>
    </row>
    <row r="1987" spans="1:11" ht="30" hidden="1" customHeight="1" x14ac:dyDescent="0.25">
      <c r="A1987" s="86" t="str">
        <f>IF(COUNTIF(EXTRATO!$A$2:$A$3000,"BAN-01844")=0,"","BAN-01844")</f>
        <v/>
      </c>
      <c r="B1987" s="85" t="str">
        <f>IF(A1987="","",IF(INDEX(EXTRATO!$C$2:$C$3000,MATCH($A1987,EXTRATO!$A$2:$A$3000,0))="","",INDEX(EXTRATO!$C$2:$C$3000,MATCH($A1987,EXTRATO!$A$2:$A$3000,0))))</f>
        <v/>
      </c>
      <c r="C1987" s="86" t="str">
        <f t="shared" si="48"/>
        <v/>
      </c>
      <c r="D1987" s="81"/>
      <c r="E1987" s="79"/>
      <c r="F1987" s="80" t="str">
        <f>IF(A1987="","",SUMIF(EXTRATO!$A$2:$A$3000,$A1987,EXTRATO!$J$2:$J$3000)+SUMIF(EXTRATO!$A$2:$A$3000,$A1987,EXTRATO!$K$2:$K$3000)+SUMIF(EXTRATO!$A$2:$A$3000,$A1987,EXTRATO!$L$2:$L$3000)+SUMIF(EXTRATO!$A$2:$A$3000,$A1987,EXTRATO!$M$2:$M$3000))</f>
        <v/>
      </c>
      <c r="G1987" s="81" t="str">
        <f>IF(A1987="","",IF(INDEX(EXTRATO!$G$2:$G$3000,MATCH($A1987,EXTRATO!$A$2:$A$3000,0))="","",INDEX(EXTRATO!$G$2:$G$3000,MATCH($A1987,EXTRATO!$A$2:$A$3000,0))))</f>
        <v/>
      </c>
      <c r="H1987" s="86" t="str">
        <f>IF(A1987="","",IF(INDEX(EXTRATO!$F$2:$F$3000,MATCH($A1987,EXTRATO!$A$2:$A$3000,0))="","",INDEX(EXTRATO!$F$2:$F$3000,MATCH($A1987,EXTRATO!$A$2:$A$3000,0))))</f>
        <v/>
      </c>
      <c r="I1987" s="88" t="str">
        <f>IF(A1987="","",IF(INDEX(EXTRATO!$H$2:$H$3000,MATCH($A1987,EXTRATO!$A$2:$A$3000,0))="","",INDEX(EXTRATO!$H$2:$H$3000,MATCH($A1987,EXTRATO!$A$2:$A$3000,0))))</f>
        <v/>
      </c>
      <c r="J1987" s="86" t="str">
        <f t="shared" si="49"/>
        <v/>
      </c>
      <c r="K1987" s="86" t="str">
        <f>IF(AND(A1987="",D1987="",E1987="",F1987=""),"",IF(D1987="","SEM CATEGORIA",IF(E1987="","SEM SUBCATEGORIA",IF(COUNTIFS(CADASTROS!$L$7:$L$93,D1987,CADASTROS!$D$7:$D$93,E1987)=0,"INCOMPATÍVEL","OK"))))</f>
        <v/>
      </c>
    </row>
    <row r="1988" spans="1:11" ht="30" hidden="1" customHeight="1" x14ac:dyDescent="0.25">
      <c r="A1988" s="86" t="str">
        <f>IF(COUNTIF(EXTRATO!$A$2:$A$3000,"BAN-01845")=0,"","BAN-01845")</f>
        <v/>
      </c>
      <c r="B1988" s="85" t="str">
        <f>IF(A1988="","",IF(INDEX(EXTRATO!$C$2:$C$3000,MATCH($A1988,EXTRATO!$A$2:$A$3000,0))="","",INDEX(EXTRATO!$C$2:$C$3000,MATCH($A1988,EXTRATO!$A$2:$A$3000,0))))</f>
        <v/>
      </c>
      <c r="C1988" s="86" t="str">
        <f t="shared" si="48"/>
        <v/>
      </c>
      <c r="D1988" s="81"/>
      <c r="E1988" s="79"/>
      <c r="F1988" s="80" t="str">
        <f>IF(A1988="","",SUMIF(EXTRATO!$A$2:$A$3000,$A1988,EXTRATO!$J$2:$J$3000)+SUMIF(EXTRATO!$A$2:$A$3000,$A1988,EXTRATO!$K$2:$K$3000)+SUMIF(EXTRATO!$A$2:$A$3000,$A1988,EXTRATO!$L$2:$L$3000)+SUMIF(EXTRATO!$A$2:$A$3000,$A1988,EXTRATO!$M$2:$M$3000))</f>
        <v/>
      </c>
      <c r="G1988" s="81" t="str">
        <f>IF(A1988="","",IF(INDEX(EXTRATO!$G$2:$G$3000,MATCH($A1988,EXTRATO!$A$2:$A$3000,0))="","",INDEX(EXTRATO!$G$2:$G$3000,MATCH($A1988,EXTRATO!$A$2:$A$3000,0))))</f>
        <v/>
      </c>
      <c r="H1988" s="86" t="str">
        <f>IF(A1988="","",IF(INDEX(EXTRATO!$F$2:$F$3000,MATCH($A1988,EXTRATO!$A$2:$A$3000,0))="","",INDEX(EXTRATO!$F$2:$F$3000,MATCH($A1988,EXTRATO!$A$2:$A$3000,0))))</f>
        <v/>
      </c>
      <c r="I1988" s="88" t="str">
        <f>IF(A1988="","",IF(INDEX(EXTRATO!$H$2:$H$3000,MATCH($A1988,EXTRATO!$A$2:$A$3000,0))="","",INDEX(EXTRATO!$H$2:$H$3000,MATCH($A1988,EXTRATO!$A$2:$A$3000,0))))</f>
        <v/>
      </c>
      <c r="J1988" s="86" t="str">
        <f t="shared" si="49"/>
        <v/>
      </c>
      <c r="K1988" s="86" t="str">
        <f>IF(AND(A1988="",D1988="",E1988="",F1988=""),"",IF(D1988="","SEM CATEGORIA",IF(E1988="","SEM SUBCATEGORIA",IF(COUNTIFS(CADASTROS!$L$7:$L$93,D1988,CADASTROS!$D$7:$D$93,E1988)=0,"INCOMPATÍVEL","OK"))))</f>
        <v/>
      </c>
    </row>
    <row r="1989" spans="1:11" ht="30" hidden="1" customHeight="1" x14ac:dyDescent="0.25">
      <c r="A1989" s="86" t="str">
        <f>IF(COUNTIF(EXTRATO!$A$2:$A$3000,"BAN-01846")=0,"","BAN-01846")</f>
        <v/>
      </c>
      <c r="B1989" s="85" t="str">
        <f>IF(A1989="","",IF(INDEX(EXTRATO!$C$2:$C$3000,MATCH($A1989,EXTRATO!$A$2:$A$3000,0))="","",INDEX(EXTRATO!$C$2:$C$3000,MATCH($A1989,EXTRATO!$A$2:$A$3000,0))))</f>
        <v/>
      </c>
      <c r="C1989" s="86" t="str">
        <f t="shared" si="48"/>
        <v/>
      </c>
      <c r="D1989" s="81"/>
      <c r="E1989" s="79"/>
      <c r="F1989" s="80" t="str">
        <f>IF(A1989="","",SUMIF(EXTRATO!$A$2:$A$3000,$A1989,EXTRATO!$J$2:$J$3000)+SUMIF(EXTRATO!$A$2:$A$3000,$A1989,EXTRATO!$K$2:$K$3000)+SUMIF(EXTRATO!$A$2:$A$3000,$A1989,EXTRATO!$L$2:$L$3000)+SUMIF(EXTRATO!$A$2:$A$3000,$A1989,EXTRATO!$M$2:$M$3000))</f>
        <v/>
      </c>
      <c r="G1989" s="81" t="str">
        <f>IF(A1989="","",IF(INDEX(EXTRATO!$G$2:$G$3000,MATCH($A1989,EXTRATO!$A$2:$A$3000,0))="","",INDEX(EXTRATO!$G$2:$G$3000,MATCH($A1989,EXTRATO!$A$2:$A$3000,0))))</f>
        <v/>
      </c>
      <c r="H1989" s="86" t="str">
        <f>IF(A1989="","",IF(INDEX(EXTRATO!$F$2:$F$3000,MATCH($A1989,EXTRATO!$A$2:$A$3000,0))="","",INDEX(EXTRATO!$F$2:$F$3000,MATCH($A1989,EXTRATO!$A$2:$A$3000,0))))</f>
        <v/>
      </c>
      <c r="I1989" s="88" t="str">
        <f>IF(A1989="","",IF(INDEX(EXTRATO!$H$2:$H$3000,MATCH($A1989,EXTRATO!$A$2:$A$3000,0))="","",INDEX(EXTRATO!$H$2:$H$3000,MATCH($A1989,EXTRATO!$A$2:$A$3000,0))))</f>
        <v/>
      </c>
      <c r="J1989" s="86" t="str">
        <f t="shared" si="49"/>
        <v/>
      </c>
      <c r="K1989" s="86" t="str">
        <f>IF(AND(A1989="",D1989="",E1989="",F1989=""),"",IF(D1989="","SEM CATEGORIA",IF(E1989="","SEM SUBCATEGORIA",IF(COUNTIFS(CADASTROS!$L$7:$L$93,D1989,CADASTROS!$D$7:$D$93,E1989)=0,"INCOMPATÍVEL","OK"))))</f>
        <v/>
      </c>
    </row>
    <row r="1990" spans="1:11" ht="30" hidden="1" customHeight="1" x14ac:dyDescent="0.25">
      <c r="A1990" s="86" t="str">
        <f>IF(COUNTIF(EXTRATO!$A$2:$A$3000,"BAN-01847")=0,"","BAN-01847")</f>
        <v/>
      </c>
      <c r="B1990" s="85" t="str">
        <f>IF(A1990="","",IF(INDEX(EXTRATO!$C$2:$C$3000,MATCH($A1990,EXTRATO!$A$2:$A$3000,0))="","",INDEX(EXTRATO!$C$2:$C$3000,MATCH($A1990,EXTRATO!$A$2:$A$3000,0))))</f>
        <v/>
      </c>
      <c r="C1990" s="86" t="str">
        <f t="shared" si="48"/>
        <v/>
      </c>
      <c r="D1990" s="81"/>
      <c r="E1990" s="79"/>
      <c r="F1990" s="80" t="str">
        <f>IF(A1990="","",SUMIF(EXTRATO!$A$2:$A$3000,$A1990,EXTRATO!$J$2:$J$3000)+SUMIF(EXTRATO!$A$2:$A$3000,$A1990,EXTRATO!$K$2:$K$3000)+SUMIF(EXTRATO!$A$2:$A$3000,$A1990,EXTRATO!$L$2:$L$3000)+SUMIF(EXTRATO!$A$2:$A$3000,$A1990,EXTRATO!$M$2:$M$3000))</f>
        <v/>
      </c>
      <c r="G1990" s="81" t="str">
        <f>IF(A1990="","",IF(INDEX(EXTRATO!$G$2:$G$3000,MATCH($A1990,EXTRATO!$A$2:$A$3000,0))="","",INDEX(EXTRATO!$G$2:$G$3000,MATCH($A1990,EXTRATO!$A$2:$A$3000,0))))</f>
        <v/>
      </c>
      <c r="H1990" s="86" t="str">
        <f>IF(A1990="","",IF(INDEX(EXTRATO!$F$2:$F$3000,MATCH($A1990,EXTRATO!$A$2:$A$3000,0))="","",INDEX(EXTRATO!$F$2:$F$3000,MATCH($A1990,EXTRATO!$A$2:$A$3000,0))))</f>
        <v/>
      </c>
      <c r="I1990" s="88" t="str">
        <f>IF(A1990="","",IF(INDEX(EXTRATO!$H$2:$H$3000,MATCH($A1990,EXTRATO!$A$2:$A$3000,0))="","",INDEX(EXTRATO!$H$2:$H$3000,MATCH($A1990,EXTRATO!$A$2:$A$3000,0))))</f>
        <v/>
      </c>
      <c r="J1990" s="86" t="str">
        <f t="shared" si="49"/>
        <v/>
      </c>
      <c r="K1990" s="86" t="str">
        <f>IF(AND(A1990="",D1990="",E1990="",F1990=""),"",IF(D1990="","SEM CATEGORIA",IF(E1990="","SEM SUBCATEGORIA",IF(COUNTIFS(CADASTROS!$L$7:$L$93,D1990,CADASTROS!$D$7:$D$93,E1990)=0,"INCOMPATÍVEL","OK"))))</f>
        <v/>
      </c>
    </row>
    <row r="1991" spans="1:11" ht="30" hidden="1" customHeight="1" x14ac:dyDescent="0.25">
      <c r="A1991" s="86" t="str">
        <f>IF(COUNTIF(EXTRATO!$A$2:$A$3000,"BAN-01848")=0,"","BAN-01848")</f>
        <v/>
      </c>
      <c r="B1991" s="85" t="str">
        <f>IF(A1991="","",IF(INDEX(EXTRATO!$C$2:$C$3000,MATCH($A1991,EXTRATO!$A$2:$A$3000,0))="","",INDEX(EXTRATO!$C$2:$C$3000,MATCH($A1991,EXTRATO!$A$2:$A$3000,0))))</f>
        <v/>
      </c>
      <c r="C1991" s="86" t="str">
        <f t="shared" si="48"/>
        <v/>
      </c>
      <c r="D1991" s="81"/>
      <c r="E1991" s="79"/>
      <c r="F1991" s="80" t="str">
        <f>IF(A1991="","",SUMIF(EXTRATO!$A$2:$A$3000,$A1991,EXTRATO!$J$2:$J$3000)+SUMIF(EXTRATO!$A$2:$A$3000,$A1991,EXTRATO!$K$2:$K$3000)+SUMIF(EXTRATO!$A$2:$A$3000,$A1991,EXTRATO!$L$2:$L$3000)+SUMIF(EXTRATO!$A$2:$A$3000,$A1991,EXTRATO!$M$2:$M$3000))</f>
        <v/>
      </c>
      <c r="G1991" s="81" t="str">
        <f>IF(A1991="","",IF(INDEX(EXTRATO!$G$2:$G$3000,MATCH($A1991,EXTRATO!$A$2:$A$3000,0))="","",INDEX(EXTRATO!$G$2:$G$3000,MATCH($A1991,EXTRATO!$A$2:$A$3000,0))))</f>
        <v/>
      </c>
      <c r="H1991" s="86" t="str">
        <f>IF(A1991="","",IF(INDEX(EXTRATO!$F$2:$F$3000,MATCH($A1991,EXTRATO!$A$2:$A$3000,0))="","",INDEX(EXTRATO!$F$2:$F$3000,MATCH($A1991,EXTRATO!$A$2:$A$3000,0))))</f>
        <v/>
      </c>
      <c r="I1991" s="88" t="str">
        <f>IF(A1991="","",IF(INDEX(EXTRATO!$H$2:$H$3000,MATCH($A1991,EXTRATO!$A$2:$A$3000,0))="","",INDEX(EXTRATO!$H$2:$H$3000,MATCH($A1991,EXTRATO!$A$2:$A$3000,0))))</f>
        <v/>
      </c>
      <c r="J1991" s="86" t="str">
        <f t="shared" si="49"/>
        <v/>
      </c>
      <c r="K1991" s="86" t="str">
        <f>IF(AND(A1991="",D1991="",E1991="",F1991=""),"",IF(D1991="","SEM CATEGORIA",IF(E1991="","SEM SUBCATEGORIA",IF(COUNTIFS(CADASTROS!$L$7:$L$93,D1991,CADASTROS!$D$7:$D$93,E1991)=0,"INCOMPATÍVEL","OK"))))</f>
        <v/>
      </c>
    </row>
    <row r="1992" spans="1:11" ht="30" hidden="1" customHeight="1" x14ac:dyDescent="0.25">
      <c r="A1992" s="86" t="str">
        <f>IF(COUNTIF(EXTRATO!$A$2:$A$3000,"BAN-01849")=0,"","BAN-01849")</f>
        <v/>
      </c>
      <c r="B1992" s="85" t="str">
        <f>IF(A1992="","",IF(INDEX(EXTRATO!$C$2:$C$3000,MATCH($A1992,EXTRATO!$A$2:$A$3000,0))="","",INDEX(EXTRATO!$C$2:$C$3000,MATCH($A1992,EXTRATO!$A$2:$A$3000,0))))</f>
        <v/>
      </c>
      <c r="C1992" s="86" t="str">
        <f t="shared" si="48"/>
        <v/>
      </c>
      <c r="D1992" s="81"/>
      <c r="E1992" s="79"/>
      <c r="F1992" s="80" t="str">
        <f>IF(A1992="","",SUMIF(EXTRATO!$A$2:$A$3000,$A1992,EXTRATO!$J$2:$J$3000)+SUMIF(EXTRATO!$A$2:$A$3000,$A1992,EXTRATO!$K$2:$K$3000)+SUMIF(EXTRATO!$A$2:$A$3000,$A1992,EXTRATO!$L$2:$L$3000)+SUMIF(EXTRATO!$A$2:$A$3000,$A1992,EXTRATO!$M$2:$M$3000))</f>
        <v/>
      </c>
      <c r="G1992" s="81" t="str">
        <f>IF(A1992="","",IF(INDEX(EXTRATO!$G$2:$G$3000,MATCH($A1992,EXTRATO!$A$2:$A$3000,0))="","",INDEX(EXTRATO!$G$2:$G$3000,MATCH($A1992,EXTRATO!$A$2:$A$3000,0))))</f>
        <v/>
      </c>
      <c r="H1992" s="86" t="str">
        <f>IF(A1992="","",IF(INDEX(EXTRATO!$F$2:$F$3000,MATCH($A1992,EXTRATO!$A$2:$A$3000,0))="","",INDEX(EXTRATO!$F$2:$F$3000,MATCH($A1992,EXTRATO!$A$2:$A$3000,0))))</f>
        <v/>
      </c>
      <c r="I1992" s="88" t="str">
        <f>IF(A1992="","",IF(INDEX(EXTRATO!$H$2:$H$3000,MATCH($A1992,EXTRATO!$A$2:$A$3000,0))="","",INDEX(EXTRATO!$H$2:$H$3000,MATCH($A1992,EXTRATO!$A$2:$A$3000,0))))</f>
        <v/>
      </c>
      <c r="J1992" s="86" t="str">
        <f t="shared" si="49"/>
        <v/>
      </c>
      <c r="K1992" s="86" t="str">
        <f>IF(AND(A1992="",D1992="",E1992="",F1992=""),"",IF(D1992="","SEM CATEGORIA",IF(E1992="","SEM SUBCATEGORIA",IF(COUNTIFS(CADASTROS!$L$7:$L$93,D1992,CADASTROS!$D$7:$D$93,E1992)=0,"INCOMPATÍVEL","OK"))))</f>
        <v/>
      </c>
    </row>
    <row r="1993" spans="1:11" ht="30" hidden="1" customHeight="1" x14ac:dyDescent="0.25">
      <c r="A1993" s="86" t="str">
        <f>IF(COUNTIF(EXTRATO!$A$2:$A$3000,"BAN-01850")=0,"","BAN-01850")</f>
        <v/>
      </c>
      <c r="B1993" s="85" t="str">
        <f>IF(A1993="","",IF(INDEX(EXTRATO!$C$2:$C$3000,MATCH($A1993,EXTRATO!$A$2:$A$3000,0))="","",INDEX(EXTRATO!$C$2:$C$3000,MATCH($A1993,EXTRATO!$A$2:$A$3000,0))))</f>
        <v/>
      </c>
      <c r="C1993" s="86" t="str">
        <f t="shared" si="48"/>
        <v/>
      </c>
      <c r="D1993" s="81"/>
      <c r="E1993" s="79"/>
      <c r="F1993" s="80" t="str">
        <f>IF(A1993="","",SUMIF(EXTRATO!$A$2:$A$3000,$A1993,EXTRATO!$J$2:$J$3000)+SUMIF(EXTRATO!$A$2:$A$3000,$A1993,EXTRATO!$K$2:$K$3000)+SUMIF(EXTRATO!$A$2:$A$3000,$A1993,EXTRATO!$L$2:$L$3000)+SUMIF(EXTRATO!$A$2:$A$3000,$A1993,EXTRATO!$M$2:$M$3000))</f>
        <v/>
      </c>
      <c r="G1993" s="81" t="str">
        <f>IF(A1993="","",IF(INDEX(EXTRATO!$G$2:$G$3000,MATCH($A1993,EXTRATO!$A$2:$A$3000,0))="","",INDEX(EXTRATO!$G$2:$G$3000,MATCH($A1993,EXTRATO!$A$2:$A$3000,0))))</f>
        <v/>
      </c>
      <c r="H1993" s="86" t="str">
        <f>IF(A1993="","",IF(INDEX(EXTRATO!$F$2:$F$3000,MATCH($A1993,EXTRATO!$A$2:$A$3000,0))="","",INDEX(EXTRATO!$F$2:$F$3000,MATCH($A1993,EXTRATO!$A$2:$A$3000,0))))</f>
        <v/>
      </c>
      <c r="I1993" s="88" t="str">
        <f>IF(A1993="","",IF(INDEX(EXTRATO!$H$2:$H$3000,MATCH($A1993,EXTRATO!$A$2:$A$3000,0))="","",INDEX(EXTRATO!$H$2:$H$3000,MATCH($A1993,EXTRATO!$A$2:$A$3000,0))))</f>
        <v/>
      </c>
      <c r="J1993" s="86" t="str">
        <f t="shared" si="49"/>
        <v/>
      </c>
      <c r="K1993" s="86" t="str">
        <f>IF(AND(A1993="",D1993="",E1993="",F1993=""),"",IF(D1993="","SEM CATEGORIA",IF(E1993="","SEM SUBCATEGORIA",IF(COUNTIFS(CADASTROS!$L$7:$L$93,D1993,CADASTROS!$D$7:$D$93,E1993)=0,"INCOMPATÍVEL","OK"))))</f>
        <v/>
      </c>
    </row>
    <row r="1994" spans="1:11" ht="30" hidden="1" customHeight="1" x14ac:dyDescent="0.25">
      <c r="A1994" s="86" t="str">
        <f>IF(COUNTIF(EXTRATO!$A$2:$A$3000,"BAN-01851")=0,"","BAN-01851")</f>
        <v/>
      </c>
      <c r="B1994" s="85" t="str">
        <f>IF(A1994="","",IF(INDEX(EXTRATO!$C$2:$C$3000,MATCH($A1994,EXTRATO!$A$2:$A$3000,0))="","",INDEX(EXTRATO!$C$2:$C$3000,MATCH($A1994,EXTRATO!$A$2:$A$3000,0))))</f>
        <v/>
      </c>
      <c r="C1994" s="86" t="str">
        <f t="shared" si="48"/>
        <v/>
      </c>
      <c r="D1994" s="81"/>
      <c r="E1994" s="79"/>
      <c r="F1994" s="80" t="str">
        <f>IF(A1994="","",SUMIF(EXTRATO!$A$2:$A$3000,$A1994,EXTRATO!$J$2:$J$3000)+SUMIF(EXTRATO!$A$2:$A$3000,$A1994,EXTRATO!$K$2:$K$3000)+SUMIF(EXTRATO!$A$2:$A$3000,$A1994,EXTRATO!$L$2:$L$3000)+SUMIF(EXTRATO!$A$2:$A$3000,$A1994,EXTRATO!$M$2:$M$3000))</f>
        <v/>
      </c>
      <c r="G1994" s="81" t="str">
        <f>IF(A1994="","",IF(INDEX(EXTRATO!$G$2:$G$3000,MATCH($A1994,EXTRATO!$A$2:$A$3000,0))="","",INDEX(EXTRATO!$G$2:$G$3000,MATCH($A1994,EXTRATO!$A$2:$A$3000,0))))</f>
        <v/>
      </c>
      <c r="H1994" s="86" t="str">
        <f>IF(A1994="","",IF(INDEX(EXTRATO!$F$2:$F$3000,MATCH($A1994,EXTRATO!$A$2:$A$3000,0))="","",INDEX(EXTRATO!$F$2:$F$3000,MATCH($A1994,EXTRATO!$A$2:$A$3000,0))))</f>
        <v/>
      </c>
      <c r="I1994" s="88" t="str">
        <f>IF(A1994="","",IF(INDEX(EXTRATO!$H$2:$H$3000,MATCH($A1994,EXTRATO!$A$2:$A$3000,0))="","",INDEX(EXTRATO!$H$2:$H$3000,MATCH($A1994,EXTRATO!$A$2:$A$3000,0))))</f>
        <v/>
      </c>
      <c r="J1994" s="86" t="str">
        <f t="shared" si="49"/>
        <v/>
      </c>
      <c r="K1994" s="86" t="str">
        <f>IF(AND(A1994="",D1994="",E1994="",F1994=""),"",IF(D1994="","SEM CATEGORIA",IF(E1994="","SEM SUBCATEGORIA",IF(COUNTIFS(CADASTROS!$L$7:$L$93,D1994,CADASTROS!$D$7:$D$93,E1994)=0,"INCOMPATÍVEL","OK"))))</f>
        <v/>
      </c>
    </row>
    <row r="1995" spans="1:11" ht="30" hidden="1" customHeight="1" x14ac:dyDescent="0.25">
      <c r="A1995" s="86" t="str">
        <f>IF(COUNTIF(EXTRATO!$A$2:$A$3000,"BAN-01852")=0,"","BAN-01852")</f>
        <v/>
      </c>
      <c r="B1995" s="85" t="str">
        <f>IF(A1995="","",IF(INDEX(EXTRATO!$C$2:$C$3000,MATCH($A1995,EXTRATO!$A$2:$A$3000,0))="","",INDEX(EXTRATO!$C$2:$C$3000,MATCH($A1995,EXTRATO!$A$2:$A$3000,0))))</f>
        <v/>
      </c>
      <c r="C1995" s="86" t="str">
        <f t="shared" si="48"/>
        <v/>
      </c>
      <c r="D1995" s="81"/>
      <c r="E1995" s="79"/>
      <c r="F1995" s="80" t="str">
        <f>IF(A1995="","",SUMIF(EXTRATO!$A$2:$A$3000,$A1995,EXTRATO!$J$2:$J$3000)+SUMIF(EXTRATO!$A$2:$A$3000,$A1995,EXTRATO!$K$2:$K$3000)+SUMIF(EXTRATO!$A$2:$A$3000,$A1995,EXTRATO!$L$2:$L$3000)+SUMIF(EXTRATO!$A$2:$A$3000,$A1995,EXTRATO!$M$2:$M$3000))</f>
        <v/>
      </c>
      <c r="G1995" s="81" t="str">
        <f>IF(A1995="","",IF(INDEX(EXTRATO!$G$2:$G$3000,MATCH($A1995,EXTRATO!$A$2:$A$3000,0))="","",INDEX(EXTRATO!$G$2:$G$3000,MATCH($A1995,EXTRATO!$A$2:$A$3000,0))))</f>
        <v/>
      </c>
      <c r="H1995" s="86" t="str">
        <f>IF(A1995="","",IF(INDEX(EXTRATO!$F$2:$F$3000,MATCH($A1995,EXTRATO!$A$2:$A$3000,0))="","",INDEX(EXTRATO!$F$2:$F$3000,MATCH($A1995,EXTRATO!$A$2:$A$3000,0))))</f>
        <v/>
      </c>
      <c r="I1995" s="88" t="str">
        <f>IF(A1995="","",IF(INDEX(EXTRATO!$H$2:$H$3000,MATCH($A1995,EXTRATO!$A$2:$A$3000,0))="","",INDEX(EXTRATO!$H$2:$H$3000,MATCH($A1995,EXTRATO!$A$2:$A$3000,0))))</f>
        <v/>
      </c>
      <c r="J1995" s="86" t="str">
        <f t="shared" si="49"/>
        <v/>
      </c>
      <c r="K1995" s="86" t="str">
        <f>IF(AND(A1995="",D1995="",E1995="",F1995=""),"",IF(D1995="","SEM CATEGORIA",IF(E1995="","SEM SUBCATEGORIA",IF(COUNTIFS(CADASTROS!$L$7:$L$93,D1995,CADASTROS!$D$7:$D$93,E1995)=0,"INCOMPATÍVEL","OK"))))</f>
        <v/>
      </c>
    </row>
    <row r="1996" spans="1:11" ht="30" hidden="1" customHeight="1" x14ac:dyDescent="0.25">
      <c r="A1996" s="86" t="str">
        <f>IF(COUNTIF(EXTRATO!$A$2:$A$3000,"BAN-01853")=0,"","BAN-01853")</f>
        <v/>
      </c>
      <c r="B1996" s="85" t="str">
        <f>IF(A1996="","",IF(INDEX(EXTRATO!$C$2:$C$3000,MATCH($A1996,EXTRATO!$A$2:$A$3000,0))="","",INDEX(EXTRATO!$C$2:$C$3000,MATCH($A1996,EXTRATO!$A$2:$A$3000,0))))</f>
        <v/>
      </c>
      <c r="C1996" s="86" t="str">
        <f t="shared" si="48"/>
        <v/>
      </c>
      <c r="D1996" s="81"/>
      <c r="E1996" s="79"/>
      <c r="F1996" s="80" t="str">
        <f>IF(A1996="","",SUMIF(EXTRATO!$A$2:$A$3000,$A1996,EXTRATO!$J$2:$J$3000)+SUMIF(EXTRATO!$A$2:$A$3000,$A1996,EXTRATO!$K$2:$K$3000)+SUMIF(EXTRATO!$A$2:$A$3000,$A1996,EXTRATO!$L$2:$L$3000)+SUMIF(EXTRATO!$A$2:$A$3000,$A1996,EXTRATO!$M$2:$M$3000))</f>
        <v/>
      </c>
      <c r="G1996" s="81" t="str">
        <f>IF(A1996="","",IF(INDEX(EXTRATO!$G$2:$G$3000,MATCH($A1996,EXTRATO!$A$2:$A$3000,0))="","",INDEX(EXTRATO!$G$2:$G$3000,MATCH($A1996,EXTRATO!$A$2:$A$3000,0))))</f>
        <v/>
      </c>
      <c r="H1996" s="86" t="str">
        <f>IF(A1996="","",IF(INDEX(EXTRATO!$F$2:$F$3000,MATCH($A1996,EXTRATO!$A$2:$A$3000,0))="","",INDEX(EXTRATO!$F$2:$F$3000,MATCH($A1996,EXTRATO!$A$2:$A$3000,0))))</f>
        <v/>
      </c>
      <c r="I1996" s="88" t="str">
        <f>IF(A1996="","",IF(INDEX(EXTRATO!$H$2:$H$3000,MATCH($A1996,EXTRATO!$A$2:$A$3000,0))="","",INDEX(EXTRATO!$H$2:$H$3000,MATCH($A1996,EXTRATO!$A$2:$A$3000,0))))</f>
        <v/>
      </c>
      <c r="J1996" s="86" t="str">
        <f t="shared" si="49"/>
        <v/>
      </c>
      <c r="K1996" s="86" t="str">
        <f>IF(AND(A1996="",D1996="",E1996="",F1996=""),"",IF(D1996="","SEM CATEGORIA",IF(E1996="","SEM SUBCATEGORIA",IF(COUNTIFS(CADASTROS!$L$7:$L$93,D1996,CADASTROS!$D$7:$D$93,E1996)=0,"INCOMPATÍVEL","OK"))))</f>
        <v/>
      </c>
    </row>
    <row r="1997" spans="1:11" ht="30" hidden="1" customHeight="1" x14ac:dyDescent="0.25">
      <c r="A1997" s="86" t="str">
        <f>IF(COUNTIF(EXTRATO!$A$2:$A$3000,"BAN-01854")=0,"","BAN-01854")</f>
        <v/>
      </c>
      <c r="B1997" s="85" t="str">
        <f>IF(A1997="","",IF(INDEX(EXTRATO!$C$2:$C$3000,MATCH($A1997,EXTRATO!$A$2:$A$3000,0))="","",INDEX(EXTRATO!$C$2:$C$3000,MATCH($A1997,EXTRATO!$A$2:$A$3000,0))))</f>
        <v/>
      </c>
      <c r="C1997" s="86" t="str">
        <f t="shared" si="48"/>
        <v/>
      </c>
      <c r="D1997" s="81"/>
      <c r="E1997" s="79"/>
      <c r="F1997" s="80" t="str">
        <f>IF(A1997="","",SUMIF(EXTRATO!$A$2:$A$3000,$A1997,EXTRATO!$J$2:$J$3000)+SUMIF(EXTRATO!$A$2:$A$3000,$A1997,EXTRATO!$K$2:$K$3000)+SUMIF(EXTRATO!$A$2:$A$3000,$A1997,EXTRATO!$L$2:$L$3000)+SUMIF(EXTRATO!$A$2:$A$3000,$A1997,EXTRATO!$M$2:$M$3000))</f>
        <v/>
      </c>
      <c r="G1997" s="81" t="str">
        <f>IF(A1997="","",IF(INDEX(EXTRATO!$G$2:$G$3000,MATCH($A1997,EXTRATO!$A$2:$A$3000,0))="","",INDEX(EXTRATO!$G$2:$G$3000,MATCH($A1997,EXTRATO!$A$2:$A$3000,0))))</f>
        <v/>
      </c>
      <c r="H1997" s="86" t="str">
        <f>IF(A1997="","",IF(INDEX(EXTRATO!$F$2:$F$3000,MATCH($A1997,EXTRATO!$A$2:$A$3000,0))="","",INDEX(EXTRATO!$F$2:$F$3000,MATCH($A1997,EXTRATO!$A$2:$A$3000,0))))</f>
        <v/>
      </c>
      <c r="I1997" s="88" t="str">
        <f>IF(A1997="","",IF(INDEX(EXTRATO!$H$2:$H$3000,MATCH($A1997,EXTRATO!$A$2:$A$3000,0))="","",INDEX(EXTRATO!$H$2:$H$3000,MATCH($A1997,EXTRATO!$A$2:$A$3000,0))))</f>
        <v/>
      </c>
      <c r="J1997" s="86" t="str">
        <f t="shared" si="49"/>
        <v/>
      </c>
      <c r="K1997" s="86" t="str">
        <f>IF(AND(A1997="",D1997="",E1997="",F1997=""),"",IF(D1997="","SEM CATEGORIA",IF(E1997="","SEM SUBCATEGORIA",IF(COUNTIFS(CADASTROS!$L$7:$L$93,D1997,CADASTROS!$D$7:$D$93,E1997)=0,"INCOMPATÍVEL","OK"))))</f>
        <v/>
      </c>
    </row>
    <row r="1998" spans="1:11" ht="30" hidden="1" customHeight="1" x14ac:dyDescent="0.25">
      <c r="A1998" s="86" t="str">
        <f>IF(COUNTIF(EXTRATO!$A$2:$A$3000,"BAN-01855")=0,"","BAN-01855")</f>
        <v/>
      </c>
      <c r="B1998" s="85" t="str">
        <f>IF(A1998="","",IF(INDEX(EXTRATO!$C$2:$C$3000,MATCH($A1998,EXTRATO!$A$2:$A$3000,0))="","",INDEX(EXTRATO!$C$2:$C$3000,MATCH($A1998,EXTRATO!$A$2:$A$3000,0))))</f>
        <v/>
      </c>
      <c r="C1998" s="86" t="str">
        <f t="shared" si="48"/>
        <v/>
      </c>
      <c r="D1998" s="81"/>
      <c r="E1998" s="79"/>
      <c r="F1998" s="80" t="str">
        <f>IF(A1998="","",SUMIF(EXTRATO!$A$2:$A$3000,$A1998,EXTRATO!$J$2:$J$3000)+SUMIF(EXTRATO!$A$2:$A$3000,$A1998,EXTRATO!$K$2:$K$3000)+SUMIF(EXTRATO!$A$2:$A$3000,$A1998,EXTRATO!$L$2:$L$3000)+SUMIF(EXTRATO!$A$2:$A$3000,$A1998,EXTRATO!$M$2:$M$3000))</f>
        <v/>
      </c>
      <c r="G1998" s="81" t="str">
        <f>IF(A1998="","",IF(INDEX(EXTRATO!$G$2:$G$3000,MATCH($A1998,EXTRATO!$A$2:$A$3000,0))="","",INDEX(EXTRATO!$G$2:$G$3000,MATCH($A1998,EXTRATO!$A$2:$A$3000,0))))</f>
        <v/>
      </c>
      <c r="H1998" s="86" t="str">
        <f>IF(A1998="","",IF(INDEX(EXTRATO!$F$2:$F$3000,MATCH($A1998,EXTRATO!$A$2:$A$3000,0))="","",INDEX(EXTRATO!$F$2:$F$3000,MATCH($A1998,EXTRATO!$A$2:$A$3000,0))))</f>
        <v/>
      </c>
      <c r="I1998" s="88" t="str">
        <f>IF(A1998="","",IF(INDEX(EXTRATO!$H$2:$H$3000,MATCH($A1998,EXTRATO!$A$2:$A$3000,0))="","",INDEX(EXTRATO!$H$2:$H$3000,MATCH($A1998,EXTRATO!$A$2:$A$3000,0))))</f>
        <v/>
      </c>
      <c r="J1998" s="86" t="str">
        <f t="shared" si="49"/>
        <v/>
      </c>
      <c r="K1998" s="86" t="str">
        <f>IF(AND(A1998="",D1998="",E1998="",F1998=""),"",IF(D1998="","SEM CATEGORIA",IF(E1998="","SEM SUBCATEGORIA",IF(COUNTIFS(CADASTROS!$L$7:$L$93,D1998,CADASTROS!$D$7:$D$93,E1998)=0,"INCOMPATÍVEL","OK"))))</f>
        <v/>
      </c>
    </row>
    <row r="1999" spans="1:11" ht="30" hidden="1" customHeight="1" x14ac:dyDescent="0.25">
      <c r="A1999" s="86" t="str">
        <f>IF(COUNTIF(EXTRATO!$A$2:$A$3000,"BAN-01856")=0,"","BAN-01856")</f>
        <v/>
      </c>
      <c r="B1999" s="85" t="str">
        <f>IF(A1999="","",IF(INDEX(EXTRATO!$C$2:$C$3000,MATCH($A1999,EXTRATO!$A$2:$A$3000,0))="","",INDEX(EXTRATO!$C$2:$C$3000,MATCH($A1999,EXTRATO!$A$2:$A$3000,0))))</f>
        <v/>
      </c>
      <c r="C1999" s="86" t="str">
        <f t="shared" si="48"/>
        <v/>
      </c>
      <c r="D1999" s="81"/>
      <c r="E1999" s="79"/>
      <c r="F1999" s="80" t="str">
        <f>IF(A1999="","",SUMIF(EXTRATO!$A$2:$A$3000,$A1999,EXTRATO!$J$2:$J$3000)+SUMIF(EXTRATO!$A$2:$A$3000,$A1999,EXTRATO!$K$2:$K$3000)+SUMIF(EXTRATO!$A$2:$A$3000,$A1999,EXTRATO!$L$2:$L$3000)+SUMIF(EXTRATO!$A$2:$A$3000,$A1999,EXTRATO!$M$2:$M$3000))</f>
        <v/>
      </c>
      <c r="G1999" s="81" t="str">
        <f>IF(A1999="","",IF(INDEX(EXTRATO!$G$2:$G$3000,MATCH($A1999,EXTRATO!$A$2:$A$3000,0))="","",INDEX(EXTRATO!$G$2:$G$3000,MATCH($A1999,EXTRATO!$A$2:$A$3000,0))))</f>
        <v/>
      </c>
      <c r="H1999" s="86" t="str">
        <f>IF(A1999="","",IF(INDEX(EXTRATO!$F$2:$F$3000,MATCH($A1999,EXTRATO!$A$2:$A$3000,0))="","",INDEX(EXTRATO!$F$2:$F$3000,MATCH($A1999,EXTRATO!$A$2:$A$3000,0))))</f>
        <v/>
      </c>
      <c r="I1999" s="88" t="str">
        <f>IF(A1999="","",IF(INDEX(EXTRATO!$H$2:$H$3000,MATCH($A1999,EXTRATO!$A$2:$A$3000,0))="","",INDEX(EXTRATO!$H$2:$H$3000,MATCH($A1999,EXTRATO!$A$2:$A$3000,0))))</f>
        <v/>
      </c>
      <c r="J1999" s="86" t="str">
        <f t="shared" si="49"/>
        <v/>
      </c>
      <c r="K1999" s="86" t="str">
        <f>IF(AND(A1999="",D1999="",E1999="",F1999=""),"",IF(D1999="","SEM CATEGORIA",IF(E1999="","SEM SUBCATEGORIA",IF(COUNTIFS(CADASTROS!$L$7:$L$93,D1999,CADASTROS!$D$7:$D$93,E1999)=0,"INCOMPATÍVEL","OK"))))</f>
        <v/>
      </c>
    </row>
    <row r="2000" spans="1:11" ht="30" hidden="1" customHeight="1" x14ac:dyDescent="0.25">
      <c r="A2000" s="86" t="str">
        <f>IF(COUNTIF(EXTRATO!$A$2:$A$3000,"BAN-01857")=0,"","BAN-01857")</f>
        <v/>
      </c>
      <c r="B2000" s="85" t="str">
        <f>IF(A2000="","",IF(INDEX(EXTRATO!$C$2:$C$3000,MATCH($A2000,EXTRATO!$A$2:$A$3000,0))="","",INDEX(EXTRATO!$C$2:$C$3000,MATCH($A2000,EXTRATO!$A$2:$A$3000,0))))</f>
        <v/>
      </c>
      <c r="C2000" s="86" t="str">
        <f t="shared" si="48"/>
        <v/>
      </c>
      <c r="D2000" s="81"/>
      <c r="E2000" s="79"/>
      <c r="F2000" s="80" t="str">
        <f>IF(A2000="","",SUMIF(EXTRATO!$A$2:$A$3000,$A2000,EXTRATO!$J$2:$J$3000)+SUMIF(EXTRATO!$A$2:$A$3000,$A2000,EXTRATO!$K$2:$K$3000)+SUMIF(EXTRATO!$A$2:$A$3000,$A2000,EXTRATO!$L$2:$L$3000)+SUMIF(EXTRATO!$A$2:$A$3000,$A2000,EXTRATO!$M$2:$M$3000))</f>
        <v/>
      </c>
      <c r="G2000" s="81" t="str">
        <f>IF(A2000="","",IF(INDEX(EXTRATO!$G$2:$G$3000,MATCH($A2000,EXTRATO!$A$2:$A$3000,0))="","",INDEX(EXTRATO!$G$2:$G$3000,MATCH($A2000,EXTRATO!$A$2:$A$3000,0))))</f>
        <v/>
      </c>
      <c r="H2000" s="86" t="str">
        <f>IF(A2000="","",IF(INDEX(EXTRATO!$F$2:$F$3000,MATCH($A2000,EXTRATO!$A$2:$A$3000,0))="","",INDEX(EXTRATO!$F$2:$F$3000,MATCH($A2000,EXTRATO!$A$2:$A$3000,0))))</f>
        <v/>
      </c>
      <c r="I2000" s="88" t="str">
        <f>IF(A2000="","",IF(INDEX(EXTRATO!$H$2:$H$3000,MATCH($A2000,EXTRATO!$A$2:$A$3000,0))="","",INDEX(EXTRATO!$H$2:$H$3000,MATCH($A2000,EXTRATO!$A$2:$A$3000,0))))</f>
        <v/>
      </c>
      <c r="J2000" s="86" t="str">
        <f t="shared" si="49"/>
        <v/>
      </c>
      <c r="K2000" s="86" t="str">
        <f>IF(AND(A2000="",D2000="",E2000="",F2000=""),"",IF(D2000="","SEM CATEGORIA",IF(E2000="","SEM SUBCATEGORIA",IF(COUNTIFS(CADASTROS!$L$7:$L$93,D2000,CADASTROS!$D$7:$D$93,E2000)=0,"INCOMPATÍVEL","OK"))))</f>
        <v/>
      </c>
    </row>
    <row r="2001" spans="1:11" ht="30" hidden="1" customHeight="1" x14ac:dyDescent="0.25">
      <c r="A2001" s="86" t="str">
        <f>IF(COUNTIF(EXTRATO!$A$2:$A$3000,"BAN-01858")=0,"","BAN-01858")</f>
        <v/>
      </c>
      <c r="B2001" s="85" t="str">
        <f>IF(A2001="","",IF(INDEX(EXTRATO!$C$2:$C$3000,MATCH($A2001,EXTRATO!$A$2:$A$3000,0))="","",INDEX(EXTRATO!$C$2:$C$3000,MATCH($A2001,EXTRATO!$A$2:$A$3000,0))))</f>
        <v/>
      </c>
      <c r="C2001" s="86" t="str">
        <f t="shared" si="48"/>
        <v/>
      </c>
      <c r="D2001" s="81"/>
      <c r="E2001" s="79"/>
      <c r="F2001" s="80" t="str">
        <f>IF(A2001="","",SUMIF(EXTRATO!$A$2:$A$3000,$A2001,EXTRATO!$J$2:$J$3000)+SUMIF(EXTRATO!$A$2:$A$3000,$A2001,EXTRATO!$K$2:$K$3000)+SUMIF(EXTRATO!$A$2:$A$3000,$A2001,EXTRATO!$L$2:$L$3000)+SUMIF(EXTRATO!$A$2:$A$3000,$A2001,EXTRATO!$M$2:$M$3000))</f>
        <v/>
      </c>
      <c r="G2001" s="81" t="str">
        <f>IF(A2001="","",IF(INDEX(EXTRATO!$G$2:$G$3000,MATCH($A2001,EXTRATO!$A$2:$A$3000,0))="","",INDEX(EXTRATO!$G$2:$G$3000,MATCH($A2001,EXTRATO!$A$2:$A$3000,0))))</f>
        <v/>
      </c>
      <c r="H2001" s="86" t="str">
        <f>IF(A2001="","",IF(INDEX(EXTRATO!$F$2:$F$3000,MATCH($A2001,EXTRATO!$A$2:$A$3000,0))="","",INDEX(EXTRATO!$F$2:$F$3000,MATCH($A2001,EXTRATO!$A$2:$A$3000,0))))</f>
        <v/>
      </c>
      <c r="I2001" s="88" t="str">
        <f>IF(A2001="","",IF(INDEX(EXTRATO!$H$2:$H$3000,MATCH($A2001,EXTRATO!$A$2:$A$3000,0))="","",INDEX(EXTRATO!$H$2:$H$3000,MATCH($A2001,EXTRATO!$A$2:$A$3000,0))))</f>
        <v/>
      </c>
      <c r="J2001" s="86" t="str">
        <f t="shared" si="49"/>
        <v/>
      </c>
      <c r="K2001" s="86" t="str">
        <f>IF(AND(A2001="",D2001="",E2001="",F2001=""),"",IF(D2001="","SEM CATEGORIA",IF(E2001="","SEM SUBCATEGORIA",IF(COUNTIFS(CADASTROS!$L$7:$L$93,D2001,CADASTROS!$D$7:$D$93,E2001)=0,"INCOMPATÍVEL","OK"))))</f>
        <v/>
      </c>
    </row>
    <row r="2002" spans="1:11" ht="30" hidden="1" customHeight="1" x14ac:dyDescent="0.25">
      <c r="A2002" s="86" t="str">
        <f>IF(COUNTIF(EXTRATO!$A$2:$A$3000,"BAN-01859")=0,"","BAN-01859")</f>
        <v/>
      </c>
      <c r="B2002" s="85" t="str">
        <f>IF(A2002="","",IF(INDEX(EXTRATO!$C$2:$C$3000,MATCH($A2002,EXTRATO!$A$2:$A$3000,0))="","",INDEX(EXTRATO!$C$2:$C$3000,MATCH($A2002,EXTRATO!$A$2:$A$3000,0))))</f>
        <v/>
      </c>
      <c r="C2002" s="86" t="str">
        <f t="shared" si="48"/>
        <v/>
      </c>
      <c r="D2002" s="81"/>
      <c r="E2002" s="79"/>
      <c r="F2002" s="80" t="str">
        <f>IF(A2002="","",SUMIF(EXTRATO!$A$2:$A$3000,$A2002,EXTRATO!$J$2:$J$3000)+SUMIF(EXTRATO!$A$2:$A$3000,$A2002,EXTRATO!$K$2:$K$3000)+SUMIF(EXTRATO!$A$2:$A$3000,$A2002,EXTRATO!$L$2:$L$3000)+SUMIF(EXTRATO!$A$2:$A$3000,$A2002,EXTRATO!$M$2:$M$3000))</f>
        <v/>
      </c>
      <c r="G2002" s="81" t="str">
        <f>IF(A2002="","",IF(INDEX(EXTRATO!$G$2:$G$3000,MATCH($A2002,EXTRATO!$A$2:$A$3000,0))="","",INDEX(EXTRATO!$G$2:$G$3000,MATCH($A2002,EXTRATO!$A$2:$A$3000,0))))</f>
        <v/>
      </c>
      <c r="H2002" s="86" t="str">
        <f>IF(A2002="","",IF(INDEX(EXTRATO!$F$2:$F$3000,MATCH($A2002,EXTRATO!$A$2:$A$3000,0))="","",INDEX(EXTRATO!$F$2:$F$3000,MATCH($A2002,EXTRATO!$A$2:$A$3000,0))))</f>
        <v/>
      </c>
      <c r="I2002" s="88" t="str">
        <f>IF(A2002="","",IF(INDEX(EXTRATO!$H$2:$H$3000,MATCH($A2002,EXTRATO!$A$2:$A$3000,0))="","",INDEX(EXTRATO!$H$2:$H$3000,MATCH($A2002,EXTRATO!$A$2:$A$3000,0))))</f>
        <v/>
      </c>
      <c r="J2002" s="86" t="str">
        <f t="shared" si="49"/>
        <v/>
      </c>
      <c r="K2002" s="86" t="str">
        <f>IF(AND(A2002="",D2002="",E2002="",F2002=""),"",IF(D2002="","SEM CATEGORIA",IF(E2002="","SEM SUBCATEGORIA",IF(COUNTIFS(CADASTROS!$L$7:$L$93,D2002,CADASTROS!$D$7:$D$93,E2002)=0,"INCOMPATÍVEL","OK"))))</f>
        <v/>
      </c>
    </row>
    <row r="2003" spans="1:11" ht="30" hidden="1" customHeight="1" x14ac:dyDescent="0.25">
      <c r="A2003" s="86" t="str">
        <f>IF(COUNTIF(EXTRATO!$A$2:$A$3000,"BAN-01860")=0,"","BAN-01860")</f>
        <v/>
      </c>
      <c r="B2003" s="85" t="str">
        <f>IF(A2003="","",IF(INDEX(EXTRATO!$C$2:$C$3000,MATCH($A2003,EXTRATO!$A$2:$A$3000,0))="","",INDEX(EXTRATO!$C$2:$C$3000,MATCH($A2003,EXTRATO!$A$2:$A$3000,0))))</f>
        <v/>
      </c>
      <c r="C2003" s="86" t="str">
        <f t="shared" si="48"/>
        <v/>
      </c>
      <c r="D2003" s="81"/>
      <c r="E2003" s="79"/>
      <c r="F2003" s="80" t="str">
        <f>IF(A2003="","",SUMIF(EXTRATO!$A$2:$A$3000,$A2003,EXTRATO!$J$2:$J$3000)+SUMIF(EXTRATO!$A$2:$A$3000,$A2003,EXTRATO!$K$2:$K$3000)+SUMIF(EXTRATO!$A$2:$A$3000,$A2003,EXTRATO!$L$2:$L$3000)+SUMIF(EXTRATO!$A$2:$A$3000,$A2003,EXTRATO!$M$2:$M$3000))</f>
        <v/>
      </c>
      <c r="G2003" s="81" t="str">
        <f>IF(A2003="","",IF(INDEX(EXTRATO!$G$2:$G$3000,MATCH($A2003,EXTRATO!$A$2:$A$3000,0))="","",INDEX(EXTRATO!$G$2:$G$3000,MATCH($A2003,EXTRATO!$A$2:$A$3000,0))))</f>
        <v/>
      </c>
      <c r="H2003" s="86" t="str">
        <f>IF(A2003="","",IF(INDEX(EXTRATO!$F$2:$F$3000,MATCH($A2003,EXTRATO!$A$2:$A$3000,0))="","",INDEX(EXTRATO!$F$2:$F$3000,MATCH($A2003,EXTRATO!$A$2:$A$3000,0))))</f>
        <v/>
      </c>
      <c r="I2003" s="88" t="str">
        <f>IF(A2003="","",IF(INDEX(EXTRATO!$H$2:$H$3000,MATCH($A2003,EXTRATO!$A$2:$A$3000,0))="","",INDEX(EXTRATO!$H$2:$H$3000,MATCH($A2003,EXTRATO!$A$2:$A$3000,0))))</f>
        <v/>
      </c>
      <c r="J2003" s="86" t="str">
        <f t="shared" si="49"/>
        <v/>
      </c>
      <c r="K2003" s="86" t="str">
        <f>IF(AND(A2003="",D2003="",E2003="",F2003=""),"",IF(D2003="","SEM CATEGORIA",IF(E2003="","SEM SUBCATEGORIA",IF(COUNTIFS(CADASTROS!$L$7:$L$93,D2003,CADASTROS!$D$7:$D$93,E2003)=0,"INCOMPATÍVEL","OK"))))</f>
        <v/>
      </c>
    </row>
    <row r="2004" spans="1:11" ht="30" hidden="1" customHeight="1" x14ac:dyDescent="0.25">
      <c r="A2004" s="86" t="str">
        <f>IF(COUNTIF(EXTRATO!$A$2:$A$3000,"BAN-01861")=0,"","BAN-01861")</f>
        <v/>
      </c>
      <c r="B2004" s="85" t="str">
        <f>IF(A2004="","",IF(INDEX(EXTRATO!$C$2:$C$3000,MATCH($A2004,EXTRATO!$A$2:$A$3000,0))="","",INDEX(EXTRATO!$C$2:$C$3000,MATCH($A2004,EXTRATO!$A$2:$A$3000,0))))</f>
        <v/>
      </c>
      <c r="C2004" s="86" t="str">
        <f t="shared" si="48"/>
        <v/>
      </c>
      <c r="D2004" s="81"/>
      <c r="E2004" s="79"/>
      <c r="F2004" s="80" t="str">
        <f>IF(A2004="","",SUMIF(EXTRATO!$A$2:$A$3000,$A2004,EXTRATO!$J$2:$J$3000)+SUMIF(EXTRATO!$A$2:$A$3000,$A2004,EXTRATO!$K$2:$K$3000)+SUMIF(EXTRATO!$A$2:$A$3000,$A2004,EXTRATO!$L$2:$L$3000)+SUMIF(EXTRATO!$A$2:$A$3000,$A2004,EXTRATO!$M$2:$M$3000))</f>
        <v/>
      </c>
      <c r="G2004" s="81" t="str">
        <f>IF(A2004="","",IF(INDEX(EXTRATO!$G$2:$G$3000,MATCH($A2004,EXTRATO!$A$2:$A$3000,0))="","",INDEX(EXTRATO!$G$2:$G$3000,MATCH($A2004,EXTRATO!$A$2:$A$3000,0))))</f>
        <v/>
      </c>
      <c r="H2004" s="86" t="str">
        <f>IF(A2004="","",IF(INDEX(EXTRATO!$F$2:$F$3000,MATCH($A2004,EXTRATO!$A$2:$A$3000,0))="","",INDEX(EXTRATO!$F$2:$F$3000,MATCH($A2004,EXTRATO!$A$2:$A$3000,0))))</f>
        <v/>
      </c>
      <c r="I2004" s="88" t="str">
        <f>IF(A2004="","",IF(INDEX(EXTRATO!$H$2:$H$3000,MATCH($A2004,EXTRATO!$A$2:$A$3000,0))="","",INDEX(EXTRATO!$H$2:$H$3000,MATCH($A2004,EXTRATO!$A$2:$A$3000,0))))</f>
        <v/>
      </c>
      <c r="J2004" s="86" t="str">
        <f t="shared" si="49"/>
        <v/>
      </c>
      <c r="K2004" s="86" t="str">
        <f>IF(AND(A2004="",D2004="",E2004="",F2004=""),"",IF(D2004="","SEM CATEGORIA",IF(E2004="","SEM SUBCATEGORIA",IF(COUNTIFS(CADASTROS!$L$7:$L$93,D2004,CADASTROS!$D$7:$D$93,E2004)=0,"INCOMPATÍVEL","OK"))))</f>
        <v/>
      </c>
    </row>
    <row r="2005" spans="1:11" ht="30" hidden="1" customHeight="1" x14ac:dyDescent="0.25">
      <c r="A2005" s="86" t="str">
        <f>IF(COUNTIF(EXTRATO!$A$2:$A$3000,"BAN-01862")=0,"","BAN-01862")</f>
        <v/>
      </c>
      <c r="B2005" s="85" t="str">
        <f>IF(A2005="","",IF(INDEX(EXTRATO!$C$2:$C$3000,MATCH($A2005,EXTRATO!$A$2:$A$3000,0))="","",INDEX(EXTRATO!$C$2:$C$3000,MATCH($A2005,EXTRATO!$A$2:$A$3000,0))))</f>
        <v/>
      </c>
      <c r="C2005" s="86" t="str">
        <f t="shared" ref="C2005:C2068" si="50">IF(B2005="","",MONTH(B2005))</f>
        <v/>
      </c>
      <c r="D2005" s="81"/>
      <c r="E2005" s="79"/>
      <c r="F2005" s="80" t="str">
        <f>IF(A2005="","",SUMIF(EXTRATO!$A$2:$A$3000,$A2005,EXTRATO!$J$2:$J$3000)+SUMIF(EXTRATO!$A$2:$A$3000,$A2005,EXTRATO!$K$2:$K$3000)+SUMIF(EXTRATO!$A$2:$A$3000,$A2005,EXTRATO!$L$2:$L$3000)+SUMIF(EXTRATO!$A$2:$A$3000,$A2005,EXTRATO!$M$2:$M$3000))</f>
        <v/>
      </c>
      <c r="G2005" s="81" t="str">
        <f>IF(A2005="","",IF(INDEX(EXTRATO!$G$2:$G$3000,MATCH($A2005,EXTRATO!$A$2:$A$3000,0))="","",INDEX(EXTRATO!$G$2:$G$3000,MATCH($A2005,EXTRATO!$A$2:$A$3000,0))))</f>
        <v/>
      </c>
      <c r="H2005" s="86" t="str">
        <f>IF(A2005="","",IF(INDEX(EXTRATO!$F$2:$F$3000,MATCH($A2005,EXTRATO!$A$2:$A$3000,0))="","",INDEX(EXTRATO!$F$2:$F$3000,MATCH($A2005,EXTRATO!$A$2:$A$3000,0))))</f>
        <v/>
      </c>
      <c r="I2005" s="88" t="str">
        <f>IF(A2005="","",IF(INDEX(EXTRATO!$H$2:$H$3000,MATCH($A2005,EXTRATO!$A$2:$A$3000,0))="","",INDEX(EXTRATO!$H$2:$H$3000,MATCH($A2005,EXTRATO!$A$2:$A$3000,0))))</f>
        <v/>
      </c>
      <c r="J2005" s="86" t="str">
        <f t="shared" si="49"/>
        <v/>
      </c>
      <c r="K2005" s="86" t="str">
        <f>IF(AND(A2005="",D2005="",E2005="",F2005=""),"",IF(D2005="","SEM CATEGORIA",IF(E2005="","SEM SUBCATEGORIA",IF(COUNTIFS(CADASTROS!$L$7:$L$93,D2005,CADASTROS!$D$7:$D$93,E2005)=0,"INCOMPATÍVEL","OK"))))</f>
        <v/>
      </c>
    </row>
    <row r="2006" spans="1:11" ht="30" hidden="1" customHeight="1" x14ac:dyDescent="0.25">
      <c r="A2006" s="86" t="str">
        <f>IF(COUNTIF(EXTRATO!$A$2:$A$3000,"BAN-01863")=0,"","BAN-01863")</f>
        <v/>
      </c>
      <c r="B2006" s="85" t="str">
        <f>IF(A2006="","",IF(INDEX(EXTRATO!$C$2:$C$3000,MATCH($A2006,EXTRATO!$A$2:$A$3000,0))="","",INDEX(EXTRATO!$C$2:$C$3000,MATCH($A2006,EXTRATO!$A$2:$A$3000,0))))</f>
        <v/>
      </c>
      <c r="C2006" s="86" t="str">
        <f t="shared" si="50"/>
        <v/>
      </c>
      <c r="D2006" s="81"/>
      <c r="E2006" s="79"/>
      <c r="F2006" s="80" t="str">
        <f>IF(A2006="","",SUMIF(EXTRATO!$A$2:$A$3000,$A2006,EXTRATO!$J$2:$J$3000)+SUMIF(EXTRATO!$A$2:$A$3000,$A2006,EXTRATO!$K$2:$K$3000)+SUMIF(EXTRATO!$A$2:$A$3000,$A2006,EXTRATO!$L$2:$L$3000)+SUMIF(EXTRATO!$A$2:$A$3000,$A2006,EXTRATO!$M$2:$M$3000))</f>
        <v/>
      </c>
      <c r="G2006" s="81" t="str">
        <f>IF(A2006="","",IF(INDEX(EXTRATO!$G$2:$G$3000,MATCH($A2006,EXTRATO!$A$2:$A$3000,0))="","",INDEX(EXTRATO!$G$2:$G$3000,MATCH($A2006,EXTRATO!$A$2:$A$3000,0))))</f>
        <v/>
      </c>
      <c r="H2006" s="86" t="str">
        <f>IF(A2006="","",IF(INDEX(EXTRATO!$F$2:$F$3000,MATCH($A2006,EXTRATO!$A$2:$A$3000,0))="","",INDEX(EXTRATO!$F$2:$F$3000,MATCH($A2006,EXTRATO!$A$2:$A$3000,0))))</f>
        <v/>
      </c>
      <c r="I2006" s="88" t="str">
        <f>IF(A2006="","",IF(INDEX(EXTRATO!$H$2:$H$3000,MATCH($A2006,EXTRATO!$A$2:$A$3000,0))="","",INDEX(EXTRATO!$H$2:$H$3000,MATCH($A2006,EXTRATO!$A$2:$A$3000,0))))</f>
        <v/>
      </c>
      <c r="J2006" s="86" t="str">
        <f t="shared" si="49"/>
        <v/>
      </c>
      <c r="K2006" s="86" t="str">
        <f>IF(AND(A2006="",D2006="",E2006="",F2006=""),"",IF(D2006="","SEM CATEGORIA",IF(E2006="","SEM SUBCATEGORIA",IF(COUNTIFS(CADASTROS!$L$7:$L$93,D2006,CADASTROS!$D$7:$D$93,E2006)=0,"INCOMPATÍVEL","OK"))))</f>
        <v/>
      </c>
    </row>
    <row r="2007" spans="1:11" ht="30" hidden="1" customHeight="1" x14ac:dyDescent="0.25">
      <c r="A2007" s="86" t="str">
        <f>IF(COUNTIF(EXTRATO!$A$2:$A$3000,"BAN-01864")=0,"","BAN-01864")</f>
        <v/>
      </c>
      <c r="B2007" s="85" t="str">
        <f>IF(A2007="","",IF(INDEX(EXTRATO!$C$2:$C$3000,MATCH($A2007,EXTRATO!$A$2:$A$3000,0))="","",INDEX(EXTRATO!$C$2:$C$3000,MATCH($A2007,EXTRATO!$A$2:$A$3000,0))))</f>
        <v/>
      </c>
      <c r="C2007" s="86" t="str">
        <f t="shared" si="50"/>
        <v/>
      </c>
      <c r="D2007" s="81"/>
      <c r="E2007" s="79"/>
      <c r="F2007" s="80" t="str">
        <f>IF(A2007="","",SUMIF(EXTRATO!$A$2:$A$3000,$A2007,EXTRATO!$J$2:$J$3000)+SUMIF(EXTRATO!$A$2:$A$3000,$A2007,EXTRATO!$K$2:$K$3000)+SUMIF(EXTRATO!$A$2:$A$3000,$A2007,EXTRATO!$L$2:$L$3000)+SUMIF(EXTRATO!$A$2:$A$3000,$A2007,EXTRATO!$M$2:$M$3000))</f>
        <v/>
      </c>
      <c r="G2007" s="81" t="str">
        <f>IF(A2007="","",IF(INDEX(EXTRATO!$G$2:$G$3000,MATCH($A2007,EXTRATO!$A$2:$A$3000,0))="","",INDEX(EXTRATO!$G$2:$G$3000,MATCH($A2007,EXTRATO!$A$2:$A$3000,0))))</f>
        <v/>
      </c>
      <c r="H2007" s="86" t="str">
        <f>IF(A2007="","",IF(INDEX(EXTRATO!$F$2:$F$3000,MATCH($A2007,EXTRATO!$A$2:$A$3000,0))="","",INDEX(EXTRATO!$F$2:$F$3000,MATCH($A2007,EXTRATO!$A$2:$A$3000,0))))</f>
        <v/>
      </c>
      <c r="I2007" s="88" t="str">
        <f>IF(A2007="","",IF(INDEX(EXTRATO!$H$2:$H$3000,MATCH($A2007,EXTRATO!$A$2:$A$3000,0))="","",INDEX(EXTRATO!$H$2:$H$3000,MATCH($A2007,EXTRATO!$A$2:$A$3000,0))))</f>
        <v/>
      </c>
      <c r="J2007" s="86" t="str">
        <f t="shared" si="49"/>
        <v/>
      </c>
      <c r="K2007" s="86" t="str">
        <f>IF(AND(A2007="",D2007="",E2007="",F2007=""),"",IF(D2007="","SEM CATEGORIA",IF(E2007="","SEM SUBCATEGORIA",IF(COUNTIFS(CADASTROS!$L$7:$L$93,D2007,CADASTROS!$D$7:$D$93,E2007)=0,"INCOMPATÍVEL","OK"))))</f>
        <v/>
      </c>
    </row>
    <row r="2008" spans="1:11" ht="30" hidden="1" customHeight="1" x14ac:dyDescent="0.25">
      <c r="A2008" s="86" t="str">
        <f>IF(COUNTIF(EXTRATO!$A$2:$A$3000,"BAN-01865")=0,"","BAN-01865")</f>
        <v/>
      </c>
      <c r="B2008" s="85" t="str">
        <f>IF(A2008="","",IF(INDEX(EXTRATO!$C$2:$C$3000,MATCH($A2008,EXTRATO!$A$2:$A$3000,0))="","",INDEX(EXTRATO!$C$2:$C$3000,MATCH($A2008,EXTRATO!$A$2:$A$3000,0))))</f>
        <v/>
      </c>
      <c r="C2008" s="86" t="str">
        <f t="shared" si="50"/>
        <v/>
      </c>
      <c r="D2008" s="81"/>
      <c r="E2008" s="79"/>
      <c r="F2008" s="80" t="str">
        <f>IF(A2008="","",SUMIF(EXTRATO!$A$2:$A$3000,$A2008,EXTRATO!$J$2:$J$3000)+SUMIF(EXTRATO!$A$2:$A$3000,$A2008,EXTRATO!$K$2:$K$3000)+SUMIF(EXTRATO!$A$2:$A$3000,$A2008,EXTRATO!$L$2:$L$3000)+SUMIF(EXTRATO!$A$2:$A$3000,$A2008,EXTRATO!$M$2:$M$3000))</f>
        <v/>
      </c>
      <c r="G2008" s="81" t="str">
        <f>IF(A2008="","",IF(INDEX(EXTRATO!$G$2:$G$3000,MATCH($A2008,EXTRATO!$A$2:$A$3000,0))="","",INDEX(EXTRATO!$G$2:$G$3000,MATCH($A2008,EXTRATO!$A$2:$A$3000,0))))</f>
        <v/>
      </c>
      <c r="H2008" s="86" t="str">
        <f>IF(A2008="","",IF(INDEX(EXTRATO!$F$2:$F$3000,MATCH($A2008,EXTRATO!$A$2:$A$3000,0))="","",INDEX(EXTRATO!$F$2:$F$3000,MATCH($A2008,EXTRATO!$A$2:$A$3000,0))))</f>
        <v/>
      </c>
      <c r="I2008" s="88" t="str">
        <f>IF(A2008="","",IF(INDEX(EXTRATO!$H$2:$H$3000,MATCH($A2008,EXTRATO!$A$2:$A$3000,0))="","",INDEX(EXTRATO!$H$2:$H$3000,MATCH($A2008,EXTRATO!$A$2:$A$3000,0))))</f>
        <v/>
      </c>
      <c r="J2008" s="86" t="str">
        <f t="shared" si="49"/>
        <v/>
      </c>
      <c r="K2008" s="86" t="str">
        <f>IF(AND(A2008="",D2008="",E2008="",F2008=""),"",IF(D2008="","SEM CATEGORIA",IF(E2008="","SEM SUBCATEGORIA",IF(COUNTIFS(CADASTROS!$L$7:$L$93,D2008,CADASTROS!$D$7:$D$93,E2008)=0,"INCOMPATÍVEL","OK"))))</f>
        <v/>
      </c>
    </row>
    <row r="2009" spans="1:11" ht="30" hidden="1" customHeight="1" x14ac:dyDescent="0.25">
      <c r="A2009" s="86" t="str">
        <f>IF(COUNTIF(EXTRATO!$A$2:$A$3000,"BAN-01866")=0,"","BAN-01866")</f>
        <v/>
      </c>
      <c r="B2009" s="85" t="str">
        <f>IF(A2009="","",IF(INDEX(EXTRATO!$C$2:$C$3000,MATCH($A2009,EXTRATO!$A$2:$A$3000,0))="","",INDEX(EXTRATO!$C$2:$C$3000,MATCH($A2009,EXTRATO!$A$2:$A$3000,0))))</f>
        <v/>
      </c>
      <c r="C2009" s="86" t="str">
        <f t="shared" si="50"/>
        <v/>
      </c>
      <c r="D2009" s="81"/>
      <c r="E2009" s="79"/>
      <c r="F2009" s="80" t="str">
        <f>IF(A2009="","",SUMIF(EXTRATO!$A$2:$A$3000,$A2009,EXTRATO!$J$2:$J$3000)+SUMIF(EXTRATO!$A$2:$A$3000,$A2009,EXTRATO!$K$2:$K$3000)+SUMIF(EXTRATO!$A$2:$A$3000,$A2009,EXTRATO!$L$2:$L$3000)+SUMIF(EXTRATO!$A$2:$A$3000,$A2009,EXTRATO!$M$2:$M$3000))</f>
        <v/>
      </c>
      <c r="G2009" s="81" t="str">
        <f>IF(A2009="","",IF(INDEX(EXTRATO!$G$2:$G$3000,MATCH($A2009,EXTRATO!$A$2:$A$3000,0))="","",INDEX(EXTRATO!$G$2:$G$3000,MATCH($A2009,EXTRATO!$A$2:$A$3000,0))))</f>
        <v/>
      </c>
      <c r="H2009" s="86" t="str">
        <f>IF(A2009="","",IF(INDEX(EXTRATO!$F$2:$F$3000,MATCH($A2009,EXTRATO!$A$2:$A$3000,0))="","",INDEX(EXTRATO!$F$2:$F$3000,MATCH($A2009,EXTRATO!$A$2:$A$3000,0))))</f>
        <v/>
      </c>
      <c r="I2009" s="88" t="str">
        <f>IF(A2009="","",IF(INDEX(EXTRATO!$H$2:$H$3000,MATCH($A2009,EXTRATO!$A$2:$A$3000,0))="","",INDEX(EXTRATO!$H$2:$H$3000,MATCH($A2009,EXTRATO!$A$2:$A$3000,0))))</f>
        <v/>
      </c>
      <c r="J2009" s="86" t="str">
        <f t="shared" si="49"/>
        <v/>
      </c>
      <c r="K2009" s="86" t="str">
        <f>IF(AND(A2009="",D2009="",E2009="",F2009=""),"",IF(D2009="","SEM CATEGORIA",IF(E2009="","SEM SUBCATEGORIA",IF(COUNTIFS(CADASTROS!$L$7:$L$93,D2009,CADASTROS!$D$7:$D$93,E2009)=0,"INCOMPATÍVEL","OK"))))</f>
        <v/>
      </c>
    </row>
    <row r="2010" spans="1:11" ht="30" hidden="1" customHeight="1" x14ac:dyDescent="0.25">
      <c r="A2010" s="86" t="str">
        <f>IF(COUNTIF(EXTRATO!$A$2:$A$3000,"BAN-01867")=0,"","BAN-01867")</f>
        <v/>
      </c>
      <c r="B2010" s="85" t="str">
        <f>IF(A2010="","",IF(INDEX(EXTRATO!$C$2:$C$3000,MATCH($A2010,EXTRATO!$A$2:$A$3000,0))="","",INDEX(EXTRATO!$C$2:$C$3000,MATCH($A2010,EXTRATO!$A$2:$A$3000,0))))</f>
        <v/>
      </c>
      <c r="C2010" s="86" t="str">
        <f t="shared" si="50"/>
        <v/>
      </c>
      <c r="D2010" s="81"/>
      <c r="E2010" s="79"/>
      <c r="F2010" s="80" t="str">
        <f>IF(A2010="","",SUMIF(EXTRATO!$A$2:$A$3000,$A2010,EXTRATO!$J$2:$J$3000)+SUMIF(EXTRATO!$A$2:$A$3000,$A2010,EXTRATO!$K$2:$K$3000)+SUMIF(EXTRATO!$A$2:$A$3000,$A2010,EXTRATO!$L$2:$L$3000)+SUMIF(EXTRATO!$A$2:$A$3000,$A2010,EXTRATO!$M$2:$M$3000))</f>
        <v/>
      </c>
      <c r="G2010" s="81" t="str">
        <f>IF(A2010="","",IF(INDEX(EXTRATO!$G$2:$G$3000,MATCH($A2010,EXTRATO!$A$2:$A$3000,0))="","",INDEX(EXTRATO!$G$2:$G$3000,MATCH($A2010,EXTRATO!$A$2:$A$3000,0))))</f>
        <v/>
      </c>
      <c r="H2010" s="86" t="str">
        <f>IF(A2010="","",IF(INDEX(EXTRATO!$F$2:$F$3000,MATCH($A2010,EXTRATO!$A$2:$A$3000,0))="","",INDEX(EXTRATO!$F$2:$F$3000,MATCH($A2010,EXTRATO!$A$2:$A$3000,0))))</f>
        <v/>
      </c>
      <c r="I2010" s="88" t="str">
        <f>IF(A2010="","",IF(INDEX(EXTRATO!$H$2:$H$3000,MATCH($A2010,EXTRATO!$A$2:$A$3000,0))="","",INDEX(EXTRATO!$H$2:$H$3000,MATCH($A2010,EXTRATO!$A$2:$A$3000,0))))</f>
        <v/>
      </c>
      <c r="J2010" s="86" t="str">
        <f t="shared" si="49"/>
        <v/>
      </c>
      <c r="K2010" s="86" t="str">
        <f>IF(AND(A2010="",D2010="",E2010="",F2010=""),"",IF(D2010="","SEM CATEGORIA",IF(E2010="","SEM SUBCATEGORIA",IF(COUNTIFS(CADASTROS!$L$7:$L$93,D2010,CADASTROS!$D$7:$D$93,E2010)=0,"INCOMPATÍVEL","OK"))))</f>
        <v/>
      </c>
    </row>
    <row r="2011" spans="1:11" ht="30" hidden="1" customHeight="1" x14ac:dyDescent="0.25">
      <c r="A2011" s="86" t="str">
        <f>IF(COUNTIF(EXTRATO!$A$2:$A$3000,"BAN-01868")=0,"","BAN-01868")</f>
        <v/>
      </c>
      <c r="B2011" s="85" t="str">
        <f>IF(A2011="","",IF(INDEX(EXTRATO!$C$2:$C$3000,MATCH($A2011,EXTRATO!$A$2:$A$3000,0))="","",INDEX(EXTRATO!$C$2:$C$3000,MATCH($A2011,EXTRATO!$A$2:$A$3000,0))))</f>
        <v/>
      </c>
      <c r="C2011" s="86" t="str">
        <f t="shared" si="50"/>
        <v/>
      </c>
      <c r="D2011" s="81"/>
      <c r="E2011" s="79"/>
      <c r="F2011" s="80" t="str">
        <f>IF(A2011="","",SUMIF(EXTRATO!$A$2:$A$3000,$A2011,EXTRATO!$J$2:$J$3000)+SUMIF(EXTRATO!$A$2:$A$3000,$A2011,EXTRATO!$K$2:$K$3000)+SUMIF(EXTRATO!$A$2:$A$3000,$A2011,EXTRATO!$L$2:$L$3000)+SUMIF(EXTRATO!$A$2:$A$3000,$A2011,EXTRATO!$M$2:$M$3000))</f>
        <v/>
      </c>
      <c r="G2011" s="81" t="str">
        <f>IF(A2011="","",IF(INDEX(EXTRATO!$G$2:$G$3000,MATCH($A2011,EXTRATO!$A$2:$A$3000,0))="","",INDEX(EXTRATO!$G$2:$G$3000,MATCH($A2011,EXTRATO!$A$2:$A$3000,0))))</f>
        <v/>
      </c>
      <c r="H2011" s="86" t="str">
        <f>IF(A2011="","",IF(INDEX(EXTRATO!$F$2:$F$3000,MATCH($A2011,EXTRATO!$A$2:$A$3000,0))="","",INDEX(EXTRATO!$F$2:$F$3000,MATCH($A2011,EXTRATO!$A$2:$A$3000,0))))</f>
        <v/>
      </c>
      <c r="I2011" s="88" t="str">
        <f>IF(A2011="","",IF(INDEX(EXTRATO!$H$2:$H$3000,MATCH($A2011,EXTRATO!$A$2:$A$3000,0))="","",INDEX(EXTRATO!$H$2:$H$3000,MATCH($A2011,EXTRATO!$A$2:$A$3000,0))))</f>
        <v/>
      </c>
      <c r="J2011" s="86" t="str">
        <f t="shared" si="49"/>
        <v/>
      </c>
      <c r="K2011" s="86" t="str">
        <f>IF(AND(A2011="",D2011="",E2011="",F2011=""),"",IF(D2011="","SEM CATEGORIA",IF(E2011="","SEM SUBCATEGORIA",IF(COUNTIFS(CADASTROS!$L$7:$L$93,D2011,CADASTROS!$D$7:$D$93,E2011)=0,"INCOMPATÍVEL","OK"))))</f>
        <v/>
      </c>
    </row>
    <row r="2012" spans="1:11" ht="30" hidden="1" customHeight="1" x14ac:dyDescent="0.25">
      <c r="A2012" s="86" t="str">
        <f>IF(COUNTIF(EXTRATO!$A$2:$A$3000,"BAN-01869")=0,"","BAN-01869")</f>
        <v/>
      </c>
      <c r="B2012" s="85" t="str">
        <f>IF(A2012="","",IF(INDEX(EXTRATO!$C$2:$C$3000,MATCH($A2012,EXTRATO!$A$2:$A$3000,0))="","",INDEX(EXTRATO!$C$2:$C$3000,MATCH($A2012,EXTRATO!$A$2:$A$3000,0))))</f>
        <v/>
      </c>
      <c r="C2012" s="86" t="str">
        <f t="shared" si="50"/>
        <v/>
      </c>
      <c r="D2012" s="81"/>
      <c r="E2012" s="79"/>
      <c r="F2012" s="80" t="str">
        <f>IF(A2012="","",SUMIF(EXTRATO!$A$2:$A$3000,$A2012,EXTRATO!$J$2:$J$3000)+SUMIF(EXTRATO!$A$2:$A$3000,$A2012,EXTRATO!$K$2:$K$3000)+SUMIF(EXTRATO!$A$2:$A$3000,$A2012,EXTRATO!$L$2:$L$3000)+SUMIF(EXTRATO!$A$2:$A$3000,$A2012,EXTRATO!$M$2:$M$3000))</f>
        <v/>
      </c>
      <c r="G2012" s="81" t="str">
        <f>IF(A2012="","",IF(INDEX(EXTRATO!$G$2:$G$3000,MATCH($A2012,EXTRATO!$A$2:$A$3000,0))="","",INDEX(EXTRATO!$G$2:$G$3000,MATCH($A2012,EXTRATO!$A$2:$A$3000,0))))</f>
        <v/>
      </c>
      <c r="H2012" s="86" t="str">
        <f>IF(A2012="","",IF(INDEX(EXTRATO!$F$2:$F$3000,MATCH($A2012,EXTRATO!$A$2:$A$3000,0))="","",INDEX(EXTRATO!$F$2:$F$3000,MATCH($A2012,EXTRATO!$A$2:$A$3000,0))))</f>
        <v/>
      </c>
      <c r="I2012" s="88" t="str">
        <f>IF(A2012="","",IF(INDEX(EXTRATO!$H$2:$H$3000,MATCH($A2012,EXTRATO!$A$2:$A$3000,0))="","",INDEX(EXTRATO!$H$2:$H$3000,MATCH($A2012,EXTRATO!$A$2:$A$3000,0))))</f>
        <v/>
      </c>
      <c r="J2012" s="86" t="str">
        <f t="shared" si="49"/>
        <v/>
      </c>
      <c r="K2012" s="86" t="str">
        <f>IF(AND(A2012="",D2012="",E2012="",F2012=""),"",IF(D2012="","SEM CATEGORIA",IF(E2012="","SEM SUBCATEGORIA",IF(COUNTIFS(CADASTROS!$L$7:$L$93,D2012,CADASTROS!$D$7:$D$93,E2012)=0,"INCOMPATÍVEL","OK"))))</f>
        <v/>
      </c>
    </row>
    <row r="2013" spans="1:11" ht="30" hidden="1" customHeight="1" x14ac:dyDescent="0.25">
      <c r="A2013" s="86" t="str">
        <f>IF(COUNTIF(EXTRATO!$A$2:$A$3000,"BAN-01870")=0,"","BAN-01870")</f>
        <v/>
      </c>
      <c r="B2013" s="85" t="str">
        <f>IF(A2013="","",IF(INDEX(EXTRATO!$C$2:$C$3000,MATCH($A2013,EXTRATO!$A$2:$A$3000,0))="","",INDEX(EXTRATO!$C$2:$C$3000,MATCH($A2013,EXTRATO!$A$2:$A$3000,0))))</f>
        <v/>
      </c>
      <c r="C2013" s="86" t="str">
        <f t="shared" si="50"/>
        <v/>
      </c>
      <c r="D2013" s="81"/>
      <c r="E2013" s="79"/>
      <c r="F2013" s="80" t="str">
        <f>IF(A2013="","",SUMIF(EXTRATO!$A$2:$A$3000,$A2013,EXTRATO!$J$2:$J$3000)+SUMIF(EXTRATO!$A$2:$A$3000,$A2013,EXTRATO!$K$2:$K$3000)+SUMIF(EXTRATO!$A$2:$A$3000,$A2013,EXTRATO!$L$2:$L$3000)+SUMIF(EXTRATO!$A$2:$A$3000,$A2013,EXTRATO!$M$2:$M$3000))</f>
        <v/>
      </c>
      <c r="G2013" s="81" t="str">
        <f>IF(A2013="","",IF(INDEX(EXTRATO!$G$2:$G$3000,MATCH($A2013,EXTRATO!$A$2:$A$3000,0))="","",INDEX(EXTRATO!$G$2:$G$3000,MATCH($A2013,EXTRATO!$A$2:$A$3000,0))))</f>
        <v/>
      </c>
      <c r="H2013" s="86" t="str">
        <f>IF(A2013="","",IF(INDEX(EXTRATO!$F$2:$F$3000,MATCH($A2013,EXTRATO!$A$2:$A$3000,0))="","",INDEX(EXTRATO!$F$2:$F$3000,MATCH($A2013,EXTRATO!$A$2:$A$3000,0))))</f>
        <v/>
      </c>
      <c r="I2013" s="88" t="str">
        <f>IF(A2013="","",IF(INDEX(EXTRATO!$H$2:$H$3000,MATCH($A2013,EXTRATO!$A$2:$A$3000,0))="","",INDEX(EXTRATO!$H$2:$H$3000,MATCH($A2013,EXTRATO!$A$2:$A$3000,0))))</f>
        <v/>
      </c>
      <c r="J2013" s="86" t="str">
        <f t="shared" si="49"/>
        <v/>
      </c>
      <c r="K2013" s="86" t="str">
        <f>IF(AND(A2013="",D2013="",E2013="",F2013=""),"",IF(D2013="","SEM CATEGORIA",IF(E2013="","SEM SUBCATEGORIA",IF(COUNTIFS(CADASTROS!$L$7:$L$93,D2013,CADASTROS!$D$7:$D$93,E2013)=0,"INCOMPATÍVEL","OK"))))</f>
        <v/>
      </c>
    </row>
    <row r="2014" spans="1:11" ht="30" hidden="1" customHeight="1" x14ac:dyDescent="0.25">
      <c r="A2014" s="86" t="str">
        <f>IF(COUNTIF(EXTRATO!$A$2:$A$3000,"BAN-01871")=0,"","BAN-01871")</f>
        <v/>
      </c>
      <c r="B2014" s="85" t="str">
        <f>IF(A2014="","",IF(INDEX(EXTRATO!$C$2:$C$3000,MATCH($A2014,EXTRATO!$A$2:$A$3000,0))="","",INDEX(EXTRATO!$C$2:$C$3000,MATCH($A2014,EXTRATO!$A$2:$A$3000,0))))</f>
        <v/>
      </c>
      <c r="C2014" s="86" t="str">
        <f t="shared" si="50"/>
        <v/>
      </c>
      <c r="D2014" s="81"/>
      <c r="E2014" s="79"/>
      <c r="F2014" s="80" t="str">
        <f>IF(A2014="","",SUMIF(EXTRATO!$A$2:$A$3000,$A2014,EXTRATO!$J$2:$J$3000)+SUMIF(EXTRATO!$A$2:$A$3000,$A2014,EXTRATO!$K$2:$K$3000)+SUMIF(EXTRATO!$A$2:$A$3000,$A2014,EXTRATO!$L$2:$L$3000)+SUMIF(EXTRATO!$A$2:$A$3000,$A2014,EXTRATO!$M$2:$M$3000))</f>
        <v/>
      </c>
      <c r="G2014" s="81" t="str">
        <f>IF(A2014="","",IF(INDEX(EXTRATO!$G$2:$G$3000,MATCH($A2014,EXTRATO!$A$2:$A$3000,0))="","",INDEX(EXTRATO!$G$2:$G$3000,MATCH($A2014,EXTRATO!$A$2:$A$3000,0))))</f>
        <v/>
      </c>
      <c r="H2014" s="86" t="str">
        <f>IF(A2014="","",IF(INDEX(EXTRATO!$F$2:$F$3000,MATCH($A2014,EXTRATO!$A$2:$A$3000,0))="","",INDEX(EXTRATO!$F$2:$F$3000,MATCH($A2014,EXTRATO!$A$2:$A$3000,0))))</f>
        <v/>
      </c>
      <c r="I2014" s="88" t="str">
        <f>IF(A2014="","",IF(INDEX(EXTRATO!$H$2:$H$3000,MATCH($A2014,EXTRATO!$A$2:$A$3000,0))="","",INDEX(EXTRATO!$H$2:$H$3000,MATCH($A2014,EXTRATO!$A$2:$A$3000,0))))</f>
        <v/>
      </c>
      <c r="J2014" s="86" t="str">
        <f t="shared" si="49"/>
        <v/>
      </c>
      <c r="K2014" s="86" t="str">
        <f>IF(AND(A2014="",D2014="",E2014="",F2014=""),"",IF(D2014="","SEM CATEGORIA",IF(E2014="","SEM SUBCATEGORIA",IF(COUNTIFS(CADASTROS!$L$7:$L$93,D2014,CADASTROS!$D$7:$D$93,E2014)=0,"INCOMPATÍVEL","OK"))))</f>
        <v/>
      </c>
    </row>
    <row r="2015" spans="1:11" ht="30" hidden="1" customHeight="1" x14ac:dyDescent="0.25">
      <c r="A2015" s="86" t="str">
        <f>IF(COUNTIF(EXTRATO!$A$2:$A$3000,"BAN-01872")=0,"","BAN-01872")</f>
        <v/>
      </c>
      <c r="B2015" s="85" t="str">
        <f>IF(A2015="","",IF(INDEX(EXTRATO!$C$2:$C$3000,MATCH($A2015,EXTRATO!$A$2:$A$3000,0))="","",INDEX(EXTRATO!$C$2:$C$3000,MATCH($A2015,EXTRATO!$A$2:$A$3000,0))))</f>
        <v/>
      </c>
      <c r="C2015" s="86" t="str">
        <f t="shared" si="50"/>
        <v/>
      </c>
      <c r="D2015" s="81"/>
      <c r="E2015" s="79"/>
      <c r="F2015" s="80" t="str">
        <f>IF(A2015="","",SUMIF(EXTRATO!$A$2:$A$3000,$A2015,EXTRATO!$J$2:$J$3000)+SUMIF(EXTRATO!$A$2:$A$3000,$A2015,EXTRATO!$K$2:$K$3000)+SUMIF(EXTRATO!$A$2:$A$3000,$A2015,EXTRATO!$L$2:$L$3000)+SUMIF(EXTRATO!$A$2:$A$3000,$A2015,EXTRATO!$M$2:$M$3000))</f>
        <v/>
      </c>
      <c r="G2015" s="81" t="str">
        <f>IF(A2015="","",IF(INDEX(EXTRATO!$G$2:$G$3000,MATCH($A2015,EXTRATO!$A$2:$A$3000,0))="","",INDEX(EXTRATO!$G$2:$G$3000,MATCH($A2015,EXTRATO!$A$2:$A$3000,0))))</f>
        <v/>
      </c>
      <c r="H2015" s="86" t="str">
        <f>IF(A2015="","",IF(INDEX(EXTRATO!$F$2:$F$3000,MATCH($A2015,EXTRATO!$A$2:$A$3000,0))="","",INDEX(EXTRATO!$F$2:$F$3000,MATCH($A2015,EXTRATO!$A$2:$A$3000,0))))</f>
        <v/>
      </c>
      <c r="I2015" s="88" t="str">
        <f>IF(A2015="","",IF(INDEX(EXTRATO!$H$2:$H$3000,MATCH($A2015,EXTRATO!$A$2:$A$3000,0))="","",INDEX(EXTRATO!$H$2:$H$3000,MATCH($A2015,EXTRATO!$A$2:$A$3000,0))))</f>
        <v/>
      </c>
      <c r="J2015" s="86" t="str">
        <f t="shared" si="49"/>
        <v/>
      </c>
      <c r="K2015" s="86" t="str">
        <f>IF(AND(A2015="",D2015="",E2015="",F2015=""),"",IF(D2015="","SEM CATEGORIA",IF(E2015="","SEM SUBCATEGORIA",IF(COUNTIFS(CADASTROS!$L$7:$L$93,D2015,CADASTROS!$D$7:$D$93,E2015)=0,"INCOMPATÍVEL","OK"))))</f>
        <v/>
      </c>
    </row>
    <row r="2016" spans="1:11" ht="30" hidden="1" customHeight="1" x14ac:dyDescent="0.25">
      <c r="A2016" s="86" t="str">
        <f>IF(COUNTIF(EXTRATO!$A$2:$A$3000,"BAN-01873")=0,"","BAN-01873")</f>
        <v/>
      </c>
      <c r="B2016" s="85" t="str">
        <f>IF(A2016="","",IF(INDEX(EXTRATO!$C$2:$C$3000,MATCH($A2016,EXTRATO!$A$2:$A$3000,0))="","",INDEX(EXTRATO!$C$2:$C$3000,MATCH($A2016,EXTRATO!$A$2:$A$3000,0))))</f>
        <v/>
      </c>
      <c r="C2016" s="86" t="str">
        <f t="shared" si="50"/>
        <v/>
      </c>
      <c r="D2016" s="81"/>
      <c r="E2016" s="79"/>
      <c r="F2016" s="80" t="str">
        <f>IF(A2016="","",SUMIF(EXTRATO!$A$2:$A$3000,$A2016,EXTRATO!$J$2:$J$3000)+SUMIF(EXTRATO!$A$2:$A$3000,$A2016,EXTRATO!$K$2:$K$3000)+SUMIF(EXTRATO!$A$2:$A$3000,$A2016,EXTRATO!$L$2:$L$3000)+SUMIF(EXTRATO!$A$2:$A$3000,$A2016,EXTRATO!$M$2:$M$3000))</f>
        <v/>
      </c>
      <c r="G2016" s="81" t="str">
        <f>IF(A2016="","",IF(INDEX(EXTRATO!$G$2:$G$3000,MATCH($A2016,EXTRATO!$A$2:$A$3000,0))="","",INDEX(EXTRATO!$G$2:$G$3000,MATCH($A2016,EXTRATO!$A$2:$A$3000,0))))</f>
        <v/>
      </c>
      <c r="H2016" s="86" t="str">
        <f>IF(A2016="","",IF(INDEX(EXTRATO!$F$2:$F$3000,MATCH($A2016,EXTRATO!$A$2:$A$3000,0))="","",INDEX(EXTRATO!$F$2:$F$3000,MATCH($A2016,EXTRATO!$A$2:$A$3000,0))))</f>
        <v/>
      </c>
      <c r="I2016" s="88" t="str">
        <f>IF(A2016="","",IF(INDEX(EXTRATO!$H$2:$H$3000,MATCH($A2016,EXTRATO!$A$2:$A$3000,0))="","",INDEX(EXTRATO!$H$2:$H$3000,MATCH($A2016,EXTRATO!$A$2:$A$3000,0))))</f>
        <v/>
      </c>
      <c r="J2016" s="86" t="str">
        <f t="shared" si="49"/>
        <v/>
      </c>
      <c r="K2016" s="86" t="str">
        <f>IF(AND(A2016="",D2016="",E2016="",F2016=""),"",IF(D2016="","SEM CATEGORIA",IF(E2016="","SEM SUBCATEGORIA",IF(COUNTIFS(CADASTROS!$L$7:$L$93,D2016,CADASTROS!$D$7:$D$93,E2016)=0,"INCOMPATÍVEL","OK"))))</f>
        <v/>
      </c>
    </row>
    <row r="2017" spans="1:11" ht="30" hidden="1" customHeight="1" x14ac:dyDescent="0.25">
      <c r="A2017" s="86" t="str">
        <f>IF(COUNTIF(EXTRATO!$A$2:$A$3000,"BAN-01874")=0,"","BAN-01874")</f>
        <v/>
      </c>
      <c r="B2017" s="85" t="str">
        <f>IF(A2017="","",IF(INDEX(EXTRATO!$C$2:$C$3000,MATCH($A2017,EXTRATO!$A$2:$A$3000,0))="","",INDEX(EXTRATO!$C$2:$C$3000,MATCH($A2017,EXTRATO!$A$2:$A$3000,0))))</f>
        <v/>
      </c>
      <c r="C2017" s="86" t="str">
        <f t="shared" si="50"/>
        <v/>
      </c>
      <c r="D2017" s="81"/>
      <c r="E2017" s="79"/>
      <c r="F2017" s="80" t="str">
        <f>IF(A2017="","",SUMIF(EXTRATO!$A$2:$A$3000,$A2017,EXTRATO!$J$2:$J$3000)+SUMIF(EXTRATO!$A$2:$A$3000,$A2017,EXTRATO!$K$2:$K$3000)+SUMIF(EXTRATO!$A$2:$A$3000,$A2017,EXTRATO!$L$2:$L$3000)+SUMIF(EXTRATO!$A$2:$A$3000,$A2017,EXTRATO!$M$2:$M$3000))</f>
        <v/>
      </c>
      <c r="G2017" s="81" t="str">
        <f>IF(A2017="","",IF(INDEX(EXTRATO!$G$2:$G$3000,MATCH($A2017,EXTRATO!$A$2:$A$3000,0))="","",INDEX(EXTRATO!$G$2:$G$3000,MATCH($A2017,EXTRATO!$A$2:$A$3000,0))))</f>
        <v/>
      </c>
      <c r="H2017" s="86" t="str">
        <f>IF(A2017="","",IF(INDEX(EXTRATO!$F$2:$F$3000,MATCH($A2017,EXTRATO!$A$2:$A$3000,0))="","",INDEX(EXTRATO!$F$2:$F$3000,MATCH($A2017,EXTRATO!$A$2:$A$3000,0))))</f>
        <v/>
      </c>
      <c r="I2017" s="88" t="str">
        <f>IF(A2017="","",IF(INDEX(EXTRATO!$H$2:$H$3000,MATCH($A2017,EXTRATO!$A$2:$A$3000,0))="","",INDEX(EXTRATO!$H$2:$H$3000,MATCH($A2017,EXTRATO!$A$2:$A$3000,0))))</f>
        <v/>
      </c>
      <c r="J2017" s="86" t="str">
        <f t="shared" si="49"/>
        <v/>
      </c>
      <c r="K2017" s="86" t="str">
        <f>IF(AND(A2017="",D2017="",E2017="",F2017=""),"",IF(D2017="","SEM CATEGORIA",IF(E2017="","SEM SUBCATEGORIA",IF(COUNTIFS(CADASTROS!$L$7:$L$93,D2017,CADASTROS!$D$7:$D$93,E2017)=0,"INCOMPATÍVEL","OK"))))</f>
        <v/>
      </c>
    </row>
    <row r="2018" spans="1:11" ht="30" hidden="1" customHeight="1" x14ac:dyDescent="0.25">
      <c r="A2018" s="86" t="str">
        <f>IF(COUNTIF(EXTRATO!$A$2:$A$3000,"BAN-01875")=0,"","BAN-01875")</f>
        <v/>
      </c>
      <c r="B2018" s="85" t="str">
        <f>IF(A2018="","",IF(INDEX(EXTRATO!$C$2:$C$3000,MATCH($A2018,EXTRATO!$A$2:$A$3000,0))="","",INDEX(EXTRATO!$C$2:$C$3000,MATCH($A2018,EXTRATO!$A$2:$A$3000,0))))</f>
        <v/>
      </c>
      <c r="C2018" s="86" t="str">
        <f t="shared" si="50"/>
        <v/>
      </c>
      <c r="D2018" s="81"/>
      <c r="E2018" s="79"/>
      <c r="F2018" s="80" t="str">
        <f>IF(A2018="","",SUMIF(EXTRATO!$A$2:$A$3000,$A2018,EXTRATO!$J$2:$J$3000)+SUMIF(EXTRATO!$A$2:$A$3000,$A2018,EXTRATO!$K$2:$K$3000)+SUMIF(EXTRATO!$A$2:$A$3000,$A2018,EXTRATO!$L$2:$L$3000)+SUMIF(EXTRATO!$A$2:$A$3000,$A2018,EXTRATO!$M$2:$M$3000))</f>
        <v/>
      </c>
      <c r="G2018" s="81" t="str">
        <f>IF(A2018="","",IF(INDEX(EXTRATO!$G$2:$G$3000,MATCH($A2018,EXTRATO!$A$2:$A$3000,0))="","",INDEX(EXTRATO!$G$2:$G$3000,MATCH($A2018,EXTRATO!$A$2:$A$3000,0))))</f>
        <v/>
      </c>
      <c r="H2018" s="86" t="str">
        <f>IF(A2018="","",IF(INDEX(EXTRATO!$F$2:$F$3000,MATCH($A2018,EXTRATO!$A$2:$A$3000,0))="","",INDEX(EXTRATO!$F$2:$F$3000,MATCH($A2018,EXTRATO!$A$2:$A$3000,0))))</f>
        <v/>
      </c>
      <c r="I2018" s="88" t="str">
        <f>IF(A2018="","",IF(INDEX(EXTRATO!$H$2:$H$3000,MATCH($A2018,EXTRATO!$A$2:$A$3000,0))="","",INDEX(EXTRATO!$H$2:$H$3000,MATCH($A2018,EXTRATO!$A$2:$A$3000,0))))</f>
        <v/>
      </c>
      <c r="J2018" s="86" t="str">
        <f t="shared" si="49"/>
        <v/>
      </c>
      <c r="K2018" s="86" t="str">
        <f>IF(AND(A2018="",D2018="",E2018="",F2018=""),"",IF(D2018="","SEM CATEGORIA",IF(E2018="","SEM SUBCATEGORIA",IF(COUNTIFS(CADASTROS!$L$7:$L$93,D2018,CADASTROS!$D$7:$D$93,E2018)=0,"INCOMPATÍVEL","OK"))))</f>
        <v/>
      </c>
    </row>
    <row r="2019" spans="1:11" ht="30" hidden="1" customHeight="1" x14ac:dyDescent="0.25">
      <c r="A2019" s="86" t="str">
        <f>IF(COUNTIF(EXTRATO!$A$2:$A$3000,"BAN-01876")=0,"","BAN-01876")</f>
        <v/>
      </c>
      <c r="B2019" s="85" t="str">
        <f>IF(A2019="","",IF(INDEX(EXTRATO!$C$2:$C$3000,MATCH($A2019,EXTRATO!$A$2:$A$3000,0))="","",INDEX(EXTRATO!$C$2:$C$3000,MATCH($A2019,EXTRATO!$A$2:$A$3000,0))))</f>
        <v/>
      </c>
      <c r="C2019" s="86" t="str">
        <f t="shared" si="50"/>
        <v/>
      </c>
      <c r="D2019" s="81"/>
      <c r="E2019" s="79"/>
      <c r="F2019" s="80" t="str">
        <f>IF(A2019="","",SUMIF(EXTRATO!$A$2:$A$3000,$A2019,EXTRATO!$J$2:$J$3000)+SUMIF(EXTRATO!$A$2:$A$3000,$A2019,EXTRATO!$K$2:$K$3000)+SUMIF(EXTRATO!$A$2:$A$3000,$A2019,EXTRATO!$L$2:$L$3000)+SUMIF(EXTRATO!$A$2:$A$3000,$A2019,EXTRATO!$M$2:$M$3000))</f>
        <v/>
      </c>
      <c r="G2019" s="81" t="str">
        <f>IF(A2019="","",IF(INDEX(EXTRATO!$G$2:$G$3000,MATCH($A2019,EXTRATO!$A$2:$A$3000,0))="","",INDEX(EXTRATO!$G$2:$G$3000,MATCH($A2019,EXTRATO!$A$2:$A$3000,0))))</f>
        <v/>
      </c>
      <c r="H2019" s="86" t="str">
        <f>IF(A2019="","",IF(INDEX(EXTRATO!$F$2:$F$3000,MATCH($A2019,EXTRATO!$A$2:$A$3000,0))="","",INDEX(EXTRATO!$F$2:$F$3000,MATCH($A2019,EXTRATO!$A$2:$A$3000,0))))</f>
        <v/>
      </c>
      <c r="I2019" s="88" t="str">
        <f>IF(A2019="","",IF(INDEX(EXTRATO!$H$2:$H$3000,MATCH($A2019,EXTRATO!$A$2:$A$3000,0))="","",INDEX(EXTRATO!$H$2:$H$3000,MATCH($A2019,EXTRATO!$A$2:$A$3000,0))))</f>
        <v/>
      </c>
      <c r="J2019" s="86" t="str">
        <f t="shared" si="49"/>
        <v/>
      </c>
      <c r="K2019" s="86" t="str">
        <f>IF(AND(A2019="",D2019="",E2019="",F2019=""),"",IF(D2019="","SEM CATEGORIA",IF(E2019="","SEM SUBCATEGORIA",IF(COUNTIFS(CADASTROS!$L$7:$L$93,D2019,CADASTROS!$D$7:$D$93,E2019)=0,"INCOMPATÍVEL","OK"))))</f>
        <v/>
      </c>
    </row>
    <row r="2020" spans="1:11" ht="30" hidden="1" customHeight="1" x14ac:dyDescent="0.25">
      <c r="A2020" s="86" t="str">
        <f>IF(COUNTIF(EXTRATO!$A$2:$A$3000,"BAN-01877")=0,"","BAN-01877")</f>
        <v/>
      </c>
      <c r="B2020" s="85" t="str">
        <f>IF(A2020="","",IF(INDEX(EXTRATO!$C$2:$C$3000,MATCH($A2020,EXTRATO!$A$2:$A$3000,0))="","",INDEX(EXTRATO!$C$2:$C$3000,MATCH($A2020,EXTRATO!$A$2:$A$3000,0))))</f>
        <v/>
      </c>
      <c r="C2020" s="86" t="str">
        <f t="shared" si="50"/>
        <v/>
      </c>
      <c r="D2020" s="81"/>
      <c r="E2020" s="79"/>
      <c r="F2020" s="80" t="str">
        <f>IF(A2020="","",SUMIF(EXTRATO!$A$2:$A$3000,$A2020,EXTRATO!$J$2:$J$3000)+SUMIF(EXTRATO!$A$2:$A$3000,$A2020,EXTRATO!$K$2:$K$3000)+SUMIF(EXTRATO!$A$2:$A$3000,$A2020,EXTRATO!$L$2:$L$3000)+SUMIF(EXTRATO!$A$2:$A$3000,$A2020,EXTRATO!$M$2:$M$3000))</f>
        <v/>
      </c>
      <c r="G2020" s="81" t="str">
        <f>IF(A2020="","",IF(INDEX(EXTRATO!$G$2:$G$3000,MATCH($A2020,EXTRATO!$A$2:$A$3000,0))="","",INDEX(EXTRATO!$G$2:$G$3000,MATCH($A2020,EXTRATO!$A$2:$A$3000,0))))</f>
        <v/>
      </c>
      <c r="H2020" s="86" t="str">
        <f>IF(A2020="","",IF(INDEX(EXTRATO!$F$2:$F$3000,MATCH($A2020,EXTRATO!$A$2:$A$3000,0))="","",INDEX(EXTRATO!$F$2:$F$3000,MATCH($A2020,EXTRATO!$A$2:$A$3000,0))))</f>
        <v/>
      </c>
      <c r="I2020" s="88" t="str">
        <f>IF(A2020="","",IF(INDEX(EXTRATO!$H$2:$H$3000,MATCH($A2020,EXTRATO!$A$2:$A$3000,0))="","",INDEX(EXTRATO!$H$2:$H$3000,MATCH($A2020,EXTRATO!$A$2:$A$3000,0))))</f>
        <v/>
      </c>
      <c r="J2020" s="86" t="str">
        <f t="shared" si="49"/>
        <v/>
      </c>
      <c r="K2020" s="86" t="str">
        <f>IF(AND(A2020="",D2020="",E2020="",F2020=""),"",IF(D2020="","SEM CATEGORIA",IF(E2020="","SEM SUBCATEGORIA",IF(COUNTIFS(CADASTROS!$L$7:$L$93,D2020,CADASTROS!$D$7:$D$93,E2020)=0,"INCOMPATÍVEL","OK"))))</f>
        <v/>
      </c>
    </row>
    <row r="2021" spans="1:11" ht="30" hidden="1" customHeight="1" x14ac:dyDescent="0.25">
      <c r="A2021" s="86" t="str">
        <f>IF(COUNTIF(EXTRATO!$A$2:$A$3000,"BAN-01878")=0,"","BAN-01878")</f>
        <v/>
      </c>
      <c r="B2021" s="85" t="str">
        <f>IF(A2021="","",IF(INDEX(EXTRATO!$C$2:$C$3000,MATCH($A2021,EXTRATO!$A$2:$A$3000,0))="","",INDEX(EXTRATO!$C$2:$C$3000,MATCH($A2021,EXTRATO!$A$2:$A$3000,0))))</f>
        <v/>
      </c>
      <c r="C2021" s="86" t="str">
        <f t="shared" si="50"/>
        <v/>
      </c>
      <c r="D2021" s="81"/>
      <c r="E2021" s="79"/>
      <c r="F2021" s="80" t="str">
        <f>IF(A2021="","",SUMIF(EXTRATO!$A$2:$A$3000,$A2021,EXTRATO!$J$2:$J$3000)+SUMIF(EXTRATO!$A$2:$A$3000,$A2021,EXTRATO!$K$2:$K$3000)+SUMIF(EXTRATO!$A$2:$A$3000,$A2021,EXTRATO!$L$2:$L$3000)+SUMIF(EXTRATO!$A$2:$A$3000,$A2021,EXTRATO!$M$2:$M$3000))</f>
        <v/>
      </c>
      <c r="G2021" s="81" t="str">
        <f>IF(A2021="","",IF(INDEX(EXTRATO!$G$2:$G$3000,MATCH($A2021,EXTRATO!$A$2:$A$3000,0))="","",INDEX(EXTRATO!$G$2:$G$3000,MATCH($A2021,EXTRATO!$A$2:$A$3000,0))))</f>
        <v/>
      </c>
      <c r="H2021" s="86" t="str">
        <f>IF(A2021="","",IF(INDEX(EXTRATO!$F$2:$F$3000,MATCH($A2021,EXTRATO!$A$2:$A$3000,0))="","",INDEX(EXTRATO!$F$2:$F$3000,MATCH($A2021,EXTRATO!$A$2:$A$3000,0))))</f>
        <v/>
      </c>
      <c r="I2021" s="88" t="str">
        <f>IF(A2021="","",IF(INDEX(EXTRATO!$H$2:$H$3000,MATCH($A2021,EXTRATO!$A$2:$A$3000,0))="","",INDEX(EXTRATO!$H$2:$H$3000,MATCH($A2021,EXTRATO!$A$2:$A$3000,0))))</f>
        <v/>
      </c>
      <c r="J2021" s="86" t="str">
        <f t="shared" si="49"/>
        <v/>
      </c>
      <c r="K2021" s="86" t="str">
        <f>IF(AND(A2021="",D2021="",E2021="",F2021=""),"",IF(D2021="","SEM CATEGORIA",IF(E2021="","SEM SUBCATEGORIA",IF(COUNTIFS(CADASTROS!$L$7:$L$93,D2021,CADASTROS!$D$7:$D$93,E2021)=0,"INCOMPATÍVEL","OK"))))</f>
        <v/>
      </c>
    </row>
    <row r="2022" spans="1:11" ht="30" hidden="1" customHeight="1" x14ac:dyDescent="0.25">
      <c r="A2022" s="86" t="str">
        <f>IF(COUNTIF(EXTRATO!$A$2:$A$3000,"BAN-01879")=0,"","BAN-01879")</f>
        <v/>
      </c>
      <c r="B2022" s="85" t="str">
        <f>IF(A2022="","",IF(INDEX(EXTRATO!$C$2:$C$3000,MATCH($A2022,EXTRATO!$A$2:$A$3000,0))="","",INDEX(EXTRATO!$C$2:$C$3000,MATCH($A2022,EXTRATO!$A$2:$A$3000,0))))</f>
        <v/>
      </c>
      <c r="C2022" s="86" t="str">
        <f t="shared" si="50"/>
        <v/>
      </c>
      <c r="D2022" s="81"/>
      <c r="E2022" s="79"/>
      <c r="F2022" s="80" t="str">
        <f>IF(A2022="","",SUMIF(EXTRATO!$A$2:$A$3000,$A2022,EXTRATO!$J$2:$J$3000)+SUMIF(EXTRATO!$A$2:$A$3000,$A2022,EXTRATO!$K$2:$K$3000)+SUMIF(EXTRATO!$A$2:$A$3000,$A2022,EXTRATO!$L$2:$L$3000)+SUMIF(EXTRATO!$A$2:$A$3000,$A2022,EXTRATO!$M$2:$M$3000))</f>
        <v/>
      </c>
      <c r="G2022" s="81" t="str">
        <f>IF(A2022="","",IF(INDEX(EXTRATO!$G$2:$G$3000,MATCH($A2022,EXTRATO!$A$2:$A$3000,0))="","",INDEX(EXTRATO!$G$2:$G$3000,MATCH($A2022,EXTRATO!$A$2:$A$3000,0))))</f>
        <v/>
      </c>
      <c r="H2022" s="86" t="str">
        <f>IF(A2022="","",IF(INDEX(EXTRATO!$F$2:$F$3000,MATCH($A2022,EXTRATO!$A$2:$A$3000,0))="","",INDEX(EXTRATO!$F$2:$F$3000,MATCH($A2022,EXTRATO!$A$2:$A$3000,0))))</f>
        <v/>
      </c>
      <c r="I2022" s="88" t="str">
        <f>IF(A2022="","",IF(INDEX(EXTRATO!$H$2:$H$3000,MATCH($A2022,EXTRATO!$A$2:$A$3000,0))="","",INDEX(EXTRATO!$H$2:$H$3000,MATCH($A2022,EXTRATO!$A$2:$A$3000,0))))</f>
        <v/>
      </c>
      <c r="J2022" s="86" t="str">
        <f t="shared" si="49"/>
        <v/>
      </c>
      <c r="K2022" s="86" t="str">
        <f>IF(AND(A2022="",D2022="",E2022="",F2022=""),"",IF(D2022="","SEM CATEGORIA",IF(E2022="","SEM SUBCATEGORIA",IF(COUNTIFS(CADASTROS!$L$7:$L$93,D2022,CADASTROS!$D$7:$D$93,E2022)=0,"INCOMPATÍVEL","OK"))))</f>
        <v/>
      </c>
    </row>
    <row r="2023" spans="1:11" ht="30" hidden="1" customHeight="1" x14ac:dyDescent="0.25">
      <c r="A2023" s="86" t="str">
        <f>IF(COUNTIF(EXTRATO!$A$2:$A$3000,"BAN-01880")=0,"","BAN-01880")</f>
        <v/>
      </c>
      <c r="B2023" s="85" t="str">
        <f>IF(A2023="","",IF(INDEX(EXTRATO!$C$2:$C$3000,MATCH($A2023,EXTRATO!$A$2:$A$3000,0))="","",INDEX(EXTRATO!$C$2:$C$3000,MATCH($A2023,EXTRATO!$A$2:$A$3000,0))))</f>
        <v/>
      </c>
      <c r="C2023" s="86" t="str">
        <f t="shared" si="50"/>
        <v/>
      </c>
      <c r="D2023" s="81"/>
      <c r="E2023" s="79"/>
      <c r="F2023" s="80" t="str">
        <f>IF(A2023="","",SUMIF(EXTRATO!$A$2:$A$3000,$A2023,EXTRATO!$J$2:$J$3000)+SUMIF(EXTRATO!$A$2:$A$3000,$A2023,EXTRATO!$K$2:$K$3000)+SUMIF(EXTRATO!$A$2:$A$3000,$A2023,EXTRATO!$L$2:$L$3000)+SUMIF(EXTRATO!$A$2:$A$3000,$A2023,EXTRATO!$M$2:$M$3000))</f>
        <v/>
      </c>
      <c r="G2023" s="81" t="str">
        <f>IF(A2023="","",IF(INDEX(EXTRATO!$G$2:$G$3000,MATCH($A2023,EXTRATO!$A$2:$A$3000,0))="","",INDEX(EXTRATO!$G$2:$G$3000,MATCH($A2023,EXTRATO!$A$2:$A$3000,0))))</f>
        <v/>
      </c>
      <c r="H2023" s="86" t="str">
        <f>IF(A2023="","",IF(INDEX(EXTRATO!$F$2:$F$3000,MATCH($A2023,EXTRATO!$A$2:$A$3000,0))="","",INDEX(EXTRATO!$F$2:$F$3000,MATCH($A2023,EXTRATO!$A$2:$A$3000,0))))</f>
        <v/>
      </c>
      <c r="I2023" s="88" t="str">
        <f>IF(A2023="","",IF(INDEX(EXTRATO!$H$2:$H$3000,MATCH($A2023,EXTRATO!$A$2:$A$3000,0))="","",INDEX(EXTRATO!$H$2:$H$3000,MATCH($A2023,EXTRATO!$A$2:$A$3000,0))))</f>
        <v/>
      </c>
      <c r="J2023" s="86" t="str">
        <f t="shared" si="49"/>
        <v/>
      </c>
      <c r="K2023" s="86" t="str">
        <f>IF(AND(A2023="",D2023="",E2023="",F2023=""),"",IF(D2023="","SEM CATEGORIA",IF(E2023="","SEM SUBCATEGORIA",IF(COUNTIFS(CADASTROS!$L$7:$L$93,D2023,CADASTROS!$D$7:$D$93,E2023)=0,"INCOMPATÍVEL","OK"))))</f>
        <v/>
      </c>
    </row>
    <row r="2024" spans="1:11" ht="30" hidden="1" customHeight="1" x14ac:dyDescent="0.25">
      <c r="A2024" s="86" t="str">
        <f>IF(COUNTIF(EXTRATO!$A$2:$A$3000,"BAN-01881")=0,"","BAN-01881")</f>
        <v/>
      </c>
      <c r="B2024" s="85" t="str">
        <f>IF(A2024="","",IF(INDEX(EXTRATO!$C$2:$C$3000,MATCH($A2024,EXTRATO!$A$2:$A$3000,0))="","",INDEX(EXTRATO!$C$2:$C$3000,MATCH($A2024,EXTRATO!$A$2:$A$3000,0))))</f>
        <v/>
      </c>
      <c r="C2024" s="86" t="str">
        <f t="shared" si="50"/>
        <v/>
      </c>
      <c r="D2024" s="81"/>
      <c r="E2024" s="79"/>
      <c r="F2024" s="80" t="str">
        <f>IF(A2024="","",SUMIF(EXTRATO!$A$2:$A$3000,$A2024,EXTRATO!$J$2:$J$3000)+SUMIF(EXTRATO!$A$2:$A$3000,$A2024,EXTRATO!$K$2:$K$3000)+SUMIF(EXTRATO!$A$2:$A$3000,$A2024,EXTRATO!$L$2:$L$3000)+SUMIF(EXTRATO!$A$2:$A$3000,$A2024,EXTRATO!$M$2:$M$3000))</f>
        <v/>
      </c>
      <c r="G2024" s="81" t="str">
        <f>IF(A2024="","",IF(INDEX(EXTRATO!$G$2:$G$3000,MATCH($A2024,EXTRATO!$A$2:$A$3000,0))="","",INDEX(EXTRATO!$G$2:$G$3000,MATCH($A2024,EXTRATO!$A$2:$A$3000,0))))</f>
        <v/>
      </c>
      <c r="H2024" s="86" t="str">
        <f>IF(A2024="","",IF(INDEX(EXTRATO!$F$2:$F$3000,MATCH($A2024,EXTRATO!$A$2:$A$3000,0))="","",INDEX(EXTRATO!$F$2:$F$3000,MATCH($A2024,EXTRATO!$A$2:$A$3000,0))))</f>
        <v/>
      </c>
      <c r="I2024" s="88" t="str">
        <f>IF(A2024="","",IF(INDEX(EXTRATO!$H$2:$H$3000,MATCH($A2024,EXTRATO!$A$2:$A$3000,0))="","",INDEX(EXTRATO!$H$2:$H$3000,MATCH($A2024,EXTRATO!$A$2:$A$3000,0))))</f>
        <v/>
      </c>
      <c r="J2024" s="86" t="str">
        <f t="shared" si="49"/>
        <v/>
      </c>
      <c r="K2024" s="86" t="str">
        <f>IF(AND(A2024="",D2024="",E2024="",F2024=""),"",IF(D2024="","SEM CATEGORIA",IF(E2024="","SEM SUBCATEGORIA",IF(COUNTIFS(CADASTROS!$L$7:$L$93,D2024,CADASTROS!$D$7:$D$93,E2024)=0,"INCOMPATÍVEL","OK"))))</f>
        <v/>
      </c>
    </row>
    <row r="2025" spans="1:11" ht="30" hidden="1" customHeight="1" x14ac:dyDescent="0.25">
      <c r="A2025" s="86" t="str">
        <f>IF(COUNTIF(EXTRATO!$A$2:$A$3000,"BAN-01882")=0,"","BAN-01882")</f>
        <v/>
      </c>
      <c r="B2025" s="85" t="str">
        <f>IF(A2025="","",IF(INDEX(EXTRATO!$C$2:$C$3000,MATCH($A2025,EXTRATO!$A$2:$A$3000,0))="","",INDEX(EXTRATO!$C$2:$C$3000,MATCH($A2025,EXTRATO!$A$2:$A$3000,0))))</f>
        <v/>
      </c>
      <c r="C2025" s="86" t="str">
        <f t="shared" si="50"/>
        <v/>
      </c>
      <c r="D2025" s="81"/>
      <c r="E2025" s="79"/>
      <c r="F2025" s="80" t="str">
        <f>IF(A2025="","",SUMIF(EXTRATO!$A$2:$A$3000,$A2025,EXTRATO!$J$2:$J$3000)+SUMIF(EXTRATO!$A$2:$A$3000,$A2025,EXTRATO!$K$2:$K$3000)+SUMIF(EXTRATO!$A$2:$A$3000,$A2025,EXTRATO!$L$2:$L$3000)+SUMIF(EXTRATO!$A$2:$A$3000,$A2025,EXTRATO!$M$2:$M$3000))</f>
        <v/>
      </c>
      <c r="G2025" s="81" t="str">
        <f>IF(A2025="","",IF(INDEX(EXTRATO!$G$2:$G$3000,MATCH($A2025,EXTRATO!$A$2:$A$3000,0))="","",INDEX(EXTRATO!$G$2:$G$3000,MATCH($A2025,EXTRATO!$A$2:$A$3000,0))))</f>
        <v/>
      </c>
      <c r="H2025" s="86" t="str">
        <f>IF(A2025="","",IF(INDEX(EXTRATO!$F$2:$F$3000,MATCH($A2025,EXTRATO!$A$2:$A$3000,0))="","",INDEX(EXTRATO!$F$2:$F$3000,MATCH($A2025,EXTRATO!$A$2:$A$3000,0))))</f>
        <v/>
      </c>
      <c r="I2025" s="88" t="str">
        <f>IF(A2025="","",IF(INDEX(EXTRATO!$H$2:$H$3000,MATCH($A2025,EXTRATO!$A$2:$A$3000,0))="","",INDEX(EXTRATO!$H$2:$H$3000,MATCH($A2025,EXTRATO!$A$2:$A$3000,0))))</f>
        <v/>
      </c>
      <c r="J2025" s="86" t="str">
        <f t="shared" si="49"/>
        <v/>
      </c>
      <c r="K2025" s="86" t="str">
        <f>IF(AND(A2025="",D2025="",E2025="",F2025=""),"",IF(D2025="","SEM CATEGORIA",IF(E2025="","SEM SUBCATEGORIA",IF(COUNTIFS(CADASTROS!$L$7:$L$93,D2025,CADASTROS!$D$7:$D$93,E2025)=0,"INCOMPATÍVEL","OK"))))</f>
        <v/>
      </c>
    </row>
    <row r="2026" spans="1:11" ht="30" hidden="1" customHeight="1" x14ac:dyDescent="0.25">
      <c r="A2026" s="86" t="str">
        <f>IF(COUNTIF(EXTRATO!$A$2:$A$3000,"BAN-01883")=0,"","BAN-01883")</f>
        <v/>
      </c>
      <c r="B2026" s="85" t="str">
        <f>IF(A2026="","",IF(INDEX(EXTRATO!$C$2:$C$3000,MATCH($A2026,EXTRATO!$A$2:$A$3000,0))="","",INDEX(EXTRATO!$C$2:$C$3000,MATCH($A2026,EXTRATO!$A$2:$A$3000,0))))</f>
        <v/>
      </c>
      <c r="C2026" s="86" t="str">
        <f t="shared" si="50"/>
        <v/>
      </c>
      <c r="D2026" s="81"/>
      <c r="E2026" s="79"/>
      <c r="F2026" s="80" t="str">
        <f>IF(A2026="","",SUMIF(EXTRATO!$A$2:$A$3000,$A2026,EXTRATO!$J$2:$J$3000)+SUMIF(EXTRATO!$A$2:$A$3000,$A2026,EXTRATO!$K$2:$K$3000)+SUMIF(EXTRATO!$A$2:$A$3000,$A2026,EXTRATO!$L$2:$L$3000)+SUMIF(EXTRATO!$A$2:$A$3000,$A2026,EXTRATO!$M$2:$M$3000))</f>
        <v/>
      </c>
      <c r="G2026" s="81" t="str">
        <f>IF(A2026="","",IF(INDEX(EXTRATO!$G$2:$G$3000,MATCH($A2026,EXTRATO!$A$2:$A$3000,0))="","",INDEX(EXTRATO!$G$2:$G$3000,MATCH($A2026,EXTRATO!$A$2:$A$3000,0))))</f>
        <v/>
      </c>
      <c r="H2026" s="86" t="str">
        <f>IF(A2026="","",IF(INDEX(EXTRATO!$F$2:$F$3000,MATCH($A2026,EXTRATO!$A$2:$A$3000,0))="","",INDEX(EXTRATO!$F$2:$F$3000,MATCH($A2026,EXTRATO!$A$2:$A$3000,0))))</f>
        <v/>
      </c>
      <c r="I2026" s="88" t="str">
        <f>IF(A2026="","",IF(INDEX(EXTRATO!$H$2:$H$3000,MATCH($A2026,EXTRATO!$A$2:$A$3000,0))="","",INDEX(EXTRATO!$H$2:$H$3000,MATCH($A2026,EXTRATO!$A$2:$A$3000,0))))</f>
        <v/>
      </c>
      <c r="J2026" s="86" t="str">
        <f t="shared" si="49"/>
        <v/>
      </c>
      <c r="K2026" s="86" t="str">
        <f>IF(AND(A2026="",D2026="",E2026="",F2026=""),"",IF(D2026="","SEM CATEGORIA",IF(E2026="","SEM SUBCATEGORIA",IF(COUNTIFS(CADASTROS!$L$7:$L$93,D2026,CADASTROS!$D$7:$D$93,E2026)=0,"INCOMPATÍVEL","OK"))))</f>
        <v/>
      </c>
    </row>
    <row r="2027" spans="1:11" ht="30" hidden="1" customHeight="1" x14ac:dyDescent="0.25">
      <c r="A2027" s="86" t="str">
        <f>IF(COUNTIF(EXTRATO!$A$2:$A$3000,"BAN-01884")=0,"","BAN-01884")</f>
        <v/>
      </c>
      <c r="B2027" s="85" t="str">
        <f>IF(A2027="","",IF(INDEX(EXTRATO!$C$2:$C$3000,MATCH($A2027,EXTRATO!$A$2:$A$3000,0))="","",INDEX(EXTRATO!$C$2:$C$3000,MATCH($A2027,EXTRATO!$A$2:$A$3000,0))))</f>
        <v/>
      </c>
      <c r="C2027" s="86" t="str">
        <f t="shared" si="50"/>
        <v/>
      </c>
      <c r="D2027" s="81"/>
      <c r="E2027" s="79"/>
      <c r="F2027" s="80" t="str">
        <f>IF(A2027="","",SUMIF(EXTRATO!$A$2:$A$3000,$A2027,EXTRATO!$J$2:$J$3000)+SUMIF(EXTRATO!$A$2:$A$3000,$A2027,EXTRATO!$K$2:$K$3000)+SUMIF(EXTRATO!$A$2:$A$3000,$A2027,EXTRATO!$L$2:$L$3000)+SUMIF(EXTRATO!$A$2:$A$3000,$A2027,EXTRATO!$M$2:$M$3000))</f>
        <v/>
      </c>
      <c r="G2027" s="81" t="str">
        <f>IF(A2027="","",IF(INDEX(EXTRATO!$G$2:$G$3000,MATCH($A2027,EXTRATO!$A$2:$A$3000,0))="","",INDEX(EXTRATO!$G$2:$G$3000,MATCH($A2027,EXTRATO!$A$2:$A$3000,0))))</f>
        <v/>
      </c>
      <c r="H2027" s="86" t="str">
        <f>IF(A2027="","",IF(INDEX(EXTRATO!$F$2:$F$3000,MATCH($A2027,EXTRATO!$A$2:$A$3000,0))="","",INDEX(EXTRATO!$F$2:$F$3000,MATCH($A2027,EXTRATO!$A$2:$A$3000,0))))</f>
        <v/>
      </c>
      <c r="I2027" s="88" t="str">
        <f>IF(A2027="","",IF(INDEX(EXTRATO!$H$2:$H$3000,MATCH($A2027,EXTRATO!$A$2:$A$3000,0))="","",INDEX(EXTRATO!$H$2:$H$3000,MATCH($A2027,EXTRATO!$A$2:$A$3000,0))))</f>
        <v/>
      </c>
      <c r="J2027" s="86" t="str">
        <f t="shared" si="49"/>
        <v/>
      </c>
      <c r="K2027" s="86" t="str">
        <f>IF(AND(A2027="",D2027="",E2027="",F2027=""),"",IF(D2027="","SEM CATEGORIA",IF(E2027="","SEM SUBCATEGORIA",IF(COUNTIFS(CADASTROS!$L$7:$L$93,D2027,CADASTROS!$D$7:$D$93,E2027)=0,"INCOMPATÍVEL","OK"))))</f>
        <v/>
      </c>
    </row>
    <row r="2028" spans="1:11" ht="30" hidden="1" customHeight="1" x14ac:dyDescent="0.25">
      <c r="A2028" s="86" t="str">
        <f>IF(COUNTIF(EXTRATO!$A$2:$A$3000,"BAN-01885")=0,"","BAN-01885")</f>
        <v/>
      </c>
      <c r="B2028" s="85" t="str">
        <f>IF(A2028="","",IF(INDEX(EXTRATO!$C$2:$C$3000,MATCH($A2028,EXTRATO!$A$2:$A$3000,0))="","",INDEX(EXTRATO!$C$2:$C$3000,MATCH($A2028,EXTRATO!$A$2:$A$3000,0))))</f>
        <v/>
      </c>
      <c r="C2028" s="86" t="str">
        <f t="shared" si="50"/>
        <v/>
      </c>
      <c r="D2028" s="81"/>
      <c r="E2028" s="79"/>
      <c r="F2028" s="80" t="str">
        <f>IF(A2028="","",SUMIF(EXTRATO!$A$2:$A$3000,$A2028,EXTRATO!$J$2:$J$3000)+SUMIF(EXTRATO!$A$2:$A$3000,$A2028,EXTRATO!$K$2:$K$3000)+SUMIF(EXTRATO!$A$2:$A$3000,$A2028,EXTRATO!$L$2:$L$3000)+SUMIF(EXTRATO!$A$2:$A$3000,$A2028,EXTRATO!$M$2:$M$3000))</f>
        <v/>
      </c>
      <c r="G2028" s="81" t="str">
        <f>IF(A2028="","",IF(INDEX(EXTRATO!$G$2:$G$3000,MATCH($A2028,EXTRATO!$A$2:$A$3000,0))="","",INDEX(EXTRATO!$G$2:$G$3000,MATCH($A2028,EXTRATO!$A$2:$A$3000,0))))</f>
        <v/>
      </c>
      <c r="H2028" s="86" t="str">
        <f>IF(A2028="","",IF(INDEX(EXTRATO!$F$2:$F$3000,MATCH($A2028,EXTRATO!$A$2:$A$3000,0))="","",INDEX(EXTRATO!$F$2:$F$3000,MATCH($A2028,EXTRATO!$A$2:$A$3000,0))))</f>
        <v/>
      </c>
      <c r="I2028" s="88" t="str">
        <f>IF(A2028="","",IF(INDEX(EXTRATO!$H$2:$H$3000,MATCH($A2028,EXTRATO!$A$2:$A$3000,0))="","",INDEX(EXTRATO!$H$2:$H$3000,MATCH($A2028,EXTRATO!$A$2:$A$3000,0))))</f>
        <v/>
      </c>
      <c r="J2028" s="86" t="str">
        <f t="shared" ref="J2028:J2091" si="51">IF(A2028="","",IF(K2028="OK","MANUAL","PENDENTE"))</f>
        <v/>
      </c>
      <c r="K2028" s="86" t="str">
        <f>IF(AND(A2028="",D2028="",E2028="",F2028=""),"",IF(D2028="","SEM CATEGORIA",IF(E2028="","SEM SUBCATEGORIA",IF(COUNTIFS(CADASTROS!$L$7:$L$93,D2028,CADASTROS!$D$7:$D$93,E2028)=0,"INCOMPATÍVEL","OK"))))</f>
        <v/>
      </c>
    </row>
    <row r="2029" spans="1:11" ht="30" hidden="1" customHeight="1" x14ac:dyDescent="0.25">
      <c r="A2029" s="86" t="str">
        <f>IF(COUNTIF(EXTRATO!$A$2:$A$3000,"BAN-01886")=0,"","BAN-01886")</f>
        <v/>
      </c>
      <c r="B2029" s="85" t="str">
        <f>IF(A2029="","",IF(INDEX(EXTRATO!$C$2:$C$3000,MATCH($A2029,EXTRATO!$A$2:$A$3000,0))="","",INDEX(EXTRATO!$C$2:$C$3000,MATCH($A2029,EXTRATO!$A$2:$A$3000,0))))</f>
        <v/>
      </c>
      <c r="C2029" s="86" t="str">
        <f t="shared" si="50"/>
        <v/>
      </c>
      <c r="D2029" s="81"/>
      <c r="E2029" s="79"/>
      <c r="F2029" s="80" t="str">
        <f>IF(A2029="","",SUMIF(EXTRATO!$A$2:$A$3000,$A2029,EXTRATO!$J$2:$J$3000)+SUMIF(EXTRATO!$A$2:$A$3000,$A2029,EXTRATO!$K$2:$K$3000)+SUMIF(EXTRATO!$A$2:$A$3000,$A2029,EXTRATO!$L$2:$L$3000)+SUMIF(EXTRATO!$A$2:$A$3000,$A2029,EXTRATO!$M$2:$M$3000))</f>
        <v/>
      </c>
      <c r="G2029" s="81" t="str">
        <f>IF(A2029="","",IF(INDEX(EXTRATO!$G$2:$G$3000,MATCH($A2029,EXTRATO!$A$2:$A$3000,0))="","",INDEX(EXTRATO!$G$2:$G$3000,MATCH($A2029,EXTRATO!$A$2:$A$3000,0))))</f>
        <v/>
      </c>
      <c r="H2029" s="86" t="str">
        <f>IF(A2029="","",IF(INDEX(EXTRATO!$F$2:$F$3000,MATCH($A2029,EXTRATO!$A$2:$A$3000,0))="","",INDEX(EXTRATO!$F$2:$F$3000,MATCH($A2029,EXTRATO!$A$2:$A$3000,0))))</f>
        <v/>
      </c>
      <c r="I2029" s="88" t="str">
        <f>IF(A2029="","",IF(INDEX(EXTRATO!$H$2:$H$3000,MATCH($A2029,EXTRATO!$A$2:$A$3000,0))="","",INDEX(EXTRATO!$H$2:$H$3000,MATCH($A2029,EXTRATO!$A$2:$A$3000,0))))</f>
        <v/>
      </c>
      <c r="J2029" s="86" t="str">
        <f t="shared" si="51"/>
        <v/>
      </c>
      <c r="K2029" s="86" t="str">
        <f>IF(AND(A2029="",D2029="",E2029="",F2029=""),"",IF(D2029="","SEM CATEGORIA",IF(E2029="","SEM SUBCATEGORIA",IF(COUNTIFS(CADASTROS!$L$7:$L$93,D2029,CADASTROS!$D$7:$D$93,E2029)=0,"INCOMPATÍVEL","OK"))))</f>
        <v/>
      </c>
    </row>
    <row r="2030" spans="1:11" ht="30" hidden="1" customHeight="1" x14ac:dyDescent="0.25">
      <c r="A2030" s="86" t="str">
        <f>IF(COUNTIF(EXTRATO!$A$2:$A$3000,"BAN-01887")=0,"","BAN-01887")</f>
        <v/>
      </c>
      <c r="B2030" s="85" t="str">
        <f>IF(A2030="","",IF(INDEX(EXTRATO!$C$2:$C$3000,MATCH($A2030,EXTRATO!$A$2:$A$3000,0))="","",INDEX(EXTRATO!$C$2:$C$3000,MATCH($A2030,EXTRATO!$A$2:$A$3000,0))))</f>
        <v/>
      </c>
      <c r="C2030" s="86" t="str">
        <f t="shared" si="50"/>
        <v/>
      </c>
      <c r="D2030" s="81"/>
      <c r="E2030" s="79"/>
      <c r="F2030" s="80" t="str">
        <f>IF(A2030="","",SUMIF(EXTRATO!$A$2:$A$3000,$A2030,EXTRATO!$J$2:$J$3000)+SUMIF(EXTRATO!$A$2:$A$3000,$A2030,EXTRATO!$K$2:$K$3000)+SUMIF(EXTRATO!$A$2:$A$3000,$A2030,EXTRATO!$L$2:$L$3000)+SUMIF(EXTRATO!$A$2:$A$3000,$A2030,EXTRATO!$M$2:$M$3000))</f>
        <v/>
      </c>
      <c r="G2030" s="81" t="str">
        <f>IF(A2030="","",IF(INDEX(EXTRATO!$G$2:$G$3000,MATCH($A2030,EXTRATO!$A$2:$A$3000,0))="","",INDEX(EXTRATO!$G$2:$G$3000,MATCH($A2030,EXTRATO!$A$2:$A$3000,0))))</f>
        <v/>
      </c>
      <c r="H2030" s="86" t="str">
        <f>IF(A2030="","",IF(INDEX(EXTRATO!$F$2:$F$3000,MATCH($A2030,EXTRATO!$A$2:$A$3000,0))="","",INDEX(EXTRATO!$F$2:$F$3000,MATCH($A2030,EXTRATO!$A$2:$A$3000,0))))</f>
        <v/>
      </c>
      <c r="I2030" s="88" t="str">
        <f>IF(A2030="","",IF(INDEX(EXTRATO!$H$2:$H$3000,MATCH($A2030,EXTRATO!$A$2:$A$3000,0))="","",INDEX(EXTRATO!$H$2:$H$3000,MATCH($A2030,EXTRATO!$A$2:$A$3000,0))))</f>
        <v/>
      </c>
      <c r="J2030" s="86" t="str">
        <f t="shared" si="51"/>
        <v/>
      </c>
      <c r="K2030" s="86" t="str">
        <f>IF(AND(A2030="",D2030="",E2030="",F2030=""),"",IF(D2030="","SEM CATEGORIA",IF(E2030="","SEM SUBCATEGORIA",IF(COUNTIFS(CADASTROS!$L$7:$L$93,D2030,CADASTROS!$D$7:$D$93,E2030)=0,"INCOMPATÍVEL","OK"))))</f>
        <v/>
      </c>
    </row>
    <row r="2031" spans="1:11" ht="30" hidden="1" customHeight="1" x14ac:dyDescent="0.25">
      <c r="A2031" s="86" t="str">
        <f>IF(COUNTIF(EXTRATO!$A$2:$A$3000,"BAN-01888")=0,"","BAN-01888")</f>
        <v/>
      </c>
      <c r="B2031" s="85" t="str">
        <f>IF(A2031="","",IF(INDEX(EXTRATO!$C$2:$C$3000,MATCH($A2031,EXTRATO!$A$2:$A$3000,0))="","",INDEX(EXTRATO!$C$2:$C$3000,MATCH($A2031,EXTRATO!$A$2:$A$3000,0))))</f>
        <v/>
      </c>
      <c r="C2031" s="86" t="str">
        <f t="shared" si="50"/>
        <v/>
      </c>
      <c r="D2031" s="81"/>
      <c r="E2031" s="79"/>
      <c r="F2031" s="80" t="str">
        <f>IF(A2031="","",SUMIF(EXTRATO!$A$2:$A$3000,$A2031,EXTRATO!$J$2:$J$3000)+SUMIF(EXTRATO!$A$2:$A$3000,$A2031,EXTRATO!$K$2:$K$3000)+SUMIF(EXTRATO!$A$2:$A$3000,$A2031,EXTRATO!$L$2:$L$3000)+SUMIF(EXTRATO!$A$2:$A$3000,$A2031,EXTRATO!$M$2:$M$3000))</f>
        <v/>
      </c>
      <c r="G2031" s="81" t="str">
        <f>IF(A2031="","",IF(INDEX(EXTRATO!$G$2:$G$3000,MATCH($A2031,EXTRATO!$A$2:$A$3000,0))="","",INDEX(EXTRATO!$G$2:$G$3000,MATCH($A2031,EXTRATO!$A$2:$A$3000,0))))</f>
        <v/>
      </c>
      <c r="H2031" s="86" t="str">
        <f>IF(A2031="","",IF(INDEX(EXTRATO!$F$2:$F$3000,MATCH($A2031,EXTRATO!$A$2:$A$3000,0))="","",INDEX(EXTRATO!$F$2:$F$3000,MATCH($A2031,EXTRATO!$A$2:$A$3000,0))))</f>
        <v/>
      </c>
      <c r="I2031" s="88" t="str">
        <f>IF(A2031="","",IF(INDEX(EXTRATO!$H$2:$H$3000,MATCH($A2031,EXTRATO!$A$2:$A$3000,0))="","",INDEX(EXTRATO!$H$2:$H$3000,MATCH($A2031,EXTRATO!$A$2:$A$3000,0))))</f>
        <v/>
      </c>
      <c r="J2031" s="86" t="str">
        <f t="shared" si="51"/>
        <v/>
      </c>
      <c r="K2031" s="86" t="str">
        <f>IF(AND(A2031="",D2031="",E2031="",F2031=""),"",IF(D2031="","SEM CATEGORIA",IF(E2031="","SEM SUBCATEGORIA",IF(COUNTIFS(CADASTROS!$L$7:$L$93,D2031,CADASTROS!$D$7:$D$93,E2031)=0,"INCOMPATÍVEL","OK"))))</f>
        <v/>
      </c>
    </row>
    <row r="2032" spans="1:11" ht="30" hidden="1" customHeight="1" x14ac:dyDescent="0.25">
      <c r="A2032" s="86" t="str">
        <f>IF(COUNTIF(EXTRATO!$A$2:$A$3000,"BAN-01889")=0,"","BAN-01889")</f>
        <v/>
      </c>
      <c r="B2032" s="85" t="str">
        <f>IF(A2032="","",IF(INDEX(EXTRATO!$C$2:$C$3000,MATCH($A2032,EXTRATO!$A$2:$A$3000,0))="","",INDEX(EXTRATO!$C$2:$C$3000,MATCH($A2032,EXTRATO!$A$2:$A$3000,0))))</f>
        <v/>
      </c>
      <c r="C2032" s="86" t="str">
        <f t="shared" si="50"/>
        <v/>
      </c>
      <c r="D2032" s="81"/>
      <c r="E2032" s="79"/>
      <c r="F2032" s="80" t="str">
        <f>IF(A2032="","",SUMIF(EXTRATO!$A$2:$A$3000,$A2032,EXTRATO!$J$2:$J$3000)+SUMIF(EXTRATO!$A$2:$A$3000,$A2032,EXTRATO!$K$2:$K$3000)+SUMIF(EXTRATO!$A$2:$A$3000,$A2032,EXTRATO!$L$2:$L$3000)+SUMIF(EXTRATO!$A$2:$A$3000,$A2032,EXTRATO!$M$2:$M$3000))</f>
        <v/>
      </c>
      <c r="G2032" s="81" t="str">
        <f>IF(A2032="","",IF(INDEX(EXTRATO!$G$2:$G$3000,MATCH($A2032,EXTRATO!$A$2:$A$3000,0))="","",INDEX(EXTRATO!$G$2:$G$3000,MATCH($A2032,EXTRATO!$A$2:$A$3000,0))))</f>
        <v/>
      </c>
      <c r="H2032" s="86" t="str">
        <f>IF(A2032="","",IF(INDEX(EXTRATO!$F$2:$F$3000,MATCH($A2032,EXTRATO!$A$2:$A$3000,0))="","",INDEX(EXTRATO!$F$2:$F$3000,MATCH($A2032,EXTRATO!$A$2:$A$3000,0))))</f>
        <v/>
      </c>
      <c r="I2032" s="88" t="str">
        <f>IF(A2032="","",IF(INDEX(EXTRATO!$H$2:$H$3000,MATCH($A2032,EXTRATO!$A$2:$A$3000,0))="","",INDEX(EXTRATO!$H$2:$H$3000,MATCH($A2032,EXTRATO!$A$2:$A$3000,0))))</f>
        <v/>
      </c>
      <c r="J2032" s="86" t="str">
        <f t="shared" si="51"/>
        <v/>
      </c>
      <c r="K2032" s="86" t="str">
        <f>IF(AND(A2032="",D2032="",E2032="",F2032=""),"",IF(D2032="","SEM CATEGORIA",IF(E2032="","SEM SUBCATEGORIA",IF(COUNTIFS(CADASTROS!$L$7:$L$93,D2032,CADASTROS!$D$7:$D$93,E2032)=0,"INCOMPATÍVEL","OK"))))</f>
        <v/>
      </c>
    </row>
    <row r="2033" spans="1:11" ht="30" hidden="1" customHeight="1" x14ac:dyDescent="0.25">
      <c r="A2033" s="86" t="str">
        <f>IF(COUNTIF(EXTRATO!$A$2:$A$3000,"BAN-01890")=0,"","BAN-01890")</f>
        <v/>
      </c>
      <c r="B2033" s="85" t="str">
        <f>IF(A2033="","",IF(INDEX(EXTRATO!$C$2:$C$3000,MATCH($A2033,EXTRATO!$A$2:$A$3000,0))="","",INDEX(EXTRATO!$C$2:$C$3000,MATCH($A2033,EXTRATO!$A$2:$A$3000,0))))</f>
        <v/>
      </c>
      <c r="C2033" s="86" t="str">
        <f t="shared" si="50"/>
        <v/>
      </c>
      <c r="D2033" s="81"/>
      <c r="E2033" s="79"/>
      <c r="F2033" s="80" t="str">
        <f>IF(A2033="","",SUMIF(EXTRATO!$A$2:$A$3000,$A2033,EXTRATO!$J$2:$J$3000)+SUMIF(EXTRATO!$A$2:$A$3000,$A2033,EXTRATO!$K$2:$K$3000)+SUMIF(EXTRATO!$A$2:$A$3000,$A2033,EXTRATO!$L$2:$L$3000)+SUMIF(EXTRATO!$A$2:$A$3000,$A2033,EXTRATO!$M$2:$M$3000))</f>
        <v/>
      </c>
      <c r="G2033" s="81" t="str">
        <f>IF(A2033="","",IF(INDEX(EXTRATO!$G$2:$G$3000,MATCH($A2033,EXTRATO!$A$2:$A$3000,0))="","",INDEX(EXTRATO!$G$2:$G$3000,MATCH($A2033,EXTRATO!$A$2:$A$3000,0))))</f>
        <v/>
      </c>
      <c r="H2033" s="86" t="str">
        <f>IF(A2033="","",IF(INDEX(EXTRATO!$F$2:$F$3000,MATCH($A2033,EXTRATO!$A$2:$A$3000,0))="","",INDEX(EXTRATO!$F$2:$F$3000,MATCH($A2033,EXTRATO!$A$2:$A$3000,0))))</f>
        <v/>
      </c>
      <c r="I2033" s="88" t="str">
        <f>IF(A2033="","",IF(INDEX(EXTRATO!$H$2:$H$3000,MATCH($A2033,EXTRATO!$A$2:$A$3000,0))="","",INDEX(EXTRATO!$H$2:$H$3000,MATCH($A2033,EXTRATO!$A$2:$A$3000,0))))</f>
        <v/>
      </c>
      <c r="J2033" s="86" t="str">
        <f t="shared" si="51"/>
        <v/>
      </c>
      <c r="K2033" s="86" t="str">
        <f>IF(AND(A2033="",D2033="",E2033="",F2033=""),"",IF(D2033="","SEM CATEGORIA",IF(E2033="","SEM SUBCATEGORIA",IF(COUNTIFS(CADASTROS!$L$7:$L$93,D2033,CADASTROS!$D$7:$D$93,E2033)=0,"INCOMPATÍVEL","OK"))))</f>
        <v/>
      </c>
    </row>
    <row r="2034" spans="1:11" ht="30" hidden="1" customHeight="1" x14ac:dyDescent="0.25">
      <c r="A2034" s="86" t="str">
        <f>IF(COUNTIF(EXTRATO!$A$2:$A$3000,"BAN-01891")=0,"","BAN-01891")</f>
        <v/>
      </c>
      <c r="B2034" s="85" t="str">
        <f>IF(A2034="","",IF(INDEX(EXTRATO!$C$2:$C$3000,MATCH($A2034,EXTRATO!$A$2:$A$3000,0))="","",INDEX(EXTRATO!$C$2:$C$3000,MATCH($A2034,EXTRATO!$A$2:$A$3000,0))))</f>
        <v/>
      </c>
      <c r="C2034" s="86" t="str">
        <f t="shared" si="50"/>
        <v/>
      </c>
      <c r="D2034" s="81"/>
      <c r="E2034" s="79"/>
      <c r="F2034" s="80" t="str">
        <f>IF(A2034="","",SUMIF(EXTRATO!$A$2:$A$3000,$A2034,EXTRATO!$J$2:$J$3000)+SUMIF(EXTRATO!$A$2:$A$3000,$A2034,EXTRATO!$K$2:$K$3000)+SUMIF(EXTRATO!$A$2:$A$3000,$A2034,EXTRATO!$L$2:$L$3000)+SUMIF(EXTRATO!$A$2:$A$3000,$A2034,EXTRATO!$M$2:$M$3000))</f>
        <v/>
      </c>
      <c r="G2034" s="81" t="str">
        <f>IF(A2034="","",IF(INDEX(EXTRATO!$G$2:$G$3000,MATCH($A2034,EXTRATO!$A$2:$A$3000,0))="","",INDEX(EXTRATO!$G$2:$G$3000,MATCH($A2034,EXTRATO!$A$2:$A$3000,0))))</f>
        <v/>
      </c>
      <c r="H2034" s="86" t="str">
        <f>IF(A2034="","",IF(INDEX(EXTRATO!$F$2:$F$3000,MATCH($A2034,EXTRATO!$A$2:$A$3000,0))="","",INDEX(EXTRATO!$F$2:$F$3000,MATCH($A2034,EXTRATO!$A$2:$A$3000,0))))</f>
        <v/>
      </c>
      <c r="I2034" s="88" t="str">
        <f>IF(A2034="","",IF(INDEX(EXTRATO!$H$2:$H$3000,MATCH($A2034,EXTRATO!$A$2:$A$3000,0))="","",INDEX(EXTRATO!$H$2:$H$3000,MATCH($A2034,EXTRATO!$A$2:$A$3000,0))))</f>
        <v/>
      </c>
      <c r="J2034" s="86" t="str">
        <f t="shared" si="51"/>
        <v/>
      </c>
      <c r="K2034" s="86" t="str">
        <f>IF(AND(A2034="",D2034="",E2034="",F2034=""),"",IF(D2034="","SEM CATEGORIA",IF(E2034="","SEM SUBCATEGORIA",IF(COUNTIFS(CADASTROS!$L$7:$L$93,D2034,CADASTROS!$D$7:$D$93,E2034)=0,"INCOMPATÍVEL","OK"))))</f>
        <v/>
      </c>
    </row>
    <row r="2035" spans="1:11" ht="30" hidden="1" customHeight="1" x14ac:dyDescent="0.25">
      <c r="A2035" s="86" t="str">
        <f>IF(COUNTIF(EXTRATO!$A$2:$A$3000,"BAN-01892")=0,"","BAN-01892")</f>
        <v/>
      </c>
      <c r="B2035" s="85" t="str">
        <f>IF(A2035="","",IF(INDEX(EXTRATO!$C$2:$C$3000,MATCH($A2035,EXTRATO!$A$2:$A$3000,0))="","",INDEX(EXTRATO!$C$2:$C$3000,MATCH($A2035,EXTRATO!$A$2:$A$3000,0))))</f>
        <v/>
      </c>
      <c r="C2035" s="86" t="str">
        <f t="shared" si="50"/>
        <v/>
      </c>
      <c r="D2035" s="81"/>
      <c r="E2035" s="79"/>
      <c r="F2035" s="80" t="str">
        <f>IF(A2035="","",SUMIF(EXTRATO!$A$2:$A$3000,$A2035,EXTRATO!$J$2:$J$3000)+SUMIF(EXTRATO!$A$2:$A$3000,$A2035,EXTRATO!$K$2:$K$3000)+SUMIF(EXTRATO!$A$2:$A$3000,$A2035,EXTRATO!$L$2:$L$3000)+SUMIF(EXTRATO!$A$2:$A$3000,$A2035,EXTRATO!$M$2:$M$3000))</f>
        <v/>
      </c>
      <c r="G2035" s="81" t="str">
        <f>IF(A2035="","",IF(INDEX(EXTRATO!$G$2:$G$3000,MATCH($A2035,EXTRATO!$A$2:$A$3000,0))="","",INDEX(EXTRATO!$G$2:$G$3000,MATCH($A2035,EXTRATO!$A$2:$A$3000,0))))</f>
        <v/>
      </c>
      <c r="H2035" s="86" t="str">
        <f>IF(A2035="","",IF(INDEX(EXTRATO!$F$2:$F$3000,MATCH($A2035,EXTRATO!$A$2:$A$3000,0))="","",INDEX(EXTRATO!$F$2:$F$3000,MATCH($A2035,EXTRATO!$A$2:$A$3000,0))))</f>
        <v/>
      </c>
      <c r="I2035" s="88" t="str">
        <f>IF(A2035="","",IF(INDEX(EXTRATO!$H$2:$H$3000,MATCH($A2035,EXTRATO!$A$2:$A$3000,0))="","",INDEX(EXTRATO!$H$2:$H$3000,MATCH($A2035,EXTRATO!$A$2:$A$3000,0))))</f>
        <v/>
      </c>
      <c r="J2035" s="86" t="str">
        <f t="shared" si="51"/>
        <v/>
      </c>
      <c r="K2035" s="86" t="str">
        <f>IF(AND(A2035="",D2035="",E2035="",F2035=""),"",IF(D2035="","SEM CATEGORIA",IF(E2035="","SEM SUBCATEGORIA",IF(COUNTIFS(CADASTROS!$L$7:$L$93,D2035,CADASTROS!$D$7:$D$93,E2035)=0,"INCOMPATÍVEL","OK"))))</f>
        <v/>
      </c>
    </row>
    <row r="2036" spans="1:11" ht="30" hidden="1" customHeight="1" x14ac:dyDescent="0.25">
      <c r="A2036" s="86" t="str">
        <f>IF(COUNTIF(EXTRATO!$A$2:$A$3000,"BAN-01893")=0,"","BAN-01893")</f>
        <v/>
      </c>
      <c r="B2036" s="85" t="str">
        <f>IF(A2036="","",IF(INDEX(EXTRATO!$C$2:$C$3000,MATCH($A2036,EXTRATO!$A$2:$A$3000,0))="","",INDEX(EXTRATO!$C$2:$C$3000,MATCH($A2036,EXTRATO!$A$2:$A$3000,0))))</f>
        <v/>
      </c>
      <c r="C2036" s="86" t="str">
        <f t="shared" si="50"/>
        <v/>
      </c>
      <c r="D2036" s="81"/>
      <c r="E2036" s="79"/>
      <c r="F2036" s="80" t="str">
        <f>IF(A2036="","",SUMIF(EXTRATO!$A$2:$A$3000,$A2036,EXTRATO!$J$2:$J$3000)+SUMIF(EXTRATO!$A$2:$A$3000,$A2036,EXTRATO!$K$2:$K$3000)+SUMIF(EXTRATO!$A$2:$A$3000,$A2036,EXTRATO!$L$2:$L$3000)+SUMIF(EXTRATO!$A$2:$A$3000,$A2036,EXTRATO!$M$2:$M$3000))</f>
        <v/>
      </c>
      <c r="G2036" s="81" t="str">
        <f>IF(A2036="","",IF(INDEX(EXTRATO!$G$2:$G$3000,MATCH($A2036,EXTRATO!$A$2:$A$3000,0))="","",INDEX(EXTRATO!$G$2:$G$3000,MATCH($A2036,EXTRATO!$A$2:$A$3000,0))))</f>
        <v/>
      </c>
      <c r="H2036" s="86" t="str">
        <f>IF(A2036="","",IF(INDEX(EXTRATO!$F$2:$F$3000,MATCH($A2036,EXTRATO!$A$2:$A$3000,0))="","",INDEX(EXTRATO!$F$2:$F$3000,MATCH($A2036,EXTRATO!$A$2:$A$3000,0))))</f>
        <v/>
      </c>
      <c r="I2036" s="88" t="str">
        <f>IF(A2036="","",IF(INDEX(EXTRATO!$H$2:$H$3000,MATCH($A2036,EXTRATO!$A$2:$A$3000,0))="","",INDEX(EXTRATO!$H$2:$H$3000,MATCH($A2036,EXTRATO!$A$2:$A$3000,0))))</f>
        <v/>
      </c>
      <c r="J2036" s="86" t="str">
        <f t="shared" si="51"/>
        <v/>
      </c>
      <c r="K2036" s="86" t="str">
        <f>IF(AND(A2036="",D2036="",E2036="",F2036=""),"",IF(D2036="","SEM CATEGORIA",IF(E2036="","SEM SUBCATEGORIA",IF(COUNTIFS(CADASTROS!$L$7:$L$93,D2036,CADASTROS!$D$7:$D$93,E2036)=0,"INCOMPATÍVEL","OK"))))</f>
        <v/>
      </c>
    </row>
    <row r="2037" spans="1:11" ht="30" hidden="1" customHeight="1" x14ac:dyDescent="0.25">
      <c r="A2037" s="86" t="str">
        <f>IF(COUNTIF(EXTRATO!$A$2:$A$3000,"BAN-01894")=0,"","BAN-01894")</f>
        <v/>
      </c>
      <c r="B2037" s="85" t="str">
        <f>IF(A2037="","",IF(INDEX(EXTRATO!$C$2:$C$3000,MATCH($A2037,EXTRATO!$A$2:$A$3000,0))="","",INDEX(EXTRATO!$C$2:$C$3000,MATCH($A2037,EXTRATO!$A$2:$A$3000,0))))</f>
        <v/>
      </c>
      <c r="C2037" s="86" t="str">
        <f t="shared" si="50"/>
        <v/>
      </c>
      <c r="D2037" s="81"/>
      <c r="E2037" s="79"/>
      <c r="F2037" s="80" t="str">
        <f>IF(A2037="","",SUMIF(EXTRATO!$A$2:$A$3000,$A2037,EXTRATO!$J$2:$J$3000)+SUMIF(EXTRATO!$A$2:$A$3000,$A2037,EXTRATO!$K$2:$K$3000)+SUMIF(EXTRATO!$A$2:$A$3000,$A2037,EXTRATO!$L$2:$L$3000)+SUMIF(EXTRATO!$A$2:$A$3000,$A2037,EXTRATO!$M$2:$M$3000))</f>
        <v/>
      </c>
      <c r="G2037" s="81" t="str">
        <f>IF(A2037="","",IF(INDEX(EXTRATO!$G$2:$G$3000,MATCH($A2037,EXTRATO!$A$2:$A$3000,0))="","",INDEX(EXTRATO!$G$2:$G$3000,MATCH($A2037,EXTRATO!$A$2:$A$3000,0))))</f>
        <v/>
      </c>
      <c r="H2037" s="86" t="str">
        <f>IF(A2037="","",IF(INDEX(EXTRATO!$F$2:$F$3000,MATCH($A2037,EXTRATO!$A$2:$A$3000,0))="","",INDEX(EXTRATO!$F$2:$F$3000,MATCH($A2037,EXTRATO!$A$2:$A$3000,0))))</f>
        <v/>
      </c>
      <c r="I2037" s="88" t="str">
        <f>IF(A2037="","",IF(INDEX(EXTRATO!$H$2:$H$3000,MATCH($A2037,EXTRATO!$A$2:$A$3000,0))="","",INDEX(EXTRATO!$H$2:$H$3000,MATCH($A2037,EXTRATO!$A$2:$A$3000,0))))</f>
        <v/>
      </c>
      <c r="J2037" s="86" t="str">
        <f t="shared" si="51"/>
        <v/>
      </c>
      <c r="K2037" s="86" t="str">
        <f>IF(AND(A2037="",D2037="",E2037="",F2037=""),"",IF(D2037="","SEM CATEGORIA",IF(E2037="","SEM SUBCATEGORIA",IF(COUNTIFS(CADASTROS!$L$7:$L$93,D2037,CADASTROS!$D$7:$D$93,E2037)=0,"INCOMPATÍVEL","OK"))))</f>
        <v/>
      </c>
    </row>
    <row r="2038" spans="1:11" ht="30" hidden="1" customHeight="1" x14ac:dyDescent="0.25">
      <c r="A2038" s="86" t="str">
        <f>IF(COUNTIF(EXTRATO!$A$2:$A$3000,"BAN-01895")=0,"","BAN-01895")</f>
        <v/>
      </c>
      <c r="B2038" s="85" t="str">
        <f>IF(A2038="","",IF(INDEX(EXTRATO!$C$2:$C$3000,MATCH($A2038,EXTRATO!$A$2:$A$3000,0))="","",INDEX(EXTRATO!$C$2:$C$3000,MATCH($A2038,EXTRATO!$A$2:$A$3000,0))))</f>
        <v/>
      </c>
      <c r="C2038" s="86" t="str">
        <f t="shared" si="50"/>
        <v/>
      </c>
      <c r="D2038" s="81"/>
      <c r="E2038" s="79"/>
      <c r="F2038" s="80" t="str">
        <f>IF(A2038="","",SUMIF(EXTRATO!$A$2:$A$3000,$A2038,EXTRATO!$J$2:$J$3000)+SUMIF(EXTRATO!$A$2:$A$3000,$A2038,EXTRATO!$K$2:$K$3000)+SUMIF(EXTRATO!$A$2:$A$3000,$A2038,EXTRATO!$L$2:$L$3000)+SUMIF(EXTRATO!$A$2:$A$3000,$A2038,EXTRATO!$M$2:$M$3000))</f>
        <v/>
      </c>
      <c r="G2038" s="81" t="str">
        <f>IF(A2038="","",IF(INDEX(EXTRATO!$G$2:$G$3000,MATCH($A2038,EXTRATO!$A$2:$A$3000,0))="","",INDEX(EXTRATO!$G$2:$G$3000,MATCH($A2038,EXTRATO!$A$2:$A$3000,0))))</f>
        <v/>
      </c>
      <c r="H2038" s="86" t="str">
        <f>IF(A2038="","",IF(INDEX(EXTRATO!$F$2:$F$3000,MATCH($A2038,EXTRATO!$A$2:$A$3000,0))="","",INDEX(EXTRATO!$F$2:$F$3000,MATCH($A2038,EXTRATO!$A$2:$A$3000,0))))</f>
        <v/>
      </c>
      <c r="I2038" s="88" t="str">
        <f>IF(A2038="","",IF(INDEX(EXTRATO!$H$2:$H$3000,MATCH($A2038,EXTRATO!$A$2:$A$3000,0))="","",INDEX(EXTRATO!$H$2:$H$3000,MATCH($A2038,EXTRATO!$A$2:$A$3000,0))))</f>
        <v/>
      </c>
      <c r="J2038" s="86" t="str">
        <f t="shared" si="51"/>
        <v/>
      </c>
      <c r="K2038" s="86" t="str">
        <f>IF(AND(A2038="",D2038="",E2038="",F2038=""),"",IF(D2038="","SEM CATEGORIA",IF(E2038="","SEM SUBCATEGORIA",IF(COUNTIFS(CADASTROS!$L$7:$L$93,D2038,CADASTROS!$D$7:$D$93,E2038)=0,"INCOMPATÍVEL","OK"))))</f>
        <v/>
      </c>
    </row>
    <row r="2039" spans="1:11" ht="30" hidden="1" customHeight="1" x14ac:dyDescent="0.25">
      <c r="A2039" s="86" t="str">
        <f>IF(COUNTIF(EXTRATO!$A$2:$A$3000,"BAN-01896")=0,"","BAN-01896")</f>
        <v/>
      </c>
      <c r="B2039" s="85" t="str">
        <f>IF(A2039="","",IF(INDEX(EXTRATO!$C$2:$C$3000,MATCH($A2039,EXTRATO!$A$2:$A$3000,0))="","",INDEX(EXTRATO!$C$2:$C$3000,MATCH($A2039,EXTRATO!$A$2:$A$3000,0))))</f>
        <v/>
      </c>
      <c r="C2039" s="86" t="str">
        <f t="shared" si="50"/>
        <v/>
      </c>
      <c r="D2039" s="81"/>
      <c r="E2039" s="79"/>
      <c r="F2039" s="80" t="str">
        <f>IF(A2039="","",SUMIF(EXTRATO!$A$2:$A$3000,$A2039,EXTRATO!$J$2:$J$3000)+SUMIF(EXTRATO!$A$2:$A$3000,$A2039,EXTRATO!$K$2:$K$3000)+SUMIF(EXTRATO!$A$2:$A$3000,$A2039,EXTRATO!$L$2:$L$3000)+SUMIF(EXTRATO!$A$2:$A$3000,$A2039,EXTRATO!$M$2:$M$3000))</f>
        <v/>
      </c>
      <c r="G2039" s="81" t="str">
        <f>IF(A2039="","",IF(INDEX(EXTRATO!$G$2:$G$3000,MATCH($A2039,EXTRATO!$A$2:$A$3000,0))="","",INDEX(EXTRATO!$G$2:$G$3000,MATCH($A2039,EXTRATO!$A$2:$A$3000,0))))</f>
        <v/>
      </c>
      <c r="H2039" s="86" t="str">
        <f>IF(A2039="","",IF(INDEX(EXTRATO!$F$2:$F$3000,MATCH($A2039,EXTRATO!$A$2:$A$3000,0))="","",INDEX(EXTRATO!$F$2:$F$3000,MATCH($A2039,EXTRATO!$A$2:$A$3000,0))))</f>
        <v/>
      </c>
      <c r="I2039" s="88" t="str">
        <f>IF(A2039="","",IF(INDEX(EXTRATO!$H$2:$H$3000,MATCH($A2039,EXTRATO!$A$2:$A$3000,0))="","",INDEX(EXTRATO!$H$2:$H$3000,MATCH($A2039,EXTRATO!$A$2:$A$3000,0))))</f>
        <v/>
      </c>
      <c r="J2039" s="86" t="str">
        <f t="shared" si="51"/>
        <v/>
      </c>
      <c r="K2039" s="86" t="str">
        <f>IF(AND(A2039="",D2039="",E2039="",F2039=""),"",IF(D2039="","SEM CATEGORIA",IF(E2039="","SEM SUBCATEGORIA",IF(COUNTIFS(CADASTROS!$L$7:$L$93,D2039,CADASTROS!$D$7:$D$93,E2039)=0,"INCOMPATÍVEL","OK"))))</f>
        <v/>
      </c>
    </row>
    <row r="2040" spans="1:11" ht="30" hidden="1" customHeight="1" x14ac:dyDescent="0.25">
      <c r="A2040" s="86" t="str">
        <f>IF(COUNTIF(EXTRATO!$A$2:$A$3000,"BAN-01897")=0,"","BAN-01897")</f>
        <v/>
      </c>
      <c r="B2040" s="85" t="str">
        <f>IF(A2040="","",IF(INDEX(EXTRATO!$C$2:$C$3000,MATCH($A2040,EXTRATO!$A$2:$A$3000,0))="","",INDEX(EXTRATO!$C$2:$C$3000,MATCH($A2040,EXTRATO!$A$2:$A$3000,0))))</f>
        <v/>
      </c>
      <c r="C2040" s="86" t="str">
        <f t="shared" si="50"/>
        <v/>
      </c>
      <c r="D2040" s="81"/>
      <c r="E2040" s="79"/>
      <c r="F2040" s="80" t="str">
        <f>IF(A2040="","",SUMIF(EXTRATO!$A$2:$A$3000,$A2040,EXTRATO!$J$2:$J$3000)+SUMIF(EXTRATO!$A$2:$A$3000,$A2040,EXTRATO!$K$2:$K$3000)+SUMIF(EXTRATO!$A$2:$A$3000,$A2040,EXTRATO!$L$2:$L$3000)+SUMIF(EXTRATO!$A$2:$A$3000,$A2040,EXTRATO!$M$2:$M$3000))</f>
        <v/>
      </c>
      <c r="G2040" s="81" t="str">
        <f>IF(A2040="","",IF(INDEX(EXTRATO!$G$2:$G$3000,MATCH($A2040,EXTRATO!$A$2:$A$3000,0))="","",INDEX(EXTRATO!$G$2:$G$3000,MATCH($A2040,EXTRATO!$A$2:$A$3000,0))))</f>
        <v/>
      </c>
      <c r="H2040" s="86" t="str">
        <f>IF(A2040="","",IF(INDEX(EXTRATO!$F$2:$F$3000,MATCH($A2040,EXTRATO!$A$2:$A$3000,0))="","",INDEX(EXTRATO!$F$2:$F$3000,MATCH($A2040,EXTRATO!$A$2:$A$3000,0))))</f>
        <v/>
      </c>
      <c r="I2040" s="88" t="str">
        <f>IF(A2040="","",IF(INDEX(EXTRATO!$H$2:$H$3000,MATCH($A2040,EXTRATO!$A$2:$A$3000,0))="","",INDEX(EXTRATO!$H$2:$H$3000,MATCH($A2040,EXTRATO!$A$2:$A$3000,0))))</f>
        <v/>
      </c>
      <c r="J2040" s="86" t="str">
        <f t="shared" si="51"/>
        <v/>
      </c>
      <c r="K2040" s="86" t="str">
        <f>IF(AND(A2040="",D2040="",E2040="",F2040=""),"",IF(D2040="","SEM CATEGORIA",IF(E2040="","SEM SUBCATEGORIA",IF(COUNTIFS(CADASTROS!$L$7:$L$93,D2040,CADASTROS!$D$7:$D$93,E2040)=0,"INCOMPATÍVEL","OK"))))</f>
        <v/>
      </c>
    </row>
    <row r="2041" spans="1:11" ht="30" hidden="1" customHeight="1" x14ac:dyDescent="0.25">
      <c r="A2041" s="86" t="str">
        <f>IF(COUNTIF(EXTRATO!$A$2:$A$3000,"BAN-01898")=0,"","BAN-01898")</f>
        <v/>
      </c>
      <c r="B2041" s="85" t="str">
        <f>IF(A2041="","",IF(INDEX(EXTRATO!$C$2:$C$3000,MATCH($A2041,EXTRATO!$A$2:$A$3000,0))="","",INDEX(EXTRATO!$C$2:$C$3000,MATCH($A2041,EXTRATO!$A$2:$A$3000,0))))</f>
        <v/>
      </c>
      <c r="C2041" s="86" t="str">
        <f t="shared" si="50"/>
        <v/>
      </c>
      <c r="D2041" s="81"/>
      <c r="E2041" s="79"/>
      <c r="F2041" s="80" t="str">
        <f>IF(A2041="","",SUMIF(EXTRATO!$A$2:$A$3000,$A2041,EXTRATO!$J$2:$J$3000)+SUMIF(EXTRATO!$A$2:$A$3000,$A2041,EXTRATO!$K$2:$K$3000)+SUMIF(EXTRATO!$A$2:$A$3000,$A2041,EXTRATO!$L$2:$L$3000)+SUMIF(EXTRATO!$A$2:$A$3000,$A2041,EXTRATO!$M$2:$M$3000))</f>
        <v/>
      </c>
      <c r="G2041" s="81" t="str">
        <f>IF(A2041="","",IF(INDEX(EXTRATO!$G$2:$G$3000,MATCH($A2041,EXTRATO!$A$2:$A$3000,0))="","",INDEX(EXTRATO!$G$2:$G$3000,MATCH($A2041,EXTRATO!$A$2:$A$3000,0))))</f>
        <v/>
      </c>
      <c r="H2041" s="86" t="str">
        <f>IF(A2041="","",IF(INDEX(EXTRATO!$F$2:$F$3000,MATCH($A2041,EXTRATO!$A$2:$A$3000,0))="","",INDEX(EXTRATO!$F$2:$F$3000,MATCH($A2041,EXTRATO!$A$2:$A$3000,0))))</f>
        <v/>
      </c>
      <c r="I2041" s="88" t="str">
        <f>IF(A2041="","",IF(INDEX(EXTRATO!$H$2:$H$3000,MATCH($A2041,EXTRATO!$A$2:$A$3000,0))="","",INDEX(EXTRATO!$H$2:$H$3000,MATCH($A2041,EXTRATO!$A$2:$A$3000,0))))</f>
        <v/>
      </c>
      <c r="J2041" s="86" t="str">
        <f t="shared" si="51"/>
        <v/>
      </c>
      <c r="K2041" s="86" t="str">
        <f>IF(AND(A2041="",D2041="",E2041="",F2041=""),"",IF(D2041="","SEM CATEGORIA",IF(E2041="","SEM SUBCATEGORIA",IF(COUNTIFS(CADASTROS!$L$7:$L$93,D2041,CADASTROS!$D$7:$D$93,E2041)=0,"INCOMPATÍVEL","OK"))))</f>
        <v/>
      </c>
    </row>
    <row r="2042" spans="1:11" ht="30" hidden="1" customHeight="1" x14ac:dyDescent="0.25">
      <c r="A2042" s="86" t="str">
        <f>IF(COUNTIF(EXTRATO!$A$2:$A$3000,"BAN-01899")=0,"","BAN-01899")</f>
        <v/>
      </c>
      <c r="B2042" s="85" t="str">
        <f>IF(A2042="","",IF(INDEX(EXTRATO!$C$2:$C$3000,MATCH($A2042,EXTRATO!$A$2:$A$3000,0))="","",INDEX(EXTRATO!$C$2:$C$3000,MATCH($A2042,EXTRATO!$A$2:$A$3000,0))))</f>
        <v/>
      </c>
      <c r="C2042" s="86" t="str">
        <f t="shared" si="50"/>
        <v/>
      </c>
      <c r="D2042" s="81"/>
      <c r="E2042" s="79"/>
      <c r="F2042" s="80" t="str">
        <f>IF(A2042="","",SUMIF(EXTRATO!$A$2:$A$3000,$A2042,EXTRATO!$J$2:$J$3000)+SUMIF(EXTRATO!$A$2:$A$3000,$A2042,EXTRATO!$K$2:$K$3000)+SUMIF(EXTRATO!$A$2:$A$3000,$A2042,EXTRATO!$L$2:$L$3000)+SUMIF(EXTRATO!$A$2:$A$3000,$A2042,EXTRATO!$M$2:$M$3000))</f>
        <v/>
      </c>
      <c r="G2042" s="81" t="str">
        <f>IF(A2042="","",IF(INDEX(EXTRATO!$G$2:$G$3000,MATCH($A2042,EXTRATO!$A$2:$A$3000,0))="","",INDEX(EXTRATO!$G$2:$G$3000,MATCH($A2042,EXTRATO!$A$2:$A$3000,0))))</f>
        <v/>
      </c>
      <c r="H2042" s="86" t="str">
        <f>IF(A2042="","",IF(INDEX(EXTRATO!$F$2:$F$3000,MATCH($A2042,EXTRATO!$A$2:$A$3000,0))="","",INDEX(EXTRATO!$F$2:$F$3000,MATCH($A2042,EXTRATO!$A$2:$A$3000,0))))</f>
        <v/>
      </c>
      <c r="I2042" s="88" t="str">
        <f>IF(A2042="","",IF(INDEX(EXTRATO!$H$2:$H$3000,MATCH($A2042,EXTRATO!$A$2:$A$3000,0))="","",INDEX(EXTRATO!$H$2:$H$3000,MATCH($A2042,EXTRATO!$A$2:$A$3000,0))))</f>
        <v/>
      </c>
      <c r="J2042" s="86" t="str">
        <f t="shared" si="51"/>
        <v/>
      </c>
      <c r="K2042" s="86" t="str">
        <f>IF(AND(A2042="",D2042="",E2042="",F2042=""),"",IF(D2042="","SEM CATEGORIA",IF(E2042="","SEM SUBCATEGORIA",IF(COUNTIFS(CADASTROS!$L$7:$L$93,D2042,CADASTROS!$D$7:$D$93,E2042)=0,"INCOMPATÍVEL","OK"))))</f>
        <v/>
      </c>
    </row>
    <row r="2043" spans="1:11" ht="30" hidden="1" customHeight="1" x14ac:dyDescent="0.25">
      <c r="A2043" s="86" t="str">
        <f>IF(COUNTIF(EXTRATO!$A$2:$A$3000,"BAN-01900")=0,"","BAN-01900")</f>
        <v/>
      </c>
      <c r="B2043" s="85" t="str">
        <f>IF(A2043="","",IF(INDEX(EXTRATO!$C$2:$C$3000,MATCH($A2043,EXTRATO!$A$2:$A$3000,0))="","",INDEX(EXTRATO!$C$2:$C$3000,MATCH($A2043,EXTRATO!$A$2:$A$3000,0))))</f>
        <v/>
      </c>
      <c r="C2043" s="86" t="str">
        <f t="shared" si="50"/>
        <v/>
      </c>
      <c r="D2043" s="81"/>
      <c r="E2043" s="79"/>
      <c r="F2043" s="80" t="str">
        <f>IF(A2043="","",SUMIF(EXTRATO!$A$2:$A$3000,$A2043,EXTRATO!$J$2:$J$3000)+SUMIF(EXTRATO!$A$2:$A$3000,$A2043,EXTRATO!$K$2:$K$3000)+SUMIF(EXTRATO!$A$2:$A$3000,$A2043,EXTRATO!$L$2:$L$3000)+SUMIF(EXTRATO!$A$2:$A$3000,$A2043,EXTRATO!$M$2:$M$3000))</f>
        <v/>
      </c>
      <c r="G2043" s="81" t="str">
        <f>IF(A2043="","",IF(INDEX(EXTRATO!$G$2:$G$3000,MATCH($A2043,EXTRATO!$A$2:$A$3000,0))="","",INDEX(EXTRATO!$G$2:$G$3000,MATCH($A2043,EXTRATO!$A$2:$A$3000,0))))</f>
        <v/>
      </c>
      <c r="H2043" s="86" t="str">
        <f>IF(A2043="","",IF(INDEX(EXTRATO!$F$2:$F$3000,MATCH($A2043,EXTRATO!$A$2:$A$3000,0))="","",INDEX(EXTRATO!$F$2:$F$3000,MATCH($A2043,EXTRATO!$A$2:$A$3000,0))))</f>
        <v/>
      </c>
      <c r="I2043" s="88" t="str">
        <f>IF(A2043="","",IF(INDEX(EXTRATO!$H$2:$H$3000,MATCH($A2043,EXTRATO!$A$2:$A$3000,0))="","",INDEX(EXTRATO!$H$2:$H$3000,MATCH($A2043,EXTRATO!$A$2:$A$3000,0))))</f>
        <v/>
      </c>
      <c r="J2043" s="86" t="str">
        <f t="shared" si="51"/>
        <v/>
      </c>
      <c r="K2043" s="86" t="str">
        <f>IF(AND(A2043="",D2043="",E2043="",F2043=""),"",IF(D2043="","SEM CATEGORIA",IF(E2043="","SEM SUBCATEGORIA",IF(COUNTIFS(CADASTROS!$L$7:$L$93,D2043,CADASTROS!$D$7:$D$93,E2043)=0,"INCOMPATÍVEL","OK"))))</f>
        <v/>
      </c>
    </row>
    <row r="2044" spans="1:11" ht="30" hidden="1" customHeight="1" x14ac:dyDescent="0.25">
      <c r="A2044" s="86" t="str">
        <f>IF(COUNTIF(EXTRATO!$A$2:$A$3000,"BAN-01901")=0,"","BAN-01901")</f>
        <v/>
      </c>
      <c r="B2044" s="85" t="str">
        <f>IF(A2044="","",IF(INDEX(EXTRATO!$C$2:$C$3000,MATCH($A2044,EXTRATO!$A$2:$A$3000,0))="","",INDEX(EXTRATO!$C$2:$C$3000,MATCH($A2044,EXTRATO!$A$2:$A$3000,0))))</f>
        <v/>
      </c>
      <c r="C2044" s="86" t="str">
        <f t="shared" si="50"/>
        <v/>
      </c>
      <c r="D2044" s="81"/>
      <c r="E2044" s="79"/>
      <c r="F2044" s="80" t="str">
        <f>IF(A2044="","",SUMIF(EXTRATO!$A$2:$A$3000,$A2044,EXTRATO!$J$2:$J$3000)+SUMIF(EXTRATO!$A$2:$A$3000,$A2044,EXTRATO!$K$2:$K$3000)+SUMIF(EXTRATO!$A$2:$A$3000,$A2044,EXTRATO!$L$2:$L$3000)+SUMIF(EXTRATO!$A$2:$A$3000,$A2044,EXTRATO!$M$2:$M$3000))</f>
        <v/>
      </c>
      <c r="G2044" s="81" t="str">
        <f>IF(A2044="","",IF(INDEX(EXTRATO!$G$2:$G$3000,MATCH($A2044,EXTRATO!$A$2:$A$3000,0))="","",INDEX(EXTRATO!$G$2:$G$3000,MATCH($A2044,EXTRATO!$A$2:$A$3000,0))))</f>
        <v/>
      </c>
      <c r="H2044" s="86" t="str">
        <f>IF(A2044="","",IF(INDEX(EXTRATO!$F$2:$F$3000,MATCH($A2044,EXTRATO!$A$2:$A$3000,0))="","",INDEX(EXTRATO!$F$2:$F$3000,MATCH($A2044,EXTRATO!$A$2:$A$3000,0))))</f>
        <v/>
      </c>
      <c r="I2044" s="88" t="str">
        <f>IF(A2044="","",IF(INDEX(EXTRATO!$H$2:$H$3000,MATCH($A2044,EXTRATO!$A$2:$A$3000,0))="","",INDEX(EXTRATO!$H$2:$H$3000,MATCH($A2044,EXTRATO!$A$2:$A$3000,0))))</f>
        <v/>
      </c>
      <c r="J2044" s="86" t="str">
        <f t="shared" si="51"/>
        <v/>
      </c>
      <c r="K2044" s="86" t="str">
        <f>IF(AND(A2044="",D2044="",E2044="",F2044=""),"",IF(D2044="","SEM CATEGORIA",IF(E2044="","SEM SUBCATEGORIA",IF(COUNTIFS(CADASTROS!$L$7:$L$93,D2044,CADASTROS!$D$7:$D$93,E2044)=0,"INCOMPATÍVEL","OK"))))</f>
        <v/>
      </c>
    </row>
    <row r="2045" spans="1:11" ht="30" hidden="1" customHeight="1" x14ac:dyDescent="0.25">
      <c r="A2045" s="86" t="str">
        <f>IF(COUNTIF(EXTRATO!$A$2:$A$3000,"BAN-01902")=0,"","BAN-01902")</f>
        <v/>
      </c>
      <c r="B2045" s="85" t="str">
        <f>IF(A2045="","",IF(INDEX(EXTRATO!$C$2:$C$3000,MATCH($A2045,EXTRATO!$A$2:$A$3000,0))="","",INDEX(EXTRATO!$C$2:$C$3000,MATCH($A2045,EXTRATO!$A$2:$A$3000,0))))</f>
        <v/>
      </c>
      <c r="C2045" s="86" t="str">
        <f t="shared" si="50"/>
        <v/>
      </c>
      <c r="D2045" s="81"/>
      <c r="E2045" s="79"/>
      <c r="F2045" s="80" t="str">
        <f>IF(A2045="","",SUMIF(EXTRATO!$A$2:$A$3000,$A2045,EXTRATO!$J$2:$J$3000)+SUMIF(EXTRATO!$A$2:$A$3000,$A2045,EXTRATO!$K$2:$K$3000)+SUMIF(EXTRATO!$A$2:$A$3000,$A2045,EXTRATO!$L$2:$L$3000)+SUMIF(EXTRATO!$A$2:$A$3000,$A2045,EXTRATO!$M$2:$M$3000))</f>
        <v/>
      </c>
      <c r="G2045" s="81" t="str">
        <f>IF(A2045="","",IF(INDEX(EXTRATO!$G$2:$G$3000,MATCH($A2045,EXTRATO!$A$2:$A$3000,0))="","",INDEX(EXTRATO!$G$2:$G$3000,MATCH($A2045,EXTRATO!$A$2:$A$3000,0))))</f>
        <v/>
      </c>
      <c r="H2045" s="86" t="str">
        <f>IF(A2045="","",IF(INDEX(EXTRATO!$F$2:$F$3000,MATCH($A2045,EXTRATO!$A$2:$A$3000,0))="","",INDEX(EXTRATO!$F$2:$F$3000,MATCH($A2045,EXTRATO!$A$2:$A$3000,0))))</f>
        <v/>
      </c>
      <c r="I2045" s="88" t="str">
        <f>IF(A2045="","",IF(INDEX(EXTRATO!$H$2:$H$3000,MATCH($A2045,EXTRATO!$A$2:$A$3000,0))="","",INDEX(EXTRATO!$H$2:$H$3000,MATCH($A2045,EXTRATO!$A$2:$A$3000,0))))</f>
        <v/>
      </c>
      <c r="J2045" s="86" t="str">
        <f t="shared" si="51"/>
        <v/>
      </c>
      <c r="K2045" s="86" t="str">
        <f>IF(AND(A2045="",D2045="",E2045="",F2045=""),"",IF(D2045="","SEM CATEGORIA",IF(E2045="","SEM SUBCATEGORIA",IF(COUNTIFS(CADASTROS!$L$7:$L$93,D2045,CADASTROS!$D$7:$D$93,E2045)=0,"INCOMPATÍVEL","OK"))))</f>
        <v/>
      </c>
    </row>
    <row r="2046" spans="1:11" ht="30" hidden="1" customHeight="1" x14ac:dyDescent="0.25">
      <c r="A2046" s="86" t="str">
        <f>IF(COUNTIF(EXTRATO!$A$2:$A$3000,"BAN-01903")=0,"","BAN-01903")</f>
        <v/>
      </c>
      <c r="B2046" s="85" t="str">
        <f>IF(A2046="","",IF(INDEX(EXTRATO!$C$2:$C$3000,MATCH($A2046,EXTRATO!$A$2:$A$3000,0))="","",INDEX(EXTRATO!$C$2:$C$3000,MATCH($A2046,EXTRATO!$A$2:$A$3000,0))))</f>
        <v/>
      </c>
      <c r="C2046" s="86" t="str">
        <f t="shared" si="50"/>
        <v/>
      </c>
      <c r="D2046" s="81"/>
      <c r="E2046" s="79"/>
      <c r="F2046" s="80" t="str">
        <f>IF(A2046="","",SUMIF(EXTRATO!$A$2:$A$3000,$A2046,EXTRATO!$J$2:$J$3000)+SUMIF(EXTRATO!$A$2:$A$3000,$A2046,EXTRATO!$K$2:$K$3000)+SUMIF(EXTRATO!$A$2:$A$3000,$A2046,EXTRATO!$L$2:$L$3000)+SUMIF(EXTRATO!$A$2:$A$3000,$A2046,EXTRATO!$M$2:$M$3000))</f>
        <v/>
      </c>
      <c r="G2046" s="81" t="str">
        <f>IF(A2046="","",IF(INDEX(EXTRATO!$G$2:$G$3000,MATCH($A2046,EXTRATO!$A$2:$A$3000,0))="","",INDEX(EXTRATO!$G$2:$G$3000,MATCH($A2046,EXTRATO!$A$2:$A$3000,0))))</f>
        <v/>
      </c>
      <c r="H2046" s="86" t="str">
        <f>IF(A2046="","",IF(INDEX(EXTRATO!$F$2:$F$3000,MATCH($A2046,EXTRATO!$A$2:$A$3000,0))="","",INDEX(EXTRATO!$F$2:$F$3000,MATCH($A2046,EXTRATO!$A$2:$A$3000,0))))</f>
        <v/>
      </c>
      <c r="I2046" s="88" t="str">
        <f>IF(A2046="","",IF(INDEX(EXTRATO!$H$2:$H$3000,MATCH($A2046,EXTRATO!$A$2:$A$3000,0))="","",INDEX(EXTRATO!$H$2:$H$3000,MATCH($A2046,EXTRATO!$A$2:$A$3000,0))))</f>
        <v/>
      </c>
      <c r="J2046" s="86" t="str">
        <f t="shared" si="51"/>
        <v/>
      </c>
      <c r="K2046" s="86" t="str">
        <f>IF(AND(A2046="",D2046="",E2046="",F2046=""),"",IF(D2046="","SEM CATEGORIA",IF(E2046="","SEM SUBCATEGORIA",IF(COUNTIFS(CADASTROS!$L$7:$L$93,D2046,CADASTROS!$D$7:$D$93,E2046)=0,"INCOMPATÍVEL","OK"))))</f>
        <v/>
      </c>
    </row>
    <row r="2047" spans="1:11" ht="30" hidden="1" customHeight="1" x14ac:dyDescent="0.25">
      <c r="A2047" s="86" t="str">
        <f>IF(COUNTIF(EXTRATO!$A$2:$A$3000,"BAN-01904")=0,"","BAN-01904")</f>
        <v/>
      </c>
      <c r="B2047" s="85" t="str">
        <f>IF(A2047="","",IF(INDEX(EXTRATO!$C$2:$C$3000,MATCH($A2047,EXTRATO!$A$2:$A$3000,0))="","",INDEX(EXTRATO!$C$2:$C$3000,MATCH($A2047,EXTRATO!$A$2:$A$3000,0))))</f>
        <v/>
      </c>
      <c r="C2047" s="86" t="str">
        <f t="shared" si="50"/>
        <v/>
      </c>
      <c r="D2047" s="81"/>
      <c r="E2047" s="79"/>
      <c r="F2047" s="80" t="str">
        <f>IF(A2047="","",SUMIF(EXTRATO!$A$2:$A$3000,$A2047,EXTRATO!$J$2:$J$3000)+SUMIF(EXTRATO!$A$2:$A$3000,$A2047,EXTRATO!$K$2:$K$3000)+SUMIF(EXTRATO!$A$2:$A$3000,$A2047,EXTRATO!$L$2:$L$3000)+SUMIF(EXTRATO!$A$2:$A$3000,$A2047,EXTRATO!$M$2:$M$3000))</f>
        <v/>
      </c>
      <c r="G2047" s="81" t="str">
        <f>IF(A2047="","",IF(INDEX(EXTRATO!$G$2:$G$3000,MATCH($A2047,EXTRATO!$A$2:$A$3000,0))="","",INDEX(EXTRATO!$G$2:$G$3000,MATCH($A2047,EXTRATO!$A$2:$A$3000,0))))</f>
        <v/>
      </c>
      <c r="H2047" s="86" t="str">
        <f>IF(A2047="","",IF(INDEX(EXTRATO!$F$2:$F$3000,MATCH($A2047,EXTRATO!$A$2:$A$3000,0))="","",INDEX(EXTRATO!$F$2:$F$3000,MATCH($A2047,EXTRATO!$A$2:$A$3000,0))))</f>
        <v/>
      </c>
      <c r="I2047" s="88" t="str">
        <f>IF(A2047="","",IF(INDEX(EXTRATO!$H$2:$H$3000,MATCH($A2047,EXTRATO!$A$2:$A$3000,0))="","",INDEX(EXTRATO!$H$2:$H$3000,MATCH($A2047,EXTRATO!$A$2:$A$3000,0))))</f>
        <v/>
      </c>
      <c r="J2047" s="86" t="str">
        <f t="shared" si="51"/>
        <v/>
      </c>
      <c r="K2047" s="86" t="str">
        <f>IF(AND(A2047="",D2047="",E2047="",F2047=""),"",IF(D2047="","SEM CATEGORIA",IF(E2047="","SEM SUBCATEGORIA",IF(COUNTIFS(CADASTROS!$L$7:$L$93,D2047,CADASTROS!$D$7:$D$93,E2047)=0,"INCOMPATÍVEL","OK"))))</f>
        <v/>
      </c>
    </row>
    <row r="2048" spans="1:11" ht="30" hidden="1" customHeight="1" x14ac:dyDescent="0.25">
      <c r="A2048" s="86" t="str">
        <f>IF(COUNTIF(EXTRATO!$A$2:$A$3000,"BAN-01905")=0,"","BAN-01905")</f>
        <v/>
      </c>
      <c r="B2048" s="85" t="str">
        <f>IF(A2048="","",IF(INDEX(EXTRATO!$C$2:$C$3000,MATCH($A2048,EXTRATO!$A$2:$A$3000,0))="","",INDEX(EXTRATO!$C$2:$C$3000,MATCH($A2048,EXTRATO!$A$2:$A$3000,0))))</f>
        <v/>
      </c>
      <c r="C2048" s="86" t="str">
        <f t="shared" si="50"/>
        <v/>
      </c>
      <c r="D2048" s="81"/>
      <c r="E2048" s="79"/>
      <c r="F2048" s="80" t="str">
        <f>IF(A2048="","",SUMIF(EXTRATO!$A$2:$A$3000,$A2048,EXTRATO!$J$2:$J$3000)+SUMIF(EXTRATO!$A$2:$A$3000,$A2048,EXTRATO!$K$2:$K$3000)+SUMIF(EXTRATO!$A$2:$A$3000,$A2048,EXTRATO!$L$2:$L$3000)+SUMIF(EXTRATO!$A$2:$A$3000,$A2048,EXTRATO!$M$2:$M$3000))</f>
        <v/>
      </c>
      <c r="G2048" s="81" t="str">
        <f>IF(A2048="","",IF(INDEX(EXTRATO!$G$2:$G$3000,MATCH($A2048,EXTRATO!$A$2:$A$3000,0))="","",INDEX(EXTRATO!$G$2:$G$3000,MATCH($A2048,EXTRATO!$A$2:$A$3000,0))))</f>
        <v/>
      </c>
      <c r="H2048" s="86" t="str">
        <f>IF(A2048="","",IF(INDEX(EXTRATO!$F$2:$F$3000,MATCH($A2048,EXTRATO!$A$2:$A$3000,0))="","",INDEX(EXTRATO!$F$2:$F$3000,MATCH($A2048,EXTRATO!$A$2:$A$3000,0))))</f>
        <v/>
      </c>
      <c r="I2048" s="88" t="str">
        <f>IF(A2048="","",IF(INDEX(EXTRATO!$H$2:$H$3000,MATCH($A2048,EXTRATO!$A$2:$A$3000,0))="","",INDEX(EXTRATO!$H$2:$H$3000,MATCH($A2048,EXTRATO!$A$2:$A$3000,0))))</f>
        <v/>
      </c>
      <c r="J2048" s="86" t="str">
        <f t="shared" si="51"/>
        <v/>
      </c>
      <c r="K2048" s="86" t="str">
        <f>IF(AND(A2048="",D2048="",E2048="",F2048=""),"",IF(D2048="","SEM CATEGORIA",IF(E2048="","SEM SUBCATEGORIA",IF(COUNTIFS(CADASTROS!$L$7:$L$93,D2048,CADASTROS!$D$7:$D$93,E2048)=0,"INCOMPATÍVEL","OK"))))</f>
        <v/>
      </c>
    </row>
    <row r="2049" spans="1:11" ht="30" hidden="1" customHeight="1" x14ac:dyDescent="0.25">
      <c r="A2049" s="86" t="str">
        <f>IF(COUNTIF(EXTRATO!$A$2:$A$3000,"BAN-01906")=0,"","BAN-01906")</f>
        <v/>
      </c>
      <c r="B2049" s="85" t="str">
        <f>IF(A2049="","",IF(INDEX(EXTRATO!$C$2:$C$3000,MATCH($A2049,EXTRATO!$A$2:$A$3000,0))="","",INDEX(EXTRATO!$C$2:$C$3000,MATCH($A2049,EXTRATO!$A$2:$A$3000,0))))</f>
        <v/>
      </c>
      <c r="C2049" s="86" t="str">
        <f t="shared" si="50"/>
        <v/>
      </c>
      <c r="D2049" s="81"/>
      <c r="E2049" s="79"/>
      <c r="F2049" s="80" t="str">
        <f>IF(A2049="","",SUMIF(EXTRATO!$A$2:$A$3000,$A2049,EXTRATO!$J$2:$J$3000)+SUMIF(EXTRATO!$A$2:$A$3000,$A2049,EXTRATO!$K$2:$K$3000)+SUMIF(EXTRATO!$A$2:$A$3000,$A2049,EXTRATO!$L$2:$L$3000)+SUMIF(EXTRATO!$A$2:$A$3000,$A2049,EXTRATO!$M$2:$M$3000))</f>
        <v/>
      </c>
      <c r="G2049" s="81" t="str">
        <f>IF(A2049="","",IF(INDEX(EXTRATO!$G$2:$G$3000,MATCH($A2049,EXTRATO!$A$2:$A$3000,0))="","",INDEX(EXTRATO!$G$2:$G$3000,MATCH($A2049,EXTRATO!$A$2:$A$3000,0))))</f>
        <v/>
      </c>
      <c r="H2049" s="86" t="str">
        <f>IF(A2049="","",IF(INDEX(EXTRATO!$F$2:$F$3000,MATCH($A2049,EXTRATO!$A$2:$A$3000,0))="","",INDEX(EXTRATO!$F$2:$F$3000,MATCH($A2049,EXTRATO!$A$2:$A$3000,0))))</f>
        <v/>
      </c>
      <c r="I2049" s="88" t="str">
        <f>IF(A2049="","",IF(INDEX(EXTRATO!$H$2:$H$3000,MATCH($A2049,EXTRATO!$A$2:$A$3000,0))="","",INDEX(EXTRATO!$H$2:$H$3000,MATCH($A2049,EXTRATO!$A$2:$A$3000,0))))</f>
        <v/>
      </c>
      <c r="J2049" s="86" t="str">
        <f t="shared" si="51"/>
        <v/>
      </c>
      <c r="K2049" s="86" t="str">
        <f>IF(AND(A2049="",D2049="",E2049="",F2049=""),"",IF(D2049="","SEM CATEGORIA",IF(E2049="","SEM SUBCATEGORIA",IF(COUNTIFS(CADASTROS!$L$7:$L$93,D2049,CADASTROS!$D$7:$D$93,E2049)=0,"INCOMPATÍVEL","OK"))))</f>
        <v/>
      </c>
    </row>
    <row r="2050" spans="1:11" ht="30" hidden="1" customHeight="1" x14ac:dyDescent="0.25">
      <c r="A2050" s="86" t="str">
        <f>IF(COUNTIF(EXTRATO!$A$2:$A$3000,"BAN-01907")=0,"","BAN-01907")</f>
        <v/>
      </c>
      <c r="B2050" s="85" t="str">
        <f>IF(A2050="","",IF(INDEX(EXTRATO!$C$2:$C$3000,MATCH($A2050,EXTRATO!$A$2:$A$3000,0))="","",INDEX(EXTRATO!$C$2:$C$3000,MATCH($A2050,EXTRATO!$A$2:$A$3000,0))))</f>
        <v/>
      </c>
      <c r="C2050" s="86" t="str">
        <f t="shared" si="50"/>
        <v/>
      </c>
      <c r="D2050" s="81"/>
      <c r="E2050" s="79"/>
      <c r="F2050" s="80" t="str">
        <f>IF(A2050="","",SUMIF(EXTRATO!$A$2:$A$3000,$A2050,EXTRATO!$J$2:$J$3000)+SUMIF(EXTRATO!$A$2:$A$3000,$A2050,EXTRATO!$K$2:$K$3000)+SUMIF(EXTRATO!$A$2:$A$3000,$A2050,EXTRATO!$L$2:$L$3000)+SUMIF(EXTRATO!$A$2:$A$3000,$A2050,EXTRATO!$M$2:$M$3000))</f>
        <v/>
      </c>
      <c r="G2050" s="81" t="str">
        <f>IF(A2050="","",IF(INDEX(EXTRATO!$G$2:$G$3000,MATCH($A2050,EXTRATO!$A$2:$A$3000,0))="","",INDEX(EXTRATO!$G$2:$G$3000,MATCH($A2050,EXTRATO!$A$2:$A$3000,0))))</f>
        <v/>
      </c>
      <c r="H2050" s="86" t="str">
        <f>IF(A2050="","",IF(INDEX(EXTRATO!$F$2:$F$3000,MATCH($A2050,EXTRATO!$A$2:$A$3000,0))="","",INDEX(EXTRATO!$F$2:$F$3000,MATCH($A2050,EXTRATO!$A$2:$A$3000,0))))</f>
        <v/>
      </c>
      <c r="I2050" s="88" t="str">
        <f>IF(A2050="","",IF(INDEX(EXTRATO!$H$2:$H$3000,MATCH($A2050,EXTRATO!$A$2:$A$3000,0))="","",INDEX(EXTRATO!$H$2:$H$3000,MATCH($A2050,EXTRATO!$A$2:$A$3000,0))))</f>
        <v/>
      </c>
      <c r="J2050" s="86" t="str">
        <f t="shared" si="51"/>
        <v/>
      </c>
      <c r="K2050" s="86" t="str">
        <f>IF(AND(A2050="",D2050="",E2050="",F2050=""),"",IF(D2050="","SEM CATEGORIA",IF(E2050="","SEM SUBCATEGORIA",IF(COUNTIFS(CADASTROS!$L$7:$L$93,D2050,CADASTROS!$D$7:$D$93,E2050)=0,"INCOMPATÍVEL","OK"))))</f>
        <v/>
      </c>
    </row>
    <row r="2051" spans="1:11" ht="30" hidden="1" customHeight="1" x14ac:dyDescent="0.25">
      <c r="A2051" s="86" t="str">
        <f>IF(COUNTIF(EXTRATO!$A$2:$A$3000,"BAN-01908")=0,"","BAN-01908")</f>
        <v/>
      </c>
      <c r="B2051" s="85" t="str">
        <f>IF(A2051="","",IF(INDEX(EXTRATO!$C$2:$C$3000,MATCH($A2051,EXTRATO!$A$2:$A$3000,0))="","",INDEX(EXTRATO!$C$2:$C$3000,MATCH($A2051,EXTRATO!$A$2:$A$3000,0))))</f>
        <v/>
      </c>
      <c r="C2051" s="86" t="str">
        <f t="shared" si="50"/>
        <v/>
      </c>
      <c r="D2051" s="81"/>
      <c r="E2051" s="79"/>
      <c r="F2051" s="80" t="str">
        <f>IF(A2051="","",SUMIF(EXTRATO!$A$2:$A$3000,$A2051,EXTRATO!$J$2:$J$3000)+SUMIF(EXTRATO!$A$2:$A$3000,$A2051,EXTRATO!$K$2:$K$3000)+SUMIF(EXTRATO!$A$2:$A$3000,$A2051,EXTRATO!$L$2:$L$3000)+SUMIF(EXTRATO!$A$2:$A$3000,$A2051,EXTRATO!$M$2:$M$3000))</f>
        <v/>
      </c>
      <c r="G2051" s="81" t="str">
        <f>IF(A2051="","",IF(INDEX(EXTRATO!$G$2:$G$3000,MATCH($A2051,EXTRATO!$A$2:$A$3000,0))="","",INDEX(EXTRATO!$G$2:$G$3000,MATCH($A2051,EXTRATO!$A$2:$A$3000,0))))</f>
        <v/>
      </c>
      <c r="H2051" s="86" t="str">
        <f>IF(A2051="","",IF(INDEX(EXTRATO!$F$2:$F$3000,MATCH($A2051,EXTRATO!$A$2:$A$3000,0))="","",INDEX(EXTRATO!$F$2:$F$3000,MATCH($A2051,EXTRATO!$A$2:$A$3000,0))))</f>
        <v/>
      </c>
      <c r="I2051" s="88" t="str">
        <f>IF(A2051="","",IF(INDEX(EXTRATO!$H$2:$H$3000,MATCH($A2051,EXTRATO!$A$2:$A$3000,0))="","",INDEX(EXTRATO!$H$2:$H$3000,MATCH($A2051,EXTRATO!$A$2:$A$3000,0))))</f>
        <v/>
      </c>
      <c r="J2051" s="86" t="str">
        <f t="shared" si="51"/>
        <v/>
      </c>
      <c r="K2051" s="86" t="str">
        <f>IF(AND(A2051="",D2051="",E2051="",F2051=""),"",IF(D2051="","SEM CATEGORIA",IF(E2051="","SEM SUBCATEGORIA",IF(COUNTIFS(CADASTROS!$L$7:$L$93,D2051,CADASTROS!$D$7:$D$93,E2051)=0,"INCOMPATÍVEL","OK"))))</f>
        <v/>
      </c>
    </row>
    <row r="2052" spans="1:11" ht="30" hidden="1" customHeight="1" x14ac:dyDescent="0.25">
      <c r="A2052" s="86" t="str">
        <f>IF(COUNTIF(EXTRATO!$A$2:$A$3000,"BAN-01909")=0,"","BAN-01909")</f>
        <v/>
      </c>
      <c r="B2052" s="85" t="str">
        <f>IF(A2052="","",IF(INDEX(EXTRATO!$C$2:$C$3000,MATCH($A2052,EXTRATO!$A$2:$A$3000,0))="","",INDEX(EXTRATO!$C$2:$C$3000,MATCH($A2052,EXTRATO!$A$2:$A$3000,0))))</f>
        <v/>
      </c>
      <c r="C2052" s="86" t="str">
        <f t="shared" si="50"/>
        <v/>
      </c>
      <c r="D2052" s="81"/>
      <c r="E2052" s="79"/>
      <c r="F2052" s="80" t="str">
        <f>IF(A2052="","",SUMIF(EXTRATO!$A$2:$A$3000,$A2052,EXTRATO!$J$2:$J$3000)+SUMIF(EXTRATO!$A$2:$A$3000,$A2052,EXTRATO!$K$2:$K$3000)+SUMIF(EXTRATO!$A$2:$A$3000,$A2052,EXTRATO!$L$2:$L$3000)+SUMIF(EXTRATO!$A$2:$A$3000,$A2052,EXTRATO!$M$2:$M$3000))</f>
        <v/>
      </c>
      <c r="G2052" s="81" t="str">
        <f>IF(A2052="","",IF(INDEX(EXTRATO!$G$2:$G$3000,MATCH($A2052,EXTRATO!$A$2:$A$3000,0))="","",INDEX(EXTRATO!$G$2:$G$3000,MATCH($A2052,EXTRATO!$A$2:$A$3000,0))))</f>
        <v/>
      </c>
      <c r="H2052" s="86" t="str">
        <f>IF(A2052="","",IF(INDEX(EXTRATO!$F$2:$F$3000,MATCH($A2052,EXTRATO!$A$2:$A$3000,0))="","",INDEX(EXTRATO!$F$2:$F$3000,MATCH($A2052,EXTRATO!$A$2:$A$3000,0))))</f>
        <v/>
      </c>
      <c r="I2052" s="88" t="str">
        <f>IF(A2052="","",IF(INDEX(EXTRATO!$H$2:$H$3000,MATCH($A2052,EXTRATO!$A$2:$A$3000,0))="","",INDEX(EXTRATO!$H$2:$H$3000,MATCH($A2052,EXTRATO!$A$2:$A$3000,0))))</f>
        <v/>
      </c>
      <c r="J2052" s="86" t="str">
        <f t="shared" si="51"/>
        <v/>
      </c>
      <c r="K2052" s="86" t="str">
        <f>IF(AND(A2052="",D2052="",E2052="",F2052=""),"",IF(D2052="","SEM CATEGORIA",IF(E2052="","SEM SUBCATEGORIA",IF(COUNTIFS(CADASTROS!$L$7:$L$93,D2052,CADASTROS!$D$7:$D$93,E2052)=0,"INCOMPATÍVEL","OK"))))</f>
        <v/>
      </c>
    </row>
    <row r="2053" spans="1:11" ht="30" hidden="1" customHeight="1" x14ac:dyDescent="0.25">
      <c r="A2053" s="86" t="str">
        <f>IF(COUNTIF(EXTRATO!$A$2:$A$3000,"BAN-01910")=0,"","BAN-01910")</f>
        <v/>
      </c>
      <c r="B2053" s="85" t="str">
        <f>IF(A2053="","",IF(INDEX(EXTRATO!$C$2:$C$3000,MATCH($A2053,EXTRATO!$A$2:$A$3000,0))="","",INDEX(EXTRATO!$C$2:$C$3000,MATCH($A2053,EXTRATO!$A$2:$A$3000,0))))</f>
        <v/>
      </c>
      <c r="C2053" s="86" t="str">
        <f t="shared" si="50"/>
        <v/>
      </c>
      <c r="D2053" s="81"/>
      <c r="E2053" s="79"/>
      <c r="F2053" s="80" t="str">
        <f>IF(A2053="","",SUMIF(EXTRATO!$A$2:$A$3000,$A2053,EXTRATO!$J$2:$J$3000)+SUMIF(EXTRATO!$A$2:$A$3000,$A2053,EXTRATO!$K$2:$K$3000)+SUMIF(EXTRATO!$A$2:$A$3000,$A2053,EXTRATO!$L$2:$L$3000)+SUMIF(EXTRATO!$A$2:$A$3000,$A2053,EXTRATO!$M$2:$M$3000))</f>
        <v/>
      </c>
      <c r="G2053" s="81" t="str">
        <f>IF(A2053="","",IF(INDEX(EXTRATO!$G$2:$G$3000,MATCH($A2053,EXTRATO!$A$2:$A$3000,0))="","",INDEX(EXTRATO!$G$2:$G$3000,MATCH($A2053,EXTRATO!$A$2:$A$3000,0))))</f>
        <v/>
      </c>
      <c r="H2053" s="86" t="str">
        <f>IF(A2053="","",IF(INDEX(EXTRATO!$F$2:$F$3000,MATCH($A2053,EXTRATO!$A$2:$A$3000,0))="","",INDEX(EXTRATO!$F$2:$F$3000,MATCH($A2053,EXTRATO!$A$2:$A$3000,0))))</f>
        <v/>
      </c>
      <c r="I2053" s="88" t="str">
        <f>IF(A2053="","",IF(INDEX(EXTRATO!$H$2:$H$3000,MATCH($A2053,EXTRATO!$A$2:$A$3000,0))="","",INDEX(EXTRATO!$H$2:$H$3000,MATCH($A2053,EXTRATO!$A$2:$A$3000,0))))</f>
        <v/>
      </c>
      <c r="J2053" s="86" t="str">
        <f t="shared" si="51"/>
        <v/>
      </c>
      <c r="K2053" s="86" t="str">
        <f>IF(AND(A2053="",D2053="",E2053="",F2053=""),"",IF(D2053="","SEM CATEGORIA",IF(E2053="","SEM SUBCATEGORIA",IF(COUNTIFS(CADASTROS!$L$7:$L$93,D2053,CADASTROS!$D$7:$D$93,E2053)=0,"INCOMPATÍVEL","OK"))))</f>
        <v/>
      </c>
    </row>
    <row r="2054" spans="1:11" ht="30" hidden="1" customHeight="1" x14ac:dyDescent="0.25">
      <c r="A2054" s="86" t="str">
        <f>IF(COUNTIF(EXTRATO!$A$2:$A$3000,"BAN-01911")=0,"","BAN-01911")</f>
        <v/>
      </c>
      <c r="B2054" s="85" t="str">
        <f>IF(A2054="","",IF(INDEX(EXTRATO!$C$2:$C$3000,MATCH($A2054,EXTRATO!$A$2:$A$3000,0))="","",INDEX(EXTRATO!$C$2:$C$3000,MATCH($A2054,EXTRATO!$A$2:$A$3000,0))))</f>
        <v/>
      </c>
      <c r="C2054" s="86" t="str">
        <f t="shared" si="50"/>
        <v/>
      </c>
      <c r="D2054" s="81"/>
      <c r="E2054" s="79"/>
      <c r="F2054" s="80" t="str">
        <f>IF(A2054="","",SUMIF(EXTRATO!$A$2:$A$3000,$A2054,EXTRATO!$J$2:$J$3000)+SUMIF(EXTRATO!$A$2:$A$3000,$A2054,EXTRATO!$K$2:$K$3000)+SUMIF(EXTRATO!$A$2:$A$3000,$A2054,EXTRATO!$L$2:$L$3000)+SUMIF(EXTRATO!$A$2:$A$3000,$A2054,EXTRATO!$M$2:$M$3000))</f>
        <v/>
      </c>
      <c r="G2054" s="81" t="str">
        <f>IF(A2054="","",IF(INDEX(EXTRATO!$G$2:$G$3000,MATCH($A2054,EXTRATO!$A$2:$A$3000,0))="","",INDEX(EXTRATO!$G$2:$G$3000,MATCH($A2054,EXTRATO!$A$2:$A$3000,0))))</f>
        <v/>
      </c>
      <c r="H2054" s="86" t="str">
        <f>IF(A2054="","",IF(INDEX(EXTRATO!$F$2:$F$3000,MATCH($A2054,EXTRATO!$A$2:$A$3000,0))="","",INDEX(EXTRATO!$F$2:$F$3000,MATCH($A2054,EXTRATO!$A$2:$A$3000,0))))</f>
        <v/>
      </c>
      <c r="I2054" s="88" t="str">
        <f>IF(A2054="","",IF(INDEX(EXTRATO!$H$2:$H$3000,MATCH($A2054,EXTRATO!$A$2:$A$3000,0))="","",INDEX(EXTRATO!$H$2:$H$3000,MATCH($A2054,EXTRATO!$A$2:$A$3000,0))))</f>
        <v/>
      </c>
      <c r="J2054" s="86" t="str">
        <f t="shared" si="51"/>
        <v/>
      </c>
      <c r="K2054" s="86" t="str">
        <f>IF(AND(A2054="",D2054="",E2054="",F2054=""),"",IF(D2054="","SEM CATEGORIA",IF(E2054="","SEM SUBCATEGORIA",IF(COUNTIFS(CADASTROS!$L$7:$L$93,D2054,CADASTROS!$D$7:$D$93,E2054)=0,"INCOMPATÍVEL","OK"))))</f>
        <v/>
      </c>
    </row>
    <row r="2055" spans="1:11" ht="30" hidden="1" customHeight="1" x14ac:dyDescent="0.25">
      <c r="A2055" s="86" t="str">
        <f>IF(COUNTIF(EXTRATO!$A$2:$A$3000,"BAN-01912")=0,"","BAN-01912")</f>
        <v/>
      </c>
      <c r="B2055" s="85" t="str">
        <f>IF(A2055="","",IF(INDEX(EXTRATO!$C$2:$C$3000,MATCH($A2055,EXTRATO!$A$2:$A$3000,0))="","",INDEX(EXTRATO!$C$2:$C$3000,MATCH($A2055,EXTRATO!$A$2:$A$3000,0))))</f>
        <v/>
      </c>
      <c r="C2055" s="86" t="str">
        <f t="shared" si="50"/>
        <v/>
      </c>
      <c r="D2055" s="81"/>
      <c r="E2055" s="79"/>
      <c r="F2055" s="80" t="str">
        <f>IF(A2055="","",SUMIF(EXTRATO!$A$2:$A$3000,$A2055,EXTRATO!$J$2:$J$3000)+SUMIF(EXTRATO!$A$2:$A$3000,$A2055,EXTRATO!$K$2:$K$3000)+SUMIF(EXTRATO!$A$2:$A$3000,$A2055,EXTRATO!$L$2:$L$3000)+SUMIF(EXTRATO!$A$2:$A$3000,$A2055,EXTRATO!$M$2:$M$3000))</f>
        <v/>
      </c>
      <c r="G2055" s="81" t="str">
        <f>IF(A2055="","",IF(INDEX(EXTRATO!$G$2:$G$3000,MATCH($A2055,EXTRATO!$A$2:$A$3000,0))="","",INDEX(EXTRATO!$G$2:$G$3000,MATCH($A2055,EXTRATO!$A$2:$A$3000,0))))</f>
        <v/>
      </c>
      <c r="H2055" s="86" t="str">
        <f>IF(A2055="","",IF(INDEX(EXTRATO!$F$2:$F$3000,MATCH($A2055,EXTRATO!$A$2:$A$3000,0))="","",INDEX(EXTRATO!$F$2:$F$3000,MATCH($A2055,EXTRATO!$A$2:$A$3000,0))))</f>
        <v/>
      </c>
      <c r="I2055" s="88" t="str">
        <f>IF(A2055="","",IF(INDEX(EXTRATO!$H$2:$H$3000,MATCH($A2055,EXTRATO!$A$2:$A$3000,0))="","",INDEX(EXTRATO!$H$2:$H$3000,MATCH($A2055,EXTRATO!$A$2:$A$3000,0))))</f>
        <v/>
      </c>
      <c r="J2055" s="86" t="str">
        <f t="shared" si="51"/>
        <v/>
      </c>
      <c r="K2055" s="86" t="str">
        <f>IF(AND(A2055="",D2055="",E2055="",F2055=""),"",IF(D2055="","SEM CATEGORIA",IF(E2055="","SEM SUBCATEGORIA",IF(COUNTIFS(CADASTROS!$L$7:$L$93,D2055,CADASTROS!$D$7:$D$93,E2055)=0,"INCOMPATÍVEL","OK"))))</f>
        <v/>
      </c>
    </row>
    <row r="2056" spans="1:11" ht="30" hidden="1" customHeight="1" x14ac:dyDescent="0.25">
      <c r="A2056" s="86" t="str">
        <f>IF(COUNTIF(EXTRATO!$A$2:$A$3000,"BAN-01913")=0,"","BAN-01913")</f>
        <v/>
      </c>
      <c r="B2056" s="85" t="str">
        <f>IF(A2056="","",IF(INDEX(EXTRATO!$C$2:$C$3000,MATCH($A2056,EXTRATO!$A$2:$A$3000,0))="","",INDEX(EXTRATO!$C$2:$C$3000,MATCH($A2056,EXTRATO!$A$2:$A$3000,0))))</f>
        <v/>
      </c>
      <c r="C2056" s="86" t="str">
        <f t="shared" si="50"/>
        <v/>
      </c>
      <c r="D2056" s="81"/>
      <c r="E2056" s="79"/>
      <c r="F2056" s="80" t="str">
        <f>IF(A2056="","",SUMIF(EXTRATO!$A$2:$A$3000,$A2056,EXTRATO!$J$2:$J$3000)+SUMIF(EXTRATO!$A$2:$A$3000,$A2056,EXTRATO!$K$2:$K$3000)+SUMIF(EXTRATO!$A$2:$A$3000,$A2056,EXTRATO!$L$2:$L$3000)+SUMIF(EXTRATO!$A$2:$A$3000,$A2056,EXTRATO!$M$2:$M$3000))</f>
        <v/>
      </c>
      <c r="G2056" s="81" t="str">
        <f>IF(A2056="","",IF(INDEX(EXTRATO!$G$2:$G$3000,MATCH($A2056,EXTRATO!$A$2:$A$3000,0))="","",INDEX(EXTRATO!$G$2:$G$3000,MATCH($A2056,EXTRATO!$A$2:$A$3000,0))))</f>
        <v/>
      </c>
      <c r="H2056" s="86" t="str">
        <f>IF(A2056="","",IF(INDEX(EXTRATO!$F$2:$F$3000,MATCH($A2056,EXTRATO!$A$2:$A$3000,0))="","",INDEX(EXTRATO!$F$2:$F$3000,MATCH($A2056,EXTRATO!$A$2:$A$3000,0))))</f>
        <v/>
      </c>
      <c r="I2056" s="88" t="str">
        <f>IF(A2056="","",IF(INDEX(EXTRATO!$H$2:$H$3000,MATCH($A2056,EXTRATO!$A$2:$A$3000,0))="","",INDEX(EXTRATO!$H$2:$H$3000,MATCH($A2056,EXTRATO!$A$2:$A$3000,0))))</f>
        <v/>
      </c>
      <c r="J2056" s="86" t="str">
        <f t="shared" si="51"/>
        <v/>
      </c>
      <c r="K2056" s="86" t="str">
        <f>IF(AND(A2056="",D2056="",E2056="",F2056=""),"",IF(D2056="","SEM CATEGORIA",IF(E2056="","SEM SUBCATEGORIA",IF(COUNTIFS(CADASTROS!$L$7:$L$93,D2056,CADASTROS!$D$7:$D$93,E2056)=0,"INCOMPATÍVEL","OK"))))</f>
        <v/>
      </c>
    </row>
    <row r="2057" spans="1:11" ht="30" hidden="1" customHeight="1" x14ac:dyDescent="0.25">
      <c r="A2057" s="86" t="str">
        <f>IF(COUNTIF(EXTRATO!$A$2:$A$3000,"BAN-01914")=0,"","BAN-01914")</f>
        <v/>
      </c>
      <c r="B2057" s="85" t="str">
        <f>IF(A2057="","",IF(INDEX(EXTRATO!$C$2:$C$3000,MATCH($A2057,EXTRATO!$A$2:$A$3000,0))="","",INDEX(EXTRATO!$C$2:$C$3000,MATCH($A2057,EXTRATO!$A$2:$A$3000,0))))</f>
        <v/>
      </c>
      <c r="C2057" s="86" t="str">
        <f t="shared" si="50"/>
        <v/>
      </c>
      <c r="D2057" s="81"/>
      <c r="E2057" s="79"/>
      <c r="F2057" s="80" t="str">
        <f>IF(A2057="","",SUMIF(EXTRATO!$A$2:$A$3000,$A2057,EXTRATO!$J$2:$J$3000)+SUMIF(EXTRATO!$A$2:$A$3000,$A2057,EXTRATO!$K$2:$K$3000)+SUMIF(EXTRATO!$A$2:$A$3000,$A2057,EXTRATO!$L$2:$L$3000)+SUMIF(EXTRATO!$A$2:$A$3000,$A2057,EXTRATO!$M$2:$M$3000))</f>
        <v/>
      </c>
      <c r="G2057" s="81" t="str">
        <f>IF(A2057="","",IF(INDEX(EXTRATO!$G$2:$G$3000,MATCH($A2057,EXTRATO!$A$2:$A$3000,0))="","",INDEX(EXTRATO!$G$2:$G$3000,MATCH($A2057,EXTRATO!$A$2:$A$3000,0))))</f>
        <v/>
      </c>
      <c r="H2057" s="86" t="str">
        <f>IF(A2057="","",IF(INDEX(EXTRATO!$F$2:$F$3000,MATCH($A2057,EXTRATO!$A$2:$A$3000,0))="","",INDEX(EXTRATO!$F$2:$F$3000,MATCH($A2057,EXTRATO!$A$2:$A$3000,0))))</f>
        <v/>
      </c>
      <c r="I2057" s="88" t="str">
        <f>IF(A2057="","",IF(INDEX(EXTRATO!$H$2:$H$3000,MATCH($A2057,EXTRATO!$A$2:$A$3000,0))="","",INDEX(EXTRATO!$H$2:$H$3000,MATCH($A2057,EXTRATO!$A$2:$A$3000,0))))</f>
        <v/>
      </c>
      <c r="J2057" s="86" t="str">
        <f t="shared" si="51"/>
        <v/>
      </c>
      <c r="K2057" s="86" t="str">
        <f>IF(AND(A2057="",D2057="",E2057="",F2057=""),"",IF(D2057="","SEM CATEGORIA",IF(E2057="","SEM SUBCATEGORIA",IF(COUNTIFS(CADASTROS!$L$7:$L$93,D2057,CADASTROS!$D$7:$D$93,E2057)=0,"INCOMPATÍVEL","OK"))))</f>
        <v/>
      </c>
    </row>
    <row r="2058" spans="1:11" ht="30" hidden="1" customHeight="1" x14ac:dyDescent="0.25">
      <c r="A2058" s="86" t="str">
        <f>IF(COUNTIF(EXTRATO!$A$2:$A$3000,"BAN-01915")=0,"","BAN-01915")</f>
        <v/>
      </c>
      <c r="B2058" s="85" t="str">
        <f>IF(A2058="","",IF(INDEX(EXTRATO!$C$2:$C$3000,MATCH($A2058,EXTRATO!$A$2:$A$3000,0))="","",INDEX(EXTRATO!$C$2:$C$3000,MATCH($A2058,EXTRATO!$A$2:$A$3000,0))))</f>
        <v/>
      </c>
      <c r="C2058" s="86" t="str">
        <f t="shared" si="50"/>
        <v/>
      </c>
      <c r="D2058" s="81"/>
      <c r="E2058" s="79"/>
      <c r="F2058" s="80" t="str">
        <f>IF(A2058="","",SUMIF(EXTRATO!$A$2:$A$3000,$A2058,EXTRATO!$J$2:$J$3000)+SUMIF(EXTRATO!$A$2:$A$3000,$A2058,EXTRATO!$K$2:$K$3000)+SUMIF(EXTRATO!$A$2:$A$3000,$A2058,EXTRATO!$L$2:$L$3000)+SUMIF(EXTRATO!$A$2:$A$3000,$A2058,EXTRATO!$M$2:$M$3000))</f>
        <v/>
      </c>
      <c r="G2058" s="81" t="str">
        <f>IF(A2058="","",IF(INDEX(EXTRATO!$G$2:$G$3000,MATCH($A2058,EXTRATO!$A$2:$A$3000,0))="","",INDEX(EXTRATO!$G$2:$G$3000,MATCH($A2058,EXTRATO!$A$2:$A$3000,0))))</f>
        <v/>
      </c>
      <c r="H2058" s="86" t="str">
        <f>IF(A2058="","",IF(INDEX(EXTRATO!$F$2:$F$3000,MATCH($A2058,EXTRATO!$A$2:$A$3000,0))="","",INDEX(EXTRATO!$F$2:$F$3000,MATCH($A2058,EXTRATO!$A$2:$A$3000,0))))</f>
        <v/>
      </c>
      <c r="I2058" s="88" t="str">
        <f>IF(A2058="","",IF(INDEX(EXTRATO!$H$2:$H$3000,MATCH($A2058,EXTRATO!$A$2:$A$3000,0))="","",INDEX(EXTRATO!$H$2:$H$3000,MATCH($A2058,EXTRATO!$A$2:$A$3000,0))))</f>
        <v/>
      </c>
      <c r="J2058" s="86" t="str">
        <f t="shared" si="51"/>
        <v/>
      </c>
      <c r="K2058" s="86" t="str">
        <f>IF(AND(A2058="",D2058="",E2058="",F2058=""),"",IF(D2058="","SEM CATEGORIA",IF(E2058="","SEM SUBCATEGORIA",IF(COUNTIFS(CADASTROS!$L$7:$L$93,D2058,CADASTROS!$D$7:$D$93,E2058)=0,"INCOMPATÍVEL","OK"))))</f>
        <v/>
      </c>
    </row>
    <row r="2059" spans="1:11" ht="30" hidden="1" customHeight="1" x14ac:dyDescent="0.25">
      <c r="A2059" s="86" t="str">
        <f>IF(COUNTIF(EXTRATO!$A$2:$A$3000,"BAN-01916")=0,"","BAN-01916")</f>
        <v/>
      </c>
      <c r="B2059" s="85" t="str">
        <f>IF(A2059="","",IF(INDEX(EXTRATO!$C$2:$C$3000,MATCH($A2059,EXTRATO!$A$2:$A$3000,0))="","",INDEX(EXTRATO!$C$2:$C$3000,MATCH($A2059,EXTRATO!$A$2:$A$3000,0))))</f>
        <v/>
      </c>
      <c r="C2059" s="86" t="str">
        <f t="shared" si="50"/>
        <v/>
      </c>
      <c r="D2059" s="81"/>
      <c r="E2059" s="79"/>
      <c r="F2059" s="80" t="str">
        <f>IF(A2059="","",SUMIF(EXTRATO!$A$2:$A$3000,$A2059,EXTRATO!$J$2:$J$3000)+SUMIF(EXTRATO!$A$2:$A$3000,$A2059,EXTRATO!$K$2:$K$3000)+SUMIF(EXTRATO!$A$2:$A$3000,$A2059,EXTRATO!$L$2:$L$3000)+SUMIF(EXTRATO!$A$2:$A$3000,$A2059,EXTRATO!$M$2:$M$3000))</f>
        <v/>
      </c>
      <c r="G2059" s="81" t="str">
        <f>IF(A2059="","",IF(INDEX(EXTRATO!$G$2:$G$3000,MATCH($A2059,EXTRATO!$A$2:$A$3000,0))="","",INDEX(EXTRATO!$G$2:$G$3000,MATCH($A2059,EXTRATO!$A$2:$A$3000,0))))</f>
        <v/>
      </c>
      <c r="H2059" s="86" t="str">
        <f>IF(A2059="","",IF(INDEX(EXTRATO!$F$2:$F$3000,MATCH($A2059,EXTRATO!$A$2:$A$3000,0))="","",INDEX(EXTRATO!$F$2:$F$3000,MATCH($A2059,EXTRATO!$A$2:$A$3000,0))))</f>
        <v/>
      </c>
      <c r="I2059" s="88" t="str">
        <f>IF(A2059="","",IF(INDEX(EXTRATO!$H$2:$H$3000,MATCH($A2059,EXTRATO!$A$2:$A$3000,0))="","",INDEX(EXTRATO!$H$2:$H$3000,MATCH($A2059,EXTRATO!$A$2:$A$3000,0))))</f>
        <v/>
      </c>
      <c r="J2059" s="86" t="str">
        <f t="shared" si="51"/>
        <v/>
      </c>
      <c r="K2059" s="86" t="str">
        <f>IF(AND(A2059="",D2059="",E2059="",F2059=""),"",IF(D2059="","SEM CATEGORIA",IF(E2059="","SEM SUBCATEGORIA",IF(COUNTIFS(CADASTROS!$L$7:$L$93,D2059,CADASTROS!$D$7:$D$93,E2059)=0,"INCOMPATÍVEL","OK"))))</f>
        <v/>
      </c>
    </row>
    <row r="2060" spans="1:11" ht="30" hidden="1" customHeight="1" x14ac:dyDescent="0.25">
      <c r="A2060" s="86" t="str">
        <f>IF(COUNTIF(EXTRATO!$A$2:$A$3000,"BAN-01917")=0,"","BAN-01917")</f>
        <v/>
      </c>
      <c r="B2060" s="85" t="str">
        <f>IF(A2060="","",IF(INDEX(EXTRATO!$C$2:$C$3000,MATCH($A2060,EXTRATO!$A$2:$A$3000,0))="","",INDEX(EXTRATO!$C$2:$C$3000,MATCH($A2060,EXTRATO!$A$2:$A$3000,0))))</f>
        <v/>
      </c>
      <c r="C2060" s="86" t="str">
        <f t="shared" si="50"/>
        <v/>
      </c>
      <c r="D2060" s="81"/>
      <c r="E2060" s="79"/>
      <c r="F2060" s="80" t="str">
        <f>IF(A2060="","",SUMIF(EXTRATO!$A$2:$A$3000,$A2060,EXTRATO!$J$2:$J$3000)+SUMIF(EXTRATO!$A$2:$A$3000,$A2060,EXTRATO!$K$2:$K$3000)+SUMIF(EXTRATO!$A$2:$A$3000,$A2060,EXTRATO!$L$2:$L$3000)+SUMIF(EXTRATO!$A$2:$A$3000,$A2060,EXTRATO!$M$2:$M$3000))</f>
        <v/>
      </c>
      <c r="G2060" s="81" t="str">
        <f>IF(A2060="","",IF(INDEX(EXTRATO!$G$2:$G$3000,MATCH($A2060,EXTRATO!$A$2:$A$3000,0))="","",INDEX(EXTRATO!$G$2:$G$3000,MATCH($A2060,EXTRATO!$A$2:$A$3000,0))))</f>
        <v/>
      </c>
      <c r="H2060" s="86" t="str">
        <f>IF(A2060="","",IF(INDEX(EXTRATO!$F$2:$F$3000,MATCH($A2060,EXTRATO!$A$2:$A$3000,0))="","",INDEX(EXTRATO!$F$2:$F$3000,MATCH($A2060,EXTRATO!$A$2:$A$3000,0))))</f>
        <v/>
      </c>
      <c r="I2060" s="88" t="str">
        <f>IF(A2060="","",IF(INDEX(EXTRATO!$H$2:$H$3000,MATCH($A2060,EXTRATO!$A$2:$A$3000,0))="","",INDEX(EXTRATO!$H$2:$H$3000,MATCH($A2060,EXTRATO!$A$2:$A$3000,0))))</f>
        <v/>
      </c>
      <c r="J2060" s="86" t="str">
        <f t="shared" si="51"/>
        <v/>
      </c>
      <c r="K2060" s="86" t="str">
        <f>IF(AND(A2060="",D2060="",E2060="",F2060=""),"",IF(D2060="","SEM CATEGORIA",IF(E2060="","SEM SUBCATEGORIA",IF(COUNTIFS(CADASTROS!$L$7:$L$93,D2060,CADASTROS!$D$7:$D$93,E2060)=0,"INCOMPATÍVEL","OK"))))</f>
        <v/>
      </c>
    </row>
    <row r="2061" spans="1:11" ht="30" hidden="1" customHeight="1" x14ac:dyDescent="0.25">
      <c r="A2061" s="86" t="str">
        <f>IF(COUNTIF(EXTRATO!$A$2:$A$3000,"BAN-01918")=0,"","BAN-01918")</f>
        <v/>
      </c>
      <c r="B2061" s="85" t="str">
        <f>IF(A2061="","",IF(INDEX(EXTRATO!$C$2:$C$3000,MATCH($A2061,EXTRATO!$A$2:$A$3000,0))="","",INDEX(EXTRATO!$C$2:$C$3000,MATCH($A2061,EXTRATO!$A$2:$A$3000,0))))</f>
        <v/>
      </c>
      <c r="C2061" s="86" t="str">
        <f t="shared" si="50"/>
        <v/>
      </c>
      <c r="D2061" s="81"/>
      <c r="E2061" s="79"/>
      <c r="F2061" s="80" t="str">
        <f>IF(A2061="","",SUMIF(EXTRATO!$A$2:$A$3000,$A2061,EXTRATO!$J$2:$J$3000)+SUMIF(EXTRATO!$A$2:$A$3000,$A2061,EXTRATO!$K$2:$K$3000)+SUMIF(EXTRATO!$A$2:$A$3000,$A2061,EXTRATO!$L$2:$L$3000)+SUMIF(EXTRATO!$A$2:$A$3000,$A2061,EXTRATO!$M$2:$M$3000))</f>
        <v/>
      </c>
      <c r="G2061" s="81" t="str">
        <f>IF(A2061="","",IF(INDEX(EXTRATO!$G$2:$G$3000,MATCH($A2061,EXTRATO!$A$2:$A$3000,0))="","",INDEX(EXTRATO!$G$2:$G$3000,MATCH($A2061,EXTRATO!$A$2:$A$3000,0))))</f>
        <v/>
      </c>
      <c r="H2061" s="86" t="str">
        <f>IF(A2061="","",IF(INDEX(EXTRATO!$F$2:$F$3000,MATCH($A2061,EXTRATO!$A$2:$A$3000,0))="","",INDEX(EXTRATO!$F$2:$F$3000,MATCH($A2061,EXTRATO!$A$2:$A$3000,0))))</f>
        <v/>
      </c>
      <c r="I2061" s="88" t="str">
        <f>IF(A2061="","",IF(INDEX(EXTRATO!$H$2:$H$3000,MATCH($A2061,EXTRATO!$A$2:$A$3000,0))="","",INDEX(EXTRATO!$H$2:$H$3000,MATCH($A2061,EXTRATO!$A$2:$A$3000,0))))</f>
        <v/>
      </c>
      <c r="J2061" s="86" t="str">
        <f t="shared" si="51"/>
        <v/>
      </c>
      <c r="K2061" s="86" t="str">
        <f>IF(AND(A2061="",D2061="",E2061="",F2061=""),"",IF(D2061="","SEM CATEGORIA",IF(E2061="","SEM SUBCATEGORIA",IF(COUNTIFS(CADASTROS!$L$7:$L$93,D2061,CADASTROS!$D$7:$D$93,E2061)=0,"INCOMPATÍVEL","OK"))))</f>
        <v/>
      </c>
    </row>
    <row r="2062" spans="1:11" ht="30" hidden="1" customHeight="1" x14ac:dyDescent="0.25">
      <c r="A2062" s="86" t="str">
        <f>IF(COUNTIF(EXTRATO!$A$2:$A$3000,"BAN-01919")=0,"","BAN-01919")</f>
        <v/>
      </c>
      <c r="B2062" s="85" t="str">
        <f>IF(A2062="","",IF(INDEX(EXTRATO!$C$2:$C$3000,MATCH($A2062,EXTRATO!$A$2:$A$3000,0))="","",INDEX(EXTRATO!$C$2:$C$3000,MATCH($A2062,EXTRATO!$A$2:$A$3000,0))))</f>
        <v/>
      </c>
      <c r="C2062" s="86" t="str">
        <f t="shared" si="50"/>
        <v/>
      </c>
      <c r="D2062" s="81"/>
      <c r="E2062" s="79"/>
      <c r="F2062" s="80" t="str">
        <f>IF(A2062="","",SUMIF(EXTRATO!$A$2:$A$3000,$A2062,EXTRATO!$J$2:$J$3000)+SUMIF(EXTRATO!$A$2:$A$3000,$A2062,EXTRATO!$K$2:$K$3000)+SUMIF(EXTRATO!$A$2:$A$3000,$A2062,EXTRATO!$L$2:$L$3000)+SUMIF(EXTRATO!$A$2:$A$3000,$A2062,EXTRATO!$M$2:$M$3000))</f>
        <v/>
      </c>
      <c r="G2062" s="81" t="str">
        <f>IF(A2062="","",IF(INDEX(EXTRATO!$G$2:$G$3000,MATCH($A2062,EXTRATO!$A$2:$A$3000,0))="","",INDEX(EXTRATO!$G$2:$G$3000,MATCH($A2062,EXTRATO!$A$2:$A$3000,0))))</f>
        <v/>
      </c>
      <c r="H2062" s="86" t="str">
        <f>IF(A2062="","",IF(INDEX(EXTRATO!$F$2:$F$3000,MATCH($A2062,EXTRATO!$A$2:$A$3000,0))="","",INDEX(EXTRATO!$F$2:$F$3000,MATCH($A2062,EXTRATO!$A$2:$A$3000,0))))</f>
        <v/>
      </c>
      <c r="I2062" s="88" t="str">
        <f>IF(A2062="","",IF(INDEX(EXTRATO!$H$2:$H$3000,MATCH($A2062,EXTRATO!$A$2:$A$3000,0))="","",INDEX(EXTRATO!$H$2:$H$3000,MATCH($A2062,EXTRATO!$A$2:$A$3000,0))))</f>
        <v/>
      </c>
      <c r="J2062" s="86" t="str">
        <f t="shared" si="51"/>
        <v/>
      </c>
      <c r="K2062" s="86" t="str">
        <f>IF(AND(A2062="",D2062="",E2062="",F2062=""),"",IF(D2062="","SEM CATEGORIA",IF(E2062="","SEM SUBCATEGORIA",IF(COUNTIFS(CADASTROS!$L$7:$L$93,D2062,CADASTROS!$D$7:$D$93,E2062)=0,"INCOMPATÍVEL","OK"))))</f>
        <v/>
      </c>
    </row>
    <row r="2063" spans="1:11" ht="30" hidden="1" customHeight="1" x14ac:dyDescent="0.25">
      <c r="A2063" s="86" t="str">
        <f>IF(COUNTIF(EXTRATO!$A$2:$A$3000,"BAN-01920")=0,"","BAN-01920")</f>
        <v/>
      </c>
      <c r="B2063" s="85" t="str">
        <f>IF(A2063="","",IF(INDEX(EXTRATO!$C$2:$C$3000,MATCH($A2063,EXTRATO!$A$2:$A$3000,0))="","",INDEX(EXTRATO!$C$2:$C$3000,MATCH($A2063,EXTRATO!$A$2:$A$3000,0))))</f>
        <v/>
      </c>
      <c r="C2063" s="86" t="str">
        <f t="shared" si="50"/>
        <v/>
      </c>
      <c r="D2063" s="81"/>
      <c r="E2063" s="79"/>
      <c r="F2063" s="80" t="str">
        <f>IF(A2063="","",SUMIF(EXTRATO!$A$2:$A$3000,$A2063,EXTRATO!$J$2:$J$3000)+SUMIF(EXTRATO!$A$2:$A$3000,$A2063,EXTRATO!$K$2:$K$3000)+SUMIF(EXTRATO!$A$2:$A$3000,$A2063,EXTRATO!$L$2:$L$3000)+SUMIF(EXTRATO!$A$2:$A$3000,$A2063,EXTRATO!$M$2:$M$3000))</f>
        <v/>
      </c>
      <c r="G2063" s="81" t="str">
        <f>IF(A2063="","",IF(INDEX(EXTRATO!$G$2:$G$3000,MATCH($A2063,EXTRATO!$A$2:$A$3000,0))="","",INDEX(EXTRATO!$G$2:$G$3000,MATCH($A2063,EXTRATO!$A$2:$A$3000,0))))</f>
        <v/>
      </c>
      <c r="H2063" s="86" t="str">
        <f>IF(A2063="","",IF(INDEX(EXTRATO!$F$2:$F$3000,MATCH($A2063,EXTRATO!$A$2:$A$3000,0))="","",INDEX(EXTRATO!$F$2:$F$3000,MATCH($A2063,EXTRATO!$A$2:$A$3000,0))))</f>
        <v/>
      </c>
      <c r="I2063" s="88" t="str">
        <f>IF(A2063="","",IF(INDEX(EXTRATO!$H$2:$H$3000,MATCH($A2063,EXTRATO!$A$2:$A$3000,0))="","",INDEX(EXTRATO!$H$2:$H$3000,MATCH($A2063,EXTRATO!$A$2:$A$3000,0))))</f>
        <v/>
      </c>
      <c r="J2063" s="86" t="str">
        <f t="shared" si="51"/>
        <v/>
      </c>
      <c r="K2063" s="86" t="str">
        <f>IF(AND(A2063="",D2063="",E2063="",F2063=""),"",IF(D2063="","SEM CATEGORIA",IF(E2063="","SEM SUBCATEGORIA",IF(COUNTIFS(CADASTROS!$L$7:$L$93,D2063,CADASTROS!$D$7:$D$93,E2063)=0,"INCOMPATÍVEL","OK"))))</f>
        <v/>
      </c>
    </row>
    <row r="2064" spans="1:11" ht="30" hidden="1" customHeight="1" x14ac:dyDescent="0.25">
      <c r="A2064" s="86" t="str">
        <f>IF(COUNTIF(EXTRATO!$A$2:$A$3000,"BAN-01921")=0,"","BAN-01921")</f>
        <v/>
      </c>
      <c r="B2064" s="85" t="str">
        <f>IF(A2064="","",IF(INDEX(EXTRATO!$C$2:$C$3000,MATCH($A2064,EXTRATO!$A$2:$A$3000,0))="","",INDEX(EXTRATO!$C$2:$C$3000,MATCH($A2064,EXTRATO!$A$2:$A$3000,0))))</f>
        <v/>
      </c>
      <c r="C2064" s="86" t="str">
        <f t="shared" si="50"/>
        <v/>
      </c>
      <c r="D2064" s="81"/>
      <c r="E2064" s="79"/>
      <c r="F2064" s="80" t="str">
        <f>IF(A2064="","",SUMIF(EXTRATO!$A$2:$A$3000,$A2064,EXTRATO!$J$2:$J$3000)+SUMIF(EXTRATO!$A$2:$A$3000,$A2064,EXTRATO!$K$2:$K$3000)+SUMIF(EXTRATO!$A$2:$A$3000,$A2064,EXTRATO!$L$2:$L$3000)+SUMIF(EXTRATO!$A$2:$A$3000,$A2064,EXTRATO!$M$2:$M$3000))</f>
        <v/>
      </c>
      <c r="G2064" s="81" t="str">
        <f>IF(A2064="","",IF(INDEX(EXTRATO!$G$2:$G$3000,MATCH($A2064,EXTRATO!$A$2:$A$3000,0))="","",INDEX(EXTRATO!$G$2:$G$3000,MATCH($A2064,EXTRATO!$A$2:$A$3000,0))))</f>
        <v/>
      </c>
      <c r="H2064" s="86" t="str">
        <f>IF(A2064="","",IF(INDEX(EXTRATO!$F$2:$F$3000,MATCH($A2064,EXTRATO!$A$2:$A$3000,0))="","",INDEX(EXTRATO!$F$2:$F$3000,MATCH($A2064,EXTRATO!$A$2:$A$3000,0))))</f>
        <v/>
      </c>
      <c r="I2064" s="88" t="str">
        <f>IF(A2064="","",IF(INDEX(EXTRATO!$H$2:$H$3000,MATCH($A2064,EXTRATO!$A$2:$A$3000,0))="","",INDEX(EXTRATO!$H$2:$H$3000,MATCH($A2064,EXTRATO!$A$2:$A$3000,0))))</f>
        <v/>
      </c>
      <c r="J2064" s="86" t="str">
        <f t="shared" si="51"/>
        <v/>
      </c>
      <c r="K2064" s="86" t="str">
        <f>IF(AND(A2064="",D2064="",E2064="",F2064=""),"",IF(D2064="","SEM CATEGORIA",IF(E2064="","SEM SUBCATEGORIA",IF(COUNTIFS(CADASTROS!$L$7:$L$93,D2064,CADASTROS!$D$7:$D$93,E2064)=0,"INCOMPATÍVEL","OK"))))</f>
        <v/>
      </c>
    </row>
    <row r="2065" spans="1:11" ht="30" hidden="1" customHeight="1" x14ac:dyDescent="0.25">
      <c r="A2065" s="86" t="str">
        <f>IF(COUNTIF(EXTRATO!$A$2:$A$3000,"BAN-01922")=0,"","BAN-01922")</f>
        <v/>
      </c>
      <c r="B2065" s="85" t="str">
        <f>IF(A2065="","",IF(INDEX(EXTRATO!$C$2:$C$3000,MATCH($A2065,EXTRATO!$A$2:$A$3000,0))="","",INDEX(EXTRATO!$C$2:$C$3000,MATCH($A2065,EXTRATO!$A$2:$A$3000,0))))</f>
        <v/>
      </c>
      <c r="C2065" s="86" t="str">
        <f t="shared" si="50"/>
        <v/>
      </c>
      <c r="D2065" s="81"/>
      <c r="E2065" s="79"/>
      <c r="F2065" s="80" t="str">
        <f>IF(A2065="","",SUMIF(EXTRATO!$A$2:$A$3000,$A2065,EXTRATO!$J$2:$J$3000)+SUMIF(EXTRATO!$A$2:$A$3000,$A2065,EXTRATO!$K$2:$K$3000)+SUMIF(EXTRATO!$A$2:$A$3000,$A2065,EXTRATO!$L$2:$L$3000)+SUMIF(EXTRATO!$A$2:$A$3000,$A2065,EXTRATO!$M$2:$M$3000))</f>
        <v/>
      </c>
      <c r="G2065" s="81" t="str">
        <f>IF(A2065="","",IF(INDEX(EXTRATO!$G$2:$G$3000,MATCH($A2065,EXTRATO!$A$2:$A$3000,0))="","",INDEX(EXTRATO!$G$2:$G$3000,MATCH($A2065,EXTRATO!$A$2:$A$3000,0))))</f>
        <v/>
      </c>
      <c r="H2065" s="86" t="str">
        <f>IF(A2065="","",IF(INDEX(EXTRATO!$F$2:$F$3000,MATCH($A2065,EXTRATO!$A$2:$A$3000,0))="","",INDEX(EXTRATO!$F$2:$F$3000,MATCH($A2065,EXTRATO!$A$2:$A$3000,0))))</f>
        <v/>
      </c>
      <c r="I2065" s="88" t="str">
        <f>IF(A2065="","",IF(INDEX(EXTRATO!$H$2:$H$3000,MATCH($A2065,EXTRATO!$A$2:$A$3000,0))="","",INDEX(EXTRATO!$H$2:$H$3000,MATCH($A2065,EXTRATO!$A$2:$A$3000,0))))</f>
        <v/>
      </c>
      <c r="J2065" s="86" t="str">
        <f t="shared" si="51"/>
        <v/>
      </c>
      <c r="K2065" s="86" t="str">
        <f>IF(AND(A2065="",D2065="",E2065="",F2065=""),"",IF(D2065="","SEM CATEGORIA",IF(E2065="","SEM SUBCATEGORIA",IF(COUNTIFS(CADASTROS!$L$7:$L$93,D2065,CADASTROS!$D$7:$D$93,E2065)=0,"INCOMPATÍVEL","OK"))))</f>
        <v/>
      </c>
    </row>
    <row r="2066" spans="1:11" ht="30" hidden="1" customHeight="1" x14ac:dyDescent="0.25">
      <c r="A2066" s="86" t="str">
        <f>IF(COUNTIF(EXTRATO!$A$2:$A$3000,"BAN-01923")=0,"","BAN-01923")</f>
        <v/>
      </c>
      <c r="B2066" s="85" t="str">
        <f>IF(A2066="","",IF(INDEX(EXTRATO!$C$2:$C$3000,MATCH($A2066,EXTRATO!$A$2:$A$3000,0))="","",INDEX(EXTRATO!$C$2:$C$3000,MATCH($A2066,EXTRATO!$A$2:$A$3000,0))))</f>
        <v/>
      </c>
      <c r="C2066" s="86" t="str">
        <f t="shared" si="50"/>
        <v/>
      </c>
      <c r="D2066" s="81"/>
      <c r="E2066" s="79"/>
      <c r="F2066" s="80" t="str">
        <f>IF(A2066="","",SUMIF(EXTRATO!$A$2:$A$3000,$A2066,EXTRATO!$J$2:$J$3000)+SUMIF(EXTRATO!$A$2:$A$3000,$A2066,EXTRATO!$K$2:$K$3000)+SUMIF(EXTRATO!$A$2:$A$3000,$A2066,EXTRATO!$L$2:$L$3000)+SUMIF(EXTRATO!$A$2:$A$3000,$A2066,EXTRATO!$M$2:$M$3000))</f>
        <v/>
      </c>
      <c r="G2066" s="81" t="str">
        <f>IF(A2066="","",IF(INDEX(EXTRATO!$G$2:$G$3000,MATCH($A2066,EXTRATO!$A$2:$A$3000,0))="","",INDEX(EXTRATO!$G$2:$G$3000,MATCH($A2066,EXTRATO!$A$2:$A$3000,0))))</f>
        <v/>
      </c>
      <c r="H2066" s="86" t="str">
        <f>IF(A2066="","",IF(INDEX(EXTRATO!$F$2:$F$3000,MATCH($A2066,EXTRATO!$A$2:$A$3000,0))="","",INDEX(EXTRATO!$F$2:$F$3000,MATCH($A2066,EXTRATO!$A$2:$A$3000,0))))</f>
        <v/>
      </c>
      <c r="I2066" s="88" t="str">
        <f>IF(A2066="","",IF(INDEX(EXTRATO!$H$2:$H$3000,MATCH($A2066,EXTRATO!$A$2:$A$3000,0))="","",INDEX(EXTRATO!$H$2:$H$3000,MATCH($A2066,EXTRATO!$A$2:$A$3000,0))))</f>
        <v/>
      </c>
      <c r="J2066" s="86" t="str">
        <f t="shared" si="51"/>
        <v/>
      </c>
      <c r="K2066" s="86" t="str">
        <f>IF(AND(A2066="",D2066="",E2066="",F2066=""),"",IF(D2066="","SEM CATEGORIA",IF(E2066="","SEM SUBCATEGORIA",IF(COUNTIFS(CADASTROS!$L$7:$L$93,D2066,CADASTROS!$D$7:$D$93,E2066)=0,"INCOMPATÍVEL","OK"))))</f>
        <v/>
      </c>
    </row>
    <row r="2067" spans="1:11" ht="30" hidden="1" customHeight="1" x14ac:dyDescent="0.25">
      <c r="A2067" s="86" t="str">
        <f>IF(COUNTIF(EXTRATO!$A$2:$A$3000,"BAN-01924")=0,"","BAN-01924")</f>
        <v/>
      </c>
      <c r="B2067" s="85" t="str">
        <f>IF(A2067="","",IF(INDEX(EXTRATO!$C$2:$C$3000,MATCH($A2067,EXTRATO!$A$2:$A$3000,0))="","",INDEX(EXTRATO!$C$2:$C$3000,MATCH($A2067,EXTRATO!$A$2:$A$3000,0))))</f>
        <v/>
      </c>
      <c r="C2067" s="86" t="str">
        <f t="shared" si="50"/>
        <v/>
      </c>
      <c r="D2067" s="81"/>
      <c r="E2067" s="79"/>
      <c r="F2067" s="80" t="str">
        <f>IF(A2067="","",SUMIF(EXTRATO!$A$2:$A$3000,$A2067,EXTRATO!$J$2:$J$3000)+SUMIF(EXTRATO!$A$2:$A$3000,$A2067,EXTRATO!$K$2:$K$3000)+SUMIF(EXTRATO!$A$2:$A$3000,$A2067,EXTRATO!$L$2:$L$3000)+SUMIF(EXTRATO!$A$2:$A$3000,$A2067,EXTRATO!$M$2:$M$3000))</f>
        <v/>
      </c>
      <c r="G2067" s="81" t="str">
        <f>IF(A2067="","",IF(INDEX(EXTRATO!$G$2:$G$3000,MATCH($A2067,EXTRATO!$A$2:$A$3000,0))="","",INDEX(EXTRATO!$G$2:$G$3000,MATCH($A2067,EXTRATO!$A$2:$A$3000,0))))</f>
        <v/>
      </c>
      <c r="H2067" s="86" t="str">
        <f>IF(A2067="","",IF(INDEX(EXTRATO!$F$2:$F$3000,MATCH($A2067,EXTRATO!$A$2:$A$3000,0))="","",INDEX(EXTRATO!$F$2:$F$3000,MATCH($A2067,EXTRATO!$A$2:$A$3000,0))))</f>
        <v/>
      </c>
      <c r="I2067" s="88" t="str">
        <f>IF(A2067="","",IF(INDEX(EXTRATO!$H$2:$H$3000,MATCH($A2067,EXTRATO!$A$2:$A$3000,0))="","",INDEX(EXTRATO!$H$2:$H$3000,MATCH($A2067,EXTRATO!$A$2:$A$3000,0))))</f>
        <v/>
      </c>
      <c r="J2067" s="86" t="str">
        <f t="shared" si="51"/>
        <v/>
      </c>
      <c r="K2067" s="86" t="str">
        <f>IF(AND(A2067="",D2067="",E2067="",F2067=""),"",IF(D2067="","SEM CATEGORIA",IF(E2067="","SEM SUBCATEGORIA",IF(COUNTIFS(CADASTROS!$L$7:$L$93,D2067,CADASTROS!$D$7:$D$93,E2067)=0,"INCOMPATÍVEL","OK"))))</f>
        <v/>
      </c>
    </row>
    <row r="2068" spans="1:11" ht="30" hidden="1" customHeight="1" x14ac:dyDescent="0.25">
      <c r="A2068" s="86" t="str">
        <f>IF(COUNTIF(EXTRATO!$A$2:$A$3000,"BAN-01925")=0,"","BAN-01925")</f>
        <v/>
      </c>
      <c r="B2068" s="85" t="str">
        <f>IF(A2068="","",IF(INDEX(EXTRATO!$C$2:$C$3000,MATCH($A2068,EXTRATO!$A$2:$A$3000,0))="","",INDEX(EXTRATO!$C$2:$C$3000,MATCH($A2068,EXTRATO!$A$2:$A$3000,0))))</f>
        <v/>
      </c>
      <c r="C2068" s="86" t="str">
        <f t="shared" si="50"/>
        <v/>
      </c>
      <c r="D2068" s="81"/>
      <c r="E2068" s="79"/>
      <c r="F2068" s="80" t="str">
        <f>IF(A2068="","",SUMIF(EXTRATO!$A$2:$A$3000,$A2068,EXTRATO!$J$2:$J$3000)+SUMIF(EXTRATO!$A$2:$A$3000,$A2068,EXTRATO!$K$2:$K$3000)+SUMIF(EXTRATO!$A$2:$A$3000,$A2068,EXTRATO!$L$2:$L$3000)+SUMIF(EXTRATO!$A$2:$A$3000,$A2068,EXTRATO!$M$2:$M$3000))</f>
        <v/>
      </c>
      <c r="G2068" s="81" t="str">
        <f>IF(A2068="","",IF(INDEX(EXTRATO!$G$2:$G$3000,MATCH($A2068,EXTRATO!$A$2:$A$3000,0))="","",INDEX(EXTRATO!$G$2:$G$3000,MATCH($A2068,EXTRATO!$A$2:$A$3000,0))))</f>
        <v/>
      </c>
      <c r="H2068" s="86" t="str">
        <f>IF(A2068="","",IF(INDEX(EXTRATO!$F$2:$F$3000,MATCH($A2068,EXTRATO!$A$2:$A$3000,0))="","",INDEX(EXTRATO!$F$2:$F$3000,MATCH($A2068,EXTRATO!$A$2:$A$3000,0))))</f>
        <v/>
      </c>
      <c r="I2068" s="88" t="str">
        <f>IF(A2068="","",IF(INDEX(EXTRATO!$H$2:$H$3000,MATCH($A2068,EXTRATO!$A$2:$A$3000,0))="","",INDEX(EXTRATO!$H$2:$H$3000,MATCH($A2068,EXTRATO!$A$2:$A$3000,0))))</f>
        <v/>
      </c>
      <c r="J2068" s="86" t="str">
        <f t="shared" si="51"/>
        <v/>
      </c>
      <c r="K2068" s="86" t="str">
        <f>IF(AND(A2068="",D2068="",E2068="",F2068=""),"",IF(D2068="","SEM CATEGORIA",IF(E2068="","SEM SUBCATEGORIA",IF(COUNTIFS(CADASTROS!$L$7:$L$93,D2068,CADASTROS!$D$7:$D$93,E2068)=0,"INCOMPATÍVEL","OK"))))</f>
        <v/>
      </c>
    </row>
    <row r="2069" spans="1:11" ht="30" hidden="1" customHeight="1" x14ac:dyDescent="0.25">
      <c r="A2069" s="86" t="str">
        <f>IF(COUNTIF(EXTRATO!$A$2:$A$3000,"BAN-01926")=0,"","BAN-01926")</f>
        <v/>
      </c>
      <c r="B2069" s="85" t="str">
        <f>IF(A2069="","",IF(INDEX(EXTRATO!$C$2:$C$3000,MATCH($A2069,EXTRATO!$A$2:$A$3000,0))="","",INDEX(EXTRATO!$C$2:$C$3000,MATCH($A2069,EXTRATO!$A$2:$A$3000,0))))</f>
        <v/>
      </c>
      <c r="C2069" s="86" t="str">
        <f t="shared" ref="C2069:C2132" si="52">IF(B2069="","",MONTH(B2069))</f>
        <v/>
      </c>
      <c r="D2069" s="81"/>
      <c r="E2069" s="79"/>
      <c r="F2069" s="80" t="str">
        <f>IF(A2069="","",SUMIF(EXTRATO!$A$2:$A$3000,$A2069,EXTRATO!$J$2:$J$3000)+SUMIF(EXTRATO!$A$2:$A$3000,$A2069,EXTRATO!$K$2:$K$3000)+SUMIF(EXTRATO!$A$2:$A$3000,$A2069,EXTRATO!$L$2:$L$3000)+SUMIF(EXTRATO!$A$2:$A$3000,$A2069,EXTRATO!$M$2:$M$3000))</f>
        <v/>
      </c>
      <c r="G2069" s="81" t="str">
        <f>IF(A2069="","",IF(INDEX(EXTRATO!$G$2:$G$3000,MATCH($A2069,EXTRATO!$A$2:$A$3000,0))="","",INDEX(EXTRATO!$G$2:$G$3000,MATCH($A2069,EXTRATO!$A$2:$A$3000,0))))</f>
        <v/>
      </c>
      <c r="H2069" s="86" t="str">
        <f>IF(A2069="","",IF(INDEX(EXTRATO!$F$2:$F$3000,MATCH($A2069,EXTRATO!$A$2:$A$3000,0))="","",INDEX(EXTRATO!$F$2:$F$3000,MATCH($A2069,EXTRATO!$A$2:$A$3000,0))))</f>
        <v/>
      </c>
      <c r="I2069" s="88" t="str">
        <f>IF(A2069="","",IF(INDEX(EXTRATO!$H$2:$H$3000,MATCH($A2069,EXTRATO!$A$2:$A$3000,0))="","",INDEX(EXTRATO!$H$2:$H$3000,MATCH($A2069,EXTRATO!$A$2:$A$3000,0))))</f>
        <v/>
      </c>
      <c r="J2069" s="86" t="str">
        <f t="shared" si="51"/>
        <v/>
      </c>
      <c r="K2069" s="86" t="str">
        <f>IF(AND(A2069="",D2069="",E2069="",F2069=""),"",IF(D2069="","SEM CATEGORIA",IF(E2069="","SEM SUBCATEGORIA",IF(COUNTIFS(CADASTROS!$L$7:$L$93,D2069,CADASTROS!$D$7:$D$93,E2069)=0,"INCOMPATÍVEL","OK"))))</f>
        <v/>
      </c>
    </row>
    <row r="2070" spans="1:11" ht="30" hidden="1" customHeight="1" x14ac:dyDescent="0.25">
      <c r="A2070" s="86" t="str">
        <f>IF(COUNTIF(EXTRATO!$A$2:$A$3000,"BAN-01927")=0,"","BAN-01927")</f>
        <v/>
      </c>
      <c r="B2070" s="85" t="str">
        <f>IF(A2070="","",IF(INDEX(EXTRATO!$C$2:$C$3000,MATCH($A2070,EXTRATO!$A$2:$A$3000,0))="","",INDEX(EXTRATO!$C$2:$C$3000,MATCH($A2070,EXTRATO!$A$2:$A$3000,0))))</f>
        <v/>
      </c>
      <c r="C2070" s="86" t="str">
        <f t="shared" si="52"/>
        <v/>
      </c>
      <c r="D2070" s="81"/>
      <c r="E2070" s="79"/>
      <c r="F2070" s="80" t="str">
        <f>IF(A2070="","",SUMIF(EXTRATO!$A$2:$A$3000,$A2070,EXTRATO!$J$2:$J$3000)+SUMIF(EXTRATO!$A$2:$A$3000,$A2070,EXTRATO!$K$2:$K$3000)+SUMIF(EXTRATO!$A$2:$A$3000,$A2070,EXTRATO!$L$2:$L$3000)+SUMIF(EXTRATO!$A$2:$A$3000,$A2070,EXTRATO!$M$2:$M$3000))</f>
        <v/>
      </c>
      <c r="G2070" s="81" t="str">
        <f>IF(A2070="","",IF(INDEX(EXTRATO!$G$2:$G$3000,MATCH($A2070,EXTRATO!$A$2:$A$3000,0))="","",INDEX(EXTRATO!$G$2:$G$3000,MATCH($A2070,EXTRATO!$A$2:$A$3000,0))))</f>
        <v/>
      </c>
      <c r="H2070" s="86" t="str">
        <f>IF(A2070="","",IF(INDEX(EXTRATO!$F$2:$F$3000,MATCH($A2070,EXTRATO!$A$2:$A$3000,0))="","",INDEX(EXTRATO!$F$2:$F$3000,MATCH($A2070,EXTRATO!$A$2:$A$3000,0))))</f>
        <v/>
      </c>
      <c r="I2070" s="88" t="str">
        <f>IF(A2070="","",IF(INDEX(EXTRATO!$H$2:$H$3000,MATCH($A2070,EXTRATO!$A$2:$A$3000,0))="","",INDEX(EXTRATO!$H$2:$H$3000,MATCH($A2070,EXTRATO!$A$2:$A$3000,0))))</f>
        <v/>
      </c>
      <c r="J2070" s="86" t="str">
        <f t="shared" si="51"/>
        <v/>
      </c>
      <c r="K2070" s="86" t="str">
        <f>IF(AND(A2070="",D2070="",E2070="",F2070=""),"",IF(D2070="","SEM CATEGORIA",IF(E2070="","SEM SUBCATEGORIA",IF(COUNTIFS(CADASTROS!$L$7:$L$93,D2070,CADASTROS!$D$7:$D$93,E2070)=0,"INCOMPATÍVEL","OK"))))</f>
        <v/>
      </c>
    </row>
    <row r="2071" spans="1:11" ht="30" hidden="1" customHeight="1" x14ac:dyDescent="0.25">
      <c r="A2071" s="86" t="str">
        <f>IF(COUNTIF(EXTRATO!$A$2:$A$3000,"BAN-01928")=0,"","BAN-01928")</f>
        <v/>
      </c>
      <c r="B2071" s="85" t="str">
        <f>IF(A2071="","",IF(INDEX(EXTRATO!$C$2:$C$3000,MATCH($A2071,EXTRATO!$A$2:$A$3000,0))="","",INDEX(EXTRATO!$C$2:$C$3000,MATCH($A2071,EXTRATO!$A$2:$A$3000,0))))</f>
        <v/>
      </c>
      <c r="C2071" s="86" t="str">
        <f t="shared" si="52"/>
        <v/>
      </c>
      <c r="D2071" s="81"/>
      <c r="E2071" s="79"/>
      <c r="F2071" s="80" t="str">
        <f>IF(A2071="","",SUMIF(EXTRATO!$A$2:$A$3000,$A2071,EXTRATO!$J$2:$J$3000)+SUMIF(EXTRATO!$A$2:$A$3000,$A2071,EXTRATO!$K$2:$K$3000)+SUMIF(EXTRATO!$A$2:$A$3000,$A2071,EXTRATO!$L$2:$L$3000)+SUMIF(EXTRATO!$A$2:$A$3000,$A2071,EXTRATO!$M$2:$M$3000))</f>
        <v/>
      </c>
      <c r="G2071" s="81" t="str">
        <f>IF(A2071="","",IF(INDEX(EXTRATO!$G$2:$G$3000,MATCH($A2071,EXTRATO!$A$2:$A$3000,0))="","",INDEX(EXTRATO!$G$2:$G$3000,MATCH($A2071,EXTRATO!$A$2:$A$3000,0))))</f>
        <v/>
      </c>
      <c r="H2071" s="86" t="str">
        <f>IF(A2071="","",IF(INDEX(EXTRATO!$F$2:$F$3000,MATCH($A2071,EXTRATO!$A$2:$A$3000,0))="","",INDEX(EXTRATO!$F$2:$F$3000,MATCH($A2071,EXTRATO!$A$2:$A$3000,0))))</f>
        <v/>
      </c>
      <c r="I2071" s="88" t="str">
        <f>IF(A2071="","",IF(INDEX(EXTRATO!$H$2:$H$3000,MATCH($A2071,EXTRATO!$A$2:$A$3000,0))="","",INDEX(EXTRATO!$H$2:$H$3000,MATCH($A2071,EXTRATO!$A$2:$A$3000,0))))</f>
        <v/>
      </c>
      <c r="J2071" s="86" t="str">
        <f t="shared" si="51"/>
        <v/>
      </c>
      <c r="K2071" s="86" t="str">
        <f>IF(AND(A2071="",D2071="",E2071="",F2071=""),"",IF(D2071="","SEM CATEGORIA",IF(E2071="","SEM SUBCATEGORIA",IF(COUNTIFS(CADASTROS!$L$7:$L$93,D2071,CADASTROS!$D$7:$D$93,E2071)=0,"INCOMPATÍVEL","OK"))))</f>
        <v/>
      </c>
    </row>
    <row r="2072" spans="1:11" ht="30" hidden="1" customHeight="1" x14ac:dyDescent="0.25">
      <c r="A2072" s="86" t="str">
        <f>IF(COUNTIF(EXTRATO!$A$2:$A$3000,"BAN-01929")=0,"","BAN-01929")</f>
        <v/>
      </c>
      <c r="B2072" s="85" t="str">
        <f>IF(A2072="","",IF(INDEX(EXTRATO!$C$2:$C$3000,MATCH($A2072,EXTRATO!$A$2:$A$3000,0))="","",INDEX(EXTRATO!$C$2:$C$3000,MATCH($A2072,EXTRATO!$A$2:$A$3000,0))))</f>
        <v/>
      </c>
      <c r="C2072" s="86" t="str">
        <f t="shared" si="52"/>
        <v/>
      </c>
      <c r="D2072" s="81"/>
      <c r="E2072" s="79"/>
      <c r="F2072" s="80" t="str">
        <f>IF(A2072="","",SUMIF(EXTRATO!$A$2:$A$3000,$A2072,EXTRATO!$J$2:$J$3000)+SUMIF(EXTRATO!$A$2:$A$3000,$A2072,EXTRATO!$K$2:$K$3000)+SUMIF(EXTRATO!$A$2:$A$3000,$A2072,EXTRATO!$L$2:$L$3000)+SUMIF(EXTRATO!$A$2:$A$3000,$A2072,EXTRATO!$M$2:$M$3000))</f>
        <v/>
      </c>
      <c r="G2072" s="81" t="str">
        <f>IF(A2072="","",IF(INDEX(EXTRATO!$G$2:$G$3000,MATCH($A2072,EXTRATO!$A$2:$A$3000,0))="","",INDEX(EXTRATO!$G$2:$G$3000,MATCH($A2072,EXTRATO!$A$2:$A$3000,0))))</f>
        <v/>
      </c>
      <c r="H2072" s="86" t="str">
        <f>IF(A2072="","",IF(INDEX(EXTRATO!$F$2:$F$3000,MATCH($A2072,EXTRATO!$A$2:$A$3000,0))="","",INDEX(EXTRATO!$F$2:$F$3000,MATCH($A2072,EXTRATO!$A$2:$A$3000,0))))</f>
        <v/>
      </c>
      <c r="I2072" s="88" t="str">
        <f>IF(A2072="","",IF(INDEX(EXTRATO!$H$2:$H$3000,MATCH($A2072,EXTRATO!$A$2:$A$3000,0))="","",INDEX(EXTRATO!$H$2:$H$3000,MATCH($A2072,EXTRATO!$A$2:$A$3000,0))))</f>
        <v/>
      </c>
      <c r="J2072" s="86" t="str">
        <f t="shared" si="51"/>
        <v/>
      </c>
      <c r="K2072" s="86" t="str">
        <f>IF(AND(A2072="",D2072="",E2072="",F2072=""),"",IF(D2072="","SEM CATEGORIA",IF(E2072="","SEM SUBCATEGORIA",IF(COUNTIFS(CADASTROS!$L$7:$L$93,D2072,CADASTROS!$D$7:$D$93,E2072)=0,"INCOMPATÍVEL","OK"))))</f>
        <v/>
      </c>
    </row>
    <row r="2073" spans="1:11" ht="30" hidden="1" customHeight="1" x14ac:dyDescent="0.25">
      <c r="A2073" s="86" t="str">
        <f>IF(COUNTIF(EXTRATO!$A$2:$A$3000,"BAN-01930")=0,"","BAN-01930")</f>
        <v/>
      </c>
      <c r="B2073" s="85" t="str">
        <f>IF(A2073="","",IF(INDEX(EXTRATO!$C$2:$C$3000,MATCH($A2073,EXTRATO!$A$2:$A$3000,0))="","",INDEX(EXTRATO!$C$2:$C$3000,MATCH($A2073,EXTRATO!$A$2:$A$3000,0))))</f>
        <v/>
      </c>
      <c r="C2073" s="86" t="str">
        <f t="shared" si="52"/>
        <v/>
      </c>
      <c r="D2073" s="81"/>
      <c r="E2073" s="79"/>
      <c r="F2073" s="80" t="str">
        <f>IF(A2073="","",SUMIF(EXTRATO!$A$2:$A$3000,$A2073,EXTRATO!$J$2:$J$3000)+SUMIF(EXTRATO!$A$2:$A$3000,$A2073,EXTRATO!$K$2:$K$3000)+SUMIF(EXTRATO!$A$2:$A$3000,$A2073,EXTRATO!$L$2:$L$3000)+SUMIF(EXTRATO!$A$2:$A$3000,$A2073,EXTRATO!$M$2:$M$3000))</f>
        <v/>
      </c>
      <c r="G2073" s="81" t="str">
        <f>IF(A2073="","",IF(INDEX(EXTRATO!$G$2:$G$3000,MATCH($A2073,EXTRATO!$A$2:$A$3000,0))="","",INDEX(EXTRATO!$G$2:$G$3000,MATCH($A2073,EXTRATO!$A$2:$A$3000,0))))</f>
        <v/>
      </c>
      <c r="H2073" s="86" t="str">
        <f>IF(A2073="","",IF(INDEX(EXTRATO!$F$2:$F$3000,MATCH($A2073,EXTRATO!$A$2:$A$3000,0))="","",INDEX(EXTRATO!$F$2:$F$3000,MATCH($A2073,EXTRATO!$A$2:$A$3000,0))))</f>
        <v/>
      </c>
      <c r="I2073" s="88" t="str">
        <f>IF(A2073="","",IF(INDEX(EXTRATO!$H$2:$H$3000,MATCH($A2073,EXTRATO!$A$2:$A$3000,0))="","",INDEX(EXTRATO!$H$2:$H$3000,MATCH($A2073,EXTRATO!$A$2:$A$3000,0))))</f>
        <v/>
      </c>
      <c r="J2073" s="86" t="str">
        <f t="shared" si="51"/>
        <v/>
      </c>
      <c r="K2073" s="86" t="str">
        <f>IF(AND(A2073="",D2073="",E2073="",F2073=""),"",IF(D2073="","SEM CATEGORIA",IF(E2073="","SEM SUBCATEGORIA",IF(COUNTIFS(CADASTROS!$L$7:$L$93,D2073,CADASTROS!$D$7:$D$93,E2073)=0,"INCOMPATÍVEL","OK"))))</f>
        <v/>
      </c>
    </row>
    <row r="2074" spans="1:11" ht="30" hidden="1" customHeight="1" x14ac:dyDescent="0.25">
      <c r="A2074" s="86" t="str">
        <f>IF(COUNTIF(EXTRATO!$A$2:$A$3000,"BAN-01931")=0,"","BAN-01931")</f>
        <v/>
      </c>
      <c r="B2074" s="85" t="str">
        <f>IF(A2074="","",IF(INDEX(EXTRATO!$C$2:$C$3000,MATCH($A2074,EXTRATO!$A$2:$A$3000,0))="","",INDEX(EXTRATO!$C$2:$C$3000,MATCH($A2074,EXTRATO!$A$2:$A$3000,0))))</f>
        <v/>
      </c>
      <c r="C2074" s="86" t="str">
        <f t="shared" si="52"/>
        <v/>
      </c>
      <c r="D2074" s="81"/>
      <c r="E2074" s="79"/>
      <c r="F2074" s="80" t="str">
        <f>IF(A2074="","",SUMIF(EXTRATO!$A$2:$A$3000,$A2074,EXTRATO!$J$2:$J$3000)+SUMIF(EXTRATO!$A$2:$A$3000,$A2074,EXTRATO!$K$2:$K$3000)+SUMIF(EXTRATO!$A$2:$A$3000,$A2074,EXTRATO!$L$2:$L$3000)+SUMIF(EXTRATO!$A$2:$A$3000,$A2074,EXTRATO!$M$2:$M$3000))</f>
        <v/>
      </c>
      <c r="G2074" s="81" t="str">
        <f>IF(A2074="","",IF(INDEX(EXTRATO!$G$2:$G$3000,MATCH($A2074,EXTRATO!$A$2:$A$3000,0))="","",INDEX(EXTRATO!$G$2:$G$3000,MATCH($A2074,EXTRATO!$A$2:$A$3000,0))))</f>
        <v/>
      </c>
      <c r="H2074" s="86" t="str">
        <f>IF(A2074="","",IF(INDEX(EXTRATO!$F$2:$F$3000,MATCH($A2074,EXTRATO!$A$2:$A$3000,0))="","",INDEX(EXTRATO!$F$2:$F$3000,MATCH($A2074,EXTRATO!$A$2:$A$3000,0))))</f>
        <v/>
      </c>
      <c r="I2074" s="88" t="str">
        <f>IF(A2074="","",IF(INDEX(EXTRATO!$H$2:$H$3000,MATCH($A2074,EXTRATO!$A$2:$A$3000,0))="","",INDEX(EXTRATO!$H$2:$H$3000,MATCH($A2074,EXTRATO!$A$2:$A$3000,0))))</f>
        <v/>
      </c>
      <c r="J2074" s="86" t="str">
        <f t="shared" si="51"/>
        <v/>
      </c>
      <c r="K2074" s="86" t="str">
        <f>IF(AND(A2074="",D2074="",E2074="",F2074=""),"",IF(D2074="","SEM CATEGORIA",IF(E2074="","SEM SUBCATEGORIA",IF(COUNTIFS(CADASTROS!$L$7:$L$93,D2074,CADASTROS!$D$7:$D$93,E2074)=0,"INCOMPATÍVEL","OK"))))</f>
        <v/>
      </c>
    </row>
    <row r="2075" spans="1:11" ht="30" hidden="1" customHeight="1" x14ac:dyDescent="0.25">
      <c r="A2075" s="86" t="str">
        <f>IF(COUNTIF(EXTRATO!$A$2:$A$3000,"BAN-01932")=0,"","BAN-01932")</f>
        <v/>
      </c>
      <c r="B2075" s="85" t="str">
        <f>IF(A2075="","",IF(INDEX(EXTRATO!$C$2:$C$3000,MATCH($A2075,EXTRATO!$A$2:$A$3000,0))="","",INDEX(EXTRATO!$C$2:$C$3000,MATCH($A2075,EXTRATO!$A$2:$A$3000,0))))</f>
        <v/>
      </c>
      <c r="C2075" s="86" t="str">
        <f t="shared" si="52"/>
        <v/>
      </c>
      <c r="D2075" s="81"/>
      <c r="E2075" s="79"/>
      <c r="F2075" s="80" t="str">
        <f>IF(A2075="","",SUMIF(EXTRATO!$A$2:$A$3000,$A2075,EXTRATO!$J$2:$J$3000)+SUMIF(EXTRATO!$A$2:$A$3000,$A2075,EXTRATO!$K$2:$K$3000)+SUMIF(EXTRATO!$A$2:$A$3000,$A2075,EXTRATO!$L$2:$L$3000)+SUMIF(EXTRATO!$A$2:$A$3000,$A2075,EXTRATO!$M$2:$M$3000))</f>
        <v/>
      </c>
      <c r="G2075" s="81" t="str">
        <f>IF(A2075="","",IF(INDEX(EXTRATO!$G$2:$G$3000,MATCH($A2075,EXTRATO!$A$2:$A$3000,0))="","",INDEX(EXTRATO!$G$2:$G$3000,MATCH($A2075,EXTRATO!$A$2:$A$3000,0))))</f>
        <v/>
      </c>
      <c r="H2075" s="86" t="str">
        <f>IF(A2075="","",IF(INDEX(EXTRATO!$F$2:$F$3000,MATCH($A2075,EXTRATO!$A$2:$A$3000,0))="","",INDEX(EXTRATO!$F$2:$F$3000,MATCH($A2075,EXTRATO!$A$2:$A$3000,0))))</f>
        <v/>
      </c>
      <c r="I2075" s="88" t="str">
        <f>IF(A2075="","",IF(INDEX(EXTRATO!$H$2:$H$3000,MATCH($A2075,EXTRATO!$A$2:$A$3000,0))="","",INDEX(EXTRATO!$H$2:$H$3000,MATCH($A2075,EXTRATO!$A$2:$A$3000,0))))</f>
        <v/>
      </c>
      <c r="J2075" s="86" t="str">
        <f t="shared" si="51"/>
        <v/>
      </c>
      <c r="K2075" s="86" t="str">
        <f>IF(AND(A2075="",D2075="",E2075="",F2075=""),"",IF(D2075="","SEM CATEGORIA",IF(E2075="","SEM SUBCATEGORIA",IF(COUNTIFS(CADASTROS!$L$7:$L$93,D2075,CADASTROS!$D$7:$D$93,E2075)=0,"INCOMPATÍVEL","OK"))))</f>
        <v/>
      </c>
    </row>
    <row r="2076" spans="1:11" ht="30" hidden="1" customHeight="1" x14ac:dyDescent="0.25">
      <c r="A2076" s="86" t="str">
        <f>IF(COUNTIF(EXTRATO!$A$2:$A$3000,"BAN-01933")=0,"","BAN-01933")</f>
        <v/>
      </c>
      <c r="B2076" s="85" t="str">
        <f>IF(A2076="","",IF(INDEX(EXTRATO!$C$2:$C$3000,MATCH($A2076,EXTRATO!$A$2:$A$3000,0))="","",INDEX(EXTRATO!$C$2:$C$3000,MATCH($A2076,EXTRATO!$A$2:$A$3000,0))))</f>
        <v/>
      </c>
      <c r="C2076" s="86" t="str">
        <f t="shared" si="52"/>
        <v/>
      </c>
      <c r="D2076" s="81"/>
      <c r="E2076" s="79"/>
      <c r="F2076" s="80" t="str">
        <f>IF(A2076="","",SUMIF(EXTRATO!$A$2:$A$3000,$A2076,EXTRATO!$J$2:$J$3000)+SUMIF(EXTRATO!$A$2:$A$3000,$A2076,EXTRATO!$K$2:$K$3000)+SUMIF(EXTRATO!$A$2:$A$3000,$A2076,EXTRATO!$L$2:$L$3000)+SUMIF(EXTRATO!$A$2:$A$3000,$A2076,EXTRATO!$M$2:$M$3000))</f>
        <v/>
      </c>
      <c r="G2076" s="81" t="str">
        <f>IF(A2076="","",IF(INDEX(EXTRATO!$G$2:$G$3000,MATCH($A2076,EXTRATO!$A$2:$A$3000,0))="","",INDEX(EXTRATO!$G$2:$G$3000,MATCH($A2076,EXTRATO!$A$2:$A$3000,0))))</f>
        <v/>
      </c>
      <c r="H2076" s="86" t="str">
        <f>IF(A2076="","",IF(INDEX(EXTRATO!$F$2:$F$3000,MATCH($A2076,EXTRATO!$A$2:$A$3000,0))="","",INDEX(EXTRATO!$F$2:$F$3000,MATCH($A2076,EXTRATO!$A$2:$A$3000,0))))</f>
        <v/>
      </c>
      <c r="I2076" s="88" t="str">
        <f>IF(A2076="","",IF(INDEX(EXTRATO!$H$2:$H$3000,MATCH($A2076,EXTRATO!$A$2:$A$3000,0))="","",INDEX(EXTRATO!$H$2:$H$3000,MATCH($A2076,EXTRATO!$A$2:$A$3000,0))))</f>
        <v/>
      </c>
      <c r="J2076" s="86" t="str">
        <f t="shared" si="51"/>
        <v/>
      </c>
      <c r="K2076" s="86" t="str">
        <f>IF(AND(A2076="",D2076="",E2076="",F2076=""),"",IF(D2076="","SEM CATEGORIA",IF(E2076="","SEM SUBCATEGORIA",IF(COUNTIFS(CADASTROS!$L$7:$L$93,D2076,CADASTROS!$D$7:$D$93,E2076)=0,"INCOMPATÍVEL","OK"))))</f>
        <v/>
      </c>
    </row>
    <row r="2077" spans="1:11" ht="30" hidden="1" customHeight="1" x14ac:dyDescent="0.25">
      <c r="A2077" s="86" t="str">
        <f>IF(COUNTIF(EXTRATO!$A$2:$A$3000,"BAN-01934")=0,"","BAN-01934")</f>
        <v/>
      </c>
      <c r="B2077" s="85" t="str">
        <f>IF(A2077="","",IF(INDEX(EXTRATO!$C$2:$C$3000,MATCH($A2077,EXTRATO!$A$2:$A$3000,0))="","",INDEX(EXTRATO!$C$2:$C$3000,MATCH($A2077,EXTRATO!$A$2:$A$3000,0))))</f>
        <v/>
      </c>
      <c r="C2077" s="86" t="str">
        <f t="shared" si="52"/>
        <v/>
      </c>
      <c r="D2077" s="81"/>
      <c r="E2077" s="79"/>
      <c r="F2077" s="80" t="str">
        <f>IF(A2077="","",SUMIF(EXTRATO!$A$2:$A$3000,$A2077,EXTRATO!$J$2:$J$3000)+SUMIF(EXTRATO!$A$2:$A$3000,$A2077,EXTRATO!$K$2:$K$3000)+SUMIF(EXTRATO!$A$2:$A$3000,$A2077,EXTRATO!$L$2:$L$3000)+SUMIF(EXTRATO!$A$2:$A$3000,$A2077,EXTRATO!$M$2:$M$3000))</f>
        <v/>
      </c>
      <c r="G2077" s="81" t="str">
        <f>IF(A2077="","",IF(INDEX(EXTRATO!$G$2:$G$3000,MATCH($A2077,EXTRATO!$A$2:$A$3000,0))="","",INDEX(EXTRATO!$G$2:$G$3000,MATCH($A2077,EXTRATO!$A$2:$A$3000,0))))</f>
        <v/>
      </c>
      <c r="H2077" s="86" t="str">
        <f>IF(A2077="","",IF(INDEX(EXTRATO!$F$2:$F$3000,MATCH($A2077,EXTRATO!$A$2:$A$3000,0))="","",INDEX(EXTRATO!$F$2:$F$3000,MATCH($A2077,EXTRATO!$A$2:$A$3000,0))))</f>
        <v/>
      </c>
      <c r="I2077" s="88" t="str">
        <f>IF(A2077="","",IF(INDEX(EXTRATO!$H$2:$H$3000,MATCH($A2077,EXTRATO!$A$2:$A$3000,0))="","",INDEX(EXTRATO!$H$2:$H$3000,MATCH($A2077,EXTRATO!$A$2:$A$3000,0))))</f>
        <v/>
      </c>
      <c r="J2077" s="86" t="str">
        <f t="shared" si="51"/>
        <v/>
      </c>
      <c r="K2077" s="86" t="str">
        <f>IF(AND(A2077="",D2077="",E2077="",F2077=""),"",IF(D2077="","SEM CATEGORIA",IF(E2077="","SEM SUBCATEGORIA",IF(COUNTIFS(CADASTROS!$L$7:$L$93,D2077,CADASTROS!$D$7:$D$93,E2077)=0,"INCOMPATÍVEL","OK"))))</f>
        <v/>
      </c>
    </row>
    <row r="2078" spans="1:11" ht="30" hidden="1" customHeight="1" x14ac:dyDescent="0.25">
      <c r="A2078" s="86" t="str">
        <f>IF(COUNTIF(EXTRATO!$A$2:$A$3000,"BAN-01935")=0,"","BAN-01935")</f>
        <v/>
      </c>
      <c r="B2078" s="85" t="str">
        <f>IF(A2078="","",IF(INDEX(EXTRATO!$C$2:$C$3000,MATCH($A2078,EXTRATO!$A$2:$A$3000,0))="","",INDEX(EXTRATO!$C$2:$C$3000,MATCH($A2078,EXTRATO!$A$2:$A$3000,0))))</f>
        <v/>
      </c>
      <c r="C2078" s="86" t="str">
        <f t="shared" si="52"/>
        <v/>
      </c>
      <c r="D2078" s="81"/>
      <c r="E2078" s="79"/>
      <c r="F2078" s="80" t="str">
        <f>IF(A2078="","",SUMIF(EXTRATO!$A$2:$A$3000,$A2078,EXTRATO!$J$2:$J$3000)+SUMIF(EXTRATO!$A$2:$A$3000,$A2078,EXTRATO!$K$2:$K$3000)+SUMIF(EXTRATO!$A$2:$A$3000,$A2078,EXTRATO!$L$2:$L$3000)+SUMIF(EXTRATO!$A$2:$A$3000,$A2078,EXTRATO!$M$2:$M$3000))</f>
        <v/>
      </c>
      <c r="G2078" s="81" t="str">
        <f>IF(A2078="","",IF(INDEX(EXTRATO!$G$2:$G$3000,MATCH($A2078,EXTRATO!$A$2:$A$3000,0))="","",INDEX(EXTRATO!$G$2:$G$3000,MATCH($A2078,EXTRATO!$A$2:$A$3000,0))))</f>
        <v/>
      </c>
      <c r="H2078" s="86" t="str">
        <f>IF(A2078="","",IF(INDEX(EXTRATO!$F$2:$F$3000,MATCH($A2078,EXTRATO!$A$2:$A$3000,0))="","",INDEX(EXTRATO!$F$2:$F$3000,MATCH($A2078,EXTRATO!$A$2:$A$3000,0))))</f>
        <v/>
      </c>
      <c r="I2078" s="88" t="str">
        <f>IF(A2078="","",IF(INDEX(EXTRATO!$H$2:$H$3000,MATCH($A2078,EXTRATO!$A$2:$A$3000,0))="","",INDEX(EXTRATO!$H$2:$H$3000,MATCH($A2078,EXTRATO!$A$2:$A$3000,0))))</f>
        <v/>
      </c>
      <c r="J2078" s="86" t="str">
        <f t="shared" si="51"/>
        <v/>
      </c>
      <c r="K2078" s="86" t="str">
        <f>IF(AND(A2078="",D2078="",E2078="",F2078=""),"",IF(D2078="","SEM CATEGORIA",IF(E2078="","SEM SUBCATEGORIA",IF(COUNTIFS(CADASTROS!$L$7:$L$93,D2078,CADASTROS!$D$7:$D$93,E2078)=0,"INCOMPATÍVEL","OK"))))</f>
        <v/>
      </c>
    </row>
    <row r="2079" spans="1:11" ht="30" hidden="1" customHeight="1" x14ac:dyDescent="0.25">
      <c r="A2079" s="86" t="str">
        <f>IF(COUNTIF(EXTRATO!$A$2:$A$3000,"BAN-01936")=0,"","BAN-01936")</f>
        <v/>
      </c>
      <c r="B2079" s="85" t="str">
        <f>IF(A2079="","",IF(INDEX(EXTRATO!$C$2:$C$3000,MATCH($A2079,EXTRATO!$A$2:$A$3000,0))="","",INDEX(EXTRATO!$C$2:$C$3000,MATCH($A2079,EXTRATO!$A$2:$A$3000,0))))</f>
        <v/>
      </c>
      <c r="C2079" s="86" t="str">
        <f t="shared" si="52"/>
        <v/>
      </c>
      <c r="D2079" s="81"/>
      <c r="E2079" s="79"/>
      <c r="F2079" s="80" t="str">
        <f>IF(A2079="","",SUMIF(EXTRATO!$A$2:$A$3000,$A2079,EXTRATO!$J$2:$J$3000)+SUMIF(EXTRATO!$A$2:$A$3000,$A2079,EXTRATO!$K$2:$K$3000)+SUMIF(EXTRATO!$A$2:$A$3000,$A2079,EXTRATO!$L$2:$L$3000)+SUMIF(EXTRATO!$A$2:$A$3000,$A2079,EXTRATO!$M$2:$M$3000))</f>
        <v/>
      </c>
      <c r="G2079" s="81" t="str">
        <f>IF(A2079="","",IF(INDEX(EXTRATO!$G$2:$G$3000,MATCH($A2079,EXTRATO!$A$2:$A$3000,0))="","",INDEX(EXTRATO!$G$2:$G$3000,MATCH($A2079,EXTRATO!$A$2:$A$3000,0))))</f>
        <v/>
      </c>
      <c r="H2079" s="86" t="str">
        <f>IF(A2079="","",IF(INDEX(EXTRATO!$F$2:$F$3000,MATCH($A2079,EXTRATO!$A$2:$A$3000,0))="","",INDEX(EXTRATO!$F$2:$F$3000,MATCH($A2079,EXTRATO!$A$2:$A$3000,0))))</f>
        <v/>
      </c>
      <c r="I2079" s="88" t="str">
        <f>IF(A2079="","",IF(INDEX(EXTRATO!$H$2:$H$3000,MATCH($A2079,EXTRATO!$A$2:$A$3000,0))="","",INDEX(EXTRATO!$H$2:$H$3000,MATCH($A2079,EXTRATO!$A$2:$A$3000,0))))</f>
        <v/>
      </c>
      <c r="J2079" s="86" t="str">
        <f t="shared" si="51"/>
        <v/>
      </c>
      <c r="K2079" s="86" t="str">
        <f>IF(AND(A2079="",D2079="",E2079="",F2079=""),"",IF(D2079="","SEM CATEGORIA",IF(E2079="","SEM SUBCATEGORIA",IF(COUNTIFS(CADASTROS!$L$7:$L$93,D2079,CADASTROS!$D$7:$D$93,E2079)=0,"INCOMPATÍVEL","OK"))))</f>
        <v/>
      </c>
    </row>
    <row r="2080" spans="1:11" ht="30" hidden="1" customHeight="1" x14ac:dyDescent="0.25">
      <c r="A2080" s="86" t="str">
        <f>IF(COUNTIF(EXTRATO!$A$2:$A$3000,"BAN-01937")=0,"","BAN-01937")</f>
        <v/>
      </c>
      <c r="B2080" s="85" t="str">
        <f>IF(A2080="","",IF(INDEX(EXTRATO!$C$2:$C$3000,MATCH($A2080,EXTRATO!$A$2:$A$3000,0))="","",INDEX(EXTRATO!$C$2:$C$3000,MATCH($A2080,EXTRATO!$A$2:$A$3000,0))))</f>
        <v/>
      </c>
      <c r="C2080" s="86" t="str">
        <f t="shared" si="52"/>
        <v/>
      </c>
      <c r="D2080" s="81"/>
      <c r="E2080" s="79"/>
      <c r="F2080" s="80" t="str">
        <f>IF(A2080="","",SUMIF(EXTRATO!$A$2:$A$3000,$A2080,EXTRATO!$J$2:$J$3000)+SUMIF(EXTRATO!$A$2:$A$3000,$A2080,EXTRATO!$K$2:$K$3000)+SUMIF(EXTRATO!$A$2:$A$3000,$A2080,EXTRATO!$L$2:$L$3000)+SUMIF(EXTRATO!$A$2:$A$3000,$A2080,EXTRATO!$M$2:$M$3000))</f>
        <v/>
      </c>
      <c r="G2080" s="81" t="str">
        <f>IF(A2080="","",IF(INDEX(EXTRATO!$G$2:$G$3000,MATCH($A2080,EXTRATO!$A$2:$A$3000,0))="","",INDEX(EXTRATO!$G$2:$G$3000,MATCH($A2080,EXTRATO!$A$2:$A$3000,0))))</f>
        <v/>
      </c>
      <c r="H2080" s="86" t="str">
        <f>IF(A2080="","",IF(INDEX(EXTRATO!$F$2:$F$3000,MATCH($A2080,EXTRATO!$A$2:$A$3000,0))="","",INDEX(EXTRATO!$F$2:$F$3000,MATCH($A2080,EXTRATO!$A$2:$A$3000,0))))</f>
        <v/>
      </c>
      <c r="I2080" s="88" t="str">
        <f>IF(A2080="","",IF(INDEX(EXTRATO!$H$2:$H$3000,MATCH($A2080,EXTRATO!$A$2:$A$3000,0))="","",INDEX(EXTRATO!$H$2:$H$3000,MATCH($A2080,EXTRATO!$A$2:$A$3000,0))))</f>
        <v/>
      </c>
      <c r="J2080" s="86" t="str">
        <f t="shared" si="51"/>
        <v/>
      </c>
      <c r="K2080" s="86" t="str">
        <f>IF(AND(A2080="",D2080="",E2080="",F2080=""),"",IF(D2080="","SEM CATEGORIA",IF(E2080="","SEM SUBCATEGORIA",IF(COUNTIFS(CADASTROS!$L$7:$L$93,D2080,CADASTROS!$D$7:$D$93,E2080)=0,"INCOMPATÍVEL","OK"))))</f>
        <v/>
      </c>
    </row>
    <row r="2081" spans="1:11" ht="30" hidden="1" customHeight="1" x14ac:dyDescent="0.25">
      <c r="A2081" s="86" t="str">
        <f>IF(COUNTIF(EXTRATO!$A$2:$A$3000,"BAN-01938")=0,"","BAN-01938")</f>
        <v/>
      </c>
      <c r="B2081" s="85" t="str">
        <f>IF(A2081="","",IF(INDEX(EXTRATO!$C$2:$C$3000,MATCH($A2081,EXTRATO!$A$2:$A$3000,0))="","",INDEX(EXTRATO!$C$2:$C$3000,MATCH($A2081,EXTRATO!$A$2:$A$3000,0))))</f>
        <v/>
      </c>
      <c r="C2081" s="86" t="str">
        <f t="shared" si="52"/>
        <v/>
      </c>
      <c r="D2081" s="81"/>
      <c r="E2081" s="79"/>
      <c r="F2081" s="80" t="str">
        <f>IF(A2081="","",SUMIF(EXTRATO!$A$2:$A$3000,$A2081,EXTRATO!$J$2:$J$3000)+SUMIF(EXTRATO!$A$2:$A$3000,$A2081,EXTRATO!$K$2:$K$3000)+SUMIF(EXTRATO!$A$2:$A$3000,$A2081,EXTRATO!$L$2:$L$3000)+SUMIF(EXTRATO!$A$2:$A$3000,$A2081,EXTRATO!$M$2:$M$3000))</f>
        <v/>
      </c>
      <c r="G2081" s="81" t="str">
        <f>IF(A2081="","",IF(INDEX(EXTRATO!$G$2:$G$3000,MATCH($A2081,EXTRATO!$A$2:$A$3000,0))="","",INDEX(EXTRATO!$G$2:$G$3000,MATCH($A2081,EXTRATO!$A$2:$A$3000,0))))</f>
        <v/>
      </c>
      <c r="H2081" s="86" t="str">
        <f>IF(A2081="","",IF(INDEX(EXTRATO!$F$2:$F$3000,MATCH($A2081,EXTRATO!$A$2:$A$3000,0))="","",INDEX(EXTRATO!$F$2:$F$3000,MATCH($A2081,EXTRATO!$A$2:$A$3000,0))))</f>
        <v/>
      </c>
      <c r="I2081" s="88" t="str">
        <f>IF(A2081="","",IF(INDEX(EXTRATO!$H$2:$H$3000,MATCH($A2081,EXTRATO!$A$2:$A$3000,0))="","",INDEX(EXTRATO!$H$2:$H$3000,MATCH($A2081,EXTRATO!$A$2:$A$3000,0))))</f>
        <v/>
      </c>
      <c r="J2081" s="86" t="str">
        <f t="shared" si="51"/>
        <v/>
      </c>
      <c r="K2081" s="86" t="str">
        <f>IF(AND(A2081="",D2081="",E2081="",F2081=""),"",IF(D2081="","SEM CATEGORIA",IF(E2081="","SEM SUBCATEGORIA",IF(COUNTIFS(CADASTROS!$L$7:$L$93,D2081,CADASTROS!$D$7:$D$93,E2081)=0,"INCOMPATÍVEL","OK"))))</f>
        <v/>
      </c>
    </row>
    <row r="2082" spans="1:11" ht="30" hidden="1" customHeight="1" x14ac:dyDescent="0.25">
      <c r="A2082" s="86" t="str">
        <f>IF(COUNTIF(EXTRATO!$A$2:$A$3000,"BAN-01939")=0,"","BAN-01939")</f>
        <v/>
      </c>
      <c r="B2082" s="85" t="str">
        <f>IF(A2082="","",IF(INDEX(EXTRATO!$C$2:$C$3000,MATCH($A2082,EXTRATO!$A$2:$A$3000,0))="","",INDEX(EXTRATO!$C$2:$C$3000,MATCH($A2082,EXTRATO!$A$2:$A$3000,0))))</f>
        <v/>
      </c>
      <c r="C2082" s="86" t="str">
        <f t="shared" si="52"/>
        <v/>
      </c>
      <c r="D2082" s="81"/>
      <c r="E2082" s="79"/>
      <c r="F2082" s="80" t="str">
        <f>IF(A2082="","",SUMIF(EXTRATO!$A$2:$A$3000,$A2082,EXTRATO!$J$2:$J$3000)+SUMIF(EXTRATO!$A$2:$A$3000,$A2082,EXTRATO!$K$2:$K$3000)+SUMIF(EXTRATO!$A$2:$A$3000,$A2082,EXTRATO!$L$2:$L$3000)+SUMIF(EXTRATO!$A$2:$A$3000,$A2082,EXTRATO!$M$2:$M$3000))</f>
        <v/>
      </c>
      <c r="G2082" s="81" t="str">
        <f>IF(A2082="","",IF(INDEX(EXTRATO!$G$2:$G$3000,MATCH($A2082,EXTRATO!$A$2:$A$3000,0))="","",INDEX(EXTRATO!$G$2:$G$3000,MATCH($A2082,EXTRATO!$A$2:$A$3000,0))))</f>
        <v/>
      </c>
      <c r="H2082" s="86" t="str">
        <f>IF(A2082="","",IF(INDEX(EXTRATO!$F$2:$F$3000,MATCH($A2082,EXTRATO!$A$2:$A$3000,0))="","",INDEX(EXTRATO!$F$2:$F$3000,MATCH($A2082,EXTRATO!$A$2:$A$3000,0))))</f>
        <v/>
      </c>
      <c r="I2082" s="88" t="str">
        <f>IF(A2082="","",IF(INDEX(EXTRATO!$H$2:$H$3000,MATCH($A2082,EXTRATO!$A$2:$A$3000,0))="","",INDEX(EXTRATO!$H$2:$H$3000,MATCH($A2082,EXTRATO!$A$2:$A$3000,0))))</f>
        <v/>
      </c>
      <c r="J2082" s="86" t="str">
        <f t="shared" si="51"/>
        <v/>
      </c>
      <c r="K2082" s="86" t="str">
        <f>IF(AND(A2082="",D2082="",E2082="",F2082=""),"",IF(D2082="","SEM CATEGORIA",IF(E2082="","SEM SUBCATEGORIA",IF(COUNTIFS(CADASTROS!$L$7:$L$93,D2082,CADASTROS!$D$7:$D$93,E2082)=0,"INCOMPATÍVEL","OK"))))</f>
        <v/>
      </c>
    </row>
    <row r="2083" spans="1:11" ht="30" hidden="1" customHeight="1" x14ac:dyDescent="0.25">
      <c r="A2083" s="86" t="str">
        <f>IF(COUNTIF(EXTRATO!$A$2:$A$3000,"BAN-01940")=0,"","BAN-01940")</f>
        <v/>
      </c>
      <c r="B2083" s="85" t="str">
        <f>IF(A2083="","",IF(INDEX(EXTRATO!$C$2:$C$3000,MATCH($A2083,EXTRATO!$A$2:$A$3000,0))="","",INDEX(EXTRATO!$C$2:$C$3000,MATCH($A2083,EXTRATO!$A$2:$A$3000,0))))</f>
        <v/>
      </c>
      <c r="C2083" s="86" t="str">
        <f t="shared" si="52"/>
        <v/>
      </c>
      <c r="D2083" s="81"/>
      <c r="E2083" s="79"/>
      <c r="F2083" s="80" t="str">
        <f>IF(A2083="","",SUMIF(EXTRATO!$A$2:$A$3000,$A2083,EXTRATO!$J$2:$J$3000)+SUMIF(EXTRATO!$A$2:$A$3000,$A2083,EXTRATO!$K$2:$K$3000)+SUMIF(EXTRATO!$A$2:$A$3000,$A2083,EXTRATO!$L$2:$L$3000)+SUMIF(EXTRATO!$A$2:$A$3000,$A2083,EXTRATO!$M$2:$M$3000))</f>
        <v/>
      </c>
      <c r="G2083" s="81" t="str">
        <f>IF(A2083="","",IF(INDEX(EXTRATO!$G$2:$G$3000,MATCH($A2083,EXTRATO!$A$2:$A$3000,0))="","",INDEX(EXTRATO!$G$2:$G$3000,MATCH($A2083,EXTRATO!$A$2:$A$3000,0))))</f>
        <v/>
      </c>
      <c r="H2083" s="86" t="str">
        <f>IF(A2083="","",IF(INDEX(EXTRATO!$F$2:$F$3000,MATCH($A2083,EXTRATO!$A$2:$A$3000,0))="","",INDEX(EXTRATO!$F$2:$F$3000,MATCH($A2083,EXTRATO!$A$2:$A$3000,0))))</f>
        <v/>
      </c>
      <c r="I2083" s="88" t="str">
        <f>IF(A2083="","",IF(INDEX(EXTRATO!$H$2:$H$3000,MATCH($A2083,EXTRATO!$A$2:$A$3000,0))="","",INDEX(EXTRATO!$H$2:$H$3000,MATCH($A2083,EXTRATO!$A$2:$A$3000,0))))</f>
        <v/>
      </c>
      <c r="J2083" s="86" t="str">
        <f t="shared" si="51"/>
        <v/>
      </c>
      <c r="K2083" s="86" t="str">
        <f>IF(AND(A2083="",D2083="",E2083="",F2083=""),"",IF(D2083="","SEM CATEGORIA",IF(E2083="","SEM SUBCATEGORIA",IF(COUNTIFS(CADASTROS!$L$7:$L$93,D2083,CADASTROS!$D$7:$D$93,E2083)=0,"INCOMPATÍVEL","OK"))))</f>
        <v/>
      </c>
    </row>
    <row r="2084" spans="1:11" ht="30" hidden="1" customHeight="1" x14ac:dyDescent="0.25">
      <c r="A2084" s="86" t="str">
        <f>IF(COUNTIF(EXTRATO!$A$2:$A$3000,"BAN-01941")=0,"","BAN-01941")</f>
        <v/>
      </c>
      <c r="B2084" s="85" t="str">
        <f>IF(A2084="","",IF(INDEX(EXTRATO!$C$2:$C$3000,MATCH($A2084,EXTRATO!$A$2:$A$3000,0))="","",INDEX(EXTRATO!$C$2:$C$3000,MATCH($A2084,EXTRATO!$A$2:$A$3000,0))))</f>
        <v/>
      </c>
      <c r="C2084" s="86" t="str">
        <f t="shared" si="52"/>
        <v/>
      </c>
      <c r="D2084" s="81"/>
      <c r="E2084" s="79"/>
      <c r="F2084" s="80" t="str">
        <f>IF(A2084="","",SUMIF(EXTRATO!$A$2:$A$3000,$A2084,EXTRATO!$J$2:$J$3000)+SUMIF(EXTRATO!$A$2:$A$3000,$A2084,EXTRATO!$K$2:$K$3000)+SUMIF(EXTRATO!$A$2:$A$3000,$A2084,EXTRATO!$L$2:$L$3000)+SUMIF(EXTRATO!$A$2:$A$3000,$A2084,EXTRATO!$M$2:$M$3000))</f>
        <v/>
      </c>
      <c r="G2084" s="81" t="str">
        <f>IF(A2084="","",IF(INDEX(EXTRATO!$G$2:$G$3000,MATCH($A2084,EXTRATO!$A$2:$A$3000,0))="","",INDEX(EXTRATO!$G$2:$G$3000,MATCH($A2084,EXTRATO!$A$2:$A$3000,0))))</f>
        <v/>
      </c>
      <c r="H2084" s="86" t="str">
        <f>IF(A2084="","",IF(INDEX(EXTRATO!$F$2:$F$3000,MATCH($A2084,EXTRATO!$A$2:$A$3000,0))="","",INDEX(EXTRATO!$F$2:$F$3000,MATCH($A2084,EXTRATO!$A$2:$A$3000,0))))</f>
        <v/>
      </c>
      <c r="I2084" s="88" t="str">
        <f>IF(A2084="","",IF(INDEX(EXTRATO!$H$2:$H$3000,MATCH($A2084,EXTRATO!$A$2:$A$3000,0))="","",INDEX(EXTRATO!$H$2:$H$3000,MATCH($A2084,EXTRATO!$A$2:$A$3000,0))))</f>
        <v/>
      </c>
      <c r="J2084" s="86" t="str">
        <f t="shared" si="51"/>
        <v/>
      </c>
      <c r="K2084" s="86" t="str">
        <f>IF(AND(A2084="",D2084="",E2084="",F2084=""),"",IF(D2084="","SEM CATEGORIA",IF(E2084="","SEM SUBCATEGORIA",IF(COUNTIFS(CADASTROS!$L$7:$L$93,D2084,CADASTROS!$D$7:$D$93,E2084)=0,"INCOMPATÍVEL","OK"))))</f>
        <v/>
      </c>
    </row>
    <row r="2085" spans="1:11" ht="30" hidden="1" customHeight="1" x14ac:dyDescent="0.25">
      <c r="A2085" s="86" t="str">
        <f>IF(COUNTIF(EXTRATO!$A$2:$A$3000,"BAN-01942")=0,"","BAN-01942")</f>
        <v/>
      </c>
      <c r="B2085" s="85" t="str">
        <f>IF(A2085="","",IF(INDEX(EXTRATO!$C$2:$C$3000,MATCH($A2085,EXTRATO!$A$2:$A$3000,0))="","",INDEX(EXTRATO!$C$2:$C$3000,MATCH($A2085,EXTRATO!$A$2:$A$3000,0))))</f>
        <v/>
      </c>
      <c r="C2085" s="86" t="str">
        <f t="shared" si="52"/>
        <v/>
      </c>
      <c r="D2085" s="81"/>
      <c r="E2085" s="79"/>
      <c r="F2085" s="80" t="str">
        <f>IF(A2085="","",SUMIF(EXTRATO!$A$2:$A$3000,$A2085,EXTRATO!$J$2:$J$3000)+SUMIF(EXTRATO!$A$2:$A$3000,$A2085,EXTRATO!$K$2:$K$3000)+SUMIF(EXTRATO!$A$2:$A$3000,$A2085,EXTRATO!$L$2:$L$3000)+SUMIF(EXTRATO!$A$2:$A$3000,$A2085,EXTRATO!$M$2:$M$3000))</f>
        <v/>
      </c>
      <c r="G2085" s="81" t="str">
        <f>IF(A2085="","",IF(INDEX(EXTRATO!$G$2:$G$3000,MATCH($A2085,EXTRATO!$A$2:$A$3000,0))="","",INDEX(EXTRATO!$G$2:$G$3000,MATCH($A2085,EXTRATO!$A$2:$A$3000,0))))</f>
        <v/>
      </c>
      <c r="H2085" s="86" t="str">
        <f>IF(A2085="","",IF(INDEX(EXTRATO!$F$2:$F$3000,MATCH($A2085,EXTRATO!$A$2:$A$3000,0))="","",INDEX(EXTRATO!$F$2:$F$3000,MATCH($A2085,EXTRATO!$A$2:$A$3000,0))))</f>
        <v/>
      </c>
      <c r="I2085" s="88" t="str">
        <f>IF(A2085="","",IF(INDEX(EXTRATO!$H$2:$H$3000,MATCH($A2085,EXTRATO!$A$2:$A$3000,0))="","",INDEX(EXTRATO!$H$2:$H$3000,MATCH($A2085,EXTRATO!$A$2:$A$3000,0))))</f>
        <v/>
      </c>
      <c r="J2085" s="86" t="str">
        <f t="shared" si="51"/>
        <v/>
      </c>
      <c r="K2085" s="86" t="str">
        <f>IF(AND(A2085="",D2085="",E2085="",F2085=""),"",IF(D2085="","SEM CATEGORIA",IF(E2085="","SEM SUBCATEGORIA",IF(COUNTIFS(CADASTROS!$L$7:$L$93,D2085,CADASTROS!$D$7:$D$93,E2085)=0,"INCOMPATÍVEL","OK"))))</f>
        <v/>
      </c>
    </row>
    <row r="2086" spans="1:11" ht="30" hidden="1" customHeight="1" x14ac:dyDescent="0.25">
      <c r="A2086" s="86" t="str">
        <f>IF(COUNTIF(EXTRATO!$A$2:$A$3000,"BAN-01943")=0,"","BAN-01943")</f>
        <v/>
      </c>
      <c r="B2086" s="85" t="str">
        <f>IF(A2086="","",IF(INDEX(EXTRATO!$C$2:$C$3000,MATCH($A2086,EXTRATO!$A$2:$A$3000,0))="","",INDEX(EXTRATO!$C$2:$C$3000,MATCH($A2086,EXTRATO!$A$2:$A$3000,0))))</f>
        <v/>
      </c>
      <c r="C2086" s="86" t="str">
        <f t="shared" si="52"/>
        <v/>
      </c>
      <c r="D2086" s="81"/>
      <c r="E2086" s="79"/>
      <c r="F2086" s="80" t="str">
        <f>IF(A2086="","",SUMIF(EXTRATO!$A$2:$A$3000,$A2086,EXTRATO!$J$2:$J$3000)+SUMIF(EXTRATO!$A$2:$A$3000,$A2086,EXTRATO!$K$2:$K$3000)+SUMIF(EXTRATO!$A$2:$A$3000,$A2086,EXTRATO!$L$2:$L$3000)+SUMIF(EXTRATO!$A$2:$A$3000,$A2086,EXTRATO!$M$2:$M$3000))</f>
        <v/>
      </c>
      <c r="G2086" s="81" t="str">
        <f>IF(A2086="","",IF(INDEX(EXTRATO!$G$2:$G$3000,MATCH($A2086,EXTRATO!$A$2:$A$3000,0))="","",INDEX(EXTRATO!$G$2:$G$3000,MATCH($A2086,EXTRATO!$A$2:$A$3000,0))))</f>
        <v/>
      </c>
      <c r="H2086" s="86" t="str">
        <f>IF(A2086="","",IF(INDEX(EXTRATO!$F$2:$F$3000,MATCH($A2086,EXTRATO!$A$2:$A$3000,0))="","",INDEX(EXTRATO!$F$2:$F$3000,MATCH($A2086,EXTRATO!$A$2:$A$3000,0))))</f>
        <v/>
      </c>
      <c r="I2086" s="88" t="str">
        <f>IF(A2086="","",IF(INDEX(EXTRATO!$H$2:$H$3000,MATCH($A2086,EXTRATO!$A$2:$A$3000,0))="","",INDEX(EXTRATO!$H$2:$H$3000,MATCH($A2086,EXTRATO!$A$2:$A$3000,0))))</f>
        <v/>
      </c>
      <c r="J2086" s="86" t="str">
        <f t="shared" si="51"/>
        <v/>
      </c>
      <c r="K2086" s="86" t="str">
        <f>IF(AND(A2086="",D2086="",E2086="",F2086=""),"",IF(D2086="","SEM CATEGORIA",IF(E2086="","SEM SUBCATEGORIA",IF(COUNTIFS(CADASTROS!$L$7:$L$93,D2086,CADASTROS!$D$7:$D$93,E2086)=0,"INCOMPATÍVEL","OK"))))</f>
        <v/>
      </c>
    </row>
    <row r="2087" spans="1:11" ht="30" hidden="1" customHeight="1" x14ac:dyDescent="0.25">
      <c r="A2087" s="86" t="str">
        <f>IF(COUNTIF(EXTRATO!$A$2:$A$3000,"BAN-01944")=0,"","BAN-01944")</f>
        <v/>
      </c>
      <c r="B2087" s="85" t="str">
        <f>IF(A2087="","",IF(INDEX(EXTRATO!$C$2:$C$3000,MATCH($A2087,EXTRATO!$A$2:$A$3000,0))="","",INDEX(EXTRATO!$C$2:$C$3000,MATCH($A2087,EXTRATO!$A$2:$A$3000,0))))</f>
        <v/>
      </c>
      <c r="C2087" s="86" t="str">
        <f t="shared" si="52"/>
        <v/>
      </c>
      <c r="D2087" s="81"/>
      <c r="E2087" s="79"/>
      <c r="F2087" s="80" t="str">
        <f>IF(A2087="","",SUMIF(EXTRATO!$A$2:$A$3000,$A2087,EXTRATO!$J$2:$J$3000)+SUMIF(EXTRATO!$A$2:$A$3000,$A2087,EXTRATO!$K$2:$K$3000)+SUMIF(EXTRATO!$A$2:$A$3000,$A2087,EXTRATO!$L$2:$L$3000)+SUMIF(EXTRATO!$A$2:$A$3000,$A2087,EXTRATO!$M$2:$M$3000))</f>
        <v/>
      </c>
      <c r="G2087" s="81" t="str">
        <f>IF(A2087="","",IF(INDEX(EXTRATO!$G$2:$G$3000,MATCH($A2087,EXTRATO!$A$2:$A$3000,0))="","",INDEX(EXTRATO!$G$2:$G$3000,MATCH($A2087,EXTRATO!$A$2:$A$3000,0))))</f>
        <v/>
      </c>
      <c r="H2087" s="86" t="str">
        <f>IF(A2087="","",IF(INDEX(EXTRATO!$F$2:$F$3000,MATCH($A2087,EXTRATO!$A$2:$A$3000,0))="","",INDEX(EXTRATO!$F$2:$F$3000,MATCH($A2087,EXTRATO!$A$2:$A$3000,0))))</f>
        <v/>
      </c>
      <c r="I2087" s="88" t="str">
        <f>IF(A2087="","",IF(INDEX(EXTRATO!$H$2:$H$3000,MATCH($A2087,EXTRATO!$A$2:$A$3000,0))="","",INDEX(EXTRATO!$H$2:$H$3000,MATCH($A2087,EXTRATO!$A$2:$A$3000,0))))</f>
        <v/>
      </c>
      <c r="J2087" s="86" t="str">
        <f t="shared" si="51"/>
        <v/>
      </c>
      <c r="K2087" s="86" t="str">
        <f>IF(AND(A2087="",D2087="",E2087="",F2087=""),"",IF(D2087="","SEM CATEGORIA",IF(E2087="","SEM SUBCATEGORIA",IF(COUNTIFS(CADASTROS!$L$7:$L$93,D2087,CADASTROS!$D$7:$D$93,E2087)=0,"INCOMPATÍVEL","OK"))))</f>
        <v/>
      </c>
    </row>
    <row r="2088" spans="1:11" ht="30" hidden="1" customHeight="1" x14ac:dyDescent="0.25">
      <c r="A2088" s="86" t="str">
        <f>IF(COUNTIF(EXTRATO!$A$2:$A$3000,"BAN-01945")=0,"","BAN-01945")</f>
        <v/>
      </c>
      <c r="B2088" s="85" t="str">
        <f>IF(A2088="","",IF(INDEX(EXTRATO!$C$2:$C$3000,MATCH($A2088,EXTRATO!$A$2:$A$3000,0))="","",INDEX(EXTRATO!$C$2:$C$3000,MATCH($A2088,EXTRATO!$A$2:$A$3000,0))))</f>
        <v/>
      </c>
      <c r="C2088" s="86" t="str">
        <f t="shared" si="52"/>
        <v/>
      </c>
      <c r="D2088" s="81"/>
      <c r="E2088" s="79"/>
      <c r="F2088" s="80" t="str">
        <f>IF(A2088="","",SUMIF(EXTRATO!$A$2:$A$3000,$A2088,EXTRATO!$J$2:$J$3000)+SUMIF(EXTRATO!$A$2:$A$3000,$A2088,EXTRATO!$K$2:$K$3000)+SUMIF(EXTRATO!$A$2:$A$3000,$A2088,EXTRATO!$L$2:$L$3000)+SUMIF(EXTRATO!$A$2:$A$3000,$A2088,EXTRATO!$M$2:$M$3000))</f>
        <v/>
      </c>
      <c r="G2088" s="81" t="str">
        <f>IF(A2088="","",IF(INDEX(EXTRATO!$G$2:$G$3000,MATCH($A2088,EXTRATO!$A$2:$A$3000,0))="","",INDEX(EXTRATO!$G$2:$G$3000,MATCH($A2088,EXTRATO!$A$2:$A$3000,0))))</f>
        <v/>
      </c>
      <c r="H2088" s="86" t="str">
        <f>IF(A2088="","",IF(INDEX(EXTRATO!$F$2:$F$3000,MATCH($A2088,EXTRATO!$A$2:$A$3000,0))="","",INDEX(EXTRATO!$F$2:$F$3000,MATCH($A2088,EXTRATO!$A$2:$A$3000,0))))</f>
        <v/>
      </c>
      <c r="I2088" s="88" t="str">
        <f>IF(A2088="","",IF(INDEX(EXTRATO!$H$2:$H$3000,MATCH($A2088,EXTRATO!$A$2:$A$3000,0))="","",INDEX(EXTRATO!$H$2:$H$3000,MATCH($A2088,EXTRATO!$A$2:$A$3000,0))))</f>
        <v/>
      </c>
      <c r="J2088" s="86" t="str">
        <f t="shared" si="51"/>
        <v/>
      </c>
      <c r="K2088" s="86" t="str">
        <f>IF(AND(A2088="",D2088="",E2088="",F2088=""),"",IF(D2088="","SEM CATEGORIA",IF(E2088="","SEM SUBCATEGORIA",IF(COUNTIFS(CADASTROS!$L$7:$L$93,D2088,CADASTROS!$D$7:$D$93,E2088)=0,"INCOMPATÍVEL","OK"))))</f>
        <v/>
      </c>
    </row>
    <row r="2089" spans="1:11" ht="30" hidden="1" customHeight="1" x14ac:dyDescent="0.25">
      <c r="A2089" s="86" t="str">
        <f>IF(COUNTIF(EXTRATO!$A$2:$A$3000,"BAN-01946")=0,"","BAN-01946")</f>
        <v/>
      </c>
      <c r="B2089" s="85" t="str">
        <f>IF(A2089="","",IF(INDEX(EXTRATO!$C$2:$C$3000,MATCH($A2089,EXTRATO!$A$2:$A$3000,0))="","",INDEX(EXTRATO!$C$2:$C$3000,MATCH($A2089,EXTRATO!$A$2:$A$3000,0))))</f>
        <v/>
      </c>
      <c r="C2089" s="86" t="str">
        <f t="shared" si="52"/>
        <v/>
      </c>
      <c r="D2089" s="81"/>
      <c r="E2089" s="79"/>
      <c r="F2089" s="80" t="str">
        <f>IF(A2089="","",SUMIF(EXTRATO!$A$2:$A$3000,$A2089,EXTRATO!$J$2:$J$3000)+SUMIF(EXTRATO!$A$2:$A$3000,$A2089,EXTRATO!$K$2:$K$3000)+SUMIF(EXTRATO!$A$2:$A$3000,$A2089,EXTRATO!$L$2:$L$3000)+SUMIF(EXTRATO!$A$2:$A$3000,$A2089,EXTRATO!$M$2:$M$3000))</f>
        <v/>
      </c>
      <c r="G2089" s="81" t="str">
        <f>IF(A2089="","",IF(INDEX(EXTRATO!$G$2:$G$3000,MATCH($A2089,EXTRATO!$A$2:$A$3000,0))="","",INDEX(EXTRATO!$G$2:$G$3000,MATCH($A2089,EXTRATO!$A$2:$A$3000,0))))</f>
        <v/>
      </c>
      <c r="H2089" s="86" t="str">
        <f>IF(A2089="","",IF(INDEX(EXTRATO!$F$2:$F$3000,MATCH($A2089,EXTRATO!$A$2:$A$3000,0))="","",INDEX(EXTRATO!$F$2:$F$3000,MATCH($A2089,EXTRATO!$A$2:$A$3000,0))))</f>
        <v/>
      </c>
      <c r="I2089" s="88" t="str">
        <f>IF(A2089="","",IF(INDEX(EXTRATO!$H$2:$H$3000,MATCH($A2089,EXTRATO!$A$2:$A$3000,0))="","",INDEX(EXTRATO!$H$2:$H$3000,MATCH($A2089,EXTRATO!$A$2:$A$3000,0))))</f>
        <v/>
      </c>
      <c r="J2089" s="86" t="str">
        <f t="shared" si="51"/>
        <v/>
      </c>
      <c r="K2089" s="86" t="str">
        <f>IF(AND(A2089="",D2089="",E2089="",F2089=""),"",IF(D2089="","SEM CATEGORIA",IF(E2089="","SEM SUBCATEGORIA",IF(COUNTIFS(CADASTROS!$L$7:$L$93,D2089,CADASTROS!$D$7:$D$93,E2089)=0,"INCOMPATÍVEL","OK"))))</f>
        <v/>
      </c>
    </row>
    <row r="2090" spans="1:11" ht="30" hidden="1" customHeight="1" x14ac:dyDescent="0.25">
      <c r="A2090" s="86" t="str">
        <f>IF(COUNTIF(EXTRATO!$A$2:$A$3000,"BAN-01947")=0,"","BAN-01947")</f>
        <v/>
      </c>
      <c r="B2090" s="85" t="str">
        <f>IF(A2090="","",IF(INDEX(EXTRATO!$C$2:$C$3000,MATCH($A2090,EXTRATO!$A$2:$A$3000,0))="","",INDEX(EXTRATO!$C$2:$C$3000,MATCH($A2090,EXTRATO!$A$2:$A$3000,0))))</f>
        <v/>
      </c>
      <c r="C2090" s="86" t="str">
        <f t="shared" si="52"/>
        <v/>
      </c>
      <c r="D2090" s="81"/>
      <c r="E2090" s="79"/>
      <c r="F2090" s="80" t="str">
        <f>IF(A2090="","",SUMIF(EXTRATO!$A$2:$A$3000,$A2090,EXTRATO!$J$2:$J$3000)+SUMIF(EXTRATO!$A$2:$A$3000,$A2090,EXTRATO!$K$2:$K$3000)+SUMIF(EXTRATO!$A$2:$A$3000,$A2090,EXTRATO!$L$2:$L$3000)+SUMIF(EXTRATO!$A$2:$A$3000,$A2090,EXTRATO!$M$2:$M$3000))</f>
        <v/>
      </c>
      <c r="G2090" s="81" t="str">
        <f>IF(A2090="","",IF(INDEX(EXTRATO!$G$2:$G$3000,MATCH($A2090,EXTRATO!$A$2:$A$3000,0))="","",INDEX(EXTRATO!$G$2:$G$3000,MATCH($A2090,EXTRATO!$A$2:$A$3000,0))))</f>
        <v/>
      </c>
      <c r="H2090" s="86" t="str">
        <f>IF(A2090="","",IF(INDEX(EXTRATO!$F$2:$F$3000,MATCH($A2090,EXTRATO!$A$2:$A$3000,0))="","",INDEX(EXTRATO!$F$2:$F$3000,MATCH($A2090,EXTRATO!$A$2:$A$3000,0))))</f>
        <v/>
      </c>
      <c r="I2090" s="88" t="str">
        <f>IF(A2090="","",IF(INDEX(EXTRATO!$H$2:$H$3000,MATCH($A2090,EXTRATO!$A$2:$A$3000,0))="","",INDEX(EXTRATO!$H$2:$H$3000,MATCH($A2090,EXTRATO!$A$2:$A$3000,0))))</f>
        <v/>
      </c>
      <c r="J2090" s="86" t="str">
        <f t="shared" si="51"/>
        <v/>
      </c>
      <c r="K2090" s="86" t="str">
        <f>IF(AND(A2090="",D2090="",E2090="",F2090=""),"",IF(D2090="","SEM CATEGORIA",IF(E2090="","SEM SUBCATEGORIA",IF(COUNTIFS(CADASTROS!$L$7:$L$93,D2090,CADASTROS!$D$7:$D$93,E2090)=0,"INCOMPATÍVEL","OK"))))</f>
        <v/>
      </c>
    </row>
    <row r="2091" spans="1:11" ht="30" hidden="1" customHeight="1" x14ac:dyDescent="0.25">
      <c r="A2091" s="86" t="str">
        <f>IF(COUNTIF(EXTRATO!$A$2:$A$3000,"BAN-01948")=0,"","BAN-01948")</f>
        <v/>
      </c>
      <c r="B2091" s="85" t="str">
        <f>IF(A2091="","",IF(INDEX(EXTRATO!$C$2:$C$3000,MATCH($A2091,EXTRATO!$A$2:$A$3000,0))="","",INDEX(EXTRATO!$C$2:$C$3000,MATCH($A2091,EXTRATO!$A$2:$A$3000,0))))</f>
        <v/>
      </c>
      <c r="C2091" s="86" t="str">
        <f t="shared" si="52"/>
        <v/>
      </c>
      <c r="D2091" s="81"/>
      <c r="E2091" s="79"/>
      <c r="F2091" s="80" t="str">
        <f>IF(A2091="","",SUMIF(EXTRATO!$A$2:$A$3000,$A2091,EXTRATO!$J$2:$J$3000)+SUMIF(EXTRATO!$A$2:$A$3000,$A2091,EXTRATO!$K$2:$K$3000)+SUMIF(EXTRATO!$A$2:$A$3000,$A2091,EXTRATO!$L$2:$L$3000)+SUMIF(EXTRATO!$A$2:$A$3000,$A2091,EXTRATO!$M$2:$M$3000))</f>
        <v/>
      </c>
      <c r="G2091" s="81" t="str">
        <f>IF(A2091="","",IF(INDEX(EXTRATO!$G$2:$G$3000,MATCH($A2091,EXTRATO!$A$2:$A$3000,0))="","",INDEX(EXTRATO!$G$2:$G$3000,MATCH($A2091,EXTRATO!$A$2:$A$3000,0))))</f>
        <v/>
      </c>
      <c r="H2091" s="86" t="str">
        <f>IF(A2091="","",IF(INDEX(EXTRATO!$F$2:$F$3000,MATCH($A2091,EXTRATO!$A$2:$A$3000,0))="","",INDEX(EXTRATO!$F$2:$F$3000,MATCH($A2091,EXTRATO!$A$2:$A$3000,0))))</f>
        <v/>
      </c>
      <c r="I2091" s="88" t="str">
        <f>IF(A2091="","",IF(INDEX(EXTRATO!$H$2:$H$3000,MATCH($A2091,EXTRATO!$A$2:$A$3000,0))="","",INDEX(EXTRATO!$H$2:$H$3000,MATCH($A2091,EXTRATO!$A$2:$A$3000,0))))</f>
        <v/>
      </c>
      <c r="J2091" s="86" t="str">
        <f t="shared" si="51"/>
        <v/>
      </c>
      <c r="K2091" s="86" t="str">
        <f>IF(AND(A2091="",D2091="",E2091="",F2091=""),"",IF(D2091="","SEM CATEGORIA",IF(E2091="","SEM SUBCATEGORIA",IF(COUNTIFS(CADASTROS!$L$7:$L$93,D2091,CADASTROS!$D$7:$D$93,E2091)=0,"INCOMPATÍVEL","OK"))))</f>
        <v/>
      </c>
    </row>
    <row r="2092" spans="1:11" ht="30" hidden="1" customHeight="1" x14ac:dyDescent="0.25">
      <c r="A2092" s="86" t="str">
        <f>IF(COUNTIF(EXTRATO!$A$2:$A$3000,"BAN-01949")=0,"","BAN-01949")</f>
        <v/>
      </c>
      <c r="B2092" s="85" t="str">
        <f>IF(A2092="","",IF(INDEX(EXTRATO!$C$2:$C$3000,MATCH($A2092,EXTRATO!$A$2:$A$3000,0))="","",INDEX(EXTRATO!$C$2:$C$3000,MATCH($A2092,EXTRATO!$A$2:$A$3000,0))))</f>
        <v/>
      </c>
      <c r="C2092" s="86" t="str">
        <f t="shared" si="52"/>
        <v/>
      </c>
      <c r="D2092" s="81"/>
      <c r="E2092" s="79"/>
      <c r="F2092" s="80" t="str">
        <f>IF(A2092="","",SUMIF(EXTRATO!$A$2:$A$3000,$A2092,EXTRATO!$J$2:$J$3000)+SUMIF(EXTRATO!$A$2:$A$3000,$A2092,EXTRATO!$K$2:$K$3000)+SUMIF(EXTRATO!$A$2:$A$3000,$A2092,EXTRATO!$L$2:$L$3000)+SUMIF(EXTRATO!$A$2:$A$3000,$A2092,EXTRATO!$M$2:$M$3000))</f>
        <v/>
      </c>
      <c r="G2092" s="81" t="str">
        <f>IF(A2092="","",IF(INDEX(EXTRATO!$G$2:$G$3000,MATCH($A2092,EXTRATO!$A$2:$A$3000,0))="","",INDEX(EXTRATO!$G$2:$G$3000,MATCH($A2092,EXTRATO!$A$2:$A$3000,0))))</f>
        <v/>
      </c>
      <c r="H2092" s="86" t="str">
        <f>IF(A2092="","",IF(INDEX(EXTRATO!$F$2:$F$3000,MATCH($A2092,EXTRATO!$A$2:$A$3000,0))="","",INDEX(EXTRATO!$F$2:$F$3000,MATCH($A2092,EXTRATO!$A$2:$A$3000,0))))</f>
        <v/>
      </c>
      <c r="I2092" s="88" t="str">
        <f>IF(A2092="","",IF(INDEX(EXTRATO!$H$2:$H$3000,MATCH($A2092,EXTRATO!$A$2:$A$3000,0))="","",INDEX(EXTRATO!$H$2:$H$3000,MATCH($A2092,EXTRATO!$A$2:$A$3000,0))))</f>
        <v/>
      </c>
      <c r="J2092" s="86" t="str">
        <f t="shared" ref="J2092:J2155" si="53">IF(A2092="","",IF(K2092="OK","MANUAL","PENDENTE"))</f>
        <v/>
      </c>
      <c r="K2092" s="86" t="str">
        <f>IF(AND(A2092="",D2092="",E2092="",F2092=""),"",IF(D2092="","SEM CATEGORIA",IF(E2092="","SEM SUBCATEGORIA",IF(COUNTIFS(CADASTROS!$L$7:$L$93,D2092,CADASTROS!$D$7:$D$93,E2092)=0,"INCOMPATÍVEL","OK"))))</f>
        <v/>
      </c>
    </row>
    <row r="2093" spans="1:11" ht="30" hidden="1" customHeight="1" x14ac:dyDescent="0.25">
      <c r="A2093" s="86" t="str">
        <f>IF(COUNTIF(EXTRATO!$A$2:$A$3000,"BAN-01950")=0,"","BAN-01950")</f>
        <v/>
      </c>
      <c r="B2093" s="85" t="str">
        <f>IF(A2093="","",IF(INDEX(EXTRATO!$C$2:$C$3000,MATCH($A2093,EXTRATO!$A$2:$A$3000,0))="","",INDEX(EXTRATO!$C$2:$C$3000,MATCH($A2093,EXTRATO!$A$2:$A$3000,0))))</f>
        <v/>
      </c>
      <c r="C2093" s="86" t="str">
        <f t="shared" si="52"/>
        <v/>
      </c>
      <c r="D2093" s="81"/>
      <c r="E2093" s="79"/>
      <c r="F2093" s="80" t="str">
        <f>IF(A2093="","",SUMIF(EXTRATO!$A$2:$A$3000,$A2093,EXTRATO!$J$2:$J$3000)+SUMIF(EXTRATO!$A$2:$A$3000,$A2093,EXTRATO!$K$2:$K$3000)+SUMIF(EXTRATO!$A$2:$A$3000,$A2093,EXTRATO!$L$2:$L$3000)+SUMIF(EXTRATO!$A$2:$A$3000,$A2093,EXTRATO!$M$2:$M$3000))</f>
        <v/>
      </c>
      <c r="G2093" s="81" t="str">
        <f>IF(A2093="","",IF(INDEX(EXTRATO!$G$2:$G$3000,MATCH($A2093,EXTRATO!$A$2:$A$3000,0))="","",INDEX(EXTRATO!$G$2:$G$3000,MATCH($A2093,EXTRATO!$A$2:$A$3000,0))))</f>
        <v/>
      </c>
      <c r="H2093" s="86" t="str">
        <f>IF(A2093="","",IF(INDEX(EXTRATO!$F$2:$F$3000,MATCH($A2093,EXTRATO!$A$2:$A$3000,0))="","",INDEX(EXTRATO!$F$2:$F$3000,MATCH($A2093,EXTRATO!$A$2:$A$3000,0))))</f>
        <v/>
      </c>
      <c r="I2093" s="88" t="str">
        <f>IF(A2093="","",IF(INDEX(EXTRATO!$H$2:$H$3000,MATCH($A2093,EXTRATO!$A$2:$A$3000,0))="","",INDEX(EXTRATO!$H$2:$H$3000,MATCH($A2093,EXTRATO!$A$2:$A$3000,0))))</f>
        <v/>
      </c>
      <c r="J2093" s="86" t="str">
        <f t="shared" si="53"/>
        <v/>
      </c>
      <c r="K2093" s="86" t="str">
        <f>IF(AND(A2093="",D2093="",E2093="",F2093=""),"",IF(D2093="","SEM CATEGORIA",IF(E2093="","SEM SUBCATEGORIA",IF(COUNTIFS(CADASTROS!$L$7:$L$93,D2093,CADASTROS!$D$7:$D$93,E2093)=0,"INCOMPATÍVEL","OK"))))</f>
        <v/>
      </c>
    </row>
    <row r="2094" spans="1:11" ht="30" hidden="1" customHeight="1" x14ac:dyDescent="0.25">
      <c r="A2094" s="86" t="str">
        <f>IF(COUNTIF(EXTRATO!$A$2:$A$3000,"BAN-01951")=0,"","BAN-01951")</f>
        <v/>
      </c>
      <c r="B2094" s="85" t="str">
        <f>IF(A2094="","",IF(INDEX(EXTRATO!$C$2:$C$3000,MATCH($A2094,EXTRATO!$A$2:$A$3000,0))="","",INDEX(EXTRATO!$C$2:$C$3000,MATCH($A2094,EXTRATO!$A$2:$A$3000,0))))</f>
        <v/>
      </c>
      <c r="C2094" s="86" t="str">
        <f t="shared" si="52"/>
        <v/>
      </c>
      <c r="D2094" s="81"/>
      <c r="E2094" s="79"/>
      <c r="F2094" s="80" t="str">
        <f>IF(A2094="","",SUMIF(EXTRATO!$A$2:$A$3000,$A2094,EXTRATO!$J$2:$J$3000)+SUMIF(EXTRATO!$A$2:$A$3000,$A2094,EXTRATO!$K$2:$K$3000)+SUMIF(EXTRATO!$A$2:$A$3000,$A2094,EXTRATO!$L$2:$L$3000)+SUMIF(EXTRATO!$A$2:$A$3000,$A2094,EXTRATO!$M$2:$M$3000))</f>
        <v/>
      </c>
      <c r="G2094" s="81" t="str">
        <f>IF(A2094="","",IF(INDEX(EXTRATO!$G$2:$G$3000,MATCH($A2094,EXTRATO!$A$2:$A$3000,0))="","",INDEX(EXTRATO!$G$2:$G$3000,MATCH($A2094,EXTRATO!$A$2:$A$3000,0))))</f>
        <v/>
      </c>
      <c r="H2094" s="86" t="str">
        <f>IF(A2094="","",IF(INDEX(EXTRATO!$F$2:$F$3000,MATCH($A2094,EXTRATO!$A$2:$A$3000,0))="","",INDEX(EXTRATO!$F$2:$F$3000,MATCH($A2094,EXTRATO!$A$2:$A$3000,0))))</f>
        <v/>
      </c>
      <c r="I2094" s="88" t="str">
        <f>IF(A2094="","",IF(INDEX(EXTRATO!$H$2:$H$3000,MATCH($A2094,EXTRATO!$A$2:$A$3000,0))="","",INDEX(EXTRATO!$H$2:$H$3000,MATCH($A2094,EXTRATO!$A$2:$A$3000,0))))</f>
        <v/>
      </c>
      <c r="J2094" s="86" t="str">
        <f t="shared" si="53"/>
        <v/>
      </c>
      <c r="K2094" s="86" t="str">
        <f>IF(AND(A2094="",D2094="",E2094="",F2094=""),"",IF(D2094="","SEM CATEGORIA",IF(E2094="","SEM SUBCATEGORIA",IF(COUNTIFS(CADASTROS!$L$7:$L$93,D2094,CADASTROS!$D$7:$D$93,E2094)=0,"INCOMPATÍVEL","OK"))))</f>
        <v/>
      </c>
    </row>
    <row r="2095" spans="1:11" ht="30" hidden="1" customHeight="1" x14ac:dyDescent="0.25">
      <c r="A2095" s="86" t="str">
        <f>IF(COUNTIF(EXTRATO!$A$2:$A$3000,"BAN-01952")=0,"","BAN-01952")</f>
        <v/>
      </c>
      <c r="B2095" s="85" t="str">
        <f>IF(A2095="","",IF(INDEX(EXTRATO!$C$2:$C$3000,MATCH($A2095,EXTRATO!$A$2:$A$3000,0))="","",INDEX(EXTRATO!$C$2:$C$3000,MATCH($A2095,EXTRATO!$A$2:$A$3000,0))))</f>
        <v/>
      </c>
      <c r="C2095" s="86" t="str">
        <f t="shared" si="52"/>
        <v/>
      </c>
      <c r="D2095" s="81"/>
      <c r="E2095" s="79"/>
      <c r="F2095" s="80" t="str">
        <f>IF(A2095="","",SUMIF(EXTRATO!$A$2:$A$3000,$A2095,EXTRATO!$J$2:$J$3000)+SUMIF(EXTRATO!$A$2:$A$3000,$A2095,EXTRATO!$K$2:$K$3000)+SUMIF(EXTRATO!$A$2:$A$3000,$A2095,EXTRATO!$L$2:$L$3000)+SUMIF(EXTRATO!$A$2:$A$3000,$A2095,EXTRATO!$M$2:$M$3000))</f>
        <v/>
      </c>
      <c r="G2095" s="81" t="str">
        <f>IF(A2095="","",IF(INDEX(EXTRATO!$G$2:$G$3000,MATCH($A2095,EXTRATO!$A$2:$A$3000,0))="","",INDEX(EXTRATO!$G$2:$G$3000,MATCH($A2095,EXTRATO!$A$2:$A$3000,0))))</f>
        <v/>
      </c>
      <c r="H2095" s="86" t="str">
        <f>IF(A2095="","",IF(INDEX(EXTRATO!$F$2:$F$3000,MATCH($A2095,EXTRATO!$A$2:$A$3000,0))="","",INDEX(EXTRATO!$F$2:$F$3000,MATCH($A2095,EXTRATO!$A$2:$A$3000,0))))</f>
        <v/>
      </c>
      <c r="I2095" s="88" t="str">
        <f>IF(A2095="","",IF(INDEX(EXTRATO!$H$2:$H$3000,MATCH($A2095,EXTRATO!$A$2:$A$3000,0))="","",INDEX(EXTRATO!$H$2:$H$3000,MATCH($A2095,EXTRATO!$A$2:$A$3000,0))))</f>
        <v/>
      </c>
      <c r="J2095" s="86" t="str">
        <f t="shared" si="53"/>
        <v/>
      </c>
      <c r="K2095" s="86" t="str">
        <f>IF(AND(A2095="",D2095="",E2095="",F2095=""),"",IF(D2095="","SEM CATEGORIA",IF(E2095="","SEM SUBCATEGORIA",IF(COUNTIFS(CADASTROS!$L$7:$L$93,D2095,CADASTROS!$D$7:$D$93,E2095)=0,"INCOMPATÍVEL","OK"))))</f>
        <v/>
      </c>
    </row>
    <row r="2096" spans="1:11" ht="30" hidden="1" customHeight="1" x14ac:dyDescent="0.25">
      <c r="A2096" s="86" t="str">
        <f>IF(COUNTIF(EXTRATO!$A$2:$A$3000,"BAN-01953")=0,"","BAN-01953")</f>
        <v/>
      </c>
      <c r="B2096" s="85" t="str">
        <f>IF(A2096="","",IF(INDEX(EXTRATO!$C$2:$C$3000,MATCH($A2096,EXTRATO!$A$2:$A$3000,0))="","",INDEX(EXTRATO!$C$2:$C$3000,MATCH($A2096,EXTRATO!$A$2:$A$3000,0))))</f>
        <v/>
      </c>
      <c r="C2096" s="86" t="str">
        <f t="shared" si="52"/>
        <v/>
      </c>
      <c r="D2096" s="81"/>
      <c r="E2096" s="79"/>
      <c r="F2096" s="80" t="str">
        <f>IF(A2096="","",SUMIF(EXTRATO!$A$2:$A$3000,$A2096,EXTRATO!$J$2:$J$3000)+SUMIF(EXTRATO!$A$2:$A$3000,$A2096,EXTRATO!$K$2:$K$3000)+SUMIF(EXTRATO!$A$2:$A$3000,$A2096,EXTRATO!$L$2:$L$3000)+SUMIF(EXTRATO!$A$2:$A$3000,$A2096,EXTRATO!$M$2:$M$3000))</f>
        <v/>
      </c>
      <c r="G2096" s="81" t="str">
        <f>IF(A2096="","",IF(INDEX(EXTRATO!$G$2:$G$3000,MATCH($A2096,EXTRATO!$A$2:$A$3000,0))="","",INDEX(EXTRATO!$G$2:$G$3000,MATCH($A2096,EXTRATO!$A$2:$A$3000,0))))</f>
        <v/>
      </c>
      <c r="H2096" s="86" t="str">
        <f>IF(A2096="","",IF(INDEX(EXTRATO!$F$2:$F$3000,MATCH($A2096,EXTRATO!$A$2:$A$3000,0))="","",INDEX(EXTRATO!$F$2:$F$3000,MATCH($A2096,EXTRATO!$A$2:$A$3000,0))))</f>
        <v/>
      </c>
      <c r="I2096" s="88" t="str">
        <f>IF(A2096="","",IF(INDEX(EXTRATO!$H$2:$H$3000,MATCH($A2096,EXTRATO!$A$2:$A$3000,0))="","",INDEX(EXTRATO!$H$2:$H$3000,MATCH($A2096,EXTRATO!$A$2:$A$3000,0))))</f>
        <v/>
      </c>
      <c r="J2096" s="86" t="str">
        <f t="shared" si="53"/>
        <v/>
      </c>
      <c r="K2096" s="86" t="str">
        <f>IF(AND(A2096="",D2096="",E2096="",F2096=""),"",IF(D2096="","SEM CATEGORIA",IF(E2096="","SEM SUBCATEGORIA",IF(COUNTIFS(CADASTROS!$L$7:$L$93,D2096,CADASTROS!$D$7:$D$93,E2096)=0,"INCOMPATÍVEL","OK"))))</f>
        <v/>
      </c>
    </row>
    <row r="2097" spans="1:11" ht="30" hidden="1" customHeight="1" x14ac:dyDescent="0.25">
      <c r="A2097" s="86" t="str">
        <f>IF(COUNTIF(EXTRATO!$A$2:$A$3000,"BAN-01954")=0,"","BAN-01954")</f>
        <v/>
      </c>
      <c r="B2097" s="85" t="str">
        <f>IF(A2097="","",IF(INDEX(EXTRATO!$C$2:$C$3000,MATCH($A2097,EXTRATO!$A$2:$A$3000,0))="","",INDEX(EXTRATO!$C$2:$C$3000,MATCH($A2097,EXTRATO!$A$2:$A$3000,0))))</f>
        <v/>
      </c>
      <c r="C2097" s="86" t="str">
        <f t="shared" si="52"/>
        <v/>
      </c>
      <c r="D2097" s="81"/>
      <c r="E2097" s="79"/>
      <c r="F2097" s="80" t="str">
        <f>IF(A2097="","",SUMIF(EXTRATO!$A$2:$A$3000,$A2097,EXTRATO!$J$2:$J$3000)+SUMIF(EXTRATO!$A$2:$A$3000,$A2097,EXTRATO!$K$2:$K$3000)+SUMIF(EXTRATO!$A$2:$A$3000,$A2097,EXTRATO!$L$2:$L$3000)+SUMIF(EXTRATO!$A$2:$A$3000,$A2097,EXTRATO!$M$2:$M$3000))</f>
        <v/>
      </c>
      <c r="G2097" s="81" t="str">
        <f>IF(A2097="","",IF(INDEX(EXTRATO!$G$2:$G$3000,MATCH($A2097,EXTRATO!$A$2:$A$3000,0))="","",INDEX(EXTRATO!$G$2:$G$3000,MATCH($A2097,EXTRATO!$A$2:$A$3000,0))))</f>
        <v/>
      </c>
      <c r="H2097" s="86" t="str">
        <f>IF(A2097="","",IF(INDEX(EXTRATO!$F$2:$F$3000,MATCH($A2097,EXTRATO!$A$2:$A$3000,0))="","",INDEX(EXTRATO!$F$2:$F$3000,MATCH($A2097,EXTRATO!$A$2:$A$3000,0))))</f>
        <v/>
      </c>
      <c r="I2097" s="88" t="str">
        <f>IF(A2097="","",IF(INDEX(EXTRATO!$H$2:$H$3000,MATCH($A2097,EXTRATO!$A$2:$A$3000,0))="","",INDEX(EXTRATO!$H$2:$H$3000,MATCH($A2097,EXTRATO!$A$2:$A$3000,0))))</f>
        <v/>
      </c>
      <c r="J2097" s="86" t="str">
        <f t="shared" si="53"/>
        <v/>
      </c>
      <c r="K2097" s="86" t="str">
        <f>IF(AND(A2097="",D2097="",E2097="",F2097=""),"",IF(D2097="","SEM CATEGORIA",IF(E2097="","SEM SUBCATEGORIA",IF(COUNTIFS(CADASTROS!$L$7:$L$93,D2097,CADASTROS!$D$7:$D$93,E2097)=0,"INCOMPATÍVEL","OK"))))</f>
        <v/>
      </c>
    </row>
    <row r="2098" spans="1:11" ht="30" hidden="1" customHeight="1" x14ac:dyDescent="0.25">
      <c r="A2098" s="86" t="str">
        <f>IF(COUNTIF(EXTRATO!$A$2:$A$3000,"BAN-01955")=0,"","BAN-01955")</f>
        <v/>
      </c>
      <c r="B2098" s="85" t="str">
        <f>IF(A2098="","",IF(INDEX(EXTRATO!$C$2:$C$3000,MATCH($A2098,EXTRATO!$A$2:$A$3000,0))="","",INDEX(EXTRATO!$C$2:$C$3000,MATCH($A2098,EXTRATO!$A$2:$A$3000,0))))</f>
        <v/>
      </c>
      <c r="C2098" s="86" t="str">
        <f t="shared" si="52"/>
        <v/>
      </c>
      <c r="D2098" s="81"/>
      <c r="E2098" s="79"/>
      <c r="F2098" s="80" t="str">
        <f>IF(A2098="","",SUMIF(EXTRATO!$A$2:$A$3000,$A2098,EXTRATO!$J$2:$J$3000)+SUMIF(EXTRATO!$A$2:$A$3000,$A2098,EXTRATO!$K$2:$K$3000)+SUMIF(EXTRATO!$A$2:$A$3000,$A2098,EXTRATO!$L$2:$L$3000)+SUMIF(EXTRATO!$A$2:$A$3000,$A2098,EXTRATO!$M$2:$M$3000))</f>
        <v/>
      </c>
      <c r="G2098" s="81" t="str">
        <f>IF(A2098="","",IF(INDEX(EXTRATO!$G$2:$G$3000,MATCH($A2098,EXTRATO!$A$2:$A$3000,0))="","",INDEX(EXTRATO!$G$2:$G$3000,MATCH($A2098,EXTRATO!$A$2:$A$3000,0))))</f>
        <v/>
      </c>
      <c r="H2098" s="86" t="str">
        <f>IF(A2098="","",IF(INDEX(EXTRATO!$F$2:$F$3000,MATCH($A2098,EXTRATO!$A$2:$A$3000,0))="","",INDEX(EXTRATO!$F$2:$F$3000,MATCH($A2098,EXTRATO!$A$2:$A$3000,0))))</f>
        <v/>
      </c>
      <c r="I2098" s="88" t="str">
        <f>IF(A2098="","",IF(INDEX(EXTRATO!$H$2:$H$3000,MATCH($A2098,EXTRATO!$A$2:$A$3000,0))="","",INDEX(EXTRATO!$H$2:$H$3000,MATCH($A2098,EXTRATO!$A$2:$A$3000,0))))</f>
        <v/>
      </c>
      <c r="J2098" s="86" t="str">
        <f t="shared" si="53"/>
        <v/>
      </c>
      <c r="K2098" s="86" t="str">
        <f>IF(AND(A2098="",D2098="",E2098="",F2098=""),"",IF(D2098="","SEM CATEGORIA",IF(E2098="","SEM SUBCATEGORIA",IF(COUNTIFS(CADASTROS!$L$7:$L$93,D2098,CADASTROS!$D$7:$D$93,E2098)=0,"INCOMPATÍVEL","OK"))))</f>
        <v/>
      </c>
    </row>
    <row r="2099" spans="1:11" ht="30" hidden="1" customHeight="1" x14ac:dyDescent="0.25">
      <c r="A2099" s="86" t="str">
        <f>IF(COUNTIF(EXTRATO!$A$2:$A$3000,"BAN-01956")=0,"","BAN-01956")</f>
        <v/>
      </c>
      <c r="B2099" s="85" t="str">
        <f>IF(A2099="","",IF(INDEX(EXTRATO!$C$2:$C$3000,MATCH($A2099,EXTRATO!$A$2:$A$3000,0))="","",INDEX(EXTRATO!$C$2:$C$3000,MATCH($A2099,EXTRATO!$A$2:$A$3000,0))))</f>
        <v/>
      </c>
      <c r="C2099" s="86" t="str">
        <f t="shared" si="52"/>
        <v/>
      </c>
      <c r="D2099" s="81"/>
      <c r="E2099" s="79"/>
      <c r="F2099" s="80" t="str">
        <f>IF(A2099="","",SUMIF(EXTRATO!$A$2:$A$3000,$A2099,EXTRATO!$J$2:$J$3000)+SUMIF(EXTRATO!$A$2:$A$3000,$A2099,EXTRATO!$K$2:$K$3000)+SUMIF(EXTRATO!$A$2:$A$3000,$A2099,EXTRATO!$L$2:$L$3000)+SUMIF(EXTRATO!$A$2:$A$3000,$A2099,EXTRATO!$M$2:$M$3000))</f>
        <v/>
      </c>
      <c r="G2099" s="81" t="str">
        <f>IF(A2099="","",IF(INDEX(EXTRATO!$G$2:$G$3000,MATCH($A2099,EXTRATO!$A$2:$A$3000,0))="","",INDEX(EXTRATO!$G$2:$G$3000,MATCH($A2099,EXTRATO!$A$2:$A$3000,0))))</f>
        <v/>
      </c>
      <c r="H2099" s="86" t="str">
        <f>IF(A2099="","",IF(INDEX(EXTRATO!$F$2:$F$3000,MATCH($A2099,EXTRATO!$A$2:$A$3000,0))="","",INDEX(EXTRATO!$F$2:$F$3000,MATCH($A2099,EXTRATO!$A$2:$A$3000,0))))</f>
        <v/>
      </c>
      <c r="I2099" s="88" t="str">
        <f>IF(A2099="","",IF(INDEX(EXTRATO!$H$2:$H$3000,MATCH($A2099,EXTRATO!$A$2:$A$3000,0))="","",INDEX(EXTRATO!$H$2:$H$3000,MATCH($A2099,EXTRATO!$A$2:$A$3000,0))))</f>
        <v/>
      </c>
      <c r="J2099" s="86" t="str">
        <f t="shared" si="53"/>
        <v/>
      </c>
      <c r="K2099" s="86" t="str">
        <f>IF(AND(A2099="",D2099="",E2099="",F2099=""),"",IF(D2099="","SEM CATEGORIA",IF(E2099="","SEM SUBCATEGORIA",IF(COUNTIFS(CADASTROS!$L$7:$L$93,D2099,CADASTROS!$D$7:$D$93,E2099)=0,"INCOMPATÍVEL","OK"))))</f>
        <v/>
      </c>
    </row>
    <row r="2100" spans="1:11" ht="30" hidden="1" customHeight="1" x14ac:dyDescent="0.25">
      <c r="A2100" s="86" t="str">
        <f>IF(COUNTIF(EXTRATO!$A$2:$A$3000,"BAN-01957")=0,"","BAN-01957")</f>
        <v/>
      </c>
      <c r="B2100" s="85" t="str">
        <f>IF(A2100="","",IF(INDEX(EXTRATO!$C$2:$C$3000,MATCH($A2100,EXTRATO!$A$2:$A$3000,0))="","",INDEX(EXTRATO!$C$2:$C$3000,MATCH($A2100,EXTRATO!$A$2:$A$3000,0))))</f>
        <v/>
      </c>
      <c r="C2100" s="86" t="str">
        <f t="shared" si="52"/>
        <v/>
      </c>
      <c r="D2100" s="81"/>
      <c r="E2100" s="79"/>
      <c r="F2100" s="80" t="str">
        <f>IF(A2100="","",SUMIF(EXTRATO!$A$2:$A$3000,$A2100,EXTRATO!$J$2:$J$3000)+SUMIF(EXTRATO!$A$2:$A$3000,$A2100,EXTRATO!$K$2:$K$3000)+SUMIF(EXTRATO!$A$2:$A$3000,$A2100,EXTRATO!$L$2:$L$3000)+SUMIF(EXTRATO!$A$2:$A$3000,$A2100,EXTRATO!$M$2:$M$3000))</f>
        <v/>
      </c>
      <c r="G2100" s="81" t="str">
        <f>IF(A2100="","",IF(INDEX(EXTRATO!$G$2:$G$3000,MATCH($A2100,EXTRATO!$A$2:$A$3000,0))="","",INDEX(EXTRATO!$G$2:$G$3000,MATCH($A2100,EXTRATO!$A$2:$A$3000,0))))</f>
        <v/>
      </c>
      <c r="H2100" s="86" t="str">
        <f>IF(A2100="","",IF(INDEX(EXTRATO!$F$2:$F$3000,MATCH($A2100,EXTRATO!$A$2:$A$3000,0))="","",INDEX(EXTRATO!$F$2:$F$3000,MATCH($A2100,EXTRATO!$A$2:$A$3000,0))))</f>
        <v/>
      </c>
      <c r="I2100" s="88" t="str">
        <f>IF(A2100="","",IF(INDEX(EXTRATO!$H$2:$H$3000,MATCH($A2100,EXTRATO!$A$2:$A$3000,0))="","",INDEX(EXTRATO!$H$2:$H$3000,MATCH($A2100,EXTRATO!$A$2:$A$3000,0))))</f>
        <v/>
      </c>
      <c r="J2100" s="86" t="str">
        <f t="shared" si="53"/>
        <v/>
      </c>
      <c r="K2100" s="86" t="str">
        <f>IF(AND(A2100="",D2100="",E2100="",F2100=""),"",IF(D2100="","SEM CATEGORIA",IF(E2100="","SEM SUBCATEGORIA",IF(COUNTIFS(CADASTROS!$L$7:$L$93,D2100,CADASTROS!$D$7:$D$93,E2100)=0,"INCOMPATÍVEL","OK"))))</f>
        <v/>
      </c>
    </row>
    <row r="2101" spans="1:11" ht="30" hidden="1" customHeight="1" x14ac:dyDescent="0.25">
      <c r="A2101" s="86" t="str">
        <f>IF(COUNTIF(EXTRATO!$A$2:$A$3000,"BAN-01958")=0,"","BAN-01958")</f>
        <v/>
      </c>
      <c r="B2101" s="85" t="str">
        <f>IF(A2101="","",IF(INDEX(EXTRATO!$C$2:$C$3000,MATCH($A2101,EXTRATO!$A$2:$A$3000,0))="","",INDEX(EXTRATO!$C$2:$C$3000,MATCH($A2101,EXTRATO!$A$2:$A$3000,0))))</f>
        <v/>
      </c>
      <c r="C2101" s="86" t="str">
        <f t="shared" si="52"/>
        <v/>
      </c>
      <c r="D2101" s="81"/>
      <c r="E2101" s="79"/>
      <c r="F2101" s="80" t="str">
        <f>IF(A2101="","",SUMIF(EXTRATO!$A$2:$A$3000,$A2101,EXTRATO!$J$2:$J$3000)+SUMIF(EXTRATO!$A$2:$A$3000,$A2101,EXTRATO!$K$2:$K$3000)+SUMIF(EXTRATO!$A$2:$A$3000,$A2101,EXTRATO!$L$2:$L$3000)+SUMIF(EXTRATO!$A$2:$A$3000,$A2101,EXTRATO!$M$2:$M$3000))</f>
        <v/>
      </c>
      <c r="G2101" s="81" t="str">
        <f>IF(A2101="","",IF(INDEX(EXTRATO!$G$2:$G$3000,MATCH($A2101,EXTRATO!$A$2:$A$3000,0))="","",INDEX(EXTRATO!$G$2:$G$3000,MATCH($A2101,EXTRATO!$A$2:$A$3000,0))))</f>
        <v/>
      </c>
      <c r="H2101" s="86" t="str">
        <f>IF(A2101="","",IF(INDEX(EXTRATO!$F$2:$F$3000,MATCH($A2101,EXTRATO!$A$2:$A$3000,0))="","",INDEX(EXTRATO!$F$2:$F$3000,MATCH($A2101,EXTRATO!$A$2:$A$3000,0))))</f>
        <v/>
      </c>
      <c r="I2101" s="88" t="str">
        <f>IF(A2101="","",IF(INDEX(EXTRATO!$H$2:$H$3000,MATCH($A2101,EXTRATO!$A$2:$A$3000,0))="","",INDEX(EXTRATO!$H$2:$H$3000,MATCH($A2101,EXTRATO!$A$2:$A$3000,0))))</f>
        <v/>
      </c>
      <c r="J2101" s="86" t="str">
        <f t="shared" si="53"/>
        <v/>
      </c>
      <c r="K2101" s="86" t="str">
        <f>IF(AND(A2101="",D2101="",E2101="",F2101=""),"",IF(D2101="","SEM CATEGORIA",IF(E2101="","SEM SUBCATEGORIA",IF(COUNTIFS(CADASTROS!$L$7:$L$93,D2101,CADASTROS!$D$7:$D$93,E2101)=0,"INCOMPATÍVEL","OK"))))</f>
        <v/>
      </c>
    </row>
    <row r="2102" spans="1:11" ht="30" hidden="1" customHeight="1" x14ac:dyDescent="0.25">
      <c r="A2102" s="86" t="str">
        <f>IF(COUNTIF(EXTRATO!$A$2:$A$3000,"BAN-01959")=0,"","BAN-01959")</f>
        <v/>
      </c>
      <c r="B2102" s="85" t="str">
        <f>IF(A2102="","",IF(INDEX(EXTRATO!$C$2:$C$3000,MATCH($A2102,EXTRATO!$A$2:$A$3000,0))="","",INDEX(EXTRATO!$C$2:$C$3000,MATCH($A2102,EXTRATO!$A$2:$A$3000,0))))</f>
        <v/>
      </c>
      <c r="C2102" s="86" t="str">
        <f t="shared" si="52"/>
        <v/>
      </c>
      <c r="D2102" s="81"/>
      <c r="E2102" s="79"/>
      <c r="F2102" s="80" t="str">
        <f>IF(A2102="","",SUMIF(EXTRATO!$A$2:$A$3000,$A2102,EXTRATO!$J$2:$J$3000)+SUMIF(EXTRATO!$A$2:$A$3000,$A2102,EXTRATO!$K$2:$K$3000)+SUMIF(EXTRATO!$A$2:$A$3000,$A2102,EXTRATO!$L$2:$L$3000)+SUMIF(EXTRATO!$A$2:$A$3000,$A2102,EXTRATO!$M$2:$M$3000))</f>
        <v/>
      </c>
      <c r="G2102" s="81" t="str">
        <f>IF(A2102="","",IF(INDEX(EXTRATO!$G$2:$G$3000,MATCH($A2102,EXTRATO!$A$2:$A$3000,0))="","",INDEX(EXTRATO!$G$2:$G$3000,MATCH($A2102,EXTRATO!$A$2:$A$3000,0))))</f>
        <v/>
      </c>
      <c r="H2102" s="86" t="str">
        <f>IF(A2102="","",IF(INDEX(EXTRATO!$F$2:$F$3000,MATCH($A2102,EXTRATO!$A$2:$A$3000,0))="","",INDEX(EXTRATO!$F$2:$F$3000,MATCH($A2102,EXTRATO!$A$2:$A$3000,0))))</f>
        <v/>
      </c>
      <c r="I2102" s="88" t="str">
        <f>IF(A2102="","",IF(INDEX(EXTRATO!$H$2:$H$3000,MATCH($A2102,EXTRATO!$A$2:$A$3000,0))="","",INDEX(EXTRATO!$H$2:$H$3000,MATCH($A2102,EXTRATO!$A$2:$A$3000,0))))</f>
        <v/>
      </c>
      <c r="J2102" s="86" t="str">
        <f t="shared" si="53"/>
        <v/>
      </c>
      <c r="K2102" s="86" t="str">
        <f>IF(AND(A2102="",D2102="",E2102="",F2102=""),"",IF(D2102="","SEM CATEGORIA",IF(E2102="","SEM SUBCATEGORIA",IF(COUNTIFS(CADASTROS!$L$7:$L$93,D2102,CADASTROS!$D$7:$D$93,E2102)=0,"INCOMPATÍVEL","OK"))))</f>
        <v/>
      </c>
    </row>
    <row r="2103" spans="1:11" ht="30" hidden="1" customHeight="1" x14ac:dyDescent="0.25">
      <c r="A2103" s="86" t="str">
        <f>IF(COUNTIF(EXTRATO!$A$2:$A$3000,"BAN-01960")=0,"","BAN-01960")</f>
        <v/>
      </c>
      <c r="B2103" s="85" t="str">
        <f>IF(A2103="","",IF(INDEX(EXTRATO!$C$2:$C$3000,MATCH($A2103,EXTRATO!$A$2:$A$3000,0))="","",INDEX(EXTRATO!$C$2:$C$3000,MATCH($A2103,EXTRATO!$A$2:$A$3000,0))))</f>
        <v/>
      </c>
      <c r="C2103" s="86" t="str">
        <f t="shared" si="52"/>
        <v/>
      </c>
      <c r="D2103" s="81"/>
      <c r="E2103" s="79"/>
      <c r="F2103" s="80" t="str">
        <f>IF(A2103="","",SUMIF(EXTRATO!$A$2:$A$3000,$A2103,EXTRATO!$J$2:$J$3000)+SUMIF(EXTRATO!$A$2:$A$3000,$A2103,EXTRATO!$K$2:$K$3000)+SUMIF(EXTRATO!$A$2:$A$3000,$A2103,EXTRATO!$L$2:$L$3000)+SUMIF(EXTRATO!$A$2:$A$3000,$A2103,EXTRATO!$M$2:$M$3000))</f>
        <v/>
      </c>
      <c r="G2103" s="81" t="str">
        <f>IF(A2103="","",IF(INDEX(EXTRATO!$G$2:$G$3000,MATCH($A2103,EXTRATO!$A$2:$A$3000,0))="","",INDEX(EXTRATO!$G$2:$G$3000,MATCH($A2103,EXTRATO!$A$2:$A$3000,0))))</f>
        <v/>
      </c>
      <c r="H2103" s="86" t="str">
        <f>IF(A2103="","",IF(INDEX(EXTRATO!$F$2:$F$3000,MATCH($A2103,EXTRATO!$A$2:$A$3000,0))="","",INDEX(EXTRATO!$F$2:$F$3000,MATCH($A2103,EXTRATO!$A$2:$A$3000,0))))</f>
        <v/>
      </c>
      <c r="I2103" s="88" t="str">
        <f>IF(A2103="","",IF(INDEX(EXTRATO!$H$2:$H$3000,MATCH($A2103,EXTRATO!$A$2:$A$3000,0))="","",INDEX(EXTRATO!$H$2:$H$3000,MATCH($A2103,EXTRATO!$A$2:$A$3000,0))))</f>
        <v/>
      </c>
      <c r="J2103" s="86" t="str">
        <f t="shared" si="53"/>
        <v/>
      </c>
      <c r="K2103" s="86" t="str">
        <f>IF(AND(A2103="",D2103="",E2103="",F2103=""),"",IF(D2103="","SEM CATEGORIA",IF(E2103="","SEM SUBCATEGORIA",IF(COUNTIFS(CADASTROS!$L$7:$L$93,D2103,CADASTROS!$D$7:$D$93,E2103)=0,"INCOMPATÍVEL","OK"))))</f>
        <v/>
      </c>
    </row>
    <row r="2104" spans="1:11" ht="30" hidden="1" customHeight="1" x14ac:dyDescent="0.25">
      <c r="A2104" s="86" t="str">
        <f>IF(COUNTIF(EXTRATO!$A$2:$A$3000,"BAN-01961")=0,"","BAN-01961")</f>
        <v/>
      </c>
      <c r="B2104" s="85" t="str">
        <f>IF(A2104="","",IF(INDEX(EXTRATO!$C$2:$C$3000,MATCH($A2104,EXTRATO!$A$2:$A$3000,0))="","",INDEX(EXTRATO!$C$2:$C$3000,MATCH($A2104,EXTRATO!$A$2:$A$3000,0))))</f>
        <v/>
      </c>
      <c r="C2104" s="86" t="str">
        <f t="shared" si="52"/>
        <v/>
      </c>
      <c r="D2104" s="81"/>
      <c r="E2104" s="79"/>
      <c r="F2104" s="80" t="str">
        <f>IF(A2104="","",SUMIF(EXTRATO!$A$2:$A$3000,$A2104,EXTRATO!$J$2:$J$3000)+SUMIF(EXTRATO!$A$2:$A$3000,$A2104,EXTRATO!$K$2:$K$3000)+SUMIF(EXTRATO!$A$2:$A$3000,$A2104,EXTRATO!$L$2:$L$3000)+SUMIF(EXTRATO!$A$2:$A$3000,$A2104,EXTRATO!$M$2:$M$3000))</f>
        <v/>
      </c>
      <c r="G2104" s="81" t="str">
        <f>IF(A2104="","",IF(INDEX(EXTRATO!$G$2:$G$3000,MATCH($A2104,EXTRATO!$A$2:$A$3000,0))="","",INDEX(EXTRATO!$G$2:$G$3000,MATCH($A2104,EXTRATO!$A$2:$A$3000,0))))</f>
        <v/>
      </c>
      <c r="H2104" s="86" t="str">
        <f>IF(A2104="","",IF(INDEX(EXTRATO!$F$2:$F$3000,MATCH($A2104,EXTRATO!$A$2:$A$3000,0))="","",INDEX(EXTRATO!$F$2:$F$3000,MATCH($A2104,EXTRATO!$A$2:$A$3000,0))))</f>
        <v/>
      </c>
      <c r="I2104" s="88" t="str">
        <f>IF(A2104="","",IF(INDEX(EXTRATO!$H$2:$H$3000,MATCH($A2104,EXTRATO!$A$2:$A$3000,0))="","",INDEX(EXTRATO!$H$2:$H$3000,MATCH($A2104,EXTRATO!$A$2:$A$3000,0))))</f>
        <v/>
      </c>
      <c r="J2104" s="86" t="str">
        <f t="shared" si="53"/>
        <v/>
      </c>
      <c r="K2104" s="86" t="str">
        <f>IF(AND(A2104="",D2104="",E2104="",F2104=""),"",IF(D2104="","SEM CATEGORIA",IF(E2104="","SEM SUBCATEGORIA",IF(COUNTIFS(CADASTROS!$L$7:$L$93,D2104,CADASTROS!$D$7:$D$93,E2104)=0,"INCOMPATÍVEL","OK"))))</f>
        <v/>
      </c>
    </row>
    <row r="2105" spans="1:11" ht="30" hidden="1" customHeight="1" x14ac:dyDescent="0.25">
      <c r="A2105" s="86" t="str">
        <f>IF(COUNTIF(EXTRATO!$A$2:$A$3000,"BAN-01962")=0,"","BAN-01962")</f>
        <v/>
      </c>
      <c r="B2105" s="85" t="str">
        <f>IF(A2105="","",IF(INDEX(EXTRATO!$C$2:$C$3000,MATCH($A2105,EXTRATO!$A$2:$A$3000,0))="","",INDEX(EXTRATO!$C$2:$C$3000,MATCH($A2105,EXTRATO!$A$2:$A$3000,0))))</f>
        <v/>
      </c>
      <c r="C2105" s="86" t="str">
        <f t="shared" si="52"/>
        <v/>
      </c>
      <c r="D2105" s="81"/>
      <c r="E2105" s="79"/>
      <c r="F2105" s="80" t="str">
        <f>IF(A2105="","",SUMIF(EXTRATO!$A$2:$A$3000,$A2105,EXTRATO!$J$2:$J$3000)+SUMIF(EXTRATO!$A$2:$A$3000,$A2105,EXTRATO!$K$2:$K$3000)+SUMIF(EXTRATO!$A$2:$A$3000,$A2105,EXTRATO!$L$2:$L$3000)+SUMIF(EXTRATO!$A$2:$A$3000,$A2105,EXTRATO!$M$2:$M$3000))</f>
        <v/>
      </c>
      <c r="G2105" s="81" t="str">
        <f>IF(A2105="","",IF(INDEX(EXTRATO!$G$2:$G$3000,MATCH($A2105,EXTRATO!$A$2:$A$3000,0))="","",INDEX(EXTRATO!$G$2:$G$3000,MATCH($A2105,EXTRATO!$A$2:$A$3000,0))))</f>
        <v/>
      </c>
      <c r="H2105" s="86" t="str">
        <f>IF(A2105="","",IF(INDEX(EXTRATO!$F$2:$F$3000,MATCH($A2105,EXTRATO!$A$2:$A$3000,0))="","",INDEX(EXTRATO!$F$2:$F$3000,MATCH($A2105,EXTRATO!$A$2:$A$3000,0))))</f>
        <v/>
      </c>
      <c r="I2105" s="88" t="str">
        <f>IF(A2105="","",IF(INDEX(EXTRATO!$H$2:$H$3000,MATCH($A2105,EXTRATO!$A$2:$A$3000,0))="","",INDEX(EXTRATO!$H$2:$H$3000,MATCH($A2105,EXTRATO!$A$2:$A$3000,0))))</f>
        <v/>
      </c>
      <c r="J2105" s="86" t="str">
        <f t="shared" si="53"/>
        <v/>
      </c>
      <c r="K2105" s="86" t="str">
        <f>IF(AND(A2105="",D2105="",E2105="",F2105=""),"",IF(D2105="","SEM CATEGORIA",IF(E2105="","SEM SUBCATEGORIA",IF(COUNTIFS(CADASTROS!$L$7:$L$93,D2105,CADASTROS!$D$7:$D$93,E2105)=0,"INCOMPATÍVEL","OK"))))</f>
        <v/>
      </c>
    </row>
    <row r="2106" spans="1:11" ht="30" hidden="1" customHeight="1" x14ac:dyDescent="0.25">
      <c r="A2106" s="86" t="str">
        <f>IF(COUNTIF(EXTRATO!$A$2:$A$3000,"BAN-01963")=0,"","BAN-01963")</f>
        <v/>
      </c>
      <c r="B2106" s="85" t="str">
        <f>IF(A2106="","",IF(INDEX(EXTRATO!$C$2:$C$3000,MATCH($A2106,EXTRATO!$A$2:$A$3000,0))="","",INDEX(EXTRATO!$C$2:$C$3000,MATCH($A2106,EXTRATO!$A$2:$A$3000,0))))</f>
        <v/>
      </c>
      <c r="C2106" s="86" t="str">
        <f t="shared" si="52"/>
        <v/>
      </c>
      <c r="D2106" s="81"/>
      <c r="E2106" s="79"/>
      <c r="F2106" s="80" t="str">
        <f>IF(A2106="","",SUMIF(EXTRATO!$A$2:$A$3000,$A2106,EXTRATO!$J$2:$J$3000)+SUMIF(EXTRATO!$A$2:$A$3000,$A2106,EXTRATO!$K$2:$K$3000)+SUMIF(EXTRATO!$A$2:$A$3000,$A2106,EXTRATO!$L$2:$L$3000)+SUMIF(EXTRATO!$A$2:$A$3000,$A2106,EXTRATO!$M$2:$M$3000))</f>
        <v/>
      </c>
      <c r="G2106" s="81" t="str">
        <f>IF(A2106="","",IF(INDEX(EXTRATO!$G$2:$G$3000,MATCH($A2106,EXTRATO!$A$2:$A$3000,0))="","",INDEX(EXTRATO!$G$2:$G$3000,MATCH($A2106,EXTRATO!$A$2:$A$3000,0))))</f>
        <v/>
      </c>
      <c r="H2106" s="86" t="str">
        <f>IF(A2106="","",IF(INDEX(EXTRATO!$F$2:$F$3000,MATCH($A2106,EXTRATO!$A$2:$A$3000,0))="","",INDEX(EXTRATO!$F$2:$F$3000,MATCH($A2106,EXTRATO!$A$2:$A$3000,0))))</f>
        <v/>
      </c>
      <c r="I2106" s="88" t="str">
        <f>IF(A2106="","",IF(INDEX(EXTRATO!$H$2:$H$3000,MATCH($A2106,EXTRATO!$A$2:$A$3000,0))="","",INDEX(EXTRATO!$H$2:$H$3000,MATCH($A2106,EXTRATO!$A$2:$A$3000,0))))</f>
        <v/>
      </c>
      <c r="J2106" s="86" t="str">
        <f t="shared" si="53"/>
        <v/>
      </c>
      <c r="K2106" s="86" t="str">
        <f>IF(AND(A2106="",D2106="",E2106="",F2106=""),"",IF(D2106="","SEM CATEGORIA",IF(E2106="","SEM SUBCATEGORIA",IF(COUNTIFS(CADASTROS!$L$7:$L$93,D2106,CADASTROS!$D$7:$D$93,E2106)=0,"INCOMPATÍVEL","OK"))))</f>
        <v/>
      </c>
    </row>
    <row r="2107" spans="1:11" ht="30" hidden="1" customHeight="1" x14ac:dyDescent="0.25">
      <c r="A2107" s="86" t="str">
        <f>IF(COUNTIF(EXTRATO!$A$2:$A$3000,"BAN-01964")=0,"","BAN-01964")</f>
        <v/>
      </c>
      <c r="B2107" s="85" t="str">
        <f>IF(A2107="","",IF(INDEX(EXTRATO!$C$2:$C$3000,MATCH($A2107,EXTRATO!$A$2:$A$3000,0))="","",INDEX(EXTRATO!$C$2:$C$3000,MATCH($A2107,EXTRATO!$A$2:$A$3000,0))))</f>
        <v/>
      </c>
      <c r="C2107" s="86" t="str">
        <f t="shared" si="52"/>
        <v/>
      </c>
      <c r="D2107" s="81"/>
      <c r="E2107" s="79"/>
      <c r="F2107" s="80" t="str">
        <f>IF(A2107="","",SUMIF(EXTRATO!$A$2:$A$3000,$A2107,EXTRATO!$J$2:$J$3000)+SUMIF(EXTRATO!$A$2:$A$3000,$A2107,EXTRATO!$K$2:$K$3000)+SUMIF(EXTRATO!$A$2:$A$3000,$A2107,EXTRATO!$L$2:$L$3000)+SUMIF(EXTRATO!$A$2:$A$3000,$A2107,EXTRATO!$M$2:$M$3000))</f>
        <v/>
      </c>
      <c r="G2107" s="81" t="str">
        <f>IF(A2107="","",IF(INDEX(EXTRATO!$G$2:$G$3000,MATCH($A2107,EXTRATO!$A$2:$A$3000,0))="","",INDEX(EXTRATO!$G$2:$G$3000,MATCH($A2107,EXTRATO!$A$2:$A$3000,0))))</f>
        <v/>
      </c>
      <c r="H2107" s="86" t="str">
        <f>IF(A2107="","",IF(INDEX(EXTRATO!$F$2:$F$3000,MATCH($A2107,EXTRATO!$A$2:$A$3000,0))="","",INDEX(EXTRATO!$F$2:$F$3000,MATCH($A2107,EXTRATO!$A$2:$A$3000,0))))</f>
        <v/>
      </c>
      <c r="I2107" s="88" t="str">
        <f>IF(A2107="","",IF(INDEX(EXTRATO!$H$2:$H$3000,MATCH($A2107,EXTRATO!$A$2:$A$3000,0))="","",INDEX(EXTRATO!$H$2:$H$3000,MATCH($A2107,EXTRATO!$A$2:$A$3000,0))))</f>
        <v/>
      </c>
      <c r="J2107" s="86" t="str">
        <f t="shared" si="53"/>
        <v/>
      </c>
      <c r="K2107" s="86" t="str">
        <f>IF(AND(A2107="",D2107="",E2107="",F2107=""),"",IF(D2107="","SEM CATEGORIA",IF(E2107="","SEM SUBCATEGORIA",IF(COUNTIFS(CADASTROS!$L$7:$L$93,D2107,CADASTROS!$D$7:$D$93,E2107)=0,"INCOMPATÍVEL","OK"))))</f>
        <v/>
      </c>
    </row>
    <row r="2108" spans="1:11" ht="30" hidden="1" customHeight="1" x14ac:dyDescent="0.25">
      <c r="A2108" s="86" t="str">
        <f>IF(COUNTIF(EXTRATO!$A$2:$A$3000,"BAN-01965")=0,"","BAN-01965")</f>
        <v/>
      </c>
      <c r="B2108" s="85" t="str">
        <f>IF(A2108="","",IF(INDEX(EXTRATO!$C$2:$C$3000,MATCH($A2108,EXTRATO!$A$2:$A$3000,0))="","",INDEX(EXTRATO!$C$2:$C$3000,MATCH($A2108,EXTRATO!$A$2:$A$3000,0))))</f>
        <v/>
      </c>
      <c r="C2108" s="86" t="str">
        <f t="shared" si="52"/>
        <v/>
      </c>
      <c r="D2108" s="81"/>
      <c r="E2108" s="79"/>
      <c r="F2108" s="80" t="str">
        <f>IF(A2108="","",SUMIF(EXTRATO!$A$2:$A$3000,$A2108,EXTRATO!$J$2:$J$3000)+SUMIF(EXTRATO!$A$2:$A$3000,$A2108,EXTRATO!$K$2:$K$3000)+SUMIF(EXTRATO!$A$2:$A$3000,$A2108,EXTRATO!$L$2:$L$3000)+SUMIF(EXTRATO!$A$2:$A$3000,$A2108,EXTRATO!$M$2:$M$3000))</f>
        <v/>
      </c>
      <c r="G2108" s="81" t="str">
        <f>IF(A2108="","",IF(INDEX(EXTRATO!$G$2:$G$3000,MATCH($A2108,EXTRATO!$A$2:$A$3000,0))="","",INDEX(EXTRATO!$G$2:$G$3000,MATCH($A2108,EXTRATO!$A$2:$A$3000,0))))</f>
        <v/>
      </c>
      <c r="H2108" s="86" t="str">
        <f>IF(A2108="","",IF(INDEX(EXTRATO!$F$2:$F$3000,MATCH($A2108,EXTRATO!$A$2:$A$3000,0))="","",INDEX(EXTRATO!$F$2:$F$3000,MATCH($A2108,EXTRATO!$A$2:$A$3000,0))))</f>
        <v/>
      </c>
      <c r="I2108" s="88" t="str">
        <f>IF(A2108="","",IF(INDEX(EXTRATO!$H$2:$H$3000,MATCH($A2108,EXTRATO!$A$2:$A$3000,0))="","",INDEX(EXTRATO!$H$2:$H$3000,MATCH($A2108,EXTRATO!$A$2:$A$3000,0))))</f>
        <v/>
      </c>
      <c r="J2108" s="86" t="str">
        <f t="shared" si="53"/>
        <v/>
      </c>
      <c r="K2108" s="86" t="str">
        <f>IF(AND(A2108="",D2108="",E2108="",F2108=""),"",IF(D2108="","SEM CATEGORIA",IF(E2108="","SEM SUBCATEGORIA",IF(COUNTIFS(CADASTROS!$L$7:$L$93,D2108,CADASTROS!$D$7:$D$93,E2108)=0,"INCOMPATÍVEL","OK"))))</f>
        <v/>
      </c>
    </row>
    <row r="2109" spans="1:11" ht="30" hidden="1" customHeight="1" x14ac:dyDescent="0.25">
      <c r="A2109" s="86" t="str">
        <f>IF(COUNTIF(EXTRATO!$A$2:$A$3000,"BAN-01966")=0,"","BAN-01966")</f>
        <v/>
      </c>
      <c r="B2109" s="85" t="str">
        <f>IF(A2109="","",IF(INDEX(EXTRATO!$C$2:$C$3000,MATCH($A2109,EXTRATO!$A$2:$A$3000,0))="","",INDEX(EXTRATO!$C$2:$C$3000,MATCH($A2109,EXTRATO!$A$2:$A$3000,0))))</f>
        <v/>
      </c>
      <c r="C2109" s="86" t="str">
        <f t="shared" si="52"/>
        <v/>
      </c>
      <c r="D2109" s="81"/>
      <c r="E2109" s="79"/>
      <c r="F2109" s="80" t="str">
        <f>IF(A2109="","",SUMIF(EXTRATO!$A$2:$A$3000,$A2109,EXTRATO!$J$2:$J$3000)+SUMIF(EXTRATO!$A$2:$A$3000,$A2109,EXTRATO!$K$2:$K$3000)+SUMIF(EXTRATO!$A$2:$A$3000,$A2109,EXTRATO!$L$2:$L$3000)+SUMIF(EXTRATO!$A$2:$A$3000,$A2109,EXTRATO!$M$2:$M$3000))</f>
        <v/>
      </c>
      <c r="G2109" s="81" t="str">
        <f>IF(A2109="","",IF(INDEX(EXTRATO!$G$2:$G$3000,MATCH($A2109,EXTRATO!$A$2:$A$3000,0))="","",INDEX(EXTRATO!$G$2:$G$3000,MATCH($A2109,EXTRATO!$A$2:$A$3000,0))))</f>
        <v/>
      </c>
      <c r="H2109" s="86" t="str">
        <f>IF(A2109="","",IF(INDEX(EXTRATO!$F$2:$F$3000,MATCH($A2109,EXTRATO!$A$2:$A$3000,0))="","",INDEX(EXTRATO!$F$2:$F$3000,MATCH($A2109,EXTRATO!$A$2:$A$3000,0))))</f>
        <v/>
      </c>
      <c r="I2109" s="88" t="str">
        <f>IF(A2109="","",IF(INDEX(EXTRATO!$H$2:$H$3000,MATCH($A2109,EXTRATO!$A$2:$A$3000,0))="","",INDEX(EXTRATO!$H$2:$H$3000,MATCH($A2109,EXTRATO!$A$2:$A$3000,0))))</f>
        <v/>
      </c>
      <c r="J2109" s="86" t="str">
        <f t="shared" si="53"/>
        <v/>
      </c>
      <c r="K2109" s="86" t="str">
        <f>IF(AND(A2109="",D2109="",E2109="",F2109=""),"",IF(D2109="","SEM CATEGORIA",IF(E2109="","SEM SUBCATEGORIA",IF(COUNTIFS(CADASTROS!$L$7:$L$93,D2109,CADASTROS!$D$7:$D$93,E2109)=0,"INCOMPATÍVEL","OK"))))</f>
        <v/>
      </c>
    </row>
    <row r="2110" spans="1:11" ht="30" hidden="1" customHeight="1" x14ac:dyDescent="0.25">
      <c r="A2110" s="86" t="str">
        <f>IF(COUNTIF(EXTRATO!$A$2:$A$3000,"BAN-01967")=0,"","BAN-01967")</f>
        <v/>
      </c>
      <c r="B2110" s="85" t="str">
        <f>IF(A2110="","",IF(INDEX(EXTRATO!$C$2:$C$3000,MATCH($A2110,EXTRATO!$A$2:$A$3000,0))="","",INDEX(EXTRATO!$C$2:$C$3000,MATCH($A2110,EXTRATO!$A$2:$A$3000,0))))</f>
        <v/>
      </c>
      <c r="C2110" s="86" t="str">
        <f t="shared" si="52"/>
        <v/>
      </c>
      <c r="D2110" s="81"/>
      <c r="E2110" s="79"/>
      <c r="F2110" s="80" t="str">
        <f>IF(A2110="","",SUMIF(EXTRATO!$A$2:$A$3000,$A2110,EXTRATO!$J$2:$J$3000)+SUMIF(EXTRATO!$A$2:$A$3000,$A2110,EXTRATO!$K$2:$K$3000)+SUMIF(EXTRATO!$A$2:$A$3000,$A2110,EXTRATO!$L$2:$L$3000)+SUMIF(EXTRATO!$A$2:$A$3000,$A2110,EXTRATO!$M$2:$M$3000))</f>
        <v/>
      </c>
      <c r="G2110" s="81" t="str">
        <f>IF(A2110="","",IF(INDEX(EXTRATO!$G$2:$G$3000,MATCH($A2110,EXTRATO!$A$2:$A$3000,0))="","",INDEX(EXTRATO!$G$2:$G$3000,MATCH($A2110,EXTRATO!$A$2:$A$3000,0))))</f>
        <v/>
      </c>
      <c r="H2110" s="86" t="str">
        <f>IF(A2110="","",IF(INDEX(EXTRATO!$F$2:$F$3000,MATCH($A2110,EXTRATO!$A$2:$A$3000,0))="","",INDEX(EXTRATO!$F$2:$F$3000,MATCH($A2110,EXTRATO!$A$2:$A$3000,0))))</f>
        <v/>
      </c>
      <c r="I2110" s="88" t="str">
        <f>IF(A2110="","",IF(INDEX(EXTRATO!$H$2:$H$3000,MATCH($A2110,EXTRATO!$A$2:$A$3000,0))="","",INDEX(EXTRATO!$H$2:$H$3000,MATCH($A2110,EXTRATO!$A$2:$A$3000,0))))</f>
        <v/>
      </c>
      <c r="J2110" s="86" t="str">
        <f t="shared" si="53"/>
        <v/>
      </c>
      <c r="K2110" s="86" t="str">
        <f>IF(AND(A2110="",D2110="",E2110="",F2110=""),"",IF(D2110="","SEM CATEGORIA",IF(E2110="","SEM SUBCATEGORIA",IF(COUNTIFS(CADASTROS!$L$7:$L$93,D2110,CADASTROS!$D$7:$D$93,E2110)=0,"INCOMPATÍVEL","OK"))))</f>
        <v/>
      </c>
    </row>
    <row r="2111" spans="1:11" ht="30" hidden="1" customHeight="1" x14ac:dyDescent="0.25">
      <c r="A2111" s="86" t="str">
        <f>IF(COUNTIF(EXTRATO!$A$2:$A$3000,"BAN-01968")=0,"","BAN-01968")</f>
        <v/>
      </c>
      <c r="B2111" s="85" t="str">
        <f>IF(A2111="","",IF(INDEX(EXTRATO!$C$2:$C$3000,MATCH($A2111,EXTRATO!$A$2:$A$3000,0))="","",INDEX(EXTRATO!$C$2:$C$3000,MATCH($A2111,EXTRATO!$A$2:$A$3000,0))))</f>
        <v/>
      </c>
      <c r="C2111" s="86" t="str">
        <f t="shared" si="52"/>
        <v/>
      </c>
      <c r="D2111" s="81"/>
      <c r="E2111" s="79"/>
      <c r="F2111" s="80" t="str">
        <f>IF(A2111="","",SUMIF(EXTRATO!$A$2:$A$3000,$A2111,EXTRATO!$J$2:$J$3000)+SUMIF(EXTRATO!$A$2:$A$3000,$A2111,EXTRATO!$K$2:$K$3000)+SUMIF(EXTRATO!$A$2:$A$3000,$A2111,EXTRATO!$L$2:$L$3000)+SUMIF(EXTRATO!$A$2:$A$3000,$A2111,EXTRATO!$M$2:$M$3000))</f>
        <v/>
      </c>
      <c r="G2111" s="81" t="str">
        <f>IF(A2111="","",IF(INDEX(EXTRATO!$G$2:$G$3000,MATCH($A2111,EXTRATO!$A$2:$A$3000,0))="","",INDEX(EXTRATO!$G$2:$G$3000,MATCH($A2111,EXTRATO!$A$2:$A$3000,0))))</f>
        <v/>
      </c>
      <c r="H2111" s="86" t="str">
        <f>IF(A2111="","",IF(INDEX(EXTRATO!$F$2:$F$3000,MATCH($A2111,EXTRATO!$A$2:$A$3000,0))="","",INDEX(EXTRATO!$F$2:$F$3000,MATCH($A2111,EXTRATO!$A$2:$A$3000,0))))</f>
        <v/>
      </c>
      <c r="I2111" s="88" t="str">
        <f>IF(A2111="","",IF(INDEX(EXTRATO!$H$2:$H$3000,MATCH($A2111,EXTRATO!$A$2:$A$3000,0))="","",INDEX(EXTRATO!$H$2:$H$3000,MATCH($A2111,EXTRATO!$A$2:$A$3000,0))))</f>
        <v/>
      </c>
      <c r="J2111" s="86" t="str">
        <f t="shared" si="53"/>
        <v/>
      </c>
      <c r="K2111" s="86" t="str">
        <f>IF(AND(A2111="",D2111="",E2111="",F2111=""),"",IF(D2111="","SEM CATEGORIA",IF(E2111="","SEM SUBCATEGORIA",IF(COUNTIFS(CADASTROS!$L$7:$L$93,D2111,CADASTROS!$D$7:$D$93,E2111)=0,"INCOMPATÍVEL","OK"))))</f>
        <v/>
      </c>
    </row>
    <row r="2112" spans="1:11" ht="30" hidden="1" customHeight="1" x14ac:dyDescent="0.25">
      <c r="A2112" s="86" t="str">
        <f>IF(COUNTIF(EXTRATO!$A$2:$A$3000,"BAN-01969")=0,"","BAN-01969")</f>
        <v/>
      </c>
      <c r="B2112" s="85" t="str">
        <f>IF(A2112="","",IF(INDEX(EXTRATO!$C$2:$C$3000,MATCH($A2112,EXTRATO!$A$2:$A$3000,0))="","",INDEX(EXTRATO!$C$2:$C$3000,MATCH($A2112,EXTRATO!$A$2:$A$3000,0))))</f>
        <v/>
      </c>
      <c r="C2112" s="86" t="str">
        <f t="shared" si="52"/>
        <v/>
      </c>
      <c r="D2112" s="81"/>
      <c r="E2112" s="79"/>
      <c r="F2112" s="80" t="str">
        <f>IF(A2112="","",SUMIF(EXTRATO!$A$2:$A$3000,$A2112,EXTRATO!$J$2:$J$3000)+SUMIF(EXTRATO!$A$2:$A$3000,$A2112,EXTRATO!$K$2:$K$3000)+SUMIF(EXTRATO!$A$2:$A$3000,$A2112,EXTRATO!$L$2:$L$3000)+SUMIF(EXTRATO!$A$2:$A$3000,$A2112,EXTRATO!$M$2:$M$3000))</f>
        <v/>
      </c>
      <c r="G2112" s="81" t="str">
        <f>IF(A2112="","",IF(INDEX(EXTRATO!$G$2:$G$3000,MATCH($A2112,EXTRATO!$A$2:$A$3000,0))="","",INDEX(EXTRATO!$G$2:$G$3000,MATCH($A2112,EXTRATO!$A$2:$A$3000,0))))</f>
        <v/>
      </c>
      <c r="H2112" s="86" t="str">
        <f>IF(A2112="","",IF(INDEX(EXTRATO!$F$2:$F$3000,MATCH($A2112,EXTRATO!$A$2:$A$3000,0))="","",INDEX(EXTRATO!$F$2:$F$3000,MATCH($A2112,EXTRATO!$A$2:$A$3000,0))))</f>
        <v/>
      </c>
      <c r="I2112" s="88" t="str">
        <f>IF(A2112="","",IF(INDEX(EXTRATO!$H$2:$H$3000,MATCH($A2112,EXTRATO!$A$2:$A$3000,0))="","",INDEX(EXTRATO!$H$2:$H$3000,MATCH($A2112,EXTRATO!$A$2:$A$3000,0))))</f>
        <v/>
      </c>
      <c r="J2112" s="86" t="str">
        <f t="shared" si="53"/>
        <v/>
      </c>
      <c r="K2112" s="86" t="str">
        <f>IF(AND(A2112="",D2112="",E2112="",F2112=""),"",IF(D2112="","SEM CATEGORIA",IF(E2112="","SEM SUBCATEGORIA",IF(COUNTIFS(CADASTROS!$L$7:$L$93,D2112,CADASTROS!$D$7:$D$93,E2112)=0,"INCOMPATÍVEL","OK"))))</f>
        <v/>
      </c>
    </row>
    <row r="2113" spans="1:11" ht="30" hidden="1" customHeight="1" x14ac:dyDescent="0.25">
      <c r="A2113" s="86" t="str">
        <f>IF(COUNTIF(EXTRATO!$A$2:$A$3000,"BAN-01970")=0,"","BAN-01970")</f>
        <v/>
      </c>
      <c r="B2113" s="85" t="str">
        <f>IF(A2113="","",IF(INDEX(EXTRATO!$C$2:$C$3000,MATCH($A2113,EXTRATO!$A$2:$A$3000,0))="","",INDEX(EXTRATO!$C$2:$C$3000,MATCH($A2113,EXTRATO!$A$2:$A$3000,0))))</f>
        <v/>
      </c>
      <c r="C2113" s="86" t="str">
        <f t="shared" si="52"/>
        <v/>
      </c>
      <c r="D2113" s="81"/>
      <c r="E2113" s="79"/>
      <c r="F2113" s="80" t="str">
        <f>IF(A2113="","",SUMIF(EXTRATO!$A$2:$A$3000,$A2113,EXTRATO!$J$2:$J$3000)+SUMIF(EXTRATO!$A$2:$A$3000,$A2113,EXTRATO!$K$2:$K$3000)+SUMIF(EXTRATO!$A$2:$A$3000,$A2113,EXTRATO!$L$2:$L$3000)+SUMIF(EXTRATO!$A$2:$A$3000,$A2113,EXTRATO!$M$2:$M$3000))</f>
        <v/>
      </c>
      <c r="G2113" s="81" t="str">
        <f>IF(A2113="","",IF(INDEX(EXTRATO!$G$2:$G$3000,MATCH($A2113,EXTRATO!$A$2:$A$3000,0))="","",INDEX(EXTRATO!$G$2:$G$3000,MATCH($A2113,EXTRATO!$A$2:$A$3000,0))))</f>
        <v/>
      </c>
      <c r="H2113" s="86" t="str">
        <f>IF(A2113="","",IF(INDEX(EXTRATO!$F$2:$F$3000,MATCH($A2113,EXTRATO!$A$2:$A$3000,0))="","",INDEX(EXTRATO!$F$2:$F$3000,MATCH($A2113,EXTRATO!$A$2:$A$3000,0))))</f>
        <v/>
      </c>
      <c r="I2113" s="88" t="str">
        <f>IF(A2113="","",IF(INDEX(EXTRATO!$H$2:$H$3000,MATCH($A2113,EXTRATO!$A$2:$A$3000,0))="","",INDEX(EXTRATO!$H$2:$H$3000,MATCH($A2113,EXTRATO!$A$2:$A$3000,0))))</f>
        <v/>
      </c>
      <c r="J2113" s="86" t="str">
        <f t="shared" si="53"/>
        <v/>
      </c>
      <c r="K2113" s="86" t="str">
        <f>IF(AND(A2113="",D2113="",E2113="",F2113=""),"",IF(D2113="","SEM CATEGORIA",IF(E2113="","SEM SUBCATEGORIA",IF(COUNTIFS(CADASTROS!$L$7:$L$93,D2113,CADASTROS!$D$7:$D$93,E2113)=0,"INCOMPATÍVEL","OK"))))</f>
        <v/>
      </c>
    </row>
    <row r="2114" spans="1:11" ht="30" hidden="1" customHeight="1" x14ac:dyDescent="0.25">
      <c r="A2114" s="86" t="str">
        <f>IF(COUNTIF(EXTRATO!$A$2:$A$3000,"BAN-01971")=0,"","BAN-01971")</f>
        <v/>
      </c>
      <c r="B2114" s="85" t="str">
        <f>IF(A2114="","",IF(INDEX(EXTRATO!$C$2:$C$3000,MATCH($A2114,EXTRATO!$A$2:$A$3000,0))="","",INDEX(EXTRATO!$C$2:$C$3000,MATCH($A2114,EXTRATO!$A$2:$A$3000,0))))</f>
        <v/>
      </c>
      <c r="C2114" s="86" t="str">
        <f t="shared" si="52"/>
        <v/>
      </c>
      <c r="D2114" s="81"/>
      <c r="E2114" s="79"/>
      <c r="F2114" s="80" t="str">
        <f>IF(A2114="","",SUMIF(EXTRATO!$A$2:$A$3000,$A2114,EXTRATO!$J$2:$J$3000)+SUMIF(EXTRATO!$A$2:$A$3000,$A2114,EXTRATO!$K$2:$K$3000)+SUMIF(EXTRATO!$A$2:$A$3000,$A2114,EXTRATO!$L$2:$L$3000)+SUMIF(EXTRATO!$A$2:$A$3000,$A2114,EXTRATO!$M$2:$M$3000))</f>
        <v/>
      </c>
      <c r="G2114" s="81" t="str">
        <f>IF(A2114="","",IF(INDEX(EXTRATO!$G$2:$G$3000,MATCH($A2114,EXTRATO!$A$2:$A$3000,0))="","",INDEX(EXTRATO!$G$2:$G$3000,MATCH($A2114,EXTRATO!$A$2:$A$3000,0))))</f>
        <v/>
      </c>
      <c r="H2114" s="86" t="str">
        <f>IF(A2114="","",IF(INDEX(EXTRATO!$F$2:$F$3000,MATCH($A2114,EXTRATO!$A$2:$A$3000,0))="","",INDEX(EXTRATO!$F$2:$F$3000,MATCH($A2114,EXTRATO!$A$2:$A$3000,0))))</f>
        <v/>
      </c>
      <c r="I2114" s="88" t="str">
        <f>IF(A2114="","",IF(INDEX(EXTRATO!$H$2:$H$3000,MATCH($A2114,EXTRATO!$A$2:$A$3000,0))="","",INDEX(EXTRATO!$H$2:$H$3000,MATCH($A2114,EXTRATO!$A$2:$A$3000,0))))</f>
        <v/>
      </c>
      <c r="J2114" s="86" t="str">
        <f t="shared" si="53"/>
        <v/>
      </c>
      <c r="K2114" s="86" t="str">
        <f>IF(AND(A2114="",D2114="",E2114="",F2114=""),"",IF(D2114="","SEM CATEGORIA",IF(E2114="","SEM SUBCATEGORIA",IF(COUNTIFS(CADASTROS!$L$7:$L$93,D2114,CADASTROS!$D$7:$D$93,E2114)=0,"INCOMPATÍVEL","OK"))))</f>
        <v/>
      </c>
    </row>
    <row r="2115" spans="1:11" ht="30" hidden="1" customHeight="1" x14ac:dyDescent="0.25">
      <c r="A2115" s="86" t="str">
        <f>IF(COUNTIF(EXTRATO!$A$2:$A$3000,"BAN-01972")=0,"","BAN-01972")</f>
        <v/>
      </c>
      <c r="B2115" s="85" t="str">
        <f>IF(A2115="","",IF(INDEX(EXTRATO!$C$2:$C$3000,MATCH($A2115,EXTRATO!$A$2:$A$3000,0))="","",INDEX(EXTRATO!$C$2:$C$3000,MATCH($A2115,EXTRATO!$A$2:$A$3000,0))))</f>
        <v/>
      </c>
      <c r="C2115" s="86" t="str">
        <f t="shared" si="52"/>
        <v/>
      </c>
      <c r="D2115" s="81"/>
      <c r="E2115" s="79"/>
      <c r="F2115" s="80" t="str">
        <f>IF(A2115="","",SUMIF(EXTRATO!$A$2:$A$3000,$A2115,EXTRATO!$J$2:$J$3000)+SUMIF(EXTRATO!$A$2:$A$3000,$A2115,EXTRATO!$K$2:$K$3000)+SUMIF(EXTRATO!$A$2:$A$3000,$A2115,EXTRATO!$L$2:$L$3000)+SUMIF(EXTRATO!$A$2:$A$3000,$A2115,EXTRATO!$M$2:$M$3000))</f>
        <v/>
      </c>
      <c r="G2115" s="81" t="str">
        <f>IF(A2115="","",IF(INDEX(EXTRATO!$G$2:$G$3000,MATCH($A2115,EXTRATO!$A$2:$A$3000,0))="","",INDEX(EXTRATO!$G$2:$G$3000,MATCH($A2115,EXTRATO!$A$2:$A$3000,0))))</f>
        <v/>
      </c>
      <c r="H2115" s="86" t="str">
        <f>IF(A2115="","",IF(INDEX(EXTRATO!$F$2:$F$3000,MATCH($A2115,EXTRATO!$A$2:$A$3000,0))="","",INDEX(EXTRATO!$F$2:$F$3000,MATCH($A2115,EXTRATO!$A$2:$A$3000,0))))</f>
        <v/>
      </c>
      <c r="I2115" s="88" t="str">
        <f>IF(A2115="","",IF(INDEX(EXTRATO!$H$2:$H$3000,MATCH($A2115,EXTRATO!$A$2:$A$3000,0))="","",INDEX(EXTRATO!$H$2:$H$3000,MATCH($A2115,EXTRATO!$A$2:$A$3000,0))))</f>
        <v/>
      </c>
      <c r="J2115" s="86" t="str">
        <f t="shared" si="53"/>
        <v/>
      </c>
      <c r="K2115" s="86" t="str">
        <f>IF(AND(A2115="",D2115="",E2115="",F2115=""),"",IF(D2115="","SEM CATEGORIA",IF(E2115="","SEM SUBCATEGORIA",IF(COUNTIFS(CADASTROS!$L$7:$L$93,D2115,CADASTROS!$D$7:$D$93,E2115)=0,"INCOMPATÍVEL","OK"))))</f>
        <v/>
      </c>
    </row>
    <row r="2116" spans="1:11" ht="30" hidden="1" customHeight="1" x14ac:dyDescent="0.25">
      <c r="A2116" s="86" t="str">
        <f>IF(COUNTIF(EXTRATO!$A$2:$A$3000,"BAN-01973")=0,"","BAN-01973")</f>
        <v/>
      </c>
      <c r="B2116" s="85" t="str">
        <f>IF(A2116="","",IF(INDEX(EXTRATO!$C$2:$C$3000,MATCH($A2116,EXTRATO!$A$2:$A$3000,0))="","",INDEX(EXTRATO!$C$2:$C$3000,MATCH($A2116,EXTRATO!$A$2:$A$3000,0))))</f>
        <v/>
      </c>
      <c r="C2116" s="86" t="str">
        <f t="shared" si="52"/>
        <v/>
      </c>
      <c r="D2116" s="81"/>
      <c r="E2116" s="79"/>
      <c r="F2116" s="80" t="str">
        <f>IF(A2116="","",SUMIF(EXTRATO!$A$2:$A$3000,$A2116,EXTRATO!$J$2:$J$3000)+SUMIF(EXTRATO!$A$2:$A$3000,$A2116,EXTRATO!$K$2:$K$3000)+SUMIF(EXTRATO!$A$2:$A$3000,$A2116,EXTRATO!$L$2:$L$3000)+SUMIF(EXTRATO!$A$2:$A$3000,$A2116,EXTRATO!$M$2:$M$3000))</f>
        <v/>
      </c>
      <c r="G2116" s="81" t="str">
        <f>IF(A2116="","",IF(INDEX(EXTRATO!$G$2:$G$3000,MATCH($A2116,EXTRATO!$A$2:$A$3000,0))="","",INDEX(EXTRATO!$G$2:$G$3000,MATCH($A2116,EXTRATO!$A$2:$A$3000,0))))</f>
        <v/>
      </c>
      <c r="H2116" s="86" t="str">
        <f>IF(A2116="","",IF(INDEX(EXTRATO!$F$2:$F$3000,MATCH($A2116,EXTRATO!$A$2:$A$3000,0))="","",INDEX(EXTRATO!$F$2:$F$3000,MATCH($A2116,EXTRATO!$A$2:$A$3000,0))))</f>
        <v/>
      </c>
      <c r="I2116" s="88" t="str">
        <f>IF(A2116="","",IF(INDEX(EXTRATO!$H$2:$H$3000,MATCH($A2116,EXTRATO!$A$2:$A$3000,0))="","",INDEX(EXTRATO!$H$2:$H$3000,MATCH($A2116,EXTRATO!$A$2:$A$3000,0))))</f>
        <v/>
      </c>
      <c r="J2116" s="86" t="str">
        <f t="shared" si="53"/>
        <v/>
      </c>
      <c r="K2116" s="86" t="str">
        <f>IF(AND(A2116="",D2116="",E2116="",F2116=""),"",IF(D2116="","SEM CATEGORIA",IF(E2116="","SEM SUBCATEGORIA",IF(COUNTIFS(CADASTROS!$L$7:$L$93,D2116,CADASTROS!$D$7:$D$93,E2116)=0,"INCOMPATÍVEL","OK"))))</f>
        <v/>
      </c>
    </row>
    <row r="2117" spans="1:11" ht="30" hidden="1" customHeight="1" x14ac:dyDescent="0.25">
      <c r="A2117" s="86" t="str">
        <f>IF(COUNTIF(EXTRATO!$A$2:$A$3000,"BAN-01974")=0,"","BAN-01974")</f>
        <v/>
      </c>
      <c r="B2117" s="85" t="str">
        <f>IF(A2117="","",IF(INDEX(EXTRATO!$C$2:$C$3000,MATCH($A2117,EXTRATO!$A$2:$A$3000,0))="","",INDEX(EXTRATO!$C$2:$C$3000,MATCH($A2117,EXTRATO!$A$2:$A$3000,0))))</f>
        <v/>
      </c>
      <c r="C2117" s="86" t="str">
        <f t="shared" si="52"/>
        <v/>
      </c>
      <c r="D2117" s="81"/>
      <c r="E2117" s="79"/>
      <c r="F2117" s="80" t="str">
        <f>IF(A2117="","",SUMIF(EXTRATO!$A$2:$A$3000,$A2117,EXTRATO!$J$2:$J$3000)+SUMIF(EXTRATO!$A$2:$A$3000,$A2117,EXTRATO!$K$2:$K$3000)+SUMIF(EXTRATO!$A$2:$A$3000,$A2117,EXTRATO!$L$2:$L$3000)+SUMIF(EXTRATO!$A$2:$A$3000,$A2117,EXTRATO!$M$2:$M$3000))</f>
        <v/>
      </c>
      <c r="G2117" s="81" t="str">
        <f>IF(A2117="","",IF(INDEX(EXTRATO!$G$2:$G$3000,MATCH($A2117,EXTRATO!$A$2:$A$3000,0))="","",INDEX(EXTRATO!$G$2:$G$3000,MATCH($A2117,EXTRATO!$A$2:$A$3000,0))))</f>
        <v/>
      </c>
      <c r="H2117" s="86" t="str">
        <f>IF(A2117="","",IF(INDEX(EXTRATO!$F$2:$F$3000,MATCH($A2117,EXTRATO!$A$2:$A$3000,0))="","",INDEX(EXTRATO!$F$2:$F$3000,MATCH($A2117,EXTRATO!$A$2:$A$3000,0))))</f>
        <v/>
      </c>
      <c r="I2117" s="88" t="str">
        <f>IF(A2117="","",IF(INDEX(EXTRATO!$H$2:$H$3000,MATCH($A2117,EXTRATO!$A$2:$A$3000,0))="","",INDEX(EXTRATO!$H$2:$H$3000,MATCH($A2117,EXTRATO!$A$2:$A$3000,0))))</f>
        <v/>
      </c>
      <c r="J2117" s="86" t="str">
        <f t="shared" si="53"/>
        <v/>
      </c>
      <c r="K2117" s="86" t="str">
        <f>IF(AND(A2117="",D2117="",E2117="",F2117=""),"",IF(D2117="","SEM CATEGORIA",IF(E2117="","SEM SUBCATEGORIA",IF(COUNTIFS(CADASTROS!$L$7:$L$93,D2117,CADASTROS!$D$7:$D$93,E2117)=0,"INCOMPATÍVEL","OK"))))</f>
        <v/>
      </c>
    </row>
    <row r="2118" spans="1:11" ht="30" hidden="1" customHeight="1" x14ac:dyDescent="0.25">
      <c r="A2118" s="86" t="str">
        <f>IF(COUNTIF(EXTRATO!$A$2:$A$3000,"BAN-01975")=0,"","BAN-01975")</f>
        <v/>
      </c>
      <c r="B2118" s="85" t="str">
        <f>IF(A2118="","",IF(INDEX(EXTRATO!$C$2:$C$3000,MATCH($A2118,EXTRATO!$A$2:$A$3000,0))="","",INDEX(EXTRATO!$C$2:$C$3000,MATCH($A2118,EXTRATO!$A$2:$A$3000,0))))</f>
        <v/>
      </c>
      <c r="C2118" s="86" t="str">
        <f t="shared" si="52"/>
        <v/>
      </c>
      <c r="D2118" s="81"/>
      <c r="E2118" s="79"/>
      <c r="F2118" s="80" t="str">
        <f>IF(A2118="","",SUMIF(EXTRATO!$A$2:$A$3000,$A2118,EXTRATO!$J$2:$J$3000)+SUMIF(EXTRATO!$A$2:$A$3000,$A2118,EXTRATO!$K$2:$K$3000)+SUMIF(EXTRATO!$A$2:$A$3000,$A2118,EXTRATO!$L$2:$L$3000)+SUMIF(EXTRATO!$A$2:$A$3000,$A2118,EXTRATO!$M$2:$M$3000))</f>
        <v/>
      </c>
      <c r="G2118" s="81" t="str">
        <f>IF(A2118="","",IF(INDEX(EXTRATO!$G$2:$G$3000,MATCH($A2118,EXTRATO!$A$2:$A$3000,0))="","",INDEX(EXTRATO!$G$2:$G$3000,MATCH($A2118,EXTRATO!$A$2:$A$3000,0))))</f>
        <v/>
      </c>
      <c r="H2118" s="86" t="str">
        <f>IF(A2118="","",IF(INDEX(EXTRATO!$F$2:$F$3000,MATCH($A2118,EXTRATO!$A$2:$A$3000,0))="","",INDEX(EXTRATO!$F$2:$F$3000,MATCH($A2118,EXTRATO!$A$2:$A$3000,0))))</f>
        <v/>
      </c>
      <c r="I2118" s="88" t="str">
        <f>IF(A2118="","",IF(INDEX(EXTRATO!$H$2:$H$3000,MATCH($A2118,EXTRATO!$A$2:$A$3000,0))="","",INDEX(EXTRATO!$H$2:$H$3000,MATCH($A2118,EXTRATO!$A$2:$A$3000,0))))</f>
        <v/>
      </c>
      <c r="J2118" s="86" t="str">
        <f t="shared" si="53"/>
        <v/>
      </c>
      <c r="K2118" s="86" t="str">
        <f>IF(AND(A2118="",D2118="",E2118="",F2118=""),"",IF(D2118="","SEM CATEGORIA",IF(E2118="","SEM SUBCATEGORIA",IF(COUNTIFS(CADASTROS!$L$7:$L$93,D2118,CADASTROS!$D$7:$D$93,E2118)=0,"INCOMPATÍVEL","OK"))))</f>
        <v/>
      </c>
    </row>
    <row r="2119" spans="1:11" ht="30" hidden="1" customHeight="1" x14ac:dyDescent="0.25">
      <c r="A2119" s="86" t="str">
        <f>IF(COUNTIF(EXTRATO!$A$2:$A$3000,"BAN-01976")=0,"","BAN-01976")</f>
        <v/>
      </c>
      <c r="B2119" s="85" t="str">
        <f>IF(A2119="","",IF(INDEX(EXTRATO!$C$2:$C$3000,MATCH($A2119,EXTRATO!$A$2:$A$3000,0))="","",INDEX(EXTRATO!$C$2:$C$3000,MATCH($A2119,EXTRATO!$A$2:$A$3000,0))))</f>
        <v/>
      </c>
      <c r="C2119" s="86" t="str">
        <f t="shared" si="52"/>
        <v/>
      </c>
      <c r="D2119" s="81"/>
      <c r="E2119" s="79"/>
      <c r="F2119" s="80" t="str">
        <f>IF(A2119="","",SUMIF(EXTRATO!$A$2:$A$3000,$A2119,EXTRATO!$J$2:$J$3000)+SUMIF(EXTRATO!$A$2:$A$3000,$A2119,EXTRATO!$K$2:$K$3000)+SUMIF(EXTRATO!$A$2:$A$3000,$A2119,EXTRATO!$L$2:$L$3000)+SUMIF(EXTRATO!$A$2:$A$3000,$A2119,EXTRATO!$M$2:$M$3000))</f>
        <v/>
      </c>
      <c r="G2119" s="81" t="str">
        <f>IF(A2119="","",IF(INDEX(EXTRATO!$G$2:$G$3000,MATCH($A2119,EXTRATO!$A$2:$A$3000,0))="","",INDEX(EXTRATO!$G$2:$G$3000,MATCH($A2119,EXTRATO!$A$2:$A$3000,0))))</f>
        <v/>
      </c>
      <c r="H2119" s="86" t="str">
        <f>IF(A2119="","",IF(INDEX(EXTRATO!$F$2:$F$3000,MATCH($A2119,EXTRATO!$A$2:$A$3000,0))="","",INDEX(EXTRATO!$F$2:$F$3000,MATCH($A2119,EXTRATO!$A$2:$A$3000,0))))</f>
        <v/>
      </c>
      <c r="I2119" s="88" t="str">
        <f>IF(A2119="","",IF(INDEX(EXTRATO!$H$2:$H$3000,MATCH($A2119,EXTRATO!$A$2:$A$3000,0))="","",INDEX(EXTRATO!$H$2:$H$3000,MATCH($A2119,EXTRATO!$A$2:$A$3000,0))))</f>
        <v/>
      </c>
      <c r="J2119" s="86" t="str">
        <f t="shared" si="53"/>
        <v/>
      </c>
      <c r="K2119" s="86" t="str">
        <f>IF(AND(A2119="",D2119="",E2119="",F2119=""),"",IF(D2119="","SEM CATEGORIA",IF(E2119="","SEM SUBCATEGORIA",IF(COUNTIFS(CADASTROS!$L$7:$L$93,D2119,CADASTROS!$D$7:$D$93,E2119)=0,"INCOMPATÍVEL","OK"))))</f>
        <v/>
      </c>
    </row>
    <row r="2120" spans="1:11" ht="30" hidden="1" customHeight="1" x14ac:dyDescent="0.25">
      <c r="A2120" s="86" t="str">
        <f>IF(COUNTIF(EXTRATO!$A$2:$A$3000,"BAN-01977")=0,"","BAN-01977")</f>
        <v/>
      </c>
      <c r="B2120" s="85" t="str">
        <f>IF(A2120="","",IF(INDEX(EXTRATO!$C$2:$C$3000,MATCH($A2120,EXTRATO!$A$2:$A$3000,0))="","",INDEX(EXTRATO!$C$2:$C$3000,MATCH($A2120,EXTRATO!$A$2:$A$3000,0))))</f>
        <v/>
      </c>
      <c r="C2120" s="86" t="str">
        <f t="shared" si="52"/>
        <v/>
      </c>
      <c r="D2120" s="81"/>
      <c r="E2120" s="79"/>
      <c r="F2120" s="80" t="str">
        <f>IF(A2120="","",SUMIF(EXTRATO!$A$2:$A$3000,$A2120,EXTRATO!$J$2:$J$3000)+SUMIF(EXTRATO!$A$2:$A$3000,$A2120,EXTRATO!$K$2:$K$3000)+SUMIF(EXTRATO!$A$2:$A$3000,$A2120,EXTRATO!$L$2:$L$3000)+SUMIF(EXTRATO!$A$2:$A$3000,$A2120,EXTRATO!$M$2:$M$3000))</f>
        <v/>
      </c>
      <c r="G2120" s="81" t="str">
        <f>IF(A2120="","",IF(INDEX(EXTRATO!$G$2:$G$3000,MATCH($A2120,EXTRATO!$A$2:$A$3000,0))="","",INDEX(EXTRATO!$G$2:$G$3000,MATCH($A2120,EXTRATO!$A$2:$A$3000,0))))</f>
        <v/>
      </c>
      <c r="H2120" s="86" t="str">
        <f>IF(A2120="","",IF(INDEX(EXTRATO!$F$2:$F$3000,MATCH($A2120,EXTRATO!$A$2:$A$3000,0))="","",INDEX(EXTRATO!$F$2:$F$3000,MATCH($A2120,EXTRATO!$A$2:$A$3000,0))))</f>
        <v/>
      </c>
      <c r="I2120" s="88" t="str">
        <f>IF(A2120="","",IF(INDEX(EXTRATO!$H$2:$H$3000,MATCH($A2120,EXTRATO!$A$2:$A$3000,0))="","",INDEX(EXTRATO!$H$2:$H$3000,MATCH($A2120,EXTRATO!$A$2:$A$3000,0))))</f>
        <v/>
      </c>
      <c r="J2120" s="86" t="str">
        <f t="shared" si="53"/>
        <v/>
      </c>
      <c r="K2120" s="86" t="str">
        <f>IF(AND(A2120="",D2120="",E2120="",F2120=""),"",IF(D2120="","SEM CATEGORIA",IF(E2120="","SEM SUBCATEGORIA",IF(COUNTIFS(CADASTROS!$L$7:$L$93,D2120,CADASTROS!$D$7:$D$93,E2120)=0,"INCOMPATÍVEL","OK"))))</f>
        <v/>
      </c>
    </row>
    <row r="2121" spans="1:11" ht="30" hidden="1" customHeight="1" x14ac:dyDescent="0.25">
      <c r="A2121" s="86" t="str">
        <f>IF(COUNTIF(EXTRATO!$A$2:$A$3000,"BAN-01978")=0,"","BAN-01978")</f>
        <v/>
      </c>
      <c r="B2121" s="85" t="str">
        <f>IF(A2121="","",IF(INDEX(EXTRATO!$C$2:$C$3000,MATCH($A2121,EXTRATO!$A$2:$A$3000,0))="","",INDEX(EXTRATO!$C$2:$C$3000,MATCH($A2121,EXTRATO!$A$2:$A$3000,0))))</f>
        <v/>
      </c>
      <c r="C2121" s="86" t="str">
        <f t="shared" si="52"/>
        <v/>
      </c>
      <c r="D2121" s="81"/>
      <c r="E2121" s="79"/>
      <c r="F2121" s="80" t="str">
        <f>IF(A2121="","",SUMIF(EXTRATO!$A$2:$A$3000,$A2121,EXTRATO!$J$2:$J$3000)+SUMIF(EXTRATO!$A$2:$A$3000,$A2121,EXTRATO!$K$2:$K$3000)+SUMIF(EXTRATO!$A$2:$A$3000,$A2121,EXTRATO!$L$2:$L$3000)+SUMIF(EXTRATO!$A$2:$A$3000,$A2121,EXTRATO!$M$2:$M$3000))</f>
        <v/>
      </c>
      <c r="G2121" s="81" t="str">
        <f>IF(A2121="","",IF(INDEX(EXTRATO!$G$2:$G$3000,MATCH($A2121,EXTRATO!$A$2:$A$3000,0))="","",INDEX(EXTRATO!$G$2:$G$3000,MATCH($A2121,EXTRATO!$A$2:$A$3000,0))))</f>
        <v/>
      </c>
      <c r="H2121" s="86" t="str">
        <f>IF(A2121="","",IF(INDEX(EXTRATO!$F$2:$F$3000,MATCH($A2121,EXTRATO!$A$2:$A$3000,0))="","",INDEX(EXTRATO!$F$2:$F$3000,MATCH($A2121,EXTRATO!$A$2:$A$3000,0))))</f>
        <v/>
      </c>
      <c r="I2121" s="88" t="str">
        <f>IF(A2121="","",IF(INDEX(EXTRATO!$H$2:$H$3000,MATCH($A2121,EXTRATO!$A$2:$A$3000,0))="","",INDEX(EXTRATO!$H$2:$H$3000,MATCH($A2121,EXTRATO!$A$2:$A$3000,0))))</f>
        <v/>
      </c>
      <c r="J2121" s="86" t="str">
        <f t="shared" si="53"/>
        <v/>
      </c>
      <c r="K2121" s="86" t="str">
        <f>IF(AND(A2121="",D2121="",E2121="",F2121=""),"",IF(D2121="","SEM CATEGORIA",IF(E2121="","SEM SUBCATEGORIA",IF(COUNTIFS(CADASTROS!$L$7:$L$93,D2121,CADASTROS!$D$7:$D$93,E2121)=0,"INCOMPATÍVEL","OK"))))</f>
        <v/>
      </c>
    </row>
    <row r="2122" spans="1:11" ht="30" hidden="1" customHeight="1" x14ac:dyDescent="0.25">
      <c r="A2122" s="86" t="str">
        <f>IF(COUNTIF(EXTRATO!$A$2:$A$3000,"BAN-01979")=0,"","BAN-01979")</f>
        <v/>
      </c>
      <c r="B2122" s="85" t="str">
        <f>IF(A2122="","",IF(INDEX(EXTRATO!$C$2:$C$3000,MATCH($A2122,EXTRATO!$A$2:$A$3000,0))="","",INDEX(EXTRATO!$C$2:$C$3000,MATCH($A2122,EXTRATO!$A$2:$A$3000,0))))</f>
        <v/>
      </c>
      <c r="C2122" s="86" t="str">
        <f t="shared" si="52"/>
        <v/>
      </c>
      <c r="D2122" s="81"/>
      <c r="E2122" s="79"/>
      <c r="F2122" s="80" t="str">
        <f>IF(A2122="","",SUMIF(EXTRATO!$A$2:$A$3000,$A2122,EXTRATO!$J$2:$J$3000)+SUMIF(EXTRATO!$A$2:$A$3000,$A2122,EXTRATO!$K$2:$K$3000)+SUMIF(EXTRATO!$A$2:$A$3000,$A2122,EXTRATO!$L$2:$L$3000)+SUMIF(EXTRATO!$A$2:$A$3000,$A2122,EXTRATO!$M$2:$M$3000))</f>
        <v/>
      </c>
      <c r="G2122" s="81" t="str">
        <f>IF(A2122="","",IF(INDEX(EXTRATO!$G$2:$G$3000,MATCH($A2122,EXTRATO!$A$2:$A$3000,0))="","",INDEX(EXTRATO!$G$2:$G$3000,MATCH($A2122,EXTRATO!$A$2:$A$3000,0))))</f>
        <v/>
      </c>
      <c r="H2122" s="86" t="str">
        <f>IF(A2122="","",IF(INDEX(EXTRATO!$F$2:$F$3000,MATCH($A2122,EXTRATO!$A$2:$A$3000,0))="","",INDEX(EXTRATO!$F$2:$F$3000,MATCH($A2122,EXTRATO!$A$2:$A$3000,0))))</f>
        <v/>
      </c>
      <c r="I2122" s="88" t="str">
        <f>IF(A2122="","",IF(INDEX(EXTRATO!$H$2:$H$3000,MATCH($A2122,EXTRATO!$A$2:$A$3000,0))="","",INDEX(EXTRATO!$H$2:$H$3000,MATCH($A2122,EXTRATO!$A$2:$A$3000,0))))</f>
        <v/>
      </c>
      <c r="J2122" s="86" t="str">
        <f t="shared" si="53"/>
        <v/>
      </c>
      <c r="K2122" s="86" t="str">
        <f>IF(AND(A2122="",D2122="",E2122="",F2122=""),"",IF(D2122="","SEM CATEGORIA",IF(E2122="","SEM SUBCATEGORIA",IF(COUNTIFS(CADASTROS!$L$7:$L$93,D2122,CADASTROS!$D$7:$D$93,E2122)=0,"INCOMPATÍVEL","OK"))))</f>
        <v/>
      </c>
    </row>
    <row r="2123" spans="1:11" ht="30" hidden="1" customHeight="1" x14ac:dyDescent="0.25">
      <c r="A2123" s="86" t="str">
        <f>IF(COUNTIF(EXTRATO!$A$2:$A$3000,"BAN-01980")=0,"","BAN-01980")</f>
        <v/>
      </c>
      <c r="B2123" s="85" t="str">
        <f>IF(A2123="","",IF(INDEX(EXTRATO!$C$2:$C$3000,MATCH($A2123,EXTRATO!$A$2:$A$3000,0))="","",INDEX(EXTRATO!$C$2:$C$3000,MATCH($A2123,EXTRATO!$A$2:$A$3000,0))))</f>
        <v/>
      </c>
      <c r="C2123" s="86" t="str">
        <f t="shared" si="52"/>
        <v/>
      </c>
      <c r="D2123" s="81"/>
      <c r="E2123" s="79"/>
      <c r="F2123" s="80" t="str">
        <f>IF(A2123="","",SUMIF(EXTRATO!$A$2:$A$3000,$A2123,EXTRATO!$J$2:$J$3000)+SUMIF(EXTRATO!$A$2:$A$3000,$A2123,EXTRATO!$K$2:$K$3000)+SUMIF(EXTRATO!$A$2:$A$3000,$A2123,EXTRATO!$L$2:$L$3000)+SUMIF(EXTRATO!$A$2:$A$3000,$A2123,EXTRATO!$M$2:$M$3000))</f>
        <v/>
      </c>
      <c r="G2123" s="81" t="str">
        <f>IF(A2123="","",IF(INDEX(EXTRATO!$G$2:$G$3000,MATCH($A2123,EXTRATO!$A$2:$A$3000,0))="","",INDEX(EXTRATO!$G$2:$G$3000,MATCH($A2123,EXTRATO!$A$2:$A$3000,0))))</f>
        <v/>
      </c>
      <c r="H2123" s="86" t="str">
        <f>IF(A2123="","",IF(INDEX(EXTRATO!$F$2:$F$3000,MATCH($A2123,EXTRATO!$A$2:$A$3000,0))="","",INDEX(EXTRATO!$F$2:$F$3000,MATCH($A2123,EXTRATO!$A$2:$A$3000,0))))</f>
        <v/>
      </c>
      <c r="I2123" s="88" t="str">
        <f>IF(A2123="","",IF(INDEX(EXTRATO!$H$2:$H$3000,MATCH($A2123,EXTRATO!$A$2:$A$3000,0))="","",INDEX(EXTRATO!$H$2:$H$3000,MATCH($A2123,EXTRATO!$A$2:$A$3000,0))))</f>
        <v/>
      </c>
      <c r="J2123" s="86" t="str">
        <f t="shared" si="53"/>
        <v/>
      </c>
      <c r="K2123" s="86" t="str">
        <f>IF(AND(A2123="",D2123="",E2123="",F2123=""),"",IF(D2123="","SEM CATEGORIA",IF(E2123="","SEM SUBCATEGORIA",IF(COUNTIFS(CADASTROS!$L$7:$L$93,D2123,CADASTROS!$D$7:$D$93,E2123)=0,"INCOMPATÍVEL","OK"))))</f>
        <v/>
      </c>
    </row>
    <row r="2124" spans="1:11" ht="30" hidden="1" customHeight="1" x14ac:dyDescent="0.25">
      <c r="A2124" s="86" t="str">
        <f>IF(COUNTIF(EXTRATO!$A$2:$A$3000,"BAN-01981")=0,"","BAN-01981")</f>
        <v/>
      </c>
      <c r="B2124" s="85" t="str">
        <f>IF(A2124="","",IF(INDEX(EXTRATO!$C$2:$C$3000,MATCH($A2124,EXTRATO!$A$2:$A$3000,0))="","",INDEX(EXTRATO!$C$2:$C$3000,MATCH($A2124,EXTRATO!$A$2:$A$3000,0))))</f>
        <v/>
      </c>
      <c r="C2124" s="86" t="str">
        <f t="shared" si="52"/>
        <v/>
      </c>
      <c r="D2124" s="81"/>
      <c r="E2124" s="79"/>
      <c r="F2124" s="80" t="str">
        <f>IF(A2124="","",SUMIF(EXTRATO!$A$2:$A$3000,$A2124,EXTRATO!$J$2:$J$3000)+SUMIF(EXTRATO!$A$2:$A$3000,$A2124,EXTRATO!$K$2:$K$3000)+SUMIF(EXTRATO!$A$2:$A$3000,$A2124,EXTRATO!$L$2:$L$3000)+SUMIF(EXTRATO!$A$2:$A$3000,$A2124,EXTRATO!$M$2:$M$3000))</f>
        <v/>
      </c>
      <c r="G2124" s="81" t="str">
        <f>IF(A2124="","",IF(INDEX(EXTRATO!$G$2:$G$3000,MATCH($A2124,EXTRATO!$A$2:$A$3000,0))="","",INDEX(EXTRATO!$G$2:$G$3000,MATCH($A2124,EXTRATO!$A$2:$A$3000,0))))</f>
        <v/>
      </c>
      <c r="H2124" s="86" t="str">
        <f>IF(A2124="","",IF(INDEX(EXTRATO!$F$2:$F$3000,MATCH($A2124,EXTRATO!$A$2:$A$3000,0))="","",INDEX(EXTRATO!$F$2:$F$3000,MATCH($A2124,EXTRATO!$A$2:$A$3000,0))))</f>
        <v/>
      </c>
      <c r="I2124" s="88" t="str">
        <f>IF(A2124="","",IF(INDEX(EXTRATO!$H$2:$H$3000,MATCH($A2124,EXTRATO!$A$2:$A$3000,0))="","",INDEX(EXTRATO!$H$2:$H$3000,MATCH($A2124,EXTRATO!$A$2:$A$3000,0))))</f>
        <v/>
      </c>
      <c r="J2124" s="86" t="str">
        <f t="shared" si="53"/>
        <v/>
      </c>
      <c r="K2124" s="86" t="str">
        <f>IF(AND(A2124="",D2124="",E2124="",F2124=""),"",IF(D2124="","SEM CATEGORIA",IF(E2124="","SEM SUBCATEGORIA",IF(COUNTIFS(CADASTROS!$L$7:$L$93,D2124,CADASTROS!$D$7:$D$93,E2124)=0,"INCOMPATÍVEL","OK"))))</f>
        <v/>
      </c>
    </row>
    <row r="2125" spans="1:11" ht="30" hidden="1" customHeight="1" x14ac:dyDescent="0.25">
      <c r="A2125" s="86" t="str">
        <f>IF(COUNTIF(EXTRATO!$A$2:$A$3000,"BAN-01982")=0,"","BAN-01982")</f>
        <v/>
      </c>
      <c r="B2125" s="85" t="str">
        <f>IF(A2125="","",IF(INDEX(EXTRATO!$C$2:$C$3000,MATCH($A2125,EXTRATO!$A$2:$A$3000,0))="","",INDEX(EXTRATO!$C$2:$C$3000,MATCH($A2125,EXTRATO!$A$2:$A$3000,0))))</f>
        <v/>
      </c>
      <c r="C2125" s="86" t="str">
        <f t="shared" si="52"/>
        <v/>
      </c>
      <c r="D2125" s="81"/>
      <c r="E2125" s="79"/>
      <c r="F2125" s="80" t="str">
        <f>IF(A2125="","",SUMIF(EXTRATO!$A$2:$A$3000,$A2125,EXTRATO!$J$2:$J$3000)+SUMIF(EXTRATO!$A$2:$A$3000,$A2125,EXTRATO!$K$2:$K$3000)+SUMIF(EXTRATO!$A$2:$A$3000,$A2125,EXTRATO!$L$2:$L$3000)+SUMIF(EXTRATO!$A$2:$A$3000,$A2125,EXTRATO!$M$2:$M$3000))</f>
        <v/>
      </c>
      <c r="G2125" s="81" t="str">
        <f>IF(A2125="","",IF(INDEX(EXTRATO!$G$2:$G$3000,MATCH($A2125,EXTRATO!$A$2:$A$3000,0))="","",INDEX(EXTRATO!$G$2:$G$3000,MATCH($A2125,EXTRATO!$A$2:$A$3000,0))))</f>
        <v/>
      </c>
      <c r="H2125" s="86" t="str">
        <f>IF(A2125="","",IF(INDEX(EXTRATO!$F$2:$F$3000,MATCH($A2125,EXTRATO!$A$2:$A$3000,0))="","",INDEX(EXTRATO!$F$2:$F$3000,MATCH($A2125,EXTRATO!$A$2:$A$3000,0))))</f>
        <v/>
      </c>
      <c r="I2125" s="88" t="str">
        <f>IF(A2125="","",IF(INDEX(EXTRATO!$H$2:$H$3000,MATCH($A2125,EXTRATO!$A$2:$A$3000,0))="","",INDEX(EXTRATO!$H$2:$H$3000,MATCH($A2125,EXTRATO!$A$2:$A$3000,0))))</f>
        <v/>
      </c>
      <c r="J2125" s="86" t="str">
        <f t="shared" si="53"/>
        <v/>
      </c>
      <c r="K2125" s="86" t="str">
        <f>IF(AND(A2125="",D2125="",E2125="",F2125=""),"",IF(D2125="","SEM CATEGORIA",IF(E2125="","SEM SUBCATEGORIA",IF(COUNTIFS(CADASTROS!$L$7:$L$93,D2125,CADASTROS!$D$7:$D$93,E2125)=0,"INCOMPATÍVEL","OK"))))</f>
        <v/>
      </c>
    </row>
    <row r="2126" spans="1:11" ht="30" hidden="1" customHeight="1" x14ac:dyDescent="0.25">
      <c r="A2126" s="86" t="str">
        <f>IF(COUNTIF(EXTRATO!$A$2:$A$3000,"BAN-01983")=0,"","BAN-01983")</f>
        <v/>
      </c>
      <c r="B2126" s="85" t="str">
        <f>IF(A2126="","",IF(INDEX(EXTRATO!$C$2:$C$3000,MATCH($A2126,EXTRATO!$A$2:$A$3000,0))="","",INDEX(EXTRATO!$C$2:$C$3000,MATCH($A2126,EXTRATO!$A$2:$A$3000,0))))</f>
        <v/>
      </c>
      <c r="C2126" s="86" t="str">
        <f t="shared" si="52"/>
        <v/>
      </c>
      <c r="D2126" s="81"/>
      <c r="E2126" s="79"/>
      <c r="F2126" s="80" t="str">
        <f>IF(A2126="","",SUMIF(EXTRATO!$A$2:$A$3000,$A2126,EXTRATO!$J$2:$J$3000)+SUMIF(EXTRATO!$A$2:$A$3000,$A2126,EXTRATO!$K$2:$K$3000)+SUMIF(EXTRATO!$A$2:$A$3000,$A2126,EXTRATO!$L$2:$L$3000)+SUMIF(EXTRATO!$A$2:$A$3000,$A2126,EXTRATO!$M$2:$M$3000))</f>
        <v/>
      </c>
      <c r="G2126" s="81" t="str">
        <f>IF(A2126="","",IF(INDEX(EXTRATO!$G$2:$G$3000,MATCH($A2126,EXTRATO!$A$2:$A$3000,0))="","",INDEX(EXTRATO!$G$2:$G$3000,MATCH($A2126,EXTRATO!$A$2:$A$3000,0))))</f>
        <v/>
      </c>
      <c r="H2126" s="86" t="str">
        <f>IF(A2126="","",IF(INDEX(EXTRATO!$F$2:$F$3000,MATCH($A2126,EXTRATO!$A$2:$A$3000,0))="","",INDEX(EXTRATO!$F$2:$F$3000,MATCH($A2126,EXTRATO!$A$2:$A$3000,0))))</f>
        <v/>
      </c>
      <c r="I2126" s="88" t="str">
        <f>IF(A2126="","",IF(INDEX(EXTRATO!$H$2:$H$3000,MATCH($A2126,EXTRATO!$A$2:$A$3000,0))="","",INDEX(EXTRATO!$H$2:$H$3000,MATCH($A2126,EXTRATO!$A$2:$A$3000,0))))</f>
        <v/>
      </c>
      <c r="J2126" s="86" t="str">
        <f t="shared" si="53"/>
        <v/>
      </c>
      <c r="K2126" s="86" t="str">
        <f>IF(AND(A2126="",D2126="",E2126="",F2126=""),"",IF(D2126="","SEM CATEGORIA",IF(E2126="","SEM SUBCATEGORIA",IF(COUNTIFS(CADASTROS!$L$7:$L$93,D2126,CADASTROS!$D$7:$D$93,E2126)=0,"INCOMPATÍVEL","OK"))))</f>
        <v/>
      </c>
    </row>
    <row r="2127" spans="1:11" ht="30" hidden="1" customHeight="1" x14ac:dyDescent="0.25">
      <c r="A2127" s="86" t="str">
        <f>IF(COUNTIF(EXTRATO!$A$2:$A$3000,"BAN-01984")=0,"","BAN-01984")</f>
        <v/>
      </c>
      <c r="B2127" s="85" t="str">
        <f>IF(A2127="","",IF(INDEX(EXTRATO!$C$2:$C$3000,MATCH($A2127,EXTRATO!$A$2:$A$3000,0))="","",INDEX(EXTRATO!$C$2:$C$3000,MATCH($A2127,EXTRATO!$A$2:$A$3000,0))))</f>
        <v/>
      </c>
      <c r="C2127" s="86" t="str">
        <f t="shared" si="52"/>
        <v/>
      </c>
      <c r="D2127" s="81"/>
      <c r="E2127" s="79"/>
      <c r="F2127" s="80" t="str">
        <f>IF(A2127="","",SUMIF(EXTRATO!$A$2:$A$3000,$A2127,EXTRATO!$J$2:$J$3000)+SUMIF(EXTRATO!$A$2:$A$3000,$A2127,EXTRATO!$K$2:$K$3000)+SUMIF(EXTRATO!$A$2:$A$3000,$A2127,EXTRATO!$L$2:$L$3000)+SUMIF(EXTRATO!$A$2:$A$3000,$A2127,EXTRATO!$M$2:$M$3000))</f>
        <v/>
      </c>
      <c r="G2127" s="81" t="str">
        <f>IF(A2127="","",IF(INDEX(EXTRATO!$G$2:$G$3000,MATCH($A2127,EXTRATO!$A$2:$A$3000,0))="","",INDEX(EXTRATO!$G$2:$G$3000,MATCH($A2127,EXTRATO!$A$2:$A$3000,0))))</f>
        <v/>
      </c>
      <c r="H2127" s="86" t="str">
        <f>IF(A2127="","",IF(INDEX(EXTRATO!$F$2:$F$3000,MATCH($A2127,EXTRATO!$A$2:$A$3000,0))="","",INDEX(EXTRATO!$F$2:$F$3000,MATCH($A2127,EXTRATO!$A$2:$A$3000,0))))</f>
        <v/>
      </c>
      <c r="I2127" s="88" t="str">
        <f>IF(A2127="","",IF(INDEX(EXTRATO!$H$2:$H$3000,MATCH($A2127,EXTRATO!$A$2:$A$3000,0))="","",INDEX(EXTRATO!$H$2:$H$3000,MATCH($A2127,EXTRATO!$A$2:$A$3000,0))))</f>
        <v/>
      </c>
      <c r="J2127" s="86" t="str">
        <f t="shared" si="53"/>
        <v/>
      </c>
      <c r="K2127" s="86" t="str">
        <f>IF(AND(A2127="",D2127="",E2127="",F2127=""),"",IF(D2127="","SEM CATEGORIA",IF(E2127="","SEM SUBCATEGORIA",IF(COUNTIFS(CADASTROS!$L$7:$L$93,D2127,CADASTROS!$D$7:$D$93,E2127)=0,"INCOMPATÍVEL","OK"))))</f>
        <v/>
      </c>
    </row>
    <row r="2128" spans="1:11" ht="30" hidden="1" customHeight="1" x14ac:dyDescent="0.25">
      <c r="A2128" s="86" t="str">
        <f>IF(COUNTIF(EXTRATO!$A$2:$A$3000,"BAN-01985")=0,"","BAN-01985")</f>
        <v/>
      </c>
      <c r="B2128" s="85" t="str">
        <f>IF(A2128="","",IF(INDEX(EXTRATO!$C$2:$C$3000,MATCH($A2128,EXTRATO!$A$2:$A$3000,0))="","",INDEX(EXTRATO!$C$2:$C$3000,MATCH($A2128,EXTRATO!$A$2:$A$3000,0))))</f>
        <v/>
      </c>
      <c r="C2128" s="86" t="str">
        <f t="shared" si="52"/>
        <v/>
      </c>
      <c r="D2128" s="81"/>
      <c r="E2128" s="79"/>
      <c r="F2128" s="80" t="str">
        <f>IF(A2128="","",SUMIF(EXTRATO!$A$2:$A$3000,$A2128,EXTRATO!$J$2:$J$3000)+SUMIF(EXTRATO!$A$2:$A$3000,$A2128,EXTRATO!$K$2:$K$3000)+SUMIF(EXTRATO!$A$2:$A$3000,$A2128,EXTRATO!$L$2:$L$3000)+SUMIF(EXTRATO!$A$2:$A$3000,$A2128,EXTRATO!$M$2:$M$3000))</f>
        <v/>
      </c>
      <c r="G2128" s="81" t="str">
        <f>IF(A2128="","",IF(INDEX(EXTRATO!$G$2:$G$3000,MATCH($A2128,EXTRATO!$A$2:$A$3000,0))="","",INDEX(EXTRATO!$G$2:$G$3000,MATCH($A2128,EXTRATO!$A$2:$A$3000,0))))</f>
        <v/>
      </c>
      <c r="H2128" s="86" t="str">
        <f>IF(A2128="","",IF(INDEX(EXTRATO!$F$2:$F$3000,MATCH($A2128,EXTRATO!$A$2:$A$3000,0))="","",INDEX(EXTRATO!$F$2:$F$3000,MATCH($A2128,EXTRATO!$A$2:$A$3000,0))))</f>
        <v/>
      </c>
      <c r="I2128" s="88" t="str">
        <f>IF(A2128="","",IF(INDEX(EXTRATO!$H$2:$H$3000,MATCH($A2128,EXTRATO!$A$2:$A$3000,0))="","",INDEX(EXTRATO!$H$2:$H$3000,MATCH($A2128,EXTRATO!$A$2:$A$3000,0))))</f>
        <v/>
      </c>
      <c r="J2128" s="86" t="str">
        <f t="shared" si="53"/>
        <v/>
      </c>
      <c r="K2128" s="86" t="str">
        <f>IF(AND(A2128="",D2128="",E2128="",F2128=""),"",IF(D2128="","SEM CATEGORIA",IF(E2128="","SEM SUBCATEGORIA",IF(COUNTIFS(CADASTROS!$L$7:$L$93,D2128,CADASTROS!$D$7:$D$93,E2128)=0,"INCOMPATÍVEL","OK"))))</f>
        <v/>
      </c>
    </row>
    <row r="2129" spans="1:11" ht="30" hidden="1" customHeight="1" x14ac:dyDescent="0.25">
      <c r="A2129" s="86" t="str">
        <f>IF(COUNTIF(EXTRATO!$A$2:$A$3000,"BAN-01986")=0,"","BAN-01986")</f>
        <v/>
      </c>
      <c r="B2129" s="85" t="str">
        <f>IF(A2129="","",IF(INDEX(EXTRATO!$C$2:$C$3000,MATCH($A2129,EXTRATO!$A$2:$A$3000,0))="","",INDEX(EXTRATO!$C$2:$C$3000,MATCH($A2129,EXTRATO!$A$2:$A$3000,0))))</f>
        <v/>
      </c>
      <c r="C2129" s="86" t="str">
        <f t="shared" si="52"/>
        <v/>
      </c>
      <c r="D2129" s="81"/>
      <c r="E2129" s="79"/>
      <c r="F2129" s="80" t="str">
        <f>IF(A2129="","",SUMIF(EXTRATO!$A$2:$A$3000,$A2129,EXTRATO!$J$2:$J$3000)+SUMIF(EXTRATO!$A$2:$A$3000,$A2129,EXTRATO!$K$2:$K$3000)+SUMIF(EXTRATO!$A$2:$A$3000,$A2129,EXTRATO!$L$2:$L$3000)+SUMIF(EXTRATO!$A$2:$A$3000,$A2129,EXTRATO!$M$2:$M$3000))</f>
        <v/>
      </c>
      <c r="G2129" s="81" t="str">
        <f>IF(A2129="","",IF(INDEX(EXTRATO!$G$2:$G$3000,MATCH($A2129,EXTRATO!$A$2:$A$3000,0))="","",INDEX(EXTRATO!$G$2:$G$3000,MATCH($A2129,EXTRATO!$A$2:$A$3000,0))))</f>
        <v/>
      </c>
      <c r="H2129" s="86" t="str">
        <f>IF(A2129="","",IF(INDEX(EXTRATO!$F$2:$F$3000,MATCH($A2129,EXTRATO!$A$2:$A$3000,0))="","",INDEX(EXTRATO!$F$2:$F$3000,MATCH($A2129,EXTRATO!$A$2:$A$3000,0))))</f>
        <v/>
      </c>
      <c r="I2129" s="88" t="str">
        <f>IF(A2129="","",IF(INDEX(EXTRATO!$H$2:$H$3000,MATCH($A2129,EXTRATO!$A$2:$A$3000,0))="","",INDEX(EXTRATO!$H$2:$H$3000,MATCH($A2129,EXTRATO!$A$2:$A$3000,0))))</f>
        <v/>
      </c>
      <c r="J2129" s="86" t="str">
        <f t="shared" si="53"/>
        <v/>
      </c>
      <c r="K2129" s="86" t="str">
        <f>IF(AND(A2129="",D2129="",E2129="",F2129=""),"",IF(D2129="","SEM CATEGORIA",IF(E2129="","SEM SUBCATEGORIA",IF(COUNTIFS(CADASTROS!$L$7:$L$93,D2129,CADASTROS!$D$7:$D$93,E2129)=0,"INCOMPATÍVEL","OK"))))</f>
        <v/>
      </c>
    </row>
    <row r="2130" spans="1:11" ht="30" hidden="1" customHeight="1" x14ac:dyDescent="0.25">
      <c r="A2130" s="86" t="str">
        <f>IF(COUNTIF(EXTRATO!$A$2:$A$3000,"BAN-01987")=0,"","BAN-01987")</f>
        <v/>
      </c>
      <c r="B2130" s="85" t="str">
        <f>IF(A2130="","",IF(INDEX(EXTRATO!$C$2:$C$3000,MATCH($A2130,EXTRATO!$A$2:$A$3000,0))="","",INDEX(EXTRATO!$C$2:$C$3000,MATCH($A2130,EXTRATO!$A$2:$A$3000,0))))</f>
        <v/>
      </c>
      <c r="C2130" s="86" t="str">
        <f t="shared" si="52"/>
        <v/>
      </c>
      <c r="D2130" s="81"/>
      <c r="E2130" s="79"/>
      <c r="F2130" s="80" t="str">
        <f>IF(A2130="","",SUMIF(EXTRATO!$A$2:$A$3000,$A2130,EXTRATO!$J$2:$J$3000)+SUMIF(EXTRATO!$A$2:$A$3000,$A2130,EXTRATO!$K$2:$K$3000)+SUMIF(EXTRATO!$A$2:$A$3000,$A2130,EXTRATO!$L$2:$L$3000)+SUMIF(EXTRATO!$A$2:$A$3000,$A2130,EXTRATO!$M$2:$M$3000))</f>
        <v/>
      </c>
      <c r="G2130" s="81" t="str">
        <f>IF(A2130="","",IF(INDEX(EXTRATO!$G$2:$G$3000,MATCH($A2130,EXTRATO!$A$2:$A$3000,0))="","",INDEX(EXTRATO!$G$2:$G$3000,MATCH($A2130,EXTRATO!$A$2:$A$3000,0))))</f>
        <v/>
      </c>
      <c r="H2130" s="86" t="str">
        <f>IF(A2130="","",IF(INDEX(EXTRATO!$F$2:$F$3000,MATCH($A2130,EXTRATO!$A$2:$A$3000,0))="","",INDEX(EXTRATO!$F$2:$F$3000,MATCH($A2130,EXTRATO!$A$2:$A$3000,0))))</f>
        <v/>
      </c>
      <c r="I2130" s="88" t="str">
        <f>IF(A2130="","",IF(INDEX(EXTRATO!$H$2:$H$3000,MATCH($A2130,EXTRATO!$A$2:$A$3000,0))="","",INDEX(EXTRATO!$H$2:$H$3000,MATCH($A2130,EXTRATO!$A$2:$A$3000,0))))</f>
        <v/>
      </c>
      <c r="J2130" s="86" t="str">
        <f t="shared" si="53"/>
        <v/>
      </c>
      <c r="K2130" s="86" t="str">
        <f>IF(AND(A2130="",D2130="",E2130="",F2130=""),"",IF(D2130="","SEM CATEGORIA",IF(E2130="","SEM SUBCATEGORIA",IF(COUNTIFS(CADASTROS!$L$7:$L$93,D2130,CADASTROS!$D$7:$D$93,E2130)=0,"INCOMPATÍVEL","OK"))))</f>
        <v/>
      </c>
    </row>
    <row r="2131" spans="1:11" ht="30" hidden="1" customHeight="1" x14ac:dyDescent="0.25">
      <c r="A2131" s="86" t="str">
        <f>IF(COUNTIF(EXTRATO!$A$2:$A$3000,"BAN-01988")=0,"","BAN-01988")</f>
        <v/>
      </c>
      <c r="B2131" s="85" t="str">
        <f>IF(A2131="","",IF(INDEX(EXTRATO!$C$2:$C$3000,MATCH($A2131,EXTRATO!$A$2:$A$3000,0))="","",INDEX(EXTRATO!$C$2:$C$3000,MATCH($A2131,EXTRATO!$A$2:$A$3000,0))))</f>
        <v/>
      </c>
      <c r="C2131" s="86" t="str">
        <f t="shared" si="52"/>
        <v/>
      </c>
      <c r="D2131" s="81"/>
      <c r="E2131" s="79"/>
      <c r="F2131" s="80" t="str">
        <f>IF(A2131="","",SUMIF(EXTRATO!$A$2:$A$3000,$A2131,EXTRATO!$J$2:$J$3000)+SUMIF(EXTRATO!$A$2:$A$3000,$A2131,EXTRATO!$K$2:$K$3000)+SUMIF(EXTRATO!$A$2:$A$3000,$A2131,EXTRATO!$L$2:$L$3000)+SUMIF(EXTRATO!$A$2:$A$3000,$A2131,EXTRATO!$M$2:$M$3000))</f>
        <v/>
      </c>
      <c r="G2131" s="81" t="str">
        <f>IF(A2131="","",IF(INDEX(EXTRATO!$G$2:$G$3000,MATCH($A2131,EXTRATO!$A$2:$A$3000,0))="","",INDEX(EXTRATO!$G$2:$G$3000,MATCH($A2131,EXTRATO!$A$2:$A$3000,0))))</f>
        <v/>
      </c>
      <c r="H2131" s="86" t="str">
        <f>IF(A2131="","",IF(INDEX(EXTRATO!$F$2:$F$3000,MATCH($A2131,EXTRATO!$A$2:$A$3000,0))="","",INDEX(EXTRATO!$F$2:$F$3000,MATCH($A2131,EXTRATO!$A$2:$A$3000,0))))</f>
        <v/>
      </c>
      <c r="I2131" s="88" t="str">
        <f>IF(A2131="","",IF(INDEX(EXTRATO!$H$2:$H$3000,MATCH($A2131,EXTRATO!$A$2:$A$3000,0))="","",INDEX(EXTRATO!$H$2:$H$3000,MATCH($A2131,EXTRATO!$A$2:$A$3000,0))))</f>
        <v/>
      </c>
      <c r="J2131" s="86" t="str">
        <f t="shared" si="53"/>
        <v/>
      </c>
      <c r="K2131" s="86" t="str">
        <f>IF(AND(A2131="",D2131="",E2131="",F2131=""),"",IF(D2131="","SEM CATEGORIA",IF(E2131="","SEM SUBCATEGORIA",IF(COUNTIFS(CADASTROS!$L$7:$L$93,D2131,CADASTROS!$D$7:$D$93,E2131)=0,"INCOMPATÍVEL","OK"))))</f>
        <v/>
      </c>
    </row>
    <row r="2132" spans="1:11" ht="30" hidden="1" customHeight="1" x14ac:dyDescent="0.25">
      <c r="A2132" s="86" t="str">
        <f>IF(COUNTIF(EXTRATO!$A$2:$A$3000,"BAN-01989")=0,"","BAN-01989")</f>
        <v/>
      </c>
      <c r="B2132" s="85" t="str">
        <f>IF(A2132="","",IF(INDEX(EXTRATO!$C$2:$C$3000,MATCH($A2132,EXTRATO!$A$2:$A$3000,0))="","",INDEX(EXTRATO!$C$2:$C$3000,MATCH($A2132,EXTRATO!$A$2:$A$3000,0))))</f>
        <v/>
      </c>
      <c r="C2132" s="86" t="str">
        <f t="shared" si="52"/>
        <v/>
      </c>
      <c r="D2132" s="81"/>
      <c r="E2132" s="79"/>
      <c r="F2132" s="80" t="str">
        <f>IF(A2132="","",SUMIF(EXTRATO!$A$2:$A$3000,$A2132,EXTRATO!$J$2:$J$3000)+SUMIF(EXTRATO!$A$2:$A$3000,$A2132,EXTRATO!$K$2:$K$3000)+SUMIF(EXTRATO!$A$2:$A$3000,$A2132,EXTRATO!$L$2:$L$3000)+SUMIF(EXTRATO!$A$2:$A$3000,$A2132,EXTRATO!$M$2:$M$3000))</f>
        <v/>
      </c>
      <c r="G2132" s="81" t="str">
        <f>IF(A2132="","",IF(INDEX(EXTRATO!$G$2:$G$3000,MATCH($A2132,EXTRATO!$A$2:$A$3000,0))="","",INDEX(EXTRATO!$G$2:$G$3000,MATCH($A2132,EXTRATO!$A$2:$A$3000,0))))</f>
        <v/>
      </c>
      <c r="H2132" s="86" t="str">
        <f>IF(A2132="","",IF(INDEX(EXTRATO!$F$2:$F$3000,MATCH($A2132,EXTRATO!$A$2:$A$3000,0))="","",INDEX(EXTRATO!$F$2:$F$3000,MATCH($A2132,EXTRATO!$A$2:$A$3000,0))))</f>
        <v/>
      </c>
      <c r="I2132" s="88" t="str">
        <f>IF(A2132="","",IF(INDEX(EXTRATO!$H$2:$H$3000,MATCH($A2132,EXTRATO!$A$2:$A$3000,0))="","",INDEX(EXTRATO!$H$2:$H$3000,MATCH($A2132,EXTRATO!$A$2:$A$3000,0))))</f>
        <v/>
      </c>
      <c r="J2132" s="86" t="str">
        <f t="shared" si="53"/>
        <v/>
      </c>
      <c r="K2132" s="86" t="str">
        <f>IF(AND(A2132="",D2132="",E2132="",F2132=""),"",IF(D2132="","SEM CATEGORIA",IF(E2132="","SEM SUBCATEGORIA",IF(COUNTIFS(CADASTROS!$L$7:$L$93,D2132,CADASTROS!$D$7:$D$93,E2132)=0,"INCOMPATÍVEL","OK"))))</f>
        <v/>
      </c>
    </row>
    <row r="2133" spans="1:11" ht="30" hidden="1" customHeight="1" x14ac:dyDescent="0.25">
      <c r="A2133" s="86" t="str">
        <f>IF(COUNTIF(EXTRATO!$A$2:$A$3000,"BAN-01990")=0,"","BAN-01990")</f>
        <v/>
      </c>
      <c r="B2133" s="85" t="str">
        <f>IF(A2133="","",IF(INDEX(EXTRATO!$C$2:$C$3000,MATCH($A2133,EXTRATO!$A$2:$A$3000,0))="","",INDEX(EXTRATO!$C$2:$C$3000,MATCH($A2133,EXTRATO!$A$2:$A$3000,0))))</f>
        <v/>
      </c>
      <c r="C2133" s="86" t="str">
        <f t="shared" ref="C2133:C2196" si="54">IF(B2133="","",MONTH(B2133))</f>
        <v/>
      </c>
      <c r="D2133" s="81"/>
      <c r="E2133" s="79"/>
      <c r="F2133" s="80" t="str">
        <f>IF(A2133="","",SUMIF(EXTRATO!$A$2:$A$3000,$A2133,EXTRATO!$J$2:$J$3000)+SUMIF(EXTRATO!$A$2:$A$3000,$A2133,EXTRATO!$K$2:$K$3000)+SUMIF(EXTRATO!$A$2:$A$3000,$A2133,EXTRATO!$L$2:$L$3000)+SUMIF(EXTRATO!$A$2:$A$3000,$A2133,EXTRATO!$M$2:$M$3000))</f>
        <v/>
      </c>
      <c r="G2133" s="81" t="str">
        <f>IF(A2133="","",IF(INDEX(EXTRATO!$G$2:$G$3000,MATCH($A2133,EXTRATO!$A$2:$A$3000,0))="","",INDEX(EXTRATO!$G$2:$G$3000,MATCH($A2133,EXTRATO!$A$2:$A$3000,0))))</f>
        <v/>
      </c>
      <c r="H2133" s="86" t="str">
        <f>IF(A2133="","",IF(INDEX(EXTRATO!$F$2:$F$3000,MATCH($A2133,EXTRATO!$A$2:$A$3000,0))="","",INDEX(EXTRATO!$F$2:$F$3000,MATCH($A2133,EXTRATO!$A$2:$A$3000,0))))</f>
        <v/>
      </c>
      <c r="I2133" s="88" t="str">
        <f>IF(A2133="","",IF(INDEX(EXTRATO!$H$2:$H$3000,MATCH($A2133,EXTRATO!$A$2:$A$3000,0))="","",INDEX(EXTRATO!$H$2:$H$3000,MATCH($A2133,EXTRATO!$A$2:$A$3000,0))))</f>
        <v/>
      </c>
      <c r="J2133" s="86" t="str">
        <f t="shared" si="53"/>
        <v/>
      </c>
      <c r="K2133" s="86" t="str">
        <f>IF(AND(A2133="",D2133="",E2133="",F2133=""),"",IF(D2133="","SEM CATEGORIA",IF(E2133="","SEM SUBCATEGORIA",IF(COUNTIFS(CADASTROS!$L$7:$L$93,D2133,CADASTROS!$D$7:$D$93,E2133)=0,"INCOMPATÍVEL","OK"))))</f>
        <v/>
      </c>
    </row>
    <row r="2134" spans="1:11" ht="30" hidden="1" customHeight="1" x14ac:dyDescent="0.25">
      <c r="A2134" s="86" t="str">
        <f>IF(COUNTIF(EXTRATO!$A$2:$A$3000,"BAN-01991")=0,"","BAN-01991")</f>
        <v/>
      </c>
      <c r="B2134" s="85" t="str">
        <f>IF(A2134="","",IF(INDEX(EXTRATO!$C$2:$C$3000,MATCH($A2134,EXTRATO!$A$2:$A$3000,0))="","",INDEX(EXTRATO!$C$2:$C$3000,MATCH($A2134,EXTRATO!$A$2:$A$3000,0))))</f>
        <v/>
      </c>
      <c r="C2134" s="86" t="str">
        <f t="shared" si="54"/>
        <v/>
      </c>
      <c r="D2134" s="81"/>
      <c r="E2134" s="79"/>
      <c r="F2134" s="80" t="str">
        <f>IF(A2134="","",SUMIF(EXTRATO!$A$2:$A$3000,$A2134,EXTRATO!$J$2:$J$3000)+SUMIF(EXTRATO!$A$2:$A$3000,$A2134,EXTRATO!$K$2:$K$3000)+SUMIF(EXTRATO!$A$2:$A$3000,$A2134,EXTRATO!$L$2:$L$3000)+SUMIF(EXTRATO!$A$2:$A$3000,$A2134,EXTRATO!$M$2:$M$3000))</f>
        <v/>
      </c>
      <c r="G2134" s="81" t="str">
        <f>IF(A2134="","",IF(INDEX(EXTRATO!$G$2:$G$3000,MATCH($A2134,EXTRATO!$A$2:$A$3000,0))="","",INDEX(EXTRATO!$G$2:$G$3000,MATCH($A2134,EXTRATO!$A$2:$A$3000,0))))</f>
        <v/>
      </c>
      <c r="H2134" s="86" t="str">
        <f>IF(A2134="","",IF(INDEX(EXTRATO!$F$2:$F$3000,MATCH($A2134,EXTRATO!$A$2:$A$3000,0))="","",INDEX(EXTRATO!$F$2:$F$3000,MATCH($A2134,EXTRATO!$A$2:$A$3000,0))))</f>
        <v/>
      </c>
      <c r="I2134" s="88" t="str">
        <f>IF(A2134="","",IF(INDEX(EXTRATO!$H$2:$H$3000,MATCH($A2134,EXTRATO!$A$2:$A$3000,0))="","",INDEX(EXTRATO!$H$2:$H$3000,MATCH($A2134,EXTRATO!$A$2:$A$3000,0))))</f>
        <v/>
      </c>
      <c r="J2134" s="86" t="str">
        <f t="shared" si="53"/>
        <v/>
      </c>
      <c r="K2134" s="86" t="str">
        <f>IF(AND(A2134="",D2134="",E2134="",F2134=""),"",IF(D2134="","SEM CATEGORIA",IF(E2134="","SEM SUBCATEGORIA",IF(COUNTIFS(CADASTROS!$L$7:$L$93,D2134,CADASTROS!$D$7:$D$93,E2134)=0,"INCOMPATÍVEL","OK"))))</f>
        <v/>
      </c>
    </row>
    <row r="2135" spans="1:11" ht="30" hidden="1" customHeight="1" x14ac:dyDescent="0.25">
      <c r="A2135" s="86" t="str">
        <f>IF(COUNTIF(EXTRATO!$A$2:$A$3000,"BAN-01992")=0,"","BAN-01992")</f>
        <v/>
      </c>
      <c r="B2135" s="85" t="str">
        <f>IF(A2135="","",IF(INDEX(EXTRATO!$C$2:$C$3000,MATCH($A2135,EXTRATO!$A$2:$A$3000,0))="","",INDEX(EXTRATO!$C$2:$C$3000,MATCH($A2135,EXTRATO!$A$2:$A$3000,0))))</f>
        <v/>
      </c>
      <c r="C2135" s="86" t="str">
        <f t="shared" si="54"/>
        <v/>
      </c>
      <c r="D2135" s="81"/>
      <c r="E2135" s="79"/>
      <c r="F2135" s="80" t="str">
        <f>IF(A2135="","",SUMIF(EXTRATO!$A$2:$A$3000,$A2135,EXTRATO!$J$2:$J$3000)+SUMIF(EXTRATO!$A$2:$A$3000,$A2135,EXTRATO!$K$2:$K$3000)+SUMIF(EXTRATO!$A$2:$A$3000,$A2135,EXTRATO!$L$2:$L$3000)+SUMIF(EXTRATO!$A$2:$A$3000,$A2135,EXTRATO!$M$2:$M$3000))</f>
        <v/>
      </c>
      <c r="G2135" s="81" t="str">
        <f>IF(A2135="","",IF(INDEX(EXTRATO!$G$2:$G$3000,MATCH($A2135,EXTRATO!$A$2:$A$3000,0))="","",INDEX(EXTRATO!$G$2:$G$3000,MATCH($A2135,EXTRATO!$A$2:$A$3000,0))))</f>
        <v/>
      </c>
      <c r="H2135" s="86" t="str">
        <f>IF(A2135="","",IF(INDEX(EXTRATO!$F$2:$F$3000,MATCH($A2135,EXTRATO!$A$2:$A$3000,0))="","",INDEX(EXTRATO!$F$2:$F$3000,MATCH($A2135,EXTRATO!$A$2:$A$3000,0))))</f>
        <v/>
      </c>
      <c r="I2135" s="88" t="str">
        <f>IF(A2135="","",IF(INDEX(EXTRATO!$H$2:$H$3000,MATCH($A2135,EXTRATO!$A$2:$A$3000,0))="","",INDEX(EXTRATO!$H$2:$H$3000,MATCH($A2135,EXTRATO!$A$2:$A$3000,0))))</f>
        <v/>
      </c>
      <c r="J2135" s="86" t="str">
        <f t="shared" si="53"/>
        <v/>
      </c>
      <c r="K2135" s="86" t="str">
        <f>IF(AND(A2135="",D2135="",E2135="",F2135=""),"",IF(D2135="","SEM CATEGORIA",IF(E2135="","SEM SUBCATEGORIA",IF(COUNTIFS(CADASTROS!$L$7:$L$93,D2135,CADASTROS!$D$7:$D$93,E2135)=0,"INCOMPATÍVEL","OK"))))</f>
        <v/>
      </c>
    </row>
    <row r="2136" spans="1:11" ht="30" hidden="1" customHeight="1" x14ac:dyDescent="0.25">
      <c r="A2136" s="86" t="str">
        <f>IF(COUNTIF(EXTRATO!$A$2:$A$3000,"BAN-01993")=0,"","BAN-01993")</f>
        <v/>
      </c>
      <c r="B2136" s="85" t="str">
        <f>IF(A2136="","",IF(INDEX(EXTRATO!$C$2:$C$3000,MATCH($A2136,EXTRATO!$A$2:$A$3000,0))="","",INDEX(EXTRATO!$C$2:$C$3000,MATCH($A2136,EXTRATO!$A$2:$A$3000,0))))</f>
        <v/>
      </c>
      <c r="C2136" s="86" t="str">
        <f t="shared" si="54"/>
        <v/>
      </c>
      <c r="D2136" s="81"/>
      <c r="E2136" s="79"/>
      <c r="F2136" s="80" t="str">
        <f>IF(A2136="","",SUMIF(EXTRATO!$A$2:$A$3000,$A2136,EXTRATO!$J$2:$J$3000)+SUMIF(EXTRATO!$A$2:$A$3000,$A2136,EXTRATO!$K$2:$K$3000)+SUMIF(EXTRATO!$A$2:$A$3000,$A2136,EXTRATO!$L$2:$L$3000)+SUMIF(EXTRATO!$A$2:$A$3000,$A2136,EXTRATO!$M$2:$M$3000))</f>
        <v/>
      </c>
      <c r="G2136" s="81" t="str">
        <f>IF(A2136="","",IF(INDEX(EXTRATO!$G$2:$G$3000,MATCH($A2136,EXTRATO!$A$2:$A$3000,0))="","",INDEX(EXTRATO!$G$2:$G$3000,MATCH($A2136,EXTRATO!$A$2:$A$3000,0))))</f>
        <v/>
      </c>
      <c r="H2136" s="86" t="str">
        <f>IF(A2136="","",IF(INDEX(EXTRATO!$F$2:$F$3000,MATCH($A2136,EXTRATO!$A$2:$A$3000,0))="","",INDEX(EXTRATO!$F$2:$F$3000,MATCH($A2136,EXTRATO!$A$2:$A$3000,0))))</f>
        <v/>
      </c>
      <c r="I2136" s="88" t="str">
        <f>IF(A2136="","",IF(INDEX(EXTRATO!$H$2:$H$3000,MATCH($A2136,EXTRATO!$A$2:$A$3000,0))="","",INDEX(EXTRATO!$H$2:$H$3000,MATCH($A2136,EXTRATO!$A$2:$A$3000,0))))</f>
        <v/>
      </c>
      <c r="J2136" s="86" t="str">
        <f t="shared" si="53"/>
        <v/>
      </c>
      <c r="K2136" s="86" t="str">
        <f>IF(AND(A2136="",D2136="",E2136="",F2136=""),"",IF(D2136="","SEM CATEGORIA",IF(E2136="","SEM SUBCATEGORIA",IF(COUNTIFS(CADASTROS!$L$7:$L$93,D2136,CADASTROS!$D$7:$D$93,E2136)=0,"INCOMPATÍVEL","OK"))))</f>
        <v/>
      </c>
    </row>
    <row r="2137" spans="1:11" ht="30" hidden="1" customHeight="1" x14ac:dyDescent="0.25">
      <c r="A2137" s="86" t="str">
        <f>IF(COUNTIF(EXTRATO!$A$2:$A$3000,"BAN-01994")=0,"","BAN-01994")</f>
        <v/>
      </c>
      <c r="B2137" s="85" t="str">
        <f>IF(A2137="","",IF(INDEX(EXTRATO!$C$2:$C$3000,MATCH($A2137,EXTRATO!$A$2:$A$3000,0))="","",INDEX(EXTRATO!$C$2:$C$3000,MATCH($A2137,EXTRATO!$A$2:$A$3000,0))))</f>
        <v/>
      </c>
      <c r="C2137" s="86" t="str">
        <f t="shared" si="54"/>
        <v/>
      </c>
      <c r="D2137" s="81"/>
      <c r="E2137" s="79"/>
      <c r="F2137" s="80" t="str">
        <f>IF(A2137="","",SUMIF(EXTRATO!$A$2:$A$3000,$A2137,EXTRATO!$J$2:$J$3000)+SUMIF(EXTRATO!$A$2:$A$3000,$A2137,EXTRATO!$K$2:$K$3000)+SUMIF(EXTRATO!$A$2:$A$3000,$A2137,EXTRATO!$L$2:$L$3000)+SUMIF(EXTRATO!$A$2:$A$3000,$A2137,EXTRATO!$M$2:$M$3000))</f>
        <v/>
      </c>
      <c r="G2137" s="81" t="str">
        <f>IF(A2137="","",IF(INDEX(EXTRATO!$G$2:$G$3000,MATCH($A2137,EXTRATO!$A$2:$A$3000,0))="","",INDEX(EXTRATO!$G$2:$G$3000,MATCH($A2137,EXTRATO!$A$2:$A$3000,0))))</f>
        <v/>
      </c>
      <c r="H2137" s="86" t="str">
        <f>IF(A2137="","",IF(INDEX(EXTRATO!$F$2:$F$3000,MATCH($A2137,EXTRATO!$A$2:$A$3000,0))="","",INDEX(EXTRATO!$F$2:$F$3000,MATCH($A2137,EXTRATO!$A$2:$A$3000,0))))</f>
        <v/>
      </c>
      <c r="I2137" s="88" t="str">
        <f>IF(A2137="","",IF(INDEX(EXTRATO!$H$2:$H$3000,MATCH($A2137,EXTRATO!$A$2:$A$3000,0))="","",INDEX(EXTRATO!$H$2:$H$3000,MATCH($A2137,EXTRATO!$A$2:$A$3000,0))))</f>
        <v/>
      </c>
      <c r="J2137" s="86" t="str">
        <f t="shared" si="53"/>
        <v/>
      </c>
      <c r="K2137" s="86" t="str">
        <f>IF(AND(A2137="",D2137="",E2137="",F2137=""),"",IF(D2137="","SEM CATEGORIA",IF(E2137="","SEM SUBCATEGORIA",IF(COUNTIFS(CADASTROS!$L$7:$L$93,D2137,CADASTROS!$D$7:$D$93,E2137)=0,"INCOMPATÍVEL","OK"))))</f>
        <v/>
      </c>
    </row>
    <row r="2138" spans="1:11" ht="30" hidden="1" customHeight="1" x14ac:dyDescent="0.25">
      <c r="A2138" s="86" t="str">
        <f>IF(COUNTIF(EXTRATO!$A$2:$A$3000,"BAN-01995")=0,"","BAN-01995")</f>
        <v/>
      </c>
      <c r="B2138" s="85" t="str">
        <f>IF(A2138="","",IF(INDEX(EXTRATO!$C$2:$C$3000,MATCH($A2138,EXTRATO!$A$2:$A$3000,0))="","",INDEX(EXTRATO!$C$2:$C$3000,MATCH($A2138,EXTRATO!$A$2:$A$3000,0))))</f>
        <v/>
      </c>
      <c r="C2138" s="86" t="str">
        <f t="shared" si="54"/>
        <v/>
      </c>
      <c r="D2138" s="81"/>
      <c r="E2138" s="79"/>
      <c r="F2138" s="80" t="str">
        <f>IF(A2138="","",SUMIF(EXTRATO!$A$2:$A$3000,$A2138,EXTRATO!$J$2:$J$3000)+SUMIF(EXTRATO!$A$2:$A$3000,$A2138,EXTRATO!$K$2:$K$3000)+SUMIF(EXTRATO!$A$2:$A$3000,$A2138,EXTRATO!$L$2:$L$3000)+SUMIF(EXTRATO!$A$2:$A$3000,$A2138,EXTRATO!$M$2:$M$3000))</f>
        <v/>
      </c>
      <c r="G2138" s="81" t="str">
        <f>IF(A2138="","",IF(INDEX(EXTRATO!$G$2:$G$3000,MATCH($A2138,EXTRATO!$A$2:$A$3000,0))="","",INDEX(EXTRATO!$G$2:$G$3000,MATCH($A2138,EXTRATO!$A$2:$A$3000,0))))</f>
        <v/>
      </c>
      <c r="H2138" s="86" t="str">
        <f>IF(A2138="","",IF(INDEX(EXTRATO!$F$2:$F$3000,MATCH($A2138,EXTRATO!$A$2:$A$3000,0))="","",INDEX(EXTRATO!$F$2:$F$3000,MATCH($A2138,EXTRATO!$A$2:$A$3000,0))))</f>
        <v/>
      </c>
      <c r="I2138" s="88" t="str">
        <f>IF(A2138="","",IF(INDEX(EXTRATO!$H$2:$H$3000,MATCH($A2138,EXTRATO!$A$2:$A$3000,0))="","",INDEX(EXTRATO!$H$2:$H$3000,MATCH($A2138,EXTRATO!$A$2:$A$3000,0))))</f>
        <v/>
      </c>
      <c r="J2138" s="86" t="str">
        <f t="shared" si="53"/>
        <v/>
      </c>
      <c r="K2138" s="86" t="str">
        <f>IF(AND(A2138="",D2138="",E2138="",F2138=""),"",IF(D2138="","SEM CATEGORIA",IF(E2138="","SEM SUBCATEGORIA",IF(COUNTIFS(CADASTROS!$L$7:$L$93,D2138,CADASTROS!$D$7:$D$93,E2138)=0,"INCOMPATÍVEL","OK"))))</f>
        <v/>
      </c>
    </row>
    <row r="2139" spans="1:11" ht="30" hidden="1" customHeight="1" x14ac:dyDescent="0.25">
      <c r="A2139" s="86" t="str">
        <f>IF(COUNTIF(EXTRATO!$A$2:$A$3000,"BAN-01996")=0,"","BAN-01996")</f>
        <v/>
      </c>
      <c r="B2139" s="85" t="str">
        <f>IF(A2139="","",IF(INDEX(EXTRATO!$C$2:$C$3000,MATCH($A2139,EXTRATO!$A$2:$A$3000,0))="","",INDEX(EXTRATO!$C$2:$C$3000,MATCH($A2139,EXTRATO!$A$2:$A$3000,0))))</f>
        <v/>
      </c>
      <c r="C2139" s="86" t="str">
        <f t="shared" si="54"/>
        <v/>
      </c>
      <c r="D2139" s="81"/>
      <c r="E2139" s="79"/>
      <c r="F2139" s="80" t="str">
        <f>IF(A2139="","",SUMIF(EXTRATO!$A$2:$A$3000,$A2139,EXTRATO!$J$2:$J$3000)+SUMIF(EXTRATO!$A$2:$A$3000,$A2139,EXTRATO!$K$2:$K$3000)+SUMIF(EXTRATO!$A$2:$A$3000,$A2139,EXTRATO!$L$2:$L$3000)+SUMIF(EXTRATO!$A$2:$A$3000,$A2139,EXTRATO!$M$2:$M$3000))</f>
        <v/>
      </c>
      <c r="G2139" s="81" t="str">
        <f>IF(A2139="","",IF(INDEX(EXTRATO!$G$2:$G$3000,MATCH($A2139,EXTRATO!$A$2:$A$3000,0))="","",INDEX(EXTRATO!$G$2:$G$3000,MATCH($A2139,EXTRATO!$A$2:$A$3000,0))))</f>
        <v/>
      </c>
      <c r="H2139" s="86" t="str">
        <f>IF(A2139="","",IF(INDEX(EXTRATO!$F$2:$F$3000,MATCH($A2139,EXTRATO!$A$2:$A$3000,0))="","",INDEX(EXTRATO!$F$2:$F$3000,MATCH($A2139,EXTRATO!$A$2:$A$3000,0))))</f>
        <v/>
      </c>
      <c r="I2139" s="88" t="str">
        <f>IF(A2139="","",IF(INDEX(EXTRATO!$H$2:$H$3000,MATCH($A2139,EXTRATO!$A$2:$A$3000,0))="","",INDEX(EXTRATO!$H$2:$H$3000,MATCH($A2139,EXTRATO!$A$2:$A$3000,0))))</f>
        <v/>
      </c>
      <c r="J2139" s="86" t="str">
        <f t="shared" si="53"/>
        <v/>
      </c>
      <c r="K2139" s="86" t="str">
        <f>IF(AND(A2139="",D2139="",E2139="",F2139=""),"",IF(D2139="","SEM CATEGORIA",IF(E2139="","SEM SUBCATEGORIA",IF(COUNTIFS(CADASTROS!$L$7:$L$93,D2139,CADASTROS!$D$7:$D$93,E2139)=0,"INCOMPATÍVEL","OK"))))</f>
        <v/>
      </c>
    </row>
    <row r="2140" spans="1:11" ht="30" hidden="1" customHeight="1" x14ac:dyDescent="0.25">
      <c r="A2140" s="86" t="str">
        <f>IF(COUNTIF(EXTRATO!$A$2:$A$3000,"BAN-01997")=0,"","BAN-01997")</f>
        <v/>
      </c>
      <c r="B2140" s="85" t="str">
        <f>IF(A2140="","",IF(INDEX(EXTRATO!$C$2:$C$3000,MATCH($A2140,EXTRATO!$A$2:$A$3000,0))="","",INDEX(EXTRATO!$C$2:$C$3000,MATCH($A2140,EXTRATO!$A$2:$A$3000,0))))</f>
        <v/>
      </c>
      <c r="C2140" s="86" t="str">
        <f t="shared" si="54"/>
        <v/>
      </c>
      <c r="D2140" s="81"/>
      <c r="E2140" s="79"/>
      <c r="F2140" s="80" t="str">
        <f>IF(A2140="","",SUMIF(EXTRATO!$A$2:$A$3000,$A2140,EXTRATO!$J$2:$J$3000)+SUMIF(EXTRATO!$A$2:$A$3000,$A2140,EXTRATO!$K$2:$K$3000)+SUMIF(EXTRATO!$A$2:$A$3000,$A2140,EXTRATO!$L$2:$L$3000)+SUMIF(EXTRATO!$A$2:$A$3000,$A2140,EXTRATO!$M$2:$M$3000))</f>
        <v/>
      </c>
      <c r="G2140" s="81" t="str">
        <f>IF(A2140="","",IF(INDEX(EXTRATO!$G$2:$G$3000,MATCH($A2140,EXTRATO!$A$2:$A$3000,0))="","",INDEX(EXTRATO!$G$2:$G$3000,MATCH($A2140,EXTRATO!$A$2:$A$3000,0))))</f>
        <v/>
      </c>
      <c r="H2140" s="86" t="str">
        <f>IF(A2140="","",IF(INDEX(EXTRATO!$F$2:$F$3000,MATCH($A2140,EXTRATO!$A$2:$A$3000,0))="","",INDEX(EXTRATO!$F$2:$F$3000,MATCH($A2140,EXTRATO!$A$2:$A$3000,0))))</f>
        <v/>
      </c>
      <c r="I2140" s="88" t="str">
        <f>IF(A2140="","",IF(INDEX(EXTRATO!$H$2:$H$3000,MATCH($A2140,EXTRATO!$A$2:$A$3000,0))="","",INDEX(EXTRATO!$H$2:$H$3000,MATCH($A2140,EXTRATO!$A$2:$A$3000,0))))</f>
        <v/>
      </c>
      <c r="J2140" s="86" t="str">
        <f t="shared" si="53"/>
        <v/>
      </c>
      <c r="K2140" s="86" t="str">
        <f>IF(AND(A2140="",D2140="",E2140="",F2140=""),"",IF(D2140="","SEM CATEGORIA",IF(E2140="","SEM SUBCATEGORIA",IF(COUNTIFS(CADASTROS!$L$7:$L$93,D2140,CADASTROS!$D$7:$D$93,E2140)=0,"INCOMPATÍVEL","OK"))))</f>
        <v/>
      </c>
    </row>
    <row r="2141" spans="1:11" ht="30" hidden="1" customHeight="1" x14ac:dyDescent="0.25">
      <c r="A2141" s="86" t="str">
        <f>IF(COUNTIF(EXTRATO!$A$2:$A$3000,"BAN-01998")=0,"","BAN-01998")</f>
        <v/>
      </c>
      <c r="B2141" s="85" t="str">
        <f>IF(A2141="","",IF(INDEX(EXTRATO!$C$2:$C$3000,MATCH($A2141,EXTRATO!$A$2:$A$3000,0))="","",INDEX(EXTRATO!$C$2:$C$3000,MATCH($A2141,EXTRATO!$A$2:$A$3000,0))))</f>
        <v/>
      </c>
      <c r="C2141" s="86" t="str">
        <f t="shared" si="54"/>
        <v/>
      </c>
      <c r="D2141" s="81"/>
      <c r="E2141" s="79"/>
      <c r="F2141" s="80" t="str">
        <f>IF(A2141="","",SUMIF(EXTRATO!$A$2:$A$3000,$A2141,EXTRATO!$J$2:$J$3000)+SUMIF(EXTRATO!$A$2:$A$3000,$A2141,EXTRATO!$K$2:$K$3000)+SUMIF(EXTRATO!$A$2:$A$3000,$A2141,EXTRATO!$L$2:$L$3000)+SUMIF(EXTRATO!$A$2:$A$3000,$A2141,EXTRATO!$M$2:$M$3000))</f>
        <v/>
      </c>
      <c r="G2141" s="81" t="str">
        <f>IF(A2141="","",IF(INDEX(EXTRATO!$G$2:$G$3000,MATCH($A2141,EXTRATO!$A$2:$A$3000,0))="","",INDEX(EXTRATO!$G$2:$G$3000,MATCH($A2141,EXTRATO!$A$2:$A$3000,0))))</f>
        <v/>
      </c>
      <c r="H2141" s="86" t="str">
        <f>IF(A2141="","",IF(INDEX(EXTRATO!$F$2:$F$3000,MATCH($A2141,EXTRATO!$A$2:$A$3000,0))="","",INDEX(EXTRATO!$F$2:$F$3000,MATCH($A2141,EXTRATO!$A$2:$A$3000,0))))</f>
        <v/>
      </c>
      <c r="I2141" s="88" t="str">
        <f>IF(A2141="","",IF(INDEX(EXTRATO!$H$2:$H$3000,MATCH($A2141,EXTRATO!$A$2:$A$3000,0))="","",INDEX(EXTRATO!$H$2:$H$3000,MATCH($A2141,EXTRATO!$A$2:$A$3000,0))))</f>
        <v/>
      </c>
      <c r="J2141" s="86" t="str">
        <f t="shared" si="53"/>
        <v/>
      </c>
      <c r="K2141" s="86" t="str">
        <f>IF(AND(A2141="",D2141="",E2141="",F2141=""),"",IF(D2141="","SEM CATEGORIA",IF(E2141="","SEM SUBCATEGORIA",IF(COUNTIFS(CADASTROS!$L$7:$L$93,D2141,CADASTROS!$D$7:$D$93,E2141)=0,"INCOMPATÍVEL","OK"))))</f>
        <v/>
      </c>
    </row>
    <row r="2142" spans="1:11" ht="30" hidden="1" customHeight="1" x14ac:dyDescent="0.25">
      <c r="A2142" s="86" t="str">
        <f>IF(COUNTIF(EXTRATO!$A$2:$A$3000,"BAN-01999")=0,"","BAN-01999")</f>
        <v/>
      </c>
      <c r="B2142" s="85" t="str">
        <f>IF(A2142="","",IF(INDEX(EXTRATO!$C$2:$C$3000,MATCH($A2142,EXTRATO!$A$2:$A$3000,0))="","",INDEX(EXTRATO!$C$2:$C$3000,MATCH($A2142,EXTRATO!$A$2:$A$3000,0))))</f>
        <v/>
      </c>
      <c r="C2142" s="86" t="str">
        <f t="shared" si="54"/>
        <v/>
      </c>
      <c r="D2142" s="81"/>
      <c r="E2142" s="79"/>
      <c r="F2142" s="80" t="str">
        <f>IF(A2142="","",SUMIF(EXTRATO!$A$2:$A$3000,$A2142,EXTRATO!$J$2:$J$3000)+SUMIF(EXTRATO!$A$2:$A$3000,$A2142,EXTRATO!$K$2:$K$3000)+SUMIF(EXTRATO!$A$2:$A$3000,$A2142,EXTRATO!$L$2:$L$3000)+SUMIF(EXTRATO!$A$2:$A$3000,$A2142,EXTRATO!$M$2:$M$3000))</f>
        <v/>
      </c>
      <c r="G2142" s="81" t="str">
        <f>IF(A2142="","",IF(INDEX(EXTRATO!$G$2:$G$3000,MATCH($A2142,EXTRATO!$A$2:$A$3000,0))="","",INDEX(EXTRATO!$G$2:$G$3000,MATCH($A2142,EXTRATO!$A$2:$A$3000,0))))</f>
        <v/>
      </c>
      <c r="H2142" s="86" t="str">
        <f>IF(A2142="","",IF(INDEX(EXTRATO!$F$2:$F$3000,MATCH($A2142,EXTRATO!$A$2:$A$3000,0))="","",INDEX(EXTRATO!$F$2:$F$3000,MATCH($A2142,EXTRATO!$A$2:$A$3000,0))))</f>
        <v/>
      </c>
      <c r="I2142" s="88" t="str">
        <f>IF(A2142="","",IF(INDEX(EXTRATO!$H$2:$H$3000,MATCH($A2142,EXTRATO!$A$2:$A$3000,0))="","",INDEX(EXTRATO!$H$2:$H$3000,MATCH($A2142,EXTRATO!$A$2:$A$3000,0))))</f>
        <v/>
      </c>
      <c r="J2142" s="86" t="str">
        <f t="shared" si="53"/>
        <v/>
      </c>
      <c r="K2142" s="86" t="str">
        <f>IF(AND(A2142="",D2142="",E2142="",F2142=""),"",IF(D2142="","SEM CATEGORIA",IF(E2142="","SEM SUBCATEGORIA",IF(COUNTIFS(CADASTROS!$L$7:$L$93,D2142,CADASTROS!$D$7:$D$93,E2142)=0,"INCOMPATÍVEL","OK"))))</f>
        <v/>
      </c>
    </row>
    <row r="2143" spans="1:11" ht="30" hidden="1" customHeight="1" x14ac:dyDescent="0.25">
      <c r="A2143" s="86" t="str">
        <f>IF(COUNTIF(EXTRATO!$A$2:$A$3000,"BAN-02000")=0,"","BAN-02000")</f>
        <v/>
      </c>
      <c r="B2143" s="85" t="str">
        <f>IF(A2143="","",IF(INDEX(EXTRATO!$C$2:$C$3000,MATCH($A2143,EXTRATO!$A$2:$A$3000,0))="","",INDEX(EXTRATO!$C$2:$C$3000,MATCH($A2143,EXTRATO!$A$2:$A$3000,0))))</f>
        <v/>
      </c>
      <c r="C2143" s="86" t="str">
        <f t="shared" si="54"/>
        <v/>
      </c>
      <c r="D2143" s="81"/>
      <c r="E2143" s="79"/>
      <c r="F2143" s="80" t="str">
        <f>IF(A2143="","",SUMIF(EXTRATO!$A$2:$A$3000,$A2143,EXTRATO!$J$2:$J$3000)+SUMIF(EXTRATO!$A$2:$A$3000,$A2143,EXTRATO!$K$2:$K$3000)+SUMIF(EXTRATO!$A$2:$A$3000,$A2143,EXTRATO!$L$2:$L$3000)+SUMIF(EXTRATO!$A$2:$A$3000,$A2143,EXTRATO!$M$2:$M$3000))</f>
        <v/>
      </c>
      <c r="G2143" s="81" t="str">
        <f>IF(A2143="","",IF(INDEX(EXTRATO!$G$2:$G$3000,MATCH($A2143,EXTRATO!$A$2:$A$3000,0))="","",INDEX(EXTRATO!$G$2:$G$3000,MATCH($A2143,EXTRATO!$A$2:$A$3000,0))))</f>
        <v/>
      </c>
      <c r="H2143" s="86" t="str">
        <f>IF(A2143="","",IF(INDEX(EXTRATO!$F$2:$F$3000,MATCH($A2143,EXTRATO!$A$2:$A$3000,0))="","",INDEX(EXTRATO!$F$2:$F$3000,MATCH($A2143,EXTRATO!$A$2:$A$3000,0))))</f>
        <v/>
      </c>
      <c r="I2143" s="88" t="str">
        <f>IF(A2143="","",IF(INDEX(EXTRATO!$H$2:$H$3000,MATCH($A2143,EXTRATO!$A$2:$A$3000,0))="","",INDEX(EXTRATO!$H$2:$H$3000,MATCH($A2143,EXTRATO!$A$2:$A$3000,0))))</f>
        <v/>
      </c>
      <c r="J2143" s="86" t="str">
        <f t="shared" si="53"/>
        <v/>
      </c>
      <c r="K2143" s="86" t="str">
        <f>IF(AND(A2143="",D2143="",E2143="",F2143=""),"",IF(D2143="","SEM CATEGORIA",IF(E2143="","SEM SUBCATEGORIA",IF(COUNTIFS(CADASTROS!$L$7:$L$93,D2143,CADASTROS!$D$7:$D$93,E2143)=0,"INCOMPATÍVEL","OK"))))</f>
        <v/>
      </c>
    </row>
    <row r="2144" spans="1:11" ht="30" hidden="1" customHeight="1" x14ac:dyDescent="0.25">
      <c r="A2144" s="86" t="str">
        <f>IF(COUNTIF(EXTRATO!$A$2:$A$3000,"BAN-02001")=0,"","BAN-02001")</f>
        <v/>
      </c>
      <c r="B2144" s="85" t="str">
        <f>IF(A2144="","",IF(INDEX(EXTRATO!$C$2:$C$3000,MATCH($A2144,EXTRATO!$A$2:$A$3000,0))="","",INDEX(EXTRATO!$C$2:$C$3000,MATCH($A2144,EXTRATO!$A$2:$A$3000,0))))</f>
        <v/>
      </c>
      <c r="C2144" s="86" t="str">
        <f t="shared" si="54"/>
        <v/>
      </c>
      <c r="D2144" s="81"/>
      <c r="E2144" s="79"/>
      <c r="F2144" s="80" t="str">
        <f>IF(A2144="","",SUMIF(EXTRATO!$A$2:$A$3000,$A2144,EXTRATO!$J$2:$J$3000)+SUMIF(EXTRATO!$A$2:$A$3000,$A2144,EXTRATO!$K$2:$K$3000)+SUMIF(EXTRATO!$A$2:$A$3000,$A2144,EXTRATO!$L$2:$L$3000)+SUMIF(EXTRATO!$A$2:$A$3000,$A2144,EXTRATO!$M$2:$M$3000))</f>
        <v/>
      </c>
      <c r="G2144" s="81" t="str">
        <f>IF(A2144="","",IF(INDEX(EXTRATO!$G$2:$G$3000,MATCH($A2144,EXTRATO!$A$2:$A$3000,0))="","",INDEX(EXTRATO!$G$2:$G$3000,MATCH($A2144,EXTRATO!$A$2:$A$3000,0))))</f>
        <v/>
      </c>
      <c r="H2144" s="86" t="str">
        <f>IF(A2144="","",IF(INDEX(EXTRATO!$F$2:$F$3000,MATCH($A2144,EXTRATO!$A$2:$A$3000,0))="","",INDEX(EXTRATO!$F$2:$F$3000,MATCH($A2144,EXTRATO!$A$2:$A$3000,0))))</f>
        <v/>
      </c>
      <c r="I2144" s="88" t="str">
        <f>IF(A2144="","",IF(INDEX(EXTRATO!$H$2:$H$3000,MATCH($A2144,EXTRATO!$A$2:$A$3000,0))="","",INDEX(EXTRATO!$H$2:$H$3000,MATCH($A2144,EXTRATO!$A$2:$A$3000,0))))</f>
        <v/>
      </c>
      <c r="J2144" s="86" t="str">
        <f t="shared" si="53"/>
        <v/>
      </c>
      <c r="K2144" s="86" t="str">
        <f>IF(AND(A2144="",D2144="",E2144="",F2144=""),"",IF(D2144="","SEM CATEGORIA",IF(E2144="","SEM SUBCATEGORIA",IF(COUNTIFS(CADASTROS!$L$7:$L$93,D2144,CADASTROS!$D$7:$D$93,E2144)=0,"INCOMPATÍVEL","OK"))))</f>
        <v/>
      </c>
    </row>
    <row r="2145" spans="1:11" ht="30" hidden="1" customHeight="1" x14ac:dyDescent="0.25">
      <c r="A2145" s="86" t="str">
        <f>IF(COUNTIF(EXTRATO!$A$2:$A$3000,"BAN-02002")=0,"","BAN-02002")</f>
        <v/>
      </c>
      <c r="B2145" s="85" t="str">
        <f>IF(A2145="","",IF(INDEX(EXTRATO!$C$2:$C$3000,MATCH($A2145,EXTRATO!$A$2:$A$3000,0))="","",INDEX(EXTRATO!$C$2:$C$3000,MATCH($A2145,EXTRATO!$A$2:$A$3000,0))))</f>
        <v/>
      </c>
      <c r="C2145" s="86" t="str">
        <f t="shared" si="54"/>
        <v/>
      </c>
      <c r="D2145" s="81"/>
      <c r="E2145" s="79"/>
      <c r="F2145" s="80" t="str">
        <f>IF(A2145="","",SUMIF(EXTRATO!$A$2:$A$3000,$A2145,EXTRATO!$J$2:$J$3000)+SUMIF(EXTRATO!$A$2:$A$3000,$A2145,EXTRATO!$K$2:$K$3000)+SUMIF(EXTRATO!$A$2:$A$3000,$A2145,EXTRATO!$L$2:$L$3000)+SUMIF(EXTRATO!$A$2:$A$3000,$A2145,EXTRATO!$M$2:$M$3000))</f>
        <v/>
      </c>
      <c r="G2145" s="81" t="str">
        <f>IF(A2145="","",IF(INDEX(EXTRATO!$G$2:$G$3000,MATCH($A2145,EXTRATO!$A$2:$A$3000,0))="","",INDEX(EXTRATO!$G$2:$G$3000,MATCH($A2145,EXTRATO!$A$2:$A$3000,0))))</f>
        <v/>
      </c>
      <c r="H2145" s="86" t="str">
        <f>IF(A2145="","",IF(INDEX(EXTRATO!$F$2:$F$3000,MATCH($A2145,EXTRATO!$A$2:$A$3000,0))="","",INDEX(EXTRATO!$F$2:$F$3000,MATCH($A2145,EXTRATO!$A$2:$A$3000,0))))</f>
        <v/>
      </c>
      <c r="I2145" s="88" t="str">
        <f>IF(A2145="","",IF(INDEX(EXTRATO!$H$2:$H$3000,MATCH($A2145,EXTRATO!$A$2:$A$3000,0))="","",INDEX(EXTRATO!$H$2:$H$3000,MATCH($A2145,EXTRATO!$A$2:$A$3000,0))))</f>
        <v/>
      </c>
      <c r="J2145" s="86" t="str">
        <f t="shared" si="53"/>
        <v/>
      </c>
      <c r="K2145" s="86" t="str">
        <f>IF(AND(A2145="",D2145="",E2145="",F2145=""),"",IF(D2145="","SEM CATEGORIA",IF(E2145="","SEM SUBCATEGORIA",IF(COUNTIFS(CADASTROS!$L$7:$L$93,D2145,CADASTROS!$D$7:$D$93,E2145)=0,"INCOMPATÍVEL","OK"))))</f>
        <v/>
      </c>
    </row>
    <row r="2146" spans="1:11" ht="30" hidden="1" customHeight="1" x14ac:dyDescent="0.25">
      <c r="A2146" s="86" t="str">
        <f>IF(COUNTIF(EXTRATO!$A$2:$A$3000,"BAN-02003")=0,"","BAN-02003")</f>
        <v/>
      </c>
      <c r="B2146" s="85" t="str">
        <f>IF(A2146="","",IF(INDEX(EXTRATO!$C$2:$C$3000,MATCH($A2146,EXTRATO!$A$2:$A$3000,0))="","",INDEX(EXTRATO!$C$2:$C$3000,MATCH($A2146,EXTRATO!$A$2:$A$3000,0))))</f>
        <v/>
      </c>
      <c r="C2146" s="86" t="str">
        <f t="shared" si="54"/>
        <v/>
      </c>
      <c r="D2146" s="81"/>
      <c r="E2146" s="79"/>
      <c r="F2146" s="80" t="str">
        <f>IF(A2146="","",SUMIF(EXTRATO!$A$2:$A$3000,$A2146,EXTRATO!$J$2:$J$3000)+SUMIF(EXTRATO!$A$2:$A$3000,$A2146,EXTRATO!$K$2:$K$3000)+SUMIF(EXTRATO!$A$2:$A$3000,$A2146,EXTRATO!$L$2:$L$3000)+SUMIF(EXTRATO!$A$2:$A$3000,$A2146,EXTRATO!$M$2:$M$3000))</f>
        <v/>
      </c>
      <c r="G2146" s="81" t="str">
        <f>IF(A2146="","",IF(INDEX(EXTRATO!$G$2:$G$3000,MATCH($A2146,EXTRATO!$A$2:$A$3000,0))="","",INDEX(EXTRATO!$G$2:$G$3000,MATCH($A2146,EXTRATO!$A$2:$A$3000,0))))</f>
        <v/>
      </c>
      <c r="H2146" s="86" t="str">
        <f>IF(A2146="","",IF(INDEX(EXTRATO!$F$2:$F$3000,MATCH($A2146,EXTRATO!$A$2:$A$3000,0))="","",INDEX(EXTRATO!$F$2:$F$3000,MATCH($A2146,EXTRATO!$A$2:$A$3000,0))))</f>
        <v/>
      </c>
      <c r="I2146" s="88" t="str">
        <f>IF(A2146="","",IF(INDEX(EXTRATO!$H$2:$H$3000,MATCH($A2146,EXTRATO!$A$2:$A$3000,0))="","",INDEX(EXTRATO!$H$2:$H$3000,MATCH($A2146,EXTRATO!$A$2:$A$3000,0))))</f>
        <v/>
      </c>
      <c r="J2146" s="86" t="str">
        <f t="shared" si="53"/>
        <v/>
      </c>
      <c r="K2146" s="86" t="str">
        <f>IF(AND(A2146="",D2146="",E2146="",F2146=""),"",IF(D2146="","SEM CATEGORIA",IF(E2146="","SEM SUBCATEGORIA",IF(COUNTIFS(CADASTROS!$L$7:$L$93,D2146,CADASTROS!$D$7:$D$93,E2146)=0,"INCOMPATÍVEL","OK"))))</f>
        <v/>
      </c>
    </row>
    <row r="2147" spans="1:11" ht="30" hidden="1" customHeight="1" x14ac:dyDescent="0.25">
      <c r="A2147" s="86" t="str">
        <f>IF(COUNTIF(EXTRATO!$A$2:$A$3000,"BAN-02004")=0,"","BAN-02004")</f>
        <v/>
      </c>
      <c r="B2147" s="85" t="str">
        <f>IF(A2147="","",IF(INDEX(EXTRATO!$C$2:$C$3000,MATCH($A2147,EXTRATO!$A$2:$A$3000,0))="","",INDEX(EXTRATO!$C$2:$C$3000,MATCH($A2147,EXTRATO!$A$2:$A$3000,0))))</f>
        <v/>
      </c>
      <c r="C2147" s="86" t="str">
        <f t="shared" si="54"/>
        <v/>
      </c>
      <c r="D2147" s="81"/>
      <c r="E2147" s="79"/>
      <c r="F2147" s="80" t="str">
        <f>IF(A2147="","",SUMIF(EXTRATO!$A$2:$A$3000,$A2147,EXTRATO!$J$2:$J$3000)+SUMIF(EXTRATO!$A$2:$A$3000,$A2147,EXTRATO!$K$2:$K$3000)+SUMIF(EXTRATO!$A$2:$A$3000,$A2147,EXTRATO!$L$2:$L$3000)+SUMIF(EXTRATO!$A$2:$A$3000,$A2147,EXTRATO!$M$2:$M$3000))</f>
        <v/>
      </c>
      <c r="G2147" s="81" t="str">
        <f>IF(A2147="","",IF(INDEX(EXTRATO!$G$2:$G$3000,MATCH($A2147,EXTRATO!$A$2:$A$3000,0))="","",INDEX(EXTRATO!$G$2:$G$3000,MATCH($A2147,EXTRATO!$A$2:$A$3000,0))))</f>
        <v/>
      </c>
      <c r="H2147" s="86" t="str">
        <f>IF(A2147="","",IF(INDEX(EXTRATO!$F$2:$F$3000,MATCH($A2147,EXTRATO!$A$2:$A$3000,0))="","",INDEX(EXTRATO!$F$2:$F$3000,MATCH($A2147,EXTRATO!$A$2:$A$3000,0))))</f>
        <v/>
      </c>
      <c r="I2147" s="88" t="str">
        <f>IF(A2147="","",IF(INDEX(EXTRATO!$H$2:$H$3000,MATCH($A2147,EXTRATO!$A$2:$A$3000,0))="","",INDEX(EXTRATO!$H$2:$H$3000,MATCH($A2147,EXTRATO!$A$2:$A$3000,0))))</f>
        <v/>
      </c>
      <c r="J2147" s="86" t="str">
        <f t="shared" si="53"/>
        <v/>
      </c>
      <c r="K2147" s="86" t="str">
        <f>IF(AND(A2147="",D2147="",E2147="",F2147=""),"",IF(D2147="","SEM CATEGORIA",IF(E2147="","SEM SUBCATEGORIA",IF(COUNTIFS(CADASTROS!$L$7:$L$93,D2147,CADASTROS!$D$7:$D$93,E2147)=0,"INCOMPATÍVEL","OK"))))</f>
        <v/>
      </c>
    </row>
    <row r="2148" spans="1:11" ht="30" hidden="1" customHeight="1" x14ac:dyDescent="0.25">
      <c r="A2148" s="86" t="str">
        <f>IF(COUNTIF(EXTRATO!$A$2:$A$3000,"BAN-02005")=0,"","BAN-02005")</f>
        <v/>
      </c>
      <c r="B2148" s="85" t="str">
        <f>IF(A2148="","",IF(INDEX(EXTRATO!$C$2:$C$3000,MATCH($A2148,EXTRATO!$A$2:$A$3000,0))="","",INDEX(EXTRATO!$C$2:$C$3000,MATCH($A2148,EXTRATO!$A$2:$A$3000,0))))</f>
        <v/>
      </c>
      <c r="C2148" s="86" t="str">
        <f t="shared" si="54"/>
        <v/>
      </c>
      <c r="D2148" s="81"/>
      <c r="E2148" s="79"/>
      <c r="F2148" s="80" t="str">
        <f>IF(A2148="","",SUMIF(EXTRATO!$A$2:$A$3000,$A2148,EXTRATO!$J$2:$J$3000)+SUMIF(EXTRATO!$A$2:$A$3000,$A2148,EXTRATO!$K$2:$K$3000)+SUMIF(EXTRATO!$A$2:$A$3000,$A2148,EXTRATO!$L$2:$L$3000)+SUMIF(EXTRATO!$A$2:$A$3000,$A2148,EXTRATO!$M$2:$M$3000))</f>
        <v/>
      </c>
      <c r="G2148" s="81" t="str">
        <f>IF(A2148="","",IF(INDEX(EXTRATO!$G$2:$G$3000,MATCH($A2148,EXTRATO!$A$2:$A$3000,0))="","",INDEX(EXTRATO!$G$2:$G$3000,MATCH($A2148,EXTRATO!$A$2:$A$3000,0))))</f>
        <v/>
      </c>
      <c r="H2148" s="86" t="str">
        <f>IF(A2148="","",IF(INDEX(EXTRATO!$F$2:$F$3000,MATCH($A2148,EXTRATO!$A$2:$A$3000,0))="","",INDEX(EXTRATO!$F$2:$F$3000,MATCH($A2148,EXTRATO!$A$2:$A$3000,0))))</f>
        <v/>
      </c>
      <c r="I2148" s="88" t="str">
        <f>IF(A2148="","",IF(INDEX(EXTRATO!$H$2:$H$3000,MATCH($A2148,EXTRATO!$A$2:$A$3000,0))="","",INDEX(EXTRATO!$H$2:$H$3000,MATCH($A2148,EXTRATO!$A$2:$A$3000,0))))</f>
        <v/>
      </c>
      <c r="J2148" s="86" t="str">
        <f t="shared" si="53"/>
        <v/>
      </c>
      <c r="K2148" s="86" t="str">
        <f>IF(AND(A2148="",D2148="",E2148="",F2148=""),"",IF(D2148="","SEM CATEGORIA",IF(E2148="","SEM SUBCATEGORIA",IF(COUNTIFS(CADASTROS!$L$7:$L$93,D2148,CADASTROS!$D$7:$D$93,E2148)=0,"INCOMPATÍVEL","OK"))))</f>
        <v/>
      </c>
    </row>
    <row r="2149" spans="1:11" ht="30" hidden="1" customHeight="1" x14ac:dyDescent="0.25">
      <c r="A2149" s="86" t="str">
        <f>IF(COUNTIF(EXTRATO!$A$2:$A$3000,"BAN-02006")=0,"","BAN-02006")</f>
        <v/>
      </c>
      <c r="B2149" s="85" t="str">
        <f>IF(A2149="","",IF(INDEX(EXTRATO!$C$2:$C$3000,MATCH($A2149,EXTRATO!$A$2:$A$3000,0))="","",INDEX(EXTRATO!$C$2:$C$3000,MATCH($A2149,EXTRATO!$A$2:$A$3000,0))))</f>
        <v/>
      </c>
      <c r="C2149" s="86" t="str">
        <f t="shared" si="54"/>
        <v/>
      </c>
      <c r="D2149" s="81"/>
      <c r="E2149" s="79"/>
      <c r="F2149" s="80" t="str">
        <f>IF(A2149="","",SUMIF(EXTRATO!$A$2:$A$3000,$A2149,EXTRATO!$J$2:$J$3000)+SUMIF(EXTRATO!$A$2:$A$3000,$A2149,EXTRATO!$K$2:$K$3000)+SUMIF(EXTRATO!$A$2:$A$3000,$A2149,EXTRATO!$L$2:$L$3000)+SUMIF(EXTRATO!$A$2:$A$3000,$A2149,EXTRATO!$M$2:$M$3000))</f>
        <v/>
      </c>
      <c r="G2149" s="81" t="str">
        <f>IF(A2149="","",IF(INDEX(EXTRATO!$G$2:$G$3000,MATCH($A2149,EXTRATO!$A$2:$A$3000,0))="","",INDEX(EXTRATO!$G$2:$G$3000,MATCH($A2149,EXTRATO!$A$2:$A$3000,0))))</f>
        <v/>
      </c>
      <c r="H2149" s="86" t="str">
        <f>IF(A2149="","",IF(INDEX(EXTRATO!$F$2:$F$3000,MATCH($A2149,EXTRATO!$A$2:$A$3000,0))="","",INDEX(EXTRATO!$F$2:$F$3000,MATCH($A2149,EXTRATO!$A$2:$A$3000,0))))</f>
        <v/>
      </c>
      <c r="I2149" s="88" t="str">
        <f>IF(A2149="","",IF(INDEX(EXTRATO!$H$2:$H$3000,MATCH($A2149,EXTRATO!$A$2:$A$3000,0))="","",INDEX(EXTRATO!$H$2:$H$3000,MATCH($A2149,EXTRATO!$A$2:$A$3000,0))))</f>
        <v/>
      </c>
      <c r="J2149" s="86" t="str">
        <f t="shared" si="53"/>
        <v/>
      </c>
      <c r="K2149" s="86" t="str">
        <f>IF(AND(A2149="",D2149="",E2149="",F2149=""),"",IF(D2149="","SEM CATEGORIA",IF(E2149="","SEM SUBCATEGORIA",IF(COUNTIFS(CADASTROS!$L$7:$L$93,D2149,CADASTROS!$D$7:$D$93,E2149)=0,"INCOMPATÍVEL","OK"))))</f>
        <v/>
      </c>
    </row>
    <row r="2150" spans="1:11" ht="30" hidden="1" customHeight="1" x14ac:dyDescent="0.25">
      <c r="A2150" s="86" t="str">
        <f>IF(COUNTIF(EXTRATO!$A$2:$A$3000,"BAN-02007")=0,"","BAN-02007")</f>
        <v/>
      </c>
      <c r="B2150" s="85" t="str">
        <f>IF(A2150="","",IF(INDEX(EXTRATO!$C$2:$C$3000,MATCH($A2150,EXTRATO!$A$2:$A$3000,0))="","",INDEX(EXTRATO!$C$2:$C$3000,MATCH($A2150,EXTRATO!$A$2:$A$3000,0))))</f>
        <v/>
      </c>
      <c r="C2150" s="86" t="str">
        <f t="shared" si="54"/>
        <v/>
      </c>
      <c r="D2150" s="81"/>
      <c r="E2150" s="79"/>
      <c r="F2150" s="80" t="str">
        <f>IF(A2150="","",SUMIF(EXTRATO!$A$2:$A$3000,$A2150,EXTRATO!$J$2:$J$3000)+SUMIF(EXTRATO!$A$2:$A$3000,$A2150,EXTRATO!$K$2:$K$3000)+SUMIF(EXTRATO!$A$2:$A$3000,$A2150,EXTRATO!$L$2:$L$3000)+SUMIF(EXTRATO!$A$2:$A$3000,$A2150,EXTRATO!$M$2:$M$3000))</f>
        <v/>
      </c>
      <c r="G2150" s="81" t="str">
        <f>IF(A2150="","",IF(INDEX(EXTRATO!$G$2:$G$3000,MATCH($A2150,EXTRATO!$A$2:$A$3000,0))="","",INDEX(EXTRATO!$G$2:$G$3000,MATCH($A2150,EXTRATO!$A$2:$A$3000,0))))</f>
        <v/>
      </c>
      <c r="H2150" s="86" t="str">
        <f>IF(A2150="","",IF(INDEX(EXTRATO!$F$2:$F$3000,MATCH($A2150,EXTRATO!$A$2:$A$3000,0))="","",INDEX(EXTRATO!$F$2:$F$3000,MATCH($A2150,EXTRATO!$A$2:$A$3000,0))))</f>
        <v/>
      </c>
      <c r="I2150" s="88" t="str">
        <f>IF(A2150="","",IF(INDEX(EXTRATO!$H$2:$H$3000,MATCH($A2150,EXTRATO!$A$2:$A$3000,0))="","",INDEX(EXTRATO!$H$2:$H$3000,MATCH($A2150,EXTRATO!$A$2:$A$3000,0))))</f>
        <v/>
      </c>
      <c r="J2150" s="86" t="str">
        <f t="shared" si="53"/>
        <v/>
      </c>
      <c r="K2150" s="86" t="str">
        <f>IF(AND(A2150="",D2150="",E2150="",F2150=""),"",IF(D2150="","SEM CATEGORIA",IF(E2150="","SEM SUBCATEGORIA",IF(COUNTIFS(CADASTROS!$L$7:$L$93,D2150,CADASTROS!$D$7:$D$93,E2150)=0,"INCOMPATÍVEL","OK"))))</f>
        <v/>
      </c>
    </row>
    <row r="2151" spans="1:11" ht="30" hidden="1" customHeight="1" x14ac:dyDescent="0.25">
      <c r="A2151" s="86" t="str">
        <f>IF(COUNTIF(EXTRATO!$A$2:$A$3000,"BAN-02008")=0,"","BAN-02008")</f>
        <v/>
      </c>
      <c r="B2151" s="85" t="str">
        <f>IF(A2151="","",IF(INDEX(EXTRATO!$C$2:$C$3000,MATCH($A2151,EXTRATO!$A$2:$A$3000,0))="","",INDEX(EXTRATO!$C$2:$C$3000,MATCH($A2151,EXTRATO!$A$2:$A$3000,0))))</f>
        <v/>
      </c>
      <c r="C2151" s="86" t="str">
        <f t="shared" si="54"/>
        <v/>
      </c>
      <c r="D2151" s="81"/>
      <c r="E2151" s="79"/>
      <c r="F2151" s="80" t="str">
        <f>IF(A2151="","",SUMIF(EXTRATO!$A$2:$A$3000,$A2151,EXTRATO!$J$2:$J$3000)+SUMIF(EXTRATO!$A$2:$A$3000,$A2151,EXTRATO!$K$2:$K$3000)+SUMIF(EXTRATO!$A$2:$A$3000,$A2151,EXTRATO!$L$2:$L$3000)+SUMIF(EXTRATO!$A$2:$A$3000,$A2151,EXTRATO!$M$2:$M$3000))</f>
        <v/>
      </c>
      <c r="G2151" s="81" t="str">
        <f>IF(A2151="","",IF(INDEX(EXTRATO!$G$2:$G$3000,MATCH($A2151,EXTRATO!$A$2:$A$3000,0))="","",INDEX(EXTRATO!$G$2:$G$3000,MATCH($A2151,EXTRATO!$A$2:$A$3000,0))))</f>
        <v/>
      </c>
      <c r="H2151" s="86" t="str">
        <f>IF(A2151="","",IF(INDEX(EXTRATO!$F$2:$F$3000,MATCH($A2151,EXTRATO!$A$2:$A$3000,0))="","",INDEX(EXTRATO!$F$2:$F$3000,MATCH($A2151,EXTRATO!$A$2:$A$3000,0))))</f>
        <v/>
      </c>
      <c r="I2151" s="88" t="str">
        <f>IF(A2151="","",IF(INDEX(EXTRATO!$H$2:$H$3000,MATCH($A2151,EXTRATO!$A$2:$A$3000,0))="","",INDEX(EXTRATO!$H$2:$H$3000,MATCH($A2151,EXTRATO!$A$2:$A$3000,0))))</f>
        <v/>
      </c>
      <c r="J2151" s="86" t="str">
        <f t="shared" si="53"/>
        <v/>
      </c>
      <c r="K2151" s="86" t="str">
        <f>IF(AND(A2151="",D2151="",E2151="",F2151=""),"",IF(D2151="","SEM CATEGORIA",IF(E2151="","SEM SUBCATEGORIA",IF(COUNTIFS(CADASTROS!$L$7:$L$93,D2151,CADASTROS!$D$7:$D$93,E2151)=0,"INCOMPATÍVEL","OK"))))</f>
        <v/>
      </c>
    </row>
    <row r="2152" spans="1:11" ht="30" hidden="1" customHeight="1" x14ac:dyDescent="0.25">
      <c r="A2152" s="86" t="str">
        <f>IF(COUNTIF(EXTRATO!$A$2:$A$3000,"BAN-02009")=0,"","BAN-02009")</f>
        <v/>
      </c>
      <c r="B2152" s="85" t="str">
        <f>IF(A2152="","",IF(INDEX(EXTRATO!$C$2:$C$3000,MATCH($A2152,EXTRATO!$A$2:$A$3000,0))="","",INDEX(EXTRATO!$C$2:$C$3000,MATCH($A2152,EXTRATO!$A$2:$A$3000,0))))</f>
        <v/>
      </c>
      <c r="C2152" s="86" t="str">
        <f t="shared" si="54"/>
        <v/>
      </c>
      <c r="D2152" s="81"/>
      <c r="E2152" s="79"/>
      <c r="F2152" s="80" t="str">
        <f>IF(A2152="","",SUMIF(EXTRATO!$A$2:$A$3000,$A2152,EXTRATO!$J$2:$J$3000)+SUMIF(EXTRATO!$A$2:$A$3000,$A2152,EXTRATO!$K$2:$K$3000)+SUMIF(EXTRATO!$A$2:$A$3000,$A2152,EXTRATO!$L$2:$L$3000)+SUMIF(EXTRATO!$A$2:$A$3000,$A2152,EXTRATO!$M$2:$M$3000))</f>
        <v/>
      </c>
      <c r="G2152" s="81" t="str">
        <f>IF(A2152="","",IF(INDEX(EXTRATO!$G$2:$G$3000,MATCH($A2152,EXTRATO!$A$2:$A$3000,0))="","",INDEX(EXTRATO!$G$2:$G$3000,MATCH($A2152,EXTRATO!$A$2:$A$3000,0))))</f>
        <v/>
      </c>
      <c r="H2152" s="86" t="str">
        <f>IF(A2152="","",IF(INDEX(EXTRATO!$F$2:$F$3000,MATCH($A2152,EXTRATO!$A$2:$A$3000,0))="","",INDEX(EXTRATO!$F$2:$F$3000,MATCH($A2152,EXTRATO!$A$2:$A$3000,0))))</f>
        <v/>
      </c>
      <c r="I2152" s="88" t="str">
        <f>IF(A2152="","",IF(INDEX(EXTRATO!$H$2:$H$3000,MATCH($A2152,EXTRATO!$A$2:$A$3000,0))="","",INDEX(EXTRATO!$H$2:$H$3000,MATCH($A2152,EXTRATO!$A$2:$A$3000,0))))</f>
        <v/>
      </c>
      <c r="J2152" s="86" t="str">
        <f t="shared" si="53"/>
        <v/>
      </c>
      <c r="K2152" s="86" t="str">
        <f>IF(AND(A2152="",D2152="",E2152="",F2152=""),"",IF(D2152="","SEM CATEGORIA",IF(E2152="","SEM SUBCATEGORIA",IF(COUNTIFS(CADASTROS!$L$7:$L$93,D2152,CADASTROS!$D$7:$D$93,E2152)=0,"INCOMPATÍVEL","OK"))))</f>
        <v/>
      </c>
    </row>
    <row r="2153" spans="1:11" ht="30" hidden="1" customHeight="1" x14ac:dyDescent="0.25">
      <c r="A2153" s="86" t="str">
        <f>IF(COUNTIF(EXTRATO!$A$2:$A$3000,"BAN-02010")=0,"","BAN-02010")</f>
        <v/>
      </c>
      <c r="B2153" s="85" t="str">
        <f>IF(A2153="","",IF(INDEX(EXTRATO!$C$2:$C$3000,MATCH($A2153,EXTRATO!$A$2:$A$3000,0))="","",INDEX(EXTRATO!$C$2:$C$3000,MATCH($A2153,EXTRATO!$A$2:$A$3000,0))))</f>
        <v/>
      </c>
      <c r="C2153" s="86" t="str">
        <f t="shared" si="54"/>
        <v/>
      </c>
      <c r="D2153" s="81"/>
      <c r="E2153" s="79"/>
      <c r="F2153" s="80" t="str">
        <f>IF(A2153="","",SUMIF(EXTRATO!$A$2:$A$3000,$A2153,EXTRATO!$J$2:$J$3000)+SUMIF(EXTRATO!$A$2:$A$3000,$A2153,EXTRATO!$K$2:$K$3000)+SUMIF(EXTRATO!$A$2:$A$3000,$A2153,EXTRATO!$L$2:$L$3000)+SUMIF(EXTRATO!$A$2:$A$3000,$A2153,EXTRATO!$M$2:$M$3000))</f>
        <v/>
      </c>
      <c r="G2153" s="81" t="str">
        <f>IF(A2153="","",IF(INDEX(EXTRATO!$G$2:$G$3000,MATCH($A2153,EXTRATO!$A$2:$A$3000,0))="","",INDEX(EXTRATO!$G$2:$G$3000,MATCH($A2153,EXTRATO!$A$2:$A$3000,0))))</f>
        <v/>
      </c>
      <c r="H2153" s="86" t="str">
        <f>IF(A2153="","",IF(INDEX(EXTRATO!$F$2:$F$3000,MATCH($A2153,EXTRATO!$A$2:$A$3000,0))="","",INDEX(EXTRATO!$F$2:$F$3000,MATCH($A2153,EXTRATO!$A$2:$A$3000,0))))</f>
        <v/>
      </c>
      <c r="I2153" s="88" t="str">
        <f>IF(A2153="","",IF(INDEX(EXTRATO!$H$2:$H$3000,MATCH($A2153,EXTRATO!$A$2:$A$3000,0))="","",INDEX(EXTRATO!$H$2:$H$3000,MATCH($A2153,EXTRATO!$A$2:$A$3000,0))))</f>
        <v/>
      </c>
      <c r="J2153" s="86" t="str">
        <f t="shared" si="53"/>
        <v/>
      </c>
      <c r="K2153" s="86" t="str">
        <f>IF(AND(A2153="",D2153="",E2153="",F2153=""),"",IF(D2153="","SEM CATEGORIA",IF(E2153="","SEM SUBCATEGORIA",IF(COUNTIFS(CADASTROS!$L$7:$L$93,D2153,CADASTROS!$D$7:$D$93,E2153)=0,"INCOMPATÍVEL","OK"))))</f>
        <v/>
      </c>
    </row>
    <row r="2154" spans="1:11" ht="30" hidden="1" customHeight="1" x14ac:dyDescent="0.25">
      <c r="A2154" s="86" t="str">
        <f>IF(COUNTIF(EXTRATO!$A$2:$A$3000,"BAN-02011")=0,"","BAN-02011")</f>
        <v/>
      </c>
      <c r="B2154" s="85" t="str">
        <f>IF(A2154="","",IF(INDEX(EXTRATO!$C$2:$C$3000,MATCH($A2154,EXTRATO!$A$2:$A$3000,0))="","",INDEX(EXTRATO!$C$2:$C$3000,MATCH($A2154,EXTRATO!$A$2:$A$3000,0))))</f>
        <v/>
      </c>
      <c r="C2154" s="86" t="str">
        <f t="shared" si="54"/>
        <v/>
      </c>
      <c r="D2154" s="81"/>
      <c r="E2154" s="79"/>
      <c r="F2154" s="80" t="str">
        <f>IF(A2154="","",SUMIF(EXTRATO!$A$2:$A$3000,$A2154,EXTRATO!$J$2:$J$3000)+SUMIF(EXTRATO!$A$2:$A$3000,$A2154,EXTRATO!$K$2:$K$3000)+SUMIF(EXTRATO!$A$2:$A$3000,$A2154,EXTRATO!$L$2:$L$3000)+SUMIF(EXTRATO!$A$2:$A$3000,$A2154,EXTRATO!$M$2:$M$3000))</f>
        <v/>
      </c>
      <c r="G2154" s="81" t="str">
        <f>IF(A2154="","",IF(INDEX(EXTRATO!$G$2:$G$3000,MATCH($A2154,EXTRATO!$A$2:$A$3000,0))="","",INDEX(EXTRATO!$G$2:$G$3000,MATCH($A2154,EXTRATO!$A$2:$A$3000,0))))</f>
        <v/>
      </c>
      <c r="H2154" s="86" t="str">
        <f>IF(A2154="","",IF(INDEX(EXTRATO!$F$2:$F$3000,MATCH($A2154,EXTRATO!$A$2:$A$3000,0))="","",INDEX(EXTRATO!$F$2:$F$3000,MATCH($A2154,EXTRATO!$A$2:$A$3000,0))))</f>
        <v/>
      </c>
      <c r="I2154" s="88" t="str">
        <f>IF(A2154="","",IF(INDEX(EXTRATO!$H$2:$H$3000,MATCH($A2154,EXTRATO!$A$2:$A$3000,0))="","",INDEX(EXTRATO!$H$2:$H$3000,MATCH($A2154,EXTRATO!$A$2:$A$3000,0))))</f>
        <v/>
      </c>
      <c r="J2154" s="86" t="str">
        <f t="shared" si="53"/>
        <v/>
      </c>
      <c r="K2154" s="86" t="str">
        <f>IF(AND(A2154="",D2154="",E2154="",F2154=""),"",IF(D2154="","SEM CATEGORIA",IF(E2154="","SEM SUBCATEGORIA",IF(COUNTIFS(CADASTROS!$L$7:$L$93,D2154,CADASTROS!$D$7:$D$93,E2154)=0,"INCOMPATÍVEL","OK"))))</f>
        <v/>
      </c>
    </row>
    <row r="2155" spans="1:11" ht="30" hidden="1" customHeight="1" x14ac:dyDescent="0.25">
      <c r="A2155" s="86" t="str">
        <f>IF(COUNTIF(EXTRATO!$A$2:$A$3000,"BAN-02012")=0,"","BAN-02012")</f>
        <v/>
      </c>
      <c r="B2155" s="85" t="str">
        <f>IF(A2155="","",IF(INDEX(EXTRATO!$C$2:$C$3000,MATCH($A2155,EXTRATO!$A$2:$A$3000,0))="","",INDEX(EXTRATO!$C$2:$C$3000,MATCH($A2155,EXTRATO!$A$2:$A$3000,0))))</f>
        <v/>
      </c>
      <c r="C2155" s="86" t="str">
        <f t="shared" si="54"/>
        <v/>
      </c>
      <c r="D2155" s="81"/>
      <c r="E2155" s="79"/>
      <c r="F2155" s="80" t="str">
        <f>IF(A2155="","",SUMIF(EXTRATO!$A$2:$A$3000,$A2155,EXTRATO!$J$2:$J$3000)+SUMIF(EXTRATO!$A$2:$A$3000,$A2155,EXTRATO!$K$2:$K$3000)+SUMIF(EXTRATO!$A$2:$A$3000,$A2155,EXTRATO!$L$2:$L$3000)+SUMIF(EXTRATO!$A$2:$A$3000,$A2155,EXTRATO!$M$2:$M$3000))</f>
        <v/>
      </c>
      <c r="G2155" s="81" t="str">
        <f>IF(A2155="","",IF(INDEX(EXTRATO!$G$2:$G$3000,MATCH($A2155,EXTRATO!$A$2:$A$3000,0))="","",INDEX(EXTRATO!$G$2:$G$3000,MATCH($A2155,EXTRATO!$A$2:$A$3000,0))))</f>
        <v/>
      </c>
      <c r="H2155" s="86" t="str">
        <f>IF(A2155="","",IF(INDEX(EXTRATO!$F$2:$F$3000,MATCH($A2155,EXTRATO!$A$2:$A$3000,0))="","",INDEX(EXTRATO!$F$2:$F$3000,MATCH($A2155,EXTRATO!$A$2:$A$3000,0))))</f>
        <v/>
      </c>
      <c r="I2155" s="88" t="str">
        <f>IF(A2155="","",IF(INDEX(EXTRATO!$H$2:$H$3000,MATCH($A2155,EXTRATO!$A$2:$A$3000,0))="","",INDEX(EXTRATO!$H$2:$H$3000,MATCH($A2155,EXTRATO!$A$2:$A$3000,0))))</f>
        <v/>
      </c>
      <c r="J2155" s="86" t="str">
        <f t="shared" si="53"/>
        <v/>
      </c>
      <c r="K2155" s="86" t="str">
        <f>IF(AND(A2155="",D2155="",E2155="",F2155=""),"",IF(D2155="","SEM CATEGORIA",IF(E2155="","SEM SUBCATEGORIA",IF(COUNTIFS(CADASTROS!$L$7:$L$93,D2155,CADASTROS!$D$7:$D$93,E2155)=0,"INCOMPATÍVEL","OK"))))</f>
        <v/>
      </c>
    </row>
    <row r="2156" spans="1:11" ht="30" hidden="1" customHeight="1" x14ac:dyDescent="0.25">
      <c r="A2156" s="86" t="str">
        <f>IF(COUNTIF(EXTRATO!$A$2:$A$3000,"BAN-02013")=0,"","BAN-02013")</f>
        <v/>
      </c>
      <c r="B2156" s="85" t="str">
        <f>IF(A2156="","",IF(INDEX(EXTRATO!$C$2:$C$3000,MATCH($A2156,EXTRATO!$A$2:$A$3000,0))="","",INDEX(EXTRATO!$C$2:$C$3000,MATCH($A2156,EXTRATO!$A$2:$A$3000,0))))</f>
        <v/>
      </c>
      <c r="C2156" s="86" t="str">
        <f t="shared" si="54"/>
        <v/>
      </c>
      <c r="D2156" s="81"/>
      <c r="E2156" s="79"/>
      <c r="F2156" s="80" t="str">
        <f>IF(A2156="","",SUMIF(EXTRATO!$A$2:$A$3000,$A2156,EXTRATO!$J$2:$J$3000)+SUMIF(EXTRATO!$A$2:$A$3000,$A2156,EXTRATO!$K$2:$K$3000)+SUMIF(EXTRATO!$A$2:$A$3000,$A2156,EXTRATO!$L$2:$L$3000)+SUMIF(EXTRATO!$A$2:$A$3000,$A2156,EXTRATO!$M$2:$M$3000))</f>
        <v/>
      </c>
      <c r="G2156" s="81" t="str">
        <f>IF(A2156="","",IF(INDEX(EXTRATO!$G$2:$G$3000,MATCH($A2156,EXTRATO!$A$2:$A$3000,0))="","",INDEX(EXTRATO!$G$2:$G$3000,MATCH($A2156,EXTRATO!$A$2:$A$3000,0))))</f>
        <v/>
      </c>
      <c r="H2156" s="86" t="str">
        <f>IF(A2156="","",IF(INDEX(EXTRATO!$F$2:$F$3000,MATCH($A2156,EXTRATO!$A$2:$A$3000,0))="","",INDEX(EXTRATO!$F$2:$F$3000,MATCH($A2156,EXTRATO!$A$2:$A$3000,0))))</f>
        <v/>
      </c>
      <c r="I2156" s="88" t="str">
        <f>IF(A2156="","",IF(INDEX(EXTRATO!$H$2:$H$3000,MATCH($A2156,EXTRATO!$A$2:$A$3000,0))="","",INDEX(EXTRATO!$H$2:$H$3000,MATCH($A2156,EXTRATO!$A$2:$A$3000,0))))</f>
        <v/>
      </c>
      <c r="J2156" s="86" t="str">
        <f t="shared" ref="J2156:J2219" si="55">IF(A2156="","",IF(K2156="OK","MANUAL","PENDENTE"))</f>
        <v/>
      </c>
      <c r="K2156" s="86" t="str">
        <f>IF(AND(A2156="",D2156="",E2156="",F2156=""),"",IF(D2156="","SEM CATEGORIA",IF(E2156="","SEM SUBCATEGORIA",IF(COUNTIFS(CADASTROS!$L$7:$L$93,D2156,CADASTROS!$D$7:$D$93,E2156)=0,"INCOMPATÍVEL","OK"))))</f>
        <v/>
      </c>
    </row>
    <row r="2157" spans="1:11" ht="30" hidden="1" customHeight="1" x14ac:dyDescent="0.25">
      <c r="A2157" s="86" t="str">
        <f>IF(COUNTIF(EXTRATO!$A$2:$A$3000,"BAN-02014")=0,"","BAN-02014")</f>
        <v/>
      </c>
      <c r="B2157" s="85" t="str">
        <f>IF(A2157="","",IF(INDEX(EXTRATO!$C$2:$C$3000,MATCH($A2157,EXTRATO!$A$2:$A$3000,0))="","",INDEX(EXTRATO!$C$2:$C$3000,MATCH($A2157,EXTRATO!$A$2:$A$3000,0))))</f>
        <v/>
      </c>
      <c r="C2157" s="86" t="str">
        <f t="shared" si="54"/>
        <v/>
      </c>
      <c r="D2157" s="81"/>
      <c r="E2157" s="79"/>
      <c r="F2157" s="80" t="str">
        <f>IF(A2157="","",SUMIF(EXTRATO!$A$2:$A$3000,$A2157,EXTRATO!$J$2:$J$3000)+SUMIF(EXTRATO!$A$2:$A$3000,$A2157,EXTRATO!$K$2:$K$3000)+SUMIF(EXTRATO!$A$2:$A$3000,$A2157,EXTRATO!$L$2:$L$3000)+SUMIF(EXTRATO!$A$2:$A$3000,$A2157,EXTRATO!$M$2:$M$3000))</f>
        <v/>
      </c>
      <c r="G2157" s="81" t="str">
        <f>IF(A2157="","",IF(INDEX(EXTRATO!$G$2:$G$3000,MATCH($A2157,EXTRATO!$A$2:$A$3000,0))="","",INDEX(EXTRATO!$G$2:$G$3000,MATCH($A2157,EXTRATO!$A$2:$A$3000,0))))</f>
        <v/>
      </c>
      <c r="H2157" s="86" t="str">
        <f>IF(A2157="","",IF(INDEX(EXTRATO!$F$2:$F$3000,MATCH($A2157,EXTRATO!$A$2:$A$3000,0))="","",INDEX(EXTRATO!$F$2:$F$3000,MATCH($A2157,EXTRATO!$A$2:$A$3000,0))))</f>
        <v/>
      </c>
      <c r="I2157" s="88" t="str">
        <f>IF(A2157="","",IF(INDEX(EXTRATO!$H$2:$H$3000,MATCH($A2157,EXTRATO!$A$2:$A$3000,0))="","",INDEX(EXTRATO!$H$2:$H$3000,MATCH($A2157,EXTRATO!$A$2:$A$3000,0))))</f>
        <v/>
      </c>
      <c r="J2157" s="86" t="str">
        <f t="shared" si="55"/>
        <v/>
      </c>
      <c r="K2157" s="86" t="str">
        <f>IF(AND(A2157="",D2157="",E2157="",F2157=""),"",IF(D2157="","SEM CATEGORIA",IF(E2157="","SEM SUBCATEGORIA",IF(COUNTIFS(CADASTROS!$L$7:$L$93,D2157,CADASTROS!$D$7:$D$93,E2157)=0,"INCOMPATÍVEL","OK"))))</f>
        <v/>
      </c>
    </row>
    <row r="2158" spans="1:11" ht="30" hidden="1" customHeight="1" x14ac:dyDescent="0.25">
      <c r="A2158" s="86" t="str">
        <f>IF(COUNTIF(EXTRATO!$A$2:$A$3000,"BAN-02015")=0,"","BAN-02015")</f>
        <v/>
      </c>
      <c r="B2158" s="85" t="str">
        <f>IF(A2158="","",IF(INDEX(EXTRATO!$C$2:$C$3000,MATCH($A2158,EXTRATO!$A$2:$A$3000,0))="","",INDEX(EXTRATO!$C$2:$C$3000,MATCH($A2158,EXTRATO!$A$2:$A$3000,0))))</f>
        <v/>
      </c>
      <c r="C2158" s="86" t="str">
        <f t="shared" si="54"/>
        <v/>
      </c>
      <c r="D2158" s="81"/>
      <c r="E2158" s="79"/>
      <c r="F2158" s="80" t="str">
        <f>IF(A2158="","",SUMIF(EXTRATO!$A$2:$A$3000,$A2158,EXTRATO!$J$2:$J$3000)+SUMIF(EXTRATO!$A$2:$A$3000,$A2158,EXTRATO!$K$2:$K$3000)+SUMIF(EXTRATO!$A$2:$A$3000,$A2158,EXTRATO!$L$2:$L$3000)+SUMIF(EXTRATO!$A$2:$A$3000,$A2158,EXTRATO!$M$2:$M$3000))</f>
        <v/>
      </c>
      <c r="G2158" s="81" t="str">
        <f>IF(A2158="","",IF(INDEX(EXTRATO!$G$2:$G$3000,MATCH($A2158,EXTRATO!$A$2:$A$3000,0))="","",INDEX(EXTRATO!$G$2:$G$3000,MATCH($A2158,EXTRATO!$A$2:$A$3000,0))))</f>
        <v/>
      </c>
      <c r="H2158" s="86" t="str">
        <f>IF(A2158="","",IF(INDEX(EXTRATO!$F$2:$F$3000,MATCH($A2158,EXTRATO!$A$2:$A$3000,0))="","",INDEX(EXTRATO!$F$2:$F$3000,MATCH($A2158,EXTRATO!$A$2:$A$3000,0))))</f>
        <v/>
      </c>
      <c r="I2158" s="88" t="str">
        <f>IF(A2158="","",IF(INDEX(EXTRATO!$H$2:$H$3000,MATCH($A2158,EXTRATO!$A$2:$A$3000,0))="","",INDEX(EXTRATO!$H$2:$H$3000,MATCH($A2158,EXTRATO!$A$2:$A$3000,0))))</f>
        <v/>
      </c>
      <c r="J2158" s="86" t="str">
        <f t="shared" si="55"/>
        <v/>
      </c>
      <c r="K2158" s="86" t="str">
        <f>IF(AND(A2158="",D2158="",E2158="",F2158=""),"",IF(D2158="","SEM CATEGORIA",IF(E2158="","SEM SUBCATEGORIA",IF(COUNTIFS(CADASTROS!$L$7:$L$93,D2158,CADASTROS!$D$7:$D$93,E2158)=0,"INCOMPATÍVEL","OK"))))</f>
        <v/>
      </c>
    </row>
    <row r="2159" spans="1:11" ht="30" hidden="1" customHeight="1" x14ac:dyDescent="0.25">
      <c r="A2159" s="86" t="str">
        <f>IF(COUNTIF(EXTRATO!$A$2:$A$3000,"BAN-02016")=0,"","BAN-02016")</f>
        <v/>
      </c>
      <c r="B2159" s="85" t="str">
        <f>IF(A2159="","",IF(INDEX(EXTRATO!$C$2:$C$3000,MATCH($A2159,EXTRATO!$A$2:$A$3000,0))="","",INDEX(EXTRATO!$C$2:$C$3000,MATCH($A2159,EXTRATO!$A$2:$A$3000,0))))</f>
        <v/>
      </c>
      <c r="C2159" s="86" t="str">
        <f t="shared" si="54"/>
        <v/>
      </c>
      <c r="D2159" s="81"/>
      <c r="E2159" s="79"/>
      <c r="F2159" s="80" t="str">
        <f>IF(A2159="","",SUMIF(EXTRATO!$A$2:$A$3000,$A2159,EXTRATO!$J$2:$J$3000)+SUMIF(EXTRATO!$A$2:$A$3000,$A2159,EXTRATO!$K$2:$K$3000)+SUMIF(EXTRATO!$A$2:$A$3000,$A2159,EXTRATO!$L$2:$L$3000)+SUMIF(EXTRATO!$A$2:$A$3000,$A2159,EXTRATO!$M$2:$M$3000))</f>
        <v/>
      </c>
      <c r="G2159" s="81" t="str">
        <f>IF(A2159="","",IF(INDEX(EXTRATO!$G$2:$G$3000,MATCH($A2159,EXTRATO!$A$2:$A$3000,0))="","",INDEX(EXTRATO!$G$2:$G$3000,MATCH($A2159,EXTRATO!$A$2:$A$3000,0))))</f>
        <v/>
      </c>
      <c r="H2159" s="86" t="str">
        <f>IF(A2159="","",IF(INDEX(EXTRATO!$F$2:$F$3000,MATCH($A2159,EXTRATO!$A$2:$A$3000,0))="","",INDEX(EXTRATO!$F$2:$F$3000,MATCH($A2159,EXTRATO!$A$2:$A$3000,0))))</f>
        <v/>
      </c>
      <c r="I2159" s="88" t="str">
        <f>IF(A2159="","",IF(INDEX(EXTRATO!$H$2:$H$3000,MATCH($A2159,EXTRATO!$A$2:$A$3000,0))="","",INDEX(EXTRATO!$H$2:$H$3000,MATCH($A2159,EXTRATO!$A$2:$A$3000,0))))</f>
        <v/>
      </c>
      <c r="J2159" s="86" t="str">
        <f t="shared" si="55"/>
        <v/>
      </c>
      <c r="K2159" s="86" t="str">
        <f>IF(AND(A2159="",D2159="",E2159="",F2159=""),"",IF(D2159="","SEM CATEGORIA",IF(E2159="","SEM SUBCATEGORIA",IF(COUNTIFS(CADASTROS!$L$7:$L$93,D2159,CADASTROS!$D$7:$D$93,E2159)=0,"INCOMPATÍVEL","OK"))))</f>
        <v/>
      </c>
    </row>
    <row r="2160" spans="1:11" ht="30" hidden="1" customHeight="1" x14ac:dyDescent="0.25">
      <c r="A2160" s="86" t="str">
        <f>IF(COUNTIF(EXTRATO!$A$2:$A$3000,"BAN-02017")=0,"","BAN-02017")</f>
        <v/>
      </c>
      <c r="B2160" s="85" t="str">
        <f>IF(A2160="","",IF(INDEX(EXTRATO!$C$2:$C$3000,MATCH($A2160,EXTRATO!$A$2:$A$3000,0))="","",INDEX(EXTRATO!$C$2:$C$3000,MATCH($A2160,EXTRATO!$A$2:$A$3000,0))))</f>
        <v/>
      </c>
      <c r="C2160" s="86" t="str">
        <f t="shared" si="54"/>
        <v/>
      </c>
      <c r="D2160" s="81"/>
      <c r="E2160" s="79"/>
      <c r="F2160" s="80" t="str">
        <f>IF(A2160="","",SUMIF(EXTRATO!$A$2:$A$3000,$A2160,EXTRATO!$J$2:$J$3000)+SUMIF(EXTRATO!$A$2:$A$3000,$A2160,EXTRATO!$K$2:$K$3000)+SUMIF(EXTRATO!$A$2:$A$3000,$A2160,EXTRATO!$L$2:$L$3000)+SUMIF(EXTRATO!$A$2:$A$3000,$A2160,EXTRATO!$M$2:$M$3000))</f>
        <v/>
      </c>
      <c r="G2160" s="81" t="str">
        <f>IF(A2160="","",IF(INDEX(EXTRATO!$G$2:$G$3000,MATCH($A2160,EXTRATO!$A$2:$A$3000,0))="","",INDEX(EXTRATO!$G$2:$G$3000,MATCH($A2160,EXTRATO!$A$2:$A$3000,0))))</f>
        <v/>
      </c>
      <c r="H2160" s="86" t="str">
        <f>IF(A2160="","",IF(INDEX(EXTRATO!$F$2:$F$3000,MATCH($A2160,EXTRATO!$A$2:$A$3000,0))="","",INDEX(EXTRATO!$F$2:$F$3000,MATCH($A2160,EXTRATO!$A$2:$A$3000,0))))</f>
        <v/>
      </c>
      <c r="I2160" s="88" t="str">
        <f>IF(A2160="","",IF(INDEX(EXTRATO!$H$2:$H$3000,MATCH($A2160,EXTRATO!$A$2:$A$3000,0))="","",INDEX(EXTRATO!$H$2:$H$3000,MATCH($A2160,EXTRATO!$A$2:$A$3000,0))))</f>
        <v/>
      </c>
      <c r="J2160" s="86" t="str">
        <f t="shared" si="55"/>
        <v/>
      </c>
      <c r="K2160" s="86" t="str">
        <f>IF(AND(A2160="",D2160="",E2160="",F2160=""),"",IF(D2160="","SEM CATEGORIA",IF(E2160="","SEM SUBCATEGORIA",IF(COUNTIFS(CADASTROS!$L$7:$L$93,D2160,CADASTROS!$D$7:$D$93,E2160)=0,"INCOMPATÍVEL","OK"))))</f>
        <v/>
      </c>
    </row>
    <row r="2161" spans="1:11" ht="30" hidden="1" customHeight="1" x14ac:dyDescent="0.25">
      <c r="A2161" s="86" t="str">
        <f>IF(COUNTIF(EXTRATO!$A$2:$A$3000,"BAN-02018")=0,"","BAN-02018")</f>
        <v/>
      </c>
      <c r="B2161" s="85" t="str">
        <f>IF(A2161="","",IF(INDEX(EXTRATO!$C$2:$C$3000,MATCH($A2161,EXTRATO!$A$2:$A$3000,0))="","",INDEX(EXTRATO!$C$2:$C$3000,MATCH($A2161,EXTRATO!$A$2:$A$3000,0))))</f>
        <v/>
      </c>
      <c r="C2161" s="86" t="str">
        <f t="shared" si="54"/>
        <v/>
      </c>
      <c r="D2161" s="81"/>
      <c r="E2161" s="79"/>
      <c r="F2161" s="80" t="str">
        <f>IF(A2161="","",SUMIF(EXTRATO!$A$2:$A$3000,$A2161,EXTRATO!$J$2:$J$3000)+SUMIF(EXTRATO!$A$2:$A$3000,$A2161,EXTRATO!$K$2:$K$3000)+SUMIF(EXTRATO!$A$2:$A$3000,$A2161,EXTRATO!$L$2:$L$3000)+SUMIF(EXTRATO!$A$2:$A$3000,$A2161,EXTRATO!$M$2:$M$3000))</f>
        <v/>
      </c>
      <c r="G2161" s="81" t="str">
        <f>IF(A2161="","",IF(INDEX(EXTRATO!$G$2:$G$3000,MATCH($A2161,EXTRATO!$A$2:$A$3000,0))="","",INDEX(EXTRATO!$G$2:$G$3000,MATCH($A2161,EXTRATO!$A$2:$A$3000,0))))</f>
        <v/>
      </c>
      <c r="H2161" s="86" t="str">
        <f>IF(A2161="","",IF(INDEX(EXTRATO!$F$2:$F$3000,MATCH($A2161,EXTRATO!$A$2:$A$3000,0))="","",INDEX(EXTRATO!$F$2:$F$3000,MATCH($A2161,EXTRATO!$A$2:$A$3000,0))))</f>
        <v/>
      </c>
      <c r="I2161" s="88" t="str">
        <f>IF(A2161="","",IF(INDEX(EXTRATO!$H$2:$H$3000,MATCH($A2161,EXTRATO!$A$2:$A$3000,0))="","",INDEX(EXTRATO!$H$2:$H$3000,MATCH($A2161,EXTRATO!$A$2:$A$3000,0))))</f>
        <v/>
      </c>
      <c r="J2161" s="86" t="str">
        <f t="shared" si="55"/>
        <v/>
      </c>
      <c r="K2161" s="86" t="str">
        <f>IF(AND(A2161="",D2161="",E2161="",F2161=""),"",IF(D2161="","SEM CATEGORIA",IF(E2161="","SEM SUBCATEGORIA",IF(COUNTIFS(CADASTROS!$L$7:$L$93,D2161,CADASTROS!$D$7:$D$93,E2161)=0,"INCOMPATÍVEL","OK"))))</f>
        <v/>
      </c>
    </row>
    <row r="2162" spans="1:11" ht="30" hidden="1" customHeight="1" x14ac:dyDescent="0.25">
      <c r="A2162" s="86" t="str">
        <f>IF(COUNTIF(EXTRATO!$A$2:$A$3000,"BAN-02019")=0,"","BAN-02019")</f>
        <v/>
      </c>
      <c r="B2162" s="85" t="str">
        <f>IF(A2162="","",IF(INDEX(EXTRATO!$C$2:$C$3000,MATCH($A2162,EXTRATO!$A$2:$A$3000,0))="","",INDEX(EXTRATO!$C$2:$C$3000,MATCH($A2162,EXTRATO!$A$2:$A$3000,0))))</f>
        <v/>
      </c>
      <c r="C2162" s="86" t="str">
        <f t="shared" si="54"/>
        <v/>
      </c>
      <c r="D2162" s="81"/>
      <c r="E2162" s="79"/>
      <c r="F2162" s="80" t="str">
        <f>IF(A2162="","",SUMIF(EXTRATO!$A$2:$A$3000,$A2162,EXTRATO!$J$2:$J$3000)+SUMIF(EXTRATO!$A$2:$A$3000,$A2162,EXTRATO!$K$2:$K$3000)+SUMIF(EXTRATO!$A$2:$A$3000,$A2162,EXTRATO!$L$2:$L$3000)+SUMIF(EXTRATO!$A$2:$A$3000,$A2162,EXTRATO!$M$2:$M$3000))</f>
        <v/>
      </c>
      <c r="G2162" s="81" t="str">
        <f>IF(A2162="","",IF(INDEX(EXTRATO!$G$2:$G$3000,MATCH($A2162,EXTRATO!$A$2:$A$3000,0))="","",INDEX(EXTRATO!$G$2:$G$3000,MATCH($A2162,EXTRATO!$A$2:$A$3000,0))))</f>
        <v/>
      </c>
      <c r="H2162" s="86" t="str">
        <f>IF(A2162="","",IF(INDEX(EXTRATO!$F$2:$F$3000,MATCH($A2162,EXTRATO!$A$2:$A$3000,0))="","",INDEX(EXTRATO!$F$2:$F$3000,MATCH($A2162,EXTRATO!$A$2:$A$3000,0))))</f>
        <v/>
      </c>
      <c r="I2162" s="88" t="str">
        <f>IF(A2162="","",IF(INDEX(EXTRATO!$H$2:$H$3000,MATCH($A2162,EXTRATO!$A$2:$A$3000,0))="","",INDEX(EXTRATO!$H$2:$H$3000,MATCH($A2162,EXTRATO!$A$2:$A$3000,0))))</f>
        <v/>
      </c>
      <c r="J2162" s="86" t="str">
        <f t="shared" si="55"/>
        <v/>
      </c>
      <c r="K2162" s="86" t="str">
        <f>IF(AND(A2162="",D2162="",E2162="",F2162=""),"",IF(D2162="","SEM CATEGORIA",IF(E2162="","SEM SUBCATEGORIA",IF(COUNTIFS(CADASTROS!$L$7:$L$93,D2162,CADASTROS!$D$7:$D$93,E2162)=0,"INCOMPATÍVEL","OK"))))</f>
        <v/>
      </c>
    </row>
    <row r="2163" spans="1:11" ht="30" hidden="1" customHeight="1" x14ac:dyDescent="0.25">
      <c r="A2163" s="86" t="str">
        <f>IF(COUNTIF(EXTRATO!$A$2:$A$3000,"BAN-02020")=0,"","BAN-02020")</f>
        <v/>
      </c>
      <c r="B2163" s="85" t="str">
        <f>IF(A2163="","",IF(INDEX(EXTRATO!$C$2:$C$3000,MATCH($A2163,EXTRATO!$A$2:$A$3000,0))="","",INDEX(EXTRATO!$C$2:$C$3000,MATCH($A2163,EXTRATO!$A$2:$A$3000,0))))</f>
        <v/>
      </c>
      <c r="C2163" s="86" t="str">
        <f t="shared" si="54"/>
        <v/>
      </c>
      <c r="D2163" s="81"/>
      <c r="E2163" s="79"/>
      <c r="F2163" s="80" t="str">
        <f>IF(A2163="","",SUMIF(EXTRATO!$A$2:$A$3000,$A2163,EXTRATO!$J$2:$J$3000)+SUMIF(EXTRATO!$A$2:$A$3000,$A2163,EXTRATO!$K$2:$K$3000)+SUMIF(EXTRATO!$A$2:$A$3000,$A2163,EXTRATO!$L$2:$L$3000)+SUMIF(EXTRATO!$A$2:$A$3000,$A2163,EXTRATO!$M$2:$M$3000))</f>
        <v/>
      </c>
      <c r="G2163" s="81" t="str">
        <f>IF(A2163="","",IF(INDEX(EXTRATO!$G$2:$G$3000,MATCH($A2163,EXTRATO!$A$2:$A$3000,0))="","",INDEX(EXTRATO!$G$2:$G$3000,MATCH($A2163,EXTRATO!$A$2:$A$3000,0))))</f>
        <v/>
      </c>
      <c r="H2163" s="86" t="str">
        <f>IF(A2163="","",IF(INDEX(EXTRATO!$F$2:$F$3000,MATCH($A2163,EXTRATO!$A$2:$A$3000,0))="","",INDEX(EXTRATO!$F$2:$F$3000,MATCH($A2163,EXTRATO!$A$2:$A$3000,0))))</f>
        <v/>
      </c>
      <c r="I2163" s="88" t="str">
        <f>IF(A2163="","",IF(INDEX(EXTRATO!$H$2:$H$3000,MATCH($A2163,EXTRATO!$A$2:$A$3000,0))="","",INDEX(EXTRATO!$H$2:$H$3000,MATCH($A2163,EXTRATO!$A$2:$A$3000,0))))</f>
        <v/>
      </c>
      <c r="J2163" s="86" t="str">
        <f t="shared" si="55"/>
        <v/>
      </c>
      <c r="K2163" s="86" t="str">
        <f>IF(AND(A2163="",D2163="",E2163="",F2163=""),"",IF(D2163="","SEM CATEGORIA",IF(E2163="","SEM SUBCATEGORIA",IF(COUNTIFS(CADASTROS!$L$7:$L$93,D2163,CADASTROS!$D$7:$D$93,E2163)=0,"INCOMPATÍVEL","OK"))))</f>
        <v/>
      </c>
    </row>
    <row r="2164" spans="1:11" ht="30" hidden="1" customHeight="1" x14ac:dyDescent="0.25">
      <c r="A2164" s="86" t="str">
        <f>IF(COUNTIF(EXTRATO!$A$2:$A$3000,"BAN-02021")=0,"","BAN-02021")</f>
        <v/>
      </c>
      <c r="B2164" s="85" t="str">
        <f>IF(A2164="","",IF(INDEX(EXTRATO!$C$2:$C$3000,MATCH($A2164,EXTRATO!$A$2:$A$3000,0))="","",INDEX(EXTRATO!$C$2:$C$3000,MATCH($A2164,EXTRATO!$A$2:$A$3000,0))))</f>
        <v/>
      </c>
      <c r="C2164" s="86" t="str">
        <f t="shared" si="54"/>
        <v/>
      </c>
      <c r="D2164" s="81"/>
      <c r="E2164" s="79"/>
      <c r="F2164" s="80" t="str">
        <f>IF(A2164="","",SUMIF(EXTRATO!$A$2:$A$3000,$A2164,EXTRATO!$J$2:$J$3000)+SUMIF(EXTRATO!$A$2:$A$3000,$A2164,EXTRATO!$K$2:$K$3000)+SUMIF(EXTRATO!$A$2:$A$3000,$A2164,EXTRATO!$L$2:$L$3000)+SUMIF(EXTRATO!$A$2:$A$3000,$A2164,EXTRATO!$M$2:$M$3000))</f>
        <v/>
      </c>
      <c r="G2164" s="81" t="str">
        <f>IF(A2164="","",IF(INDEX(EXTRATO!$G$2:$G$3000,MATCH($A2164,EXTRATO!$A$2:$A$3000,0))="","",INDEX(EXTRATO!$G$2:$G$3000,MATCH($A2164,EXTRATO!$A$2:$A$3000,0))))</f>
        <v/>
      </c>
      <c r="H2164" s="86" t="str">
        <f>IF(A2164="","",IF(INDEX(EXTRATO!$F$2:$F$3000,MATCH($A2164,EXTRATO!$A$2:$A$3000,0))="","",INDEX(EXTRATO!$F$2:$F$3000,MATCH($A2164,EXTRATO!$A$2:$A$3000,0))))</f>
        <v/>
      </c>
      <c r="I2164" s="88" t="str">
        <f>IF(A2164="","",IF(INDEX(EXTRATO!$H$2:$H$3000,MATCH($A2164,EXTRATO!$A$2:$A$3000,0))="","",INDEX(EXTRATO!$H$2:$H$3000,MATCH($A2164,EXTRATO!$A$2:$A$3000,0))))</f>
        <v/>
      </c>
      <c r="J2164" s="86" t="str">
        <f t="shared" si="55"/>
        <v/>
      </c>
      <c r="K2164" s="86" t="str">
        <f>IF(AND(A2164="",D2164="",E2164="",F2164=""),"",IF(D2164="","SEM CATEGORIA",IF(E2164="","SEM SUBCATEGORIA",IF(COUNTIFS(CADASTROS!$L$7:$L$93,D2164,CADASTROS!$D$7:$D$93,E2164)=0,"INCOMPATÍVEL","OK"))))</f>
        <v/>
      </c>
    </row>
    <row r="2165" spans="1:11" ht="30" hidden="1" customHeight="1" x14ac:dyDescent="0.25">
      <c r="A2165" s="86" t="str">
        <f>IF(COUNTIF(EXTRATO!$A$2:$A$3000,"BAN-02022")=0,"","BAN-02022")</f>
        <v/>
      </c>
      <c r="B2165" s="85" t="str">
        <f>IF(A2165="","",IF(INDEX(EXTRATO!$C$2:$C$3000,MATCH($A2165,EXTRATO!$A$2:$A$3000,0))="","",INDEX(EXTRATO!$C$2:$C$3000,MATCH($A2165,EXTRATO!$A$2:$A$3000,0))))</f>
        <v/>
      </c>
      <c r="C2165" s="86" t="str">
        <f t="shared" si="54"/>
        <v/>
      </c>
      <c r="D2165" s="81"/>
      <c r="E2165" s="79"/>
      <c r="F2165" s="80" t="str">
        <f>IF(A2165="","",SUMIF(EXTRATO!$A$2:$A$3000,$A2165,EXTRATO!$J$2:$J$3000)+SUMIF(EXTRATO!$A$2:$A$3000,$A2165,EXTRATO!$K$2:$K$3000)+SUMIF(EXTRATO!$A$2:$A$3000,$A2165,EXTRATO!$L$2:$L$3000)+SUMIF(EXTRATO!$A$2:$A$3000,$A2165,EXTRATO!$M$2:$M$3000))</f>
        <v/>
      </c>
      <c r="G2165" s="81" t="str">
        <f>IF(A2165="","",IF(INDEX(EXTRATO!$G$2:$G$3000,MATCH($A2165,EXTRATO!$A$2:$A$3000,0))="","",INDEX(EXTRATO!$G$2:$G$3000,MATCH($A2165,EXTRATO!$A$2:$A$3000,0))))</f>
        <v/>
      </c>
      <c r="H2165" s="86" t="str">
        <f>IF(A2165="","",IF(INDEX(EXTRATO!$F$2:$F$3000,MATCH($A2165,EXTRATO!$A$2:$A$3000,0))="","",INDEX(EXTRATO!$F$2:$F$3000,MATCH($A2165,EXTRATO!$A$2:$A$3000,0))))</f>
        <v/>
      </c>
      <c r="I2165" s="88" t="str">
        <f>IF(A2165="","",IF(INDEX(EXTRATO!$H$2:$H$3000,MATCH($A2165,EXTRATO!$A$2:$A$3000,0))="","",INDEX(EXTRATO!$H$2:$H$3000,MATCH($A2165,EXTRATO!$A$2:$A$3000,0))))</f>
        <v/>
      </c>
      <c r="J2165" s="86" t="str">
        <f t="shared" si="55"/>
        <v/>
      </c>
      <c r="K2165" s="86" t="str">
        <f>IF(AND(A2165="",D2165="",E2165="",F2165=""),"",IF(D2165="","SEM CATEGORIA",IF(E2165="","SEM SUBCATEGORIA",IF(COUNTIFS(CADASTROS!$L$7:$L$93,D2165,CADASTROS!$D$7:$D$93,E2165)=0,"INCOMPATÍVEL","OK"))))</f>
        <v/>
      </c>
    </row>
    <row r="2166" spans="1:11" ht="30" hidden="1" customHeight="1" x14ac:dyDescent="0.25">
      <c r="A2166" s="86" t="str">
        <f>IF(COUNTIF(EXTRATO!$A$2:$A$3000,"BAN-02023")=0,"","BAN-02023")</f>
        <v/>
      </c>
      <c r="B2166" s="85" t="str">
        <f>IF(A2166="","",IF(INDEX(EXTRATO!$C$2:$C$3000,MATCH($A2166,EXTRATO!$A$2:$A$3000,0))="","",INDEX(EXTRATO!$C$2:$C$3000,MATCH($A2166,EXTRATO!$A$2:$A$3000,0))))</f>
        <v/>
      </c>
      <c r="C2166" s="86" t="str">
        <f t="shared" si="54"/>
        <v/>
      </c>
      <c r="D2166" s="81"/>
      <c r="E2166" s="79"/>
      <c r="F2166" s="80" t="str">
        <f>IF(A2166="","",SUMIF(EXTRATO!$A$2:$A$3000,$A2166,EXTRATO!$J$2:$J$3000)+SUMIF(EXTRATO!$A$2:$A$3000,$A2166,EXTRATO!$K$2:$K$3000)+SUMIF(EXTRATO!$A$2:$A$3000,$A2166,EXTRATO!$L$2:$L$3000)+SUMIF(EXTRATO!$A$2:$A$3000,$A2166,EXTRATO!$M$2:$M$3000))</f>
        <v/>
      </c>
      <c r="G2166" s="81" t="str">
        <f>IF(A2166="","",IF(INDEX(EXTRATO!$G$2:$G$3000,MATCH($A2166,EXTRATO!$A$2:$A$3000,0))="","",INDEX(EXTRATO!$G$2:$G$3000,MATCH($A2166,EXTRATO!$A$2:$A$3000,0))))</f>
        <v/>
      </c>
      <c r="H2166" s="86" t="str">
        <f>IF(A2166="","",IF(INDEX(EXTRATO!$F$2:$F$3000,MATCH($A2166,EXTRATO!$A$2:$A$3000,0))="","",INDEX(EXTRATO!$F$2:$F$3000,MATCH($A2166,EXTRATO!$A$2:$A$3000,0))))</f>
        <v/>
      </c>
      <c r="I2166" s="88" t="str">
        <f>IF(A2166="","",IF(INDEX(EXTRATO!$H$2:$H$3000,MATCH($A2166,EXTRATO!$A$2:$A$3000,0))="","",INDEX(EXTRATO!$H$2:$H$3000,MATCH($A2166,EXTRATO!$A$2:$A$3000,0))))</f>
        <v/>
      </c>
      <c r="J2166" s="86" t="str">
        <f t="shared" si="55"/>
        <v/>
      </c>
      <c r="K2166" s="86" t="str">
        <f>IF(AND(A2166="",D2166="",E2166="",F2166=""),"",IF(D2166="","SEM CATEGORIA",IF(E2166="","SEM SUBCATEGORIA",IF(COUNTIFS(CADASTROS!$L$7:$L$93,D2166,CADASTROS!$D$7:$D$93,E2166)=0,"INCOMPATÍVEL","OK"))))</f>
        <v/>
      </c>
    </row>
    <row r="2167" spans="1:11" ht="30" hidden="1" customHeight="1" x14ac:dyDescent="0.25">
      <c r="A2167" s="86" t="str">
        <f>IF(COUNTIF(EXTRATO!$A$2:$A$3000,"BAN-02024")=0,"","BAN-02024")</f>
        <v/>
      </c>
      <c r="B2167" s="85" t="str">
        <f>IF(A2167="","",IF(INDEX(EXTRATO!$C$2:$C$3000,MATCH($A2167,EXTRATO!$A$2:$A$3000,0))="","",INDEX(EXTRATO!$C$2:$C$3000,MATCH($A2167,EXTRATO!$A$2:$A$3000,0))))</f>
        <v/>
      </c>
      <c r="C2167" s="86" t="str">
        <f t="shared" si="54"/>
        <v/>
      </c>
      <c r="D2167" s="81"/>
      <c r="E2167" s="79"/>
      <c r="F2167" s="80" t="str">
        <f>IF(A2167="","",SUMIF(EXTRATO!$A$2:$A$3000,$A2167,EXTRATO!$J$2:$J$3000)+SUMIF(EXTRATO!$A$2:$A$3000,$A2167,EXTRATO!$K$2:$K$3000)+SUMIF(EXTRATO!$A$2:$A$3000,$A2167,EXTRATO!$L$2:$L$3000)+SUMIF(EXTRATO!$A$2:$A$3000,$A2167,EXTRATO!$M$2:$M$3000))</f>
        <v/>
      </c>
      <c r="G2167" s="81" t="str">
        <f>IF(A2167="","",IF(INDEX(EXTRATO!$G$2:$G$3000,MATCH($A2167,EXTRATO!$A$2:$A$3000,0))="","",INDEX(EXTRATO!$G$2:$G$3000,MATCH($A2167,EXTRATO!$A$2:$A$3000,0))))</f>
        <v/>
      </c>
      <c r="H2167" s="86" t="str">
        <f>IF(A2167="","",IF(INDEX(EXTRATO!$F$2:$F$3000,MATCH($A2167,EXTRATO!$A$2:$A$3000,0))="","",INDEX(EXTRATO!$F$2:$F$3000,MATCH($A2167,EXTRATO!$A$2:$A$3000,0))))</f>
        <v/>
      </c>
      <c r="I2167" s="88" t="str">
        <f>IF(A2167="","",IF(INDEX(EXTRATO!$H$2:$H$3000,MATCH($A2167,EXTRATO!$A$2:$A$3000,0))="","",INDEX(EXTRATO!$H$2:$H$3000,MATCH($A2167,EXTRATO!$A$2:$A$3000,0))))</f>
        <v/>
      </c>
      <c r="J2167" s="86" t="str">
        <f t="shared" si="55"/>
        <v/>
      </c>
      <c r="K2167" s="86" t="str">
        <f>IF(AND(A2167="",D2167="",E2167="",F2167=""),"",IF(D2167="","SEM CATEGORIA",IF(E2167="","SEM SUBCATEGORIA",IF(COUNTIFS(CADASTROS!$L$7:$L$93,D2167,CADASTROS!$D$7:$D$93,E2167)=0,"INCOMPATÍVEL","OK"))))</f>
        <v/>
      </c>
    </row>
    <row r="2168" spans="1:11" ht="30" hidden="1" customHeight="1" x14ac:dyDescent="0.25">
      <c r="A2168" s="86" t="str">
        <f>IF(COUNTIF(EXTRATO!$A$2:$A$3000,"BAN-02025")=0,"","BAN-02025")</f>
        <v/>
      </c>
      <c r="B2168" s="85" t="str">
        <f>IF(A2168="","",IF(INDEX(EXTRATO!$C$2:$C$3000,MATCH($A2168,EXTRATO!$A$2:$A$3000,0))="","",INDEX(EXTRATO!$C$2:$C$3000,MATCH($A2168,EXTRATO!$A$2:$A$3000,0))))</f>
        <v/>
      </c>
      <c r="C2168" s="86" t="str">
        <f t="shared" si="54"/>
        <v/>
      </c>
      <c r="D2168" s="81"/>
      <c r="E2168" s="79"/>
      <c r="F2168" s="80" t="str">
        <f>IF(A2168="","",SUMIF(EXTRATO!$A$2:$A$3000,$A2168,EXTRATO!$J$2:$J$3000)+SUMIF(EXTRATO!$A$2:$A$3000,$A2168,EXTRATO!$K$2:$K$3000)+SUMIF(EXTRATO!$A$2:$A$3000,$A2168,EXTRATO!$L$2:$L$3000)+SUMIF(EXTRATO!$A$2:$A$3000,$A2168,EXTRATO!$M$2:$M$3000))</f>
        <v/>
      </c>
      <c r="G2168" s="81" t="str">
        <f>IF(A2168="","",IF(INDEX(EXTRATO!$G$2:$G$3000,MATCH($A2168,EXTRATO!$A$2:$A$3000,0))="","",INDEX(EXTRATO!$G$2:$G$3000,MATCH($A2168,EXTRATO!$A$2:$A$3000,0))))</f>
        <v/>
      </c>
      <c r="H2168" s="86" t="str">
        <f>IF(A2168="","",IF(INDEX(EXTRATO!$F$2:$F$3000,MATCH($A2168,EXTRATO!$A$2:$A$3000,0))="","",INDEX(EXTRATO!$F$2:$F$3000,MATCH($A2168,EXTRATO!$A$2:$A$3000,0))))</f>
        <v/>
      </c>
      <c r="I2168" s="88" t="str">
        <f>IF(A2168="","",IF(INDEX(EXTRATO!$H$2:$H$3000,MATCH($A2168,EXTRATO!$A$2:$A$3000,0))="","",INDEX(EXTRATO!$H$2:$H$3000,MATCH($A2168,EXTRATO!$A$2:$A$3000,0))))</f>
        <v/>
      </c>
      <c r="J2168" s="86" t="str">
        <f t="shared" si="55"/>
        <v/>
      </c>
      <c r="K2168" s="86" t="str">
        <f>IF(AND(A2168="",D2168="",E2168="",F2168=""),"",IF(D2168="","SEM CATEGORIA",IF(E2168="","SEM SUBCATEGORIA",IF(COUNTIFS(CADASTROS!$L$7:$L$93,D2168,CADASTROS!$D$7:$D$93,E2168)=0,"INCOMPATÍVEL","OK"))))</f>
        <v/>
      </c>
    </row>
    <row r="2169" spans="1:11" ht="30" hidden="1" customHeight="1" x14ac:dyDescent="0.25">
      <c r="A2169" s="86" t="str">
        <f>IF(COUNTIF(EXTRATO!$A$2:$A$3000,"BAN-02026")=0,"","BAN-02026")</f>
        <v/>
      </c>
      <c r="B2169" s="85" t="str">
        <f>IF(A2169="","",IF(INDEX(EXTRATO!$C$2:$C$3000,MATCH($A2169,EXTRATO!$A$2:$A$3000,0))="","",INDEX(EXTRATO!$C$2:$C$3000,MATCH($A2169,EXTRATO!$A$2:$A$3000,0))))</f>
        <v/>
      </c>
      <c r="C2169" s="86" t="str">
        <f t="shared" si="54"/>
        <v/>
      </c>
      <c r="D2169" s="81"/>
      <c r="E2169" s="79"/>
      <c r="F2169" s="80" t="str">
        <f>IF(A2169="","",SUMIF(EXTRATO!$A$2:$A$3000,$A2169,EXTRATO!$J$2:$J$3000)+SUMIF(EXTRATO!$A$2:$A$3000,$A2169,EXTRATO!$K$2:$K$3000)+SUMIF(EXTRATO!$A$2:$A$3000,$A2169,EXTRATO!$L$2:$L$3000)+SUMIF(EXTRATO!$A$2:$A$3000,$A2169,EXTRATO!$M$2:$M$3000))</f>
        <v/>
      </c>
      <c r="G2169" s="81" t="str">
        <f>IF(A2169="","",IF(INDEX(EXTRATO!$G$2:$G$3000,MATCH($A2169,EXTRATO!$A$2:$A$3000,0))="","",INDEX(EXTRATO!$G$2:$G$3000,MATCH($A2169,EXTRATO!$A$2:$A$3000,0))))</f>
        <v/>
      </c>
      <c r="H2169" s="86" t="str">
        <f>IF(A2169="","",IF(INDEX(EXTRATO!$F$2:$F$3000,MATCH($A2169,EXTRATO!$A$2:$A$3000,0))="","",INDEX(EXTRATO!$F$2:$F$3000,MATCH($A2169,EXTRATO!$A$2:$A$3000,0))))</f>
        <v/>
      </c>
      <c r="I2169" s="88" t="str">
        <f>IF(A2169="","",IF(INDEX(EXTRATO!$H$2:$H$3000,MATCH($A2169,EXTRATO!$A$2:$A$3000,0))="","",INDEX(EXTRATO!$H$2:$H$3000,MATCH($A2169,EXTRATO!$A$2:$A$3000,0))))</f>
        <v/>
      </c>
      <c r="J2169" s="86" t="str">
        <f t="shared" si="55"/>
        <v/>
      </c>
      <c r="K2169" s="86" t="str">
        <f>IF(AND(A2169="",D2169="",E2169="",F2169=""),"",IF(D2169="","SEM CATEGORIA",IF(E2169="","SEM SUBCATEGORIA",IF(COUNTIFS(CADASTROS!$L$7:$L$93,D2169,CADASTROS!$D$7:$D$93,E2169)=0,"INCOMPATÍVEL","OK"))))</f>
        <v/>
      </c>
    </row>
    <row r="2170" spans="1:11" ht="30" hidden="1" customHeight="1" x14ac:dyDescent="0.25">
      <c r="A2170" s="86" t="str">
        <f>IF(COUNTIF(EXTRATO!$A$2:$A$3000,"BAN-02027")=0,"","BAN-02027")</f>
        <v/>
      </c>
      <c r="B2170" s="85" t="str">
        <f>IF(A2170="","",IF(INDEX(EXTRATO!$C$2:$C$3000,MATCH($A2170,EXTRATO!$A$2:$A$3000,0))="","",INDEX(EXTRATO!$C$2:$C$3000,MATCH($A2170,EXTRATO!$A$2:$A$3000,0))))</f>
        <v/>
      </c>
      <c r="C2170" s="86" t="str">
        <f t="shared" si="54"/>
        <v/>
      </c>
      <c r="D2170" s="81"/>
      <c r="E2170" s="79"/>
      <c r="F2170" s="80" t="str">
        <f>IF(A2170="","",SUMIF(EXTRATO!$A$2:$A$3000,$A2170,EXTRATO!$J$2:$J$3000)+SUMIF(EXTRATO!$A$2:$A$3000,$A2170,EXTRATO!$K$2:$K$3000)+SUMIF(EXTRATO!$A$2:$A$3000,$A2170,EXTRATO!$L$2:$L$3000)+SUMIF(EXTRATO!$A$2:$A$3000,$A2170,EXTRATO!$M$2:$M$3000))</f>
        <v/>
      </c>
      <c r="G2170" s="81" t="str">
        <f>IF(A2170="","",IF(INDEX(EXTRATO!$G$2:$G$3000,MATCH($A2170,EXTRATO!$A$2:$A$3000,0))="","",INDEX(EXTRATO!$G$2:$G$3000,MATCH($A2170,EXTRATO!$A$2:$A$3000,0))))</f>
        <v/>
      </c>
      <c r="H2170" s="86" t="str">
        <f>IF(A2170="","",IF(INDEX(EXTRATO!$F$2:$F$3000,MATCH($A2170,EXTRATO!$A$2:$A$3000,0))="","",INDEX(EXTRATO!$F$2:$F$3000,MATCH($A2170,EXTRATO!$A$2:$A$3000,0))))</f>
        <v/>
      </c>
      <c r="I2170" s="88" t="str">
        <f>IF(A2170="","",IF(INDEX(EXTRATO!$H$2:$H$3000,MATCH($A2170,EXTRATO!$A$2:$A$3000,0))="","",INDEX(EXTRATO!$H$2:$H$3000,MATCH($A2170,EXTRATO!$A$2:$A$3000,0))))</f>
        <v/>
      </c>
      <c r="J2170" s="86" t="str">
        <f t="shared" si="55"/>
        <v/>
      </c>
      <c r="K2170" s="86" t="str">
        <f>IF(AND(A2170="",D2170="",E2170="",F2170=""),"",IF(D2170="","SEM CATEGORIA",IF(E2170="","SEM SUBCATEGORIA",IF(COUNTIFS(CADASTROS!$L$7:$L$93,D2170,CADASTROS!$D$7:$D$93,E2170)=0,"INCOMPATÍVEL","OK"))))</f>
        <v/>
      </c>
    </row>
    <row r="2171" spans="1:11" ht="30" hidden="1" customHeight="1" x14ac:dyDescent="0.25">
      <c r="A2171" s="86" t="str">
        <f>IF(COUNTIF(EXTRATO!$A$2:$A$3000,"BAN-02028")=0,"","BAN-02028")</f>
        <v/>
      </c>
      <c r="B2171" s="85" t="str">
        <f>IF(A2171="","",IF(INDEX(EXTRATO!$C$2:$C$3000,MATCH($A2171,EXTRATO!$A$2:$A$3000,0))="","",INDEX(EXTRATO!$C$2:$C$3000,MATCH($A2171,EXTRATO!$A$2:$A$3000,0))))</f>
        <v/>
      </c>
      <c r="C2171" s="86" t="str">
        <f t="shared" si="54"/>
        <v/>
      </c>
      <c r="D2171" s="81"/>
      <c r="E2171" s="79"/>
      <c r="F2171" s="80" t="str">
        <f>IF(A2171="","",SUMIF(EXTRATO!$A$2:$A$3000,$A2171,EXTRATO!$J$2:$J$3000)+SUMIF(EXTRATO!$A$2:$A$3000,$A2171,EXTRATO!$K$2:$K$3000)+SUMIF(EXTRATO!$A$2:$A$3000,$A2171,EXTRATO!$L$2:$L$3000)+SUMIF(EXTRATO!$A$2:$A$3000,$A2171,EXTRATO!$M$2:$M$3000))</f>
        <v/>
      </c>
      <c r="G2171" s="81" t="str">
        <f>IF(A2171="","",IF(INDEX(EXTRATO!$G$2:$G$3000,MATCH($A2171,EXTRATO!$A$2:$A$3000,0))="","",INDEX(EXTRATO!$G$2:$G$3000,MATCH($A2171,EXTRATO!$A$2:$A$3000,0))))</f>
        <v/>
      </c>
      <c r="H2171" s="86" t="str">
        <f>IF(A2171="","",IF(INDEX(EXTRATO!$F$2:$F$3000,MATCH($A2171,EXTRATO!$A$2:$A$3000,0))="","",INDEX(EXTRATO!$F$2:$F$3000,MATCH($A2171,EXTRATO!$A$2:$A$3000,0))))</f>
        <v/>
      </c>
      <c r="I2171" s="88" t="str">
        <f>IF(A2171="","",IF(INDEX(EXTRATO!$H$2:$H$3000,MATCH($A2171,EXTRATO!$A$2:$A$3000,0))="","",INDEX(EXTRATO!$H$2:$H$3000,MATCH($A2171,EXTRATO!$A$2:$A$3000,0))))</f>
        <v/>
      </c>
      <c r="J2171" s="86" t="str">
        <f t="shared" si="55"/>
        <v/>
      </c>
      <c r="K2171" s="86" t="str">
        <f>IF(AND(A2171="",D2171="",E2171="",F2171=""),"",IF(D2171="","SEM CATEGORIA",IF(E2171="","SEM SUBCATEGORIA",IF(COUNTIFS(CADASTROS!$L$7:$L$93,D2171,CADASTROS!$D$7:$D$93,E2171)=0,"INCOMPATÍVEL","OK"))))</f>
        <v/>
      </c>
    </row>
    <row r="2172" spans="1:11" ht="30" hidden="1" customHeight="1" x14ac:dyDescent="0.25">
      <c r="A2172" s="86" t="str">
        <f>IF(COUNTIF(EXTRATO!$A$2:$A$3000,"BAN-02029")=0,"","BAN-02029")</f>
        <v/>
      </c>
      <c r="B2172" s="85" t="str">
        <f>IF(A2172="","",IF(INDEX(EXTRATO!$C$2:$C$3000,MATCH($A2172,EXTRATO!$A$2:$A$3000,0))="","",INDEX(EXTRATO!$C$2:$C$3000,MATCH($A2172,EXTRATO!$A$2:$A$3000,0))))</f>
        <v/>
      </c>
      <c r="C2172" s="86" t="str">
        <f t="shared" si="54"/>
        <v/>
      </c>
      <c r="D2172" s="81"/>
      <c r="E2172" s="79"/>
      <c r="F2172" s="80" t="str">
        <f>IF(A2172="","",SUMIF(EXTRATO!$A$2:$A$3000,$A2172,EXTRATO!$J$2:$J$3000)+SUMIF(EXTRATO!$A$2:$A$3000,$A2172,EXTRATO!$K$2:$K$3000)+SUMIF(EXTRATO!$A$2:$A$3000,$A2172,EXTRATO!$L$2:$L$3000)+SUMIF(EXTRATO!$A$2:$A$3000,$A2172,EXTRATO!$M$2:$M$3000))</f>
        <v/>
      </c>
      <c r="G2172" s="81" t="str">
        <f>IF(A2172="","",IF(INDEX(EXTRATO!$G$2:$G$3000,MATCH($A2172,EXTRATO!$A$2:$A$3000,0))="","",INDEX(EXTRATO!$G$2:$G$3000,MATCH($A2172,EXTRATO!$A$2:$A$3000,0))))</f>
        <v/>
      </c>
      <c r="H2172" s="86" t="str">
        <f>IF(A2172="","",IF(INDEX(EXTRATO!$F$2:$F$3000,MATCH($A2172,EXTRATO!$A$2:$A$3000,0))="","",INDEX(EXTRATO!$F$2:$F$3000,MATCH($A2172,EXTRATO!$A$2:$A$3000,0))))</f>
        <v/>
      </c>
      <c r="I2172" s="88" t="str">
        <f>IF(A2172="","",IF(INDEX(EXTRATO!$H$2:$H$3000,MATCH($A2172,EXTRATO!$A$2:$A$3000,0))="","",INDEX(EXTRATO!$H$2:$H$3000,MATCH($A2172,EXTRATO!$A$2:$A$3000,0))))</f>
        <v/>
      </c>
      <c r="J2172" s="86" t="str">
        <f t="shared" si="55"/>
        <v/>
      </c>
      <c r="K2172" s="86" t="str">
        <f>IF(AND(A2172="",D2172="",E2172="",F2172=""),"",IF(D2172="","SEM CATEGORIA",IF(E2172="","SEM SUBCATEGORIA",IF(COUNTIFS(CADASTROS!$L$7:$L$93,D2172,CADASTROS!$D$7:$D$93,E2172)=0,"INCOMPATÍVEL","OK"))))</f>
        <v/>
      </c>
    </row>
    <row r="2173" spans="1:11" ht="30" hidden="1" customHeight="1" x14ac:dyDescent="0.25">
      <c r="A2173" s="86" t="str">
        <f>IF(COUNTIF(EXTRATO!$A$2:$A$3000,"BAN-02030")=0,"","BAN-02030")</f>
        <v/>
      </c>
      <c r="B2173" s="85" t="str">
        <f>IF(A2173="","",IF(INDEX(EXTRATO!$C$2:$C$3000,MATCH($A2173,EXTRATO!$A$2:$A$3000,0))="","",INDEX(EXTRATO!$C$2:$C$3000,MATCH($A2173,EXTRATO!$A$2:$A$3000,0))))</f>
        <v/>
      </c>
      <c r="C2173" s="86" t="str">
        <f t="shared" si="54"/>
        <v/>
      </c>
      <c r="D2173" s="81"/>
      <c r="E2173" s="79"/>
      <c r="F2173" s="80" t="str">
        <f>IF(A2173="","",SUMIF(EXTRATO!$A$2:$A$3000,$A2173,EXTRATO!$J$2:$J$3000)+SUMIF(EXTRATO!$A$2:$A$3000,$A2173,EXTRATO!$K$2:$K$3000)+SUMIF(EXTRATO!$A$2:$A$3000,$A2173,EXTRATO!$L$2:$L$3000)+SUMIF(EXTRATO!$A$2:$A$3000,$A2173,EXTRATO!$M$2:$M$3000))</f>
        <v/>
      </c>
      <c r="G2173" s="81" t="str">
        <f>IF(A2173="","",IF(INDEX(EXTRATO!$G$2:$G$3000,MATCH($A2173,EXTRATO!$A$2:$A$3000,0))="","",INDEX(EXTRATO!$G$2:$G$3000,MATCH($A2173,EXTRATO!$A$2:$A$3000,0))))</f>
        <v/>
      </c>
      <c r="H2173" s="86" t="str">
        <f>IF(A2173="","",IF(INDEX(EXTRATO!$F$2:$F$3000,MATCH($A2173,EXTRATO!$A$2:$A$3000,0))="","",INDEX(EXTRATO!$F$2:$F$3000,MATCH($A2173,EXTRATO!$A$2:$A$3000,0))))</f>
        <v/>
      </c>
      <c r="I2173" s="88" t="str">
        <f>IF(A2173="","",IF(INDEX(EXTRATO!$H$2:$H$3000,MATCH($A2173,EXTRATO!$A$2:$A$3000,0))="","",INDEX(EXTRATO!$H$2:$H$3000,MATCH($A2173,EXTRATO!$A$2:$A$3000,0))))</f>
        <v/>
      </c>
      <c r="J2173" s="86" t="str">
        <f t="shared" si="55"/>
        <v/>
      </c>
      <c r="K2173" s="86" t="str">
        <f>IF(AND(A2173="",D2173="",E2173="",F2173=""),"",IF(D2173="","SEM CATEGORIA",IF(E2173="","SEM SUBCATEGORIA",IF(COUNTIFS(CADASTROS!$L$7:$L$93,D2173,CADASTROS!$D$7:$D$93,E2173)=0,"INCOMPATÍVEL","OK"))))</f>
        <v/>
      </c>
    </row>
    <row r="2174" spans="1:11" ht="30" hidden="1" customHeight="1" x14ac:dyDescent="0.25">
      <c r="A2174" s="86" t="str">
        <f>IF(COUNTIF(EXTRATO!$A$2:$A$3000,"BAN-02031")=0,"","BAN-02031")</f>
        <v/>
      </c>
      <c r="B2174" s="85" t="str">
        <f>IF(A2174="","",IF(INDEX(EXTRATO!$C$2:$C$3000,MATCH($A2174,EXTRATO!$A$2:$A$3000,0))="","",INDEX(EXTRATO!$C$2:$C$3000,MATCH($A2174,EXTRATO!$A$2:$A$3000,0))))</f>
        <v/>
      </c>
      <c r="C2174" s="86" t="str">
        <f t="shared" si="54"/>
        <v/>
      </c>
      <c r="D2174" s="81"/>
      <c r="E2174" s="79"/>
      <c r="F2174" s="80" t="str">
        <f>IF(A2174="","",SUMIF(EXTRATO!$A$2:$A$3000,$A2174,EXTRATO!$J$2:$J$3000)+SUMIF(EXTRATO!$A$2:$A$3000,$A2174,EXTRATO!$K$2:$K$3000)+SUMIF(EXTRATO!$A$2:$A$3000,$A2174,EXTRATO!$L$2:$L$3000)+SUMIF(EXTRATO!$A$2:$A$3000,$A2174,EXTRATO!$M$2:$M$3000))</f>
        <v/>
      </c>
      <c r="G2174" s="81" t="str">
        <f>IF(A2174="","",IF(INDEX(EXTRATO!$G$2:$G$3000,MATCH($A2174,EXTRATO!$A$2:$A$3000,0))="","",INDEX(EXTRATO!$G$2:$G$3000,MATCH($A2174,EXTRATO!$A$2:$A$3000,0))))</f>
        <v/>
      </c>
      <c r="H2174" s="86" t="str">
        <f>IF(A2174="","",IF(INDEX(EXTRATO!$F$2:$F$3000,MATCH($A2174,EXTRATO!$A$2:$A$3000,0))="","",INDEX(EXTRATO!$F$2:$F$3000,MATCH($A2174,EXTRATO!$A$2:$A$3000,0))))</f>
        <v/>
      </c>
      <c r="I2174" s="88" t="str">
        <f>IF(A2174="","",IF(INDEX(EXTRATO!$H$2:$H$3000,MATCH($A2174,EXTRATO!$A$2:$A$3000,0))="","",INDEX(EXTRATO!$H$2:$H$3000,MATCH($A2174,EXTRATO!$A$2:$A$3000,0))))</f>
        <v/>
      </c>
      <c r="J2174" s="86" t="str">
        <f t="shared" si="55"/>
        <v/>
      </c>
      <c r="K2174" s="86" t="str">
        <f>IF(AND(A2174="",D2174="",E2174="",F2174=""),"",IF(D2174="","SEM CATEGORIA",IF(E2174="","SEM SUBCATEGORIA",IF(COUNTIFS(CADASTROS!$L$7:$L$93,D2174,CADASTROS!$D$7:$D$93,E2174)=0,"INCOMPATÍVEL","OK"))))</f>
        <v/>
      </c>
    </row>
    <row r="2175" spans="1:11" ht="30" hidden="1" customHeight="1" x14ac:dyDescent="0.25">
      <c r="A2175" s="86" t="str">
        <f>IF(COUNTIF(EXTRATO!$A$2:$A$3000,"BAN-02032")=0,"","BAN-02032")</f>
        <v/>
      </c>
      <c r="B2175" s="85" t="str">
        <f>IF(A2175="","",IF(INDEX(EXTRATO!$C$2:$C$3000,MATCH($A2175,EXTRATO!$A$2:$A$3000,0))="","",INDEX(EXTRATO!$C$2:$C$3000,MATCH($A2175,EXTRATO!$A$2:$A$3000,0))))</f>
        <v/>
      </c>
      <c r="C2175" s="86" t="str">
        <f t="shared" si="54"/>
        <v/>
      </c>
      <c r="D2175" s="81"/>
      <c r="E2175" s="79"/>
      <c r="F2175" s="80" t="str">
        <f>IF(A2175="","",SUMIF(EXTRATO!$A$2:$A$3000,$A2175,EXTRATO!$J$2:$J$3000)+SUMIF(EXTRATO!$A$2:$A$3000,$A2175,EXTRATO!$K$2:$K$3000)+SUMIF(EXTRATO!$A$2:$A$3000,$A2175,EXTRATO!$L$2:$L$3000)+SUMIF(EXTRATO!$A$2:$A$3000,$A2175,EXTRATO!$M$2:$M$3000))</f>
        <v/>
      </c>
      <c r="G2175" s="81" t="str">
        <f>IF(A2175="","",IF(INDEX(EXTRATO!$G$2:$G$3000,MATCH($A2175,EXTRATO!$A$2:$A$3000,0))="","",INDEX(EXTRATO!$G$2:$G$3000,MATCH($A2175,EXTRATO!$A$2:$A$3000,0))))</f>
        <v/>
      </c>
      <c r="H2175" s="86" t="str">
        <f>IF(A2175="","",IF(INDEX(EXTRATO!$F$2:$F$3000,MATCH($A2175,EXTRATO!$A$2:$A$3000,0))="","",INDEX(EXTRATO!$F$2:$F$3000,MATCH($A2175,EXTRATO!$A$2:$A$3000,0))))</f>
        <v/>
      </c>
      <c r="I2175" s="88" t="str">
        <f>IF(A2175="","",IF(INDEX(EXTRATO!$H$2:$H$3000,MATCH($A2175,EXTRATO!$A$2:$A$3000,0))="","",INDEX(EXTRATO!$H$2:$H$3000,MATCH($A2175,EXTRATO!$A$2:$A$3000,0))))</f>
        <v/>
      </c>
      <c r="J2175" s="86" t="str">
        <f t="shared" si="55"/>
        <v/>
      </c>
      <c r="K2175" s="86" t="str">
        <f>IF(AND(A2175="",D2175="",E2175="",F2175=""),"",IF(D2175="","SEM CATEGORIA",IF(E2175="","SEM SUBCATEGORIA",IF(COUNTIFS(CADASTROS!$L$7:$L$93,D2175,CADASTROS!$D$7:$D$93,E2175)=0,"INCOMPATÍVEL","OK"))))</f>
        <v/>
      </c>
    </row>
    <row r="2176" spans="1:11" ht="30" hidden="1" customHeight="1" x14ac:dyDescent="0.25">
      <c r="A2176" s="86" t="str">
        <f>IF(COUNTIF(EXTRATO!$A$2:$A$3000,"BAN-02033")=0,"","BAN-02033")</f>
        <v/>
      </c>
      <c r="B2176" s="85" t="str">
        <f>IF(A2176="","",IF(INDEX(EXTRATO!$C$2:$C$3000,MATCH($A2176,EXTRATO!$A$2:$A$3000,0))="","",INDEX(EXTRATO!$C$2:$C$3000,MATCH($A2176,EXTRATO!$A$2:$A$3000,0))))</f>
        <v/>
      </c>
      <c r="C2176" s="86" t="str">
        <f t="shared" si="54"/>
        <v/>
      </c>
      <c r="D2176" s="81"/>
      <c r="E2176" s="79"/>
      <c r="F2176" s="80" t="str">
        <f>IF(A2176="","",SUMIF(EXTRATO!$A$2:$A$3000,$A2176,EXTRATO!$J$2:$J$3000)+SUMIF(EXTRATO!$A$2:$A$3000,$A2176,EXTRATO!$K$2:$K$3000)+SUMIF(EXTRATO!$A$2:$A$3000,$A2176,EXTRATO!$L$2:$L$3000)+SUMIF(EXTRATO!$A$2:$A$3000,$A2176,EXTRATO!$M$2:$M$3000))</f>
        <v/>
      </c>
      <c r="G2176" s="81" t="str">
        <f>IF(A2176="","",IF(INDEX(EXTRATO!$G$2:$G$3000,MATCH($A2176,EXTRATO!$A$2:$A$3000,0))="","",INDEX(EXTRATO!$G$2:$G$3000,MATCH($A2176,EXTRATO!$A$2:$A$3000,0))))</f>
        <v/>
      </c>
      <c r="H2176" s="86" t="str">
        <f>IF(A2176="","",IF(INDEX(EXTRATO!$F$2:$F$3000,MATCH($A2176,EXTRATO!$A$2:$A$3000,0))="","",INDEX(EXTRATO!$F$2:$F$3000,MATCH($A2176,EXTRATO!$A$2:$A$3000,0))))</f>
        <v/>
      </c>
      <c r="I2176" s="88" t="str">
        <f>IF(A2176="","",IF(INDEX(EXTRATO!$H$2:$H$3000,MATCH($A2176,EXTRATO!$A$2:$A$3000,0))="","",INDEX(EXTRATO!$H$2:$H$3000,MATCH($A2176,EXTRATO!$A$2:$A$3000,0))))</f>
        <v/>
      </c>
      <c r="J2176" s="86" t="str">
        <f t="shared" si="55"/>
        <v/>
      </c>
      <c r="K2176" s="86" t="str">
        <f>IF(AND(A2176="",D2176="",E2176="",F2176=""),"",IF(D2176="","SEM CATEGORIA",IF(E2176="","SEM SUBCATEGORIA",IF(COUNTIFS(CADASTROS!$L$7:$L$93,D2176,CADASTROS!$D$7:$D$93,E2176)=0,"INCOMPATÍVEL","OK"))))</f>
        <v/>
      </c>
    </row>
    <row r="2177" spans="1:11" ht="30" hidden="1" customHeight="1" x14ac:dyDescent="0.25">
      <c r="A2177" s="86" t="str">
        <f>IF(COUNTIF(EXTRATO!$A$2:$A$3000,"BAN-02034")=0,"","BAN-02034")</f>
        <v/>
      </c>
      <c r="B2177" s="85" t="str">
        <f>IF(A2177="","",IF(INDEX(EXTRATO!$C$2:$C$3000,MATCH($A2177,EXTRATO!$A$2:$A$3000,0))="","",INDEX(EXTRATO!$C$2:$C$3000,MATCH($A2177,EXTRATO!$A$2:$A$3000,0))))</f>
        <v/>
      </c>
      <c r="C2177" s="86" t="str">
        <f t="shared" si="54"/>
        <v/>
      </c>
      <c r="D2177" s="81"/>
      <c r="E2177" s="79"/>
      <c r="F2177" s="80" t="str">
        <f>IF(A2177="","",SUMIF(EXTRATO!$A$2:$A$3000,$A2177,EXTRATO!$J$2:$J$3000)+SUMIF(EXTRATO!$A$2:$A$3000,$A2177,EXTRATO!$K$2:$K$3000)+SUMIF(EXTRATO!$A$2:$A$3000,$A2177,EXTRATO!$L$2:$L$3000)+SUMIF(EXTRATO!$A$2:$A$3000,$A2177,EXTRATO!$M$2:$M$3000))</f>
        <v/>
      </c>
      <c r="G2177" s="81" t="str">
        <f>IF(A2177="","",IF(INDEX(EXTRATO!$G$2:$G$3000,MATCH($A2177,EXTRATO!$A$2:$A$3000,0))="","",INDEX(EXTRATO!$G$2:$G$3000,MATCH($A2177,EXTRATO!$A$2:$A$3000,0))))</f>
        <v/>
      </c>
      <c r="H2177" s="86" t="str">
        <f>IF(A2177="","",IF(INDEX(EXTRATO!$F$2:$F$3000,MATCH($A2177,EXTRATO!$A$2:$A$3000,0))="","",INDEX(EXTRATO!$F$2:$F$3000,MATCH($A2177,EXTRATO!$A$2:$A$3000,0))))</f>
        <v/>
      </c>
      <c r="I2177" s="88" t="str">
        <f>IF(A2177="","",IF(INDEX(EXTRATO!$H$2:$H$3000,MATCH($A2177,EXTRATO!$A$2:$A$3000,0))="","",INDEX(EXTRATO!$H$2:$H$3000,MATCH($A2177,EXTRATO!$A$2:$A$3000,0))))</f>
        <v/>
      </c>
      <c r="J2177" s="86" t="str">
        <f t="shared" si="55"/>
        <v/>
      </c>
      <c r="K2177" s="86" t="str">
        <f>IF(AND(A2177="",D2177="",E2177="",F2177=""),"",IF(D2177="","SEM CATEGORIA",IF(E2177="","SEM SUBCATEGORIA",IF(COUNTIFS(CADASTROS!$L$7:$L$93,D2177,CADASTROS!$D$7:$D$93,E2177)=0,"INCOMPATÍVEL","OK"))))</f>
        <v/>
      </c>
    </row>
    <row r="2178" spans="1:11" ht="30" hidden="1" customHeight="1" x14ac:dyDescent="0.25">
      <c r="A2178" s="86" t="str">
        <f>IF(COUNTIF(EXTRATO!$A$2:$A$3000,"BAN-02035")=0,"","BAN-02035")</f>
        <v/>
      </c>
      <c r="B2178" s="85" t="str">
        <f>IF(A2178="","",IF(INDEX(EXTRATO!$C$2:$C$3000,MATCH($A2178,EXTRATO!$A$2:$A$3000,0))="","",INDEX(EXTRATO!$C$2:$C$3000,MATCH($A2178,EXTRATO!$A$2:$A$3000,0))))</f>
        <v/>
      </c>
      <c r="C2178" s="86" t="str">
        <f t="shared" si="54"/>
        <v/>
      </c>
      <c r="D2178" s="81"/>
      <c r="E2178" s="79"/>
      <c r="F2178" s="80" t="str">
        <f>IF(A2178="","",SUMIF(EXTRATO!$A$2:$A$3000,$A2178,EXTRATO!$J$2:$J$3000)+SUMIF(EXTRATO!$A$2:$A$3000,$A2178,EXTRATO!$K$2:$K$3000)+SUMIF(EXTRATO!$A$2:$A$3000,$A2178,EXTRATO!$L$2:$L$3000)+SUMIF(EXTRATO!$A$2:$A$3000,$A2178,EXTRATO!$M$2:$M$3000))</f>
        <v/>
      </c>
      <c r="G2178" s="81" t="str">
        <f>IF(A2178="","",IF(INDEX(EXTRATO!$G$2:$G$3000,MATCH($A2178,EXTRATO!$A$2:$A$3000,0))="","",INDEX(EXTRATO!$G$2:$G$3000,MATCH($A2178,EXTRATO!$A$2:$A$3000,0))))</f>
        <v/>
      </c>
      <c r="H2178" s="86" t="str">
        <f>IF(A2178="","",IF(INDEX(EXTRATO!$F$2:$F$3000,MATCH($A2178,EXTRATO!$A$2:$A$3000,0))="","",INDEX(EXTRATO!$F$2:$F$3000,MATCH($A2178,EXTRATO!$A$2:$A$3000,0))))</f>
        <v/>
      </c>
      <c r="I2178" s="88" t="str">
        <f>IF(A2178="","",IF(INDEX(EXTRATO!$H$2:$H$3000,MATCH($A2178,EXTRATO!$A$2:$A$3000,0))="","",INDEX(EXTRATO!$H$2:$H$3000,MATCH($A2178,EXTRATO!$A$2:$A$3000,0))))</f>
        <v/>
      </c>
      <c r="J2178" s="86" t="str">
        <f t="shared" si="55"/>
        <v/>
      </c>
      <c r="K2178" s="86" t="str">
        <f>IF(AND(A2178="",D2178="",E2178="",F2178=""),"",IF(D2178="","SEM CATEGORIA",IF(E2178="","SEM SUBCATEGORIA",IF(COUNTIFS(CADASTROS!$L$7:$L$93,D2178,CADASTROS!$D$7:$D$93,E2178)=0,"INCOMPATÍVEL","OK"))))</f>
        <v/>
      </c>
    </row>
    <row r="2179" spans="1:11" ht="30" hidden="1" customHeight="1" x14ac:dyDescent="0.25">
      <c r="A2179" s="86" t="str">
        <f>IF(COUNTIF(EXTRATO!$A$2:$A$3000,"BAN-02036")=0,"","BAN-02036")</f>
        <v/>
      </c>
      <c r="B2179" s="85" t="str">
        <f>IF(A2179="","",IF(INDEX(EXTRATO!$C$2:$C$3000,MATCH($A2179,EXTRATO!$A$2:$A$3000,0))="","",INDEX(EXTRATO!$C$2:$C$3000,MATCH($A2179,EXTRATO!$A$2:$A$3000,0))))</f>
        <v/>
      </c>
      <c r="C2179" s="86" t="str">
        <f t="shared" si="54"/>
        <v/>
      </c>
      <c r="D2179" s="81"/>
      <c r="E2179" s="79"/>
      <c r="F2179" s="80" t="str">
        <f>IF(A2179="","",SUMIF(EXTRATO!$A$2:$A$3000,$A2179,EXTRATO!$J$2:$J$3000)+SUMIF(EXTRATO!$A$2:$A$3000,$A2179,EXTRATO!$K$2:$K$3000)+SUMIF(EXTRATO!$A$2:$A$3000,$A2179,EXTRATO!$L$2:$L$3000)+SUMIF(EXTRATO!$A$2:$A$3000,$A2179,EXTRATO!$M$2:$M$3000))</f>
        <v/>
      </c>
      <c r="G2179" s="81" t="str">
        <f>IF(A2179="","",IF(INDEX(EXTRATO!$G$2:$G$3000,MATCH($A2179,EXTRATO!$A$2:$A$3000,0))="","",INDEX(EXTRATO!$G$2:$G$3000,MATCH($A2179,EXTRATO!$A$2:$A$3000,0))))</f>
        <v/>
      </c>
      <c r="H2179" s="86" t="str">
        <f>IF(A2179="","",IF(INDEX(EXTRATO!$F$2:$F$3000,MATCH($A2179,EXTRATO!$A$2:$A$3000,0))="","",INDEX(EXTRATO!$F$2:$F$3000,MATCH($A2179,EXTRATO!$A$2:$A$3000,0))))</f>
        <v/>
      </c>
      <c r="I2179" s="88" t="str">
        <f>IF(A2179="","",IF(INDEX(EXTRATO!$H$2:$H$3000,MATCH($A2179,EXTRATO!$A$2:$A$3000,0))="","",INDEX(EXTRATO!$H$2:$H$3000,MATCH($A2179,EXTRATO!$A$2:$A$3000,0))))</f>
        <v/>
      </c>
      <c r="J2179" s="86" t="str">
        <f t="shared" si="55"/>
        <v/>
      </c>
      <c r="K2179" s="86" t="str">
        <f>IF(AND(A2179="",D2179="",E2179="",F2179=""),"",IF(D2179="","SEM CATEGORIA",IF(E2179="","SEM SUBCATEGORIA",IF(COUNTIFS(CADASTROS!$L$7:$L$93,D2179,CADASTROS!$D$7:$D$93,E2179)=0,"INCOMPATÍVEL","OK"))))</f>
        <v/>
      </c>
    </row>
    <row r="2180" spans="1:11" ht="30" hidden="1" customHeight="1" x14ac:dyDescent="0.25">
      <c r="A2180" s="86" t="str">
        <f>IF(COUNTIF(EXTRATO!$A$2:$A$3000,"BAN-02037")=0,"","BAN-02037")</f>
        <v/>
      </c>
      <c r="B2180" s="85" t="str">
        <f>IF(A2180="","",IF(INDEX(EXTRATO!$C$2:$C$3000,MATCH($A2180,EXTRATO!$A$2:$A$3000,0))="","",INDEX(EXTRATO!$C$2:$C$3000,MATCH($A2180,EXTRATO!$A$2:$A$3000,0))))</f>
        <v/>
      </c>
      <c r="C2180" s="86" t="str">
        <f t="shared" si="54"/>
        <v/>
      </c>
      <c r="D2180" s="81"/>
      <c r="E2180" s="79"/>
      <c r="F2180" s="80" t="str">
        <f>IF(A2180="","",SUMIF(EXTRATO!$A$2:$A$3000,$A2180,EXTRATO!$J$2:$J$3000)+SUMIF(EXTRATO!$A$2:$A$3000,$A2180,EXTRATO!$K$2:$K$3000)+SUMIF(EXTRATO!$A$2:$A$3000,$A2180,EXTRATO!$L$2:$L$3000)+SUMIF(EXTRATO!$A$2:$A$3000,$A2180,EXTRATO!$M$2:$M$3000))</f>
        <v/>
      </c>
      <c r="G2180" s="81" t="str">
        <f>IF(A2180="","",IF(INDEX(EXTRATO!$G$2:$G$3000,MATCH($A2180,EXTRATO!$A$2:$A$3000,0))="","",INDEX(EXTRATO!$G$2:$G$3000,MATCH($A2180,EXTRATO!$A$2:$A$3000,0))))</f>
        <v/>
      </c>
      <c r="H2180" s="86" t="str">
        <f>IF(A2180="","",IF(INDEX(EXTRATO!$F$2:$F$3000,MATCH($A2180,EXTRATO!$A$2:$A$3000,0))="","",INDEX(EXTRATO!$F$2:$F$3000,MATCH($A2180,EXTRATO!$A$2:$A$3000,0))))</f>
        <v/>
      </c>
      <c r="I2180" s="88" t="str">
        <f>IF(A2180="","",IF(INDEX(EXTRATO!$H$2:$H$3000,MATCH($A2180,EXTRATO!$A$2:$A$3000,0))="","",INDEX(EXTRATO!$H$2:$H$3000,MATCH($A2180,EXTRATO!$A$2:$A$3000,0))))</f>
        <v/>
      </c>
      <c r="J2180" s="86" t="str">
        <f t="shared" si="55"/>
        <v/>
      </c>
      <c r="K2180" s="86" t="str">
        <f>IF(AND(A2180="",D2180="",E2180="",F2180=""),"",IF(D2180="","SEM CATEGORIA",IF(E2180="","SEM SUBCATEGORIA",IF(COUNTIFS(CADASTROS!$L$7:$L$93,D2180,CADASTROS!$D$7:$D$93,E2180)=0,"INCOMPATÍVEL","OK"))))</f>
        <v/>
      </c>
    </row>
    <row r="2181" spans="1:11" ht="30" hidden="1" customHeight="1" x14ac:dyDescent="0.25">
      <c r="A2181" s="86" t="str">
        <f>IF(COUNTIF(EXTRATO!$A$2:$A$3000,"BAN-02038")=0,"","BAN-02038")</f>
        <v/>
      </c>
      <c r="B2181" s="85" t="str">
        <f>IF(A2181="","",IF(INDEX(EXTRATO!$C$2:$C$3000,MATCH($A2181,EXTRATO!$A$2:$A$3000,0))="","",INDEX(EXTRATO!$C$2:$C$3000,MATCH($A2181,EXTRATO!$A$2:$A$3000,0))))</f>
        <v/>
      </c>
      <c r="C2181" s="86" t="str">
        <f t="shared" si="54"/>
        <v/>
      </c>
      <c r="D2181" s="81"/>
      <c r="E2181" s="79"/>
      <c r="F2181" s="80" t="str">
        <f>IF(A2181="","",SUMIF(EXTRATO!$A$2:$A$3000,$A2181,EXTRATO!$J$2:$J$3000)+SUMIF(EXTRATO!$A$2:$A$3000,$A2181,EXTRATO!$K$2:$K$3000)+SUMIF(EXTRATO!$A$2:$A$3000,$A2181,EXTRATO!$L$2:$L$3000)+SUMIF(EXTRATO!$A$2:$A$3000,$A2181,EXTRATO!$M$2:$M$3000))</f>
        <v/>
      </c>
      <c r="G2181" s="81" t="str">
        <f>IF(A2181="","",IF(INDEX(EXTRATO!$G$2:$G$3000,MATCH($A2181,EXTRATO!$A$2:$A$3000,0))="","",INDEX(EXTRATO!$G$2:$G$3000,MATCH($A2181,EXTRATO!$A$2:$A$3000,0))))</f>
        <v/>
      </c>
      <c r="H2181" s="86" t="str">
        <f>IF(A2181="","",IF(INDEX(EXTRATO!$F$2:$F$3000,MATCH($A2181,EXTRATO!$A$2:$A$3000,0))="","",INDEX(EXTRATO!$F$2:$F$3000,MATCH($A2181,EXTRATO!$A$2:$A$3000,0))))</f>
        <v/>
      </c>
      <c r="I2181" s="88" t="str">
        <f>IF(A2181="","",IF(INDEX(EXTRATO!$H$2:$H$3000,MATCH($A2181,EXTRATO!$A$2:$A$3000,0))="","",INDEX(EXTRATO!$H$2:$H$3000,MATCH($A2181,EXTRATO!$A$2:$A$3000,0))))</f>
        <v/>
      </c>
      <c r="J2181" s="86" t="str">
        <f t="shared" si="55"/>
        <v/>
      </c>
      <c r="K2181" s="86" t="str">
        <f>IF(AND(A2181="",D2181="",E2181="",F2181=""),"",IF(D2181="","SEM CATEGORIA",IF(E2181="","SEM SUBCATEGORIA",IF(COUNTIFS(CADASTROS!$L$7:$L$93,D2181,CADASTROS!$D$7:$D$93,E2181)=0,"INCOMPATÍVEL","OK"))))</f>
        <v/>
      </c>
    </row>
    <row r="2182" spans="1:11" ht="30" hidden="1" customHeight="1" x14ac:dyDescent="0.25">
      <c r="A2182" s="86" t="str">
        <f>IF(COUNTIF(EXTRATO!$A$2:$A$3000,"BAN-02039")=0,"","BAN-02039")</f>
        <v/>
      </c>
      <c r="B2182" s="85" t="str">
        <f>IF(A2182="","",IF(INDEX(EXTRATO!$C$2:$C$3000,MATCH($A2182,EXTRATO!$A$2:$A$3000,0))="","",INDEX(EXTRATO!$C$2:$C$3000,MATCH($A2182,EXTRATO!$A$2:$A$3000,0))))</f>
        <v/>
      </c>
      <c r="C2182" s="86" t="str">
        <f t="shared" si="54"/>
        <v/>
      </c>
      <c r="D2182" s="81"/>
      <c r="E2182" s="79"/>
      <c r="F2182" s="80" t="str">
        <f>IF(A2182="","",SUMIF(EXTRATO!$A$2:$A$3000,$A2182,EXTRATO!$J$2:$J$3000)+SUMIF(EXTRATO!$A$2:$A$3000,$A2182,EXTRATO!$K$2:$K$3000)+SUMIF(EXTRATO!$A$2:$A$3000,$A2182,EXTRATO!$L$2:$L$3000)+SUMIF(EXTRATO!$A$2:$A$3000,$A2182,EXTRATO!$M$2:$M$3000))</f>
        <v/>
      </c>
      <c r="G2182" s="81" t="str">
        <f>IF(A2182="","",IF(INDEX(EXTRATO!$G$2:$G$3000,MATCH($A2182,EXTRATO!$A$2:$A$3000,0))="","",INDEX(EXTRATO!$G$2:$G$3000,MATCH($A2182,EXTRATO!$A$2:$A$3000,0))))</f>
        <v/>
      </c>
      <c r="H2182" s="86" t="str">
        <f>IF(A2182="","",IF(INDEX(EXTRATO!$F$2:$F$3000,MATCH($A2182,EXTRATO!$A$2:$A$3000,0))="","",INDEX(EXTRATO!$F$2:$F$3000,MATCH($A2182,EXTRATO!$A$2:$A$3000,0))))</f>
        <v/>
      </c>
      <c r="I2182" s="88" t="str">
        <f>IF(A2182="","",IF(INDEX(EXTRATO!$H$2:$H$3000,MATCH($A2182,EXTRATO!$A$2:$A$3000,0))="","",INDEX(EXTRATO!$H$2:$H$3000,MATCH($A2182,EXTRATO!$A$2:$A$3000,0))))</f>
        <v/>
      </c>
      <c r="J2182" s="86" t="str">
        <f t="shared" si="55"/>
        <v/>
      </c>
      <c r="K2182" s="86" t="str">
        <f>IF(AND(A2182="",D2182="",E2182="",F2182=""),"",IF(D2182="","SEM CATEGORIA",IF(E2182="","SEM SUBCATEGORIA",IF(COUNTIFS(CADASTROS!$L$7:$L$93,D2182,CADASTROS!$D$7:$D$93,E2182)=0,"INCOMPATÍVEL","OK"))))</f>
        <v/>
      </c>
    </row>
    <row r="2183" spans="1:11" ht="30" hidden="1" customHeight="1" x14ac:dyDescent="0.25">
      <c r="A2183" s="86" t="str">
        <f>IF(COUNTIF(EXTRATO!$A$2:$A$3000,"BAN-02040")=0,"","BAN-02040")</f>
        <v/>
      </c>
      <c r="B2183" s="85" t="str">
        <f>IF(A2183="","",IF(INDEX(EXTRATO!$C$2:$C$3000,MATCH($A2183,EXTRATO!$A$2:$A$3000,0))="","",INDEX(EXTRATO!$C$2:$C$3000,MATCH($A2183,EXTRATO!$A$2:$A$3000,0))))</f>
        <v/>
      </c>
      <c r="C2183" s="86" t="str">
        <f t="shared" si="54"/>
        <v/>
      </c>
      <c r="D2183" s="81"/>
      <c r="E2183" s="79"/>
      <c r="F2183" s="80" t="str">
        <f>IF(A2183="","",SUMIF(EXTRATO!$A$2:$A$3000,$A2183,EXTRATO!$J$2:$J$3000)+SUMIF(EXTRATO!$A$2:$A$3000,$A2183,EXTRATO!$K$2:$K$3000)+SUMIF(EXTRATO!$A$2:$A$3000,$A2183,EXTRATO!$L$2:$L$3000)+SUMIF(EXTRATO!$A$2:$A$3000,$A2183,EXTRATO!$M$2:$M$3000))</f>
        <v/>
      </c>
      <c r="G2183" s="81" t="str">
        <f>IF(A2183="","",IF(INDEX(EXTRATO!$G$2:$G$3000,MATCH($A2183,EXTRATO!$A$2:$A$3000,0))="","",INDEX(EXTRATO!$G$2:$G$3000,MATCH($A2183,EXTRATO!$A$2:$A$3000,0))))</f>
        <v/>
      </c>
      <c r="H2183" s="86" t="str">
        <f>IF(A2183="","",IF(INDEX(EXTRATO!$F$2:$F$3000,MATCH($A2183,EXTRATO!$A$2:$A$3000,0))="","",INDEX(EXTRATO!$F$2:$F$3000,MATCH($A2183,EXTRATO!$A$2:$A$3000,0))))</f>
        <v/>
      </c>
      <c r="I2183" s="88" t="str">
        <f>IF(A2183="","",IF(INDEX(EXTRATO!$H$2:$H$3000,MATCH($A2183,EXTRATO!$A$2:$A$3000,0))="","",INDEX(EXTRATO!$H$2:$H$3000,MATCH($A2183,EXTRATO!$A$2:$A$3000,0))))</f>
        <v/>
      </c>
      <c r="J2183" s="86" t="str">
        <f t="shared" si="55"/>
        <v/>
      </c>
      <c r="K2183" s="86" t="str">
        <f>IF(AND(A2183="",D2183="",E2183="",F2183=""),"",IF(D2183="","SEM CATEGORIA",IF(E2183="","SEM SUBCATEGORIA",IF(COUNTIFS(CADASTROS!$L$7:$L$93,D2183,CADASTROS!$D$7:$D$93,E2183)=0,"INCOMPATÍVEL","OK"))))</f>
        <v/>
      </c>
    </row>
    <row r="2184" spans="1:11" ht="30" hidden="1" customHeight="1" x14ac:dyDescent="0.25">
      <c r="A2184" s="86" t="str">
        <f>IF(COUNTIF(EXTRATO!$A$2:$A$3000,"BAN-02041")=0,"","BAN-02041")</f>
        <v/>
      </c>
      <c r="B2184" s="85" t="str">
        <f>IF(A2184="","",IF(INDEX(EXTRATO!$C$2:$C$3000,MATCH($A2184,EXTRATO!$A$2:$A$3000,0))="","",INDEX(EXTRATO!$C$2:$C$3000,MATCH($A2184,EXTRATO!$A$2:$A$3000,0))))</f>
        <v/>
      </c>
      <c r="C2184" s="86" t="str">
        <f t="shared" si="54"/>
        <v/>
      </c>
      <c r="D2184" s="81"/>
      <c r="E2184" s="79"/>
      <c r="F2184" s="80" t="str">
        <f>IF(A2184="","",SUMIF(EXTRATO!$A$2:$A$3000,$A2184,EXTRATO!$J$2:$J$3000)+SUMIF(EXTRATO!$A$2:$A$3000,$A2184,EXTRATO!$K$2:$K$3000)+SUMIF(EXTRATO!$A$2:$A$3000,$A2184,EXTRATO!$L$2:$L$3000)+SUMIF(EXTRATO!$A$2:$A$3000,$A2184,EXTRATO!$M$2:$M$3000))</f>
        <v/>
      </c>
      <c r="G2184" s="81" t="str">
        <f>IF(A2184="","",IF(INDEX(EXTRATO!$G$2:$G$3000,MATCH($A2184,EXTRATO!$A$2:$A$3000,0))="","",INDEX(EXTRATO!$G$2:$G$3000,MATCH($A2184,EXTRATO!$A$2:$A$3000,0))))</f>
        <v/>
      </c>
      <c r="H2184" s="86" t="str">
        <f>IF(A2184="","",IF(INDEX(EXTRATO!$F$2:$F$3000,MATCH($A2184,EXTRATO!$A$2:$A$3000,0))="","",INDEX(EXTRATO!$F$2:$F$3000,MATCH($A2184,EXTRATO!$A$2:$A$3000,0))))</f>
        <v/>
      </c>
      <c r="I2184" s="88" t="str">
        <f>IF(A2184="","",IF(INDEX(EXTRATO!$H$2:$H$3000,MATCH($A2184,EXTRATO!$A$2:$A$3000,0))="","",INDEX(EXTRATO!$H$2:$H$3000,MATCH($A2184,EXTRATO!$A$2:$A$3000,0))))</f>
        <v/>
      </c>
      <c r="J2184" s="86" t="str">
        <f t="shared" si="55"/>
        <v/>
      </c>
      <c r="K2184" s="86" t="str">
        <f>IF(AND(A2184="",D2184="",E2184="",F2184=""),"",IF(D2184="","SEM CATEGORIA",IF(E2184="","SEM SUBCATEGORIA",IF(COUNTIFS(CADASTROS!$L$7:$L$93,D2184,CADASTROS!$D$7:$D$93,E2184)=0,"INCOMPATÍVEL","OK"))))</f>
        <v/>
      </c>
    </row>
    <row r="2185" spans="1:11" ht="30" hidden="1" customHeight="1" x14ac:dyDescent="0.25">
      <c r="A2185" s="86" t="str">
        <f>IF(COUNTIF(EXTRATO!$A$2:$A$3000,"BAN-02042")=0,"","BAN-02042")</f>
        <v/>
      </c>
      <c r="B2185" s="85" t="str">
        <f>IF(A2185="","",IF(INDEX(EXTRATO!$C$2:$C$3000,MATCH($A2185,EXTRATO!$A$2:$A$3000,0))="","",INDEX(EXTRATO!$C$2:$C$3000,MATCH($A2185,EXTRATO!$A$2:$A$3000,0))))</f>
        <v/>
      </c>
      <c r="C2185" s="86" t="str">
        <f t="shared" si="54"/>
        <v/>
      </c>
      <c r="D2185" s="81"/>
      <c r="E2185" s="79"/>
      <c r="F2185" s="80" t="str">
        <f>IF(A2185="","",SUMIF(EXTRATO!$A$2:$A$3000,$A2185,EXTRATO!$J$2:$J$3000)+SUMIF(EXTRATO!$A$2:$A$3000,$A2185,EXTRATO!$K$2:$K$3000)+SUMIF(EXTRATO!$A$2:$A$3000,$A2185,EXTRATO!$L$2:$L$3000)+SUMIF(EXTRATO!$A$2:$A$3000,$A2185,EXTRATO!$M$2:$M$3000))</f>
        <v/>
      </c>
      <c r="G2185" s="81" t="str">
        <f>IF(A2185="","",IF(INDEX(EXTRATO!$G$2:$G$3000,MATCH($A2185,EXTRATO!$A$2:$A$3000,0))="","",INDEX(EXTRATO!$G$2:$G$3000,MATCH($A2185,EXTRATO!$A$2:$A$3000,0))))</f>
        <v/>
      </c>
      <c r="H2185" s="86" t="str">
        <f>IF(A2185="","",IF(INDEX(EXTRATO!$F$2:$F$3000,MATCH($A2185,EXTRATO!$A$2:$A$3000,0))="","",INDEX(EXTRATO!$F$2:$F$3000,MATCH($A2185,EXTRATO!$A$2:$A$3000,0))))</f>
        <v/>
      </c>
      <c r="I2185" s="88" t="str">
        <f>IF(A2185="","",IF(INDEX(EXTRATO!$H$2:$H$3000,MATCH($A2185,EXTRATO!$A$2:$A$3000,0))="","",INDEX(EXTRATO!$H$2:$H$3000,MATCH($A2185,EXTRATO!$A$2:$A$3000,0))))</f>
        <v/>
      </c>
      <c r="J2185" s="86" t="str">
        <f t="shared" si="55"/>
        <v/>
      </c>
      <c r="K2185" s="86" t="str">
        <f>IF(AND(A2185="",D2185="",E2185="",F2185=""),"",IF(D2185="","SEM CATEGORIA",IF(E2185="","SEM SUBCATEGORIA",IF(COUNTIFS(CADASTROS!$L$7:$L$93,D2185,CADASTROS!$D$7:$D$93,E2185)=0,"INCOMPATÍVEL","OK"))))</f>
        <v/>
      </c>
    </row>
    <row r="2186" spans="1:11" ht="30" hidden="1" customHeight="1" x14ac:dyDescent="0.25">
      <c r="A2186" s="86" t="str">
        <f>IF(COUNTIF(EXTRATO!$A$2:$A$3000,"BAN-02043")=0,"","BAN-02043")</f>
        <v/>
      </c>
      <c r="B2186" s="85" t="str">
        <f>IF(A2186="","",IF(INDEX(EXTRATO!$C$2:$C$3000,MATCH($A2186,EXTRATO!$A$2:$A$3000,0))="","",INDEX(EXTRATO!$C$2:$C$3000,MATCH($A2186,EXTRATO!$A$2:$A$3000,0))))</f>
        <v/>
      </c>
      <c r="C2186" s="86" t="str">
        <f t="shared" si="54"/>
        <v/>
      </c>
      <c r="D2186" s="81"/>
      <c r="E2186" s="79"/>
      <c r="F2186" s="80" t="str">
        <f>IF(A2186="","",SUMIF(EXTRATO!$A$2:$A$3000,$A2186,EXTRATO!$J$2:$J$3000)+SUMIF(EXTRATO!$A$2:$A$3000,$A2186,EXTRATO!$K$2:$K$3000)+SUMIF(EXTRATO!$A$2:$A$3000,$A2186,EXTRATO!$L$2:$L$3000)+SUMIF(EXTRATO!$A$2:$A$3000,$A2186,EXTRATO!$M$2:$M$3000))</f>
        <v/>
      </c>
      <c r="G2186" s="81" t="str">
        <f>IF(A2186="","",IF(INDEX(EXTRATO!$G$2:$G$3000,MATCH($A2186,EXTRATO!$A$2:$A$3000,0))="","",INDEX(EXTRATO!$G$2:$G$3000,MATCH($A2186,EXTRATO!$A$2:$A$3000,0))))</f>
        <v/>
      </c>
      <c r="H2186" s="86" t="str">
        <f>IF(A2186="","",IF(INDEX(EXTRATO!$F$2:$F$3000,MATCH($A2186,EXTRATO!$A$2:$A$3000,0))="","",INDEX(EXTRATO!$F$2:$F$3000,MATCH($A2186,EXTRATO!$A$2:$A$3000,0))))</f>
        <v/>
      </c>
      <c r="I2186" s="88" t="str">
        <f>IF(A2186="","",IF(INDEX(EXTRATO!$H$2:$H$3000,MATCH($A2186,EXTRATO!$A$2:$A$3000,0))="","",INDEX(EXTRATO!$H$2:$H$3000,MATCH($A2186,EXTRATO!$A$2:$A$3000,0))))</f>
        <v/>
      </c>
      <c r="J2186" s="86" t="str">
        <f t="shared" si="55"/>
        <v/>
      </c>
      <c r="K2186" s="86" t="str">
        <f>IF(AND(A2186="",D2186="",E2186="",F2186=""),"",IF(D2186="","SEM CATEGORIA",IF(E2186="","SEM SUBCATEGORIA",IF(COUNTIFS(CADASTROS!$L$7:$L$93,D2186,CADASTROS!$D$7:$D$93,E2186)=0,"INCOMPATÍVEL","OK"))))</f>
        <v/>
      </c>
    </row>
    <row r="2187" spans="1:11" ht="30" hidden="1" customHeight="1" x14ac:dyDescent="0.25">
      <c r="A2187" s="86" t="str">
        <f>IF(COUNTIF(EXTRATO!$A$2:$A$3000,"BAN-02044")=0,"","BAN-02044")</f>
        <v/>
      </c>
      <c r="B2187" s="85" t="str">
        <f>IF(A2187="","",IF(INDEX(EXTRATO!$C$2:$C$3000,MATCH($A2187,EXTRATO!$A$2:$A$3000,0))="","",INDEX(EXTRATO!$C$2:$C$3000,MATCH($A2187,EXTRATO!$A$2:$A$3000,0))))</f>
        <v/>
      </c>
      <c r="C2187" s="86" t="str">
        <f t="shared" si="54"/>
        <v/>
      </c>
      <c r="D2187" s="81"/>
      <c r="E2187" s="79"/>
      <c r="F2187" s="80" t="str">
        <f>IF(A2187="","",SUMIF(EXTRATO!$A$2:$A$3000,$A2187,EXTRATO!$J$2:$J$3000)+SUMIF(EXTRATO!$A$2:$A$3000,$A2187,EXTRATO!$K$2:$K$3000)+SUMIF(EXTRATO!$A$2:$A$3000,$A2187,EXTRATO!$L$2:$L$3000)+SUMIF(EXTRATO!$A$2:$A$3000,$A2187,EXTRATO!$M$2:$M$3000))</f>
        <v/>
      </c>
      <c r="G2187" s="81" t="str">
        <f>IF(A2187="","",IF(INDEX(EXTRATO!$G$2:$G$3000,MATCH($A2187,EXTRATO!$A$2:$A$3000,0))="","",INDEX(EXTRATO!$G$2:$G$3000,MATCH($A2187,EXTRATO!$A$2:$A$3000,0))))</f>
        <v/>
      </c>
      <c r="H2187" s="86" t="str">
        <f>IF(A2187="","",IF(INDEX(EXTRATO!$F$2:$F$3000,MATCH($A2187,EXTRATO!$A$2:$A$3000,0))="","",INDEX(EXTRATO!$F$2:$F$3000,MATCH($A2187,EXTRATO!$A$2:$A$3000,0))))</f>
        <v/>
      </c>
      <c r="I2187" s="88" t="str">
        <f>IF(A2187="","",IF(INDEX(EXTRATO!$H$2:$H$3000,MATCH($A2187,EXTRATO!$A$2:$A$3000,0))="","",INDEX(EXTRATO!$H$2:$H$3000,MATCH($A2187,EXTRATO!$A$2:$A$3000,0))))</f>
        <v/>
      </c>
      <c r="J2187" s="86" t="str">
        <f t="shared" si="55"/>
        <v/>
      </c>
      <c r="K2187" s="86" t="str">
        <f>IF(AND(A2187="",D2187="",E2187="",F2187=""),"",IF(D2187="","SEM CATEGORIA",IF(E2187="","SEM SUBCATEGORIA",IF(COUNTIFS(CADASTROS!$L$7:$L$93,D2187,CADASTROS!$D$7:$D$93,E2187)=0,"INCOMPATÍVEL","OK"))))</f>
        <v/>
      </c>
    </row>
    <row r="2188" spans="1:11" ht="30" hidden="1" customHeight="1" x14ac:dyDescent="0.25">
      <c r="A2188" s="86" t="str">
        <f>IF(COUNTIF(EXTRATO!$A$2:$A$3000,"BAN-02045")=0,"","BAN-02045")</f>
        <v/>
      </c>
      <c r="B2188" s="85" t="str">
        <f>IF(A2188="","",IF(INDEX(EXTRATO!$C$2:$C$3000,MATCH($A2188,EXTRATO!$A$2:$A$3000,0))="","",INDEX(EXTRATO!$C$2:$C$3000,MATCH($A2188,EXTRATO!$A$2:$A$3000,0))))</f>
        <v/>
      </c>
      <c r="C2188" s="86" t="str">
        <f t="shared" si="54"/>
        <v/>
      </c>
      <c r="D2188" s="81"/>
      <c r="E2188" s="79"/>
      <c r="F2188" s="80" t="str">
        <f>IF(A2188="","",SUMIF(EXTRATO!$A$2:$A$3000,$A2188,EXTRATO!$J$2:$J$3000)+SUMIF(EXTRATO!$A$2:$A$3000,$A2188,EXTRATO!$K$2:$K$3000)+SUMIF(EXTRATO!$A$2:$A$3000,$A2188,EXTRATO!$L$2:$L$3000)+SUMIF(EXTRATO!$A$2:$A$3000,$A2188,EXTRATO!$M$2:$M$3000))</f>
        <v/>
      </c>
      <c r="G2188" s="81" t="str">
        <f>IF(A2188="","",IF(INDEX(EXTRATO!$G$2:$G$3000,MATCH($A2188,EXTRATO!$A$2:$A$3000,0))="","",INDEX(EXTRATO!$G$2:$G$3000,MATCH($A2188,EXTRATO!$A$2:$A$3000,0))))</f>
        <v/>
      </c>
      <c r="H2188" s="86" t="str">
        <f>IF(A2188="","",IF(INDEX(EXTRATO!$F$2:$F$3000,MATCH($A2188,EXTRATO!$A$2:$A$3000,0))="","",INDEX(EXTRATO!$F$2:$F$3000,MATCH($A2188,EXTRATO!$A$2:$A$3000,0))))</f>
        <v/>
      </c>
      <c r="I2188" s="88" t="str">
        <f>IF(A2188="","",IF(INDEX(EXTRATO!$H$2:$H$3000,MATCH($A2188,EXTRATO!$A$2:$A$3000,0))="","",INDEX(EXTRATO!$H$2:$H$3000,MATCH($A2188,EXTRATO!$A$2:$A$3000,0))))</f>
        <v/>
      </c>
      <c r="J2188" s="86" t="str">
        <f t="shared" si="55"/>
        <v/>
      </c>
      <c r="K2188" s="86" t="str">
        <f>IF(AND(A2188="",D2188="",E2188="",F2188=""),"",IF(D2188="","SEM CATEGORIA",IF(E2188="","SEM SUBCATEGORIA",IF(COUNTIFS(CADASTROS!$L$7:$L$93,D2188,CADASTROS!$D$7:$D$93,E2188)=0,"INCOMPATÍVEL","OK"))))</f>
        <v/>
      </c>
    </row>
    <row r="2189" spans="1:11" ht="30" hidden="1" customHeight="1" x14ac:dyDescent="0.25">
      <c r="A2189" s="86" t="str">
        <f>IF(COUNTIF(EXTRATO!$A$2:$A$3000,"BAN-02046")=0,"","BAN-02046")</f>
        <v/>
      </c>
      <c r="B2189" s="85" t="str">
        <f>IF(A2189="","",IF(INDEX(EXTRATO!$C$2:$C$3000,MATCH($A2189,EXTRATO!$A$2:$A$3000,0))="","",INDEX(EXTRATO!$C$2:$C$3000,MATCH($A2189,EXTRATO!$A$2:$A$3000,0))))</f>
        <v/>
      </c>
      <c r="C2189" s="86" t="str">
        <f t="shared" si="54"/>
        <v/>
      </c>
      <c r="D2189" s="81"/>
      <c r="E2189" s="79"/>
      <c r="F2189" s="80" t="str">
        <f>IF(A2189="","",SUMIF(EXTRATO!$A$2:$A$3000,$A2189,EXTRATO!$J$2:$J$3000)+SUMIF(EXTRATO!$A$2:$A$3000,$A2189,EXTRATO!$K$2:$K$3000)+SUMIF(EXTRATO!$A$2:$A$3000,$A2189,EXTRATO!$L$2:$L$3000)+SUMIF(EXTRATO!$A$2:$A$3000,$A2189,EXTRATO!$M$2:$M$3000))</f>
        <v/>
      </c>
      <c r="G2189" s="81" t="str">
        <f>IF(A2189="","",IF(INDEX(EXTRATO!$G$2:$G$3000,MATCH($A2189,EXTRATO!$A$2:$A$3000,0))="","",INDEX(EXTRATO!$G$2:$G$3000,MATCH($A2189,EXTRATO!$A$2:$A$3000,0))))</f>
        <v/>
      </c>
      <c r="H2189" s="86" t="str">
        <f>IF(A2189="","",IF(INDEX(EXTRATO!$F$2:$F$3000,MATCH($A2189,EXTRATO!$A$2:$A$3000,0))="","",INDEX(EXTRATO!$F$2:$F$3000,MATCH($A2189,EXTRATO!$A$2:$A$3000,0))))</f>
        <v/>
      </c>
      <c r="I2189" s="88" t="str">
        <f>IF(A2189="","",IF(INDEX(EXTRATO!$H$2:$H$3000,MATCH($A2189,EXTRATO!$A$2:$A$3000,0))="","",INDEX(EXTRATO!$H$2:$H$3000,MATCH($A2189,EXTRATO!$A$2:$A$3000,0))))</f>
        <v/>
      </c>
      <c r="J2189" s="86" t="str">
        <f t="shared" si="55"/>
        <v/>
      </c>
      <c r="K2189" s="86" t="str">
        <f>IF(AND(A2189="",D2189="",E2189="",F2189=""),"",IF(D2189="","SEM CATEGORIA",IF(E2189="","SEM SUBCATEGORIA",IF(COUNTIFS(CADASTROS!$L$7:$L$93,D2189,CADASTROS!$D$7:$D$93,E2189)=0,"INCOMPATÍVEL","OK"))))</f>
        <v/>
      </c>
    </row>
    <row r="2190" spans="1:11" ht="30" hidden="1" customHeight="1" x14ac:dyDescent="0.25">
      <c r="A2190" s="86" t="str">
        <f>IF(COUNTIF(EXTRATO!$A$2:$A$3000,"BAN-02047")=0,"","BAN-02047")</f>
        <v/>
      </c>
      <c r="B2190" s="85" t="str">
        <f>IF(A2190="","",IF(INDEX(EXTRATO!$C$2:$C$3000,MATCH($A2190,EXTRATO!$A$2:$A$3000,0))="","",INDEX(EXTRATO!$C$2:$C$3000,MATCH($A2190,EXTRATO!$A$2:$A$3000,0))))</f>
        <v/>
      </c>
      <c r="C2190" s="86" t="str">
        <f t="shared" si="54"/>
        <v/>
      </c>
      <c r="D2190" s="81"/>
      <c r="E2190" s="79"/>
      <c r="F2190" s="80" t="str">
        <f>IF(A2190="","",SUMIF(EXTRATO!$A$2:$A$3000,$A2190,EXTRATO!$J$2:$J$3000)+SUMIF(EXTRATO!$A$2:$A$3000,$A2190,EXTRATO!$K$2:$K$3000)+SUMIF(EXTRATO!$A$2:$A$3000,$A2190,EXTRATO!$L$2:$L$3000)+SUMIF(EXTRATO!$A$2:$A$3000,$A2190,EXTRATO!$M$2:$M$3000))</f>
        <v/>
      </c>
      <c r="G2190" s="81" t="str">
        <f>IF(A2190="","",IF(INDEX(EXTRATO!$G$2:$G$3000,MATCH($A2190,EXTRATO!$A$2:$A$3000,0))="","",INDEX(EXTRATO!$G$2:$G$3000,MATCH($A2190,EXTRATO!$A$2:$A$3000,0))))</f>
        <v/>
      </c>
      <c r="H2190" s="86" t="str">
        <f>IF(A2190="","",IF(INDEX(EXTRATO!$F$2:$F$3000,MATCH($A2190,EXTRATO!$A$2:$A$3000,0))="","",INDEX(EXTRATO!$F$2:$F$3000,MATCH($A2190,EXTRATO!$A$2:$A$3000,0))))</f>
        <v/>
      </c>
      <c r="I2190" s="88" t="str">
        <f>IF(A2190="","",IF(INDEX(EXTRATO!$H$2:$H$3000,MATCH($A2190,EXTRATO!$A$2:$A$3000,0))="","",INDEX(EXTRATO!$H$2:$H$3000,MATCH($A2190,EXTRATO!$A$2:$A$3000,0))))</f>
        <v/>
      </c>
      <c r="J2190" s="86" t="str">
        <f t="shared" si="55"/>
        <v/>
      </c>
      <c r="K2190" s="86" t="str">
        <f>IF(AND(A2190="",D2190="",E2190="",F2190=""),"",IF(D2190="","SEM CATEGORIA",IF(E2190="","SEM SUBCATEGORIA",IF(COUNTIFS(CADASTROS!$L$7:$L$93,D2190,CADASTROS!$D$7:$D$93,E2190)=0,"INCOMPATÍVEL","OK"))))</f>
        <v/>
      </c>
    </row>
    <row r="2191" spans="1:11" ht="30" hidden="1" customHeight="1" x14ac:dyDescent="0.25">
      <c r="A2191" s="86" t="str">
        <f>IF(COUNTIF(EXTRATO!$A$2:$A$3000,"BAN-02048")=0,"","BAN-02048")</f>
        <v/>
      </c>
      <c r="B2191" s="85" t="str">
        <f>IF(A2191="","",IF(INDEX(EXTRATO!$C$2:$C$3000,MATCH($A2191,EXTRATO!$A$2:$A$3000,0))="","",INDEX(EXTRATO!$C$2:$C$3000,MATCH($A2191,EXTRATO!$A$2:$A$3000,0))))</f>
        <v/>
      </c>
      <c r="C2191" s="86" t="str">
        <f t="shared" si="54"/>
        <v/>
      </c>
      <c r="D2191" s="81"/>
      <c r="E2191" s="79"/>
      <c r="F2191" s="80" t="str">
        <f>IF(A2191="","",SUMIF(EXTRATO!$A$2:$A$3000,$A2191,EXTRATO!$J$2:$J$3000)+SUMIF(EXTRATO!$A$2:$A$3000,$A2191,EXTRATO!$K$2:$K$3000)+SUMIF(EXTRATO!$A$2:$A$3000,$A2191,EXTRATO!$L$2:$L$3000)+SUMIF(EXTRATO!$A$2:$A$3000,$A2191,EXTRATO!$M$2:$M$3000))</f>
        <v/>
      </c>
      <c r="G2191" s="81" t="str">
        <f>IF(A2191="","",IF(INDEX(EXTRATO!$G$2:$G$3000,MATCH($A2191,EXTRATO!$A$2:$A$3000,0))="","",INDEX(EXTRATO!$G$2:$G$3000,MATCH($A2191,EXTRATO!$A$2:$A$3000,0))))</f>
        <v/>
      </c>
      <c r="H2191" s="86" t="str">
        <f>IF(A2191="","",IF(INDEX(EXTRATO!$F$2:$F$3000,MATCH($A2191,EXTRATO!$A$2:$A$3000,0))="","",INDEX(EXTRATO!$F$2:$F$3000,MATCH($A2191,EXTRATO!$A$2:$A$3000,0))))</f>
        <v/>
      </c>
      <c r="I2191" s="88" t="str">
        <f>IF(A2191="","",IF(INDEX(EXTRATO!$H$2:$H$3000,MATCH($A2191,EXTRATO!$A$2:$A$3000,0))="","",INDEX(EXTRATO!$H$2:$H$3000,MATCH($A2191,EXTRATO!$A$2:$A$3000,0))))</f>
        <v/>
      </c>
      <c r="J2191" s="86" t="str">
        <f t="shared" si="55"/>
        <v/>
      </c>
      <c r="K2191" s="86" t="str">
        <f>IF(AND(A2191="",D2191="",E2191="",F2191=""),"",IF(D2191="","SEM CATEGORIA",IF(E2191="","SEM SUBCATEGORIA",IF(COUNTIFS(CADASTROS!$L$7:$L$93,D2191,CADASTROS!$D$7:$D$93,E2191)=0,"INCOMPATÍVEL","OK"))))</f>
        <v/>
      </c>
    </row>
    <row r="2192" spans="1:11" ht="30" hidden="1" customHeight="1" x14ac:dyDescent="0.25">
      <c r="A2192" s="86" t="str">
        <f>IF(COUNTIF(EXTRATO!$A$2:$A$3000,"BAN-02049")=0,"","BAN-02049")</f>
        <v/>
      </c>
      <c r="B2192" s="85" t="str">
        <f>IF(A2192="","",IF(INDEX(EXTRATO!$C$2:$C$3000,MATCH($A2192,EXTRATO!$A$2:$A$3000,0))="","",INDEX(EXTRATO!$C$2:$C$3000,MATCH($A2192,EXTRATO!$A$2:$A$3000,0))))</f>
        <v/>
      </c>
      <c r="C2192" s="86" t="str">
        <f t="shared" si="54"/>
        <v/>
      </c>
      <c r="D2192" s="81"/>
      <c r="E2192" s="79"/>
      <c r="F2192" s="80" t="str">
        <f>IF(A2192="","",SUMIF(EXTRATO!$A$2:$A$3000,$A2192,EXTRATO!$J$2:$J$3000)+SUMIF(EXTRATO!$A$2:$A$3000,$A2192,EXTRATO!$K$2:$K$3000)+SUMIF(EXTRATO!$A$2:$A$3000,$A2192,EXTRATO!$L$2:$L$3000)+SUMIF(EXTRATO!$A$2:$A$3000,$A2192,EXTRATO!$M$2:$M$3000))</f>
        <v/>
      </c>
      <c r="G2192" s="81" t="str">
        <f>IF(A2192="","",IF(INDEX(EXTRATO!$G$2:$G$3000,MATCH($A2192,EXTRATO!$A$2:$A$3000,0))="","",INDEX(EXTRATO!$G$2:$G$3000,MATCH($A2192,EXTRATO!$A$2:$A$3000,0))))</f>
        <v/>
      </c>
      <c r="H2192" s="86" t="str">
        <f>IF(A2192="","",IF(INDEX(EXTRATO!$F$2:$F$3000,MATCH($A2192,EXTRATO!$A$2:$A$3000,0))="","",INDEX(EXTRATO!$F$2:$F$3000,MATCH($A2192,EXTRATO!$A$2:$A$3000,0))))</f>
        <v/>
      </c>
      <c r="I2192" s="88" t="str">
        <f>IF(A2192="","",IF(INDEX(EXTRATO!$H$2:$H$3000,MATCH($A2192,EXTRATO!$A$2:$A$3000,0))="","",INDEX(EXTRATO!$H$2:$H$3000,MATCH($A2192,EXTRATO!$A$2:$A$3000,0))))</f>
        <v/>
      </c>
      <c r="J2192" s="86" t="str">
        <f t="shared" si="55"/>
        <v/>
      </c>
      <c r="K2192" s="86" t="str">
        <f>IF(AND(A2192="",D2192="",E2192="",F2192=""),"",IF(D2192="","SEM CATEGORIA",IF(E2192="","SEM SUBCATEGORIA",IF(COUNTIFS(CADASTROS!$L$7:$L$93,D2192,CADASTROS!$D$7:$D$93,E2192)=0,"INCOMPATÍVEL","OK"))))</f>
        <v/>
      </c>
    </row>
    <row r="2193" spans="1:11" ht="30" hidden="1" customHeight="1" x14ac:dyDescent="0.25">
      <c r="A2193" s="86" t="str">
        <f>IF(COUNTIF(EXTRATO!$A$2:$A$3000,"BAN-02050")=0,"","BAN-02050")</f>
        <v/>
      </c>
      <c r="B2193" s="85" t="str">
        <f>IF(A2193="","",IF(INDEX(EXTRATO!$C$2:$C$3000,MATCH($A2193,EXTRATO!$A$2:$A$3000,0))="","",INDEX(EXTRATO!$C$2:$C$3000,MATCH($A2193,EXTRATO!$A$2:$A$3000,0))))</f>
        <v/>
      </c>
      <c r="C2193" s="86" t="str">
        <f t="shared" si="54"/>
        <v/>
      </c>
      <c r="D2193" s="81"/>
      <c r="E2193" s="79"/>
      <c r="F2193" s="80" t="str">
        <f>IF(A2193="","",SUMIF(EXTRATO!$A$2:$A$3000,$A2193,EXTRATO!$J$2:$J$3000)+SUMIF(EXTRATO!$A$2:$A$3000,$A2193,EXTRATO!$K$2:$K$3000)+SUMIF(EXTRATO!$A$2:$A$3000,$A2193,EXTRATO!$L$2:$L$3000)+SUMIF(EXTRATO!$A$2:$A$3000,$A2193,EXTRATO!$M$2:$M$3000))</f>
        <v/>
      </c>
      <c r="G2193" s="81" t="str">
        <f>IF(A2193="","",IF(INDEX(EXTRATO!$G$2:$G$3000,MATCH($A2193,EXTRATO!$A$2:$A$3000,0))="","",INDEX(EXTRATO!$G$2:$G$3000,MATCH($A2193,EXTRATO!$A$2:$A$3000,0))))</f>
        <v/>
      </c>
      <c r="H2193" s="86" t="str">
        <f>IF(A2193="","",IF(INDEX(EXTRATO!$F$2:$F$3000,MATCH($A2193,EXTRATO!$A$2:$A$3000,0))="","",INDEX(EXTRATO!$F$2:$F$3000,MATCH($A2193,EXTRATO!$A$2:$A$3000,0))))</f>
        <v/>
      </c>
      <c r="I2193" s="88" t="str">
        <f>IF(A2193="","",IF(INDEX(EXTRATO!$H$2:$H$3000,MATCH($A2193,EXTRATO!$A$2:$A$3000,0))="","",INDEX(EXTRATO!$H$2:$H$3000,MATCH($A2193,EXTRATO!$A$2:$A$3000,0))))</f>
        <v/>
      </c>
      <c r="J2193" s="86" t="str">
        <f t="shared" si="55"/>
        <v/>
      </c>
      <c r="K2193" s="86" t="str">
        <f>IF(AND(A2193="",D2193="",E2193="",F2193=""),"",IF(D2193="","SEM CATEGORIA",IF(E2193="","SEM SUBCATEGORIA",IF(COUNTIFS(CADASTROS!$L$7:$L$93,D2193,CADASTROS!$D$7:$D$93,E2193)=0,"INCOMPATÍVEL","OK"))))</f>
        <v/>
      </c>
    </row>
    <row r="2194" spans="1:11" ht="30" hidden="1" customHeight="1" x14ac:dyDescent="0.25">
      <c r="A2194" s="86" t="str">
        <f>IF(COUNTIF(EXTRATO!$A$2:$A$3000,"BAN-02051")=0,"","BAN-02051")</f>
        <v/>
      </c>
      <c r="B2194" s="85" t="str">
        <f>IF(A2194="","",IF(INDEX(EXTRATO!$C$2:$C$3000,MATCH($A2194,EXTRATO!$A$2:$A$3000,0))="","",INDEX(EXTRATO!$C$2:$C$3000,MATCH($A2194,EXTRATO!$A$2:$A$3000,0))))</f>
        <v/>
      </c>
      <c r="C2194" s="86" t="str">
        <f t="shared" si="54"/>
        <v/>
      </c>
      <c r="D2194" s="81"/>
      <c r="E2194" s="79"/>
      <c r="F2194" s="80" t="str">
        <f>IF(A2194="","",SUMIF(EXTRATO!$A$2:$A$3000,$A2194,EXTRATO!$J$2:$J$3000)+SUMIF(EXTRATO!$A$2:$A$3000,$A2194,EXTRATO!$K$2:$K$3000)+SUMIF(EXTRATO!$A$2:$A$3000,$A2194,EXTRATO!$L$2:$L$3000)+SUMIF(EXTRATO!$A$2:$A$3000,$A2194,EXTRATO!$M$2:$M$3000))</f>
        <v/>
      </c>
      <c r="G2194" s="81" t="str">
        <f>IF(A2194="","",IF(INDEX(EXTRATO!$G$2:$G$3000,MATCH($A2194,EXTRATO!$A$2:$A$3000,0))="","",INDEX(EXTRATO!$G$2:$G$3000,MATCH($A2194,EXTRATO!$A$2:$A$3000,0))))</f>
        <v/>
      </c>
      <c r="H2194" s="86" t="str">
        <f>IF(A2194="","",IF(INDEX(EXTRATO!$F$2:$F$3000,MATCH($A2194,EXTRATO!$A$2:$A$3000,0))="","",INDEX(EXTRATO!$F$2:$F$3000,MATCH($A2194,EXTRATO!$A$2:$A$3000,0))))</f>
        <v/>
      </c>
      <c r="I2194" s="88" t="str">
        <f>IF(A2194="","",IF(INDEX(EXTRATO!$H$2:$H$3000,MATCH($A2194,EXTRATO!$A$2:$A$3000,0))="","",INDEX(EXTRATO!$H$2:$H$3000,MATCH($A2194,EXTRATO!$A$2:$A$3000,0))))</f>
        <v/>
      </c>
      <c r="J2194" s="86" t="str">
        <f t="shared" si="55"/>
        <v/>
      </c>
      <c r="K2194" s="86" t="str">
        <f>IF(AND(A2194="",D2194="",E2194="",F2194=""),"",IF(D2194="","SEM CATEGORIA",IF(E2194="","SEM SUBCATEGORIA",IF(COUNTIFS(CADASTROS!$L$7:$L$93,D2194,CADASTROS!$D$7:$D$93,E2194)=0,"INCOMPATÍVEL","OK"))))</f>
        <v/>
      </c>
    </row>
    <row r="2195" spans="1:11" ht="30" hidden="1" customHeight="1" x14ac:dyDescent="0.25">
      <c r="A2195" s="86" t="str">
        <f>IF(COUNTIF(EXTRATO!$A$2:$A$3000,"BAN-02052")=0,"","BAN-02052")</f>
        <v/>
      </c>
      <c r="B2195" s="85" t="str">
        <f>IF(A2195="","",IF(INDEX(EXTRATO!$C$2:$C$3000,MATCH($A2195,EXTRATO!$A$2:$A$3000,0))="","",INDEX(EXTRATO!$C$2:$C$3000,MATCH($A2195,EXTRATO!$A$2:$A$3000,0))))</f>
        <v/>
      </c>
      <c r="C2195" s="86" t="str">
        <f t="shared" si="54"/>
        <v/>
      </c>
      <c r="D2195" s="81"/>
      <c r="E2195" s="79"/>
      <c r="F2195" s="80" t="str">
        <f>IF(A2195="","",SUMIF(EXTRATO!$A$2:$A$3000,$A2195,EXTRATO!$J$2:$J$3000)+SUMIF(EXTRATO!$A$2:$A$3000,$A2195,EXTRATO!$K$2:$K$3000)+SUMIF(EXTRATO!$A$2:$A$3000,$A2195,EXTRATO!$L$2:$L$3000)+SUMIF(EXTRATO!$A$2:$A$3000,$A2195,EXTRATO!$M$2:$M$3000))</f>
        <v/>
      </c>
      <c r="G2195" s="81" t="str">
        <f>IF(A2195="","",IF(INDEX(EXTRATO!$G$2:$G$3000,MATCH($A2195,EXTRATO!$A$2:$A$3000,0))="","",INDEX(EXTRATO!$G$2:$G$3000,MATCH($A2195,EXTRATO!$A$2:$A$3000,0))))</f>
        <v/>
      </c>
      <c r="H2195" s="86" t="str">
        <f>IF(A2195="","",IF(INDEX(EXTRATO!$F$2:$F$3000,MATCH($A2195,EXTRATO!$A$2:$A$3000,0))="","",INDEX(EXTRATO!$F$2:$F$3000,MATCH($A2195,EXTRATO!$A$2:$A$3000,0))))</f>
        <v/>
      </c>
      <c r="I2195" s="88" t="str">
        <f>IF(A2195="","",IF(INDEX(EXTRATO!$H$2:$H$3000,MATCH($A2195,EXTRATO!$A$2:$A$3000,0))="","",INDEX(EXTRATO!$H$2:$H$3000,MATCH($A2195,EXTRATO!$A$2:$A$3000,0))))</f>
        <v/>
      </c>
      <c r="J2195" s="86" t="str">
        <f t="shared" si="55"/>
        <v/>
      </c>
      <c r="K2195" s="86" t="str">
        <f>IF(AND(A2195="",D2195="",E2195="",F2195=""),"",IF(D2195="","SEM CATEGORIA",IF(E2195="","SEM SUBCATEGORIA",IF(COUNTIFS(CADASTROS!$L$7:$L$93,D2195,CADASTROS!$D$7:$D$93,E2195)=0,"INCOMPATÍVEL","OK"))))</f>
        <v/>
      </c>
    </row>
    <row r="2196" spans="1:11" ht="30" hidden="1" customHeight="1" x14ac:dyDescent="0.25">
      <c r="A2196" s="86" t="str">
        <f>IF(COUNTIF(EXTRATO!$A$2:$A$3000,"BAN-02053")=0,"","BAN-02053")</f>
        <v/>
      </c>
      <c r="B2196" s="85" t="str">
        <f>IF(A2196="","",IF(INDEX(EXTRATO!$C$2:$C$3000,MATCH($A2196,EXTRATO!$A$2:$A$3000,0))="","",INDEX(EXTRATO!$C$2:$C$3000,MATCH($A2196,EXTRATO!$A$2:$A$3000,0))))</f>
        <v/>
      </c>
      <c r="C2196" s="86" t="str">
        <f t="shared" si="54"/>
        <v/>
      </c>
      <c r="D2196" s="81"/>
      <c r="E2196" s="79"/>
      <c r="F2196" s="80" t="str">
        <f>IF(A2196="","",SUMIF(EXTRATO!$A$2:$A$3000,$A2196,EXTRATO!$J$2:$J$3000)+SUMIF(EXTRATO!$A$2:$A$3000,$A2196,EXTRATO!$K$2:$K$3000)+SUMIF(EXTRATO!$A$2:$A$3000,$A2196,EXTRATO!$L$2:$L$3000)+SUMIF(EXTRATO!$A$2:$A$3000,$A2196,EXTRATO!$M$2:$M$3000))</f>
        <v/>
      </c>
      <c r="G2196" s="81" t="str">
        <f>IF(A2196="","",IF(INDEX(EXTRATO!$G$2:$G$3000,MATCH($A2196,EXTRATO!$A$2:$A$3000,0))="","",INDEX(EXTRATO!$G$2:$G$3000,MATCH($A2196,EXTRATO!$A$2:$A$3000,0))))</f>
        <v/>
      </c>
      <c r="H2196" s="86" t="str">
        <f>IF(A2196="","",IF(INDEX(EXTRATO!$F$2:$F$3000,MATCH($A2196,EXTRATO!$A$2:$A$3000,0))="","",INDEX(EXTRATO!$F$2:$F$3000,MATCH($A2196,EXTRATO!$A$2:$A$3000,0))))</f>
        <v/>
      </c>
      <c r="I2196" s="88" t="str">
        <f>IF(A2196="","",IF(INDEX(EXTRATO!$H$2:$H$3000,MATCH($A2196,EXTRATO!$A$2:$A$3000,0))="","",INDEX(EXTRATO!$H$2:$H$3000,MATCH($A2196,EXTRATO!$A$2:$A$3000,0))))</f>
        <v/>
      </c>
      <c r="J2196" s="86" t="str">
        <f t="shared" si="55"/>
        <v/>
      </c>
      <c r="K2196" s="86" t="str">
        <f>IF(AND(A2196="",D2196="",E2196="",F2196=""),"",IF(D2196="","SEM CATEGORIA",IF(E2196="","SEM SUBCATEGORIA",IF(COUNTIFS(CADASTROS!$L$7:$L$93,D2196,CADASTROS!$D$7:$D$93,E2196)=0,"INCOMPATÍVEL","OK"))))</f>
        <v/>
      </c>
    </row>
    <row r="2197" spans="1:11" ht="30" hidden="1" customHeight="1" x14ac:dyDescent="0.25">
      <c r="A2197" s="86" t="str">
        <f>IF(COUNTIF(EXTRATO!$A$2:$A$3000,"BAN-02054")=0,"","BAN-02054")</f>
        <v/>
      </c>
      <c r="B2197" s="85" t="str">
        <f>IF(A2197="","",IF(INDEX(EXTRATO!$C$2:$C$3000,MATCH($A2197,EXTRATO!$A$2:$A$3000,0))="","",INDEX(EXTRATO!$C$2:$C$3000,MATCH($A2197,EXTRATO!$A$2:$A$3000,0))))</f>
        <v/>
      </c>
      <c r="C2197" s="86" t="str">
        <f t="shared" ref="C2197:C2260" si="56">IF(B2197="","",MONTH(B2197))</f>
        <v/>
      </c>
      <c r="D2197" s="81"/>
      <c r="E2197" s="79"/>
      <c r="F2197" s="80" t="str">
        <f>IF(A2197="","",SUMIF(EXTRATO!$A$2:$A$3000,$A2197,EXTRATO!$J$2:$J$3000)+SUMIF(EXTRATO!$A$2:$A$3000,$A2197,EXTRATO!$K$2:$K$3000)+SUMIF(EXTRATO!$A$2:$A$3000,$A2197,EXTRATO!$L$2:$L$3000)+SUMIF(EXTRATO!$A$2:$A$3000,$A2197,EXTRATO!$M$2:$M$3000))</f>
        <v/>
      </c>
      <c r="G2197" s="81" t="str">
        <f>IF(A2197="","",IF(INDEX(EXTRATO!$G$2:$G$3000,MATCH($A2197,EXTRATO!$A$2:$A$3000,0))="","",INDEX(EXTRATO!$G$2:$G$3000,MATCH($A2197,EXTRATO!$A$2:$A$3000,0))))</f>
        <v/>
      </c>
      <c r="H2197" s="86" t="str">
        <f>IF(A2197="","",IF(INDEX(EXTRATO!$F$2:$F$3000,MATCH($A2197,EXTRATO!$A$2:$A$3000,0))="","",INDEX(EXTRATO!$F$2:$F$3000,MATCH($A2197,EXTRATO!$A$2:$A$3000,0))))</f>
        <v/>
      </c>
      <c r="I2197" s="88" t="str">
        <f>IF(A2197="","",IF(INDEX(EXTRATO!$H$2:$H$3000,MATCH($A2197,EXTRATO!$A$2:$A$3000,0))="","",INDEX(EXTRATO!$H$2:$H$3000,MATCH($A2197,EXTRATO!$A$2:$A$3000,0))))</f>
        <v/>
      </c>
      <c r="J2197" s="86" t="str">
        <f t="shared" si="55"/>
        <v/>
      </c>
      <c r="K2197" s="86" t="str">
        <f>IF(AND(A2197="",D2197="",E2197="",F2197=""),"",IF(D2197="","SEM CATEGORIA",IF(E2197="","SEM SUBCATEGORIA",IF(COUNTIFS(CADASTROS!$L$7:$L$93,D2197,CADASTROS!$D$7:$D$93,E2197)=0,"INCOMPATÍVEL","OK"))))</f>
        <v/>
      </c>
    </row>
    <row r="2198" spans="1:11" ht="30" hidden="1" customHeight="1" x14ac:dyDescent="0.25">
      <c r="A2198" s="86" t="str">
        <f>IF(COUNTIF(EXTRATO!$A$2:$A$3000,"BAN-02055")=0,"","BAN-02055")</f>
        <v/>
      </c>
      <c r="B2198" s="85" t="str">
        <f>IF(A2198="","",IF(INDEX(EXTRATO!$C$2:$C$3000,MATCH($A2198,EXTRATO!$A$2:$A$3000,0))="","",INDEX(EXTRATO!$C$2:$C$3000,MATCH($A2198,EXTRATO!$A$2:$A$3000,0))))</f>
        <v/>
      </c>
      <c r="C2198" s="86" t="str">
        <f t="shared" si="56"/>
        <v/>
      </c>
      <c r="D2198" s="81"/>
      <c r="E2198" s="79"/>
      <c r="F2198" s="80" t="str">
        <f>IF(A2198="","",SUMIF(EXTRATO!$A$2:$A$3000,$A2198,EXTRATO!$J$2:$J$3000)+SUMIF(EXTRATO!$A$2:$A$3000,$A2198,EXTRATO!$K$2:$K$3000)+SUMIF(EXTRATO!$A$2:$A$3000,$A2198,EXTRATO!$L$2:$L$3000)+SUMIF(EXTRATO!$A$2:$A$3000,$A2198,EXTRATO!$M$2:$M$3000))</f>
        <v/>
      </c>
      <c r="G2198" s="81" t="str">
        <f>IF(A2198="","",IF(INDEX(EXTRATO!$G$2:$G$3000,MATCH($A2198,EXTRATO!$A$2:$A$3000,0))="","",INDEX(EXTRATO!$G$2:$G$3000,MATCH($A2198,EXTRATO!$A$2:$A$3000,0))))</f>
        <v/>
      </c>
      <c r="H2198" s="86" t="str">
        <f>IF(A2198="","",IF(INDEX(EXTRATO!$F$2:$F$3000,MATCH($A2198,EXTRATO!$A$2:$A$3000,0))="","",INDEX(EXTRATO!$F$2:$F$3000,MATCH($A2198,EXTRATO!$A$2:$A$3000,0))))</f>
        <v/>
      </c>
      <c r="I2198" s="88" t="str">
        <f>IF(A2198="","",IF(INDEX(EXTRATO!$H$2:$H$3000,MATCH($A2198,EXTRATO!$A$2:$A$3000,0))="","",INDEX(EXTRATO!$H$2:$H$3000,MATCH($A2198,EXTRATO!$A$2:$A$3000,0))))</f>
        <v/>
      </c>
      <c r="J2198" s="86" t="str">
        <f t="shared" si="55"/>
        <v/>
      </c>
      <c r="K2198" s="86" t="str">
        <f>IF(AND(A2198="",D2198="",E2198="",F2198=""),"",IF(D2198="","SEM CATEGORIA",IF(E2198="","SEM SUBCATEGORIA",IF(COUNTIFS(CADASTROS!$L$7:$L$93,D2198,CADASTROS!$D$7:$D$93,E2198)=0,"INCOMPATÍVEL","OK"))))</f>
        <v/>
      </c>
    </row>
    <row r="2199" spans="1:11" ht="30" hidden="1" customHeight="1" x14ac:dyDescent="0.25">
      <c r="A2199" s="86" t="str">
        <f>IF(COUNTIF(EXTRATO!$A$2:$A$3000,"BAN-02056")=0,"","BAN-02056")</f>
        <v/>
      </c>
      <c r="B2199" s="85" t="str">
        <f>IF(A2199="","",IF(INDEX(EXTRATO!$C$2:$C$3000,MATCH($A2199,EXTRATO!$A$2:$A$3000,0))="","",INDEX(EXTRATO!$C$2:$C$3000,MATCH($A2199,EXTRATO!$A$2:$A$3000,0))))</f>
        <v/>
      </c>
      <c r="C2199" s="86" t="str">
        <f t="shared" si="56"/>
        <v/>
      </c>
      <c r="D2199" s="81"/>
      <c r="E2199" s="79"/>
      <c r="F2199" s="80" t="str">
        <f>IF(A2199="","",SUMIF(EXTRATO!$A$2:$A$3000,$A2199,EXTRATO!$J$2:$J$3000)+SUMIF(EXTRATO!$A$2:$A$3000,$A2199,EXTRATO!$K$2:$K$3000)+SUMIF(EXTRATO!$A$2:$A$3000,$A2199,EXTRATO!$L$2:$L$3000)+SUMIF(EXTRATO!$A$2:$A$3000,$A2199,EXTRATO!$M$2:$M$3000))</f>
        <v/>
      </c>
      <c r="G2199" s="81" t="str">
        <f>IF(A2199="","",IF(INDEX(EXTRATO!$G$2:$G$3000,MATCH($A2199,EXTRATO!$A$2:$A$3000,0))="","",INDEX(EXTRATO!$G$2:$G$3000,MATCH($A2199,EXTRATO!$A$2:$A$3000,0))))</f>
        <v/>
      </c>
      <c r="H2199" s="86" t="str">
        <f>IF(A2199="","",IF(INDEX(EXTRATO!$F$2:$F$3000,MATCH($A2199,EXTRATO!$A$2:$A$3000,0))="","",INDEX(EXTRATO!$F$2:$F$3000,MATCH($A2199,EXTRATO!$A$2:$A$3000,0))))</f>
        <v/>
      </c>
      <c r="I2199" s="88" t="str">
        <f>IF(A2199="","",IF(INDEX(EXTRATO!$H$2:$H$3000,MATCH($A2199,EXTRATO!$A$2:$A$3000,0))="","",INDEX(EXTRATO!$H$2:$H$3000,MATCH($A2199,EXTRATO!$A$2:$A$3000,0))))</f>
        <v/>
      </c>
      <c r="J2199" s="86" t="str">
        <f t="shared" si="55"/>
        <v/>
      </c>
      <c r="K2199" s="86" t="str">
        <f>IF(AND(A2199="",D2199="",E2199="",F2199=""),"",IF(D2199="","SEM CATEGORIA",IF(E2199="","SEM SUBCATEGORIA",IF(COUNTIFS(CADASTROS!$L$7:$L$93,D2199,CADASTROS!$D$7:$D$93,E2199)=0,"INCOMPATÍVEL","OK"))))</f>
        <v/>
      </c>
    </row>
    <row r="2200" spans="1:11" ht="30" hidden="1" customHeight="1" x14ac:dyDescent="0.25">
      <c r="A2200" s="86" t="str">
        <f>IF(COUNTIF(EXTRATO!$A$2:$A$3000,"BAN-02057")=0,"","BAN-02057")</f>
        <v/>
      </c>
      <c r="B2200" s="85" t="str">
        <f>IF(A2200="","",IF(INDEX(EXTRATO!$C$2:$C$3000,MATCH($A2200,EXTRATO!$A$2:$A$3000,0))="","",INDEX(EXTRATO!$C$2:$C$3000,MATCH($A2200,EXTRATO!$A$2:$A$3000,0))))</f>
        <v/>
      </c>
      <c r="C2200" s="86" t="str">
        <f t="shared" si="56"/>
        <v/>
      </c>
      <c r="D2200" s="81"/>
      <c r="E2200" s="79"/>
      <c r="F2200" s="80" t="str">
        <f>IF(A2200="","",SUMIF(EXTRATO!$A$2:$A$3000,$A2200,EXTRATO!$J$2:$J$3000)+SUMIF(EXTRATO!$A$2:$A$3000,$A2200,EXTRATO!$K$2:$K$3000)+SUMIF(EXTRATO!$A$2:$A$3000,$A2200,EXTRATO!$L$2:$L$3000)+SUMIF(EXTRATO!$A$2:$A$3000,$A2200,EXTRATO!$M$2:$M$3000))</f>
        <v/>
      </c>
      <c r="G2200" s="81" t="str">
        <f>IF(A2200="","",IF(INDEX(EXTRATO!$G$2:$G$3000,MATCH($A2200,EXTRATO!$A$2:$A$3000,0))="","",INDEX(EXTRATO!$G$2:$G$3000,MATCH($A2200,EXTRATO!$A$2:$A$3000,0))))</f>
        <v/>
      </c>
      <c r="H2200" s="86" t="str">
        <f>IF(A2200="","",IF(INDEX(EXTRATO!$F$2:$F$3000,MATCH($A2200,EXTRATO!$A$2:$A$3000,0))="","",INDEX(EXTRATO!$F$2:$F$3000,MATCH($A2200,EXTRATO!$A$2:$A$3000,0))))</f>
        <v/>
      </c>
      <c r="I2200" s="88" t="str">
        <f>IF(A2200="","",IF(INDEX(EXTRATO!$H$2:$H$3000,MATCH($A2200,EXTRATO!$A$2:$A$3000,0))="","",INDEX(EXTRATO!$H$2:$H$3000,MATCH($A2200,EXTRATO!$A$2:$A$3000,0))))</f>
        <v/>
      </c>
      <c r="J2200" s="86" t="str">
        <f t="shared" si="55"/>
        <v/>
      </c>
      <c r="K2200" s="86" t="str">
        <f>IF(AND(A2200="",D2200="",E2200="",F2200=""),"",IF(D2200="","SEM CATEGORIA",IF(E2200="","SEM SUBCATEGORIA",IF(COUNTIFS(CADASTROS!$L$7:$L$93,D2200,CADASTROS!$D$7:$D$93,E2200)=0,"INCOMPATÍVEL","OK"))))</f>
        <v/>
      </c>
    </row>
    <row r="2201" spans="1:11" ht="30" hidden="1" customHeight="1" x14ac:dyDescent="0.25">
      <c r="A2201" s="86" t="str">
        <f>IF(COUNTIF(EXTRATO!$A$2:$A$3000,"BAN-02058")=0,"","BAN-02058")</f>
        <v/>
      </c>
      <c r="B2201" s="85" t="str">
        <f>IF(A2201="","",IF(INDEX(EXTRATO!$C$2:$C$3000,MATCH($A2201,EXTRATO!$A$2:$A$3000,0))="","",INDEX(EXTRATO!$C$2:$C$3000,MATCH($A2201,EXTRATO!$A$2:$A$3000,0))))</f>
        <v/>
      </c>
      <c r="C2201" s="86" t="str">
        <f t="shared" si="56"/>
        <v/>
      </c>
      <c r="D2201" s="81"/>
      <c r="E2201" s="79"/>
      <c r="F2201" s="80" t="str">
        <f>IF(A2201="","",SUMIF(EXTRATO!$A$2:$A$3000,$A2201,EXTRATO!$J$2:$J$3000)+SUMIF(EXTRATO!$A$2:$A$3000,$A2201,EXTRATO!$K$2:$K$3000)+SUMIF(EXTRATO!$A$2:$A$3000,$A2201,EXTRATO!$L$2:$L$3000)+SUMIF(EXTRATO!$A$2:$A$3000,$A2201,EXTRATO!$M$2:$M$3000))</f>
        <v/>
      </c>
      <c r="G2201" s="81" t="str">
        <f>IF(A2201="","",IF(INDEX(EXTRATO!$G$2:$G$3000,MATCH($A2201,EXTRATO!$A$2:$A$3000,0))="","",INDEX(EXTRATO!$G$2:$G$3000,MATCH($A2201,EXTRATO!$A$2:$A$3000,0))))</f>
        <v/>
      </c>
      <c r="H2201" s="86" t="str">
        <f>IF(A2201="","",IF(INDEX(EXTRATO!$F$2:$F$3000,MATCH($A2201,EXTRATO!$A$2:$A$3000,0))="","",INDEX(EXTRATO!$F$2:$F$3000,MATCH($A2201,EXTRATO!$A$2:$A$3000,0))))</f>
        <v/>
      </c>
      <c r="I2201" s="88" t="str">
        <f>IF(A2201="","",IF(INDEX(EXTRATO!$H$2:$H$3000,MATCH($A2201,EXTRATO!$A$2:$A$3000,0))="","",INDEX(EXTRATO!$H$2:$H$3000,MATCH($A2201,EXTRATO!$A$2:$A$3000,0))))</f>
        <v/>
      </c>
      <c r="J2201" s="86" t="str">
        <f t="shared" si="55"/>
        <v/>
      </c>
      <c r="K2201" s="86" t="str">
        <f>IF(AND(A2201="",D2201="",E2201="",F2201=""),"",IF(D2201="","SEM CATEGORIA",IF(E2201="","SEM SUBCATEGORIA",IF(COUNTIFS(CADASTROS!$L$7:$L$93,D2201,CADASTROS!$D$7:$D$93,E2201)=0,"INCOMPATÍVEL","OK"))))</f>
        <v/>
      </c>
    </row>
    <row r="2202" spans="1:11" ht="30" hidden="1" customHeight="1" x14ac:dyDescent="0.25">
      <c r="A2202" s="86" t="str">
        <f>IF(COUNTIF(EXTRATO!$A$2:$A$3000,"BAN-02059")=0,"","BAN-02059")</f>
        <v/>
      </c>
      <c r="B2202" s="85" t="str">
        <f>IF(A2202="","",IF(INDEX(EXTRATO!$C$2:$C$3000,MATCH($A2202,EXTRATO!$A$2:$A$3000,0))="","",INDEX(EXTRATO!$C$2:$C$3000,MATCH($A2202,EXTRATO!$A$2:$A$3000,0))))</f>
        <v/>
      </c>
      <c r="C2202" s="86" t="str">
        <f t="shared" si="56"/>
        <v/>
      </c>
      <c r="D2202" s="81"/>
      <c r="E2202" s="79"/>
      <c r="F2202" s="80" t="str">
        <f>IF(A2202="","",SUMIF(EXTRATO!$A$2:$A$3000,$A2202,EXTRATO!$J$2:$J$3000)+SUMIF(EXTRATO!$A$2:$A$3000,$A2202,EXTRATO!$K$2:$K$3000)+SUMIF(EXTRATO!$A$2:$A$3000,$A2202,EXTRATO!$L$2:$L$3000)+SUMIF(EXTRATO!$A$2:$A$3000,$A2202,EXTRATO!$M$2:$M$3000))</f>
        <v/>
      </c>
      <c r="G2202" s="81" t="str">
        <f>IF(A2202="","",IF(INDEX(EXTRATO!$G$2:$G$3000,MATCH($A2202,EXTRATO!$A$2:$A$3000,0))="","",INDEX(EXTRATO!$G$2:$G$3000,MATCH($A2202,EXTRATO!$A$2:$A$3000,0))))</f>
        <v/>
      </c>
      <c r="H2202" s="86" t="str">
        <f>IF(A2202="","",IF(INDEX(EXTRATO!$F$2:$F$3000,MATCH($A2202,EXTRATO!$A$2:$A$3000,0))="","",INDEX(EXTRATO!$F$2:$F$3000,MATCH($A2202,EXTRATO!$A$2:$A$3000,0))))</f>
        <v/>
      </c>
      <c r="I2202" s="88" t="str">
        <f>IF(A2202="","",IF(INDEX(EXTRATO!$H$2:$H$3000,MATCH($A2202,EXTRATO!$A$2:$A$3000,0))="","",INDEX(EXTRATO!$H$2:$H$3000,MATCH($A2202,EXTRATO!$A$2:$A$3000,0))))</f>
        <v/>
      </c>
      <c r="J2202" s="86" t="str">
        <f t="shared" si="55"/>
        <v/>
      </c>
      <c r="K2202" s="86" t="str">
        <f>IF(AND(A2202="",D2202="",E2202="",F2202=""),"",IF(D2202="","SEM CATEGORIA",IF(E2202="","SEM SUBCATEGORIA",IF(COUNTIFS(CADASTROS!$L$7:$L$93,D2202,CADASTROS!$D$7:$D$93,E2202)=0,"INCOMPATÍVEL","OK"))))</f>
        <v/>
      </c>
    </row>
    <row r="2203" spans="1:11" ht="30" hidden="1" customHeight="1" x14ac:dyDescent="0.25">
      <c r="A2203" s="86" t="str">
        <f>IF(COUNTIF(EXTRATO!$A$2:$A$3000,"BAN-02060")=0,"","BAN-02060")</f>
        <v/>
      </c>
      <c r="B2203" s="85" t="str">
        <f>IF(A2203="","",IF(INDEX(EXTRATO!$C$2:$C$3000,MATCH($A2203,EXTRATO!$A$2:$A$3000,0))="","",INDEX(EXTRATO!$C$2:$C$3000,MATCH($A2203,EXTRATO!$A$2:$A$3000,0))))</f>
        <v/>
      </c>
      <c r="C2203" s="86" t="str">
        <f t="shared" si="56"/>
        <v/>
      </c>
      <c r="D2203" s="81"/>
      <c r="E2203" s="79"/>
      <c r="F2203" s="80" t="str">
        <f>IF(A2203="","",SUMIF(EXTRATO!$A$2:$A$3000,$A2203,EXTRATO!$J$2:$J$3000)+SUMIF(EXTRATO!$A$2:$A$3000,$A2203,EXTRATO!$K$2:$K$3000)+SUMIF(EXTRATO!$A$2:$A$3000,$A2203,EXTRATO!$L$2:$L$3000)+SUMIF(EXTRATO!$A$2:$A$3000,$A2203,EXTRATO!$M$2:$M$3000))</f>
        <v/>
      </c>
      <c r="G2203" s="81" t="str">
        <f>IF(A2203="","",IF(INDEX(EXTRATO!$G$2:$G$3000,MATCH($A2203,EXTRATO!$A$2:$A$3000,0))="","",INDEX(EXTRATO!$G$2:$G$3000,MATCH($A2203,EXTRATO!$A$2:$A$3000,0))))</f>
        <v/>
      </c>
      <c r="H2203" s="86" t="str">
        <f>IF(A2203="","",IF(INDEX(EXTRATO!$F$2:$F$3000,MATCH($A2203,EXTRATO!$A$2:$A$3000,0))="","",INDEX(EXTRATO!$F$2:$F$3000,MATCH($A2203,EXTRATO!$A$2:$A$3000,0))))</f>
        <v/>
      </c>
      <c r="I2203" s="88" t="str">
        <f>IF(A2203="","",IF(INDEX(EXTRATO!$H$2:$H$3000,MATCH($A2203,EXTRATO!$A$2:$A$3000,0))="","",INDEX(EXTRATO!$H$2:$H$3000,MATCH($A2203,EXTRATO!$A$2:$A$3000,0))))</f>
        <v/>
      </c>
      <c r="J2203" s="86" t="str">
        <f t="shared" si="55"/>
        <v/>
      </c>
      <c r="K2203" s="86" t="str">
        <f>IF(AND(A2203="",D2203="",E2203="",F2203=""),"",IF(D2203="","SEM CATEGORIA",IF(E2203="","SEM SUBCATEGORIA",IF(COUNTIFS(CADASTROS!$L$7:$L$93,D2203,CADASTROS!$D$7:$D$93,E2203)=0,"INCOMPATÍVEL","OK"))))</f>
        <v/>
      </c>
    </row>
    <row r="2204" spans="1:11" ht="30" hidden="1" customHeight="1" x14ac:dyDescent="0.25">
      <c r="A2204" s="86" t="str">
        <f>IF(COUNTIF(EXTRATO!$A$2:$A$3000,"BAN-02061")=0,"","BAN-02061")</f>
        <v/>
      </c>
      <c r="B2204" s="85" t="str">
        <f>IF(A2204="","",IF(INDEX(EXTRATO!$C$2:$C$3000,MATCH($A2204,EXTRATO!$A$2:$A$3000,0))="","",INDEX(EXTRATO!$C$2:$C$3000,MATCH($A2204,EXTRATO!$A$2:$A$3000,0))))</f>
        <v/>
      </c>
      <c r="C2204" s="86" t="str">
        <f t="shared" si="56"/>
        <v/>
      </c>
      <c r="D2204" s="81"/>
      <c r="E2204" s="79"/>
      <c r="F2204" s="80" t="str">
        <f>IF(A2204="","",SUMIF(EXTRATO!$A$2:$A$3000,$A2204,EXTRATO!$J$2:$J$3000)+SUMIF(EXTRATO!$A$2:$A$3000,$A2204,EXTRATO!$K$2:$K$3000)+SUMIF(EXTRATO!$A$2:$A$3000,$A2204,EXTRATO!$L$2:$L$3000)+SUMIF(EXTRATO!$A$2:$A$3000,$A2204,EXTRATO!$M$2:$M$3000))</f>
        <v/>
      </c>
      <c r="G2204" s="81" t="str">
        <f>IF(A2204="","",IF(INDEX(EXTRATO!$G$2:$G$3000,MATCH($A2204,EXTRATO!$A$2:$A$3000,0))="","",INDEX(EXTRATO!$G$2:$G$3000,MATCH($A2204,EXTRATO!$A$2:$A$3000,0))))</f>
        <v/>
      </c>
      <c r="H2204" s="86" t="str">
        <f>IF(A2204="","",IF(INDEX(EXTRATO!$F$2:$F$3000,MATCH($A2204,EXTRATO!$A$2:$A$3000,0))="","",INDEX(EXTRATO!$F$2:$F$3000,MATCH($A2204,EXTRATO!$A$2:$A$3000,0))))</f>
        <v/>
      </c>
      <c r="I2204" s="88" t="str">
        <f>IF(A2204="","",IF(INDEX(EXTRATO!$H$2:$H$3000,MATCH($A2204,EXTRATO!$A$2:$A$3000,0))="","",INDEX(EXTRATO!$H$2:$H$3000,MATCH($A2204,EXTRATO!$A$2:$A$3000,0))))</f>
        <v/>
      </c>
      <c r="J2204" s="86" t="str">
        <f t="shared" si="55"/>
        <v/>
      </c>
      <c r="K2204" s="86" t="str">
        <f>IF(AND(A2204="",D2204="",E2204="",F2204=""),"",IF(D2204="","SEM CATEGORIA",IF(E2204="","SEM SUBCATEGORIA",IF(COUNTIFS(CADASTROS!$L$7:$L$93,D2204,CADASTROS!$D$7:$D$93,E2204)=0,"INCOMPATÍVEL","OK"))))</f>
        <v/>
      </c>
    </row>
    <row r="2205" spans="1:11" ht="30" hidden="1" customHeight="1" x14ac:dyDescent="0.25">
      <c r="A2205" s="86" t="str">
        <f>IF(COUNTIF(EXTRATO!$A$2:$A$3000,"BAN-02062")=0,"","BAN-02062")</f>
        <v/>
      </c>
      <c r="B2205" s="85" t="str">
        <f>IF(A2205="","",IF(INDEX(EXTRATO!$C$2:$C$3000,MATCH($A2205,EXTRATO!$A$2:$A$3000,0))="","",INDEX(EXTRATO!$C$2:$C$3000,MATCH($A2205,EXTRATO!$A$2:$A$3000,0))))</f>
        <v/>
      </c>
      <c r="C2205" s="86" t="str">
        <f t="shared" si="56"/>
        <v/>
      </c>
      <c r="D2205" s="81"/>
      <c r="E2205" s="79"/>
      <c r="F2205" s="80" t="str">
        <f>IF(A2205="","",SUMIF(EXTRATO!$A$2:$A$3000,$A2205,EXTRATO!$J$2:$J$3000)+SUMIF(EXTRATO!$A$2:$A$3000,$A2205,EXTRATO!$K$2:$K$3000)+SUMIF(EXTRATO!$A$2:$A$3000,$A2205,EXTRATO!$L$2:$L$3000)+SUMIF(EXTRATO!$A$2:$A$3000,$A2205,EXTRATO!$M$2:$M$3000))</f>
        <v/>
      </c>
      <c r="G2205" s="81" t="str">
        <f>IF(A2205="","",IF(INDEX(EXTRATO!$G$2:$G$3000,MATCH($A2205,EXTRATO!$A$2:$A$3000,0))="","",INDEX(EXTRATO!$G$2:$G$3000,MATCH($A2205,EXTRATO!$A$2:$A$3000,0))))</f>
        <v/>
      </c>
      <c r="H2205" s="86" t="str">
        <f>IF(A2205="","",IF(INDEX(EXTRATO!$F$2:$F$3000,MATCH($A2205,EXTRATO!$A$2:$A$3000,0))="","",INDEX(EXTRATO!$F$2:$F$3000,MATCH($A2205,EXTRATO!$A$2:$A$3000,0))))</f>
        <v/>
      </c>
      <c r="I2205" s="88" t="str">
        <f>IF(A2205="","",IF(INDEX(EXTRATO!$H$2:$H$3000,MATCH($A2205,EXTRATO!$A$2:$A$3000,0))="","",INDEX(EXTRATO!$H$2:$H$3000,MATCH($A2205,EXTRATO!$A$2:$A$3000,0))))</f>
        <v/>
      </c>
      <c r="J2205" s="86" t="str">
        <f t="shared" si="55"/>
        <v/>
      </c>
      <c r="K2205" s="86" t="str">
        <f>IF(AND(A2205="",D2205="",E2205="",F2205=""),"",IF(D2205="","SEM CATEGORIA",IF(E2205="","SEM SUBCATEGORIA",IF(COUNTIFS(CADASTROS!$L$7:$L$93,D2205,CADASTROS!$D$7:$D$93,E2205)=0,"INCOMPATÍVEL","OK"))))</f>
        <v/>
      </c>
    </row>
    <row r="2206" spans="1:11" ht="30" hidden="1" customHeight="1" x14ac:dyDescent="0.25">
      <c r="A2206" s="86" t="str">
        <f>IF(COUNTIF(EXTRATO!$A$2:$A$3000,"BAN-02063")=0,"","BAN-02063")</f>
        <v/>
      </c>
      <c r="B2206" s="85" t="str">
        <f>IF(A2206="","",IF(INDEX(EXTRATO!$C$2:$C$3000,MATCH($A2206,EXTRATO!$A$2:$A$3000,0))="","",INDEX(EXTRATO!$C$2:$C$3000,MATCH($A2206,EXTRATO!$A$2:$A$3000,0))))</f>
        <v/>
      </c>
      <c r="C2206" s="86" t="str">
        <f t="shared" si="56"/>
        <v/>
      </c>
      <c r="D2206" s="81"/>
      <c r="E2206" s="79"/>
      <c r="F2206" s="80" t="str">
        <f>IF(A2206="","",SUMIF(EXTRATO!$A$2:$A$3000,$A2206,EXTRATO!$J$2:$J$3000)+SUMIF(EXTRATO!$A$2:$A$3000,$A2206,EXTRATO!$K$2:$K$3000)+SUMIF(EXTRATO!$A$2:$A$3000,$A2206,EXTRATO!$L$2:$L$3000)+SUMIF(EXTRATO!$A$2:$A$3000,$A2206,EXTRATO!$M$2:$M$3000))</f>
        <v/>
      </c>
      <c r="G2206" s="81" t="str">
        <f>IF(A2206="","",IF(INDEX(EXTRATO!$G$2:$G$3000,MATCH($A2206,EXTRATO!$A$2:$A$3000,0))="","",INDEX(EXTRATO!$G$2:$G$3000,MATCH($A2206,EXTRATO!$A$2:$A$3000,0))))</f>
        <v/>
      </c>
      <c r="H2206" s="86" t="str">
        <f>IF(A2206="","",IF(INDEX(EXTRATO!$F$2:$F$3000,MATCH($A2206,EXTRATO!$A$2:$A$3000,0))="","",INDEX(EXTRATO!$F$2:$F$3000,MATCH($A2206,EXTRATO!$A$2:$A$3000,0))))</f>
        <v/>
      </c>
      <c r="I2206" s="88" t="str">
        <f>IF(A2206="","",IF(INDEX(EXTRATO!$H$2:$H$3000,MATCH($A2206,EXTRATO!$A$2:$A$3000,0))="","",INDEX(EXTRATO!$H$2:$H$3000,MATCH($A2206,EXTRATO!$A$2:$A$3000,0))))</f>
        <v/>
      </c>
      <c r="J2206" s="86" t="str">
        <f t="shared" si="55"/>
        <v/>
      </c>
      <c r="K2206" s="86" t="str">
        <f>IF(AND(A2206="",D2206="",E2206="",F2206=""),"",IF(D2206="","SEM CATEGORIA",IF(E2206="","SEM SUBCATEGORIA",IF(COUNTIFS(CADASTROS!$L$7:$L$93,D2206,CADASTROS!$D$7:$D$93,E2206)=0,"INCOMPATÍVEL","OK"))))</f>
        <v/>
      </c>
    </row>
    <row r="2207" spans="1:11" ht="30" hidden="1" customHeight="1" x14ac:dyDescent="0.25">
      <c r="A2207" s="86" t="str">
        <f>IF(COUNTIF(EXTRATO!$A$2:$A$3000,"BAN-02064")=0,"","BAN-02064")</f>
        <v/>
      </c>
      <c r="B2207" s="85" t="str">
        <f>IF(A2207="","",IF(INDEX(EXTRATO!$C$2:$C$3000,MATCH($A2207,EXTRATO!$A$2:$A$3000,0))="","",INDEX(EXTRATO!$C$2:$C$3000,MATCH($A2207,EXTRATO!$A$2:$A$3000,0))))</f>
        <v/>
      </c>
      <c r="C2207" s="86" t="str">
        <f t="shared" si="56"/>
        <v/>
      </c>
      <c r="D2207" s="81"/>
      <c r="E2207" s="79"/>
      <c r="F2207" s="80" t="str">
        <f>IF(A2207="","",SUMIF(EXTRATO!$A$2:$A$3000,$A2207,EXTRATO!$J$2:$J$3000)+SUMIF(EXTRATO!$A$2:$A$3000,$A2207,EXTRATO!$K$2:$K$3000)+SUMIF(EXTRATO!$A$2:$A$3000,$A2207,EXTRATO!$L$2:$L$3000)+SUMIF(EXTRATO!$A$2:$A$3000,$A2207,EXTRATO!$M$2:$M$3000))</f>
        <v/>
      </c>
      <c r="G2207" s="81" t="str">
        <f>IF(A2207="","",IF(INDEX(EXTRATO!$G$2:$G$3000,MATCH($A2207,EXTRATO!$A$2:$A$3000,0))="","",INDEX(EXTRATO!$G$2:$G$3000,MATCH($A2207,EXTRATO!$A$2:$A$3000,0))))</f>
        <v/>
      </c>
      <c r="H2207" s="86" t="str">
        <f>IF(A2207="","",IF(INDEX(EXTRATO!$F$2:$F$3000,MATCH($A2207,EXTRATO!$A$2:$A$3000,0))="","",INDEX(EXTRATO!$F$2:$F$3000,MATCH($A2207,EXTRATO!$A$2:$A$3000,0))))</f>
        <v/>
      </c>
      <c r="I2207" s="88" t="str">
        <f>IF(A2207="","",IF(INDEX(EXTRATO!$H$2:$H$3000,MATCH($A2207,EXTRATO!$A$2:$A$3000,0))="","",INDEX(EXTRATO!$H$2:$H$3000,MATCH($A2207,EXTRATO!$A$2:$A$3000,0))))</f>
        <v/>
      </c>
      <c r="J2207" s="86" t="str">
        <f t="shared" si="55"/>
        <v/>
      </c>
      <c r="K2207" s="86" t="str">
        <f>IF(AND(A2207="",D2207="",E2207="",F2207=""),"",IF(D2207="","SEM CATEGORIA",IF(E2207="","SEM SUBCATEGORIA",IF(COUNTIFS(CADASTROS!$L$7:$L$93,D2207,CADASTROS!$D$7:$D$93,E2207)=0,"INCOMPATÍVEL","OK"))))</f>
        <v/>
      </c>
    </row>
    <row r="2208" spans="1:11" ht="30" hidden="1" customHeight="1" x14ac:dyDescent="0.25">
      <c r="A2208" s="86" t="str">
        <f>IF(COUNTIF(EXTRATO!$A$2:$A$3000,"BAN-02065")=0,"","BAN-02065")</f>
        <v/>
      </c>
      <c r="B2208" s="85" t="str">
        <f>IF(A2208="","",IF(INDEX(EXTRATO!$C$2:$C$3000,MATCH($A2208,EXTRATO!$A$2:$A$3000,0))="","",INDEX(EXTRATO!$C$2:$C$3000,MATCH($A2208,EXTRATO!$A$2:$A$3000,0))))</f>
        <v/>
      </c>
      <c r="C2208" s="86" t="str">
        <f t="shared" si="56"/>
        <v/>
      </c>
      <c r="D2208" s="81"/>
      <c r="E2208" s="79"/>
      <c r="F2208" s="80" t="str">
        <f>IF(A2208="","",SUMIF(EXTRATO!$A$2:$A$3000,$A2208,EXTRATO!$J$2:$J$3000)+SUMIF(EXTRATO!$A$2:$A$3000,$A2208,EXTRATO!$K$2:$K$3000)+SUMIF(EXTRATO!$A$2:$A$3000,$A2208,EXTRATO!$L$2:$L$3000)+SUMIF(EXTRATO!$A$2:$A$3000,$A2208,EXTRATO!$M$2:$M$3000))</f>
        <v/>
      </c>
      <c r="G2208" s="81" t="str">
        <f>IF(A2208="","",IF(INDEX(EXTRATO!$G$2:$G$3000,MATCH($A2208,EXTRATO!$A$2:$A$3000,0))="","",INDEX(EXTRATO!$G$2:$G$3000,MATCH($A2208,EXTRATO!$A$2:$A$3000,0))))</f>
        <v/>
      </c>
      <c r="H2208" s="86" t="str">
        <f>IF(A2208="","",IF(INDEX(EXTRATO!$F$2:$F$3000,MATCH($A2208,EXTRATO!$A$2:$A$3000,0))="","",INDEX(EXTRATO!$F$2:$F$3000,MATCH($A2208,EXTRATO!$A$2:$A$3000,0))))</f>
        <v/>
      </c>
      <c r="I2208" s="88" t="str">
        <f>IF(A2208="","",IF(INDEX(EXTRATO!$H$2:$H$3000,MATCH($A2208,EXTRATO!$A$2:$A$3000,0))="","",INDEX(EXTRATO!$H$2:$H$3000,MATCH($A2208,EXTRATO!$A$2:$A$3000,0))))</f>
        <v/>
      </c>
      <c r="J2208" s="86" t="str">
        <f t="shared" si="55"/>
        <v/>
      </c>
      <c r="K2208" s="86" t="str">
        <f>IF(AND(A2208="",D2208="",E2208="",F2208=""),"",IF(D2208="","SEM CATEGORIA",IF(E2208="","SEM SUBCATEGORIA",IF(COUNTIFS(CADASTROS!$L$7:$L$93,D2208,CADASTROS!$D$7:$D$93,E2208)=0,"INCOMPATÍVEL","OK"))))</f>
        <v/>
      </c>
    </row>
    <row r="2209" spans="1:11" ht="30" hidden="1" customHeight="1" x14ac:dyDescent="0.25">
      <c r="A2209" s="86" t="str">
        <f>IF(COUNTIF(EXTRATO!$A$2:$A$3000,"BAN-02066")=0,"","BAN-02066")</f>
        <v/>
      </c>
      <c r="B2209" s="85" t="str">
        <f>IF(A2209="","",IF(INDEX(EXTRATO!$C$2:$C$3000,MATCH($A2209,EXTRATO!$A$2:$A$3000,0))="","",INDEX(EXTRATO!$C$2:$C$3000,MATCH($A2209,EXTRATO!$A$2:$A$3000,0))))</f>
        <v/>
      </c>
      <c r="C2209" s="86" t="str">
        <f t="shared" si="56"/>
        <v/>
      </c>
      <c r="D2209" s="81"/>
      <c r="E2209" s="79"/>
      <c r="F2209" s="80" t="str">
        <f>IF(A2209="","",SUMIF(EXTRATO!$A$2:$A$3000,$A2209,EXTRATO!$J$2:$J$3000)+SUMIF(EXTRATO!$A$2:$A$3000,$A2209,EXTRATO!$K$2:$K$3000)+SUMIF(EXTRATO!$A$2:$A$3000,$A2209,EXTRATO!$L$2:$L$3000)+SUMIF(EXTRATO!$A$2:$A$3000,$A2209,EXTRATO!$M$2:$M$3000))</f>
        <v/>
      </c>
      <c r="G2209" s="81" t="str">
        <f>IF(A2209="","",IF(INDEX(EXTRATO!$G$2:$G$3000,MATCH($A2209,EXTRATO!$A$2:$A$3000,0))="","",INDEX(EXTRATO!$G$2:$G$3000,MATCH($A2209,EXTRATO!$A$2:$A$3000,0))))</f>
        <v/>
      </c>
      <c r="H2209" s="86" t="str">
        <f>IF(A2209="","",IF(INDEX(EXTRATO!$F$2:$F$3000,MATCH($A2209,EXTRATO!$A$2:$A$3000,0))="","",INDEX(EXTRATO!$F$2:$F$3000,MATCH($A2209,EXTRATO!$A$2:$A$3000,0))))</f>
        <v/>
      </c>
      <c r="I2209" s="88" t="str">
        <f>IF(A2209="","",IF(INDEX(EXTRATO!$H$2:$H$3000,MATCH($A2209,EXTRATO!$A$2:$A$3000,0))="","",INDEX(EXTRATO!$H$2:$H$3000,MATCH($A2209,EXTRATO!$A$2:$A$3000,0))))</f>
        <v/>
      </c>
      <c r="J2209" s="86" t="str">
        <f t="shared" si="55"/>
        <v/>
      </c>
      <c r="K2209" s="86" t="str">
        <f>IF(AND(A2209="",D2209="",E2209="",F2209=""),"",IF(D2209="","SEM CATEGORIA",IF(E2209="","SEM SUBCATEGORIA",IF(COUNTIFS(CADASTROS!$L$7:$L$93,D2209,CADASTROS!$D$7:$D$93,E2209)=0,"INCOMPATÍVEL","OK"))))</f>
        <v/>
      </c>
    </row>
    <row r="2210" spans="1:11" ht="30" hidden="1" customHeight="1" x14ac:dyDescent="0.25">
      <c r="A2210" s="86" t="str">
        <f>IF(COUNTIF(EXTRATO!$A$2:$A$3000,"BAN-02067")=0,"","BAN-02067")</f>
        <v/>
      </c>
      <c r="B2210" s="85" t="str">
        <f>IF(A2210="","",IF(INDEX(EXTRATO!$C$2:$C$3000,MATCH($A2210,EXTRATO!$A$2:$A$3000,0))="","",INDEX(EXTRATO!$C$2:$C$3000,MATCH($A2210,EXTRATO!$A$2:$A$3000,0))))</f>
        <v/>
      </c>
      <c r="C2210" s="86" t="str">
        <f t="shared" si="56"/>
        <v/>
      </c>
      <c r="D2210" s="81"/>
      <c r="E2210" s="79"/>
      <c r="F2210" s="80" t="str">
        <f>IF(A2210="","",SUMIF(EXTRATO!$A$2:$A$3000,$A2210,EXTRATO!$J$2:$J$3000)+SUMIF(EXTRATO!$A$2:$A$3000,$A2210,EXTRATO!$K$2:$K$3000)+SUMIF(EXTRATO!$A$2:$A$3000,$A2210,EXTRATO!$L$2:$L$3000)+SUMIF(EXTRATO!$A$2:$A$3000,$A2210,EXTRATO!$M$2:$M$3000))</f>
        <v/>
      </c>
      <c r="G2210" s="81" t="str">
        <f>IF(A2210="","",IF(INDEX(EXTRATO!$G$2:$G$3000,MATCH($A2210,EXTRATO!$A$2:$A$3000,0))="","",INDEX(EXTRATO!$G$2:$G$3000,MATCH($A2210,EXTRATO!$A$2:$A$3000,0))))</f>
        <v/>
      </c>
      <c r="H2210" s="86" t="str">
        <f>IF(A2210="","",IF(INDEX(EXTRATO!$F$2:$F$3000,MATCH($A2210,EXTRATO!$A$2:$A$3000,0))="","",INDEX(EXTRATO!$F$2:$F$3000,MATCH($A2210,EXTRATO!$A$2:$A$3000,0))))</f>
        <v/>
      </c>
      <c r="I2210" s="88" t="str">
        <f>IF(A2210="","",IF(INDEX(EXTRATO!$H$2:$H$3000,MATCH($A2210,EXTRATO!$A$2:$A$3000,0))="","",INDEX(EXTRATO!$H$2:$H$3000,MATCH($A2210,EXTRATO!$A$2:$A$3000,0))))</f>
        <v/>
      </c>
      <c r="J2210" s="86" t="str">
        <f t="shared" si="55"/>
        <v/>
      </c>
      <c r="K2210" s="86" t="str">
        <f>IF(AND(A2210="",D2210="",E2210="",F2210=""),"",IF(D2210="","SEM CATEGORIA",IF(E2210="","SEM SUBCATEGORIA",IF(COUNTIFS(CADASTROS!$L$7:$L$93,D2210,CADASTROS!$D$7:$D$93,E2210)=0,"INCOMPATÍVEL","OK"))))</f>
        <v/>
      </c>
    </row>
    <row r="2211" spans="1:11" ht="30" hidden="1" customHeight="1" x14ac:dyDescent="0.25">
      <c r="A2211" s="86" t="str">
        <f>IF(COUNTIF(EXTRATO!$A$2:$A$3000,"BAN-02068")=0,"","BAN-02068")</f>
        <v/>
      </c>
      <c r="B2211" s="85" t="str">
        <f>IF(A2211="","",IF(INDEX(EXTRATO!$C$2:$C$3000,MATCH($A2211,EXTRATO!$A$2:$A$3000,0))="","",INDEX(EXTRATO!$C$2:$C$3000,MATCH($A2211,EXTRATO!$A$2:$A$3000,0))))</f>
        <v/>
      </c>
      <c r="C2211" s="86" t="str">
        <f t="shared" si="56"/>
        <v/>
      </c>
      <c r="D2211" s="81"/>
      <c r="E2211" s="79"/>
      <c r="F2211" s="80" t="str">
        <f>IF(A2211="","",SUMIF(EXTRATO!$A$2:$A$3000,$A2211,EXTRATO!$J$2:$J$3000)+SUMIF(EXTRATO!$A$2:$A$3000,$A2211,EXTRATO!$K$2:$K$3000)+SUMIF(EXTRATO!$A$2:$A$3000,$A2211,EXTRATO!$L$2:$L$3000)+SUMIF(EXTRATO!$A$2:$A$3000,$A2211,EXTRATO!$M$2:$M$3000))</f>
        <v/>
      </c>
      <c r="G2211" s="81" t="str">
        <f>IF(A2211="","",IF(INDEX(EXTRATO!$G$2:$G$3000,MATCH($A2211,EXTRATO!$A$2:$A$3000,0))="","",INDEX(EXTRATO!$G$2:$G$3000,MATCH($A2211,EXTRATO!$A$2:$A$3000,0))))</f>
        <v/>
      </c>
      <c r="H2211" s="86" t="str">
        <f>IF(A2211="","",IF(INDEX(EXTRATO!$F$2:$F$3000,MATCH($A2211,EXTRATO!$A$2:$A$3000,0))="","",INDEX(EXTRATO!$F$2:$F$3000,MATCH($A2211,EXTRATO!$A$2:$A$3000,0))))</f>
        <v/>
      </c>
      <c r="I2211" s="88" t="str">
        <f>IF(A2211="","",IF(INDEX(EXTRATO!$H$2:$H$3000,MATCH($A2211,EXTRATO!$A$2:$A$3000,0))="","",INDEX(EXTRATO!$H$2:$H$3000,MATCH($A2211,EXTRATO!$A$2:$A$3000,0))))</f>
        <v/>
      </c>
      <c r="J2211" s="86" t="str">
        <f t="shared" si="55"/>
        <v/>
      </c>
      <c r="K2211" s="86" t="str">
        <f>IF(AND(A2211="",D2211="",E2211="",F2211=""),"",IF(D2211="","SEM CATEGORIA",IF(E2211="","SEM SUBCATEGORIA",IF(COUNTIFS(CADASTROS!$L$7:$L$93,D2211,CADASTROS!$D$7:$D$93,E2211)=0,"INCOMPATÍVEL","OK"))))</f>
        <v/>
      </c>
    </row>
    <row r="2212" spans="1:11" ht="30" hidden="1" customHeight="1" x14ac:dyDescent="0.25">
      <c r="A2212" s="86" t="str">
        <f>IF(COUNTIF(EXTRATO!$A$2:$A$3000,"BAN-02069")=0,"","BAN-02069")</f>
        <v/>
      </c>
      <c r="B2212" s="85" t="str">
        <f>IF(A2212="","",IF(INDEX(EXTRATO!$C$2:$C$3000,MATCH($A2212,EXTRATO!$A$2:$A$3000,0))="","",INDEX(EXTRATO!$C$2:$C$3000,MATCH($A2212,EXTRATO!$A$2:$A$3000,0))))</f>
        <v/>
      </c>
      <c r="C2212" s="86" t="str">
        <f t="shared" si="56"/>
        <v/>
      </c>
      <c r="D2212" s="81"/>
      <c r="E2212" s="79"/>
      <c r="F2212" s="80" t="str">
        <f>IF(A2212="","",SUMIF(EXTRATO!$A$2:$A$3000,$A2212,EXTRATO!$J$2:$J$3000)+SUMIF(EXTRATO!$A$2:$A$3000,$A2212,EXTRATO!$K$2:$K$3000)+SUMIF(EXTRATO!$A$2:$A$3000,$A2212,EXTRATO!$L$2:$L$3000)+SUMIF(EXTRATO!$A$2:$A$3000,$A2212,EXTRATO!$M$2:$M$3000))</f>
        <v/>
      </c>
      <c r="G2212" s="81" t="str">
        <f>IF(A2212="","",IF(INDEX(EXTRATO!$G$2:$G$3000,MATCH($A2212,EXTRATO!$A$2:$A$3000,0))="","",INDEX(EXTRATO!$G$2:$G$3000,MATCH($A2212,EXTRATO!$A$2:$A$3000,0))))</f>
        <v/>
      </c>
      <c r="H2212" s="86" t="str">
        <f>IF(A2212="","",IF(INDEX(EXTRATO!$F$2:$F$3000,MATCH($A2212,EXTRATO!$A$2:$A$3000,0))="","",INDEX(EXTRATO!$F$2:$F$3000,MATCH($A2212,EXTRATO!$A$2:$A$3000,0))))</f>
        <v/>
      </c>
      <c r="I2212" s="88" t="str">
        <f>IF(A2212="","",IF(INDEX(EXTRATO!$H$2:$H$3000,MATCH($A2212,EXTRATO!$A$2:$A$3000,0))="","",INDEX(EXTRATO!$H$2:$H$3000,MATCH($A2212,EXTRATO!$A$2:$A$3000,0))))</f>
        <v/>
      </c>
      <c r="J2212" s="86" t="str">
        <f t="shared" si="55"/>
        <v/>
      </c>
      <c r="K2212" s="86" t="str">
        <f>IF(AND(A2212="",D2212="",E2212="",F2212=""),"",IF(D2212="","SEM CATEGORIA",IF(E2212="","SEM SUBCATEGORIA",IF(COUNTIFS(CADASTROS!$L$7:$L$93,D2212,CADASTROS!$D$7:$D$93,E2212)=0,"INCOMPATÍVEL","OK"))))</f>
        <v/>
      </c>
    </row>
    <row r="2213" spans="1:11" ht="30" hidden="1" customHeight="1" x14ac:dyDescent="0.25">
      <c r="A2213" s="86" t="str">
        <f>IF(COUNTIF(EXTRATO!$A$2:$A$3000,"BAN-02070")=0,"","BAN-02070")</f>
        <v/>
      </c>
      <c r="B2213" s="85" t="str">
        <f>IF(A2213="","",IF(INDEX(EXTRATO!$C$2:$C$3000,MATCH($A2213,EXTRATO!$A$2:$A$3000,0))="","",INDEX(EXTRATO!$C$2:$C$3000,MATCH($A2213,EXTRATO!$A$2:$A$3000,0))))</f>
        <v/>
      </c>
      <c r="C2213" s="86" t="str">
        <f t="shared" si="56"/>
        <v/>
      </c>
      <c r="D2213" s="81"/>
      <c r="E2213" s="79"/>
      <c r="F2213" s="80" t="str">
        <f>IF(A2213="","",SUMIF(EXTRATO!$A$2:$A$3000,$A2213,EXTRATO!$J$2:$J$3000)+SUMIF(EXTRATO!$A$2:$A$3000,$A2213,EXTRATO!$K$2:$K$3000)+SUMIF(EXTRATO!$A$2:$A$3000,$A2213,EXTRATO!$L$2:$L$3000)+SUMIF(EXTRATO!$A$2:$A$3000,$A2213,EXTRATO!$M$2:$M$3000))</f>
        <v/>
      </c>
      <c r="G2213" s="81" t="str">
        <f>IF(A2213="","",IF(INDEX(EXTRATO!$G$2:$G$3000,MATCH($A2213,EXTRATO!$A$2:$A$3000,0))="","",INDEX(EXTRATO!$G$2:$G$3000,MATCH($A2213,EXTRATO!$A$2:$A$3000,0))))</f>
        <v/>
      </c>
      <c r="H2213" s="86" t="str">
        <f>IF(A2213="","",IF(INDEX(EXTRATO!$F$2:$F$3000,MATCH($A2213,EXTRATO!$A$2:$A$3000,0))="","",INDEX(EXTRATO!$F$2:$F$3000,MATCH($A2213,EXTRATO!$A$2:$A$3000,0))))</f>
        <v/>
      </c>
      <c r="I2213" s="88" t="str">
        <f>IF(A2213="","",IF(INDEX(EXTRATO!$H$2:$H$3000,MATCH($A2213,EXTRATO!$A$2:$A$3000,0))="","",INDEX(EXTRATO!$H$2:$H$3000,MATCH($A2213,EXTRATO!$A$2:$A$3000,0))))</f>
        <v/>
      </c>
      <c r="J2213" s="86" t="str">
        <f t="shared" si="55"/>
        <v/>
      </c>
      <c r="K2213" s="86" t="str">
        <f>IF(AND(A2213="",D2213="",E2213="",F2213=""),"",IF(D2213="","SEM CATEGORIA",IF(E2213="","SEM SUBCATEGORIA",IF(COUNTIFS(CADASTROS!$L$7:$L$93,D2213,CADASTROS!$D$7:$D$93,E2213)=0,"INCOMPATÍVEL","OK"))))</f>
        <v/>
      </c>
    </row>
    <row r="2214" spans="1:11" ht="30" hidden="1" customHeight="1" x14ac:dyDescent="0.25">
      <c r="A2214" s="86" t="str">
        <f>IF(COUNTIF(EXTRATO!$A$2:$A$3000,"BAN-02071")=0,"","BAN-02071")</f>
        <v/>
      </c>
      <c r="B2214" s="85" t="str">
        <f>IF(A2214="","",IF(INDEX(EXTRATO!$C$2:$C$3000,MATCH($A2214,EXTRATO!$A$2:$A$3000,0))="","",INDEX(EXTRATO!$C$2:$C$3000,MATCH($A2214,EXTRATO!$A$2:$A$3000,0))))</f>
        <v/>
      </c>
      <c r="C2214" s="86" t="str">
        <f t="shared" si="56"/>
        <v/>
      </c>
      <c r="D2214" s="81"/>
      <c r="E2214" s="79"/>
      <c r="F2214" s="80" t="str">
        <f>IF(A2214="","",SUMIF(EXTRATO!$A$2:$A$3000,$A2214,EXTRATO!$J$2:$J$3000)+SUMIF(EXTRATO!$A$2:$A$3000,$A2214,EXTRATO!$K$2:$K$3000)+SUMIF(EXTRATO!$A$2:$A$3000,$A2214,EXTRATO!$L$2:$L$3000)+SUMIF(EXTRATO!$A$2:$A$3000,$A2214,EXTRATO!$M$2:$M$3000))</f>
        <v/>
      </c>
      <c r="G2214" s="81" t="str">
        <f>IF(A2214="","",IF(INDEX(EXTRATO!$G$2:$G$3000,MATCH($A2214,EXTRATO!$A$2:$A$3000,0))="","",INDEX(EXTRATO!$G$2:$G$3000,MATCH($A2214,EXTRATO!$A$2:$A$3000,0))))</f>
        <v/>
      </c>
      <c r="H2214" s="86" t="str">
        <f>IF(A2214="","",IF(INDEX(EXTRATO!$F$2:$F$3000,MATCH($A2214,EXTRATO!$A$2:$A$3000,0))="","",INDEX(EXTRATO!$F$2:$F$3000,MATCH($A2214,EXTRATO!$A$2:$A$3000,0))))</f>
        <v/>
      </c>
      <c r="I2214" s="88" t="str">
        <f>IF(A2214="","",IF(INDEX(EXTRATO!$H$2:$H$3000,MATCH($A2214,EXTRATO!$A$2:$A$3000,0))="","",INDEX(EXTRATO!$H$2:$H$3000,MATCH($A2214,EXTRATO!$A$2:$A$3000,0))))</f>
        <v/>
      </c>
      <c r="J2214" s="86" t="str">
        <f t="shared" si="55"/>
        <v/>
      </c>
      <c r="K2214" s="86" t="str">
        <f>IF(AND(A2214="",D2214="",E2214="",F2214=""),"",IF(D2214="","SEM CATEGORIA",IF(E2214="","SEM SUBCATEGORIA",IF(COUNTIFS(CADASTROS!$L$7:$L$93,D2214,CADASTROS!$D$7:$D$93,E2214)=0,"INCOMPATÍVEL","OK"))))</f>
        <v/>
      </c>
    </row>
    <row r="2215" spans="1:11" ht="30" hidden="1" customHeight="1" x14ac:dyDescent="0.25">
      <c r="A2215" s="86" t="str">
        <f>IF(COUNTIF(EXTRATO!$A$2:$A$3000,"BAN-02072")=0,"","BAN-02072")</f>
        <v/>
      </c>
      <c r="B2215" s="85" t="str">
        <f>IF(A2215="","",IF(INDEX(EXTRATO!$C$2:$C$3000,MATCH($A2215,EXTRATO!$A$2:$A$3000,0))="","",INDEX(EXTRATO!$C$2:$C$3000,MATCH($A2215,EXTRATO!$A$2:$A$3000,0))))</f>
        <v/>
      </c>
      <c r="C2215" s="86" t="str">
        <f t="shared" si="56"/>
        <v/>
      </c>
      <c r="D2215" s="81"/>
      <c r="E2215" s="79"/>
      <c r="F2215" s="80" t="str">
        <f>IF(A2215="","",SUMIF(EXTRATO!$A$2:$A$3000,$A2215,EXTRATO!$J$2:$J$3000)+SUMIF(EXTRATO!$A$2:$A$3000,$A2215,EXTRATO!$K$2:$K$3000)+SUMIF(EXTRATO!$A$2:$A$3000,$A2215,EXTRATO!$L$2:$L$3000)+SUMIF(EXTRATO!$A$2:$A$3000,$A2215,EXTRATO!$M$2:$M$3000))</f>
        <v/>
      </c>
      <c r="G2215" s="81" t="str">
        <f>IF(A2215="","",IF(INDEX(EXTRATO!$G$2:$G$3000,MATCH($A2215,EXTRATO!$A$2:$A$3000,0))="","",INDEX(EXTRATO!$G$2:$G$3000,MATCH($A2215,EXTRATO!$A$2:$A$3000,0))))</f>
        <v/>
      </c>
      <c r="H2215" s="86" t="str">
        <f>IF(A2215="","",IF(INDEX(EXTRATO!$F$2:$F$3000,MATCH($A2215,EXTRATO!$A$2:$A$3000,0))="","",INDEX(EXTRATO!$F$2:$F$3000,MATCH($A2215,EXTRATO!$A$2:$A$3000,0))))</f>
        <v/>
      </c>
      <c r="I2215" s="88" t="str">
        <f>IF(A2215="","",IF(INDEX(EXTRATO!$H$2:$H$3000,MATCH($A2215,EXTRATO!$A$2:$A$3000,0))="","",INDEX(EXTRATO!$H$2:$H$3000,MATCH($A2215,EXTRATO!$A$2:$A$3000,0))))</f>
        <v/>
      </c>
      <c r="J2215" s="86" t="str">
        <f t="shared" si="55"/>
        <v/>
      </c>
      <c r="K2215" s="86" t="str">
        <f>IF(AND(A2215="",D2215="",E2215="",F2215=""),"",IF(D2215="","SEM CATEGORIA",IF(E2215="","SEM SUBCATEGORIA",IF(COUNTIFS(CADASTROS!$L$7:$L$93,D2215,CADASTROS!$D$7:$D$93,E2215)=0,"INCOMPATÍVEL","OK"))))</f>
        <v/>
      </c>
    </row>
    <row r="2216" spans="1:11" ht="30" hidden="1" customHeight="1" x14ac:dyDescent="0.25">
      <c r="A2216" s="86" t="str">
        <f>IF(COUNTIF(EXTRATO!$A$2:$A$3000,"BAN-02073")=0,"","BAN-02073")</f>
        <v/>
      </c>
      <c r="B2216" s="85" t="str">
        <f>IF(A2216="","",IF(INDEX(EXTRATO!$C$2:$C$3000,MATCH($A2216,EXTRATO!$A$2:$A$3000,0))="","",INDEX(EXTRATO!$C$2:$C$3000,MATCH($A2216,EXTRATO!$A$2:$A$3000,0))))</f>
        <v/>
      </c>
      <c r="C2216" s="86" t="str">
        <f t="shared" si="56"/>
        <v/>
      </c>
      <c r="D2216" s="81"/>
      <c r="E2216" s="79"/>
      <c r="F2216" s="80" t="str">
        <f>IF(A2216="","",SUMIF(EXTRATO!$A$2:$A$3000,$A2216,EXTRATO!$J$2:$J$3000)+SUMIF(EXTRATO!$A$2:$A$3000,$A2216,EXTRATO!$K$2:$K$3000)+SUMIF(EXTRATO!$A$2:$A$3000,$A2216,EXTRATO!$L$2:$L$3000)+SUMIF(EXTRATO!$A$2:$A$3000,$A2216,EXTRATO!$M$2:$M$3000))</f>
        <v/>
      </c>
      <c r="G2216" s="81" t="str">
        <f>IF(A2216="","",IF(INDEX(EXTRATO!$G$2:$G$3000,MATCH($A2216,EXTRATO!$A$2:$A$3000,0))="","",INDEX(EXTRATO!$G$2:$G$3000,MATCH($A2216,EXTRATO!$A$2:$A$3000,0))))</f>
        <v/>
      </c>
      <c r="H2216" s="86" t="str">
        <f>IF(A2216="","",IF(INDEX(EXTRATO!$F$2:$F$3000,MATCH($A2216,EXTRATO!$A$2:$A$3000,0))="","",INDEX(EXTRATO!$F$2:$F$3000,MATCH($A2216,EXTRATO!$A$2:$A$3000,0))))</f>
        <v/>
      </c>
      <c r="I2216" s="88" t="str">
        <f>IF(A2216="","",IF(INDEX(EXTRATO!$H$2:$H$3000,MATCH($A2216,EXTRATO!$A$2:$A$3000,0))="","",INDEX(EXTRATO!$H$2:$H$3000,MATCH($A2216,EXTRATO!$A$2:$A$3000,0))))</f>
        <v/>
      </c>
      <c r="J2216" s="86" t="str">
        <f t="shared" si="55"/>
        <v/>
      </c>
      <c r="K2216" s="86" t="str">
        <f>IF(AND(A2216="",D2216="",E2216="",F2216=""),"",IF(D2216="","SEM CATEGORIA",IF(E2216="","SEM SUBCATEGORIA",IF(COUNTIFS(CADASTROS!$L$7:$L$93,D2216,CADASTROS!$D$7:$D$93,E2216)=0,"INCOMPATÍVEL","OK"))))</f>
        <v/>
      </c>
    </row>
    <row r="2217" spans="1:11" ht="30" hidden="1" customHeight="1" x14ac:dyDescent="0.25">
      <c r="A2217" s="86" t="str">
        <f>IF(COUNTIF(EXTRATO!$A$2:$A$3000,"BAN-02074")=0,"","BAN-02074")</f>
        <v/>
      </c>
      <c r="B2217" s="85" t="str">
        <f>IF(A2217="","",IF(INDEX(EXTRATO!$C$2:$C$3000,MATCH($A2217,EXTRATO!$A$2:$A$3000,0))="","",INDEX(EXTRATO!$C$2:$C$3000,MATCH($A2217,EXTRATO!$A$2:$A$3000,0))))</f>
        <v/>
      </c>
      <c r="C2217" s="86" t="str">
        <f t="shared" si="56"/>
        <v/>
      </c>
      <c r="D2217" s="81"/>
      <c r="E2217" s="79"/>
      <c r="F2217" s="80" t="str">
        <f>IF(A2217="","",SUMIF(EXTRATO!$A$2:$A$3000,$A2217,EXTRATO!$J$2:$J$3000)+SUMIF(EXTRATO!$A$2:$A$3000,$A2217,EXTRATO!$K$2:$K$3000)+SUMIF(EXTRATO!$A$2:$A$3000,$A2217,EXTRATO!$L$2:$L$3000)+SUMIF(EXTRATO!$A$2:$A$3000,$A2217,EXTRATO!$M$2:$M$3000))</f>
        <v/>
      </c>
      <c r="G2217" s="81" t="str">
        <f>IF(A2217="","",IF(INDEX(EXTRATO!$G$2:$G$3000,MATCH($A2217,EXTRATO!$A$2:$A$3000,0))="","",INDEX(EXTRATO!$G$2:$G$3000,MATCH($A2217,EXTRATO!$A$2:$A$3000,0))))</f>
        <v/>
      </c>
      <c r="H2217" s="86" t="str">
        <f>IF(A2217="","",IF(INDEX(EXTRATO!$F$2:$F$3000,MATCH($A2217,EXTRATO!$A$2:$A$3000,0))="","",INDEX(EXTRATO!$F$2:$F$3000,MATCH($A2217,EXTRATO!$A$2:$A$3000,0))))</f>
        <v/>
      </c>
      <c r="I2217" s="88" t="str">
        <f>IF(A2217="","",IF(INDEX(EXTRATO!$H$2:$H$3000,MATCH($A2217,EXTRATO!$A$2:$A$3000,0))="","",INDEX(EXTRATO!$H$2:$H$3000,MATCH($A2217,EXTRATO!$A$2:$A$3000,0))))</f>
        <v/>
      </c>
      <c r="J2217" s="86" t="str">
        <f t="shared" si="55"/>
        <v/>
      </c>
      <c r="K2217" s="86" t="str">
        <f>IF(AND(A2217="",D2217="",E2217="",F2217=""),"",IF(D2217="","SEM CATEGORIA",IF(E2217="","SEM SUBCATEGORIA",IF(COUNTIFS(CADASTROS!$L$7:$L$93,D2217,CADASTROS!$D$7:$D$93,E2217)=0,"INCOMPATÍVEL","OK"))))</f>
        <v/>
      </c>
    </row>
    <row r="2218" spans="1:11" ht="30" hidden="1" customHeight="1" x14ac:dyDescent="0.25">
      <c r="A2218" s="86" t="str">
        <f>IF(COUNTIF(EXTRATO!$A$2:$A$3000,"BAN-02075")=0,"","BAN-02075")</f>
        <v/>
      </c>
      <c r="B2218" s="85" t="str">
        <f>IF(A2218="","",IF(INDEX(EXTRATO!$C$2:$C$3000,MATCH($A2218,EXTRATO!$A$2:$A$3000,0))="","",INDEX(EXTRATO!$C$2:$C$3000,MATCH($A2218,EXTRATO!$A$2:$A$3000,0))))</f>
        <v/>
      </c>
      <c r="C2218" s="86" t="str">
        <f t="shared" si="56"/>
        <v/>
      </c>
      <c r="D2218" s="81"/>
      <c r="E2218" s="79"/>
      <c r="F2218" s="80" t="str">
        <f>IF(A2218="","",SUMIF(EXTRATO!$A$2:$A$3000,$A2218,EXTRATO!$J$2:$J$3000)+SUMIF(EXTRATO!$A$2:$A$3000,$A2218,EXTRATO!$K$2:$K$3000)+SUMIF(EXTRATO!$A$2:$A$3000,$A2218,EXTRATO!$L$2:$L$3000)+SUMIF(EXTRATO!$A$2:$A$3000,$A2218,EXTRATO!$M$2:$M$3000))</f>
        <v/>
      </c>
      <c r="G2218" s="81" t="str">
        <f>IF(A2218="","",IF(INDEX(EXTRATO!$G$2:$G$3000,MATCH($A2218,EXTRATO!$A$2:$A$3000,0))="","",INDEX(EXTRATO!$G$2:$G$3000,MATCH($A2218,EXTRATO!$A$2:$A$3000,0))))</f>
        <v/>
      </c>
      <c r="H2218" s="86" t="str">
        <f>IF(A2218="","",IF(INDEX(EXTRATO!$F$2:$F$3000,MATCH($A2218,EXTRATO!$A$2:$A$3000,0))="","",INDEX(EXTRATO!$F$2:$F$3000,MATCH($A2218,EXTRATO!$A$2:$A$3000,0))))</f>
        <v/>
      </c>
      <c r="I2218" s="88" t="str">
        <f>IF(A2218="","",IF(INDEX(EXTRATO!$H$2:$H$3000,MATCH($A2218,EXTRATO!$A$2:$A$3000,0))="","",INDEX(EXTRATO!$H$2:$H$3000,MATCH($A2218,EXTRATO!$A$2:$A$3000,0))))</f>
        <v/>
      </c>
      <c r="J2218" s="86" t="str">
        <f t="shared" si="55"/>
        <v/>
      </c>
      <c r="K2218" s="86" t="str">
        <f>IF(AND(A2218="",D2218="",E2218="",F2218=""),"",IF(D2218="","SEM CATEGORIA",IF(E2218="","SEM SUBCATEGORIA",IF(COUNTIFS(CADASTROS!$L$7:$L$93,D2218,CADASTROS!$D$7:$D$93,E2218)=0,"INCOMPATÍVEL","OK"))))</f>
        <v/>
      </c>
    </row>
    <row r="2219" spans="1:11" ht="30" hidden="1" customHeight="1" x14ac:dyDescent="0.25">
      <c r="A2219" s="86" t="str">
        <f>IF(COUNTIF(EXTRATO!$A$2:$A$3000,"BAN-02076")=0,"","BAN-02076")</f>
        <v/>
      </c>
      <c r="B2219" s="85" t="str">
        <f>IF(A2219="","",IF(INDEX(EXTRATO!$C$2:$C$3000,MATCH($A2219,EXTRATO!$A$2:$A$3000,0))="","",INDEX(EXTRATO!$C$2:$C$3000,MATCH($A2219,EXTRATO!$A$2:$A$3000,0))))</f>
        <v/>
      </c>
      <c r="C2219" s="86" t="str">
        <f t="shared" si="56"/>
        <v/>
      </c>
      <c r="D2219" s="81"/>
      <c r="E2219" s="79"/>
      <c r="F2219" s="80" t="str">
        <f>IF(A2219="","",SUMIF(EXTRATO!$A$2:$A$3000,$A2219,EXTRATO!$J$2:$J$3000)+SUMIF(EXTRATO!$A$2:$A$3000,$A2219,EXTRATO!$K$2:$K$3000)+SUMIF(EXTRATO!$A$2:$A$3000,$A2219,EXTRATO!$L$2:$L$3000)+SUMIF(EXTRATO!$A$2:$A$3000,$A2219,EXTRATO!$M$2:$M$3000))</f>
        <v/>
      </c>
      <c r="G2219" s="81" t="str">
        <f>IF(A2219="","",IF(INDEX(EXTRATO!$G$2:$G$3000,MATCH($A2219,EXTRATO!$A$2:$A$3000,0))="","",INDEX(EXTRATO!$G$2:$G$3000,MATCH($A2219,EXTRATO!$A$2:$A$3000,0))))</f>
        <v/>
      </c>
      <c r="H2219" s="86" t="str">
        <f>IF(A2219="","",IF(INDEX(EXTRATO!$F$2:$F$3000,MATCH($A2219,EXTRATO!$A$2:$A$3000,0))="","",INDEX(EXTRATO!$F$2:$F$3000,MATCH($A2219,EXTRATO!$A$2:$A$3000,0))))</f>
        <v/>
      </c>
      <c r="I2219" s="88" t="str">
        <f>IF(A2219="","",IF(INDEX(EXTRATO!$H$2:$H$3000,MATCH($A2219,EXTRATO!$A$2:$A$3000,0))="","",INDEX(EXTRATO!$H$2:$H$3000,MATCH($A2219,EXTRATO!$A$2:$A$3000,0))))</f>
        <v/>
      </c>
      <c r="J2219" s="86" t="str">
        <f t="shared" si="55"/>
        <v/>
      </c>
      <c r="K2219" s="86" t="str">
        <f>IF(AND(A2219="",D2219="",E2219="",F2219=""),"",IF(D2219="","SEM CATEGORIA",IF(E2219="","SEM SUBCATEGORIA",IF(COUNTIFS(CADASTROS!$L$7:$L$93,D2219,CADASTROS!$D$7:$D$93,E2219)=0,"INCOMPATÍVEL","OK"))))</f>
        <v/>
      </c>
    </row>
    <row r="2220" spans="1:11" ht="30" hidden="1" customHeight="1" x14ac:dyDescent="0.25">
      <c r="A2220" s="86" t="str">
        <f>IF(COUNTIF(EXTRATO!$A$2:$A$3000,"BAN-02077")=0,"","BAN-02077")</f>
        <v/>
      </c>
      <c r="B2220" s="85" t="str">
        <f>IF(A2220="","",IF(INDEX(EXTRATO!$C$2:$C$3000,MATCH($A2220,EXTRATO!$A$2:$A$3000,0))="","",INDEX(EXTRATO!$C$2:$C$3000,MATCH($A2220,EXTRATO!$A$2:$A$3000,0))))</f>
        <v/>
      </c>
      <c r="C2220" s="86" t="str">
        <f t="shared" si="56"/>
        <v/>
      </c>
      <c r="D2220" s="81"/>
      <c r="E2220" s="79"/>
      <c r="F2220" s="80" t="str">
        <f>IF(A2220="","",SUMIF(EXTRATO!$A$2:$A$3000,$A2220,EXTRATO!$J$2:$J$3000)+SUMIF(EXTRATO!$A$2:$A$3000,$A2220,EXTRATO!$K$2:$K$3000)+SUMIF(EXTRATO!$A$2:$A$3000,$A2220,EXTRATO!$L$2:$L$3000)+SUMIF(EXTRATO!$A$2:$A$3000,$A2220,EXTRATO!$M$2:$M$3000))</f>
        <v/>
      </c>
      <c r="G2220" s="81" t="str">
        <f>IF(A2220="","",IF(INDEX(EXTRATO!$G$2:$G$3000,MATCH($A2220,EXTRATO!$A$2:$A$3000,0))="","",INDEX(EXTRATO!$G$2:$G$3000,MATCH($A2220,EXTRATO!$A$2:$A$3000,0))))</f>
        <v/>
      </c>
      <c r="H2220" s="86" t="str">
        <f>IF(A2220="","",IF(INDEX(EXTRATO!$F$2:$F$3000,MATCH($A2220,EXTRATO!$A$2:$A$3000,0))="","",INDEX(EXTRATO!$F$2:$F$3000,MATCH($A2220,EXTRATO!$A$2:$A$3000,0))))</f>
        <v/>
      </c>
      <c r="I2220" s="88" t="str">
        <f>IF(A2220="","",IF(INDEX(EXTRATO!$H$2:$H$3000,MATCH($A2220,EXTRATO!$A$2:$A$3000,0))="","",INDEX(EXTRATO!$H$2:$H$3000,MATCH($A2220,EXTRATO!$A$2:$A$3000,0))))</f>
        <v/>
      </c>
      <c r="J2220" s="86" t="str">
        <f t="shared" ref="J2220:J2283" si="57">IF(A2220="","",IF(K2220="OK","MANUAL","PENDENTE"))</f>
        <v/>
      </c>
      <c r="K2220" s="86" t="str">
        <f>IF(AND(A2220="",D2220="",E2220="",F2220=""),"",IF(D2220="","SEM CATEGORIA",IF(E2220="","SEM SUBCATEGORIA",IF(COUNTIFS(CADASTROS!$L$7:$L$93,D2220,CADASTROS!$D$7:$D$93,E2220)=0,"INCOMPATÍVEL","OK"))))</f>
        <v/>
      </c>
    </row>
    <row r="2221" spans="1:11" ht="30" hidden="1" customHeight="1" x14ac:dyDescent="0.25">
      <c r="A2221" s="86" t="str">
        <f>IF(COUNTIF(EXTRATO!$A$2:$A$3000,"BAN-02078")=0,"","BAN-02078")</f>
        <v/>
      </c>
      <c r="B2221" s="85" t="str">
        <f>IF(A2221="","",IF(INDEX(EXTRATO!$C$2:$C$3000,MATCH($A2221,EXTRATO!$A$2:$A$3000,0))="","",INDEX(EXTRATO!$C$2:$C$3000,MATCH($A2221,EXTRATO!$A$2:$A$3000,0))))</f>
        <v/>
      </c>
      <c r="C2221" s="86" t="str">
        <f t="shared" si="56"/>
        <v/>
      </c>
      <c r="D2221" s="81"/>
      <c r="E2221" s="79"/>
      <c r="F2221" s="80" t="str">
        <f>IF(A2221="","",SUMIF(EXTRATO!$A$2:$A$3000,$A2221,EXTRATO!$J$2:$J$3000)+SUMIF(EXTRATO!$A$2:$A$3000,$A2221,EXTRATO!$K$2:$K$3000)+SUMIF(EXTRATO!$A$2:$A$3000,$A2221,EXTRATO!$L$2:$L$3000)+SUMIF(EXTRATO!$A$2:$A$3000,$A2221,EXTRATO!$M$2:$M$3000))</f>
        <v/>
      </c>
      <c r="G2221" s="81" t="str">
        <f>IF(A2221="","",IF(INDEX(EXTRATO!$G$2:$G$3000,MATCH($A2221,EXTRATO!$A$2:$A$3000,0))="","",INDEX(EXTRATO!$G$2:$G$3000,MATCH($A2221,EXTRATO!$A$2:$A$3000,0))))</f>
        <v/>
      </c>
      <c r="H2221" s="86" t="str">
        <f>IF(A2221="","",IF(INDEX(EXTRATO!$F$2:$F$3000,MATCH($A2221,EXTRATO!$A$2:$A$3000,0))="","",INDEX(EXTRATO!$F$2:$F$3000,MATCH($A2221,EXTRATO!$A$2:$A$3000,0))))</f>
        <v/>
      </c>
      <c r="I2221" s="88" t="str">
        <f>IF(A2221="","",IF(INDEX(EXTRATO!$H$2:$H$3000,MATCH($A2221,EXTRATO!$A$2:$A$3000,0))="","",INDEX(EXTRATO!$H$2:$H$3000,MATCH($A2221,EXTRATO!$A$2:$A$3000,0))))</f>
        <v/>
      </c>
      <c r="J2221" s="86" t="str">
        <f t="shared" si="57"/>
        <v/>
      </c>
      <c r="K2221" s="86" t="str">
        <f>IF(AND(A2221="",D2221="",E2221="",F2221=""),"",IF(D2221="","SEM CATEGORIA",IF(E2221="","SEM SUBCATEGORIA",IF(COUNTIFS(CADASTROS!$L$7:$L$93,D2221,CADASTROS!$D$7:$D$93,E2221)=0,"INCOMPATÍVEL","OK"))))</f>
        <v/>
      </c>
    </row>
    <row r="2222" spans="1:11" ht="30" hidden="1" customHeight="1" x14ac:dyDescent="0.25">
      <c r="A2222" s="86" t="str">
        <f>IF(COUNTIF(EXTRATO!$A$2:$A$3000,"BAN-02079")=0,"","BAN-02079")</f>
        <v/>
      </c>
      <c r="B2222" s="85" t="str">
        <f>IF(A2222="","",IF(INDEX(EXTRATO!$C$2:$C$3000,MATCH($A2222,EXTRATO!$A$2:$A$3000,0))="","",INDEX(EXTRATO!$C$2:$C$3000,MATCH($A2222,EXTRATO!$A$2:$A$3000,0))))</f>
        <v/>
      </c>
      <c r="C2222" s="86" t="str">
        <f t="shared" si="56"/>
        <v/>
      </c>
      <c r="D2222" s="81"/>
      <c r="E2222" s="79"/>
      <c r="F2222" s="80" t="str">
        <f>IF(A2222="","",SUMIF(EXTRATO!$A$2:$A$3000,$A2222,EXTRATO!$J$2:$J$3000)+SUMIF(EXTRATO!$A$2:$A$3000,$A2222,EXTRATO!$K$2:$K$3000)+SUMIF(EXTRATO!$A$2:$A$3000,$A2222,EXTRATO!$L$2:$L$3000)+SUMIF(EXTRATO!$A$2:$A$3000,$A2222,EXTRATO!$M$2:$M$3000))</f>
        <v/>
      </c>
      <c r="G2222" s="81" t="str">
        <f>IF(A2222="","",IF(INDEX(EXTRATO!$G$2:$G$3000,MATCH($A2222,EXTRATO!$A$2:$A$3000,0))="","",INDEX(EXTRATO!$G$2:$G$3000,MATCH($A2222,EXTRATO!$A$2:$A$3000,0))))</f>
        <v/>
      </c>
      <c r="H2222" s="86" t="str">
        <f>IF(A2222="","",IF(INDEX(EXTRATO!$F$2:$F$3000,MATCH($A2222,EXTRATO!$A$2:$A$3000,0))="","",INDEX(EXTRATO!$F$2:$F$3000,MATCH($A2222,EXTRATO!$A$2:$A$3000,0))))</f>
        <v/>
      </c>
      <c r="I2222" s="88" t="str">
        <f>IF(A2222="","",IF(INDEX(EXTRATO!$H$2:$H$3000,MATCH($A2222,EXTRATO!$A$2:$A$3000,0))="","",INDEX(EXTRATO!$H$2:$H$3000,MATCH($A2222,EXTRATO!$A$2:$A$3000,0))))</f>
        <v/>
      </c>
      <c r="J2222" s="86" t="str">
        <f t="shared" si="57"/>
        <v/>
      </c>
      <c r="K2222" s="86" t="str">
        <f>IF(AND(A2222="",D2222="",E2222="",F2222=""),"",IF(D2222="","SEM CATEGORIA",IF(E2222="","SEM SUBCATEGORIA",IF(COUNTIFS(CADASTROS!$L$7:$L$93,D2222,CADASTROS!$D$7:$D$93,E2222)=0,"INCOMPATÍVEL","OK"))))</f>
        <v/>
      </c>
    </row>
    <row r="2223" spans="1:11" ht="30" hidden="1" customHeight="1" x14ac:dyDescent="0.25">
      <c r="A2223" s="86" t="str">
        <f>IF(COUNTIF(EXTRATO!$A$2:$A$3000,"BAN-02080")=0,"","BAN-02080")</f>
        <v/>
      </c>
      <c r="B2223" s="85" t="str">
        <f>IF(A2223="","",IF(INDEX(EXTRATO!$C$2:$C$3000,MATCH($A2223,EXTRATO!$A$2:$A$3000,0))="","",INDEX(EXTRATO!$C$2:$C$3000,MATCH($A2223,EXTRATO!$A$2:$A$3000,0))))</f>
        <v/>
      </c>
      <c r="C2223" s="86" t="str">
        <f t="shared" si="56"/>
        <v/>
      </c>
      <c r="D2223" s="81"/>
      <c r="E2223" s="79"/>
      <c r="F2223" s="80" t="str">
        <f>IF(A2223="","",SUMIF(EXTRATO!$A$2:$A$3000,$A2223,EXTRATO!$J$2:$J$3000)+SUMIF(EXTRATO!$A$2:$A$3000,$A2223,EXTRATO!$K$2:$K$3000)+SUMIF(EXTRATO!$A$2:$A$3000,$A2223,EXTRATO!$L$2:$L$3000)+SUMIF(EXTRATO!$A$2:$A$3000,$A2223,EXTRATO!$M$2:$M$3000))</f>
        <v/>
      </c>
      <c r="G2223" s="81" t="str">
        <f>IF(A2223="","",IF(INDEX(EXTRATO!$G$2:$G$3000,MATCH($A2223,EXTRATO!$A$2:$A$3000,0))="","",INDEX(EXTRATO!$G$2:$G$3000,MATCH($A2223,EXTRATO!$A$2:$A$3000,0))))</f>
        <v/>
      </c>
      <c r="H2223" s="86" t="str">
        <f>IF(A2223="","",IF(INDEX(EXTRATO!$F$2:$F$3000,MATCH($A2223,EXTRATO!$A$2:$A$3000,0))="","",INDEX(EXTRATO!$F$2:$F$3000,MATCH($A2223,EXTRATO!$A$2:$A$3000,0))))</f>
        <v/>
      </c>
      <c r="I2223" s="88" t="str">
        <f>IF(A2223="","",IF(INDEX(EXTRATO!$H$2:$H$3000,MATCH($A2223,EXTRATO!$A$2:$A$3000,0))="","",INDEX(EXTRATO!$H$2:$H$3000,MATCH($A2223,EXTRATO!$A$2:$A$3000,0))))</f>
        <v/>
      </c>
      <c r="J2223" s="86" t="str">
        <f t="shared" si="57"/>
        <v/>
      </c>
      <c r="K2223" s="86" t="str">
        <f>IF(AND(A2223="",D2223="",E2223="",F2223=""),"",IF(D2223="","SEM CATEGORIA",IF(E2223="","SEM SUBCATEGORIA",IF(COUNTIFS(CADASTROS!$L$7:$L$93,D2223,CADASTROS!$D$7:$D$93,E2223)=0,"INCOMPATÍVEL","OK"))))</f>
        <v/>
      </c>
    </row>
    <row r="2224" spans="1:11" ht="30" hidden="1" customHeight="1" x14ac:dyDescent="0.25">
      <c r="A2224" s="86" t="str">
        <f>IF(COUNTIF(EXTRATO!$A$2:$A$3000,"BAN-02081")=0,"","BAN-02081")</f>
        <v/>
      </c>
      <c r="B2224" s="85" t="str">
        <f>IF(A2224="","",IF(INDEX(EXTRATO!$C$2:$C$3000,MATCH($A2224,EXTRATO!$A$2:$A$3000,0))="","",INDEX(EXTRATO!$C$2:$C$3000,MATCH($A2224,EXTRATO!$A$2:$A$3000,0))))</f>
        <v/>
      </c>
      <c r="C2224" s="86" t="str">
        <f t="shared" si="56"/>
        <v/>
      </c>
      <c r="D2224" s="81"/>
      <c r="E2224" s="79"/>
      <c r="F2224" s="80" t="str">
        <f>IF(A2224="","",SUMIF(EXTRATO!$A$2:$A$3000,$A2224,EXTRATO!$J$2:$J$3000)+SUMIF(EXTRATO!$A$2:$A$3000,$A2224,EXTRATO!$K$2:$K$3000)+SUMIF(EXTRATO!$A$2:$A$3000,$A2224,EXTRATO!$L$2:$L$3000)+SUMIF(EXTRATO!$A$2:$A$3000,$A2224,EXTRATO!$M$2:$M$3000))</f>
        <v/>
      </c>
      <c r="G2224" s="81" t="str">
        <f>IF(A2224="","",IF(INDEX(EXTRATO!$G$2:$G$3000,MATCH($A2224,EXTRATO!$A$2:$A$3000,0))="","",INDEX(EXTRATO!$G$2:$G$3000,MATCH($A2224,EXTRATO!$A$2:$A$3000,0))))</f>
        <v/>
      </c>
      <c r="H2224" s="86" t="str">
        <f>IF(A2224="","",IF(INDEX(EXTRATO!$F$2:$F$3000,MATCH($A2224,EXTRATO!$A$2:$A$3000,0))="","",INDEX(EXTRATO!$F$2:$F$3000,MATCH($A2224,EXTRATO!$A$2:$A$3000,0))))</f>
        <v/>
      </c>
      <c r="I2224" s="88" t="str">
        <f>IF(A2224="","",IF(INDEX(EXTRATO!$H$2:$H$3000,MATCH($A2224,EXTRATO!$A$2:$A$3000,0))="","",INDEX(EXTRATO!$H$2:$H$3000,MATCH($A2224,EXTRATO!$A$2:$A$3000,0))))</f>
        <v/>
      </c>
      <c r="J2224" s="86" t="str">
        <f t="shared" si="57"/>
        <v/>
      </c>
      <c r="K2224" s="86" t="str">
        <f>IF(AND(A2224="",D2224="",E2224="",F2224=""),"",IF(D2224="","SEM CATEGORIA",IF(E2224="","SEM SUBCATEGORIA",IF(COUNTIFS(CADASTROS!$L$7:$L$93,D2224,CADASTROS!$D$7:$D$93,E2224)=0,"INCOMPATÍVEL","OK"))))</f>
        <v/>
      </c>
    </row>
    <row r="2225" spans="1:11" ht="30" hidden="1" customHeight="1" x14ac:dyDescent="0.25">
      <c r="A2225" s="86" t="str">
        <f>IF(COUNTIF(EXTRATO!$A$2:$A$3000,"BAN-02082")=0,"","BAN-02082")</f>
        <v/>
      </c>
      <c r="B2225" s="85" t="str">
        <f>IF(A2225="","",IF(INDEX(EXTRATO!$C$2:$C$3000,MATCH($A2225,EXTRATO!$A$2:$A$3000,0))="","",INDEX(EXTRATO!$C$2:$C$3000,MATCH($A2225,EXTRATO!$A$2:$A$3000,0))))</f>
        <v/>
      </c>
      <c r="C2225" s="86" t="str">
        <f t="shared" si="56"/>
        <v/>
      </c>
      <c r="D2225" s="81"/>
      <c r="E2225" s="79"/>
      <c r="F2225" s="80" t="str">
        <f>IF(A2225="","",SUMIF(EXTRATO!$A$2:$A$3000,$A2225,EXTRATO!$J$2:$J$3000)+SUMIF(EXTRATO!$A$2:$A$3000,$A2225,EXTRATO!$K$2:$K$3000)+SUMIF(EXTRATO!$A$2:$A$3000,$A2225,EXTRATO!$L$2:$L$3000)+SUMIF(EXTRATO!$A$2:$A$3000,$A2225,EXTRATO!$M$2:$M$3000))</f>
        <v/>
      </c>
      <c r="G2225" s="81" t="str">
        <f>IF(A2225="","",IF(INDEX(EXTRATO!$G$2:$G$3000,MATCH($A2225,EXTRATO!$A$2:$A$3000,0))="","",INDEX(EXTRATO!$G$2:$G$3000,MATCH($A2225,EXTRATO!$A$2:$A$3000,0))))</f>
        <v/>
      </c>
      <c r="H2225" s="86" t="str">
        <f>IF(A2225="","",IF(INDEX(EXTRATO!$F$2:$F$3000,MATCH($A2225,EXTRATO!$A$2:$A$3000,0))="","",INDEX(EXTRATO!$F$2:$F$3000,MATCH($A2225,EXTRATO!$A$2:$A$3000,0))))</f>
        <v/>
      </c>
      <c r="I2225" s="88" t="str">
        <f>IF(A2225="","",IF(INDEX(EXTRATO!$H$2:$H$3000,MATCH($A2225,EXTRATO!$A$2:$A$3000,0))="","",INDEX(EXTRATO!$H$2:$H$3000,MATCH($A2225,EXTRATO!$A$2:$A$3000,0))))</f>
        <v/>
      </c>
      <c r="J2225" s="86" t="str">
        <f t="shared" si="57"/>
        <v/>
      </c>
      <c r="K2225" s="86" t="str">
        <f>IF(AND(A2225="",D2225="",E2225="",F2225=""),"",IF(D2225="","SEM CATEGORIA",IF(E2225="","SEM SUBCATEGORIA",IF(COUNTIFS(CADASTROS!$L$7:$L$93,D2225,CADASTROS!$D$7:$D$93,E2225)=0,"INCOMPATÍVEL","OK"))))</f>
        <v/>
      </c>
    </row>
    <row r="2226" spans="1:11" ht="30" hidden="1" customHeight="1" x14ac:dyDescent="0.25">
      <c r="A2226" s="86" t="str">
        <f>IF(COUNTIF(EXTRATO!$A$2:$A$3000,"BAN-02083")=0,"","BAN-02083")</f>
        <v/>
      </c>
      <c r="B2226" s="85" t="str">
        <f>IF(A2226="","",IF(INDEX(EXTRATO!$C$2:$C$3000,MATCH($A2226,EXTRATO!$A$2:$A$3000,0))="","",INDEX(EXTRATO!$C$2:$C$3000,MATCH($A2226,EXTRATO!$A$2:$A$3000,0))))</f>
        <v/>
      </c>
      <c r="C2226" s="86" t="str">
        <f t="shared" si="56"/>
        <v/>
      </c>
      <c r="D2226" s="81"/>
      <c r="E2226" s="79"/>
      <c r="F2226" s="80" t="str">
        <f>IF(A2226="","",SUMIF(EXTRATO!$A$2:$A$3000,$A2226,EXTRATO!$J$2:$J$3000)+SUMIF(EXTRATO!$A$2:$A$3000,$A2226,EXTRATO!$K$2:$K$3000)+SUMIF(EXTRATO!$A$2:$A$3000,$A2226,EXTRATO!$L$2:$L$3000)+SUMIF(EXTRATO!$A$2:$A$3000,$A2226,EXTRATO!$M$2:$M$3000))</f>
        <v/>
      </c>
      <c r="G2226" s="81" t="str">
        <f>IF(A2226="","",IF(INDEX(EXTRATO!$G$2:$G$3000,MATCH($A2226,EXTRATO!$A$2:$A$3000,0))="","",INDEX(EXTRATO!$G$2:$G$3000,MATCH($A2226,EXTRATO!$A$2:$A$3000,0))))</f>
        <v/>
      </c>
      <c r="H2226" s="86" t="str">
        <f>IF(A2226="","",IF(INDEX(EXTRATO!$F$2:$F$3000,MATCH($A2226,EXTRATO!$A$2:$A$3000,0))="","",INDEX(EXTRATO!$F$2:$F$3000,MATCH($A2226,EXTRATO!$A$2:$A$3000,0))))</f>
        <v/>
      </c>
      <c r="I2226" s="88" t="str">
        <f>IF(A2226="","",IF(INDEX(EXTRATO!$H$2:$H$3000,MATCH($A2226,EXTRATO!$A$2:$A$3000,0))="","",INDEX(EXTRATO!$H$2:$H$3000,MATCH($A2226,EXTRATO!$A$2:$A$3000,0))))</f>
        <v/>
      </c>
      <c r="J2226" s="86" t="str">
        <f t="shared" si="57"/>
        <v/>
      </c>
      <c r="K2226" s="86" t="str">
        <f>IF(AND(A2226="",D2226="",E2226="",F2226=""),"",IF(D2226="","SEM CATEGORIA",IF(E2226="","SEM SUBCATEGORIA",IF(COUNTIFS(CADASTROS!$L$7:$L$93,D2226,CADASTROS!$D$7:$D$93,E2226)=0,"INCOMPATÍVEL","OK"))))</f>
        <v/>
      </c>
    </row>
    <row r="2227" spans="1:11" ht="30" hidden="1" customHeight="1" x14ac:dyDescent="0.25">
      <c r="A2227" s="86" t="str">
        <f>IF(COUNTIF(EXTRATO!$A$2:$A$3000,"BAN-02084")=0,"","BAN-02084")</f>
        <v/>
      </c>
      <c r="B2227" s="85" t="str">
        <f>IF(A2227="","",IF(INDEX(EXTRATO!$C$2:$C$3000,MATCH($A2227,EXTRATO!$A$2:$A$3000,0))="","",INDEX(EXTRATO!$C$2:$C$3000,MATCH($A2227,EXTRATO!$A$2:$A$3000,0))))</f>
        <v/>
      </c>
      <c r="C2227" s="86" t="str">
        <f t="shared" si="56"/>
        <v/>
      </c>
      <c r="D2227" s="81"/>
      <c r="E2227" s="79"/>
      <c r="F2227" s="80" t="str">
        <f>IF(A2227="","",SUMIF(EXTRATO!$A$2:$A$3000,$A2227,EXTRATO!$J$2:$J$3000)+SUMIF(EXTRATO!$A$2:$A$3000,$A2227,EXTRATO!$K$2:$K$3000)+SUMIF(EXTRATO!$A$2:$A$3000,$A2227,EXTRATO!$L$2:$L$3000)+SUMIF(EXTRATO!$A$2:$A$3000,$A2227,EXTRATO!$M$2:$M$3000))</f>
        <v/>
      </c>
      <c r="G2227" s="81" t="str">
        <f>IF(A2227="","",IF(INDEX(EXTRATO!$G$2:$G$3000,MATCH($A2227,EXTRATO!$A$2:$A$3000,0))="","",INDEX(EXTRATO!$G$2:$G$3000,MATCH($A2227,EXTRATO!$A$2:$A$3000,0))))</f>
        <v/>
      </c>
      <c r="H2227" s="86" t="str">
        <f>IF(A2227="","",IF(INDEX(EXTRATO!$F$2:$F$3000,MATCH($A2227,EXTRATO!$A$2:$A$3000,0))="","",INDEX(EXTRATO!$F$2:$F$3000,MATCH($A2227,EXTRATO!$A$2:$A$3000,0))))</f>
        <v/>
      </c>
      <c r="I2227" s="88" t="str">
        <f>IF(A2227="","",IF(INDEX(EXTRATO!$H$2:$H$3000,MATCH($A2227,EXTRATO!$A$2:$A$3000,0))="","",INDEX(EXTRATO!$H$2:$H$3000,MATCH($A2227,EXTRATO!$A$2:$A$3000,0))))</f>
        <v/>
      </c>
      <c r="J2227" s="86" t="str">
        <f t="shared" si="57"/>
        <v/>
      </c>
      <c r="K2227" s="86" t="str">
        <f>IF(AND(A2227="",D2227="",E2227="",F2227=""),"",IF(D2227="","SEM CATEGORIA",IF(E2227="","SEM SUBCATEGORIA",IF(COUNTIFS(CADASTROS!$L$7:$L$93,D2227,CADASTROS!$D$7:$D$93,E2227)=0,"INCOMPATÍVEL","OK"))))</f>
        <v/>
      </c>
    </row>
    <row r="2228" spans="1:11" ht="30" hidden="1" customHeight="1" x14ac:dyDescent="0.25">
      <c r="A2228" s="86" t="str">
        <f>IF(COUNTIF(EXTRATO!$A$2:$A$3000,"BAN-02085")=0,"","BAN-02085")</f>
        <v/>
      </c>
      <c r="B2228" s="85" t="str">
        <f>IF(A2228="","",IF(INDEX(EXTRATO!$C$2:$C$3000,MATCH($A2228,EXTRATO!$A$2:$A$3000,0))="","",INDEX(EXTRATO!$C$2:$C$3000,MATCH($A2228,EXTRATO!$A$2:$A$3000,0))))</f>
        <v/>
      </c>
      <c r="C2228" s="86" t="str">
        <f t="shared" si="56"/>
        <v/>
      </c>
      <c r="D2228" s="81"/>
      <c r="E2228" s="79"/>
      <c r="F2228" s="80" t="str">
        <f>IF(A2228="","",SUMIF(EXTRATO!$A$2:$A$3000,$A2228,EXTRATO!$J$2:$J$3000)+SUMIF(EXTRATO!$A$2:$A$3000,$A2228,EXTRATO!$K$2:$K$3000)+SUMIF(EXTRATO!$A$2:$A$3000,$A2228,EXTRATO!$L$2:$L$3000)+SUMIF(EXTRATO!$A$2:$A$3000,$A2228,EXTRATO!$M$2:$M$3000))</f>
        <v/>
      </c>
      <c r="G2228" s="81" t="str">
        <f>IF(A2228="","",IF(INDEX(EXTRATO!$G$2:$G$3000,MATCH($A2228,EXTRATO!$A$2:$A$3000,0))="","",INDEX(EXTRATO!$G$2:$G$3000,MATCH($A2228,EXTRATO!$A$2:$A$3000,0))))</f>
        <v/>
      </c>
      <c r="H2228" s="86" t="str">
        <f>IF(A2228="","",IF(INDEX(EXTRATO!$F$2:$F$3000,MATCH($A2228,EXTRATO!$A$2:$A$3000,0))="","",INDEX(EXTRATO!$F$2:$F$3000,MATCH($A2228,EXTRATO!$A$2:$A$3000,0))))</f>
        <v/>
      </c>
      <c r="I2228" s="88" t="str">
        <f>IF(A2228="","",IF(INDEX(EXTRATO!$H$2:$H$3000,MATCH($A2228,EXTRATO!$A$2:$A$3000,0))="","",INDEX(EXTRATO!$H$2:$H$3000,MATCH($A2228,EXTRATO!$A$2:$A$3000,0))))</f>
        <v/>
      </c>
      <c r="J2228" s="86" t="str">
        <f t="shared" si="57"/>
        <v/>
      </c>
      <c r="K2228" s="86" t="str">
        <f>IF(AND(A2228="",D2228="",E2228="",F2228=""),"",IF(D2228="","SEM CATEGORIA",IF(E2228="","SEM SUBCATEGORIA",IF(COUNTIFS(CADASTROS!$L$7:$L$93,D2228,CADASTROS!$D$7:$D$93,E2228)=0,"INCOMPATÍVEL","OK"))))</f>
        <v/>
      </c>
    </row>
    <row r="2229" spans="1:11" ht="30" hidden="1" customHeight="1" x14ac:dyDescent="0.25">
      <c r="A2229" s="86" t="str">
        <f>IF(COUNTIF(EXTRATO!$A$2:$A$3000,"BAN-02086")=0,"","BAN-02086")</f>
        <v/>
      </c>
      <c r="B2229" s="85" t="str">
        <f>IF(A2229="","",IF(INDEX(EXTRATO!$C$2:$C$3000,MATCH($A2229,EXTRATO!$A$2:$A$3000,0))="","",INDEX(EXTRATO!$C$2:$C$3000,MATCH($A2229,EXTRATO!$A$2:$A$3000,0))))</f>
        <v/>
      </c>
      <c r="C2229" s="86" t="str">
        <f t="shared" si="56"/>
        <v/>
      </c>
      <c r="D2229" s="81"/>
      <c r="E2229" s="79"/>
      <c r="F2229" s="80" t="str">
        <f>IF(A2229="","",SUMIF(EXTRATO!$A$2:$A$3000,$A2229,EXTRATO!$J$2:$J$3000)+SUMIF(EXTRATO!$A$2:$A$3000,$A2229,EXTRATO!$K$2:$K$3000)+SUMIF(EXTRATO!$A$2:$A$3000,$A2229,EXTRATO!$L$2:$L$3000)+SUMIF(EXTRATO!$A$2:$A$3000,$A2229,EXTRATO!$M$2:$M$3000))</f>
        <v/>
      </c>
      <c r="G2229" s="81" t="str">
        <f>IF(A2229="","",IF(INDEX(EXTRATO!$G$2:$G$3000,MATCH($A2229,EXTRATO!$A$2:$A$3000,0))="","",INDEX(EXTRATO!$G$2:$G$3000,MATCH($A2229,EXTRATO!$A$2:$A$3000,0))))</f>
        <v/>
      </c>
      <c r="H2229" s="86" t="str">
        <f>IF(A2229="","",IF(INDEX(EXTRATO!$F$2:$F$3000,MATCH($A2229,EXTRATO!$A$2:$A$3000,0))="","",INDEX(EXTRATO!$F$2:$F$3000,MATCH($A2229,EXTRATO!$A$2:$A$3000,0))))</f>
        <v/>
      </c>
      <c r="I2229" s="88" t="str">
        <f>IF(A2229="","",IF(INDEX(EXTRATO!$H$2:$H$3000,MATCH($A2229,EXTRATO!$A$2:$A$3000,0))="","",INDEX(EXTRATO!$H$2:$H$3000,MATCH($A2229,EXTRATO!$A$2:$A$3000,0))))</f>
        <v/>
      </c>
      <c r="J2229" s="86" t="str">
        <f t="shared" si="57"/>
        <v/>
      </c>
      <c r="K2229" s="86" t="str">
        <f>IF(AND(A2229="",D2229="",E2229="",F2229=""),"",IF(D2229="","SEM CATEGORIA",IF(E2229="","SEM SUBCATEGORIA",IF(COUNTIFS(CADASTROS!$L$7:$L$93,D2229,CADASTROS!$D$7:$D$93,E2229)=0,"INCOMPATÍVEL","OK"))))</f>
        <v/>
      </c>
    </row>
    <row r="2230" spans="1:11" ht="30" hidden="1" customHeight="1" x14ac:dyDescent="0.25">
      <c r="A2230" s="86" t="str">
        <f>IF(COUNTIF(EXTRATO!$A$2:$A$3000,"BAN-02087")=0,"","BAN-02087")</f>
        <v/>
      </c>
      <c r="B2230" s="85" t="str">
        <f>IF(A2230="","",IF(INDEX(EXTRATO!$C$2:$C$3000,MATCH($A2230,EXTRATO!$A$2:$A$3000,0))="","",INDEX(EXTRATO!$C$2:$C$3000,MATCH($A2230,EXTRATO!$A$2:$A$3000,0))))</f>
        <v/>
      </c>
      <c r="C2230" s="86" t="str">
        <f t="shared" si="56"/>
        <v/>
      </c>
      <c r="D2230" s="81"/>
      <c r="E2230" s="79"/>
      <c r="F2230" s="80" t="str">
        <f>IF(A2230="","",SUMIF(EXTRATO!$A$2:$A$3000,$A2230,EXTRATO!$J$2:$J$3000)+SUMIF(EXTRATO!$A$2:$A$3000,$A2230,EXTRATO!$K$2:$K$3000)+SUMIF(EXTRATO!$A$2:$A$3000,$A2230,EXTRATO!$L$2:$L$3000)+SUMIF(EXTRATO!$A$2:$A$3000,$A2230,EXTRATO!$M$2:$M$3000))</f>
        <v/>
      </c>
      <c r="G2230" s="81" t="str">
        <f>IF(A2230="","",IF(INDEX(EXTRATO!$G$2:$G$3000,MATCH($A2230,EXTRATO!$A$2:$A$3000,0))="","",INDEX(EXTRATO!$G$2:$G$3000,MATCH($A2230,EXTRATO!$A$2:$A$3000,0))))</f>
        <v/>
      </c>
      <c r="H2230" s="86" t="str">
        <f>IF(A2230="","",IF(INDEX(EXTRATO!$F$2:$F$3000,MATCH($A2230,EXTRATO!$A$2:$A$3000,0))="","",INDEX(EXTRATO!$F$2:$F$3000,MATCH($A2230,EXTRATO!$A$2:$A$3000,0))))</f>
        <v/>
      </c>
      <c r="I2230" s="88" t="str">
        <f>IF(A2230="","",IF(INDEX(EXTRATO!$H$2:$H$3000,MATCH($A2230,EXTRATO!$A$2:$A$3000,0))="","",INDEX(EXTRATO!$H$2:$H$3000,MATCH($A2230,EXTRATO!$A$2:$A$3000,0))))</f>
        <v/>
      </c>
      <c r="J2230" s="86" t="str">
        <f t="shared" si="57"/>
        <v/>
      </c>
      <c r="K2230" s="86" t="str">
        <f>IF(AND(A2230="",D2230="",E2230="",F2230=""),"",IF(D2230="","SEM CATEGORIA",IF(E2230="","SEM SUBCATEGORIA",IF(COUNTIFS(CADASTROS!$L$7:$L$93,D2230,CADASTROS!$D$7:$D$93,E2230)=0,"INCOMPATÍVEL","OK"))))</f>
        <v/>
      </c>
    </row>
    <row r="2231" spans="1:11" ht="30" hidden="1" customHeight="1" x14ac:dyDescent="0.25">
      <c r="A2231" s="86" t="str">
        <f>IF(COUNTIF(EXTRATO!$A$2:$A$3000,"BAN-02088")=0,"","BAN-02088")</f>
        <v/>
      </c>
      <c r="B2231" s="85" t="str">
        <f>IF(A2231="","",IF(INDEX(EXTRATO!$C$2:$C$3000,MATCH($A2231,EXTRATO!$A$2:$A$3000,0))="","",INDEX(EXTRATO!$C$2:$C$3000,MATCH($A2231,EXTRATO!$A$2:$A$3000,0))))</f>
        <v/>
      </c>
      <c r="C2231" s="86" t="str">
        <f t="shared" si="56"/>
        <v/>
      </c>
      <c r="D2231" s="81"/>
      <c r="E2231" s="79"/>
      <c r="F2231" s="80" t="str">
        <f>IF(A2231="","",SUMIF(EXTRATO!$A$2:$A$3000,$A2231,EXTRATO!$J$2:$J$3000)+SUMIF(EXTRATO!$A$2:$A$3000,$A2231,EXTRATO!$K$2:$K$3000)+SUMIF(EXTRATO!$A$2:$A$3000,$A2231,EXTRATO!$L$2:$L$3000)+SUMIF(EXTRATO!$A$2:$A$3000,$A2231,EXTRATO!$M$2:$M$3000))</f>
        <v/>
      </c>
      <c r="G2231" s="81" t="str">
        <f>IF(A2231="","",IF(INDEX(EXTRATO!$G$2:$G$3000,MATCH($A2231,EXTRATO!$A$2:$A$3000,0))="","",INDEX(EXTRATO!$G$2:$G$3000,MATCH($A2231,EXTRATO!$A$2:$A$3000,0))))</f>
        <v/>
      </c>
      <c r="H2231" s="86" t="str">
        <f>IF(A2231="","",IF(INDEX(EXTRATO!$F$2:$F$3000,MATCH($A2231,EXTRATO!$A$2:$A$3000,0))="","",INDEX(EXTRATO!$F$2:$F$3000,MATCH($A2231,EXTRATO!$A$2:$A$3000,0))))</f>
        <v/>
      </c>
      <c r="I2231" s="88" t="str">
        <f>IF(A2231="","",IF(INDEX(EXTRATO!$H$2:$H$3000,MATCH($A2231,EXTRATO!$A$2:$A$3000,0))="","",INDEX(EXTRATO!$H$2:$H$3000,MATCH($A2231,EXTRATO!$A$2:$A$3000,0))))</f>
        <v/>
      </c>
      <c r="J2231" s="86" t="str">
        <f t="shared" si="57"/>
        <v/>
      </c>
      <c r="K2231" s="86" t="str">
        <f>IF(AND(A2231="",D2231="",E2231="",F2231=""),"",IF(D2231="","SEM CATEGORIA",IF(E2231="","SEM SUBCATEGORIA",IF(COUNTIFS(CADASTROS!$L$7:$L$93,D2231,CADASTROS!$D$7:$D$93,E2231)=0,"INCOMPATÍVEL","OK"))))</f>
        <v/>
      </c>
    </row>
    <row r="2232" spans="1:11" ht="30" hidden="1" customHeight="1" x14ac:dyDescent="0.25">
      <c r="A2232" s="86" t="str">
        <f>IF(COUNTIF(EXTRATO!$A$2:$A$3000,"BAN-02089")=0,"","BAN-02089")</f>
        <v/>
      </c>
      <c r="B2232" s="85" t="str">
        <f>IF(A2232="","",IF(INDEX(EXTRATO!$C$2:$C$3000,MATCH($A2232,EXTRATO!$A$2:$A$3000,0))="","",INDEX(EXTRATO!$C$2:$C$3000,MATCH($A2232,EXTRATO!$A$2:$A$3000,0))))</f>
        <v/>
      </c>
      <c r="C2232" s="86" t="str">
        <f t="shared" si="56"/>
        <v/>
      </c>
      <c r="D2232" s="81"/>
      <c r="E2232" s="79"/>
      <c r="F2232" s="80" t="str">
        <f>IF(A2232="","",SUMIF(EXTRATO!$A$2:$A$3000,$A2232,EXTRATO!$J$2:$J$3000)+SUMIF(EXTRATO!$A$2:$A$3000,$A2232,EXTRATO!$K$2:$K$3000)+SUMIF(EXTRATO!$A$2:$A$3000,$A2232,EXTRATO!$L$2:$L$3000)+SUMIF(EXTRATO!$A$2:$A$3000,$A2232,EXTRATO!$M$2:$M$3000))</f>
        <v/>
      </c>
      <c r="G2232" s="81" t="str">
        <f>IF(A2232="","",IF(INDEX(EXTRATO!$G$2:$G$3000,MATCH($A2232,EXTRATO!$A$2:$A$3000,0))="","",INDEX(EXTRATO!$G$2:$G$3000,MATCH($A2232,EXTRATO!$A$2:$A$3000,0))))</f>
        <v/>
      </c>
      <c r="H2232" s="86" t="str">
        <f>IF(A2232="","",IF(INDEX(EXTRATO!$F$2:$F$3000,MATCH($A2232,EXTRATO!$A$2:$A$3000,0))="","",INDEX(EXTRATO!$F$2:$F$3000,MATCH($A2232,EXTRATO!$A$2:$A$3000,0))))</f>
        <v/>
      </c>
      <c r="I2232" s="88" t="str">
        <f>IF(A2232="","",IF(INDEX(EXTRATO!$H$2:$H$3000,MATCH($A2232,EXTRATO!$A$2:$A$3000,0))="","",INDEX(EXTRATO!$H$2:$H$3000,MATCH($A2232,EXTRATO!$A$2:$A$3000,0))))</f>
        <v/>
      </c>
      <c r="J2232" s="86" t="str">
        <f t="shared" si="57"/>
        <v/>
      </c>
      <c r="K2232" s="86" t="str">
        <f>IF(AND(A2232="",D2232="",E2232="",F2232=""),"",IF(D2232="","SEM CATEGORIA",IF(E2232="","SEM SUBCATEGORIA",IF(COUNTIFS(CADASTROS!$L$7:$L$93,D2232,CADASTROS!$D$7:$D$93,E2232)=0,"INCOMPATÍVEL","OK"))))</f>
        <v/>
      </c>
    </row>
    <row r="2233" spans="1:11" ht="30" hidden="1" customHeight="1" x14ac:dyDescent="0.25">
      <c r="A2233" s="86" t="str">
        <f>IF(COUNTIF(EXTRATO!$A$2:$A$3000,"BAN-02090")=0,"","BAN-02090")</f>
        <v/>
      </c>
      <c r="B2233" s="85" t="str">
        <f>IF(A2233="","",IF(INDEX(EXTRATO!$C$2:$C$3000,MATCH($A2233,EXTRATO!$A$2:$A$3000,0))="","",INDEX(EXTRATO!$C$2:$C$3000,MATCH($A2233,EXTRATO!$A$2:$A$3000,0))))</f>
        <v/>
      </c>
      <c r="C2233" s="86" t="str">
        <f t="shared" si="56"/>
        <v/>
      </c>
      <c r="D2233" s="81"/>
      <c r="E2233" s="79"/>
      <c r="F2233" s="80" t="str">
        <f>IF(A2233="","",SUMIF(EXTRATO!$A$2:$A$3000,$A2233,EXTRATO!$J$2:$J$3000)+SUMIF(EXTRATO!$A$2:$A$3000,$A2233,EXTRATO!$K$2:$K$3000)+SUMIF(EXTRATO!$A$2:$A$3000,$A2233,EXTRATO!$L$2:$L$3000)+SUMIF(EXTRATO!$A$2:$A$3000,$A2233,EXTRATO!$M$2:$M$3000))</f>
        <v/>
      </c>
      <c r="G2233" s="81" t="str">
        <f>IF(A2233="","",IF(INDEX(EXTRATO!$G$2:$G$3000,MATCH($A2233,EXTRATO!$A$2:$A$3000,0))="","",INDEX(EXTRATO!$G$2:$G$3000,MATCH($A2233,EXTRATO!$A$2:$A$3000,0))))</f>
        <v/>
      </c>
      <c r="H2233" s="86" t="str">
        <f>IF(A2233="","",IF(INDEX(EXTRATO!$F$2:$F$3000,MATCH($A2233,EXTRATO!$A$2:$A$3000,0))="","",INDEX(EXTRATO!$F$2:$F$3000,MATCH($A2233,EXTRATO!$A$2:$A$3000,0))))</f>
        <v/>
      </c>
      <c r="I2233" s="88" t="str">
        <f>IF(A2233="","",IF(INDEX(EXTRATO!$H$2:$H$3000,MATCH($A2233,EXTRATO!$A$2:$A$3000,0))="","",INDEX(EXTRATO!$H$2:$H$3000,MATCH($A2233,EXTRATO!$A$2:$A$3000,0))))</f>
        <v/>
      </c>
      <c r="J2233" s="86" t="str">
        <f t="shared" si="57"/>
        <v/>
      </c>
      <c r="K2233" s="86" t="str">
        <f>IF(AND(A2233="",D2233="",E2233="",F2233=""),"",IF(D2233="","SEM CATEGORIA",IF(E2233="","SEM SUBCATEGORIA",IF(COUNTIFS(CADASTROS!$L$7:$L$93,D2233,CADASTROS!$D$7:$D$93,E2233)=0,"INCOMPATÍVEL","OK"))))</f>
        <v/>
      </c>
    </row>
    <row r="2234" spans="1:11" ht="30" hidden="1" customHeight="1" x14ac:dyDescent="0.25">
      <c r="A2234" s="86" t="str">
        <f>IF(COUNTIF(EXTRATO!$A$2:$A$3000,"BAN-02091")=0,"","BAN-02091")</f>
        <v/>
      </c>
      <c r="B2234" s="85" t="str">
        <f>IF(A2234="","",IF(INDEX(EXTRATO!$C$2:$C$3000,MATCH($A2234,EXTRATO!$A$2:$A$3000,0))="","",INDEX(EXTRATO!$C$2:$C$3000,MATCH($A2234,EXTRATO!$A$2:$A$3000,0))))</f>
        <v/>
      </c>
      <c r="C2234" s="86" t="str">
        <f t="shared" si="56"/>
        <v/>
      </c>
      <c r="D2234" s="81"/>
      <c r="E2234" s="79"/>
      <c r="F2234" s="80" t="str">
        <f>IF(A2234="","",SUMIF(EXTRATO!$A$2:$A$3000,$A2234,EXTRATO!$J$2:$J$3000)+SUMIF(EXTRATO!$A$2:$A$3000,$A2234,EXTRATO!$K$2:$K$3000)+SUMIF(EXTRATO!$A$2:$A$3000,$A2234,EXTRATO!$L$2:$L$3000)+SUMIF(EXTRATO!$A$2:$A$3000,$A2234,EXTRATO!$M$2:$M$3000))</f>
        <v/>
      </c>
      <c r="G2234" s="81" t="str">
        <f>IF(A2234="","",IF(INDEX(EXTRATO!$G$2:$G$3000,MATCH($A2234,EXTRATO!$A$2:$A$3000,0))="","",INDEX(EXTRATO!$G$2:$G$3000,MATCH($A2234,EXTRATO!$A$2:$A$3000,0))))</f>
        <v/>
      </c>
      <c r="H2234" s="86" t="str">
        <f>IF(A2234="","",IF(INDEX(EXTRATO!$F$2:$F$3000,MATCH($A2234,EXTRATO!$A$2:$A$3000,0))="","",INDEX(EXTRATO!$F$2:$F$3000,MATCH($A2234,EXTRATO!$A$2:$A$3000,0))))</f>
        <v/>
      </c>
      <c r="I2234" s="88" t="str">
        <f>IF(A2234="","",IF(INDEX(EXTRATO!$H$2:$H$3000,MATCH($A2234,EXTRATO!$A$2:$A$3000,0))="","",INDEX(EXTRATO!$H$2:$H$3000,MATCH($A2234,EXTRATO!$A$2:$A$3000,0))))</f>
        <v/>
      </c>
      <c r="J2234" s="86" t="str">
        <f t="shared" si="57"/>
        <v/>
      </c>
      <c r="K2234" s="86" t="str">
        <f>IF(AND(A2234="",D2234="",E2234="",F2234=""),"",IF(D2234="","SEM CATEGORIA",IF(E2234="","SEM SUBCATEGORIA",IF(COUNTIFS(CADASTROS!$L$7:$L$93,D2234,CADASTROS!$D$7:$D$93,E2234)=0,"INCOMPATÍVEL","OK"))))</f>
        <v/>
      </c>
    </row>
    <row r="2235" spans="1:11" ht="30" hidden="1" customHeight="1" x14ac:dyDescent="0.25">
      <c r="A2235" s="86" t="str">
        <f>IF(COUNTIF(EXTRATO!$A$2:$A$3000,"BAN-02092")=0,"","BAN-02092")</f>
        <v/>
      </c>
      <c r="B2235" s="85" t="str">
        <f>IF(A2235="","",IF(INDEX(EXTRATO!$C$2:$C$3000,MATCH($A2235,EXTRATO!$A$2:$A$3000,0))="","",INDEX(EXTRATO!$C$2:$C$3000,MATCH($A2235,EXTRATO!$A$2:$A$3000,0))))</f>
        <v/>
      </c>
      <c r="C2235" s="86" t="str">
        <f t="shared" si="56"/>
        <v/>
      </c>
      <c r="D2235" s="81"/>
      <c r="E2235" s="79"/>
      <c r="F2235" s="80" t="str">
        <f>IF(A2235="","",SUMIF(EXTRATO!$A$2:$A$3000,$A2235,EXTRATO!$J$2:$J$3000)+SUMIF(EXTRATO!$A$2:$A$3000,$A2235,EXTRATO!$K$2:$K$3000)+SUMIF(EXTRATO!$A$2:$A$3000,$A2235,EXTRATO!$L$2:$L$3000)+SUMIF(EXTRATO!$A$2:$A$3000,$A2235,EXTRATO!$M$2:$M$3000))</f>
        <v/>
      </c>
      <c r="G2235" s="81" t="str">
        <f>IF(A2235="","",IF(INDEX(EXTRATO!$G$2:$G$3000,MATCH($A2235,EXTRATO!$A$2:$A$3000,0))="","",INDEX(EXTRATO!$G$2:$G$3000,MATCH($A2235,EXTRATO!$A$2:$A$3000,0))))</f>
        <v/>
      </c>
      <c r="H2235" s="86" t="str">
        <f>IF(A2235="","",IF(INDEX(EXTRATO!$F$2:$F$3000,MATCH($A2235,EXTRATO!$A$2:$A$3000,0))="","",INDEX(EXTRATO!$F$2:$F$3000,MATCH($A2235,EXTRATO!$A$2:$A$3000,0))))</f>
        <v/>
      </c>
      <c r="I2235" s="88" t="str">
        <f>IF(A2235="","",IF(INDEX(EXTRATO!$H$2:$H$3000,MATCH($A2235,EXTRATO!$A$2:$A$3000,0))="","",INDEX(EXTRATO!$H$2:$H$3000,MATCH($A2235,EXTRATO!$A$2:$A$3000,0))))</f>
        <v/>
      </c>
      <c r="J2235" s="86" t="str">
        <f t="shared" si="57"/>
        <v/>
      </c>
      <c r="K2235" s="86" t="str">
        <f>IF(AND(A2235="",D2235="",E2235="",F2235=""),"",IF(D2235="","SEM CATEGORIA",IF(E2235="","SEM SUBCATEGORIA",IF(COUNTIFS(CADASTROS!$L$7:$L$93,D2235,CADASTROS!$D$7:$D$93,E2235)=0,"INCOMPATÍVEL","OK"))))</f>
        <v/>
      </c>
    </row>
    <row r="2236" spans="1:11" ht="30" hidden="1" customHeight="1" x14ac:dyDescent="0.25">
      <c r="A2236" s="86" t="str">
        <f>IF(COUNTIF(EXTRATO!$A$2:$A$3000,"BAN-02093")=0,"","BAN-02093")</f>
        <v/>
      </c>
      <c r="B2236" s="85" t="str">
        <f>IF(A2236="","",IF(INDEX(EXTRATO!$C$2:$C$3000,MATCH($A2236,EXTRATO!$A$2:$A$3000,0))="","",INDEX(EXTRATO!$C$2:$C$3000,MATCH($A2236,EXTRATO!$A$2:$A$3000,0))))</f>
        <v/>
      </c>
      <c r="C2236" s="86" t="str">
        <f t="shared" si="56"/>
        <v/>
      </c>
      <c r="D2236" s="81"/>
      <c r="E2236" s="79"/>
      <c r="F2236" s="80" t="str">
        <f>IF(A2236="","",SUMIF(EXTRATO!$A$2:$A$3000,$A2236,EXTRATO!$J$2:$J$3000)+SUMIF(EXTRATO!$A$2:$A$3000,$A2236,EXTRATO!$K$2:$K$3000)+SUMIF(EXTRATO!$A$2:$A$3000,$A2236,EXTRATO!$L$2:$L$3000)+SUMIF(EXTRATO!$A$2:$A$3000,$A2236,EXTRATO!$M$2:$M$3000))</f>
        <v/>
      </c>
      <c r="G2236" s="81" t="str">
        <f>IF(A2236="","",IF(INDEX(EXTRATO!$G$2:$G$3000,MATCH($A2236,EXTRATO!$A$2:$A$3000,0))="","",INDEX(EXTRATO!$G$2:$G$3000,MATCH($A2236,EXTRATO!$A$2:$A$3000,0))))</f>
        <v/>
      </c>
      <c r="H2236" s="86" t="str">
        <f>IF(A2236="","",IF(INDEX(EXTRATO!$F$2:$F$3000,MATCH($A2236,EXTRATO!$A$2:$A$3000,0))="","",INDEX(EXTRATO!$F$2:$F$3000,MATCH($A2236,EXTRATO!$A$2:$A$3000,0))))</f>
        <v/>
      </c>
      <c r="I2236" s="88" t="str">
        <f>IF(A2236="","",IF(INDEX(EXTRATO!$H$2:$H$3000,MATCH($A2236,EXTRATO!$A$2:$A$3000,0))="","",INDEX(EXTRATO!$H$2:$H$3000,MATCH($A2236,EXTRATO!$A$2:$A$3000,0))))</f>
        <v/>
      </c>
      <c r="J2236" s="86" t="str">
        <f t="shared" si="57"/>
        <v/>
      </c>
      <c r="K2236" s="86" t="str">
        <f>IF(AND(A2236="",D2236="",E2236="",F2236=""),"",IF(D2236="","SEM CATEGORIA",IF(E2236="","SEM SUBCATEGORIA",IF(COUNTIFS(CADASTROS!$L$7:$L$93,D2236,CADASTROS!$D$7:$D$93,E2236)=0,"INCOMPATÍVEL","OK"))))</f>
        <v/>
      </c>
    </row>
    <row r="2237" spans="1:11" ht="30" hidden="1" customHeight="1" x14ac:dyDescent="0.25">
      <c r="A2237" s="86" t="str">
        <f>IF(COUNTIF(EXTRATO!$A$2:$A$3000,"BAN-02094")=0,"","BAN-02094")</f>
        <v/>
      </c>
      <c r="B2237" s="85" t="str">
        <f>IF(A2237="","",IF(INDEX(EXTRATO!$C$2:$C$3000,MATCH($A2237,EXTRATO!$A$2:$A$3000,0))="","",INDEX(EXTRATO!$C$2:$C$3000,MATCH($A2237,EXTRATO!$A$2:$A$3000,0))))</f>
        <v/>
      </c>
      <c r="C2237" s="86" t="str">
        <f t="shared" si="56"/>
        <v/>
      </c>
      <c r="D2237" s="81"/>
      <c r="E2237" s="79"/>
      <c r="F2237" s="80" t="str">
        <f>IF(A2237="","",SUMIF(EXTRATO!$A$2:$A$3000,$A2237,EXTRATO!$J$2:$J$3000)+SUMIF(EXTRATO!$A$2:$A$3000,$A2237,EXTRATO!$K$2:$K$3000)+SUMIF(EXTRATO!$A$2:$A$3000,$A2237,EXTRATO!$L$2:$L$3000)+SUMIF(EXTRATO!$A$2:$A$3000,$A2237,EXTRATO!$M$2:$M$3000))</f>
        <v/>
      </c>
      <c r="G2237" s="81" t="str">
        <f>IF(A2237="","",IF(INDEX(EXTRATO!$G$2:$G$3000,MATCH($A2237,EXTRATO!$A$2:$A$3000,0))="","",INDEX(EXTRATO!$G$2:$G$3000,MATCH($A2237,EXTRATO!$A$2:$A$3000,0))))</f>
        <v/>
      </c>
      <c r="H2237" s="86" t="str">
        <f>IF(A2237="","",IF(INDEX(EXTRATO!$F$2:$F$3000,MATCH($A2237,EXTRATO!$A$2:$A$3000,0))="","",INDEX(EXTRATO!$F$2:$F$3000,MATCH($A2237,EXTRATO!$A$2:$A$3000,0))))</f>
        <v/>
      </c>
      <c r="I2237" s="88" t="str">
        <f>IF(A2237="","",IF(INDEX(EXTRATO!$H$2:$H$3000,MATCH($A2237,EXTRATO!$A$2:$A$3000,0))="","",INDEX(EXTRATO!$H$2:$H$3000,MATCH($A2237,EXTRATO!$A$2:$A$3000,0))))</f>
        <v/>
      </c>
      <c r="J2237" s="86" t="str">
        <f t="shared" si="57"/>
        <v/>
      </c>
      <c r="K2237" s="86" t="str">
        <f>IF(AND(A2237="",D2237="",E2237="",F2237=""),"",IF(D2237="","SEM CATEGORIA",IF(E2237="","SEM SUBCATEGORIA",IF(COUNTIFS(CADASTROS!$L$7:$L$93,D2237,CADASTROS!$D$7:$D$93,E2237)=0,"INCOMPATÍVEL","OK"))))</f>
        <v/>
      </c>
    </row>
    <row r="2238" spans="1:11" ht="30" hidden="1" customHeight="1" x14ac:dyDescent="0.25">
      <c r="A2238" s="86" t="str">
        <f>IF(COUNTIF(EXTRATO!$A$2:$A$3000,"BAN-02095")=0,"","BAN-02095")</f>
        <v/>
      </c>
      <c r="B2238" s="85" t="str">
        <f>IF(A2238="","",IF(INDEX(EXTRATO!$C$2:$C$3000,MATCH($A2238,EXTRATO!$A$2:$A$3000,0))="","",INDEX(EXTRATO!$C$2:$C$3000,MATCH($A2238,EXTRATO!$A$2:$A$3000,0))))</f>
        <v/>
      </c>
      <c r="C2238" s="86" t="str">
        <f t="shared" si="56"/>
        <v/>
      </c>
      <c r="D2238" s="81"/>
      <c r="E2238" s="79"/>
      <c r="F2238" s="80" t="str">
        <f>IF(A2238="","",SUMIF(EXTRATO!$A$2:$A$3000,$A2238,EXTRATO!$J$2:$J$3000)+SUMIF(EXTRATO!$A$2:$A$3000,$A2238,EXTRATO!$K$2:$K$3000)+SUMIF(EXTRATO!$A$2:$A$3000,$A2238,EXTRATO!$L$2:$L$3000)+SUMIF(EXTRATO!$A$2:$A$3000,$A2238,EXTRATO!$M$2:$M$3000))</f>
        <v/>
      </c>
      <c r="G2238" s="81" t="str">
        <f>IF(A2238="","",IF(INDEX(EXTRATO!$G$2:$G$3000,MATCH($A2238,EXTRATO!$A$2:$A$3000,0))="","",INDEX(EXTRATO!$G$2:$G$3000,MATCH($A2238,EXTRATO!$A$2:$A$3000,0))))</f>
        <v/>
      </c>
      <c r="H2238" s="86" t="str">
        <f>IF(A2238="","",IF(INDEX(EXTRATO!$F$2:$F$3000,MATCH($A2238,EXTRATO!$A$2:$A$3000,0))="","",INDEX(EXTRATO!$F$2:$F$3000,MATCH($A2238,EXTRATO!$A$2:$A$3000,0))))</f>
        <v/>
      </c>
      <c r="I2238" s="88" t="str">
        <f>IF(A2238="","",IF(INDEX(EXTRATO!$H$2:$H$3000,MATCH($A2238,EXTRATO!$A$2:$A$3000,0))="","",INDEX(EXTRATO!$H$2:$H$3000,MATCH($A2238,EXTRATO!$A$2:$A$3000,0))))</f>
        <v/>
      </c>
      <c r="J2238" s="86" t="str">
        <f t="shared" si="57"/>
        <v/>
      </c>
      <c r="K2238" s="86" t="str">
        <f>IF(AND(A2238="",D2238="",E2238="",F2238=""),"",IF(D2238="","SEM CATEGORIA",IF(E2238="","SEM SUBCATEGORIA",IF(COUNTIFS(CADASTROS!$L$7:$L$93,D2238,CADASTROS!$D$7:$D$93,E2238)=0,"INCOMPATÍVEL","OK"))))</f>
        <v/>
      </c>
    </row>
    <row r="2239" spans="1:11" ht="30" hidden="1" customHeight="1" x14ac:dyDescent="0.25">
      <c r="A2239" s="86" t="str">
        <f>IF(COUNTIF(EXTRATO!$A$2:$A$3000,"BAN-02096")=0,"","BAN-02096")</f>
        <v/>
      </c>
      <c r="B2239" s="85" t="str">
        <f>IF(A2239="","",IF(INDEX(EXTRATO!$C$2:$C$3000,MATCH($A2239,EXTRATO!$A$2:$A$3000,0))="","",INDEX(EXTRATO!$C$2:$C$3000,MATCH($A2239,EXTRATO!$A$2:$A$3000,0))))</f>
        <v/>
      </c>
      <c r="C2239" s="86" t="str">
        <f t="shared" si="56"/>
        <v/>
      </c>
      <c r="D2239" s="81"/>
      <c r="E2239" s="79"/>
      <c r="F2239" s="80" t="str">
        <f>IF(A2239="","",SUMIF(EXTRATO!$A$2:$A$3000,$A2239,EXTRATO!$J$2:$J$3000)+SUMIF(EXTRATO!$A$2:$A$3000,$A2239,EXTRATO!$K$2:$K$3000)+SUMIF(EXTRATO!$A$2:$A$3000,$A2239,EXTRATO!$L$2:$L$3000)+SUMIF(EXTRATO!$A$2:$A$3000,$A2239,EXTRATO!$M$2:$M$3000))</f>
        <v/>
      </c>
      <c r="G2239" s="81" t="str">
        <f>IF(A2239="","",IF(INDEX(EXTRATO!$G$2:$G$3000,MATCH($A2239,EXTRATO!$A$2:$A$3000,0))="","",INDEX(EXTRATO!$G$2:$G$3000,MATCH($A2239,EXTRATO!$A$2:$A$3000,0))))</f>
        <v/>
      </c>
      <c r="H2239" s="86" t="str">
        <f>IF(A2239="","",IF(INDEX(EXTRATO!$F$2:$F$3000,MATCH($A2239,EXTRATO!$A$2:$A$3000,0))="","",INDEX(EXTRATO!$F$2:$F$3000,MATCH($A2239,EXTRATO!$A$2:$A$3000,0))))</f>
        <v/>
      </c>
      <c r="I2239" s="88" t="str">
        <f>IF(A2239="","",IF(INDEX(EXTRATO!$H$2:$H$3000,MATCH($A2239,EXTRATO!$A$2:$A$3000,0))="","",INDEX(EXTRATO!$H$2:$H$3000,MATCH($A2239,EXTRATO!$A$2:$A$3000,0))))</f>
        <v/>
      </c>
      <c r="J2239" s="86" t="str">
        <f t="shared" si="57"/>
        <v/>
      </c>
      <c r="K2239" s="86" t="str">
        <f>IF(AND(A2239="",D2239="",E2239="",F2239=""),"",IF(D2239="","SEM CATEGORIA",IF(E2239="","SEM SUBCATEGORIA",IF(COUNTIFS(CADASTROS!$L$7:$L$93,D2239,CADASTROS!$D$7:$D$93,E2239)=0,"INCOMPATÍVEL","OK"))))</f>
        <v/>
      </c>
    </row>
    <row r="2240" spans="1:11" ht="30" hidden="1" customHeight="1" x14ac:dyDescent="0.25">
      <c r="A2240" s="86" t="str">
        <f>IF(COUNTIF(EXTRATO!$A$2:$A$3000,"BAN-02097")=0,"","BAN-02097")</f>
        <v/>
      </c>
      <c r="B2240" s="85" t="str">
        <f>IF(A2240="","",IF(INDEX(EXTRATO!$C$2:$C$3000,MATCH($A2240,EXTRATO!$A$2:$A$3000,0))="","",INDEX(EXTRATO!$C$2:$C$3000,MATCH($A2240,EXTRATO!$A$2:$A$3000,0))))</f>
        <v/>
      </c>
      <c r="C2240" s="86" t="str">
        <f t="shared" si="56"/>
        <v/>
      </c>
      <c r="D2240" s="81"/>
      <c r="E2240" s="79"/>
      <c r="F2240" s="80" t="str">
        <f>IF(A2240="","",SUMIF(EXTRATO!$A$2:$A$3000,$A2240,EXTRATO!$J$2:$J$3000)+SUMIF(EXTRATO!$A$2:$A$3000,$A2240,EXTRATO!$K$2:$K$3000)+SUMIF(EXTRATO!$A$2:$A$3000,$A2240,EXTRATO!$L$2:$L$3000)+SUMIF(EXTRATO!$A$2:$A$3000,$A2240,EXTRATO!$M$2:$M$3000))</f>
        <v/>
      </c>
      <c r="G2240" s="81" t="str">
        <f>IF(A2240="","",IF(INDEX(EXTRATO!$G$2:$G$3000,MATCH($A2240,EXTRATO!$A$2:$A$3000,0))="","",INDEX(EXTRATO!$G$2:$G$3000,MATCH($A2240,EXTRATO!$A$2:$A$3000,0))))</f>
        <v/>
      </c>
      <c r="H2240" s="86" t="str">
        <f>IF(A2240="","",IF(INDEX(EXTRATO!$F$2:$F$3000,MATCH($A2240,EXTRATO!$A$2:$A$3000,0))="","",INDEX(EXTRATO!$F$2:$F$3000,MATCH($A2240,EXTRATO!$A$2:$A$3000,0))))</f>
        <v/>
      </c>
      <c r="I2240" s="88" t="str">
        <f>IF(A2240="","",IF(INDEX(EXTRATO!$H$2:$H$3000,MATCH($A2240,EXTRATO!$A$2:$A$3000,0))="","",INDEX(EXTRATO!$H$2:$H$3000,MATCH($A2240,EXTRATO!$A$2:$A$3000,0))))</f>
        <v/>
      </c>
      <c r="J2240" s="86" t="str">
        <f t="shared" si="57"/>
        <v/>
      </c>
      <c r="K2240" s="86" t="str">
        <f>IF(AND(A2240="",D2240="",E2240="",F2240=""),"",IF(D2240="","SEM CATEGORIA",IF(E2240="","SEM SUBCATEGORIA",IF(COUNTIFS(CADASTROS!$L$7:$L$93,D2240,CADASTROS!$D$7:$D$93,E2240)=0,"INCOMPATÍVEL","OK"))))</f>
        <v/>
      </c>
    </row>
    <row r="2241" spans="1:11" ht="30" hidden="1" customHeight="1" x14ac:dyDescent="0.25">
      <c r="A2241" s="86" t="str">
        <f>IF(COUNTIF(EXTRATO!$A$2:$A$3000,"BAN-02098")=0,"","BAN-02098")</f>
        <v/>
      </c>
      <c r="B2241" s="85" t="str">
        <f>IF(A2241="","",IF(INDEX(EXTRATO!$C$2:$C$3000,MATCH($A2241,EXTRATO!$A$2:$A$3000,0))="","",INDEX(EXTRATO!$C$2:$C$3000,MATCH($A2241,EXTRATO!$A$2:$A$3000,0))))</f>
        <v/>
      </c>
      <c r="C2241" s="86" t="str">
        <f t="shared" si="56"/>
        <v/>
      </c>
      <c r="D2241" s="81"/>
      <c r="E2241" s="79"/>
      <c r="F2241" s="80" t="str">
        <f>IF(A2241="","",SUMIF(EXTRATO!$A$2:$A$3000,$A2241,EXTRATO!$J$2:$J$3000)+SUMIF(EXTRATO!$A$2:$A$3000,$A2241,EXTRATO!$K$2:$K$3000)+SUMIF(EXTRATO!$A$2:$A$3000,$A2241,EXTRATO!$L$2:$L$3000)+SUMIF(EXTRATO!$A$2:$A$3000,$A2241,EXTRATO!$M$2:$M$3000))</f>
        <v/>
      </c>
      <c r="G2241" s="81" t="str">
        <f>IF(A2241="","",IF(INDEX(EXTRATO!$G$2:$G$3000,MATCH($A2241,EXTRATO!$A$2:$A$3000,0))="","",INDEX(EXTRATO!$G$2:$G$3000,MATCH($A2241,EXTRATO!$A$2:$A$3000,0))))</f>
        <v/>
      </c>
      <c r="H2241" s="86" t="str">
        <f>IF(A2241="","",IF(INDEX(EXTRATO!$F$2:$F$3000,MATCH($A2241,EXTRATO!$A$2:$A$3000,0))="","",INDEX(EXTRATO!$F$2:$F$3000,MATCH($A2241,EXTRATO!$A$2:$A$3000,0))))</f>
        <v/>
      </c>
      <c r="I2241" s="88" t="str">
        <f>IF(A2241="","",IF(INDEX(EXTRATO!$H$2:$H$3000,MATCH($A2241,EXTRATO!$A$2:$A$3000,0))="","",INDEX(EXTRATO!$H$2:$H$3000,MATCH($A2241,EXTRATO!$A$2:$A$3000,0))))</f>
        <v/>
      </c>
      <c r="J2241" s="86" t="str">
        <f t="shared" si="57"/>
        <v/>
      </c>
      <c r="K2241" s="86" t="str">
        <f>IF(AND(A2241="",D2241="",E2241="",F2241=""),"",IF(D2241="","SEM CATEGORIA",IF(E2241="","SEM SUBCATEGORIA",IF(COUNTIFS(CADASTROS!$L$7:$L$93,D2241,CADASTROS!$D$7:$D$93,E2241)=0,"INCOMPATÍVEL","OK"))))</f>
        <v/>
      </c>
    </row>
    <row r="2242" spans="1:11" ht="30" hidden="1" customHeight="1" x14ac:dyDescent="0.25">
      <c r="A2242" s="86" t="str">
        <f>IF(COUNTIF(EXTRATO!$A$2:$A$3000,"BAN-02099")=0,"","BAN-02099")</f>
        <v/>
      </c>
      <c r="B2242" s="85" t="str">
        <f>IF(A2242="","",IF(INDEX(EXTRATO!$C$2:$C$3000,MATCH($A2242,EXTRATO!$A$2:$A$3000,0))="","",INDEX(EXTRATO!$C$2:$C$3000,MATCH($A2242,EXTRATO!$A$2:$A$3000,0))))</f>
        <v/>
      </c>
      <c r="C2242" s="86" t="str">
        <f t="shared" si="56"/>
        <v/>
      </c>
      <c r="D2242" s="81"/>
      <c r="E2242" s="79"/>
      <c r="F2242" s="80" t="str">
        <f>IF(A2242="","",SUMIF(EXTRATO!$A$2:$A$3000,$A2242,EXTRATO!$J$2:$J$3000)+SUMIF(EXTRATO!$A$2:$A$3000,$A2242,EXTRATO!$K$2:$K$3000)+SUMIF(EXTRATO!$A$2:$A$3000,$A2242,EXTRATO!$L$2:$L$3000)+SUMIF(EXTRATO!$A$2:$A$3000,$A2242,EXTRATO!$M$2:$M$3000))</f>
        <v/>
      </c>
      <c r="G2242" s="81" t="str">
        <f>IF(A2242="","",IF(INDEX(EXTRATO!$G$2:$G$3000,MATCH($A2242,EXTRATO!$A$2:$A$3000,0))="","",INDEX(EXTRATO!$G$2:$G$3000,MATCH($A2242,EXTRATO!$A$2:$A$3000,0))))</f>
        <v/>
      </c>
      <c r="H2242" s="86" t="str">
        <f>IF(A2242="","",IF(INDEX(EXTRATO!$F$2:$F$3000,MATCH($A2242,EXTRATO!$A$2:$A$3000,0))="","",INDEX(EXTRATO!$F$2:$F$3000,MATCH($A2242,EXTRATO!$A$2:$A$3000,0))))</f>
        <v/>
      </c>
      <c r="I2242" s="88" t="str">
        <f>IF(A2242="","",IF(INDEX(EXTRATO!$H$2:$H$3000,MATCH($A2242,EXTRATO!$A$2:$A$3000,0))="","",INDEX(EXTRATO!$H$2:$H$3000,MATCH($A2242,EXTRATO!$A$2:$A$3000,0))))</f>
        <v/>
      </c>
      <c r="J2242" s="86" t="str">
        <f t="shared" si="57"/>
        <v/>
      </c>
      <c r="K2242" s="86" t="str">
        <f>IF(AND(A2242="",D2242="",E2242="",F2242=""),"",IF(D2242="","SEM CATEGORIA",IF(E2242="","SEM SUBCATEGORIA",IF(COUNTIFS(CADASTROS!$L$7:$L$93,D2242,CADASTROS!$D$7:$D$93,E2242)=0,"INCOMPATÍVEL","OK"))))</f>
        <v/>
      </c>
    </row>
    <row r="2243" spans="1:11" ht="30" hidden="1" customHeight="1" x14ac:dyDescent="0.25">
      <c r="A2243" s="86" t="str">
        <f>IF(COUNTIF(EXTRATO!$A$2:$A$3000,"BAN-02100")=0,"","BAN-02100")</f>
        <v/>
      </c>
      <c r="B2243" s="85" t="str">
        <f>IF(A2243="","",IF(INDEX(EXTRATO!$C$2:$C$3000,MATCH($A2243,EXTRATO!$A$2:$A$3000,0))="","",INDEX(EXTRATO!$C$2:$C$3000,MATCH($A2243,EXTRATO!$A$2:$A$3000,0))))</f>
        <v/>
      </c>
      <c r="C2243" s="86" t="str">
        <f t="shared" si="56"/>
        <v/>
      </c>
      <c r="D2243" s="81"/>
      <c r="E2243" s="79"/>
      <c r="F2243" s="80" t="str">
        <f>IF(A2243="","",SUMIF(EXTRATO!$A$2:$A$3000,$A2243,EXTRATO!$J$2:$J$3000)+SUMIF(EXTRATO!$A$2:$A$3000,$A2243,EXTRATO!$K$2:$K$3000)+SUMIF(EXTRATO!$A$2:$A$3000,$A2243,EXTRATO!$L$2:$L$3000)+SUMIF(EXTRATO!$A$2:$A$3000,$A2243,EXTRATO!$M$2:$M$3000))</f>
        <v/>
      </c>
      <c r="G2243" s="81" t="str">
        <f>IF(A2243="","",IF(INDEX(EXTRATO!$G$2:$G$3000,MATCH($A2243,EXTRATO!$A$2:$A$3000,0))="","",INDEX(EXTRATO!$G$2:$G$3000,MATCH($A2243,EXTRATO!$A$2:$A$3000,0))))</f>
        <v/>
      </c>
      <c r="H2243" s="86" t="str">
        <f>IF(A2243="","",IF(INDEX(EXTRATO!$F$2:$F$3000,MATCH($A2243,EXTRATO!$A$2:$A$3000,0))="","",INDEX(EXTRATO!$F$2:$F$3000,MATCH($A2243,EXTRATO!$A$2:$A$3000,0))))</f>
        <v/>
      </c>
      <c r="I2243" s="88" t="str">
        <f>IF(A2243="","",IF(INDEX(EXTRATO!$H$2:$H$3000,MATCH($A2243,EXTRATO!$A$2:$A$3000,0))="","",INDEX(EXTRATO!$H$2:$H$3000,MATCH($A2243,EXTRATO!$A$2:$A$3000,0))))</f>
        <v/>
      </c>
      <c r="J2243" s="86" t="str">
        <f t="shared" si="57"/>
        <v/>
      </c>
      <c r="K2243" s="86" t="str">
        <f>IF(AND(A2243="",D2243="",E2243="",F2243=""),"",IF(D2243="","SEM CATEGORIA",IF(E2243="","SEM SUBCATEGORIA",IF(COUNTIFS(CADASTROS!$L$7:$L$93,D2243,CADASTROS!$D$7:$D$93,E2243)=0,"INCOMPATÍVEL","OK"))))</f>
        <v/>
      </c>
    </row>
    <row r="2244" spans="1:11" ht="30" hidden="1" customHeight="1" x14ac:dyDescent="0.25">
      <c r="A2244" s="86" t="str">
        <f>IF(COUNTIF(EXTRATO!$A$2:$A$3000,"BAN-02101")=0,"","BAN-02101")</f>
        <v/>
      </c>
      <c r="B2244" s="85" t="str">
        <f>IF(A2244="","",IF(INDEX(EXTRATO!$C$2:$C$3000,MATCH($A2244,EXTRATO!$A$2:$A$3000,0))="","",INDEX(EXTRATO!$C$2:$C$3000,MATCH($A2244,EXTRATO!$A$2:$A$3000,0))))</f>
        <v/>
      </c>
      <c r="C2244" s="86" t="str">
        <f t="shared" si="56"/>
        <v/>
      </c>
      <c r="D2244" s="81"/>
      <c r="E2244" s="79"/>
      <c r="F2244" s="80" t="str">
        <f>IF(A2244="","",SUMIF(EXTRATO!$A$2:$A$3000,$A2244,EXTRATO!$J$2:$J$3000)+SUMIF(EXTRATO!$A$2:$A$3000,$A2244,EXTRATO!$K$2:$K$3000)+SUMIF(EXTRATO!$A$2:$A$3000,$A2244,EXTRATO!$L$2:$L$3000)+SUMIF(EXTRATO!$A$2:$A$3000,$A2244,EXTRATO!$M$2:$M$3000))</f>
        <v/>
      </c>
      <c r="G2244" s="81" t="str">
        <f>IF(A2244="","",IF(INDEX(EXTRATO!$G$2:$G$3000,MATCH($A2244,EXTRATO!$A$2:$A$3000,0))="","",INDEX(EXTRATO!$G$2:$G$3000,MATCH($A2244,EXTRATO!$A$2:$A$3000,0))))</f>
        <v/>
      </c>
      <c r="H2244" s="86" t="str">
        <f>IF(A2244="","",IF(INDEX(EXTRATO!$F$2:$F$3000,MATCH($A2244,EXTRATO!$A$2:$A$3000,0))="","",INDEX(EXTRATO!$F$2:$F$3000,MATCH($A2244,EXTRATO!$A$2:$A$3000,0))))</f>
        <v/>
      </c>
      <c r="I2244" s="88" t="str">
        <f>IF(A2244="","",IF(INDEX(EXTRATO!$H$2:$H$3000,MATCH($A2244,EXTRATO!$A$2:$A$3000,0))="","",INDEX(EXTRATO!$H$2:$H$3000,MATCH($A2244,EXTRATO!$A$2:$A$3000,0))))</f>
        <v/>
      </c>
      <c r="J2244" s="86" t="str">
        <f t="shared" si="57"/>
        <v/>
      </c>
      <c r="K2244" s="86" t="str">
        <f>IF(AND(A2244="",D2244="",E2244="",F2244=""),"",IF(D2244="","SEM CATEGORIA",IF(E2244="","SEM SUBCATEGORIA",IF(COUNTIFS(CADASTROS!$L$7:$L$93,D2244,CADASTROS!$D$7:$D$93,E2244)=0,"INCOMPATÍVEL","OK"))))</f>
        <v/>
      </c>
    </row>
    <row r="2245" spans="1:11" ht="30" hidden="1" customHeight="1" x14ac:dyDescent="0.25">
      <c r="A2245" s="86" t="str">
        <f>IF(COUNTIF(EXTRATO!$A$2:$A$3000,"BAN-02102")=0,"","BAN-02102")</f>
        <v/>
      </c>
      <c r="B2245" s="85" t="str">
        <f>IF(A2245="","",IF(INDEX(EXTRATO!$C$2:$C$3000,MATCH($A2245,EXTRATO!$A$2:$A$3000,0))="","",INDEX(EXTRATO!$C$2:$C$3000,MATCH($A2245,EXTRATO!$A$2:$A$3000,0))))</f>
        <v/>
      </c>
      <c r="C2245" s="86" t="str">
        <f t="shared" si="56"/>
        <v/>
      </c>
      <c r="D2245" s="81"/>
      <c r="E2245" s="79"/>
      <c r="F2245" s="80" t="str">
        <f>IF(A2245="","",SUMIF(EXTRATO!$A$2:$A$3000,$A2245,EXTRATO!$J$2:$J$3000)+SUMIF(EXTRATO!$A$2:$A$3000,$A2245,EXTRATO!$K$2:$K$3000)+SUMIF(EXTRATO!$A$2:$A$3000,$A2245,EXTRATO!$L$2:$L$3000)+SUMIF(EXTRATO!$A$2:$A$3000,$A2245,EXTRATO!$M$2:$M$3000))</f>
        <v/>
      </c>
      <c r="G2245" s="81" t="str">
        <f>IF(A2245="","",IF(INDEX(EXTRATO!$G$2:$G$3000,MATCH($A2245,EXTRATO!$A$2:$A$3000,0))="","",INDEX(EXTRATO!$G$2:$G$3000,MATCH($A2245,EXTRATO!$A$2:$A$3000,0))))</f>
        <v/>
      </c>
      <c r="H2245" s="86" t="str">
        <f>IF(A2245="","",IF(INDEX(EXTRATO!$F$2:$F$3000,MATCH($A2245,EXTRATO!$A$2:$A$3000,0))="","",INDEX(EXTRATO!$F$2:$F$3000,MATCH($A2245,EXTRATO!$A$2:$A$3000,0))))</f>
        <v/>
      </c>
      <c r="I2245" s="88" t="str">
        <f>IF(A2245="","",IF(INDEX(EXTRATO!$H$2:$H$3000,MATCH($A2245,EXTRATO!$A$2:$A$3000,0))="","",INDEX(EXTRATO!$H$2:$H$3000,MATCH($A2245,EXTRATO!$A$2:$A$3000,0))))</f>
        <v/>
      </c>
      <c r="J2245" s="86" t="str">
        <f t="shared" si="57"/>
        <v/>
      </c>
      <c r="K2245" s="86" t="str">
        <f>IF(AND(A2245="",D2245="",E2245="",F2245=""),"",IF(D2245="","SEM CATEGORIA",IF(E2245="","SEM SUBCATEGORIA",IF(COUNTIFS(CADASTROS!$L$7:$L$93,D2245,CADASTROS!$D$7:$D$93,E2245)=0,"INCOMPATÍVEL","OK"))))</f>
        <v/>
      </c>
    </row>
    <row r="2246" spans="1:11" ht="30" hidden="1" customHeight="1" x14ac:dyDescent="0.25">
      <c r="A2246" s="86" t="str">
        <f>IF(COUNTIF(EXTRATO!$A$2:$A$3000,"BAN-02103")=0,"","BAN-02103")</f>
        <v/>
      </c>
      <c r="B2246" s="85" t="str">
        <f>IF(A2246="","",IF(INDEX(EXTRATO!$C$2:$C$3000,MATCH($A2246,EXTRATO!$A$2:$A$3000,0))="","",INDEX(EXTRATO!$C$2:$C$3000,MATCH($A2246,EXTRATO!$A$2:$A$3000,0))))</f>
        <v/>
      </c>
      <c r="C2246" s="86" t="str">
        <f t="shared" si="56"/>
        <v/>
      </c>
      <c r="D2246" s="81"/>
      <c r="E2246" s="79"/>
      <c r="F2246" s="80" t="str">
        <f>IF(A2246="","",SUMIF(EXTRATO!$A$2:$A$3000,$A2246,EXTRATO!$J$2:$J$3000)+SUMIF(EXTRATO!$A$2:$A$3000,$A2246,EXTRATO!$K$2:$K$3000)+SUMIF(EXTRATO!$A$2:$A$3000,$A2246,EXTRATO!$L$2:$L$3000)+SUMIF(EXTRATO!$A$2:$A$3000,$A2246,EXTRATO!$M$2:$M$3000))</f>
        <v/>
      </c>
      <c r="G2246" s="81" t="str">
        <f>IF(A2246="","",IF(INDEX(EXTRATO!$G$2:$G$3000,MATCH($A2246,EXTRATO!$A$2:$A$3000,0))="","",INDEX(EXTRATO!$G$2:$G$3000,MATCH($A2246,EXTRATO!$A$2:$A$3000,0))))</f>
        <v/>
      </c>
      <c r="H2246" s="86" t="str">
        <f>IF(A2246="","",IF(INDEX(EXTRATO!$F$2:$F$3000,MATCH($A2246,EXTRATO!$A$2:$A$3000,0))="","",INDEX(EXTRATO!$F$2:$F$3000,MATCH($A2246,EXTRATO!$A$2:$A$3000,0))))</f>
        <v/>
      </c>
      <c r="I2246" s="88" t="str">
        <f>IF(A2246="","",IF(INDEX(EXTRATO!$H$2:$H$3000,MATCH($A2246,EXTRATO!$A$2:$A$3000,0))="","",INDEX(EXTRATO!$H$2:$H$3000,MATCH($A2246,EXTRATO!$A$2:$A$3000,0))))</f>
        <v/>
      </c>
      <c r="J2246" s="86" t="str">
        <f t="shared" si="57"/>
        <v/>
      </c>
      <c r="K2246" s="86" t="str">
        <f>IF(AND(A2246="",D2246="",E2246="",F2246=""),"",IF(D2246="","SEM CATEGORIA",IF(E2246="","SEM SUBCATEGORIA",IF(COUNTIFS(CADASTROS!$L$7:$L$93,D2246,CADASTROS!$D$7:$D$93,E2246)=0,"INCOMPATÍVEL","OK"))))</f>
        <v/>
      </c>
    </row>
    <row r="2247" spans="1:11" ht="30" hidden="1" customHeight="1" x14ac:dyDescent="0.25">
      <c r="A2247" s="86" t="str">
        <f>IF(COUNTIF(EXTRATO!$A$2:$A$3000,"BAN-02104")=0,"","BAN-02104")</f>
        <v/>
      </c>
      <c r="B2247" s="85" t="str">
        <f>IF(A2247="","",IF(INDEX(EXTRATO!$C$2:$C$3000,MATCH($A2247,EXTRATO!$A$2:$A$3000,0))="","",INDEX(EXTRATO!$C$2:$C$3000,MATCH($A2247,EXTRATO!$A$2:$A$3000,0))))</f>
        <v/>
      </c>
      <c r="C2247" s="86" t="str">
        <f t="shared" si="56"/>
        <v/>
      </c>
      <c r="D2247" s="81"/>
      <c r="E2247" s="79"/>
      <c r="F2247" s="80" t="str">
        <f>IF(A2247="","",SUMIF(EXTRATO!$A$2:$A$3000,$A2247,EXTRATO!$J$2:$J$3000)+SUMIF(EXTRATO!$A$2:$A$3000,$A2247,EXTRATO!$K$2:$K$3000)+SUMIF(EXTRATO!$A$2:$A$3000,$A2247,EXTRATO!$L$2:$L$3000)+SUMIF(EXTRATO!$A$2:$A$3000,$A2247,EXTRATO!$M$2:$M$3000))</f>
        <v/>
      </c>
      <c r="G2247" s="81" t="str">
        <f>IF(A2247="","",IF(INDEX(EXTRATO!$G$2:$G$3000,MATCH($A2247,EXTRATO!$A$2:$A$3000,0))="","",INDEX(EXTRATO!$G$2:$G$3000,MATCH($A2247,EXTRATO!$A$2:$A$3000,0))))</f>
        <v/>
      </c>
      <c r="H2247" s="86" t="str">
        <f>IF(A2247="","",IF(INDEX(EXTRATO!$F$2:$F$3000,MATCH($A2247,EXTRATO!$A$2:$A$3000,0))="","",INDEX(EXTRATO!$F$2:$F$3000,MATCH($A2247,EXTRATO!$A$2:$A$3000,0))))</f>
        <v/>
      </c>
      <c r="I2247" s="88" t="str">
        <f>IF(A2247="","",IF(INDEX(EXTRATO!$H$2:$H$3000,MATCH($A2247,EXTRATO!$A$2:$A$3000,0))="","",INDEX(EXTRATO!$H$2:$H$3000,MATCH($A2247,EXTRATO!$A$2:$A$3000,0))))</f>
        <v/>
      </c>
      <c r="J2247" s="86" t="str">
        <f t="shared" si="57"/>
        <v/>
      </c>
      <c r="K2247" s="86" t="str">
        <f>IF(AND(A2247="",D2247="",E2247="",F2247=""),"",IF(D2247="","SEM CATEGORIA",IF(E2247="","SEM SUBCATEGORIA",IF(COUNTIFS(CADASTROS!$L$7:$L$93,D2247,CADASTROS!$D$7:$D$93,E2247)=0,"INCOMPATÍVEL","OK"))))</f>
        <v/>
      </c>
    </row>
    <row r="2248" spans="1:11" ht="30" hidden="1" customHeight="1" x14ac:dyDescent="0.25">
      <c r="A2248" s="86" t="str">
        <f>IF(COUNTIF(EXTRATO!$A$2:$A$3000,"BAN-02105")=0,"","BAN-02105")</f>
        <v/>
      </c>
      <c r="B2248" s="85" t="str">
        <f>IF(A2248="","",IF(INDEX(EXTRATO!$C$2:$C$3000,MATCH($A2248,EXTRATO!$A$2:$A$3000,0))="","",INDEX(EXTRATO!$C$2:$C$3000,MATCH($A2248,EXTRATO!$A$2:$A$3000,0))))</f>
        <v/>
      </c>
      <c r="C2248" s="86" t="str">
        <f t="shared" si="56"/>
        <v/>
      </c>
      <c r="D2248" s="81"/>
      <c r="E2248" s="79"/>
      <c r="F2248" s="80" t="str">
        <f>IF(A2248="","",SUMIF(EXTRATO!$A$2:$A$3000,$A2248,EXTRATO!$J$2:$J$3000)+SUMIF(EXTRATO!$A$2:$A$3000,$A2248,EXTRATO!$K$2:$K$3000)+SUMIF(EXTRATO!$A$2:$A$3000,$A2248,EXTRATO!$L$2:$L$3000)+SUMIF(EXTRATO!$A$2:$A$3000,$A2248,EXTRATO!$M$2:$M$3000))</f>
        <v/>
      </c>
      <c r="G2248" s="81" t="str">
        <f>IF(A2248="","",IF(INDEX(EXTRATO!$G$2:$G$3000,MATCH($A2248,EXTRATO!$A$2:$A$3000,0))="","",INDEX(EXTRATO!$G$2:$G$3000,MATCH($A2248,EXTRATO!$A$2:$A$3000,0))))</f>
        <v/>
      </c>
      <c r="H2248" s="86" t="str">
        <f>IF(A2248="","",IF(INDEX(EXTRATO!$F$2:$F$3000,MATCH($A2248,EXTRATO!$A$2:$A$3000,0))="","",INDEX(EXTRATO!$F$2:$F$3000,MATCH($A2248,EXTRATO!$A$2:$A$3000,0))))</f>
        <v/>
      </c>
      <c r="I2248" s="88" t="str">
        <f>IF(A2248="","",IF(INDEX(EXTRATO!$H$2:$H$3000,MATCH($A2248,EXTRATO!$A$2:$A$3000,0))="","",INDEX(EXTRATO!$H$2:$H$3000,MATCH($A2248,EXTRATO!$A$2:$A$3000,0))))</f>
        <v/>
      </c>
      <c r="J2248" s="86" t="str">
        <f t="shared" si="57"/>
        <v/>
      </c>
      <c r="K2248" s="86" t="str">
        <f>IF(AND(A2248="",D2248="",E2248="",F2248=""),"",IF(D2248="","SEM CATEGORIA",IF(E2248="","SEM SUBCATEGORIA",IF(COUNTIFS(CADASTROS!$L$7:$L$93,D2248,CADASTROS!$D$7:$D$93,E2248)=0,"INCOMPATÍVEL","OK"))))</f>
        <v/>
      </c>
    </row>
    <row r="2249" spans="1:11" ht="30" hidden="1" customHeight="1" x14ac:dyDescent="0.25">
      <c r="A2249" s="86" t="str">
        <f>IF(COUNTIF(EXTRATO!$A$2:$A$3000,"BAN-02106")=0,"","BAN-02106")</f>
        <v/>
      </c>
      <c r="B2249" s="85" t="str">
        <f>IF(A2249="","",IF(INDEX(EXTRATO!$C$2:$C$3000,MATCH($A2249,EXTRATO!$A$2:$A$3000,0))="","",INDEX(EXTRATO!$C$2:$C$3000,MATCH($A2249,EXTRATO!$A$2:$A$3000,0))))</f>
        <v/>
      </c>
      <c r="C2249" s="86" t="str">
        <f t="shared" si="56"/>
        <v/>
      </c>
      <c r="D2249" s="81"/>
      <c r="E2249" s="79"/>
      <c r="F2249" s="80" t="str">
        <f>IF(A2249="","",SUMIF(EXTRATO!$A$2:$A$3000,$A2249,EXTRATO!$J$2:$J$3000)+SUMIF(EXTRATO!$A$2:$A$3000,$A2249,EXTRATO!$K$2:$K$3000)+SUMIF(EXTRATO!$A$2:$A$3000,$A2249,EXTRATO!$L$2:$L$3000)+SUMIF(EXTRATO!$A$2:$A$3000,$A2249,EXTRATO!$M$2:$M$3000))</f>
        <v/>
      </c>
      <c r="G2249" s="81" t="str">
        <f>IF(A2249="","",IF(INDEX(EXTRATO!$G$2:$G$3000,MATCH($A2249,EXTRATO!$A$2:$A$3000,0))="","",INDEX(EXTRATO!$G$2:$G$3000,MATCH($A2249,EXTRATO!$A$2:$A$3000,0))))</f>
        <v/>
      </c>
      <c r="H2249" s="86" t="str">
        <f>IF(A2249="","",IF(INDEX(EXTRATO!$F$2:$F$3000,MATCH($A2249,EXTRATO!$A$2:$A$3000,0))="","",INDEX(EXTRATO!$F$2:$F$3000,MATCH($A2249,EXTRATO!$A$2:$A$3000,0))))</f>
        <v/>
      </c>
      <c r="I2249" s="88" t="str">
        <f>IF(A2249="","",IF(INDEX(EXTRATO!$H$2:$H$3000,MATCH($A2249,EXTRATO!$A$2:$A$3000,0))="","",INDEX(EXTRATO!$H$2:$H$3000,MATCH($A2249,EXTRATO!$A$2:$A$3000,0))))</f>
        <v/>
      </c>
      <c r="J2249" s="86" t="str">
        <f t="shared" si="57"/>
        <v/>
      </c>
      <c r="K2249" s="86" t="str">
        <f>IF(AND(A2249="",D2249="",E2249="",F2249=""),"",IF(D2249="","SEM CATEGORIA",IF(E2249="","SEM SUBCATEGORIA",IF(COUNTIFS(CADASTROS!$L$7:$L$93,D2249,CADASTROS!$D$7:$D$93,E2249)=0,"INCOMPATÍVEL","OK"))))</f>
        <v/>
      </c>
    </row>
    <row r="2250" spans="1:11" ht="30" hidden="1" customHeight="1" x14ac:dyDescent="0.25">
      <c r="A2250" s="86" t="str">
        <f>IF(COUNTIF(EXTRATO!$A$2:$A$3000,"BAN-02107")=0,"","BAN-02107")</f>
        <v/>
      </c>
      <c r="B2250" s="85" t="str">
        <f>IF(A2250="","",IF(INDEX(EXTRATO!$C$2:$C$3000,MATCH($A2250,EXTRATO!$A$2:$A$3000,0))="","",INDEX(EXTRATO!$C$2:$C$3000,MATCH($A2250,EXTRATO!$A$2:$A$3000,0))))</f>
        <v/>
      </c>
      <c r="C2250" s="86" t="str">
        <f t="shared" si="56"/>
        <v/>
      </c>
      <c r="D2250" s="81"/>
      <c r="E2250" s="79"/>
      <c r="F2250" s="80" t="str">
        <f>IF(A2250="","",SUMIF(EXTRATO!$A$2:$A$3000,$A2250,EXTRATO!$J$2:$J$3000)+SUMIF(EXTRATO!$A$2:$A$3000,$A2250,EXTRATO!$K$2:$K$3000)+SUMIF(EXTRATO!$A$2:$A$3000,$A2250,EXTRATO!$L$2:$L$3000)+SUMIF(EXTRATO!$A$2:$A$3000,$A2250,EXTRATO!$M$2:$M$3000))</f>
        <v/>
      </c>
      <c r="G2250" s="81" t="str">
        <f>IF(A2250="","",IF(INDEX(EXTRATO!$G$2:$G$3000,MATCH($A2250,EXTRATO!$A$2:$A$3000,0))="","",INDEX(EXTRATO!$G$2:$G$3000,MATCH($A2250,EXTRATO!$A$2:$A$3000,0))))</f>
        <v/>
      </c>
      <c r="H2250" s="86" t="str">
        <f>IF(A2250="","",IF(INDEX(EXTRATO!$F$2:$F$3000,MATCH($A2250,EXTRATO!$A$2:$A$3000,0))="","",INDEX(EXTRATO!$F$2:$F$3000,MATCH($A2250,EXTRATO!$A$2:$A$3000,0))))</f>
        <v/>
      </c>
      <c r="I2250" s="88" t="str">
        <f>IF(A2250="","",IF(INDEX(EXTRATO!$H$2:$H$3000,MATCH($A2250,EXTRATO!$A$2:$A$3000,0))="","",INDEX(EXTRATO!$H$2:$H$3000,MATCH($A2250,EXTRATO!$A$2:$A$3000,0))))</f>
        <v/>
      </c>
      <c r="J2250" s="86" t="str">
        <f t="shared" si="57"/>
        <v/>
      </c>
      <c r="K2250" s="86" t="str">
        <f>IF(AND(A2250="",D2250="",E2250="",F2250=""),"",IF(D2250="","SEM CATEGORIA",IF(E2250="","SEM SUBCATEGORIA",IF(COUNTIFS(CADASTROS!$L$7:$L$93,D2250,CADASTROS!$D$7:$D$93,E2250)=0,"INCOMPATÍVEL","OK"))))</f>
        <v/>
      </c>
    </row>
    <row r="2251" spans="1:11" ht="30" hidden="1" customHeight="1" x14ac:dyDescent="0.25">
      <c r="A2251" s="86" t="str">
        <f>IF(COUNTIF(EXTRATO!$A$2:$A$3000,"BAN-02108")=0,"","BAN-02108")</f>
        <v/>
      </c>
      <c r="B2251" s="85" t="str">
        <f>IF(A2251="","",IF(INDEX(EXTRATO!$C$2:$C$3000,MATCH($A2251,EXTRATO!$A$2:$A$3000,0))="","",INDEX(EXTRATO!$C$2:$C$3000,MATCH($A2251,EXTRATO!$A$2:$A$3000,0))))</f>
        <v/>
      </c>
      <c r="C2251" s="86" t="str">
        <f t="shared" si="56"/>
        <v/>
      </c>
      <c r="D2251" s="81"/>
      <c r="E2251" s="79"/>
      <c r="F2251" s="80" t="str">
        <f>IF(A2251="","",SUMIF(EXTRATO!$A$2:$A$3000,$A2251,EXTRATO!$J$2:$J$3000)+SUMIF(EXTRATO!$A$2:$A$3000,$A2251,EXTRATO!$K$2:$K$3000)+SUMIF(EXTRATO!$A$2:$A$3000,$A2251,EXTRATO!$L$2:$L$3000)+SUMIF(EXTRATO!$A$2:$A$3000,$A2251,EXTRATO!$M$2:$M$3000))</f>
        <v/>
      </c>
      <c r="G2251" s="81" t="str">
        <f>IF(A2251="","",IF(INDEX(EXTRATO!$G$2:$G$3000,MATCH($A2251,EXTRATO!$A$2:$A$3000,0))="","",INDEX(EXTRATO!$G$2:$G$3000,MATCH($A2251,EXTRATO!$A$2:$A$3000,0))))</f>
        <v/>
      </c>
      <c r="H2251" s="86" t="str">
        <f>IF(A2251="","",IF(INDEX(EXTRATO!$F$2:$F$3000,MATCH($A2251,EXTRATO!$A$2:$A$3000,0))="","",INDEX(EXTRATO!$F$2:$F$3000,MATCH($A2251,EXTRATO!$A$2:$A$3000,0))))</f>
        <v/>
      </c>
      <c r="I2251" s="88" t="str">
        <f>IF(A2251="","",IF(INDEX(EXTRATO!$H$2:$H$3000,MATCH($A2251,EXTRATO!$A$2:$A$3000,0))="","",INDEX(EXTRATO!$H$2:$H$3000,MATCH($A2251,EXTRATO!$A$2:$A$3000,0))))</f>
        <v/>
      </c>
      <c r="J2251" s="86" t="str">
        <f t="shared" si="57"/>
        <v/>
      </c>
      <c r="K2251" s="86" t="str">
        <f>IF(AND(A2251="",D2251="",E2251="",F2251=""),"",IF(D2251="","SEM CATEGORIA",IF(E2251="","SEM SUBCATEGORIA",IF(COUNTIFS(CADASTROS!$L$7:$L$93,D2251,CADASTROS!$D$7:$D$93,E2251)=0,"INCOMPATÍVEL","OK"))))</f>
        <v/>
      </c>
    </row>
    <row r="2252" spans="1:11" ht="30" hidden="1" customHeight="1" x14ac:dyDescent="0.25">
      <c r="A2252" s="86" t="str">
        <f>IF(COUNTIF(EXTRATO!$A$2:$A$3000,"BAN-02109")=0,"","BAN-02109")</f>
        <v/>
      </c>
      <c r="B2252" s="85" t="str">
        <f>IF(A2252="","",IF(INDEX(EXTRATO!$C$2:$C$3000,MATCH($A2252,EXTRATO!$A$2:$A$3000,0))="","",INDEX(EXTRATO!$C$2:$C$3000,MATCH($A2252,EXTRATO!$A$2:$A$3000,0))))</f>
        <v/>
      </c>
      <c r="C2252" s="86" t="str">
        <f t="shared" si="56"/>
        <v/>
      </c>
      <c r="D2252" s="81"/>
      <c r="E2252" s="79"/>
      <c r="F2252" s="80" t="str">
        <f>IF(A2252="","",SUMIF(EXTRATO!$A$2:$A$3000,$A2252,EXTRATO!$J$2:$J$3000)+SUMIF(EXTRATO!$A$2:$A$3000,$A2252,EXTRATO!$K$2:$K$3000)+SUMIF(EXTRATO!$A$2:$A$3000,$A2252,EXTRATO!$L$2:$L$3000)+SUMIF(EXTRATO!$A$2:$A$3000,$A2252,EXTRATO!$M$2:$M$3000))</f>
        <v/>
      </c>
      <c r="G2252" s="81" t="str">
        <f>IF(A2252="","",IF(INDEX(EXTRATO!$G$2:$G$3000,MATCH($A2252,EXTRATO!$A$2:$A$3000,0))="","",INDEX(EXTRATO!$G$2:$G$3000,MATCH($A2252,EXTRATO!$A$2:$A$3000,0))))</f>
        <v/>
      </c>
      <c r="H2252" s="86" t="str">
        <f>IF(A2252="","",IF(INDEX(EXTRATO!$F$2:$F$3000,MATCH($A2252,EXTRATO!$A$2:$A$3000,0))="","",INDEX(EXTRATO!$F$2:$F$3000,MATCH($A2252,EXTRATO!$A$2:$A$3000,0))))</f>
        <v/>
      </c>
      <c r="I2252" s="88" t="str">
        <f>IF(A2252="","",IF(INDEX(EXTRATO!$H$2:$H$3000,MATCH($A2252,EXTRATO!$A$2:$A$3000,0))="","",INDEX(EXTRATO!$H$2:$H$3000,MATCH($A2252,EXTRATO!$A$2:$A$3000,0))))</f>
        <v/>
      </c>
      <c r="J2252" s="86" t="str">
        <f t="shared" si="57"/>
        <v/>
      </c>
      <c r="K2252" s="86" t="str">
        <f>IF(AND(A2252="",D2252="",E2252="",F2252=""),"",IF(D2252="","SEM CATEGORIA",IF(E2252="","SEM SUBCATEGORIA",IF(COUNTIFS(CADASTROS!$L$7:$L$93,D2252,CADASTROS!$D$7:$D$93,E2252)=0,"INCOMPATÍVEL","OK"))))</f>
        <v/>
      </c>
    </row>
    <row r="2253" spans="1:11" ht="30" hidden="1" customHeight="1" x14ac:dyDescent="0.25">
      <c r="A2253" s="86" t="str">
        <f>IF(COUNTIF(EXTRATO!$A$2:$A$3000,"BAN-02110")=0,"","BAN-02110")</f>
        <v/>
      </c>
      <c r="B2253" s="85" t="str">
        <f>IF(A2253="","",IF(INDEX(EXTRATO!$C$2:$C$3000,MATCH($A2253,EXTRATO!$A$2:$A$3000,0))="","",INDEX(EXTRATO!$C$2:$C$3000,MATCH($A2253,EXTRATO!$A$2:$A$3000,0))))</f>
        <v/>
      </c>
      <c r="C2253" s="86" t="str">
        <f t="shared" si="56"/>
        <v/>
      </c>
      <c r="D2253" s="81"/>
      <c r="E2253" s="79"/>
      <c r="F2253" s="80" t="str">
        <f>IF(A2253="","",SUMIF(EXTRATO!$A$2:$A$3000,$A2253,EXTRATO!$J$2:$J$3000)+SUMIF(EXTRATO!$A$2:$A$3000,$A2253,EXTRATO!$K$2:$K$3000)+SUMIF(EXTRATO!$A$2:$A$3000,$A2253,EXTRATO!$L$2:$L$3000)+SUMIF(EXTRATO!$A$2:$A$3000,$A2253,EXTRATO!$M$2:$M$3000))</f>
        <v/>
      </c>
      <c r="G2253" s="81" t="str">
        <f>IF(A2253="","",IF(INDEX(EXTRATO!$G$2:$G$3000,MATCH($A2253,EXTRATO!$A$2:$A$3000,0))="","",INDEX(EXTRATO!$G$2:$G$3000,MATCH($A2253,EXTRATO!$A$2:$A$3000,0))))</f>
        <v/>
      </c>
      <c r="H2253" s="86" t="str">
        <f>IF(A2253="","",IF(INDEX(EXTRATO!$F$2:$F$3000,MATCH($A2253,EXTRATO!$A$2:$A$3000,0))="","",INDEX(EXTRATO!$F$2:$F$3000,MATCH($A2253,EXTRATO!$A$2:$A$3000,0))))</f>
        <v/>
      </c>
      <c r="I2253" s="88" t="str">
        <f>IF(A2253="","",IF(INDEX(EXTRATO!$H$2:$H$3000,MATCH($A2253,EXTRATO!$A$2:$A$3000,0))="","",INDEX(EXTRATO!$H$2:$H$3000,MATCH($A2253,EXTRATO!$A$2:$A$3000,0))))</f>
        <v/>
      </c>
      <c r="J2253" s="86" t="str">
        <f t="shared" si="57"/>
        <v/>
      </c>
      <c r="K2253" s="86" t="str">
        <f>IF(AND(A2253="",D2253="",E2253="",F2253=""),"",IF(D2253="","SEM CATEGORIA",IF(E2253="","SEM SUBCATEGORIA",IF(COUNTIFS(CADASTROS!$L$7:$L$93,D2253,CADASTROS!$D$7:$D$93,E2253)=0,"INCOMPATÍVEL","OK"))))</f>
        <v/>
      </c>
    </row>
    <row r="2254" spans="1:11" ht="30" hidden="1" customHeight="1" x14ac:dyDescent="0.25">
      <c r="A2254" s="86" t="str">
        <f>IF(COUNTIF(EXTRATO!$A$2:$A$3000,"BAN-02111")=0,"","BAN-02111")</f>
        <v/>
      </c>
      <c r="B2254" s="85" t="str">
        <f>IF(A2254="","",IF(INDEX(EXTRATO!$C$2:$C$3000,MATCH($A2254,EXTRATO!$A$2:$A$3000,0))="","",INDEX(EXTRATO!$C$2:$C$3000,MATCH($A2254,EXTRATO!$A$2:$A$3000,0))))</f>
        <v/>
      </c>
      <c r="C2254" s="86" t="str">
        <f t="shared" si="56"/>
        <v/>
      </c>
      <c r="D2254" s="81"/>
      <c r="E2254" s="79"/>
      <c r="F2254" s="80" t="str">
        <f>IF(A2254="","",SUMIF(EXTRATO!$A$2:$A$3000,$A2254,EXTRATO!$J$2:$J$3000)+SUMIF(EXTRATO!$A$2:$A$3000,$A2254,EXTRATO!$K$2:$K$3000)+SUMIF(EXTRATO!$A$2:$A$3000,$A2254,EXTRATO!$L$2:$L$3000)+SUMIF(EXTRATO!$A$2:$A$3000,$A2254,EXTRATO!$M$2:$M$3000))</f>
        <v/>
      </c>
      <c r="G2254" s="81" t="str">
        <f>IF(A2254="","",IF(INDEX(EXTRATO!$G$2:$G$3000,MATCH($A2254,EXTRATO!$A$2:$A$3000,0))="","",INDEX(EXTRATO!$G$2:$G$3000,MATCH($A2254,EXTRATO!$A$2:$A$3000,0))))</f>
        <v/>
      </c>
      <c r="H2254" s="86" t="str">
        <f>IF(A2254="","",IF(INDEX(EXTRATO!$F$2:$F$3000,MATCH($A2254,EXTRATO!$A$2:$A$3000,0))="","",INDEX(EXTRATO!$F$2:$F$3000,MATCH($A2254,EXTRATO!$A$2:$A$3000,0))))</f>
        <v/>
      </c>
      <c r="I2254" s="88" t="str">
        <f>IF(A2254="","",IF(INDEX(EXTRATO!$H$2:$H$3000,MATCH($A2254,EXTRATO!$A$2:$A$3000,0))="","",INDEX(EXTRATO!$H$2:$H$3000,MATCH($A2254,EXTRATO!$A$2:$A$3000,0))))</f>
        <v/>
      </c>
      <c r="J2254" s="86" t="str">
        <f t="shared" si="57"/>
        <v/>
      </c>
      <c r="K2254" s="86" t="str">
        <f>IF(AND(A2254="",D2254="",E2254="",F2254=""),"",IF(D2254="","SEM CATEGORIA",IF(E2254="","SEM SUBCATEGORIA",IF(COUNTIFS(CADASTROS!$L$7:$L$93,D2254,CADASTROS!$D$7:$D$93,E2254)=0,"INCOMPATÍVEL","OK"))))</f>
        <v/>
      </c>
    </row>
    <row r="2255" spans="1:11" ht="30" hidden="1" customHeight="1" x14ac:dyDescent="0.25">
      <c r="A2255" s="86" t="str">
        <f>IF(COUNTIF(EXTRATO!$A$2:$A$3000,"BAN-02112")=0,"","BAN-02112")</f>
        <v/>
      </c>
      <c r="B2255" s="85" t="str">
        <f>IF(A2255="","",IF(INDEX(EXTRATO!$C$2:$C$3000,MATCH($A2255,EXTRATO!$A$2:$A$3000,0))="","",INDEX(EXTRATO!$C$2:$C$3000,MATCH($A2255,EXTRATO!$A$2:$A$3000,0))))</f>
        <v/>
      </c>
      <c r="C2255" s="86" t="str">
        <f t="shared" si="56"/>
        <v/>
      </c>
      <c r="D2255" s="81"/>
      <c r="E2255" s="79"/>
      <c r="F2255" s="80" t="str">
        <f>IF(A2255="","",SUMIF(EXTRATO!$A$2:$A$3000,$A2255,EXTRATO!$J$2:$J$3000)+SUMIF(EXTRATO!$A$2:$A$3000,$A2255,EXTRATO!$K$2:$K$3000)+SUMIF(EXTRATO!$A$2:$A$3000,$A2255,EXTRATO!$L$2:$L$3000)+SUMIF(EXTRATO!$A$2:$A$3000,$A2255,EXTRATO!$M$2:$M$3000))</f>
        <v/>
      </c>
      <c r="G2255" s="81" t="str">
        <f>IF(A2255="","",IF(INDEX(EXTRATO!$G$2:$G$3000,MATCH($A2255,EXTRATO!$A$2:$A$3000,0))="","",INDEX(EXTRATO!$G$2:$G$3000,MATCH($A2255,EXTRATO!$A$2:$A$3000,0))))</f>
        <v/>
      </c>
      <c r="H2255" s="86" t="str">
        <f>IF(A2255="","",IF(INDEX(EXTRATO!$F$2:$F$3000,MATCH($A2255,EXTRATO!$A$2:$A$3000,0))="","",INDEX(EXTRATO!$F$2:$F$3000,MATCH($A2255,EXTRATO!$A$2:$A$3000,0))))</f>
        <v/>
      </c>
      <c r="I2255" s="88" t="str">
        <f>IF(A2255="","",IF(INDEX(EXTRATO!$H$2:$H$3000,MATCH($A2255,EXTRATO!$A$2:$A$3000,0))="","",INDEX(EXTRATO!$H$2:$H$3000,MATCH($A2255,EXTRATO!$A$2:$A$3000,0))))</f>
        <v/>
      </c>
      <c r="J2255" s="86" t="str">
        <f t="shared" si="57"/>
        <v/>
      </c>
      <c r="K2255" s="86" t="str">
        <f>IF(AND(A2255="",D2255="",E2255="",F2255=""),"",IF(D2255="","SEM CATEGORIA",IF(E2255="","SEM SUBCATEGORIA",IF(COUNTIFS(CADASTROS!$L$7:$L$93,D2255,CADASTROS!$D$7:$D$93,E2255)=0,"INCOMPATÍVEL","OK"))))</f>
        <v/>
      </c>
    </row>
    <row r="2256" spans="1:11" ht="30" hidden="1" customHeight="1" x14ac:dyDescent="0.25">
      <c r="A2256" s="86" t="str">
        <f>IF(COUNTIF(EXTRATO!$A$2:$A$3000,"BAN-02113")=0,"","BAN-02113")</f>
        <v/>
      </c>
      <c r="B2256" s="85" t="str">
        <f>IF(A2256="","",IF(INDEX(EXTRATO!$C$2:$C$3000,MATCH($A2256,EXTRATO!$A$2:$A$3000,0))="","",INDEX(EXTRATO!$C$2:$C$3000,MATCH($A2256,EXTRATO!$A$2:$A$3000,0))))</f>
        <v/>
      </c>
      <c r="C2256" s="86" t="str">
        <f t="shared" si="56"/>
        <v/>
      </c>
      <c r="D2256" s="81"/>
      <c r="E2256" s="79"/>
      <c r="F2256" s="80" t="str">
        <f>IF(A2256="","",SUMIF(EXTRATO!$A$2:$A$3000,$A2256,EXTRATO!$J$2:$J$3000)+SUMIF(EXTRATO!$A$2:$A$3000,$A2256,EXTRATO!$K$2:$K$3000)+SUMIF(EXTRATO!$A$2:$A$3000,$A2256,EXTRATO!$L$2:$L$3000)+SUMIF(EXTRATO!$A$2:$A$3000,$A2256,EXTRATO!$M$2:$M$3000))</f>
        <v/>
      </c>
      <c r="G2256" s="81" t="str">
        <f>IF(A2256="","",IF(INDEX(EXTRATO!$G$2:$G$3000,MATCH($A2256,EXTRATO!$A$2:$A$3000,0))="","",INDEX(EXTRATO!$G$2:$G$3000,MATCH($A2256,EXTRATO!$A$2:$A$3000,0))))</f>
        <v/>
      </c>
      <c r="H2256" s="86" t="str">
        <f>IF(A2256="","",IF(INDEX(EXTRATO!$F$2:$F$3000,MATCH($A2256,EXTRATO!$A$2:$A$3000,0))="","",INDEX(EXTRATO!$F$2:$F$3000,MATCH($A2256,EXTRATO!$A$2:$A$3000,0))))</f>
        <v/>
      </c>
      <c r="I2256" s="88" t="str">
        <f>IF(A2256="","",IF(INDEX(EXTRATO!$H$2:$H$3000,MATCH($A2256,EXTRATO!$A$2:$A$3000,0))="","",INDEX(EXTRATO!$H$2:$H$3000,MATCH($A2256,EXTRATO!$A$2:$A$3000,0))))</f>
        <v/>
      </c>
      <c r="J2256" s="86" t="str">
        <f t="shared" si="57"/>
        <v/>
      </c>
      <c r="K2256" s="86" t="str">
        <f>IF(AND(A2256="",D2256="",E2256="",F2256=""),"",IF(D2256="","SEM CATEGORIA",IF(E2256="","SEM SUBCATEGORIA",IF(COUNTIFS(CADASTROS!$L$7:$L$93,D2256,CADASTROS!$D$7:$D$93,E2256)=0,"INCOMPATÍVEL","OK"))))</f>
        <v/>
      </c>
    </row>
    <row r="2257" spans="1:11" ht="30" hidden="1" customHeight="1" x14ac:dyDescent="0.25">
      <c r="A2257" s="86" t="str">
        <f>IF(COUNTIF(EXTRATO!$A$2:$A$3000,"BAN-02114")=0,"","BAN-02114")</f>
        <v/>
      </c>
      <c r="B2257" s="85" t="str">
        <f>IF(A2257="","",IF(INDEX(EXTRATO!$C$2:$C$3000,MATCH($A2257,EXTRATO!$A$2:$A$3000,0))="","",INDEX(EXTRATO!$C$2:$C$3000,MATCH($A2257,EXTRATO!$A$2:$A$3000,0))))</f>
        <v/>
      </c>
      <c r="C2257" s="86" t="str">
        <f t="shared" si="56"/>
        <v/>
      </c>
      <c r="D2257" s="81"/>
      <c r="E2257" s="79"/>
      <c r="F2257" s="80" t="str">
        <f>IF(A2257="","",SUMIF(EXTRATO!$A$2:$A$3000,$A2257,EXTRATO!$J$2:$J$3000)+SUMIF(EXTRATO!$A$2:$A$3000,$A2257,EXTRATO!$K$2:$K$3000)+SUMIF(EXTRATO!$A$2:$A$3000,$A2257,EXTRATO!$L$2:$L$3000)+SUMIF(EXTRATO!$A$2:$A$3000,$A2257,EXTRATO!$M$2:$M$3000))</f>
        <v/>
      </c>
      <c r="G2257" s="81" t="str">
        <f>IF(A2257="","",IF(INDEX(EXTRATO!$G$2:$G$3000,MATCH($A2257,EXTRATO!$A$2:$A$3000,0))="","",INDEX(EXTRATO!$G$2:$G$3000,MATCH($A2257,EXTRATO!$A$2:$A$3000,0))))</f>
        <v/>
      </c>
      <c r="H2257" s="86" t="str">
        <f>IF(A2257="","",IF(INDEX(EXTRATO!$F$2:$F$3000,MATCH($A2257,EXTRATO!$A$2:$A$3000,0))="","",INDEX(EXTRATO!$F$2:$F$3000,MATCH($A2257,EXTRATO!$A$2:$A$3000,0))))</f>
        <v/>
      </c>
      <c r="I2257" s="88" t="str">
        <f>IF(A2257="","",IF(INDEX(EXTRATO!$H$2:$H$3000,MATCH($A2257,EXTRATO!$A$2:$A$3000,0))="","",INDEX(EXTRATO!$H$2:$H$3000,MATCH($A2257,EXTRATO!$A$2:$A$3000,0))))</f>
        <v/>
      </c>
      <c r="J2257" s="86" t="str">
        <f t="shared" si="57"/>
        <v/>
      </c>
      <c r="K2257" s="86" t="str">
        <f>IF(AND(A2257="",D2257="",E2257="",F2257=""),"",IF(D2257="","SEM CATEGORIA",IF(E2257="","SEM SUBCATEGORIA",IF(COUNTIFS(CADASTROS!$L$7:$L$93,D2257,CADASTROS!$D$7:$D$93,E2257)=0,"INCOMPATÍVEL","OK"))))</f>
        <v/>
      </c>
    </row>
    <row r="2258" spans="1:11" ht="30" hidden="1" customHeight="1" x14ac:dyDescent="0.25">
      <c r="A2258" s="86" t="str">
        <f>IF(COUNTIF(EXTRATO!$A$2:$A$3000,"BAN-02115")=0,"","BAN-02115")</f>
        <v/>
      </c>
      <c r="B2258" s="85" t="str">
        <f>IF(A2258="","",IF(INDEX(EXTRATO!$C$2:$C$3000,MATCH($A2258,EXTRATO!$A$2:$A$3000,0))="","",INDEX(EXTRATO!$C$2:$C$3000,MATCH($A2258,EXTRATO!$A$2:$A$3000,0))))</f>
        <v/>
      </c>
      <c r="C2258" s="86" t="str">
        <f t="shared" si="56"/>
        <v/>
      </c>
      <c r="D2258" s="81"/>
      <c r="E2258" s="79"/>
      <c r="F2258" s="80" t="str">
        <f>IF(A2258="","",SUMIF(EXTRATO!$A$2:$A$3000,$A2258,EXTRATO!$J$2:$J$3000)+SUMIF(EXTRATO!$A$2:$A$3000,$A2258,EXTRATO!$K$2:$K$3000)+SUMIF(EXTRATO!$A$2:$A$3000,$A2258,EXTRATO!$L$2:$L$3000)+SUMIF(EXTRATO!$A$2:$A$3000,$A2258,EXTRATO!$M$2:$M$3000))</f>
        <v/>
      </c>
      <c r="G2258" s="81" t="str">
        <f>IF(A2258="","",IF(INDEX(EXTRATO!$G$2:$G$3000,MATCH($A2258,EXTRATO!$A$2:$A$3000,0))="","",INDEX(EXTRATO!$G$2:$G$3000,MATCH($A2258,EXTRATO!$A$2:$A$3000,0))))</f>
        <v/>
      </c>
      <c r="H2258" s="86" t="str">
        <f>IF(A2258="","",IF(INDEX(EXTRATO!$F$2:$F$3000,MATCH($A2258,EXTRATO!$A$2:$A$3000,0))="","",INDEX(EXTRATO!$F$2:$F$3000,MATCH($A2258,EXTRATO!$A$2:$A$3000,0))))</f>
        <v/>
      </c>
      <c r="I2258" s="88" t="str">
        <f>IF(A2258="","",IF(INDEX(EXTRATO!$H$2:$H$3000,MATCH($A2258,EXTRATO!$A$2:$A$3000,0))="","",INDEX(EXTRATO!$H$2:$H$3000,MATCH($A2258,EXTRATO!$A$2:$A$3000,0))))</f>
        <v/>
      </c>
      <c r="J2258" s="86" t="str">
        <f t="shared" si="57"/>
        <v/>
      </c>
      <c r="K2258" s="86" t="str">
        <f>IF(AND(A2258="",D2258="",E2258="",F2258=""),"",IF(D2258="","SEM CATEGORIA",IF(E2258="","SEM SUBCATEGORIA",IF(COUNTIFS(CADASTROS!$L$7:$L$93,D2258,CADASTROS!$D$7:$D$93,E2258)=0,"INCOMPATÍVEL","OK"))))</f>
        <v/>
      </c>
    </row>
    <row r="2259" spans="1:11" ht="30" hidden="1" customHeight="1" x14ac:dyDescent="0.25">
      <c r="A2259" s="86" t="str">
        <f>IF(COUNTIF(EXTRATO!$A$2:$A$3000,"BAN-02116")=0,"","BAN-02116")</f>
        <v/>
      </c>
      <c r="B2259" s="85" t="str">
        <f>IF(A2259="","",IF(INDEX(EXTRATO!$C$2:$C$3000,MATCH($A2259,EXTRATO!$A$2:$A$3000,0))="","",INDEX(EXTRATO!$C$2:$C$3000,MATCH($A2259,EXTRATO!$A$2:$A$3000,0))))</f>
        <v/>
      </c>
      <c r="C2259" s="86" t="str">
        <f t="shared" si="56"/>
        <v/>
      </c>
      <c r="D2259" s="81"/>
      <c r="E2259" s="79"/>
      <c r="F2259" s="80" t="str">
        <f>IF(A2259="","",SUMIF(EXTRATO!$A$2:$A$3000,$A2259,EXTRATO!$J$2:$J$3000)+SUMIF(EXTRATO!$A$2:$A$3000,$A2259,EXTRATO!$K$2:$K$3000)+SUMIF(EXTRATO!$A$2:$A$3000,$A2259,EXTRATO!$L$2:$L$3000)+SUMIF(EXTRATO!$A$2:$A$3000,$A2259,EXTRATO!$M$2:$M$3000))</f>
        <v/>
      </c>
      <c r="G2259" s="81" t="str">
        <f>IF(A2259="","",IF(INDEX(EXTRATO!$G$2:$G$3000,MATCH($A2259,EXTRATO!$A$2:$A$3000,0))="","",INDEX(EXTRATO!$G$2:$G$3000,MATCH($A2259,EXTRATO!$A$2:$A$3000,0))))</f>
        <v/>
      </c>
      <c r="H2259" s="86" t="str">
        <f>IF(A2259="","",IF(INDEX(EXTRATO!$F$2:$F$3000,MATCH($A2259,EXTRATO!$A$2:$A$3000,0))="","",INDEX(EXTRATO!$F$2:$F$3000,MATCH($A2259,EXTRATO!$A$2:$A$3000,0))))</f>
        <v/>
      </c>
      <c r="I2259" s="88" t="str">
        <f>IF(A2259="","",IF(INDEX(EXTRATO!$H$2:$H$3000,MATCH($A2259,EXTRATO!$A$2:$A$3000,0))="","",INDEX(EXTRATO!$H$2:$H$3000,MATCH($A2259,EXTRATO!$A$2:$A$3000,0))))</f>
        <v/>
      </c>
      <c r="J2259" s="86" t="str">
        <f t="shared" si="57"/>
        <v/>
      </c>
      <c r="K2259" s="86" t="str">
        <f>IF(AND(A2259="",D2259="",E2259="",F2259=""),"",IF(D2259="","SEM CATEGORIA",IF(E2259="","SEM SUBCATEGORIA",IF(COUNTIFS(CADASTROS!$L$7:$L$93,D2259,CADASTROS!$D$7:$D$93,E2259)=0,"INCOMPATÍVEL","OK"))))</f>
        <v/>
      </c>
    </row>
    <row r="2260" spans="1:11" ht="30" hidden="1" customHeight="1" x14ac:dyDescent="0.25">
      <c r="A2260" s="86" t="str">
        <f>IF(COUNTIF(EXTRATO!$A$2:$A$3000,"BAN-02117")=0,"","BAN-02117")</f>
        <v/>
      </c>
      <c r="B2260" s="85" t="str">
        <f>IF(A2260="","",IF(INDEX(EXTRATO!$C$2:$C$3000,MATCH($A2260,EXTRATO!$A$2:$A$3000,0))="","",INDEX(EXTRATO!$C$2:$C$3000,MATCH($A2260,EXTRATO!$A$2:$A$3000,0))))</f>
        <v/>
      </c>
      <c r="C2260" s="86" t="str">
        <f t="shared" si="56"/>
        <v/>
      </c>
      <c r="D2260" s="81"/>
      <c r="E2260" s="79"/>
      <c r="F2260" s="80" t="str">
        <f>IF(A2260="","",SUMIF(EXTRATO!$A$2:$A$3000,$A2260,EXTRATO!$J$2:$J$3000)+SUMIF(EXTRATO!$A$2:$A$3000,$A2260,EXTRATO!$K$2:$K$3000)+SUMIF(EXTRATO!$A$2:$A$3000,$A2260,EXTRATO!$L$2:$L$3000)+SUMIF(EXTRATO!$A$2:$A$3000,$A2260,EXTRATO!$M$2:$M$3000))</f>
        <v/>
      </c>
      <c r="G2260" s="81" t="str">
        <f>IF(A2260="","",IF(INDEX(EXTRATO!$G$2:$G$3000,MATCH($A2260,EXTRATO!$A$2:$A$3000,0))="","",INDEX(EXTRATO!$G$2:$G$3000,MATCH($A2260,EXTRATO!$A$2:$A$3000,0))))</f>
        <v/>
      </c>
      <c r="H2260" s="86" t="str">
        <f>IF(A2260="","",IF(INDEX(EXTRATO!$F$2:$F$3000,MATCH($A2260,EXTRATO!$A$2:$A$3000,0))="","",INDEX(EXTRATO!$F$2:$F$3000,MATCH($A2260,EXTRATO!$A$2:$A$3000,0))))</f>
        <v/>
      </c>
      <c r="I2260" s="88" t="str">
        <f>IF(A2260="","",IF(INDEX(EXTRATO!$H$2:$H$3000,MATCH($A2260,EXTRATO!$A$2:$A$3000,0))="","",INDEX(EXTRATO!$H$2:$H$3000,MATCH($A2260,EXTRATO!$A$2:$A$3000,0))))</f>
        <v/>
      </c>
      <c r="J2260" s="86" t="str">
        <f t="shared" si="57"/>
        <v/>
      </c>
      <c r="K2260" s="86" t="str">
        <f>IF(AND(A2260="",D2260="",E2260="",F2260=""),"",IF(D2260="","SEM CATEGORIA",IF(E2260="","SEM SUBCATEGORIA",IF(COUNTIFS(CADASTROS!$L$7:$L$93,D2260,CADASTROS!$D$7:$D$93,E2260)=0,"INCOMPATÍVEL","OK"))))</f>
        <v/>
      </c>
    </row>
    <row r="2261" spans="1:11" ht="30" hidden="1" customHeight="1" x14ac:dyDescent="0.25">
      <c r="A2261" s="86" t="str">
        <f>IF(COUNTIF(EXTRATO!$A$2:$A$3000,"BAN-02118")=0,"","BAN-02118")</f>
        <v/>
      </c>
      <c r="B2261" s="85" t="str">
        <f>IF(A2261="","",IF(INDEX(EXTRATO!$C$2:$C$3000,MATCH($A2261,EXTRATO!$A$2:$A$3000,0))="","",INDEX(EXTRATO!$C$2:$C$3000,MATCH($A2261,EXTRATO!$A$2:$A$3000,0))))</f>
        <v/>
      </c>
      <c r="C2261" s="86" t="str">
        <f t="shared" ref="C2261:C2324" si="58">IF(B2261="","",MONTH(B2261))</f>
        <v/>
      </c>
      <c r="D2261" s="81"/>
      <c r="E2261" s="79"/>
      <c r="F2261" s="80" t="str">
        <f>IF(A2261="","",SUMIF(EXTRATO!$A$2:$A$3000,$A2261,EXTRATO!$J$2:$J$3000)+SUMIF(EXTRATO!$A$2:$A$3000,$A2261,EXTRATO!$K$2:$K$3000)+SUMIF(EXTRATO!$A$2:$A$3000,$A2261,EXTRATO!$L$2:$L$3000)+SUMIF(EXTRATO!$A$2:$A$3000,$A2261,EXTRATO!$M$2:$M$3000))</f>
        <v/>
      </c>
      <c r="G2261" s="81" t="str">
        <f>IF(A2261="","",IF(INDEX(EXTRATO!$G$2:$G$3000,MATCH($A2261,EXTRATO!$A$2:$A$3000,0))="","",INDEX(EXTRATO!$G$2:$G$3000,MATCH($A2261,EXTRATO!$A$2:$A$3000,0))))</f>
        <v/>
      </c>
      <c r="H2261" s="86" t="str">
        <f>IF(A2261="","",IF(INDEX(EXTRATO!$F$2:$F$3000,MATCH($A2261,EXTRATO!$A$2:$A$3000,0))="","",INDEX(EXTRATO!$F$2:$F$3000,MATCH($A2261,EXTRATO!$A$2:$A$3000,0))))</f>
        <v/>
      </c>
      <c r="I2261" s="88" t="str">
        <f>IF(A2261="","",IF(INDEX(EXTRATO!$H$2:$H$3000,MATCH($A2261,EXTRATO!$A$2:$A$3000,0))="","",INDEX(EXTRATO!$H$2:$H$3000,MATCH($A2261,EXTRATO!$A$2:$A$3000,0))))</f>
        <v/>
      </c>
      <c r="J2261" s="86" t="str">
        <f t="shared" si="57"/>
        <v/>
      </c>
      <c r="K2261" s="86" t="str">
        <f>IF(AND(A2261="",D2261="",E2261="",F2261=""),"",IF(D2261="","SEM CATEGORIA",IF(E2261="","SEM SUBCATEGORIA",IF(COUNTIFS(CADASTROS!$L$7:$L$93,D2261,CADASTROS!$D$7:$D$93,E2261)=0,"INCOMPATÍVEL","OK"))))</f>
        <v/>
      </c>
    </row>
    <row r="2262" spans="1:11" ht="30" hidden="1" customHeight="1" x14ac:dyDescent="0.25">
      <c r="A2262" s="86" t="str">
        <f>IF(COUNTIF(EXTRATO!$A$2:$A$3000,"BAN-02119")=0,"","BAN-02119")</f>
        <v/>
      </c>
      <c r="B2262" s="85" t="str">
        <f>IF(A2262="","",IF(INDEX(EXTRATO!$C$2:$C$3000,MATCH($A2262,EXTRATO!$A$2:$A$3000,0))="","",INDEX(EXTRATO!$C$2:$C$3000,MATCH($A2262,EXTRATO!$A$2:$A$3000,0))))</f>
        <v/>
      </c>
      <c r="C2262" s="86" t="str">
        <f t="shared" si="58"/>
        <v/>
      </c>
      <c r="D2262" s="81"/>
      <c r="E2262" s="79"/>
      <c r="F2262" s="80" t="str">
        <f>IF(A2262="","",SUMIF(EXTRATO!$A$2:$A$3000,$A2262,EXTRATO!$J$2:$J$3000)+SUMIF(EXTRATO!$A$2:$A$3000,$A2262,EXTRATO!$K$2:$K$3000)+SUMIF(EXTRATO!$A$2:$A$3000,$A2262,EXTRATO!$L$2:$L$3000)+SUMIF(EXTRATO!$A$2:$A$3000,$A2262,EXTRATO!$M$2:$M$3000))</f>
        <v/>
      </c>
      <c r="G2262" s="81" t="str">
        <f>IF(A2262="","",IF(INDEX(EXTRATO!$G$2:$G$3000,MATCH($A2262,EXTRATO!$A$2:$A$3000,0))="","",INDEX(EXTRATO!$G$2:$G$3000,MATCH($A2262,EXTRATO!$A$2:$A$3000,0))))</f>
        <v/>
      </c>
      <c r="H2262" s="86" t="str">
        <f>IF(A2262="","",IF(INDEX(EXTRATO!$F$2:$F$3000,MATCH($A2262,EXTRATO!$A$2:$A$3000,0))="","",INDEX(EXTRATO!$F$2:$F$3000,MATCH($A2262,EXTRATO!$A$2:$A$3000,0))))</f>
        <v/>
      </c>
      <c r="I2262" s="88" t="str">
        <f>IF(A2262="","",IF(INDEX(EXTRATO!$H$2:$H$3000,MATCH($A2262,EXTRATO!$A$2:$A$3000,0))="","",INDEX(EXTRATO!$H$2:$H$3000,MATCH($A2262,EXTRATO!$A$2:$A$3000,0))))</f>
        <v/>
      </c>
      <c r="J2262" s="86" t="str">
        <f t="shared" si="57"/>
        <v/>
      </c>
      <c r="K2262" s="86" t="str">
        <f>IF(AND(A2262="",D2262="",E2262="",F2262=""),"",IF(D2262="","SEM CATEGORIA",IF(E2262="","SEM SUBCATEGORIA",IF(COUNTIFS(CADASTROS!$L$7:$L$93,D2262,CADASTROS!$D$7:$D$93,E2262)=0,"INCOMPATÍVEL","OK"))))</f>
        <v/>
      </c>
    </row>
    <row r="2263" spans="1:11" ht="30" hidden="1" customHeight="1" x14ac:dyDescent="0.25">
      <c r="A2263" s="86" t="str">
        <f>IF(COUNTIF(EXTRATO!$A$2:$A$3000,"BAN-02120")=0,"","BAN-02120")</f>
        <v/>
      </c>
      <c r="B2263" s="85" t="str">
        <f>IF(A2263="","",IF(INDEX(EXTRATO!$C$2:$C$3000,MATCH($A2263,EXTRATO!$A$2:$A$3000,0))="","",INDEX(EXTRATO!$C$2:$C$3000,MATCH($A2263,EXTRATO!$A$2:$A$3000,0))))</f>
        <v/>
      </c>
      <c r="C2263" s="86" t="str">
        <f t="shared" si="58"/>
        <v/>
      </c>
      <c r="D2263" s="81"/>
      <c r="E2263" s="79"/>
      <c r="F2263" s="80" t="str">
        <f>IF(A2263="","",SUMIF(EXTRATO!$A$2:$A$3000,$A2263,EXTRATO!$J$2:$J$3000)+SUMIF(EXTRATO!$A$2:$A$3000,$A2263,EXTRATO!$K$2:$K$3000)+SUMIF(EXTRATO!$A$2:$A$3000,$A2263,EXTRATO!$L$2:$L$3000)+SUMIF(EXTRATO!$A$2:$A$3000,$A2263,EXTRATO!$M$2:$M$3000))</f>
        <v/>
      </c>
      <c r="G2263" s="81" t="str">
        <f>IF(A2263="","",IF(INDEX(EXTRATO!$G$2:$G$3000,MATCH($A2263,EXTRATO!$A$2:$A$3000,0))="","",INDEX(EXTRATO!$G$2:$G$3000,MATCH($A2263,EXTRATO!$A$2:$A$3000,0))))</f>
        <v/>
      </c>
      <c r="H2263" s="86" t="str">
        <f>IF(A2263="","",IF(INDEX(EXTRATO!$F$2:$F$3000,MATCH($A2263,EXTRATO!$A$2:$A$3000,0))="","",INDEX(EXTRATO!$F$2:$F$3000,MATCH($A2263,EXTRATO!$A$2:$A$3000,0))))</f>
        <v/>
      </c>
      <c r="I2263" s="88" t="str">
        <f>IF(A2263="","",IF(INDEX(EXTRATO!$H$2:$H$3000,MATCH($A2263,EXTRATO!$A$2:$A$3000,0))="","",INDEX(EXTRATO!$H$2:$H$3000,MATCH($A2263,EXTRATO!$A$2:$A$3000,0))))</f>
        <v/>
      </c>
      <c r="J2263" s="86" t="str">
        <f t="shared" si="57"/>
        <v/>
      </c>
      <c r="K2263" s="86" t="str">
        <f>IF(AND(A2263="",D2263="",E2263="",F2263=""),"",IF(D2263="","SEM CATEGORIA",IF(E2263="","SEM SUBCATEGORIA",IF(COUNTIFS(CADASTROS!$L$7:$L$93,D2263,CADASTROS!$D$7:$D$93,E2263)=0,"INCOMPATÍVEL","OK"))))</f>
        <v/>
      </c>
    </row>
    <row r="2264" spans="1:11" ht="30" hidden="1" customHeight="1" x14ac:dyDescent="0.25">
      <c r="A2264" s="86" t="str">
        <f>IF(COUNTIF(EXTRATO!$A$2:$A$3000,"BAN-02121")=0,"","BAN-02121")</f>
        <v/>
      </c>
      <c r="B2264" s="85" t="str">
        <f>IF(A2264="","",IF(INDEX(EXTRATO!$C$2:$C$3000,MATCH($A2264,EXTRATO!$A$2:$A$3000,0))="","",INDEX(EXTRATO!$C$2:$C$3000,MATCH($A2264,EXTRATO!$A$2:$A$3000,0))))</f>
        <v/>
      </c>
      <c r="C2264" s="86" t="str">
        <f t="shared" si="58"/>
        <v/>
      </c>
      <c r="D2264" s="81"/>
      <c r="E2264" s="79"/>
      <c r="F2264" s="80" t="str">
        <f>IF(A2264="","",SUMIF(EXTRATO!$A$2:$A$3000,$A2264,EXTRATO!$J$2:$J$3000)+SUMIF(EXTRATO!$A$2:$A$3000,$A2264,EXTRATO!$K$2:$K$3000)+SUMIF(EXTRATO!$A$2:$A$3000,$A2264,EXTRATO!$L$2:$L$3000)+SUMIF(EXTRATO!$A$2:$A$3000,$A2264,EXTRATO!$M$2:$M$3000))</f>
        <v/>
      </c>
      <c r="G2264" s="81" t="str">
        <f>IF(A2264="","",IF(INDEX(EXTRATO!$G$2:$G$3000,MATCH($A2264,EXTRATO!$A$2:$A$3000,0))="","",INDEX(EXTRATO!$G$2:$G$3000,MATCH($A2264,EXTRATO!$A$2:$A$3000,0))))</f>
        <v/>
      </c>
      <c r="H2264" s="86" t="str">
        <f>IF(A2264="","",IF(INDEX(EXTRATO!$F$2:$F$3000,MATCH($A2264,EXTRATO!$A$2:$A$3000,0))="","",INDEX(EXTRATO!$F$2:$F$3000,MATCH($A2264,EXTRATO!$A$2:$A$3000,0))))</f>
        <v/>
      </c>
      <c r="I2264" s="88" t="str">
        <f>IF(A2264="","",IF(INDEX(EXTRATO!$H$2:$H$3000,MATCH($A2264,EXTRATO!$A$2:$A$3000,0))="","",INDEX(EXTRATO!$H$2:$H$3000,MATCH($A2264,EXTRATO!$A$2:$A$3000,0))))</f>
        <v/>
      </c>
      <c r="J2264" s="86" t="str">
        <f t="shared" si="57"/>
        <v/>
      </c>
      <c r="K2264" s="86" t="str">
        <f>IF(AND(A2264="",D2264="",E2264="",F2264=""),"",IF(D2264="","SEM CATEGORIA",IF(E2264="","SEM SUBCATEGORIA",IF(COUNTIFS(CADASTROS!$L$7:$L$93,D2264,CADASTROS!$D$7:$D$93,E2264)=0,"INCOMPATÍVEL","OK"))))</f>
        <v/>
      </c>
    </row>
    <row r="2265" spans="1:11" ht="30" hidden="1" customHeight="1" x14ac:dyDescent="0.25">
      <c r="A2265" s="86" t="str">
        <f>IF(COUNTIF(EXTRATO!$A$2:$A$3000,"BAN-02122")=0,"","BAN-02122")</f>
        <v/>
      </c>
      <c r="B2265" s="85" t="str">
        <f>IF(A2265="","",IF(INDEX(EXTRATO!$C$2:$C$3000,MATCH($A2265,EXTRATO!$A$2:$A$3000,0))="","",INDEX(EXTRATO!$C$2:$C$3000,MATCH($A2265,EXTRATO!$A$2:$A$3000,0))))</f>
        <v/>
      </c>
      <c r="C2265" s="86" t="str">
        <f t="shared" si="58"/>
        <v/>
      </c>
      <c r="D2265" s="81"/>
      <c r="E2265" s="79"/>
      <c r="F2265" s="80" t="str">
        <f>IF(A2265="","",SUMIF(EXTRATO!$A$2:$A$3000,$A2265,EXTRATO!$J$2:$J$3000)+SUMIF(EXTRATO!$A$2:$A$3000,$A2265,EXTRATO!$K$2:$K$3000)+SUMIF(EXTRATO!$A$2:$A$3000,$A2265,EXTRATO!$L$2:$L$3000)+SUMIF(EXTRATO!$A$2:$A$3000,$A2265,EXTRATO!$M$2:$M$3000))</f>
        <v/>
      </c>
      <c r="G2265" s="81" t="str">
        <f>IF(A2265="","",IF(INDEX(EXTRATO!$G$2:$G$3000,MATCH($A2265,EXTRATO!$A$2:$A$3000,0))="","",INDEX(EXTRATO!$G$2:$G$3000,MATCH($A2265,EXTRATO!$A$2:$A$3000,0))))</f>
        <v/>
      </c>
      <c r="H2265" s="86" t="str">
        <f>IF(A2265="","",IF(INDEX(EXTRATO!$F$2:$F$3000,MATCH($A2265,EXTRATO!$A$2:$A$3000,0))="","",INDEX(EXTRATO!$F$2:$F$3000,MATCH($A2265,EXTRATO!$A$2:$A$3000,0))))</f>
        <v/>
      </c>
      <c r="I2265" s="88" t="str">
        <f>IF(A2265="","",IF(INDEX(EXTRATO!$H$2:$H$3000,MATCH($A2265,EXTRATO!$A$2:$A$3000,0))="","",INDEX(EXTRATO!$H$2:$H$3000,MATCH($A2265,EXTRATO!$A$2:$A$3000,0))))</f>
        <v/>
      </c>
      <c r="J2265" s="86" t="str">
        <f t="shared" si="57"/>
        <v/>
      </c>
      <c r="K2265" s="86" t="str">
        <f>IF(AND(A2265="",D2265="",E2265="",F2265=""),"",IF(D2265="","SEM CATEGORIA",IF(E2265="","SEM SUBCATEGORIA",IF(COUNTIFS(CADASTROS!$L$7:$L$93,D2265,CADASTROS!$D$7:$D$93,E2265)=0,"INCOMPATÍVEL","OK"))))</f>
        <v/>
      </c>
    </row>
    <row r="2266" spans="1:11" ht="30" hidden="1" customHeight="1" x14ac:dyDescent="0.25">
      <c r="A2266" s="86" t="str">
        <f>IF(COUNTIF(EXTRATO!$A$2:$A$3000,"BAN-02123")=0,"","BAN-02123")</f>
        <v/>
      </c>
      <c r="B2266" s="85" t="str">
        <f>IF(A2266="","",IF(INDEX(EXTRATO!$C$2:$C$3000,MATCH($A2266,EXTRATO!$A$2:$A$3000,0))="","",INDEX(EXTRATO!$C$2:$C$3000,MATCH($A2266,EXTRATO!$A$2:$A$3000,0))))</f>
        <v/>
      </c>
      <c r="C2266" s="86" t="str">
        <f t="shared" si="58"/>
        <v/>
      </c>
      <c r="D2266" s="81"/>
      <c r="E2266" s="79"/>
      <c r="F2266" s="80" t="str">
        <f>IF(A2266="","",SUMIF(EXTRATO!$A$2:$A$3000,$A2266,EXTRATO!$J$2:$J$3000)+SUMIF(EXTRATO!$A$2:$A$3000,$A2266,EXTRATO!$K$2:$K$3000)+SUMIF(EXTRATO!$A$2:$A$3000,$A2266,EXTRATO!$L$2:$L$3000)+SUMIF(EXTRATO!$A$2:$A$3000,$A2266,EXTRATO!$M$2:$M$3000))</f>
        <v/>
      </c>
      <c r="G2266" s="81" t="str">
        <f>IF(A2266="","",IF(INDEX(EXTRATO!$G$2:$G$3000,MATCH($A2266,EXTRATO!$A$2:$A$3000,0))="","",INDEX(EXTRATO!$G$2:$G$3000,MATCH($A2266,EXTRATO!$A$2:$A$3000,0))))</f>
        <v/>
      </c>
      <c r="H2266" s="86" t="str">
        <f>IF(A2266="","",IF(INDEX(EXTRATO!$F$2:$F$3000,MATCH($A2266,EXTRATO!$A$2:$A$3000,0))="","",INDEX(EXTRATO!$F$2:$F$3000,MATCH($A2266,EXTRATO!$A$2:$A$3000,0))))</f>
        <v/>
      </c>
      <c r="I2266" s="88" t="str">
        <f>IF(A2266="","",IF(INDEX(EXTRATO!$H$2:$H$3000,MATCH($A2266,EXTRATO!$A$2:$A$3000,0))="","",INDEX(EXTRATO!$H$2:$H$3000,MATCH($A2266,EXTRATO!$A$2:$A$3000,0))))</f>
        <v/>
      </c>
      <c r="J2266" s="86" t="str">
        <f t="shared" si="57"/>
        <v/>
      </c>
      <c r="K2266" s="86" t="str">
        <f>IF(AND(A2266="",D2266="",E2266="",F2266=""),"",IF(D2266="","SEM CATEGORIA",IF(E2266="","SEM SUBCATEGORIA",IF(COUNTIFS(CADASTROS!$L$7:$L$93,D2266,CADASTROS!$D$7:$D$93,E2266)=0,"INCOMPATÍVEL","OK"))))</f>
        <v/>
      </c>
    </row>
    <row r="2267" spans="1:11" ht="30" hidden="1" customHeight="1" x14ac:dyDescent="0.25">
      <c r="A2267" s="86" t="str">
        <f>IF(COUNTIF(EXTRATO!$A$2:$A$3000,"BAN-02124")=0,"","BAN-02124")</f>
        <v/>
      </c>
      <c r="B2267" s="85" t="str">
        <f>IF(A2267="","",IF(INDEX(EXTRATO!$C$2:$C$3000,MATCH($A2267,EXTRATO!$A$2:$A$3000,0))="","",INDEX(EXTRATO!$C$2:$C$3000,MATCH($A2267,EXTRATO!$A$2:$A$3000,0))))</f>
        <v/>
      </c>
      <c r="C2267" s="86" t="str">
        <f t="shared" si="58"/>
        <v/>
      </c>
      <c r="D2267" s="81"/>
      <c r="E2267" s="79"/>
      <c r="F2267" s="80" t="str">
        <f>IF(A2267="","",SUMIF(EXTRATO!$A$2:$A$3000,$A2267,EXTRATO!$J$2:$J$3000)+SUMIF(EXTRATO!$A$2:$A$3000,$A2267,EXTRATO!$K$2:$K$3000)+SUMIF(EXTRATO!$A$2:$A$3000,$A2267,EXTRATO!$L$2:$L$3000)+SUMIF(EXTRATO!$A$2:$A$3000,$A2267,EXTRATO!$M$2:$M$3000))</f>
        <v/>
      </c>
      <c r="G2267" s="81" t="str">
        <f>IF(A2267="","",IF(INDEX(EXTRATO!$G$2:$G$3000,MATCH($A2267,EXTRATO!$A$2:$A$3000,0))="","",INDEX(EXTRATO!$G$2:$G$3000,MATCH($A2267,EXTRATO!$A$2:$A$3000,0))))</f>
        <v/>
      </c>
      <c r="H2267" s="86" t="str">
        <f>IF(A2267="","",IF(INDEX(EXTRATO!$F$2:$F$3000,MATCH($A2267,EXTRATO!$A$2:$A$3000,0))="","",INDEX(EXTRATO!$F$2:$F$3000,MATCH($A2267,EXTRATO!$A$2:$A$3000,0))))</f>
        <v/>
      </c>
      <c r="I2267" s="88" t="str">
        <f>IF(A2267="","",IF(INDEX(EXTRATO!$H$2:$H$3000,MATCH($A2267,EXTRATO!$A$2:$A$3000,0))="","",INDEX(EXTRATO!$H$2:$H$3000,MATCH($A2267,EXTRATO!$A$2:$A$3000,0))))</f>
        <v/>
      </c>
      <c r="J2267" s="86" t="str">
        <f t="shared" si="57"/>
        <v/>
      </c>
      <c r="K2267" s="86" t="str">
        <f>IF(AND(A2267="",D2267="",E2267="",F2267=""),"",IF(D2267="","SEM CATEGORIA",IF(E2267="","SEM SUBCATEGORIA",IF(COUNTIFS(CADASTROS!$L$7:$L$93,D2267,CADASTROS!$D$7:$D$93,E2267)=0,"INCOMPATÍVEL","OK"))))</f>
        <v/>
      </c>
    </row>
    <row r="2268" spans="1:11" ht="30" hidden="1" customHeight="1" x14ac:dyDescent="0.25">
      <c r="A2268" s="86" t="str">
        <f>IF(COUNTIF(EXTRATO!$A$2:$A$3000,"BAN-02125")=0,"","BAN-02125")</f>
        <v/>
      </c>
      <c r="B2268" s="85" t="str">
        <f>IF(A2268="","",IF(INDEX(EXTRATO!$C$2:$C$3000,MATCH($A2268,EXTRATO!$A$2:$A$3000,0))="","",INDEX(EXTRATO!$C$2:$C$3000,MATCH($A2268,EXTRATO!$A$2:$A$3000,0))))</f>
        <v/>
      </c>
      <c r="C2268" s="86" t="str">
        <f t="shared" si="58"/>
        <v/>
      </c>
      <c r="D2268" s="81"/>
      <c r="E2268" s="79"/>
      <c r="F2268" s="80" t="str">
        <f>IF(A2268="","",SUMIF(EXTRATO!$A$2:$A$3000,$A2268,EXTRATO!$J$2:$J$3000)+SUMIF(EXTRATO!$A$2:$A$3000,$A2268,EXTRATO!$K$2:$K$3000)+SUMIF(EXTRATO!$A$2:$A$3000,$A2268,EXTRATO!$L$2:$L$3000)+SUMIF(EXTRATO!$A$2:$A$3000,$A2268,EXTRATO!$M$2:$M$3000))</f>
        <v/>
      </c>
      <c r="G2268" s="81" t="str">
        <f>IF(A2268="","",IF(INDEX(EXTRATO!$G$2:$G$3000,MATCH($A2268,EXTRATO!$A$2:$A$3000,0))="","",INDEX(EXTRATO!$G$2:$G$3000,MATCH($A2268,EXTRATO!$A$2:$A$3000,0))))</f>
        <v/>
      </c>
      <c r="H2268" s="86" t="str">
        <f>IF(A2268="","",IF(INDEX(EXTRATO!$F$2:$F$3000,MATCH($A2268,EXTRATO!$A$2:$A$3000,0))="","",INDEX(EXTRATO!$F$2:$F$3000,MATCH($A2268,EXTRATO!$A$2:$A$3000,0))))</f>
        <v/>
      </c>
      <c r="I2268" s="88" t="str">
        <f>IF(A2268="","",IF(INDEX(EXTRATO!$H$2:$H$3000,MATCH($A2268,EXTRATO!$A$2:$A$3000,0))="","",INDEX(EXTRATO!$H$2:$H$3000,MATCH($A2268,EXTRATO!$A$2:$A$3000,0))))</f>
        <v/>
      </c>
      <c r="J2268" s="86" t="str">
        <f t="shared" si="57"/>
        <v/>
      </c>
      <c r="K2268" s="86" t="str">
        <f>IF(AND(A2268="",D2268="",E2268="",F2268=""),"",IF(D2268="","SEM CATEGORIA",IF(E2268="","SEM SUBCATEGORIA",IF(COUNTIFS(CADASTROS!$L$7:$L$93,D2268,CADASTROS!$D$7:$D$93,E2268)=0,"INCOMPATÍVEL","OK"))))</f>
        <v/>
      </c>
    </row>
    <row r="2269" spans="1:11" ht="30" hidden="1" customHeight="1" x14ac:dyDescent="0.25">
      <c r="A2269" s="86" t="str">
        <f>IF(COUNTIF(EXTRATO!$A$2:$A$3000,"BAN-02126")=0,"","BAN-02126")</f>
        <v/>
      </c>
      <c r="B2269" s="85" t="str">
        <f>IF(A2269="","",IF(INDEX(EXTRATO!$C$2:$C$3000,MATCH($A2269,EXTRATO!$A$2:$A$3000,0))="","",INDEX(EXTRATO!$C$2:$C$3000,MATCH($A2269,EXTRATO!$A$2:$A$3000,0))))</f>
        <v/>
      </c>
      <c r="C2269" s="86" t="str">
        <f t="shared" si="58"/>
        <v/>
      </c>
      <c r="D2269" s="81"/>
      <c r="E2269" s="79"/>
      <c r="F2269" s="80" t="str">
        <f>IF(A2269="","",SUMIF(EXTRATO!$A$2:$A$3000,$A2269,EXTRATO!$J$2:$J$3000)+SUMIF(EXTRATO!$A$2:$A$3000,$A2269,EXTRATO!$K$2:$K$3000)+SUMIF(EXTRATO!$A$2:$A$3000,$A2269,EXTRATO!$L$2:$L$3000)+SUMIF(EXTRATO!$A$2:$A$3000,$A2269,EXTRATO!$M$2:$M$3000))</f>
        <v/>
      </c>
      <c r="G2269" s="81" t="str">
        <f>IF(A2269="","",IF(INDEX(EXTRATO!$G$2:$G$3000,MATCH($A2269,EXTRATO!$A$2:$A$3000,0))="","",INDEX(EXTRATO!$G$2:$G$3000,MATCH($A2269,EXTRATO!$A$2:$A$3000,0))))</f>
        <v/>
      </c>
      <c r="H2269" s="86" t="str">
        <f>IF(A2269="","",IF(INDEX(EXTRATO!$F$2:$F$3000,MATCH($A2269,EXTRATO!$A$2:$A$3000,0))="","",INDEX(EXTRATO!$F$2:$F$3000,MATCH($A2269,EXTRATO!$A$2:$A$3000,0))))</f>
        <v/>
      </c>
      <c r="I2269" s="88" t="str">
        <f>IF(A2269="","",IF(INDEX(EXTRATO!$H$2:$H$3000,MATCH($A2269,EXTRATO!$A$2:$A$3000,0))="","",INDEX(EXTRATO!$H$2:$H$3000,MATCH($A2269,EXTRATO!$A$2:$A$3000,0))))</f>
        <v/>
      </c>
      <c r="J2269" s="86" t="str">
        <f t="shared" si="57"/>
        <v/>
      </c>
      <c r="K2269" s="86" t="str">
        <f>IF(AND(A2269="",D2269="",E2269="",F2269=""),"",IF(D2269="","SEM CATEGORIA",IF(E2269="","SEM SUBCATEGORIA",IF(COUNTIFS(CADASTROS!$L$7:$L$93,D2269,CADASTROS!$D$7:$D$93,E2269)=0,"INCOMPATÍVEL","OK"))))</f>
        <v/>
      </c>
    </row>
    <row r="2270" spans="1:11" ht="30" hidden="1" customHeight="1" x14ac:dyDescent="0.25">
      <c r="A2270" s="86" t="str">
        <f>IF(COUNTIF(EXTRATO!$A$2:$A$3000,"BAN-02127")=0,"","BAN-02127")</f>
        <v/>
      </c>
      <c r="B2270" s="85" t="str">
        <f>IF(A2270="","",IF(INDEX(EXTRATO!$C$2:$C$3000,MATCH($A2270,EXTRATO!$A$2:$A$3000,0))="","",INDEX(EXTRATO!$C$2:$C$3000,MATCH($A2270,EXTRATO!$A$2:$A$3000,0))))</f>
        <v/>
      </c>
      <c r="C2270" s="86" t="str">
        <f t="shared" si="58"/>
        <v/>
      </c>
      <c r="D2270" s="81"/>
      <c r="E2270" s="79"/>
      <c r="F2270" s="80" t="str">
        <f>IF(A2270="","",SUMIF(EXTRATO!$A$2:$A$3000,$A2270,EXTRATO!$J$2:$J$3000)+SUMIF(EXTRATO!$A$2:$A$3000,$A2270,EXTRATO!$K$2:$K$3000)+SUMIF(EXTRATO!$A$2:$A$3000,$A2270,EXTRATO!$L$2:$L$3000)+SUMIF(EXTRATO!$A$2:$A$3000,$A2270,EXTRATO!$M$2:$M$3000))</f>
        <v/>
      </c>
      <c r="G2270" s="81" t="str">
        <f>IF(A2270="","",IF(INDEX(EXTRATO!$G$2:$G$3000,MATCH($A2270,EXTRATO!$A$2:$A$3000,0))="","",INDEX(EXTRATO!$G$2:$G$3000,MATCH($A2270,EXTRATO!$A$2:$A$3000,0))))</f>
        <v/>
      </c>
      <c r="H2270" s="86" t="str">
        <f>IF(A2270="","",IF(INDEX(EXTRATO!$F$2:$F$3000,MATCH($A2270,EXTRATO!$A$2:$A$3000,0))="","",INDEX(EXTRATO!$F$2:$F$3000,MATCH($A2270,EXTRATO!$A$2:$A$3000,0))))</f>
        <v/>
      </c>
      <c r="I2270" s="88" t="str">
        <f>IF(A2270="","",IF(INDEX(EXTRATO!$H$2:$H$3000,MATCH($A2270,EXTRATO!$A$2:$A$3000,0))="","",INDEX(EXTRATO!$H$2:$H$3000,MATCH($A2270,EXTRATO!$A$2:$A$3000,0))))</f>
        <v/>
      </c>
      <c r="J2270" s="86" t="str">
        <f t="shared" si="57"/>
        <v/>
      </c>
      <c r="K2270" s="86" t="str">
        <f>IF(AND(A2270="",D2270="",E2270="",F2270=""),"",IF(D2270="","SEM CATEGORIA",IF(E2270="","SEM SUBCATEGORIA",IF(COUNTIFS(CADASTROS!$L$7:$L$93,D2270,CADASTROS!$D$7:$D$93,E2270)=0,"INCOMPATÍVEL","OK"))))</f>
        <v/>
      </c>
    </row>
    <row r="2271" spans="1:11" ht="30" hidden="1" customHeight="1" x14ac:dyDescent="0.25">
      <c r="A2271" s="86" t="str">
        <f>IF(COUNTIF(EXTRATO!$A$2:$A$3000,"BAN-02128")=0,"","BAN-02128")</f>
        <v/>
      </c>
      <c r="B2271" s="85" t="str">
        <f>IF(A2271="","",IF(INDEX(EXTRATO!$C$2:$C$3000,MATCH($A2271,EXTRATO!$A$2:$A$3000,0))="","",INDEX(EXTRATO!$C$2:$C$3000,MATCH($A2271,EXTRATO!$A$2:$A$3000,0))))</f>
        <v/>
      </c>
      <c r="C2271" s="86" t="str">
        <f t="shared" si="58"/>
        <v/>
      </c>
      <c r="D2271" s="81"/>
      <c r="E2271" s="79"/>
      <c r="F2271" s="80" t="str">
        <f>IF(A2271="","",SUMIF(EXTRATO!$A$2:$A$3000,$A2271,EXTRATO!$J$2:$J$3000)+SUMIF(EXTRATO!$A$2:$A$3000,$A2271,EXTRATO!$K$2:$K$3000)+SUMIF(EXTRATO!$A$2:$A$3000,$A2271,EXTRATO!$L$2:$L$3000)+SUMIF(EXTRATO!$A$2:$A$3000,$A2271,EXTRATO!$M$2:$M$3000))</f>
        <v/>
      </c>
      <c r="G2271" s="81" t="str">
        <f>IF(A2271="","",IF(INDEX(EXTRATO!$G$2:$G$3000,MATCH($A2271,EXTRATO!$A$2:$A$3000,0))="","",INDEX(EXTRATO!$G$2:$G$3000,MATCH($A2271,EXTRATO!$A$2:$A$3000,0))))</f>
        <v/>
      </c>
      <c r="H2271" s="86" t="str">
        <f>IF(A2271="","",IF(INDEX(EXTRATO!$F$2:$F$3000,MATCH($A2271,EXTRATO!$A$2:$A$3000,0))="","",INDEX(EXTRATO!$F$2:$F$3000,MATCH($A2271,EXTRATO!$A$2:$A$3000,0))))</f>
        <v/>
      </c>
      <c r="I2271" s="88" t="str">
        <f>IF(A2271="","",IF(INDEX(EXTRATO!$H$2:$H$3000,MATCH($A2271,EXTRATO!$A$2:$A$3000,0))="","",INDEX(EXTRATO!$H$2:$H$3000,MATCH($A2271,EXTRATO!$A$2:$A$3000,0))))</f>
        <v/>
      </c>
      <c r="J2271" s="86" t="str">
        <f t="shared" si="57"/>
        <v/>
      </c>
      <c r="K2271" s="86" t="str">
        <f>IF(AND(A2271="",D2271="",E2271="",F2271=""),"",IF(D2271="","SEM CATEGORIA",IF(E2271="","SEM SUBCATEGORIA",IF(COUNTIFS(CADASTROS!$L$7:$L$93,D2271,CADASTROS!$D$7:$D$93,E2271)=0,"INCOMPATÍVEL","OK"))))</f>
        <v/>
      </c>
    </row>
    <row r="2272" spans="1:11" ht="30" hidden="1" customHeight="1" x14ac:dyDescent="0.25">
      <c r="A2272" s="86" t="str">
        <f>IF(COUNTIF(EXTRATO!$A$2:$A$3000,"BAN-02129")=0,"","BAN-02129")</f>
        <v/>
      </c>
      <c r="B2272" s="85" t="str">
        <f>IF(A2272="","",IF(INDEX(EXTRATO!$C$2:$C$3000,MATCH($A2272,EXTRATO!$A$2:$A$3000,0))="","",INDEX(EXTRATO!$C$2:$C$3000,MATCH($A2272,EXTRATO!$A$2:$A$3000,0))))</f>
        <v/>
      </c>
      <c r="C2272" s="86" t="str">
        <f t="shared" si="58"/>
        <v/>
      </c>
      <c r="D2272" s="81"/>
      <c r="E2272" s="79"/>
      <c r="F2272" s="80" t="str">
        <f>IF(A2272="","",SUMIF(EXTRATO!$A$2:$A$3000,$A2272,EXTRATO!$J$2:$J$3000)+SUMIF(EXTRATO!$A$2:$A$3000,$A2272,EXTRATO!$K$2:$K$3000)+SUMIF(EXTRATO!$A$2:$A$3000,$A2272,EXTRATO!$L$2:$L$3000)+SUMIF(EXTRATO!$A$2:$A$3000,$A2272,EXTRATO!$M$2:$M$3000))</f>
        <v/>
      </c>
      <c r="G2272" s="81" t="str">
        <f>IF(A2272="","",IF(INDEX(EXTRATO!$G$2:$G$3000,MATCH($A2272,EXTRATO!$A$2:$A$3000,0))="","",INDEX(EXTRATO!$G$2:$G$3000,MATCH($A2272,EXTRATO!$A$2:$A$3000,0))))</f>
        <v/>
      </c>
      <c r="H2272" s="86" t="str">
        <f>IF(A2272="","",IF(INDEX(EXTRATO!$F$2:$F$3000,MATCH($A2272,EXTRATO!$A$2:$A$3000,0))="","",INDEX(EXTRATO!$F$2:$F$3000,MATCH($A2272,EXTRATO!$A$2:$A$3000,0))))</f>
        <v/>
      </c>
      <c r="I2272" s="88" t="str">
        <f>IF(A2272="","",IF(INDEX(EXTRATO!$H$2:$H$3000,MATCH($A2272,EXTRATO!$A$2:$A$3000,0))="","",INDEX(EXTRATO!$H$2:$H$3000,MATCH($A2272,EXTRATO!$A$2:$A$3000,0))))</f>
        <v/>
      </c>
      <c r="J2272" s="86" t="str">
        <f t="shared" si="57"/>
        <v/>
      </c>
      <c r="K2272" s="86" t="str">
        <f>IF(AND(A2272="",D2272="",E2272="",F2272=""),"",IF(D2272="","SEM CATEGORIA",IF(E2272="","SEM SUBCATEGORIA",IF(COUNTIFS(CADASTROS!$L$7:$L$93,D2272,CADASTROS!$D$7:$D$93,E2272)=0,"INCOMPATÍVEL","OK"))))</f>
        <v/>
      </c>
    </row>
    <row r="2273" spans="1:11" ht="30" hidden="1" customHeight="1" x14ac:dyDescent="0.25">
      <c r="A2273" s="86" t="str">
        <f>IF(COUNTIF(EXTRATO!$A$2:$A$3000,"BAN-02130")=0,"","BAN-02130")</f>
        <v/>
      </c>
      <c r="B2273" s="85" t="str">
        <f>IF(A2273="","",IF(INDEX(EXTRATO!$C$2:$C$3000,MATCH($A2273,EXTRATO!$A$2:$A$3000,0))="","",INDEX(EXTRATO!$C$2:$C$3000,MATCH($A2273,EXTRATO!$A$2:$A$3000,0))))</f>
        <v/>
      </c>
      <c r="C2273" s="86" t="str">
        <f t="shared" si="58"/>
        <v/>
      </c>
      <c r="D2273" s="81"/>
      <c r="E2273" s="79"/>
      <c r="F2273" s="80" t="str">
        <f>IF(A2273="","",SUMIF(EXTRATO!$A$2:$A$3000,$A2273,EXTRATO!$J$2:$J$3000)+SUMIF(EXTRATO!$A$2:$A$3000,$A2273,EXTRATO!$K$2:$K$3000)+SUMIF(EXTRATO!$A$2:$A$3000,$A2273,EXTRATO!$L$2:$L$3000)+SUMIF(EXTRATO!$A$2:$A$3000,$A2273,EXTRATO!$M$2:$M$3000))</f>
        <v/>
      </c>
      <c r="G2273" s="81" t="str">
        <f>IF(A2273="","",IF(INDEX(EXTRATO!$G$2:$G$3000,MATCH($A2273,EXTRATO!$A$2:$A$3000,0))="","",INDEX(EXTRATO!$G$2:$G$3000,MATCH($A2273,EXTRATO!$A$2:$A$3000,0))))</f>
        <v/>
      </c>
      <c r="H2273" s="86" t="str">
        <f>IF(A2273="","",IF(INDEX(EXTRATO!$F$2:$F$3000,MATCH($A2273,EXTRATO!$A$2:$A$3000,0))="","",INDEX(EXTRATO!$F$2:$F$3000,MATCH($A2273,EXTRATO!$A$2:$A$3000,0))))</f>
        <v/>
      </c>
      <c r="I2273" s="88" t="str">
        <f>IF(A2273="","",IF(INDEX(EXTRATO!$H$2:$H$3000,MATCH($A2273,EXTRATO!$A$2:$A$3000,0))="","",INDEX(EXTRATO!$H$2:$H$3000,MATCH($A2273,EXTRATO!$A$2:$A$3000,0))))</f>
        <v/>
      </c>
      <c r="J2273" s="86" t="str">
        <f t="shared" si="57"/>
        <v/>
      </c>
      <c r="K2273" s="86" t="str">
        <f>IF(AND(A2273="",D2273="",E2273="",F2273=""),"",IF(D2273="","SEM CATEGORIA",IF(E2273="","SEM SUBCATEGORIA",IF(COUNTIFS(CADASTROS!$L$7:$L$93,D2273,CADASTROS!$D$7:$D$93,E2273)=0,"INCOMPATÍVEL","OK"))))</f>
        <v/>
      </c>
    </row>
    <row r="2274" spans="1:11" ht="30" hidden="1" customHeight="1" x14ac:dyDescent="0.25">
      <c r="A2274" s="86" t="str">
        <f>IF(COUNTIF(EXTRATO!$A$2:$A$3000,"BAN-02131")=0,"","BAN-02131")</f>
        <v/>
      </c>
      <c r="B2274" s="85" t="str">
        <f>IF(A2274="","",IF(INDEX(EXTRATO!$C$2:$C$3000,MATCH($A2274,EXTRATO!$A$2:$A$3000,0))="","",INDEX(EXTRATO!$C$2:$C$3000,MATCH($A2274,EXTRATO!$A$2:$A$3000,0))))</f>
        <v/>
      </c>
      <c r="C2274" s="86" t="str">
        <f t="shared" si="58"/>
        <v/>
      </c>
      <c r="D2274" s="81"/>
      <c r="E2274" s="79"/>
      <c r="F2274" s="80" t="str">
        <f>IF(A2274="","",SUMIF(EXTRATO!$A$2:$A$3000,$A2274,EXTRATO!$J$2:$J$3000)+SUMIF(EXTRATO!$A$2:$A$3000,$A2274,EXTRATO!$K$2:$K$3000)+SUMIF(EXTRATO!$A$2:$A$3000,$A2274,EXTRATO!$L$2:$L$3000)+SUMIF(EXTRATO!$A$2:$A$3000,$A2274,EXTRATO!$M$2:$M$3000))</f>
        <v/>
      </c>
      <c r="G2274" s="81" t="str">
        <f>IF(A2274="","",IF(INDEX(EXTRATO!$G$2:$G$3000,MATCH($A2274,EXTRATO!$A$2:$A$3000,0))="","",INDEX(EXTRATO!$G$2:$G$3000,MATCH($A2274,EXTRATO!$A$2:$A$3000,0))))</f>
        <v/>
      </c>
      <c r="H2274" s="86" t="str">
        <f>IF(A2274="","",IF(INDEX(EXTRATO!$F$2:$F$3000,MATCH($A2274,EXTRATO!$A$2:$A$3000,0))="","",INDEX(EXTRATO!$F$2:$F$3000,MATCH($A2274,EXTRATO!$A$2:$A$3000,0))))</f>
        <v/>
      </c>
      <c r="I2274" s="88" t="str">
        <f>IF(A2274="","",IF(INDEX(EXTRATO!$H$2:$H$3000,MATCH($A2274,EXTRATO!$A$2:$A$3000,0))="","",INDEX(EXTRATO!$H$2:$H$3000,MATCH($A2274,EXTRATO!$A$2:$A$3000,0))))</f>
        <v/>
      </c>
      <c r="J2274" s="86" t="str">
        <f t="shared" si="57"/>
        <v/>
      </c>
      <c r="K2274" s="86" t="str">
        <f>IF(AND(A2274="",D2274="",E2274="",F2274=""),"",IF(D2274="","SEM CATEGORIA",IF(E2274="","SEM SUBCATEGORIA",IF(COUNTIFS(CADASTROS!$L$7:$L$93,D2274,CADASTROS!$D$7:$D$93,E2274)=0,"INCOMPATÍVEL","OK"))))</f>
        <v/>
      </c>
    </row>
    <row r="2275" spans="1:11" ht="30" hidden="1" customHeight="1" x14ac:dyDescent="0.25">
      <c r="A2275" s="86" t="str">
        <f>IF(COUNTIF(EXTRATO!$A$2:$A$3000,"BAN-02132")=0,"","BAN-02132")</f>
        <v/>
      </c>
      <c r="B2275" s="85" t="str">
        <f>IF(A2275="","",IF(INDEX(EXTRATO!$C$2:$C$3000,MATCH($A2275,EXTRATO!$A$2:$A$3000,0))="","",INDEX(EXTRATO!$C$2:$C$3000,MATCH($A2275,EXTRATO!$A$2:$A$3000,0))))</f>
        <v/>
      </c>
      <c r="C2275" s="86" t="str">
        <f t="shared" si="58"/>
        <v/>
      </c>
      <c r="D2275" s="81"/>
      <c r="E2275" s="79"/>
      <c r="F2275" s="80" t="str">
        <f>IF(A2275="","",SUMIF(EXTRATO!$A$2:$A$3000,$A2275,EXTRATO!$J$2:$J$3000)+SUMIF(EXTRATO!$A$2:$A$3000,$A2275,EXTRATO!$K$2:$K$3000)+SUMIF(EXTRATO!$A$2:$A$3000,$A2275,EXTRATO!$L$2:$L$3000)+SUMIF(EXTRATO!$A$2:$A$3000,$A2275,EXTRATO!$M$2:$M$3000))</f>
        <v/>
      </c>
      <c r="G2275" s="81" t="str">
        <f>IF(A2275="","",IF(INDEX(EXTRATO!$G$2:$G$3000,MATCH($A2275,EXTRATO!$A$2:$A$3000,0))="","",INDEX(EXTRATO!$G$2:$G$3000,MATCH($A2275,EXTRATO!$A$2:$A$3000,0))))</f>
        <v/>
      </c>
      <c r="H2275" s="86" t="str">
        <f>IF(A2275="","",IF(INDEX(EXTRATO!$F$2:$F$3000,MATCH($A2275,EXTRATO!$A$2:$A$3000,0))="","",INDEX(EXTRATO!$F$2:$F$3000,MATCH($A2275,EXTRATO!$A$2:$A$3000,0))))</f>
        <v/>
      </c>
      <c r="I2275" s="88" t="str">
        <f>IF(A2275="","",IF(INDEX(EXTRATO!$H$2:$H$3000,MATCH($A2275,EXTRATO!$A$2:$A$3000,0))="","",INDEX(EXTRATO!$H$2:$H$3000,MATCH($A2275,EXTRATO!$A$2:$A$3000,0))))</f>
        <v/>
      </c>
      <c r="J2275" s="86" t="str">
        <f t="shared" si="57"/>
        <v/>
      </c>
      <c r="K2275" s="86" t="str">
        <f>IF(AND(A2275="",D2275="",E2275="",F2275=""),"",IF(D2275="","SEM CATEGORIA",IF(E2275="","SEM SUBCATEGORIA",IF(COUNTIFS(CADASTROS!$L$7:$L$93,D2275,CADASTROS!$D$7:$D$93,E2275)=0,"INCOMPATÍVEL","OK"))))</f>
        <v/>
      </c>
    </row>
    <row r="2276" spans="1:11" ht="30" hidden="1" customHeight="1" x14ac:dyDescent="0.25">
      <c r="A2276" s="86" t="str">
        <f>IF(COUNTIF(EXTRATO!$A$2:$A$3000,"BAN-02133")=0,"","BAN-02133")</f>
        <v/>
      </c>
      <c r="B2276" s="85" t="str">
        <f>IF(A2276="","",IF(INDEX(EXTRATO!$C$2:$C$3000,MATCH($A2276,EXTRATO!$A$2:$A$3000,0))="","",INDEX(EXTRATO!$C$2:$C$3000,MATCH($A2276,EXTRATO!$A$2:$A$3000,0))))</f>
        <v/>
      </c>
      <c r="C2276" s="86" t="str">
        <f t="shared" si="58"/>
        <v/>
      </c>
      <c r="D2276" s="81"/>
      <c r="E2276" s="79"/>
      <c r="F2276" s="80" t="str">
        <f>IF(A2276="","",SUMIF(EXTRATO!$A$2:$A$3000,$A2276,EXTRATO!$J$2:$J$3000)+SUMIF(EXTRATO!$A$2:$A$3000,$A2276,EXTRATO!$K$2:$K$3000)+SUMIF(EXTRATO!$A$2:$A$3000,$A2276,EXTRATO!$L$2:$L$3000)+SUMIF(EXTRATO!$A$2:$A$3000,$A2276,EXTRATO!$M$2:$M$3000))</f>
        <v/>
      </c>
      <c r="G2276" s="81" t="str">
        <f>IF(A2276="","",IF(INDEX(EXTRATO!$G$2:$G$3000,MATCH($A2276,EXTRATO!$A$2:$A$3000,0))="","",INDEX(EXTRATO!$G$2:$G$3000,MATCH($A2276,EXTRATO!$A$2:$A$3000,0))))</f>
        <v/>
      </c>
      <c r="H2276" s="86" t="str">
        <f>IF(A2276="","",IF(INDEX(EXTRATO!$F$2:$F$3000,MATCH($A2276,EXTRATO!$A$2:$A$3000,0))="","",INDEX(EXTRATO!$F$2:$F$3000,MATCH($A2276,EXTRATO!$A$2:$A$3000,0))))</f>
        <v/>
      </c>
      <c r="I2276" s="88" t="str">
        <f>IF(A2276="","",IF(INDEX(EXTRATO!$H$2:$H$3000,MATCH($A2276,EXTRATO!$A$2:$A$3000,0))="","",INDEX(EXTRATO!$H$2:$H$3000,MATCH($A2276,EXTRATO!$A$2:$A$3000,0))))</f>
        <v/>
      </c>
      <c r="J2276" s="86" t="str">
        <f t="shared" si="57"/>
        <v/>
      </c>
      <c r="K2276" s="86" t="str">
        <f>IF(AND(A2276="",D2276="",E2276="",F2276=""),"",IF(D2276="","SEM CATEGORIA",IF(E2276="","SEM SUBCATEGORIA",IF(COUNTIFS(CADASTROS!$L$7:$L$93,D2276,CADASTROS!$D$7:$D$93,E2276)=0,"INCOMPATÍVEL","OK"))))</f>
        <v/>
      </c>
    </row>
    <row r="2277" spans="1:11" ht="30" hidden="1" customHeight="1" x14ac:dyDescent="0.25">
      <c r="A2277" s="86" t="str">
        <f>IF(COUNTIF(EXTRATO!$A$2:$A$3000,"BAN-02134")=0,"","BAN-02134")</f>
        <v/>
      </c>
      <c r="B2277" s="85" t="str">
        <f>IF(A2277="","",IF(INDEX(EXTRATO!$C$2:$C$3000,MATCH($A2277,EXTRATO!$A$2:$A$3000,0))="","",INDEX(EXTRATO!$C$2:$C$3000,MATCH($A2277,EXTRATO!$A$2:$A$3000,0))))</f>
        <v/>
      </c>
      <c r="C2277" s="86" t="str">
        <f t="shared" si="58"/>
        <v/>
      </c>
      <c r="D2277" s="81"/>
      <c r="E2277" s="79"/>
      <c r="F2277" s="80" t="str">
        <f>IF(A2277="","",SUMIF(EXTRATO!$A$2:$A$3000,$A2277,EXTRATO!$J$2:$J$3000)+SUMIF(EXTRATO!$A$2:$A$3000,$A2277,EXTRATO!$K$2:$K$3000)+SUMIF(EXTRATO!$A$2:$A$3000,$A2277,EXTRATO!$L$2:$L$3000)+SUMIF(EXTRATO!$A$2:$A$3000,$A2277,EXTRATO!$M$2:$M$3000))</f>
        <v/>
      </c>
      <c r="G2277" s="81" t="str">
        <f>IF(A2277="","",IF(INDEX(EXTRATO!$G$2:$G$3000,MATCH($A2277,EXTRATO!$A$2:$A$3000,0))="","",INDEX(EXTRATO!$G$2:$G$3000,MATCH($A2277,EXTRATO!$A$2:$A$3000,0))))</f>
        <v/>
      </c>
      <c r="H2277" s="86" t="str">
        <f>IF(A2277="","",IF(INDEX(EXTRATO!$F$2:$F$3000,MATCH($A2277,EXTRATO!$A$2:$A$3000,0))="","",INDEX(EXTRATO!$F$2:$F$3000,MATCH($A2277,EXTRATO!$A$2:$A$3000,0))))</f>
        <v/>
      </c>
      <c r="I2277" s="88" t="str">
        <f>IF(A2277="","",IF(INDEX(EXTRATO!$H$2:$H$3000,MATCH($A2277,EXTRATO!$A$2:$A$3000,0))="","",INDEX(EXTRATO!$H$2:$H$3000,MATCH($A2277,EXTRATO!$A$2:$A$3000,0))))</f>
        <v/>
      </c>
      <c r="J2277" s="86" t="str">
        <f t="shared" si="57"/>
        <v/>
      </c>
      <c r="K2277" s="86" t="str">
        <f>IF(AND(A2277="",D2277="",E2277="",F2277=""),"",IF(D2277="","SEM CATEGORIA",IF(E2277="","SEM SUBCATEGORIA",IF(COUNTIFS(CADASTROS!$L$7:$L$93,D2277,CADASTROS!$D$7:$D$93,E2277)=0,"INCOMPATÍVEL","OK"))))</f>
        <v/>
      </c>
    </row>
    <row r="2278" spans="1:11" ht="30" hidden="1" customHeight="1" x14ac:dyDescent="0.25">
      <c r="A2278" s="86" t="str">
        <f>IF(COUNTIF(EXTRATO!$A$2:$A$3000,"BAN-02135")=0,"","BAN-02135")</f>
        <v/>
      </c>
      <c r="B2278" s="85" t="str">
        <f>IF(A2278="","",IF(INDEX(EXTRATO!$C$2:$C$3000,MATCH($A2278,EXTRATO!$A$2:$A$3000,0))="","",INDEX(EXTRATO!$C$2:$C$3000,MATCH($A2278,EXTRATO!$A$2:$A$3000,0))))</f>
        <v/>
      </c>
      <c r="C2278" s="86" t="str">
        <f t="shared" si="58"/>
        <v/>
      </c>
      <c r="D2278" s="81"/>
      <c r="E2278" s="79"/>
      <c r="F2278" s="80" t="str">
        <f>IF(A2278="","",SUMIF(EXTRATO!$A$2:$A$3000,$A2278,EXTRATO!$J$2:$J$3000)+SUMIF(EXTRATO!$A$2:$A$3000,$A2278,EXTRATO!$K$2:$K$3000)+SUMIF(EXTRATO!$A$2:$A$3000,$A2278,EXTRATO!$L$2:$L$3000)+SUMIF(EXTRATO!$A$2:$A$3000,$A2278,EXTRATO!$M$2:$M$3000))</f>
        <v/>
      </c>
      <c r="G2278" s="81" t="str">
        <f>IF(A2278="","",IF(INDEX(EXTRATO!$G$2:$G$3000,MATCH($A2278,EXTRATO!$A$2:$A$3000,0))="","",INDEX(EXTRATO!$G$2:$G$3000,MATCH($A2278,EXTRATO!$A$2:$A$3000,0))))</f>
        <v/>
      </c>
      <c r="H2278" s="86" t="str">
        <f>IF(A2278="","",IF(INDEX(EXTRATO!$F$2:$F$3000,MATCH($A2278,EXTRATO!$A$2:$A$3000,0))="","",INDEX(EXTRATO!$F$2:$F$3000,MATCH($A2278,EXTRATO!$A$2:$A$3000,0))))</f>
        <v/>
      </c>
      <c r="I2278" s="88" t="str">
        <f>IF(A2278="","",IF(INDEX(EXTRATO!$H$2:$H$3000,MATCH($A2278,EXTRATO!$A$2:$A$3000,0))="","",INDEX(EXTRATO!$H$2:$H$3000,MATCH($A2278,EXTRATO!$A$2:$A$3000,0))))</f>
        <v/>
      </c>
      <c r="J2278" s="86" t="str">
        <f t="shared" si="57"/>
        <v/>
      </c>
      <c r="K2278" s="86" t="str">
        <f>IF(AND(A2278="",D2278="",E2278="",F2278=""),"",IF(D2278="","SEM CATEGORIA",IF(E2278="","SEM SUBCATEGORIA",IF(COUNTIFS(CADASTROS!$L$7:$L$93,D2278,CADASTROS!$D$7:$D$93,E2278)=0,"INCOMPATÍVEL","OK"))))</f>
        <v/>
      </c>
    </row>
    <row r="2279" spans="1:11" ht="30" hidden="1" customHeight="1" x14ac:dyDescent="0.25">
      <c r="A2279" s="86" t="str">
        <f>IF(COUNTIF(EXTRATO!$A$2:$A$3000,"BAN-02136")=0,"","BAN-02136")</f>
        <v/>
      </c>
      <c r="B2279" s="85" t="str">
        <f>IF(A2279="","",IF(INDEX(EXTRATO!$C$2:$C$3000,MATCH($A2279,EXTRATO!$A$2:$A$3000,0))="","",INDEX(EXTRATO!$C$2:$C$3000,MATCH($A2279,EXTRATO!$A$2:$A$3000,0))))</f>
        <v/>
      </c>
      <c r="C2279" s="86" t="str">
        <f t="shared" si="58"/>
        <v/>
      </c>
      <c r="D2279" s="81"/>
      <c r="E2279" s="79"/>
      <c r="F2279" s="80" t="str">
        <f>IF(A2279="","",SUMIF(EXTRATO!$A$2:$A$3000,$A2279,EXTRATO!$J$2:$J$3000)+SUMIF(EXTRATO!$A$2:$A$3000,$A2279,EXTRATO!$K$2:$K$3000)+SUMIF(EXTRATO!$A$2:$A$3000,$A2279,EXTRATO!$L$2:$L$3000)+SUMIF(EXTRATO!$A$2:$A$3000,$A2279,EXTRATO!$M$2:$M$3000))</f>
        <v/>
      </c>
      <c r="G2279" s="81" t="str">
        <f>IF(A2279="","",IF(INDEX(EXTRATO!$G$2:$G$3000,MATCH($A2279,EXTRATO!$A$2:$A$3000,0))="","",INDEX(EXTRATO!$G$2:$G$3000,MATCH($A2279,EXTRATO!$A$2:$A$3000,0))))</f>
        <v/>
      </c>
      <c r="H2279" s="86" t="str">
        <f>IF(A2279="","",IF(INDEX(EXTRATO!$F$2:$F$3000,MATCH($A2279,EXTRATO!$A$2:$A$3000,0))="","",INDEX(EXTRATO!$F$2:$F$3000,MATCH($A2279,EXTRATO!$A$2:$A$3000,0))))</f>
        <v/>
      </c>
      <c r="I2279" s="88" t="str">
        <f>IF(A2279="","",IF(INDEX(EXTRATO!$H$2:$H$3000,MATCH($A2279,EXTRATO!$A$2:$A$3000,0))="","",INDEX(EXTRATO!$H$2:$H$3000,MATCH($A2279,EXTRATO!$A$2:$A$3000,0))))</f>
        <v/>
      </c>
      <c r="J2279" s="86" t="str">
        <f t="shared" si="57"/>
        <v/>
      </c>
      <c r="K2279" s="86" t="str">
        <f>IF(AND(A2279="",D2279="",E2279="",F2279=""),"",IF(D2279="","SEM CATEGORIA",IF(E2279="","SEM SUBCATEGORIA",IF(COUNTIFS(CADASTROS!$L$7:$L$93,D2279,CADASTROS!$D$7:$D$93,E2279)=0,"INCOMPATÍVEL","OK"))))</f>
        <v/>
      </c>
    </row>
    <row r="2280" spans="1:11" ht="30" hidden="1" customHeight="1" x14ac:dyDescent="0.25">
      <c r="A2280" s="86" t="str">
        <f>IF(COUNTIF(EXTRATO!$A$2:$A$3000,"BAN-02137")=0,"","BAN-02137")</f>
        <v/>
      </c>
      <c r="B2280" s="85" t="str">
        <f>IF(A2280="","",IF(INDEX(EXTRATO!$C$2:$C$3000,MATCH($A2280,EXTRATO!$A$2:$A$3000,0))="","",INDEX(EXTRATO!$C$2:$C$3000,MATCH($A2280,EXTRATO!$A$2:$A$3000,0))))</f>
        <v/>
      </c>
      <c r="C2280" s="86" t="str">
        <f t="shared" si="58"/>
        <v/>
      </c>
      <c r="D2280" s="81"/>
      <c r="E2280" s="79"/>
      <c r="F2280" s="80" t="str">
        <f>IF(A2280="","",SUMIF(EXTRATO!$A$2:$A$3000,$A2280,EXTRATO!$J$2:$J$3000)+SUMIF(EXTRATO!$A$2:$A$3000,$A2280,EXTRATO!$K$2:$K$3000)+SUMIF(EXTRATO!$A$2:$A$3000,$A2280,EXTRATO!$L$2:$L$3000)+SUMIF(EXTRATO!$A$2:$A$3000,$A2280,EXTRATO!$M$2:$M$3000))</f>
        <v/>
      </c>
      <c r="G2280" s="81" t="str">
        <f>IF(A2280="","",IF(INDEX(EXTRATO!$G$2:$G$3000,MATCH($A2280,EXTRATO!$A$2:$A$3000,0))="","",INDEX(EXTRATO!$G$2:$G$3000,MATCH($A2280,EXTRATO!$A$2:$A$3000,0))))</f>
        <v/>
      </c>
      <c r="H2280" s="86" t="str">
        <f>IF(A2280="","",IF(INDEX(EXTRATO!$F$2:$F$3000,MATCH($A2280,EXTRATO!$A$2:$A$3000,0))="","",INDEX(EXTRATO!$F$2:$F$3000,MATCH($A2280,EXTRATO!$A$2:$A$3000,0))))</f>
        <v/>
      </c>
      <c r="I2280" s="88" t="str">
        <f>IF(A2280="","",IF(INDEX(EXTRATO!$H$2:$H$3000,MATCH($A2280,EXTRATO!$A$2:$A$3000,0))="","",INDEX(EXTRATO!$H$2:$H$3000,MATCH($A2280,EXTRATO!$A$2:$A$3000,0))))</f>
        <v/>
      </c>
      <c r="J2280" s="86" t="str">
        <f t="shared" si="57"/>
        <v/>
      </c>
      <c r="K2280" s="86" t="str">
        <f>IF(AND(A2280="",D2280="",E2280="",F2280=""),"",IF(D2280="","SEM CATEGORIA",IF(E2280="","SEM SUBCATEGORIA",IF(COUNTIFS(CADASTROS!$L$7:$L$93,D2280,CADASTROS!$D$7:$D$93,E2280)=0,"INCOMPATÍVEL","OK"))))</f>
        <v/>
      </c>
    </row>
    <row r="2281" spans="1:11" ht="30" hidden="1" customHeight="1" x14ac:dyDescent="0.25">
      <c r="A2281" s="86" t="str">
        <f>IF(COUNTIF(EXTRATO!$A$2:$A$3000,"BAN-02138")=0,"","BAN-02138")</f>
        <v/>
      </c>
      <c r="B2281" s="85" t="str">
        <f>IF(A2281="","",IF(INDEX(EXTRATO!$C$2:$C$3000,MATCH($A2281,EXTRATO!$A$2:$A$3000,0))="","",INDEX(EXTRATO!$C$2:$C$3000,MATCH($A2281,EXTRATO!$A$2:$A$3000,0))))</f>
        <v/>
      </c>
      <c r="C2281" s="86" t="str">
        <f t="shared" si="58"/>
        <v/>
      </c>
      <c r="D2281" s="81"/>
      <c r="E2281" s="79"/>
      <c r="F2281" s="80" t="str">
        <f>IF(A2281="","",SUMIF(EXTRATO!$A$2:$A$3000,$A2281,EXTRATO!$J$2:$J$3000)+SUMIF(EXTRATO!$A$2:$A$3000,$A2281,EXTRATO!$K$2:$K$3000)+SUMIF(EXTRATO!$A$2:$A$3000,$A2281,EXTRATO!$L$2:$L$3000)+SUMIF(EXTRATO!$A$2:$A$3000,$A2281,EXTRATO!$M$2:$M$3000))</f>
        <v/>
      </c>
      <c r="G2281" s="81" t="str">
        <f>IF(A2281="","",IF(INDEX(EXTRATO!$G$2:$G$3000,MATCH($A2281,EXTRATO!$A$2:$A$3000,0))="","",INDEX(EXTRATO!$G$2:$G$3000,MATCH($A2281,EXTRATO!$A$2:$A$3000,0))))</f>
        <v/>
      </c>
      <c r="H2281" s="86" t="str">
        <f>IF(A2281="","",IF(INDEX(EXTRATO!$F$2:$F$3000,MATCH($A2281,EXTRATO!$A$2:$A$3000,0))="","",INDEX(EXTRATO!$F$2:$F$3000,MATCH($A2281,EXTRATO!$A$2:$A$3000,0))))</f>
        <v/>
      </c>
      <c r="I2281" s="88" t="str">
        <f>IF(A2281="","",IF(INDEX(EXTRATO!$H$2:$H$3000,MATCH($A2281,EXTRATO!$A$2:$A$3000,0))="","",INDEX(EXTRATO!$H$2:$H$3000,MATCH($A2281,EXTRATO!$A$2:$A$3000,0))))</f>
        <v/>
      </c>
      <c r="J2281" s="86" t="str">
        <f t="shared" si="57"/>
        <v/>
      </c>
      <c r="K2281" s="86" t="str">
        <f>IF(AND(A2281="",D2281="",E2281="",F2281=""),"",IF(D2281="","SEM CATEGORIA",IF(E2281="","SEM SUBCATEGORIA",IF(COUNTIFS(CADASTROS!$L$7:$L$93,D2281,CADASTROS!$D$7:$D$93,E2281)=0,"INCOMPATÍVEL","OK"))))</f>
        <v/>
      </c>
    </row>
    <row r="2282" spans="1:11" ht="30" hidden="1" customHeight="1" x14ac:dyDescent="0.25">
      <c r="A2282" s="86" t="str">
        <f>IF(COUNTIF(EXTRATO!$A$2:$A$3000,"BAN-02139")=0,"","BAN-02139")</f>
        <v/>
      </c>
      <c r="B2282" s="85" t="str">
        <f>IF(A2282="","",IF(INDEX(EXTRATO!$C$2:$C$3000,MATCH($A2282,EXTRATO!$A$2:$A$3000,0))="","",INDEX(EXTRATO!$C$2:$C$3000,MATCH($A2282,EXTRATO!$A$2:$A$3000,0))))</f>
        <v/>
      </c>
      <c r="C2282" s="86" t="str">
        <f t="shared" si="58"/>
        <v/>
      </c>
      <c r="D2282" s="81"/>
      <c r="E2282" s="79"/>
      <c r="F2282" s="80" t="str">
        <f>IF(A2282="","",SUMIF(EXTRATO!$A$2:$A$3000,$A2282,EXTRATO!$J$2:$J$3000)+SUMIF(EXTRATO!$A$2:$A$3000,$A2282,EXTRATO!$K$2:$K$3000)+SUMIF(EXTRATO!$A$2:$A$3000,$A2282,EXTRATO!$L$2:$L$3000)+SUMIF(EXTRATO!$A$2:$A$3000,$A2282,EXTRATO!$M$2:$M$3000))</f>
        <v/>
      </c>
      <c r="G2282" s="81" t="str">
        <f>IF(A2282="","",IF(INDEX(EXTRATO!$G$2:$G$3000,MATCH($A2282,EXTRATO!$A$2:$A$3000,0))="","",INDEX(EXTRATO!$G$2:$G$3000,MATCH($A2282,EXTRATO!$A$2:$A$3000,0))))</f>
        <v/>
      </c>
      <c r="H2282" s="86" t="str">
        <f>IF(A2282="","",IF(INDEX(EXTRATO!$F$2:$F$3000,MATCH($A2282,EXTRATO!$A$2:$A$3000,0))="","",INDEX(EXTRATO!$F$2:$F$3000,MATCH($A2282,EXTRATO!$A$2:$A$3000,0))))</f>
        <v/>
      </c>
      <c r="I2282" s="88" t="str">
        <f>IF(A2282="","",IF(INDEX(EXTRATO!$H$2:$H$3000,MATCH($A2282,EXTRATO!$A$2:$A$3000,0))="","",INDEX(EXTRATO!$H$2:$H$3000,MATCH($A2282,EXTRATO!$A$2:$A$3000,0))))</f>
        <v/>
      </c>
      <c r="J2282" s="86" t="str">
        <f t="shared" si="57"/>
        <v/>
      </c>
      <c r="K2282" s="86" t="str">
        <f>IF(AND(A2282="",D2282="",E2282="",F2282=""),"",IF(D2282="","SEM CATEGORIA",IF(E2282="","SEM SUBCATEGORIA",IF(COUNTIFS(CADASTROS!$L$7:$L$93,D2282,CADASTROS!$D$7:$D$93,E2282)=0,"INCOMPATÍVEL","OK"))))</f>
        <v/>
      </c>
    </row>
    <row r="2283" spans="1:11" ht="30" hidden="1" customHeight="1" x14ac:dyDescent="0.25">
      <c r="A2283" s="86" t="str">
        <f>IF(COUNTIF(EXTRATO!$A$2:$A$3000,"BAN-02140")=0,"","BAN-02140")</f>
        <v/>
      </c>
      <c r="B2283" s="85" t="str">
        <f>IF(A2283="","",IF(INDEX(EXTRATO!$C$2:$C$3000,MATCH($A2283,EXTRATO!$A$2:$A$3000,0))="","",INDEX(EXTRATO!$C$2:$C$3000,MATCH($A2283,EXTRATO!$A$2:$A$3000,0))))</f>
        <v/>
      </c>
      <c r="C2283" s="86" t="str">
        <f t="shared" si="58"/>
        <v/>
      </c>
      <c r="D2283" s="81"/>
      <c r="E2283" s="79"/>
      <c r="F2283" s="80" t="str">
        <f>IF(A2283="","",SUMIF(EXTRATO!$A$2:$A$3000,$A2283,EXTRATO!$J$2:$J$3000)+SUMIF(EXTRATO!$A$2:$A$3000,$A2283,EXTRATO!$K$2:$K$3000)+SUMIF(EXTRATO!$A$2:$A$3000,$A2283,EXTRATO!$L$2:$L$3000)+SUMIF(EXTRATO!$A$2:$A$3000,$A2283,EXTRATO!$M$2:$M$3000))</f>
        <v/>
      </c>
      <c r="G2283" s="81" t="str">
        <f>IF(A2283="","",IF(INDEX(EXTRATO!$G$2:$G$3000,MATCH($A2283,EXTRATO!$A$2:$A$3000,0))="","",INDEX(EXTRATO!$G$2:$G$3000,MATCH($A2283,EXTRATO!$A$2:$A$3000,0))))</f>
        <v/>
      </c>
      <c r="H2283" s="86" t="str">
        <f>IF(A2283="","",IF(INDEX(EXTRATO!$F$2:$F$3000,MATCH($A2283,EXTRATO!$A$2:$A$3000,0))="","",INDEX(EXTRATO!$F$2:$F$3000,MATCH($A2283,EXTRATO!$A$2:$A$3000,0))))</f>
        <v/>
      </c>
      <c r="I2283" s="88" t="str">
        <f>IF(A2283="","",IF(INDEX(EXTRATO!$H$2:$H$3000,MATCH($A2283,EXTRATO!$A$2:$A$3000,0))="","",INDEX(EXTRATO!$H$2:$H$3000,MATCH($A2283,EXTRATO!$A$2:$A$3000,0))))</f>
        <v/>
      </c>
      <c r="J2283" s="86" t="str">
        <f t="shared" si="57"/>
        <v/>
      </c>
      <c r="K2283" s="86" t="str">
        <f>IF(AND(A2283="",D2283="",E2283="",F2283=""),"",IF(D2283="","SEM CATEGORIA",IF(E2283="","SEM SUBCATEGORIA",IF(COUNTIFS(CADASTROS!$L$7:$L$93,D2283,CADASTROS!$D$7:$D$93,E2283)=0,"INCOMPATÍVEL","OK"))))</f>
        <v/>
      </c>
    </row>
    <row r="2284" spans="1:11" ht="30" hidden="1" customHeight="1" x14ac:dyDescent="0.25">
      <c r="A2284" s="86" t="str">
        <f>IF(COUNTIF(EXTRATO!$A$2:$A$3000,"BAN-02141")=0,"","BAN-02141")</f>
        <v/>
      </c>
      <c r="B2284" s="85" t="str">
        <f>IF(A2284="","",IF(INDEX(EXTRATO!$C$2:$C$3000,MATCH($A2284,EXTRATO!$A$2:$A$3000,0))="","",INDEX(EXTRATO!$C$2:$C$3000,MATCH($A2284,EXTRATO!$A$2:$A$3000,0))))</f>
        <v/>
      </c>
      <c r="C2284" s="86" t="str">
        <f t="shared" si="58"/>
        <v/>
      </c>
      <c r="D2284" s="81"/>
      <c r="E2284" s="79"/>
      <c r="F2284" s="80" t="str">
        <f>IF(A2284="","",SUMIF(EXTRATO!$A$2:$A$3000,$A2284,EXTRATO!$J$2:$J$3000)+SUMIF(EXTRATO!$A$2:$A$3000,$A2284,EXTRATO!$K$2:$K$3000)+SUMIF(EXTRATO!$A$2:$A$3000,$A2284,EXTRATO!$L$2:$L$3000)+SUMIF(EXTRATO!$A$2:$A$3000,$A2284,EXTRATO!$M$2:$M$3000))</f>
        <v/>
      </c>
      <c r="G2284" s="81" t="str">
        <f>IF(A2284="","",IF(INDEX(EXTRATO!$G$2:$G$3000,MATCH($A2284,EXTRATO!$A$2:$A$3000,0))="","",INDEX(EXTRATO!$G$2:$G$3000,MATCH($A2284,EXTRATO!$A$2:$A$3000,0))))</f>
        <v/>
      </c>
      <c r="H2284" s="86" t="str">
        <f>IF(A2284="","",IF(INDEX(EXTRATO!$F$2:$F$3000,MATCH($A2284,EXTRATO!$A$2:$A$3000,0))="","",INDEX(EXTRATO!$F$2:$F$3000,MATCH($A2284,EXTRATO!$A$2:$A$3000,0))))</f>
        <v/>
      </c>
      <c r="I2284" s="88" t="str">
        <f>IF(A2284="","",IF(INDEX(EXTRATO!$H$2:$H$3000,MATCH($A2284,EXTRATO!$A$2:$A$3000,0))="","",INDEX(EXTRATO!$H$2:$H$3000,MATCH($A2284,EXTRATO!$A$2:$A$3000,0))))</f>
        <v/>
      </c>
      <c r="J2284" s="86" t="str">
        <f t="shared" ref="J2284:J2347" si="59">IF(A2284="","",IF(K2284="OK","MANUAL","PENDENTE"))</f>
        <v/>
      </c>
      <c r="K2284" s="86" t="str">
        <f>IF(AND(A2284="",D2284="",E2284="",F2284=""),"",IF(D2284="","SEM CATEGORIA",IF(E2284="","SEM SUBCATEGORIA",IF(COUNTIFS(CADASTROS!$L$7:$L$93,D2284,CADASTROS!$D$7:$D$93,E2284)=0,"INCOMPATÍVEL","OK"))))</f>
        <v/>
      </c>
    </row>
    <row r="2285" spans="1:11" ht="30" hidden="1" customHeight="1" x14ac:dyDescent="0.25">
      <c r="A2285" s="86" t="str">
        <f>IF(COUNTIF(EXTRATO!$A$2:$A$3000,"BAN-02142")=0,"","BAN-02142")</f>
        <v/>
      </c>
      <c r="B2285" s="85" t="str">
        <f>IF(A2285="","",IF(INDEX(EXTRATO!$C$2:$C$3000,MATCH($A2285,EXTRATO!$A$2:$A$3000,0))="","",INDEX(EXTRATO!$C$2:$C$3000,MATCH($A2285,EXTRATO!$A$2:$A$3000,0))))</f>
        <v/>
      </c>
      <c r="C2285" s="86" t="str">
        <f t="shared" si="58"/>
        <v/>
      </c>
      <c r="D2285" s="81"/>
      <c r="E2285" s="79"/>
      <c r="F2285" s="80" t="str">
        <f>IF(A2285="","",SUMIF(EXTRATO!$A$2:$A$3000,$A2285,EXTRATO!$J$2:$J$3000)+SUMIF(EXTRATO!$A$2:$A$3000,$A2285,EXTRATO!$K$2:$K$3000)+SUMIF(EXTRATO!$A$2:$A$3000,$A2285,EXTRATO!$L$2:$L$3000)+SUMIF(EXTRATO!$A$2:$A$3000,$A2285,EXTRATO!$M$2:$M$3000))</f>
        <v/>
      </c>
      <c r="G2285" s="81" t="str">
        <f>IF(A2285="","",IF(INDEX(EXTRATO!$G$2:$G$3000,MATCH($A2285,EXTRATO!$A$2:$A$3000,0))="","",INDEX(EXTRATO!$G$2:$G$3000,MATCH($A2285,EXTRATO!$A$2:$A$3000,0))))</f>
        <v/>
      </c>
      <c r="H2285" s="86" t="str">
        <f>IF(A2285="","",IF(INDEX(EXTRATO!$F$2:$F$3000,MATCH($A2285,EXTRATO!$A$2:$A$3000,0))="","",INDEX(EXTRATO!$F$2:$F$3000,MATCH($A2285,EXTRATO!$A$2:$A$3000,0))))</f>
        <v/>
      </c>
      <c r="I2285" s="88" t="str">
        <f>IF(A2285="","",IF(INDEX(EXTRATO!$H$2:$H$3000,MATCH($A2285,EXTRATO!$A$2:$A$3000,0))="","",INDEX(EXTRATO!$H$2:$H$3000,MATCH($A2285,EXTRATO!$A$2:$A$3000,0))))</f>
        <v/>
      </c>
      <c r="J2285" s="86" t="str">
        <f t="shared" si="59"/>
        <v/>
      </c>
      <c r="K2285" s="86" t="str">
        <f>IF(AND(A2285="",D2285="",E2285="",F2285=""),"",IF(D2285="","SEM CATEGORIA",IF(E2285="","SEM SUBCATEGORIA",IF(COUNTIFS(CADASTROS!$L$7:$L$93,D2285,CADASTROS!$D$7:$D$93,E2285)=0,"INCOMPATÍVEL","OK"))))</f>
        <v/>
      </c>
    </row>
    <row r="2286" spans="1:11" ht="30" hidden="1" customHeight="1" x14ac:dyDescent="0.25">
      <c r="A2286" s="86" t="str">
        <f>IF(COUNTIF(EXTRATO!$A$2:$A$3000,"BAN-02143")=0,"","BAN-02143")</f>
        <v/>
      </c>
      <c r="B2286" s="85" t="str">
        <f>IF(A2286="","",IF(INDEX(EXTRATO!$C$2:$C$3000,MATCH($A2286,EXTRATO!$A$2:$A$3000,0))="","",INDEX(EXTRATO!$C$2:$C$3000,MATCH($A2286,EXTRATO!$A$2:$A$3000,0))))</f>
        <v/>
      </c>
      <c r="C2286" s="86" t="str">
        <f t="shared" si="58"/>
        <v/>
      </c>
      <c r="D2286" s="81"/>
      <c r="E2286" s="79"/>
      <c r="F2286" s="80" t="str">
        <f>IF(A2286="","",SUMIF(EXTRATO!$A$2:$A$3000,$A2286,EXTRATO!$J$2:$J$3000)+SUMIF(EXTRATO!$A$2:$A$3000,$A2286,EXTRATO!$K$2:$K$3000)+SUMIF(EXTRATO!$A$2:$A$3000,$A2286,EXTRATO!$L$2:$L$3000)+SUMIF(EXTRATO!$A$2:$A$3000,$A2286,EXTRATO!$M$2:$M$3000))</f>
        <v/>
      </c>
      <c r="G2286" s="81" t="str">
        <f>IF(A2286="","",IF(INDEX(EXTRATO!$G$2:$G$3000,MATCH($A2286,EXTRATO!$A$2:$A$3000,0))="","",INDEX(EXTRATO!$G$2:$G$3000,MATCH($A2286,EXTRATO!$A$2:$A$3000,0))))</f>
        <v/>
      </c>
      <c r="H2286" s="86" t="str">
        <f>IF(A2286="","",IF(INDEX(EXTRATO!$F$2:$F$3000,MATCH($A2286,EXTRATO!$A$2:$A$3000,0))="","",INDEX(EXTRATO!$F$2:$F$3000,MATCH($A2286,EXTRATO!$A$2:$A$3000,0))))</f>
        <v/>
      </c>
      <c r="I2286" s="88" t="str">
        <f>IF(A2286="","",IF(INDEX(EXTRATO!$H$2:$H$3000,MATCH($A2286,EXTRATO!$A$2:$A$3000,0))="","",INDEX(EXTRATO!$H$2:$H$3000,MATCH($A2286,EXTRATO!$A$2:$A$3000,0))))</f>
        <v/>
      </c>
      <c r="J2286" s="86" t="str">
        <f t="shared" si="59"/>
        <v/>
      </c>
      <c r="K2286" s="86" t="str">
        <f>IF(AND(A2286="",D2286="",E2286="",F2286=""),"",IF(D2286="","SEM CATEGORIA",IF(E2286="","SEM SUBCATEGORIA",IF(COUNTIFS(CADASTROS!$L$7:$L$93,D2286,CADASTROS!$D$7:$D$93,E2286)=0,"INCOMPATÍVEL","OK"))))</f>
        <v/>
      </c>
    </row>
    <row r="2287" spans="1:11" ht="30" hidden="1" customHeight="1" x14ac:dyDescent="0.25">
      <c r="A2287" s="86" t="str">
        <f>IF(COUNTIF(EXTRATO!$A$2:$A$3000,"BAN-02144")=0,"","BAN-02144")</f>
        <v/>
      </c>
      <c r="B2287" s="85" t="str">
        <f>IF(A2287="","",IF(INDEX(EXTRATO!$C$2:$C$3000,MATCH($A2287,EXTRATO!$A$2:$A$3000,0))="","",INDEX(EXTRATO!$C$2:$C$3000,MATCH($A2287,EXTRATO!$A$2:$A$3000,0))))</f>
        <v/>
      </c>
      <c r="C2287" s="86" t="str">
        <f t="shared" si="58"/>
        <v/>
      </c>
      <c r="D2287" s="81"/>
      <c r="E2287" s="79"/>
      <c r="F2287" s="80" t="str">
        <f>IF(A2287="","",SUMIF(EXTRATO!$A$2:$A$3000,$A2287,EXTRATO!$J$2:$J$3000)+SUMIF(EXTRATO!$A$2:$A$3000,$A2287,EXTRATO!$K$2:$K$3000)+SUMIF(EXTRATO!$A$2:$A$3000,$A2287,EXTRATO!$L$2:$L$3000)+SUMIF(EXTRATO!$A$2:$A$3000,$A2287,EXTRATO!$M$2:$M$3000))</f>
        <v/>
      </c>
      <c r="G2287" s="81" t="str">
        <f>IF(A2287="","",IF(INDEX(EXTRATO!$G$2:$G$3000,MATCH($A2287,EXTRATO!$A$2:$A$3000,0))="","",INDEX(EXTRATO!$G$2:$G$3000,MATCH($A2287,EXTRATO!$A$2:$A$3000,0))))</f>
        <v/>
      </c>
      <c r="H2287" s="86" t="str">
        <f>IF(A2287="","",IF(INDEX(EXTRATO!$F$2:$F$3000,MATCH($A2287,EXTRATO!$A$2:$A$3000,0))="","",INDEX(EXTRATO!$F$2:$F$3000,MATCH($A2287,EXTRATO!$A$2:$A$3000,0))))</f>
        <v/>
      </c>
      <c r="I2287" s="88" t="str">
        <f>IF(A2287="","",IF(INDEX(EXTRATO!$H$2:$H$3000,MATCH($A2287,EXTRATO!$A$2:$A$3000,0))="","",INDEX(EXTRATO!$H$2:$H$3000,MATCH($A2287,EXTRATO!$A$2:$A$3000,0))))</f>
        <v/>
      </c>
      <c r="J2287" s="86" t="str">
        <f t="shared" si="59"/>
        <v/>
      </c>
      <c r="K2287" s="86" t="str">
        <f>IF(AND(A2287="",D2287="",E2287="",F2287=""),"",IF(D2287="","SEM CATEGORIA",IF(E2287="","SEM SUBCATEGORIA",IF(COUNTIFS(CADASTROS!$L$7:$L$93,D2287,CADASTROS!$D$7:$D$93,E2287)=0,"INCOMPATÍVEL","OK"))))</f>
        <v/>
      </c>
    </row>
    <row r="2288" spans="1:11" ht="30" hidden="1" customHeight="1" x14ac:dyDescent="0.25">
      <c r="A2288" s="86" t="str">
        <f>IF(COUNTIF(EXTRATO!$A$2:$A$3000,"BAN-02145")=0,"","BAN-02145")</f>
        <v/>
      </c>
      <c r="B2288" s="85" t="str">
        <f>IF(A2288="","",IF(INDEX(EXTRATO!$C$2:$C$3000,MATCH($A2288,EXTRATO!$A$2:$A$3000,0))="","",INDEX(EXTRATO!$C$2:$C$3000,MATCH($A2288,EXTRATO!$A$2:$A$3000,0))))</f>
        <v/>
      </c>
      <c r="C2288" s="86" t="str">
        <f t="shared" si="58"/>
        <v/>
      </c>
      <c r="D2288" s="81"/>
      <c r="E2288" s="79"/>
      <c r="F2288" s="80" t="str">
        <f>IF(A2288="","",SUMIF(EXTRATO!$A$2:$A$3000,$A2288,EXTRATO!$J$2:$J$3000)+SUMIF(EXTRATO!$A$2:$A$3000,$A2288,EXTRATO!$K$2:$K$3000)+SUMIF(EXTRATO!$A$2:$A$3000,$A2288,EXTRATO!$L$2:$L$3000)+SUMIF(EXTRATO!$A$2:$A$3000,$A2288,EXTRATO!$M$2:$M$3000))</f>
        <v/>
      </c>
      <c r="G2288" s="81" t="str">
        <f>IF(A2288="","",IF(INDEX(EXTRATO!$G$2:$G$3000,MATCH($A2288,EXTRATO!$A$2:$A$3000,0))="","",INDEX(EXTRATO!$G$2:$G$3000,MATCH($A2288,EXTRATO!$A$2:$A$3000,0))))</f>
        <v/>
      </c>
      <c r="H2288" s="86" t="str">
        <f>IF(A2288="","",IF(INDEX(EXTRATO!$F$2:$F$3000,MATCH($A2288,EXTRATO!$A$2:$A$3000,0))="","",INDEX(EXTRATO!$F$2:$F$3000,MATCH($A2288,EXTRATO!$A$2:$A$3000,0))))</f>
        <v/>
      </c>
      <c r="I2288" s="88" t="str">
        <f>IF(A2288="","",IF(INDEX(EXTRATO!$H$2:$H$3000,MATCH($A2288,EXTRATO!$A$2:$A$3000,0))="","",INDEX(EXTRATO!$H$2:$H$3000,MATCH($A2288,EXTRATO!$A$2:$A$3000,0))))</f>
        <v/>
      </c>
      <c r="J2288" s="86" t="str">
        <f t="shared" si="59"/>
        <v/>
      </c>
      <c r="K2288" s="86" t="str">
        <f>IF(AND(A2288="",D2288="",E2288="",F2288=""),"",IF(D2288="","SEM CATEGORIA",IF(E2288="","SEM SUBCATEGORIA",IF(COUNTIFS(CADASTROS!$L$7:$L$93,D2288,CADASTROS!$D$7:$D$93,E2288)=0,"INCOMPATÍVEL","OK"))))</f>
        <v/>
      </c>
    </row>
    <row r="2289" spans="1:11" ht="30" hidden="1" customHeight="1" x14ac:dyDescent="0.25">
      <c r="A2289" s="86" t="str">
        <f>IF(COUNTIF(EXTRATO!$A$2:$A$3000,"BAN-02146")=0,"","BAN-02146")</f>
        <v/>
      </c>
      <c r="B2289" s="85" t="str">
        <f>IF(A2289="","",IF(INDEX(EXTRATO!$C$2:$C$3000,MATCH($A2289,EXTRATO!$A$2:$A$3000,0))="","",INDEX(EXTRATO!$C$2:$C$3000,MATCH($A2289,EXTRATO!$A$2:$A$3000,0))))</f>
        <v/>
      </c>
      <c r="C2289" s="86" t="str">
        <f t="shared" si="58"/>
        <v/>
      </c>
      <c r="D2289" s="81"/>
      <c r="E2289" s="79"/>
      <c r="F2289" s="80" t="str">
        <f>IF(A2289="","",SUMIF(EXTRATO!$A$2:$A$3000,$A2289,EXTRATO!$J$2:$J$3000)+SUMIF(EXTRATO!$A$2:$A$3000,$A2289,EXTRATO!$K$2:$K$3000)+SUMIF(EXTRATO!$A$2:$A$3000,$A2289,EXTRATO!$L$2:$L$3000)+SUMIF(EXTRATO!$A$2:$A$3000,$A2289,EXTRATO!$M$2:$M$3000))</f>
        <v/>
      </c>
      <c r="G2289" s="81" t="str">
        <f>IF(A2289="","",IF(INDEX(EXTRATO!$G$2:$G$3000,MATCH($A2289,EXTRATO!$A$2:$A$3000,0))="","",INDEX(EXTRATO!$G$2:$G$3000,MATCH($A2289,EXTRATO!$A$2:$A$3000,0))))</f>
        <v/>
      </c>
      <c r="H2289" s="86" t="str">
        <f>IF(A2289="","",IF(INDEX(EXTRATO!$F$2:$F$3000,MATCH($A2289,EXTRATO!$A$2:$A$3000,0))="","",INDEX(EXTRATO!$F$2:$F$3000,MATCH($A2289,EXTRATO!$A$2:$A$3000,0))))</f>
        <v/>
      </c>
      <c r="I2289" s="88" t="str">
        <f>IF(A2289="","",IF(INDEX(EXTRATO!$H$2:$H$3000,MATCH($A2289,EXTRATO!$A$2:$A$3000,0))="","",INDEX(EXTRATO!$H$2:$H$3000,MATCH($A2289,EXTRATO!$A$2:$A$3000,0))))</f>
        <v/>
      </c>
      <c r="J2289" s="86" t="str">
        <f t="shared" si="59"/>
        <v/>
      </c>
      <c r="K2289" s="86" t="str">
        <f>IF(AND(A2289="",D2289="",E2289="",F2289=""),"",IF(D2289="","SEM CATEGORIA",IF(E2289="","SEM SUBCATEGORIA",IF(COUNTIFS(CADASTROS!$L$7:$L$93,D2289,CADASTROS!$D$7:$D$93,E2289)=0,"INCOMPATÍVEL","OK"))))</f>
        <v/>
      </c>
    </row>
    <row r="2290" spans="1:11" ht="30" hidden="1" customHeight="1" x14ac:dyDescent="0.25">
      <c r="A2290" s="86" t="str">
        <f>IF(COUNTIF(EXTRATO!$A$2:$A$3000,"BAN-02147")=0,"","BAN-02147")</f>
        <v/>
      </c>
      <c r="B2290" s="85" t="str">
        <f>IF(A2290="","",IF(INDEX(EXTRATO!$C$2:$C$3000,MATCH($A2290,EXTRATO!$A$2:$A$3000,0))="","",INDEX(EXTRATO!$C$2:$C$3000,MATCH($A2290,EXTRATO!$A$2:$A$3000,0))))</f>
        <v/>
      </c>
      <c r="C2290" s="86" t="str">
        <f t="shared" si="58"/>
        <v/>
      </c>
      <c r="D2290" s="81"/>
      <c r="E2290" s="79"/>
      <c r="F2290" s="80" t="str">
        <f>IF(A2290="","",SUMIF(EXTRATO!$A$2:$A$3000,$A2290,EXTRATO!$J$2:$J$3000)+SUMIF(EXTRATO!$A$2:$A$3000,$A2290,EXTRATO!$K$2:$K$3000)+SUMIF(EXTRATO!$A$2:$A$3000,$A2290,EXTRATO!$L$2:$L$3000)+SUMIF(EXTRATO!$A$2:$A$3000,$A2290,EXTRATO!$M$2:$M$3000))</f>
        <v/>
      </c>
      <c r="G2290" s="81" t="str">
        <f>IF(A2290="","",IF(INDEX(EXTRATO!$G$2:$G$3000,MATCH($A2290,EXTRATO!$A$2:$A$3000,0))="","",INDEX(EXTRATO!$G$2:$G$3000,MATCH($A2290,EXTRATO!$A$2:$A$3000,0))))</f>
        <v/>
      </c>
      <c r="H2290" s="86" t="str">
        <f>IF(A2290="","",IF(INDEX(EXTRATO!$F$2:$F$3000,MATCH($A2290,EXTRATO!$A$2:$A$3000,0))="","",INDEX(EXTRATO!$F$2:$F$3000,MATCH($A2290,EXTRATO!$A$2:$A$3000,0))))</f>
        <v/>
      </c>
      <c r="I2290" s="88" t="str">
        <f>IF(A2290="","",IF(INDEX(EXTRATO!$H$2:$H$3000,MATCH($A2290,EXTRATO!$A$2:$A$3000,0))="","",INDEX(EXTRATO!$H$2:$H$3000,MATCH($A2290,EXTRATO!$A$2:$A$3000,0))))</f>
        <v/>
      </c>
      <c r="J2290" s="86" t="str">
        <f t="shared" si="59"/>
        <v/>
      </c>
      <c r="K2290" s="86" t="str">
        <f>IF(AND(A2290="",D2290="",E2290="",F2290=""),"",IF(D2290="","SEM CATEGORIA",IF(E2290="","SEM SUBCATEGORIA",IF(COUNTIFS(CADASTROS!$L$7:$L$93,D2290,CADASTROS!$D$7:$D$93,E2290)=0,"INCOMPATÍVEL","OK"))))</f>
        <v/>
      </c>
    </row>
    <row r="2291" spans="1:11" ht="30" hidden="1" customHeight="1" x14ac:dyDescent="0.25">
      <c r="A2291" s="86" t="str">
        <f>IF(COUNTIF(EXTRATO!$A$2:$A$3000,"BAN-02148")=0,"","BAN-02148")</f>
        <v/>
      </c>
      <c r="B2291" s="85" t="str">
        <f>IF(A2291="","",IF(INDEX(EXTRATO!$C$2:$C$3000,MATCH($A2291,EXTRATO!$A$2:$A$3000,0))="","",INDEX(EXTRATO!$C$2:$C$3000,MATCH($A2291,EXTRATO!$A$2:$A$3000,0))))</f>
        <v/>
      </c>
      <c r="C2291" s="86" t="str">
        <f t="shared" si="58"/>
        <v/>
      </c>
      <c r="D2291" s="81"/>
      <c r="E2291" s="79"/>
      <c r="F2291" s="80" t="str">
        <f>IF(A2291="","",SUMIF(EXTRATO!$A$2:$A$3000,$A2291,EXTRATO!$J$2:$J$3000)+SUMIF(EXTRATO!$A$2:$A$3000,$A2291,EXTRATO!$K$2:$K$3000)+SUMIF(EXTRATO!$A$2:$A$3000,$A2291,EXTRATO!$L$2:$L$3000)+SUMIF(EXTRATO!$A$2:$A$3000,$A2291,EXTRATO!$M$2:$M$3000))</f>
        <v/>
      </c>
      <c r="G2291" s="81" t="str">
        <f>IF(A2291="","",IF(INDEX(EXTRATO!$G$2:$G$3000,MATCH($A2291,EXTRATO!$A$2:$A$3000,0))="","",INDEX(EXTRATO!$G$2:$G$3000,MATCH($A2291,EXTRATO!$A$2:$A$3000,0))))</f>
        <v/>
      </c>
      <c r="H2291" s="86" t="str">
        <f>IF(A2291="","",IF(INDEX(EXTRATO!$F$2:$F$3000,MATCH($A2291,EXTRATO!$A$2:$A$3000,0))="","",INDEX(EXTRATO!$F$2:$F$3000,MATCH($A2291,EXTRATO!$A$2:$A$3000,0))))</f>
        <v/>
      </c>
      <c r="I2291" s="88" t="str">
        <f>IF(A2291="","",IF(INDEX(EXTRATO!$H$2:$H$3000,MATCH($A2291,EXTRATO!$A$2:$A$3000,0))="","",INDEX(EXTRATO!$H$2:$H$3000,MATCH($A2291,EXTRATO!$A$2:$A$3000,0))))</f>
        <v/>
      </c>
      <c r="J2291" s="86" t="str">
        <f t="shared" si="59"/>
        <v/>
      </c>
      <c r="K2291" s="86" t="str">
        <f>IF(AND(A2291="",D2291="",E2291="",F2291=""),"",IF(D2291="","SEM CATEGORIA",IF(E2291="","SEM SUBCATEGORIA",IF(COUNTIFS(CADASTROS!$L$7:$L$93,D2291,CADASTROS!$D$7:$D$93,E2291)=0,"INCOMPATÍVEL","OK"))))</f>
        <v/>
      </c>
    </row>
    <row r="2292" spans="1:11" ht="30" hidden="1" customHeight="1" x14ac:dyDescent="0.25">
      <c r="A2292" s="86" t="str">
        <f>IF(COUNTIF(EXTRATO!$A$2:$A$3000,"BAN-02149")=0,"","BAN-02149")</f>
        <v/>
      </c>
      <c r="B2292" s="85" t="str">
        <f>IF(A2292="","",IF(INDEX(EXTRATO!$C$2:$C$3000,MATCH($A2292,EXTRATO!$A$2:$A$3000,0))="","",INDEX(EXTRATO!$C$2:$C$3000,MATCH($A2292,EXTRATO!$A$2:$A$3000,0))))</f>
        <v/>
      </c>
      <c r="C2292" s="86" t="str">
        <f t="shared" si="58"/>
        <v/>
      </c>
      <c r="D2292" s="81"/>
      <c r="E2292" s="79"/>
      <c r="F2292" s="80" t="str">
        <f>IF(A2292="","",SUMIF(EXTRATO!$A$2:$A$3000,$A2292,EXTRATO!$J$2:$J$3000)+SUMIF(EXTRATO!$A$2:$A$3000,$A2292,EXTRATO!$K$2:$K$3000)+SUMIF(EXTRATO!$A$2:$A$3000,$A2292,EXTRATO!$L$2:$L$3000)+SUMIF(EXTRATO!$A$2:$A$3000,$A2292,EXTRATO!$M$2:$M$3000))</f>
        <v/>
      </c>
      <c r="G2292" s="81" t="str">
        <f>IF(A2292="","",IF(INDEX(EXTRATO!$G$2:$G$3000,MATCH($A2292,EXTRATO!$A$2:$A$3000,0))="","",INDEX(EXTRATO!$G$2:$G$3000,MATCH($A2292,EXTRATO!$A$2:$A$3000,0))))</f>
        <v/>
      </c>
      <c r="H2292" s="86" t="str">
        <f>IF(A2292="","",IF(INDEX(EXTRATO!$F$2:$F$3000,MATCH($A2292,EXTRATO!$A$2:$A$3000,0))="","",INDEX(EXTRATO!$F$2:$F$3000,MATCH($A2292,EXTRATO!$A$2:$A$3000,0))))</f>
        <v/>
      </c>
      <c r="I2292" s="88" t="str">
        <f>IF(A2292="","",IF(INDEX(EXTRATO!$H$2:$H$3000,MATCH($A2292,EXTRATO!$A$2:$A$3000,0))="","",INDEX(EXTRATO!$H$2:$H$3000,MATCH($A2292,EXTRATO!$A$2:$A$3000,0))))</f>
        <v/>
      </c>
      <c r="J2292" s="86" t="str">
        <f t="shared" si="59"/>
        <v/>
      </c>
      <c r="K2292" s="86" t="str">
        <f>IF(AND(A2292="",D2292="",E2292="",F2292=""),"",IF(D2292="","SEM CATEGORIA",IF(E2292="","SEM SUBCATEGORIA",IF(COUNTIFS(CADASTROS!$L$7:$L$93,D2292,CADASTROS!$D$7:$D$93,E2292)=0,"INCOMPATÍVEL","OK"))))</f>
        <v/>
      </c>
    </row>
    <row r="2293" spans="1:11" ht="30" hidden="1" customHeight="1" x14ac:dyDescent="0.25">
      <c r="A2293" s="86" t="str">
        <f>IF(COUNTIF(EXTRATO!$A$2:$A$3000,"BAN-02150")=0,"","BAN-02150")</f>
        <v/>
      </c>
      <c r="B2293" s="85" t="str">
        <f>IF(A2293="","",IF(INDEX(EXTRATO!$C$2:$C$3000,MATCH($A2293,EXTRATO!$A$2:$A$3000,0))="","",INDEX(EXTRATO!$C$2:$C$3000,MATCH($A2293,EXTRATO!$A$2:$A$3000,0))))</f>
        <v/>
      </c>
      <c r="C2293" s="86" t="str">
        <f t="shared" si="58"/>
        <v/>
      </c>
      <c r="D2293" s="81"/>
      <c r="E2293" s="79"/>
      <c r="F2293" s="80" t="str">
        <f>IF(A2293="","",SUMIF(EXTRATO!$A$2:$A$3000,$A2293,EXTRATO!$J$2:$J$3000)+SUMIF(EXTRATO!$A$2:$A$3000,$A2293,EXTRATO!$K$2:$K$3000)+SUMIF(EXTRATO!$A$2:$A$3000,$A2293,EXTRATO!$L$2:$L$3000)+SUMIF(EXTRATO!$A$2:$A$3000,$A2293,EXTRATO!$M$2:$M$3000))</f>
        <v/>
      </c>
      <c r="G2293" s="81" t="str">
        <f>IF(A2293="","",IF(INDEX(EXTRATO!$G$2:$G$3000,MATCH($A2293,EXTRATO!$A$2:$A$3000,0))="","",INDEX(EXTRATO!$G$2:$G$3000,MATCH($A2293,EXTRATO!$A$2:$A$3000,0))))</f>
        <v/>
      </c>
      <c r="H2293" s="86" t="str">
        <f>IF(A2293="","",IF(INDEX(EXTRATO!$F$2:$F$3000,MATCH($A2293,EXTRATO!$A$2:$A$3000,0))="","",INDEX(EXTRATO!$F$2:$F$3000,MATCH($A2293,EXTRATO!$A$2:$A$3000,0))))</f>
        <v/>
      </c>
      <c r="I2293" s="88" t="str">
        <f>IF(A2293="","",IF(INDEX(EXTRATO!$H$2:$H$3000,MATCH($A2293,EXTRATO!$A$2:$A$3000,0))="","",INDEX(EXTRATO!$H$2:$H$3000,MATCH($A2293,EXTRATO!$A$2:$A$3000,0))))</f>
        <v/>
      </c>
      <c r="J2293" s="86" t="str">
        <f t="shared" si="59"/>
        <v/>
      </c>
      <c r="K2293" s="86" t="str">
        <f>IF(AND(A2293="",D2293="",E2293="",F2293=""),"",IF(D2293="","SEM CATEGORIA",IF(E2293="","SEM SUBCATEGORIA",IF(COUNTIFS(CADASTROS!$L$7:$L$93,D2293,CADASTROS!$D$7:$D$93,E2293)=0,"INCOMPATÍVEL","OK"))))</f>
        <v/>
      </c>
    </row>
    <row r="2294" spans="1:11" ht="30" hidden="1" customHeight="1" x14ac:dyDescent="0.25">
      <c r="A2294" s="86" t="str">
        <f>IF(COUNTIF(EXTRATO!$A$2:$A$3000,"BAN-02151")=0,"","BAN-02151")</f>
        <v/>
      </c>
      <c r="B2294" s="85" t="str">
        <f>IF(A2294="","",IF(INDEX(EXTRATO!$C$2:$C$3000,MATCH($A2294,EXTRATO!$A$2:$A$3000,0))="","",INDEX(EXTRATO!$C$2:$C$3000,MATCH($A2294,EXTRATO!$A$2:$A$3000,0))))</f>
        <v/>
      </c>
      <c r="C2294" s="86" t="str">
        <f t="shared" si="58"/>
        <v/>
      </c>
      <c r="D2294" s="81"/>
      <c r="E2294" s="79"/>
      <c r="F2294" s="80" t="str">
        <f>IF(A2294="","",SUMIF(EXTRATO!$A$2:$A$3000,$A2294,EXTRATO!$J$2:$J$3000)+SUMIF(EXTRATO!$A$2:$A$3000,$A2294,EXTRATO!$K$2:$K$3000)+SUMIF(EXTRATO!$A$2:$A$3000,$A2294,EXTRATO!$L$2:$L$3000)+SUMIF(EXTRATO!$A$2:$A$3000,$A2294,EXTRATO!$M$2:$M$3000))</f>
        <v/>
      </c>
      <c r="G2294" s="81" t="str">
        <f>IF(A2294="","",IF(INDEX(EXTRATO!$G$2:$G$3000,MATCH($A2294,EXTRATO!$A$2:$A$3000,0))="","",INDEX(EXTRATO!$G$2:$G$3000,MATCH($A2294,EXTRATO!$A$2:$A$3000,0))))</f>
        <v/>
      </c>
      <c r="H2294" s="86" t="str">
        <f>IF(A2294="","",IF(INDEX(EXTRATO!$F$2:$F$3000,MATCH($A2294,EXTRATO!$A$2:$A$3000,0))="","",INDEX(EXTRATO!$F$2:$F$3000,MATCH($A2294,EXTRATO!$A$2:$A$3000,0))))</f>
        <v/>
      </c>
      <c r="I2294" s="88" t="str">
        <f>IF(A2294="","",IF(INDEX(EXTRATO!$H$2:$H$3000,MATCH($A2294,EXTRATO!$A$2:$A$3000,0))="","",INDEX(EXTRATO!$H$2:$H$3000,MATCH($A2294,EXTRATO!$A$2:$A$3000,0))))</f>
        <v/>
      </c>
      <c r="J2294" s="86" t="str">
        <f t="shared" si="59"/>
        <v/>
      </c>
      <c r="K2294" s="86" t="str">
        <f>IF(AND(A2294="",D2294="",E2294="",F2294=""),"",IF(D2294="","SEM CATEGORIA",IF(E2294="","SEM SUBCATEGORIA",IF(COUNTIFS(CADASTROS!$L$7:$L$93,D2294,CADASTROS!$D$7:$D$93,E2294)=0,"INCOMPATÍVEL","OK"))))</f>
        <v/>
      </c>
    </row>
    <row r="2295" spans="1:11" ht="30" hidden="1" customHeight="1" x14ac:dyDescent="0.25">
      <c r="A2295" s="86" t="str">
        <f>IF(COUNTIF(EXTRATO!$A$2:$A$3000,"BAN-02152")=0,"","BAN-02152")</f>
        <v/>
      </c>
      <c r="B2295" s="85" t="str">
        <f>IF(A2295="","",IF(INDEX(EXTRATO!$C$2:$C$3000,MATCH($A2295,EXTRATO!$A$2:$A$3000,0))="","",INDEX(EXTRATO!$C$2:$C$3000,MATCH($A2295,EXTRATO!$A$2:$A$3000,0))))</f>
        <v/>
      </c>
      <c r="C2295" s="86" t="str">
        <f t="shared" si="58"/>
        <v/>
      </c>
      <c r="D2295" s="81"/>
      <c r="E2295" s="79"/>
      <c r="F2295" s="80" t="str">
        <f>IF(A2295="","",SUMIF(EXTRATO!$A$2:$A$3000,$A2295,EXTRATO!$J$2:$J$3000)+SUMIF(EXTRATO!$A$2:$A$3000,$A2295,EXTRATO!$K$2:$K$3000)+SUMIF(EXTRATO!$A$2:$A$3000,$A2295,EXTRATO!$L$2:$L$3000)+SUMIF(EXTRATO!$A$2:$A$3000,$A2295,EXTRATO!$M$2:$M$3000))</f>
        <v/>
      </c>
      <c r="G2295" s="81" t="str">
        <f>IF(A2295="","",IF(INDEX(EXTRATO!$G$2:$G$3000,MATCH($A2295,EXTRATO!$A$2:$A$3000,0))="","",INDEX(EXTRATO!$G$2:$G$3000,MATCH($A2295,EXTRATO!$A$2:$A$3000,0))))</f>
        <v/>
      </c>
      <c r="H2295" s="86" t="str">
        <f>IF(A2295="","",IF(INDEX(EXTRATO!$F$2:$F$3000,MATCH($A2295,EXTRATO!$A$2:$A$3000,0))="","",INDEX(EXTRATO!$F$2:$F$3000,MATCH($A2295,EXTRATO!$A$2:$A$3000,0))))</f>
        <v/>
      </c>
      <c r="I2295" s="88" t="str">
        <f>IF(A2295="","",IF(INDEX(EXTRATO!$H$2:$H$3000,MATCH($A2295,EXTRATO!$A$2:$A$3000,0))="","",INDEX(EXTRATO!$H$2:$H$3000,MATCH($A2295,EXTRATO!$A$2:$A$3000,0))))</f>
        <v/>
      </c>
      <c r="J2295" s="86" t="str">
        <f t="shared" si="59"/>
        <v/>
      </c>
      <c r="K2295" s="86" t="str">
        <f>IF(AND(A2295="",D2295="",E2295="",F2295=""),"",IF(D2295="","SEM CATEGORIA",IF(E2295="","SEM SUBCATEGORIA",IF(COUNTIFS(CADASTROS!$L$7:$L$93,D2295,CADASTROS!$D$7:$D$93,E2295)=0,"INCOMPATÍVEL","OK"))))</f>
        <v/>
      </c>
    </row>
    <row r="2296" spans="1:11" ht="30" hidden="1" customHeight="1" x14ac:dyDescent="0.25">
      <c r="A2296" s="86" t="str">
        <f>IF(COUNTIF(EXTRATO!$A$2:$A$3000,"BAN-02153")=0,"","BAN-02153")</f>
        <v/>
      </c>
      <c r="B2296" s="85" t="str">
        <f>IF(A2296="","",IF(INDEX(EXTRATO!$C$2:$C$3000,MATCH($A2296,EXTRATO!$A$2:$A$3000,0))="","",INDEX(EXTRATO!$C$2:$C$3000,MATCH($A2296,EXTRATO!$A$2:$A$3000,0))))</f>
        <v/>
      </c>
      <c r="C2296" s="86" t="str">
        <f t="shared" si="58"/>
        <v/>
      </c>
      <c r="D2296" s="81"/>
      <c r="E2296" s="79"/>
      <c r="F2296" s="80" t="str">
        <f>IF(A2296="","",SUMIF(EXTRATO!$A$2:$A$3000,$A2296,EXTRATO!$J$2:$J$3000)+SUMIF(EXTRATO!$A$2:$A$3000,$A2296,EXTRATO!$K$2:$K$3000)+SUMIF(EXTRATO!$A$2:$A$3000,$A2296,EXTRATO!$L$2:$L$3000)+SUMIF(EXTRATO!$A$2:$A$3000,$A2296,EXTRATO!$M$2:$M$3000))</f>
        <v/>
      </c>
      <c r="G2296" s="81" t="str">
        <f>IF(A2296="","",IF(INDEX(EXTRATO!$G$2:$G$3000,MATCH($A2296,EXTRATO!$A$2:$A$3000,0))="","",INDEX(EXTRATO!$G$2:$G$3000,MATCH($A2296,EXTRATO!$A$2:$A$3000,0))))</f>
        <v/>
      </c>
      <c r="H2296" s="86" t="str">
        <f>IF(A2296="","",IF(INDEX(EXTRATO!$F$2:$F$3000,MATCH($A2296,EXTRATO!$A$2:$A$3000,0))="","",INDEX(EXTRATO!$F$2:$F$3000,MATCH($A2296,EXTRATO!$A$2:$A$3000,0))))</f>
        <v/>
      </c>
      <c r="I2296" s="88" t="str">
        <f>IF(A2296="","",IF(INDEX(EXTRATO!$H$2:$H$3000,MATCH($A2296,EXTRATO!$A$2:$A$3000,0))="","",INDEX(EXTRATO!$H$2:$H$3000,MATCH($A2296,EXTRATO!$A$2:$A$3000,0))))</f>
        <v/>
      </c>
      <c r="J2296" s="86" t="str">
        <f t="shared" si="59"/>
        <v/>
      </c>
      <c r="K2296" s="86" t="str">
        <f>IF(AND(A2296="",D2296="",E2296="",F2296=""),"",IF(D2296="","SEM CATEGORIA",IF(E2296="","SEM SUBCATEGORIA",IF(COUNTIFS(CADASTROS!$L$7:$L$93,D2296,CADASTROS!$D$7:$D$93,E2296)=0,"INCOMPATÍVEL","OK"))))</f>
        <v/>
      </c>
    </row>
    <row r="2297" spans="1:11" ht="30" hidden="1" customHeight="1" x14ac:dyDescent="0.25">
      <c r="A2297" s="86" t="str">
        <f>IF(COUNTIF(EXTRATO!$A$2:$A$3000,"BAN-02154")=0,"","BAN-02154")</f>
        <v/>
      </c>
      <c r="B2297" s="85" t="str">
        <f>IF(A2297="","",IF(INDEX(EXTRATO!$C$2:$C$3000,MATCH($A2297,EXTRATO!$A$2:$A$3000,0))="","",INDEX(EXTRATO!$C$2:$C$3000,MATCH($A2297,EXTRATO!$A$2:$A$3000,0))))</f>
        <v/>
      </c>
      <c r="C2297" s="86" t="str">
        <f t="shared" si="58"/>
        <v/>
      </c>
      <c r="D2297" s="81"/>
      <c r="E2297" s="79"/>
      <c r="F2297" s="80" t="str">
        <f>IF(A2297="","",SUMIF(EXTRATO!$A$2:$A$3000,$A2297,EXTRATO!$J$2:$J$3000)+SUMIF(EXTRATO!$A$2:$A$3000,$A2297,EXTRATO!$K$2:$K$3000)+SUMIF(EXTRATO!$A$2:$A$3000,$A2297,EXTRATO!$L$2:$L$3000)+SUMIF(EXTRATO!$A$2:$A$3000,$A2297,EXTRATO!$M$2:$M$3000))</f>
        <v/>
      </c>
      <c r="G2297" s="81" t="str">
        <f>IF(A2297="","",IF(INDEX(EXTRATO!$G$2:$G$3000,MATCH($A2297,EXTRATO!$A$2:$A$3000,0))="","",INDEX(EXTRATO!$G$2:$G$3000,MATCH($A2297,EXTRATO!$A$2:$A$3000,0))))</f>
        <v/>
      </c>
      <c r="H2297" s="86" t="str">
        <f>IF(A2297="","",IF(INDEX(EXTRATO!$F$2:$F$3000,MATCH($A2297,EXTRATO!$A$2:$A$3000,0))="","",INDEX(EXTRATO!$F$2:$F$3000,MATCH($A2297,EXTRATO!$A$2:$A$3000,0))))</f>
        <v/>
      </c>
      <c r="I2297" s="88" t="str">
        <f>IF(A2297="","",IF(INDEX(EXTRATO!$H$2:$H$3000,MATCH($A2297,EXTRATO!$A$2:$A$3000,0))="","",INDEX(EXTRATO!$H$2:$H$3000,MATCH($A2297,EXTRATO!$A$2:$A$3000,0))))</f>
        <v/>
      </c>
      <c r="J2297" s="86" t="str">
        <f t="shared" si="59"/>
        <v/>
      </c>
      <c r="K2297" s="86" t="str">
        <f>IF(AND(A2297="",D2297="",E2297="",F2297=""),"",IF(D2297="","SEM CATEGORIA",IF(E2297="","SEM SUBCATEGORIA",IF(COUNTIFS(CADASTROS!$L$7:$L$93,D2297,CADASTROS!$D$7:$D$93,E2297)=0,"INCOMPATÍVEL","OK"))))</f>
        <v/>
      </c>
    </row>
    <row r="2298" spans="1:11" ht="30" hidden="1" customHeight="1" x14ac:dyDescent="0.25">
      <c r="A2298" s="86" t="str">
        <f>IF(COUNTIF(EXTRATO!$A$2:$A$3000,"BAN-02155")=0,"","BAN-02155")</f>
        <v/>
      </c>
      <c r="B2298" s="85" t="str">
        <f>IF(A2298="","",IF(INDEX(EXTRATO!$C$2:$C$3000,MATCH($A2298,EXTRATO!$A$2:$A$3000,0))="","",INDEX(EXTRATO!$C$2:$C$3000,MATCH($A2298,EXTRATO!$A$2:$A$3000,0))))</f>
        <v/>
      </c>
      <c r="C2298" s="86" t="str">
        <f t="shared" si="58"/>
        <v/>
      </c>
      <c r="D2298" s="81"/>
      <c r="E2298" s="79"/>
      <c r="F2298" s="80" t="str">
        <f>IF(A2298="","",SUMIF(EXTRATO!$A$2:$A$3000,$A2298,EXTRATO!$J$2:$J$3000)+SUMIF(EXTRATO!$A$2:$A$3000,$A2298,EXTRATO!$K$2:$K$3000)+SUMIF(EXTRATO!$A$2:$A$3000,$A2298,EXTRATO!$L$2:$L$3000)+SUMIF(EXTRATO!$A$2:$A$3000,$A2298,EXTRATO!$M$2:$M$3000))</f>
        <v/>
      </c>
      <c r="G2298" s="81" t="str">
        <f>IF(A2298="","",IF(INDEX(EXTRATO!$G$2:$G$3000,MATCH($A2298,EXTRATO!$A$2:$A$3000,0))="","",INDEX(EXTRATO!$G$2:$G$3000,MATCH($A2298,EXTRATO!$A$2:$A$3000,0))))</f>
        <v/>
      </c>
      <c r="H2298" s="86" t="str">
        <f>IF(A2298="","",IF(INDEX(EXTRATO!$F$2:$F$3000,MATCH($A2298,EXTRATO!$A$2:$A$3000,0))="","",INDEX(EXTRATO!$F$2:$F$3000,MATCH($A2298,EXTRATO!$A$2:$A$3000,0))))</f>
        <v/>
      </c>
      <c r="I2298" s="88" t="str">
        <f>IF(A2298="","",IF(INDEX(EXTRATO!$H$2:$H$3000,MATCH($A2298,EXTRATO!$A$2:$A$3000,0))="","",INDEX(EXTRATO!$H$2:$H$3000,MATCH($A2298,EXTRATO!$A$2:$A$3000,0))))</f>
        <v/>
      </c>
      <c r="J2298" s="86" t="str">
        <f t="shared" si="59"/>
        <v/>
      </c>
      <c r="K2298" s="86" t="str">
        <f>IF(AND(A2298="",D2298="",E2298="",F2298=""),"",IF(D2298="","SEM CATEGORIA",IF(E2298="","SEM SUBCATEGORIA",IF(COUNTIFS(CADASTROS!$L$7:$L$93,D2298,CADASTROS!$D$7:$D$93,E2298)=0,"INCOMPATÍVEL","OK"))))</f>
        <v/>
      </c>
    </row>
    <row r="2299" spans="1:11" ht="30" hidden="1" customHeight="1" x14ac:dyDescent="0.25">
      <c r="A2299" s="86" t="str">
        <f>IF(COUNTIF(EXTRATO!$A$2:$A$3000,"BAN-02156")=0,"","BAN-02156")</f>
        <v/>
      </c>
      <c r="B2299" s="85" t="str">
        <f>IF(A2299="","",IF(INDEX(EXTRATO!$C$2:$C$3000,MATCH($A2299,EXTRATO!$A$2:$A$3000,0))="","",INDEX(EXTRATO!$C$2:$C$3000,MATCH($A2299,EXTRATO!$A$2:$A$3000,0))))</f>
        <v/>
      </c>
      <c r="C2299" s="86" t="str">
        <f t="shared" si="58"/>
        <v/>
      </c>
      <c r="D2299" s="81"/>
      <c r="E2299" s="79"/>
      <c r="F2299" s="80" t="str">
        <f>IF(A2299="","",SUMIF(EXTRATO!$A$2:$A$3000,$A2299,EXTRATO!$J$2:$J$3000)+SUMIF(EXTRATO!$A$2:$A$3000,$A2299,EXTRATO!$K$2:$K$3000)+SUMIF(EXTRATO!$A$2:$A$3000,$A2299,EXTRATO!$L$2:$L$3000)+SUMIF(EXTRATO!$A$2:$A$3000,$A2299,EXTRATO!$M$2:$M$3000))</f>
        <v/>
      </c>
      <c r="G2299" s="81" t="str">
        <f>IF(A2299="","",IF(INDEX(EXTRATO!$G$2:$G$3000,MATCH($A2299,EXTRATO!$A$2:$A$3000,0))="","",INDEX(EXTRATO!$G$2:$G$3000,MATCH($A2299,EXTRATO!$A$2:$A$3000,0))))</f>
        <v/>
      </c>
      <c r="H2299" s="86" t="str">
        <f>IF(A2299="","",IF(INDEX(EXTRATO!$F$2:$F$3000,MATCH($A2299,EXTRATO!$A$2:$A$3000,0))="","",INDEX(EXTRATO!$F$2:$F$3000,MATCH($A2299,EXTRATO!$A$2:$A$3000,0))))</f>
        <v/>
      </c>
      <c r="I2299" s="88" t="str">
        <f>IF(A2299="","",IF(INDEX(EXTRATO!$H$2:$H$3000,MATCH($A2299,EXTRATO!$A$2:$A$3000,0))="","",INDEX(EXTRATO!$H$2:$H$3000,MATCH($A2299,EXTRATO!$A$2:$A$3000,0))))</f>
        <v/>
      </c>
      <c r="J2299" s="86" t="str">
        <f t="shared" si="59"/>
        <v/>
      </c>
      <c r="K2299" s="86" t="str">
        <f>IF(AND(A2299="",D2299="",E2299="",F2299=""),"",IF(D2299="","SEM CATEGORIA",IF(E2299="","SEM SUBCATEGORIA",IF(COUNTIFS(CADASTROS!$L$7:$L$93,D2299,CADASTROS!$D$7:$D$93,E2299)=0,"INCOMPATÍVEL","OK"))))</f>
        <v/>
      </c>
    </row>
    <row r="2300" spans="1:11" ht="30" hidden="1" customHeight="1" x14ac:dyDescent="0.25">
      <c r="A2300" s="86" t="str">
        <f>IF(COUNTIF(EXTRATO!$A$2:$A$3000,"BAN-02157")=0,"","BAN-02157")</f>
        <v/>
      </c>
      <c r="B2300" s="85" t="str">
        <f>IF(A2300="","",IF(INDEX(EXTRATO!$C$2:$C$3000,MATCH($A2300,EXTRATO!$A$2:$A$3000,0))="","",INDEX(EXTRATO!$C$2:$C$3000,MATCH($A2300,EXTRATO!$A$2:$A$3000,0))))</f>
        <v/>
      </c>
      <c r="C2300" s="86" t="str">
        <f t="shared" si="58"/>
        <v/>
      </c>
      <c r="D2300" s="81"/>
      <c r="E2300" s="79"/>
      <c r="F2300" s="80" t="str">
        <f>IF(A2300="","",SUMIF(EXTRATO!$A$2:$A$3000,$A2300,EXTRATO!$J$2:$J$3000)+SUMIF(EXTRATO!$A$2:$A$3000,$A2300,EXTRATO!$K$2:$K$3000)+SUMIF(EXTRATO!$A$2:$A$3000,$A2300,EXTRATO!$L$2:$L$3000)+SUMIF(EXTRATO!$A$2:$A$3000,$A2300,EXTRATO!$M$2:$M$3000))</f>
        <v/>
      </c>
      <c r="G2300" s="81" t="str">
        <f>IF(A2300="","",IF(INDEX(EXTRATO!$G$2:$G$3000,MATCH($A2300,EXTRATO!$A$2:$A$3000,0))="","",INDEX(EXTRATO!$G$2:$G$3000,MATCH($A2300,EXTRATO!$A$2:$A$3000,0))))</f>
        <v/>
      </c>
      <c r="H2300" s="86" t="str">
        <f>IF(A2300="","",IF(INDEX(EXTRATO!$F$2:$F$3000,MATCH($A2300,EXTRATO!$A$2:$A$3000,0))="","",INDEX(EXTRATO!$F$2:$F$3000,MATCH($A2300,EXTRATO!$A$2:$A$3000,0))))</f>
        <v/>
      </c>
      <c r="I2300" s="88" t="str">
        <f>IF(A2300="","",IF(INDEX(EXTRATO!$H$2:$H$3000,MATCH($A2300,EXTRATO!$A$2:$A$3000,0))="","",INDEX(EXTRATO!$H$2:$H$3000,MATCH($A2300,EXTRATO!$A$2:$A$3000,0))))</f>
        <v/>
      </c>
      <c r="J2300" s="86" t="str">
        <f t="shared" si="59"/>
        <v/>
      </c>
      <c r="K2300" s="86" t="str">
        <f>IF(AND(A2300="",D2300="",E2300="",F2300=""),"",IF(D2300="","SEM CATEGORIA",IF(E2300="","SEM SUBCATEGORIA",IF(COUNTIFS(CADASTROS!$L$7:$L$93,D2300,CADASTROS!$D$7:$D$93,E2300)=0,"INCOMPATÍVEL","OK"))))</f>
        <v/>
      </c>
    </row>
    <row r="2301" spans="1:11" ht="30" hidden="1" customHeight="1" x14ac:dyDescent="0.25">
      <c r="A2301" s="86" t="str">
        <f>IF(COUNTIF(EXTRATO!$A$2:$A$3000,"BAN-02158")=0,"","BAN-02158")</f>
        <v/>
      </c>
      <c r="B2301" s="85" t="str">
        <f>IF(A2301="","",IF(INDEX(EXTRATO!$C$2:$C$3000,MATCH($A2301,EXTRATO!$A$2:$A$3000,0))="","",INDEX(EXTRATO!$C$2:$C$3000,MATCH($A2301,EXTRATO!$A$2:$A$3000,0))))</f>
        <v/>
      </c>
      <c r="C2301" s="86" t="str">
        <f t="shared" si="58"/>
        <v/>
      </c>
      <c r="D2301" s="81"/>
      <c r="E2301" s="79"/>
      <c r="F2301" s="80" t="str">
        <f>IF(A2301="","",SUMIF(EXTRATO!$A$2:$A$3000,$A2301,EXTRATO!$J$2:$J$3000)+SUMIF(EXTRATO!$A$2:$A$3000,$A2301,EXTRATO!$K$2:$K$3000)+SUMIF(EXTRATO!$A$2:$A$3000,$A2301,EXTRATO!$L$2:$L$3000)+SUMIF(EXTRATO!$A$2:$A$3000,$A2301,EXTRATO!$M$2:$M$3000))</f>
        <v/>
      </c>
      <c r="G2301" s="81" t="str">
        <f>IF(A2301="","",IF(INDEX(EXTRATO!$G$2:$G$3000,MATCH($A2301,EXTRATO!$A$2:$A$3000,0))="","",INDEX(EXTRATO!$G$2:$G$3000,MATCH($A2301,EXTRATO!$A$2:$A$3000,0))))</f>
        <v/>
      </c>
      <c r="H2301" s="86" t="str">
        <f>IF(A2301="","",IF(INDEX(EXTRATO!$F$2:$F$3000,MATCH($A2301,EXTRATO!$A$2:$A$3000,0))="","",INDEX(EXTRATO!$F$2:$F$3000,MATCH($A2301,EXTRATO!$A$2:$A$3000,0))))</f>
        <v/>
      </c>
      <c r="I2301" s="88" t="str">
        <f>IF(A2301="","",IF(INDEX(EXTRATO!$H$2:$H$3000,MATCH($A2301,EXTRATO!$A$2:$A$3000,0))="","",INDEX(EXTRATO!$H$2:$H$3000,MATCH($A2301,EXTRATO!$A$2:$A$3000,0))))</f>
        <v/>
      </c>
      <c r="J2301" s="86" t="str">
        <f t="shared" si="59"/>
        <v/>
      </c>
      <c r="K2301" s="86" t="str">
        <f>IF(AND(A2301="",D2301="",E2301="",F2301=""),"",IF(D2301="","SEM CATEGORIA",IF(E2301="","SEM SUBCATEGORIA",IF(COUNTIFS(CADASTROS!$L$7:$L$93,D2301,CADASTROS!$D$7:$D$93,E2301)=0,"INCOMPATÍVEL","OK"))))</f>
        <v/>
      </c>
    </row>
    <row r="2302" spans="1:11" ht="30" hidden="1" customHeight="1" x14ac:dyDescent="0.25">
      <c r="A2302" s="86" t="str">
        <f>IF(COUNTIF(EXTRATO!$A$2:$A$3000,"BAN-02159")=0,"","BAN-02159")</f>
        <v/>
      </c>
      <c r="B2302" s="85" t="str">
        <f>IF(A2302="","",IF(INDEX(EXTRATO!$C$2:$C$3000,MATCH($A2302,EXTRATO!$A$2:$A$3000,0))="","",INDEX(EXTRATO!$C$2:$C$3000,MATCH($A2302,EXTRATO!$A$2:$A$3000,0))))</f>
        <v/>
      </c>
      <c r="C2302" s="86" t="str">
        <f t="shared" si="58"/>
        <v/>
      </c>
      <c r="D2302" s="81"/>
      <c r="E2302" s="79"/>
      <c r="F2302" s="80" t="str">
        <f>IF(A2302="","",SUMIF(EXTRATO!$A$2:$A$3000,$A2302,EXTRATO!$J$2:$J$3000)+SUMIF(EXTRATO!$A$2:$A$3000,$A2302,EXTRATO!$K$2:$K$3000)+SUMIF(EXTRATO!$A$2:$A$3000,$A2302,EXTRATO!$L$2:$L$3000)+SUMIF(EXTRATO!$A$2:$A$3000,$A2302,EXTRATO!$M$2:$M$3000))</f>
        <v/>
      </c>
      <c r="G2302" s="81" t="str">
        <f>IF(A2302="","",IF(INDEX(EXTRATO!$G$2:$G$3000,MATCH($A2302,EXTRATO!$A$2:$A$3000,0))="","",INDEX(EXTRATO!$G$2:$G$3000,MATCH($A2302,EXTRATO!$A$2:$A$3000,0))))</f>
        <v/>
      </c>
      <c r="H2302" s="86" t="str">
        <f>IF(A2302="","",IF(INDEX(EXTRATO!$F$2:$F$3000,MATCH($A2302,EXTRATO!$A$2:$A$3000,0))="","",INDEX(EXTRATO!$F$2:$F$3000,MATCH($A2302,EXTRATO!$A$2:$A$3000,0))))</f>
        <v/>
      </c>
      <c r="I2302" s="88" t="str">
        <f>IF(A2302="","",IF(INDEX(EXTRATO!$H$2:$H$3000,MATCH($A2302,EXTRATO!$A$2:$A$3000,0))="","",INDEX(EXTRATO!$H$2:$H$3000,MATCH($A2302,EXTRATO!$A$2:$A$3000,0))))</f>
        <v/>
      </c>
      <c r="J2302" s="86" t="str">
        <f t="shared" si="59"/>
        <v/>
      </c>
      <c r="K2302" s="86" t="str">
        <f>IF(AND(A2302="",D2302="",E2302="",F2302=""),"",IF(D2302="","SEM CATEGORIA",IF(E2302="","SEM SUBCATEGORIA",IF(COUNTIFS(CADASTROS!$L$7:$L$93,D2302,CADASTROS!$D$7:$D$93,E2302)=0,"INCOMPATÍVEL","OK"))))</f>
        <v/>
      </c>
    </row>
    <row r="2303" spans="1:11" ht="30" hidden="1" customHeight="1" x14ac:dyDescent="0.25">
      <c r="A2303" s="86" t="str">
        <f>IF(COUNTIF(EXTRATO!$A$2:$A$3000,"BAN-02160")=0,"","BAN-02160")</f>
        <v/>
      </c>
      <c r="B2303" s="85" t="str">
        <f>IF(A2303="","",IF(INDEX(EXTRATO!$C$2:$C$3000,MATCH($A2303,EXTRATO!$A$2:$A$3000,0))="","",INDEX(EXTRATO!$C$2:$C$3000,MATCH($A2303,EXTRATO!$A$2:$A$3000,0))))</f>
        <v/>
      </c>
      <c r="C2303" s="86" t="str">
        <f t="shared" si="58"/>
        <v/>
      </c>
      <c r="D2303" s="81"/>
      <c r="E2303" s="79"/>
      <c r="F2303" s="80" t="str">
        <f>IF(A2303="","",SUMIF(EXTRATO!$A$2:$A$3000,$A2303,EXTRATO!$J$2:$J$3000)+SUMIF(EXTRATO!$A$2:$A$3000,$A2303,EXTRATO!$K$2:$K$3000)+SUMIF(EXTRATO!$A$2:$A$3000,$A2303,EXTRATO!$L$2:$L$3000)+SUMIF(EXTRATO!$A$2:$A$3000,$A2303,EXTRATO!$M$2:$M$3000))</f>
        <v/>
      </c>
      <c r="G2303" s="81" t="str">
        <f>IF(A2303="","",IF(INDEX(EXTRATO!$G$2:$G$3000,MATCH($A2303,EXTRATO!$A$2:$A$3000,0))="","",INDEX(EXTRATO!$G$2:$G$3000,MATCH($A2303,EXTRATO!$A$2:$A$3000,0))))</f>
        <v/>
      </c>
      <c r="H2303" s="86" t="str">
        <f>IF(A2303="","",IF(INDEX(EXTRATO!$F$2:$F$3000,MATCH($A2303,EXTRATO!$A$2:$A$3000,0))="","",INDEX(EXTRATO!$F$2:$F$3000,MATCH($A2303,EXTRATO!$A$2:$A$3000,0))))</f>
        <v/>
      </c>
      <c r="I2303" s="88" t="str">
        <f>IF(A2303="","",IF(INDEX(EXTRATO!$H$2:$H$3000,MATCH($A2303,EXTRATO!$A$2:$A$3000,0))="","",INDEX(EXTRATO!$H$2:$H$3000,MATCH($A2303,EXTRATO!$A$2:$A$3000,0))))</f>
        <v/>
      </c>
      <c r="J2303" s="86" t="str">
        <f t="shared" si="59"/>
        <v/>
      </c>
      <c r="K2303" s="86" t="str">
        <f>IF(AND(A2303="",D2303="",E2303="",F2303=""),"",IF(D2303="","SEM CATEGORIA",IF(E2303="","SEM SUBCATEGORIA",IF(COUNTIFS(CADASTROS!$L$7:$L$93,D2303,CADASTROS!$D$7:$D$93,E2303)=0,"INCOMPATÍVEL","OK"))))</f>
        <v/>
      </c>
    </row>
    <row r="2304" spans="1:11" ht="30" hidden="1" customHeight="1" x14ac:dyDescent="0.25">
      <c r="A2304" s="86" t="str">
        <f>IF(COUNTIF(EXTRATO!$A$2:$A$3000,"BAN-02161")=0,"","BAN-02161")</f>
        <v/>
      </c>
      <c r="B2304" s="85" t="str">
        <f>IF(A2304="","",IF(INDEX(EXTRATO!$C$2:$C$3000,MATCH($A2304,EXTRATO!$A$2:$A$3000,0))="","",INDEX(EXTRATO!$C$2:$C$3000,MATCH($A2304,EXTRATO!$A$2:$A$3000,0))))</f>
        <v/>
      </c>
      <c r="C2304" s="86" t="str">
        <f t="shared" si="58"/>
        <v/>
      </c>
      <c r="D2304" s="81"/>
      <c r="E2304" s="79"/>
      <c r="F2304" s="80" t="str">
        <f>IF(A2304="","",SUMIF(EXTRATO!$A$2:$A$3000,$A2304,EXTRATO!$J$2:$J$3000)+SUMIF(EXTRATO!$A$2:$A$3000,$A2304,EXTRATO!$K$2:$K$3000)+SUMIF(EXTRATO!$A$2:$A$3000,$A2304,EXTRATO!$L$2:$L$3000)+SUMIF(EXTRATO!$A$2:$A$3000,$A2304,EXTRATO!$M$2:$M$3000))</f>
        <v/>
      </c>
      <c r="G2304" s="81" t="str">
        <f>IF(A2304="","",IF(INDEX(EXTRATO!$G$2:$G$3000,MATCH($A2304,EXTRATO!$A$2:$A$3000,0))="","",INDEX(EXTRATO!$G$2:$G$3000,MATCH($A2304,EXTRATO!$A$2:$A$3000,0))))</f>
        <v/>
      </c>
      <c r="H2304" s="86" t="str">
        <f>IF(A2304="","",IF(INDEX(EXTRATO!$F$2:$F$3000,MATCH($A2304,EXTRATO!$A$2:$A$3000,0))="","",INDEX(EXTRATO!$F$2:$F$3000,MATCH($A2304,EXTRATO!$A$2:$A$3000,0))))</f>
        <v/>
      </c>
      <c r="I2304" s="88" t="str">
        <f>IF(A2304="","",IF(INDEX(EXTRATO!$H$2:$H$3000,MATCH($A2304,EXTRATO!$A$2:$A$3000,0))="","",INDEX(EXTRATO!$H$2:$H$3000,MATCH($A2304,EXTRATO!$A$2:$A$3000,0))))</f>
        <v/>
      </c>
      <c r="J2304" s="86" t="str">
        <f t="shared" si="59"/>
        <v/>
      </c>
      <c r="K2304" s="86" t="str">
        <f>IF(AND(A2304="",D2304="",E2304="",F2304=""),"",IF(D2304="","SEM CATEGORIA",IF(E2304="","SEM SUBCATEGORIA",IF(COUNTIFS(CADASTROS!$L$7:$L$93,D2304,CADASTROS!$D$7:$D$93,E2304)=0,"INCOMPATÍVEL","OK"))))</f>
        <v/>
      </c>
    </row>
    <row r="2305" spans="1:11" ht="30" hidden="1" customHeight="1" x14ac:dyDescent="0.25">
      <c r="A2305" s="86" t="str">
        <f>IF(COUNTIF(EXTRATO!$A$2:$A$3000,"BAN-02162")=0,"","BAN-02162")</f>
        <v/>
      </c>
      <c r="B2305" s="85" t="str">
        <f>IF(A2305="","",IF(INDEX(EXTRATO!$C$2:$C$3000,MATCH($A2305,EXTRATO!$A$2:$A$3000,0))="","",INDEX(EXTRATO!$C$2:$C$3000,MATCH($A2305,EXTRATO!$A$2:$A$3000,0))))</f>
        <v/>
      </c>
      <c r="C2305" s="86" t="str">
        <f t="shared" si="58"/>
        <v/>
      </c>
      <c r="D2305" s="81"/>
      <c r="E2305" s="79"/>
      <c r="F2305" s="80" t="str">
        <f>IF(A2305="","",SUMIF(EXTRATO!$A$2:$A$3000,$A2305,EXTRATO!$J$2:$J$3000)+SUMIF(EXTRATO!$A$2:$A$3000,$A2305,EXTRATO!$K$2:$K$3000)+SUMIF(EXTRATO!$A$2:$A$3000,$A2305,EXTRATO!$L$2:$L$3000)+SUMIF(EXTRATO!$A$2:$A$3000,$A2305,EXTRATO!$M$2:$M$3000))</f>
        <v/>
      </c>
      <c r="G2305" s="81" t="str">
        <f>IF(A2305="","",IF(INDEX(EXTRATO!$G$2:$G$3000,MATCH($A2305,EXTRATO!$A$2:$A$3000,0))="","",INDEX(EXTRATO!$G$2:$G$3000,MATCH($A2305,EXTRATO!$A$2:$A$3000,0))))</f>
        <v/>
      </c>
      <c r="H2305" s="86" t="str">
        <f>IF(A2305="","",IF(INDEX(EXTRATO!$F$2:$F$3000,MATCH($A2305,EXTRATO!$A$2:$A$3000,0))="","",INDEX(EXTRATO!$F$2:$F$3000,MATCH($A2305,EXTRATO!$A$2:$A$3000,0))))</f>
        <v/>
      </c>
      <c r="I2305" s="88" t="str">
        <f>IF(A2305="","",IF(INDEX(EXTRATO!$H$2:$H$3000,MATCH($A2305,EXTRATO!$A$2:$A$3000,0))="","",INDEX(EXTRATO!$H$2:$H$3000,MATCH($A2305,EXTRATO!$A$2:$A$3000,0))))</f>
        <v/>
      </c>
      <c r="J2305" s="86" t="str">
        <f t="shared" si="59"/>
        <v/>
      </c>
      <c r="K2305" s="86" t="str">
        <f>IF(AND(A2305="",D2305="",E2305="",F2305=""),"",IF(D2305="","SEM CATEGORIA",IF(E2305="","SEM SUBCATEGORIA",IF(COUNTIFS(CADASTROS!$L$7:$L$93,D2305,CADASTROS!$D$7:$D$93,E2305)=0,"INCOMPATÍVEL","OK"))))</f>
        <v/>
      </c>
    </row>
    <row r="2306" spans="1:11" ht="30" hidden="1" customHeight="1" x14ac:dyDescent="0.25">
      <c r="A2306" s="86" t="str">
        <f>IF(COUNTIF(EXTRATO!$A$2:$A$3000,"BAN-02163")=0,"","BAN-02163")</f>
        <v/>
      </c>
      <c r="B2306" s="85" t="str">
        <f>IF(A2306="","",IF(INDEX(EXTRATO!$C$2:$C$3000,MATCH($A2306,EXTRATO!$A$2:$A$3000,0))="","",INDEX(EXTRATO!$C$2:$C$3000,MATCH($A2306,EXTRATO!$A$2:$A$3000,0))))</f>
        <v/>
      </c>
      <c r="C2306" s="86" t="str">
        <f t="shared" si="58"/>
        <v/>
      </c>
      <c r="D2306" s="81"/>
      <c r="E2306" s="79"/>
      <c r="F2306" s="80" t="str">
        <f>IF(A2306="","",SUMIF(EXTRATO!$A$2:$A$3000,$A2306,EXTRATO!$J$2:$J$3000)+SUMIF(EXTRATO!$A$2:$A$3000,$A2306,EXTRATO!$K$2:$K$3000)+SUMIF(EXTRATO!$A$2:$A$3000,$A2306,EXTRATO!$L$2:$L$3000)+SUMIF(EXTRATO!$A$2:$A$3000,$A2306,EXTRATO!$M$2:$M$3000))</f>
        <v/>
      </c>
      <c r="G2306" s="81" t="str">
        <f>IF(A2306="","",IF(INDEX(EXTRATO!$G$2:$G$3000,MATCH($A2306,EXTRATO!$A$2:$A$3000,0))="","",INDEX(EXTRATO!$G$2:$G$3000,MATCH($A2306,EXTRATO!$A$2:$A$3000,0))))</f>
        <v/>
      </c>
      <c r="H2306" s="86" t="str">
        <f>IF(A2306="","",IF(INDEX(EXTRATO!$F$2:$F$3000,MATCH($A2306,EXTRATO!$A$2:$A$3000,0))="","",INDEX(EXTRATO!$F$2:$F$3000,MATCH($A2306,EXTRATO!$A$2:$A$3000,0))))</f>
        <v/>
      </c>
      <c r="I2306" s="88" t="str">
        <f>IF(A2306="","",IF(INDEX(EXTRATO!$H$2:$H$3000,MATCH($A2306,EXTRATO!$A$2:$A$3000,0))="","",INDEX(EXTRATO!$H$2:$H$3000,MATCH($A2306,EXTRATO!$A$2:$A$3000,0))))</f>
        <v/>
      </c>
      <c r="J2306" s="86" t="str">
        <f t="shared" si="59"/>
        <v/>
      </c>
      <c r="K2306" s="86" t="str">
        <f>IF(AND(A2306="",D2306="",E2306="",F2306=""),"",IF(D2306="","SEM CATEGORIA",IF(E2306="","SEM SUBCATEGORIA",IF(COUNTIFS(CADASTROS!$L$7:$L$93,D2306,CADASTROS!$D$7:$D$93,E2306)=0,"INCOMPATÍVEL","OK"))))</f>
        <v/>
      </c>
    </row>
    <row r="2307" spans="1:11" ht="30" hidden="1" customHeight="1" x14ac:dyDescent="0.25">
      <c r="A2307" s="86" t="str">
        <f>IF(COUNTIF(EXTRATO!$A$2:$A$3000,"BAN-02164")=0,"","BAN-02164")</f>
        <v/>
      </c>
      <c r="B2307" s="85" t="str">
        <f>IF(A2307="","",IF(INDEX(EXTRATO!$C$2:$C$3000,MATCH($A2307,EXTRATO!$A$2:$A$3000,0))="","",INDEX(EXTRATO!$C$2:$C$3000,MATCH($A2307,EXTRATO!$A$2:$A$3000,0))))</f>
        <v/>
      </c>
      <c r="C2307" s="86" t="str">
        <f t="shared" si="58"/>
        <v/>
      </c>
      <c r="D2307" s="81"/>
      <c r="E2307" s="79"/>
      <c r="F2307" s="80" t="str">
        <f>IF(A2307="","",SUMIF(EXTRATO!$A$2:$A$3000,$A2307,EXTRATO!$J$2:$J$3000)+SUMIF(EXTRATO!$A$2:$A$3000,$A2307,EXTRATO!$K$2:$K$3000)+SUMIF(EXTRATO!$A$2:$A$3000,$A2307,EXTRATO!$L$2:$L$3000)+SUMIF(EXTRATO!$A$2:$A$3000,$A2307,EXTRATO!$M$2:$M$3000))</f>
        <v/>
      </c>
      <c r="G2307" s="81" t="str">
        <f>IF(A2307="","",IF(INDEX(EXTRATO!$G$2:$G$3000,MATCH($A2307,EXTRATO!$A$2:$A$3000,0))="","",INDEX(EXTRATO!$G$2:$G$3000,MATCH($A2307,EXTRATO!$A$2:$A$3000,0))))</f>
        <v/>
      </c>
      <c r="H2307" s="86" t="str">
        <f>IF(A2307="","",IF(INDEX(EXTRATO!$F$2:$F$3000,MATCH($A2307,EXTRATO!$A$2:$A$3000,0))="","",INDEX(EXTRATO!$F$2:$F$3000,MATCH($A2307,EXTRATO!$A$2:$A$3000,0))))</f>
        <v/>
      </c>
      <c r="I2307" s="88" t="str">
        <f>IF(A2307="","",IF(INDEX(EXTRATO!$H$2:$H$3000,MATCH($A2307,EXTRATO!$A$2:$A$3000,0))="","",INDEX(EXTRATO!$H$2:$H$3000,MATCH($A2307,EXTRATO!$A$2:$A$3000,0))))</f>
        <v/>
      </c>
      <c r="J2307" s="86" t="str">
        <f t="shared" si="59"/>
        <v/>
      </c>
      <c r="K2307" s="86" t="str">
        <f>IF(AND(A2307="",D2307="",E2307="",F2307=""),"",IF(D2307="","SEM CATEGORIA",IF(E2307="","SEM SUBCATEGORIA",IF(COUNTIFS(CADASTROS!$L$7:$L$93,D2307,CADASTROS!$D$7:$D$93,E2307)=0,"INCOMPATÍVEL","OK"))))</f>
        <v/>
      </c>
    </row>
    <row r="2308" spans="1:11" ht="30" hidden="1" customHeight="1" x14ac:dyDescent="0.25">
      <c r="A2308" s="86" t="str">
        <f>IF(COUNTIF(EXTRATO!$A$2:$A$3000,"BAN-02165")=0,"","BAN-02165")</f>
        <v/>
      </c>
      <c r="B2308" s="85" t="str">
        <f>IF(A2308="","",IF(INDEX(EXTRATO!$C$2:$C$3000,MATCH($A2308,EXTRATO!$A$2:$A$3000,0))="","",INDEX(EXTRATO!$C$2:$C$3000,MATCH($A2308,EXTRATO!$A$2:$A$3000,0))))</f>
        <v/>
      </c>
      <c r="C2308" s="86" t="str">
        <f t="shared" si="58"/>
        <v/>
      </c>
      <c r="D2308" s="81"/>
      <c r="E2308" s="79"/>
      <c r="F2308" s="80" t="str">
        <f>IF(A2308="","",SUMIF(EXTRATO!$A$2:$A$3000,$A2308,EXTRATO!$J$2:$J$3000)+SUMIF(EXTRATO!$A$2:$A$3000,$A2308,EXTRATO!$K$2:$K$3000)+SUMIF(EXTRATO!$A$2:$A$3000,$A2308,EXTRATO!$L$2:$L$3000)+SUMIF(EXTRATO!$A$2:$A$3000,$A2308,EXTRATO!$M$2:$M$3000))</f>
        <v/>
      </c>
      <c r="G2308" s="81" t="str">
        <f>IF(A2308="","",IF(INDEX(EXTRATO!$G$2:$G$3000,MATCH($A2308,EXTRATO!$A$2:$A$3000,0))="","",INDEX(EXTRATO!$G$2:$G$3000,MATCH($A2308,EXTRATO!$A$2:$A$3000,0))))</f>
        <v/>
      </c>
      <c r="H2308" s="86" t="str">
        <f>IF(A2308="","",IF(INDEX(EXTRATO!$F$2:$F$3000,MATCH($A2308,EXTRATO!$A$2:$A$3000,0))="","",INDEX(EXTRATO!$F$2:$F$3000,MATCH($A2308,EXTRATO!$A$2:$A$3000,0))))</f>
        <v/>
      </c>
      <c r="I2308" s="88" t="str">
        <f>IF(A2308="","",IF(INDEX(EXTRATO!$H$2:$H$3000,MATCH($A2308,EXTRATO!$A$2:$A$3000,0))="","",INDEX(EXTRATO!$H$2:$H$3000,MATCH($A2308,EXTRATO!$A$2:$A$3000,0))))</f>
        <v/>
      </c>
      <c r="J2308" s="86" t="str">
        <f t="shared" si="59"/>
        <v/>
      </c>
      <c r="K2308" s="86" t="str">
        <f>IF(AND(A2308="",D2308="",E2308="",F2308=""),"",IF(D2308="","SEM CATEGORIA",IF(E2308="","SEM SUBCATEGORIA",IF(COUNTIFS(CADASTROS!$L$7:$L$93,D2308,CADASTROS!$D$7:$D$93,E2308)=0,"INCOMPATÍVEL","OK"))))</f>
        <v/>
      </c>
    </row>
    <row r="2309" spans="1:11" ht="30" hidden="1" customHeight="1" x14ac:dyDescent="0.25">
      <c r="A2309" s="86" t="str">
        <f>IF(COUNTIF(EXTRATO!$A$2:$A$3000,"BAN-02166")=0,"","BAN-02166")</f>
        <v/>
      </c>
      <c r="B2309" s="85" t="str">
        <f>IF(A2309="","",IF(INDEX(EXTRATO!$C$2:$C$3000,MATCH($A2309,EXTRATO!$A$2:$A$3000,0))="","",INDEX(EXTRATO!$C$2:$C$3000,MATCH($A2309,EXTRATO!$A$2:$A$3000,0))))</f>
        <v/>
      </c>
      <c r="C2309" s="86" t="str">
        <f t="shared" si="58"/>
        <v/>
      </c>
      <c r="D2309" s="81"/>
      <c r="E2309" s="79"/>
      <c r="F2309" s="80" t="str">
        <f>IF(A2309="","",SUMIF(EXTRATO!$A$2:$A$3000,$A2309,EXTRATO!$J$2:$J$3000)+SUMIF(EXTRATO!$A$2:$A$3000,$A2309,EXTRATO!$K$2:$K$3000)+SUMIF(EXTRATO!$A$2:$A$3000,$A2309,EXTRATO!$L$2:$L$3000)+SUMIF(EXTRATO!$A$2:$A$3000,$A2309,EXTRATO!$M$2:$M$3000))</f>
        <v/>
      </c>
      <c r="G2309" s="81" t="str">
        <f>IF(A2309="","",IF(INDEX(EXTRATO!$G$2:$G$3000,MATCH($A2309,EXTRATO!$A$2:$A$3000,0))="","",INDEX(EXTRATO!$G$2:$G$3000,MATCH($A2309,EXTRATO!$A$2:$A$3000,0))))</f>
        <v/>
      </c>
      <c r="H2309" s="86" t="str">
        <f>IF(A2309="","",IF(INDEX(EXTRATO!$F$2:$F$3000,MATCH($A2309,EXTRATO!$A$2:$A$3000,0))="","",INDEX(EXTRATO!$F$2:$F$3000,MATCH($A2309,EXTRATO!$A$2:$A$3000,0))))</f>
        <v/>
      </c>
      <c r="I2309" s="88" t="str">
        <f>IF(A2309="","",IF(INDEX(EXTRATO!$H$2:$H$3000,MATCH($A2309,EXTRATO!$A$2:$A$3000,0))="","",INDEX(EXTRATO!$H$2:$H$3000,MATCH($A2309,EXTRATO!$A$2:$A$3000,0))))</f>
        <v/>
      </c>
      <c r="J2309" s="86" t="str">
        <f t="shared" si="59"/>
        <v/>
      </c>
      <c r="K2309" s="86" t="str">
        <f>IF(AND(A2309="",D2309="",E2309="",F2309=""),"",IF(D2309="","SEM CATEGORIA",IF(E2309="","SEM SUBCATEGORIA",IF(COUNTIFS(CADASTROS!$L$7:$L$93,D2309,CADASTROS!$D$7:$D$93,E2309)=0,"INCOMPATÍVEL","OK"))))</f>
        <v/>
      </c>
    </row>
    <row r="2310" spans="1:11" ht="30" hidden="1" customHeight="1" x14ac:dyDescent="0.25">
      <c r="A2310" s="86" t="str">
        <f>IF(COUNTIF(EXTRATO!$A$2:$A$3000,"BAN-02167")=0,"","BAN-02167")</f>
        <v/>
      </c>
      <c r="B2310" s="85" t="str">
        <f>IF(A2310="","",IF(INDEX(EXTRATO!$C$2:$C$3000,MATCH($A2310,EXTRATO!$A$2:$A$3000,0))="","",INDEX(EXTRATO!$C$2:$C$3000,MATCH($A2310,EXTRATO!$A$2:$A$3000,0))))</f>
        <v/>
      </c>
      <c r="C2310" s="86" t="str">
        <f t="shared" si="58"/>
        <v/>
      </c>
      <c r="D2310" s="81"/>
      <c r="E2310" s="79"/>
      <c r="F2310" s="80" t="str">
        <f>IF(A2310="","",SUMIF(EXTRATO!$A$2:$A$3000,$A2310,EXTRATO!$J$2:$J$3000)+SUMIF(EXTRATO!$A$2:$A$3000,$A2310,EXTRATO!$K$2:$K$3000)+SUMIF(EXTRATO!$A$2:$A$3000,$A2310,EXTRATO!$L$2:$L$3000)+SUMIF(EXTRATO!$A$2:$A$3000,$A2310,EXTRATO!$M$2:$M$3000))</f>
        <v/>
      </c>
      <c r="G2310" s="81" t="str">
        <f>IF(A2310="","",IF(INDEX(EXTRATO!$G$2:$G$3000,MATCH($A2310,EXTRATO!$A$2:$A$3000,0))="","",INDEX(EXTRATO!$G$2:$G$3000,MATCH($A2310,EXTRATO!$A$2:$A$3000,0))))</f>
        <v/>
      </c>
      <c r="H2310" s="86" t="str">
        <f>IF(A2310="","",IF(INDEX(EXTRATO!$F$2:$F$3000,MATCH($A2310,EXTRATO!$A$2:$A$3000,0))="","",INDEX(EXTRATO!$F$2:$F$3000,MATCH($A2310,EXTRATO!$A$2:$A$3000,0))))</f>
        <v/>
      </c>
      <c r="I2310" s="88" t="str">
        <f>IF(A2310="","",IF(INDEX(EXTRATO!$H$2:$H$3000,MATCH($A2310,EXTRATO!$A$2:$A$3000,0))="","",INDEX(EXTRATO!$H$2:$H$3000,MATCH($A2310,EXTRATO!$A$2:$A$3000,0))))</f>
        <v/>
      </c>
      <c r="J2310" s="86" t="str">
        <f t="shared" si="59"/>
        <v/>
      </c>
      <c r="K2310" s="86" t="str">
        <f>IF(AND(A2310="",D2310="",E2310="",F2310=""),"",IF(D2310="","SEM CATEGORIA",IF(E2310="","SEM SUBCATEGORIA",IF(COUNTIFS(CADASTROS!$L$7:$L$93,D2310,CADASTROS!$D$7:$D$93,E2310)=0,"INCOMPATÍVEL","OK"))))</f>
        <v/>
      </c>
    </row>
    <row r="2311" spans="1:11" ht="30" hidden="1" customHeight="1" x14ac:dyDescent="0.25">
      <c r="A2311" s="86" t="str">
        <f>IF(COUNTIF(EXTRATO!$A$2:$A$3000,"BAN-02168")=0,"","BAN-02168")</f>
        <v/>
      </c>
      <c r="B2311" s="85" t="str">
        <f>IF(A2311="","",IF(INDEX(EXTRATO!$C$2:$C$3000,MATCH($A2311,EXTRATO!$A$2:$A$3000,0))="","",INDEX(EXTRATO!$C$2:$C$3000,MATCH($A2311,EXTRATO!$A$2:$A$3000,0))))</f>
        <v/>
      </c>
      <c r="C2311" s="86" t="str">
        <f t="shared" si="58"/>
        <v/>
      </c>
      <c r="D2311" s="81"/>
      <c r="E2311" s="79"/>
      <c r="F2311" s="80" t="str">
        <f>IF(A2311="","",SUMIF(EXTRATO!$A$2:$A$3000,$A2311,EXTRATO!$J$2:$J$3000)+SUMIF(EXTRATO!$A$2:$A$3000,$A2311,EXTRATO!$K$2:$K$3000)+SUMIF(EXTRATO!$A$2:$A$3000,$A2311,EXTRATO!$L$2:$L$3000)+SUMIF(EXTRATO!$A$2:$A$3000,$A2311,EXTRATO!$M$2:$M$3000))</f>
        <v/>
      </c>
      <c r="G2311" s="81" t="str">
        <f>IF(A2311="","",IF(INDEX(EXTRATO!$G$2:$G$3000,MATCH($A2311,EXTRATO!$A$2:$A$3000,0))="","",INDEX(EXTRATO!$G$2:$G$3000,MATCH($A2311,EXTRATO!$A$2:$A$3000,0))))</f>
        <v/>
      </c>
      <c r="H2311" s="86" t="str">
        <f>IF(A2311="","",IF(INDEX(EXTRATO!$F$2:$F$3000,MATCH($A2311,EXTRATO!$A$2:$A$3000,0))="","",INDEX(EXTRATO!$F$2:$F$3000,MATCH($A2311,EXTRATO!$A$2:$A$3000,0))))</f>
        <v/>
      </c>
      <c r="I2311" s="88" t="str">
        <f>IF(A2311="","",IF(INDEX(EXTRATO!$H$2:$H$3000,MATCH($A2311,EXTRATO!$A$2:$A$3000,0))="","",INDEX(EXTRATO!$H$2:$H$3000,MATCH($A2311,EXTRATO!$A$2:$A$3000,0))))</f>
        <v/>
      </c>
      <c r="J2311" s="86" t="str">
        <f t="shared" si="59"/>
        <v/>
      </c>
      <c r="K2311" s="86" t="str">
        <f>IF(AND(A2311="",D2311="",E2311="",F2311=""),"",IF(D2311="","SEM CATEGORIA",IF(E2311="","SEM SUBCATEGORIA",IF(COUNTIFS(CADASTROS!$L$7:$L$93,D2311,CADASTROS!$D$7:$D$93,E2311)=0,"INCOMPATÍVEL","OK"))))</f>
        <v/>
      </c>
    </row>
    <row r="2312" spans="1:11" ht="30" hidden="1" customHeight="1" x14ac:dyDescent="0.25">
      <c r="A2312" s="86" t="str">
        <f>IF(COUNTIF(EXTRATO!$A$2:$A$3000,"BAN-02169")=0,"","BAN-02169")</f>
        <v/>
      </c>
      <c r="B2312" s="85" t="str">
        <f>IF(A2312="","",IF(INDEX(EXTRATO!$C$2:$C$3000,MATCH($A2312,EXTRATO!$A$2:$A$3000,0))="","",INDEX(EXTRATO!$C$2:$C$3000,MATCH($A2312,EXTRATO!$A$2:$A$3000,0))))</f>
        <v/>
      </c>
      <c r="C2312" s="86" t="str">
        <f t="shared" si="58"/>
        <v/>
      </c>
      <c r="D2312" s="81"/>
      <c r="E2312" s="79"/>
      <c r="F2312" s="80" t="str">
        <f>IF(A2312="","",SUMIF(EXTRATO!$A$2:$A$3000,$A2312,EXTRATO!$J$2:$J$3000)+SUMIF(EXTRATO!$A$2:$A$3000,$A2312,EXTRATO!$K$2:$K$3000)+SUMIF(EXTRATO!$A$2:$A$3000,$A2312,EXTRATO!$L$2:$L$3000)+SUMIF(EXTRATO!$A$2:$A$3000,$A2312,EXTRATO!$M$2:$M$3000))</f>
        <v/>
      </c>
      <c r="G2312" s="81" t="str">
        <f>IF(A2312="","",IF(INDEX(EXTRATO!$G$2:$G$3000,MATCH($A2312,EXTRATO!$A$2:$A$3000,0))="","",INDEX(EXTRATO!$G$2:$G$3000,MATCH($A2312,EXTRATO!$A$2:$A$3000,0))))</f>
        <v/>
      </c>
      <c r="H2312" s="86" t="str">
        <f>IF(A2312="","",IF(INDEX(EXTRATO!$F$2:$F$3000,MATCH($A2312,EXTRATO!$A$2:$A$3000,0))="","",INDEX(EXTRATO!$F$2:$F$3000,MATCH($A2312,EXTRATO!$A$2:$A$3000,0))))</f>
        <v/>
      </c>
      <c r="I2312" s="88" t="str">
        <f>IF(A2312="","",IF(INDEX(EXTRATO!$H$2:$H$3000,MATCH($A2312,EXTRATO!$A$2:$A$3000,0))="","",INDEX(EXTRATO!$H$2:$H$3000,MATCH($A2312,EXTRATO!$A$2:$A$3000,0))))</f>
        <v/>
      </c>
      <c r="J2312" s="86" t="str">
        <f t="shared" si="59"/>
        <v/>
      </c>
      <c r="K2312" s="86" t="str">
        <f>IF(AND(A2312="",D2312="",E2312="",F2312=""),"",IF(D2312="","SEM CATEGORIA",IF(E2312="","SEM SUBCATEGORIA",IF(COUNTIFS(CADASTROS!$L$7:$L$93,D2312,CADASTROS!$D$7:$D$93,E2312)=0,"INCOMPATÍVEL","OK"))))</f>
        <v/>
      </c>
    </row>
    <row r="2313" spans="1:11" ht="30" hidden="1" customHeight="1" x14ac:dyDescent="0.25">
      <c r="A2313" s="86" t="str">
        <f>IF(COUNTIF(EXTRATO!$A$2:$A$3000,"BAN-02170")=0,"","BAN-02170")</f>
        <v/>
      </c>
      <c r="B2313" s="85" t="str">
        <f>IF(A2313="","",IF(INDEX(EXTRATO!$C$2:$C$3000,MATCH($A2313,EXTRATO!$A$2:$A$3000,0))="","",INDEX(EXTRATO!$C$2:$C$3000,MATCH($A2313,EXTRATO!$A$2:$A$3000,0))))</f>
        <v/>
      </c>
      <c r="C2313" s="86" t="str">
        <f t="shared" si="58"/>
        <v/>
      </c>
      <c r="D2313" s="81"/>
      <c r="E2313" s="79"/>
      <c r="F2313" s="80" t="str">
        <f>IF(A2313="","",SUMIF(EXTRATO!$A$2:$A$3000,$A2313,EXTRATO!$J$2:$J$3000)+SUMIF(EXTRATO!$A$2:$A$3000,$A2313,EXTRATO!$K$2:$K$3000)+SUMIF(EXTRATO!$A$2:$A$3000,$A2313,EXTRATO!$L$2:$L$3000)+SUMIF(EXTRATO!$A$2:$A$3000,$A2313,EXTRATO!$M$2:$M$3000))</f>
        <v/>
      </c>
      <c r="G2313" s="81" t="str">
        <f>IF(A2313="","",IF(INDEX(EXTRATO!$G$2:$G$3000,MATCH($A2313,EXTRATO!$A$2:$A$3000,0))="","",INDEX(EXTRATO!$G$2:$G$3000,MATCH($A2313,EXTRATO!$A$2:$A$3000,0))))</f>
        <v/>
      </c>
      <c r="H2313" s="86" t="str">
        <f>IF(A2313="","",IF(INDEX(EXTRATO!$F$2:$F$3000,MATCH($A2313,EXTRATO!$A$2:$A$3000,0))="","",INDEX(EXTRATO!$F$2:$F$3000,MATCH($A2313,EXTRATO!$A$2:$A$3000,0))))</f>
        <v/>
      </c>
      <c r="I2313" s="88" t="str">
        <f>IF(A2313="","",IF(INDEX(EXTRATO!$H$2:$H$3000,MATCH($A2313,EXTRATO!$A$2:$A$3000,0))="","",INDEX(EXTRATO!$H$2:$H$3000,MATCH($A2313,EXTRATO!$A$2:$A$3000,0))))</f>
        <v/>
      </c>
      <c r="J2313" s="86" t="str">
        <f t="shared" si="59"/>
        <v/>
      </c>
      <c r="K2313" s="86" t="str">
        <f>IF(AND(A2313="",D2313="",E2313="",F2313=""),"",IF(D2313="","SEM CATEGORIA",IF(E2313="","SEM SUBCATEGORIA",IF(COUNTIFS(CADASTROS!$L$7:$L$93,D2313,CADASTROS!$D$7:$D$93,E2313)=0,"INCOMPATÍVEL","OK"))))</f>
        <v/>
      </c>
    </row>
    <row r="2314" spans="1:11" ht="30" hidden="1" customHeight="1" x14ac:dyDescent="0.25">
      <c r="A2314" s="86" t="str">
        <f>IF(COUNTIF(EXTRATO!$A$2:$A$3000,"BAN-02171")=0,"","BAN-02171")</f>
        <v/>
      </c>
      <c r="B2314" s="85" t="str">
        <f>IF(A2314="","",IF(INDEX(EXTRATO!$C$2:$C$3000,MATCH($A2314,EXTRATO!$A$2:$A$3000,0))="","",INDEX(EXTRATO!$C$2:$C$3000,MATCH($A2314,EXTRATO!$A$2:$A$3000,0))))</f>
        <v/>
      </c>
      <c r="C2314" s="86" t="str">
        <f t="shared" si="58"/>
        <v/>
      </c>
      <c r="D2314" s="81"/>
      <c r="E2314" s="79"/>
      <c r="F2314" s="80" t="str">
        <f>IF(A2314="","",SUMIF(EXTRATO!$A$2:$A$3000,$A2314,EXTRATO!$J$2:$J$3000)+SUMIF(EXTRATO!$A$2:$A$3000,$A2314,EXTRATO!$K$2:$K$3000)+SUMIF(EXTRATO!$A$2:$A$3000,$A2314,EXTRATO!$L$2:$L$3000)+SUMIF(EXTRATO!$A$2:$A$3000,$A2314,EXTRATO!$M$2:$M$3000))</f>
        <v/>
      </c>
      <c r="G2314" s="81" t="str">
        <f>IF(A2314="","",IF(INDEX(EXTRATO!$G$2:$G$3000,MATCH($A2314,EXTRATO!$A$2:$A$3000,0))="","",INDEX(EXTRATO!$G$2:$G$3000,MATCH($A2314,EXTRATO!$A$2:$A$3000,0))))</f>
        <v/>
      </c>
      <c r="H2314" s="86" t="str">
        <f>IF(A2314="","",IF(INDEX(EXTRATO!$F$2:$F$3000,MATCH($A2314,EXTRATO!$A$2:$A$3000,0))="","",INDEX(EXTRATO!$F$2:$F$3000,MATCH($A2314,EXTRATO!$A$2:$A$3000,0))))</f>
        <v/>
      </c>
      <c r="I2314" s="88" t="str">
        <f>IF(A2314="","",IF(INDEX(EXTRATO!$H$2:$H$3000,MATCH($A2314,EXTRATO!$A$2:$A$3000,0))="","",INDEX(EXTRATO!$H$2:$H$3000,MATCH($A2314,EXTRATO!$A$2:$A$3000,0))))</f>
        <v/>
      </c>
      <c r="J2314" s="86" t="str">
        <f t="shared" si="59"/>
        <v/>
      </c>
      <c r="K2314" s="86" t="str">
        <f>IF(AND(A2314="",D2314="",E2314="",F2314=""),"",IF(D2314="","SEM CATEGORIA",IF(E2314="","SEM SUBCATEGORIA",IF(COUNTIFS(CADASTROS!$L$7:$L$93,D2314,CADASTROS!$D$7:$D$93,E2314)=0,"INCOMPATÍVEL","OK"))))</f>
        <v/>
      </c>
    </row>
    <row r="2315" spans="1:11" ht="30" hidden="1" customHeight="1" x14ac:dyDescent="0.25">
      <c r="A2315" s="86" t="str">
        <f>IF(COUNTIF(EXTRATO!$A$2:$A$3000,"BAN-02172")=0,"","BAN-02172")</f>
        <v/>
      </c>
      <c r="B2315" s="85" t="str">
        <f>IF(A2315="","",IF(INDEX(EXTRATO!$C$2:$C$3000,MATCH($A2315,EXTRATO!$A$2:$A$3000,0))="","",INDEX(EXTRATO!$C$2:$C$3000,MATCH($A2315,EXTRATO!$A$2:$A$3000,0))))</f>
        <v/>
      </c>
      <c r="C2315" s="86" t="str">
        <f t="shared" si="58"/>
        <v/>
      </c>
      <c r="D2315" s="81"/>
      <c r="E2315" s="79"/>
      <c r="F2315" s="80" t="str">
        <f>IF(A2315="","",SUMIF(EXTRATO!$A$2:$A$3000,$A2315,EXTRATO!$J$2:$J$3000)+SUMIF(EXTRATO!$A$2:$A$3000,$A2315,EXTRATO!$K$2:$K$3000)+SUMIF(EXTRATO!$A$2:$A$3000,$A2315,EXTRATO!$L$2:$L$3000)+SUMIF(EXTRATO!$A$2:$A$3000,$A2315,EXTRATO!$M$2:$M$3000))</f>
        <v/>
      </c>
      <c r="G2315" s="81" t="str">
        <f>IF(A2315="","",IF(INDEX(EXTRATO!$G$2:$G$3000,MATCH($A2315,EXTRATO!$A$2:$A$3000,0))="","",INDEX(EXTRATO!$G$2:$G$3000,MATCH($A2315,EXTRATO!$A$2:$A$3000,0))))</f>
        <v/>
      </c>
      <c r="H2315" s="86" t="str">
        <f>IF(A2315="","",IF(INDEX(EXTRATO!$F$2:$F$3000,MATCH($A2315,EXTRATO!$A$2:$A$3000,0))="","",INDEX(EXTRATO!$F$2:$F$3000,MATCH($A2315,EXTRATO!$A$2:$A$3000,0))))</f>
        <v/>
      </c>
      <c r="I2315" s="88" t="str">
        <f>IF(A2315="","",IF(INDEX(EXTRATO!$H$2:$H$3000,MATCH($A2315,EXTRATO!$A$2:$A$3000,0))="","",INDEX(EXTRATO!$H$2:$H$3000,MATCH($A2315,EXTRATO!$A$2:$A$3000,0))))</f>
        <v/>
      </c>
      <c r="J2315" s="86" t="str">
        <f t="shared" si="59"/>
        <v/>
      </c>
      <c r="K2315" s="86" t="str">
        <f>IF(AND(A2315="",D2315="",E2315="",F2315=""),"",IF(D2315="","SEM CATEGORIA",IF(E2315="","SEM SUBCATEGORIA",IF(COUNTIFS(CADASTROS!$L$7:$L$93,D2315,CADASTROS!$D$7:$D$93,E2315)=0,"INCOMPATÍVEL","OK"))))</f>
        <v/>
      </c>
    </row>
    <row r="2316" spans="1:11" ht="30" hidden="1" customHeight="1" x14ac:dyDescent="0.25">
      <c r="A2316" s="86" t="str">
        <f>IF(COUNTIF(EXTRATO!$A$2:$A$3000,"BAN-02173")=0,"","BAN-02173")</f>
        <v/>
      </c>
      <c r="B2316" s="85" t="str">
        <f>IF(A2316="","",IF(INDEX(EXTRATO!$C$2:$C$3000,MATCH($A2316,EXTRATO!$A$2:$A$3000,0))="","",INDEX(EXTRATO!$C$2:$C$3000,MATCH($A2316,EXTRATO!$A$2:$A$3000,0))))</f>
        <v/>
      </c>
      <c r="C2316" s="86" t="str">
        <f t="shared" si="58"/>
        <v/>
      </c>
      <c r="D2316" s="81"/>
      <c r="E2316" s="79"/>
      <c r="F2316" s="80" t="str">
        <f>IF(A2316="","",SUMIF(EXTRATO!$A$2:$A$3000,$A2316,EXTRATO!$J$2:$J$3000)+SUMIF(EXTRATO!$A$2:$A$3000,$A2316,EXTRATO!$K$2:$K$3000)+SUMIF(EXTRATO!$A$2:$A$3000,$A2316,EXTRATO!$L$2:$L$3000)+SUMIF(EXTRATO!$A$2:$A$3000,$A2316,EXTRATO!$M$2:$M$3000))</f>
        <v/>
      </c>
      <c r="G2316" s="81" t="str">
        <f>IF(A2316="","",IF(INDEX(EXTRATO!$G$2:$G$3000,MATCH($A2316,EXTRATO!$A$2:$A$3000,0))="","",INDEX(EXTRATO!$G$2:$G$3000,MATCH($A2316,EXTRATO!$A$2:$A$3000,0))))</f>
        <v/>
      </c>
      <c r="H2316" s="86" t="str">
        <f>IF(A2316="","",IF(INDEX(EXTRATO!$F$2:$F$3000,MATCH($A2316,EXTRATO!$A$2:$A$3000,0))="","",INDEX(EXTRATO!$F$2:$F$3000,MATCH($A2316,EXTRATO!$A$2:$A$3000,0))))</f>
        <v/>
      </c>
      <c r="I2316" s="88" t="str">
        <f>IF(A2316="","",IF(INDEX(EXTRATO!$H$2:$H$3000,MATCH($A2316,EXTRATO!$A$2:$A$3000,0))="","",INDEX(EXTRATO!$H$2:$H$3000,MATCH($A2316,EXTRATO!$A$2:$A$3000,0))))</f>
        <v/>
      </c>
      <c r="J2316" s="86" t="str">
        <f t="shared" si="59"/>
        <v/>
      </c>
      <c r="K2316" s="86" t="str">
        <f>IF(AND(A2316="",D2316="",E2316="",F2316=""),"",IF(D2316="","SEM CATEGORIA",IF(E2316="","SEM SUBCATEGORIA",IF(COUNTIFS(CADASTROS!$L$7:$L$93,D2316,CADASTROS!$D$7:$D$93,E2316)=0,"INCOMPATÍVEL","OK"))))</f>
        <v/>
      </c>
    </row>
    <row r="2317" spans="1:11" ht="30" hidden="1" customHeight="1" x14ac:dyDescent="0.25">
      <c r="A2317" s="86" t="str">
        <f>IF(COUNTIF(EXTRATO!$A$2:$A$3000,"BAN-02174")=0,"","BAN-02174")</f>
        <v/>
      </c>
      <c r="B2317" s="85" t="str">
        <f>IF(A2317="","",IF(INDEX(EXTRATO!$C$2:$C$3000,MATCH($A2317,EXTRATO!$A$2:$A$3000,0))="","",INDEX(EXTRATO!$C$2:$C$3000,MATCH($A2317,EXTRATO!$A$2:$A$3000,0))))</f>
        <v/>
      </c>
      <c r="C2317" s="86" t="str">
        <f t="shared" si="58"/>
        <v/>
      </c>
      <c r="D2317" s="81"/>
      <c r="E2317" s="79"/>
      <c r="F2317" s="80" t="str">
        <f>IF(A2317="","",SUMIF(EXTRATO!$A$2:$A$3000,$A2317,EXTRATO!$J$2:$J$3000)+SUMIF(EXTRATO!$A$2:$A$3000,$A2317,EXTRATO!$K$2:$K$3000)+SUMIF(EXTRATO!$A$2:$A$3000,$A2317,EXTRATO!$L$2:$L$3000)+SUMIF(EXTRATO!$A$2:$A$3000,$A2317,EXTRATO!$M$2:$M$3000))</f>
        <v/>
      </c>
      <c r="G2317" s="81" t="str">
        <f>IF(A2317="","",IF(INDEX(EXTRATO!$G$2:$G$3000,MATCH($A2317,EXTRATO!$A$2:$A$3000,0))="","",INDEX(EXTRATO!$G$2:$G$3000,MATCH($A2317,EXTRATO!$A$2:$A$3000,0))))</f>
        <v/>
      </c>
      <c r="H2317" s="86" t="str">
        <f>IF(A2317="","",IF(INDEX(EXTRATO!$F$2:$F$3000,MATCH($A2317,EXTRATO!$A$2:$A$3000,0))="","",INDEX(EXTRATO!$F$2:$F$3000,MATCH($A2317,EXTRATO!$A$2:$A$3000,0))))</f>
        <v/>
      </c>
      <c r="I2317" s="88" t="str">
        <f>IF(A2317="","",IF(INDEX(EXTRATO!$H$2:$H$3000,MATCH($A2317,EXTRATO!$A$2:$A$3000,0))="","",INDEX(EXTRATO!$H$2:$H$3000,MATCH($A2317,EXTRATO!$A$2:$A$3000,0))))</f>
        <v/>
      </c>
      <c r="J2317" s="86" t="str">
        <f t="shared" si="59"/>
        <v/>
      </c>
      <c r="K2317" s="86" t="str">
        <f>IF(AND(A2317="",D2317="",E2317="",F2317=""),"",IF(D2317="","SEM CATEGORIA",IF(E2317="","SEM SUBCATEGORIA",IF(COUNTIFS(CADASTROS!$L$7:$L$93,D2317,CADASTROS!$D$7:$D$93,E2317)=0,"INCOMPATÍVEL","OK"))))</f>
        <v/>
      </c>
    </row>
    <row r="2318" spans="1:11" ht="30" hidden="1" customHeight="1" x14ac:dyDescent="0.25">
      <c r="A2318" s="86" t="str">
        <f>IF(COUNTIF(EXTRATO!$A$2:$A$3000,"BAN-02175")=0,"","BAN-02175")</f>
        <v/>
      </c>
      <c r="B2318" s="85" t="str">
        <f>IF(A2318="","",IF(INDEX(EXTRATO!$C$2:$C$3000,MATCH($A2318,EXTRATO!$A$2:$A$3000,0))="","",INDEX(EXTRATO!$C$2:$C$3000,MATCH($A2318,EXTRATO!$A$2:$A$3000,0))))</f>
        <v/>
      </c>
      <c r="C2318" s="86" t="str">
        <f t="shared" si="58"/>
        <v/>
      </c>
      <c r="D2318" s="81"/>
      <c r="E2318" s="79"/>
      <c r="F2318" s="80" t="str">
        <f>IF(A2318="","",SUMIF(EXTRATO!$A$2:$A$3000,$A2318,EXTRATO!$J$2:$J$3000)+SUMIF(EXTRATO!$A$2:$A$3000,$A2318,EXTRATO!$K$2:$K$3000)+SUMIF(EXTRATO!$A$2:$A$3000,$A2318,EXTRATO!$L$2:$L$3000)+SUMIF(EXTRATO!$A$2:$A$3000,$A2318,EXTRATO!$M$2:$M$3000))</f>
        <v/>
      </c>
      <c r="G2318" s="81" t="str">
        <f>IF(A2318="","",IF(INDEX(EXTRATO!$G$2:$G$3000,MATCH($A2318,EXTRATO!$A$2:$A$3000,0))="","",INDEX(EXTRATO!$G$2:$G$3000,MATCH($A2318,EXTRATO!$A$2:$A$3000,0))))</f>
        <v/>
      </c>
      <c r="H2318" s="86" t="str">
        <f>IF(A2318="","",IF(INDEX(EXTRATO!$F$2:$F$3000,MATCH($A2318,EXTRATO!$A$2:$A$3000,0))="","",INDEX(EXTRATO!$F$2:$F$3000,MATCH($A2318,EXTRATO!$A$2:$A$3000,0))))</f>
        <v/>
      </c>
      <c r="I2318" s="88" t="str">
        <f>IF(A2318="","",IF(INDEX(EXTRATO!$H$2:$H$3000,MATCH($A2318,EXTRATO!$A$2:$A$3000,0))="","",INDEX(EXTRATO!$H$2:$H$3000,MATCH($A2318,EXTRATO!$A$2:$A$3000,0))))</f>
        <v/>
      </c>
      <c r="J2318" s="86" t="str">
        <f t="shared" si="59"/>
        <v/>
      </c>
      <c r="K2318" s="86" t="str">
        <f>IF(AND(A2318="",D2318="",E2318="",F2318=""),"",IF(D2318="","SEM CATEGORIA",IF(E2318="","SEM SUBCATEGORIA",IF(COUNTIFS(CADASTROS!$L$7:$L$93,D2318,CADASTROS!$D$7:$D$93,E2318)=0,"INCOMPATÍVEL","OK"))))</f>
        <v/>
      </c>
    </row>
    <row r="2319" spans="1:11" ht="30" hidden="1" customHeight="1" x14ac:dyDescent="0.25">
      <c r="A2319" s="86" t="str">
        <f>IF(COUNTIF(EXTRATO!$A$2:$A$3000,"BAN-02176")=0,"","BAN-02176")</f>
        <v/>
      </c>
      <c r="B2319" s="85" t="str">
        <f>IF(A2319="","",IF(INDEX(EXTRATO!$C$2:$C$3000,MATCH($A2319,EXTRATO!$A$2:$A$3000,0))="","",INDEX(EXTRATO!$C$2:$C$3000,MATCH($A2319,EXTRATO!$A$2:$A$3000,0))))</f>
        <v/>
      </c>
      <c r="C2319" s="86" t="str">
        <f t="shared" si="58"/>
        <v/>
      </c>
      <c r="D2319" s="81"/>
      <c r="E2319" s="79"/>
      <c r="F2319" s="80" t="str">
        <f>IF(A2319="","",SUMIF(EXTRATO!$A$2:$A$3000,$A2319,EXTRATO!$J$2:$J$3000)+SUMIF(EXTRATO!$A$2:$A$3000,$A2319,EXTRATO!$K$2:$K$3000)+SUMIF(EXTRATO!$A$2:$A$3000,$A2319,EXTRATO!$L$2:$L$3000)+SUMIF(EXTRATO!$A$2:$A$3000,$A2319,EXTRATO!$M$2:$M$3000))</f>
        <v/>
      </c>
      <c r="G2319" s="81" t="str">
        <f>IF(A2319="","",IF(INDEX(EXTRATO!$G$2:$G$3000,MATCH($A2319,EXTRATO!$A$2:$A$3000,0))="","",INDEX(EXTRATO!$G$2:$G$3000,MATCH($A2319,EXTRATO!$A$2:$A$3000,0))))</f>
        <v/>
      </c>
      <c r="H2319" s="86" t="str">
        <f>IF(A2319="","",IF(INDEX(EXTRATO!$F$2:$F$3000,MATCH($A2319,EXTRATO!$A$2:$A$3000,0))="","",INDEX(EXTRATO!$F$2:$F$3000,MATCH($A2319,EXTRATO!$A$2:$A$3000,0))))</f>
        <v/>
      </c>
      <c r="I2319" s="88" t="str">
        <f>IF(A2319="","",IF(INDEX(EXTRATO!$H$2:$H$3000,MATCH($A2319,EXTRATO!$A$2:$A$3000,0))="","",INDEX(EXTRATO!$H$2:$H$3000,MATCH($A2319,EXTRATO!$A$2:$A$3000,0))))</f>
        <v/>
      </c>
      <c r="J2319" s="86" t="str">
        <f t="shared" si="59"/>
        <v/>
      </c>
      <c r="K2319" s="86" t="str">
        <f>IF(AND(A2319="",D2319="",E2319="",F2319=""),"",IF(D2319="","SEM CATEGORIA",IF(E2319="","SEM SUBCATEGORIA",IF(COUNTIFS(CADASTROS!$L$7:$L$93,D2319,CADASTROS!$D$7:$D$93,E2319)=0,"INCOMPATÍVEL","OK"))))</f>
        <v/>
      </c>
    </row>
    <row r="2320" spans="1:11" ht="30" hidden="1" customHeight="1" x14ac:dyDescent="0.25">
      <c r="A2320" s="86" t="str">
        <f>IF(COUNTIF(EXTRATO!$A$2:$A$3000,"BAN-02177")=0,"","BAN-02177")</f>
        <v/>
      </c>
      <c r="B2320" s="85" t="str">
        <f>IF(A2320="","",IF(INDEX(EXTRATO!$C$2:$C$3000,MATCH($A2320,EXTRATO!$A$2:$A$3000,0))="","",INDEX(EXTRATO!$C$2:$C$3000,MATCH($A2320,EXTRATO!$A$2:$A$3000,0))))</f>
        <v/>
      </c>
      <c r="C2320" s="86" t="str">
        <f t="shared" si="58"/>
        <v/>
      </c>
      <c r="D2320" s="81"/>
      <c r="E2320" s="79"/>
      <c r="F2320" s="80" t="str">
        <f>IF(A2320="","",SUMIF(EXTRATO!$A$2:$A$3000,$A2320,EXTRATO!$J$2:$J$3000)+SUMIF(EXTRATO!$A$2:$A$3000,$A2320,EXTRATO!$K$2:$K$3000)+SUMIF(EXTRATO!$A$2:$A$3000,$A2320,EXTRATO!$L$2:$L$3000)+SUMIF(EXTRATO!$A$2:$A$3000,$A2320,EXTRATO!$M$2:$M$3000))</f>
        <v/>
      </c>
      <c r="G2320" s="81" t="str">
        <f>IF(A2320="","",IF(INDEX(EXTRATO!$G$2:$G$3000,MATCH($A2320,EXTRATO!$A$2:$A$3000,0))="","",INDEX(EXTRATO!$G$2:$G$3000,MATCH($A2320,EXTRATO!$A$2:$A$3000,0))))</f>
        <v/>
      </c>
      <c r="H2320" s="86" t="str">
        <f>IF(A2320="","",IF(INDEX(EXTRATO!$F$2:$F$3000,MATCH($A2320,EXTRATO!$A$2:$A$3000,0))="","",INDEX(EXTRATO!$F$2:$F$3000,MATCH($A2320,EXTRATO!$A$2:$A$3000,0))))</f>
        <v/>
      </c>
      <c r="I2320" s="88" t="str">
        <f>IF(A2320="","",IF(INDEX(EXTRATO!$H$2:$H$3000,MATCH($A2320,EXTRATO!$A$2:$A$3000,0))="","",INDEX(EXTRATO!$H$2:$H$3000,MATCH($A2320,EXTRATO!$A$2:$A$3000,0))))</f>
        <v/>
      </c>
      <c r="J2320" s="86" t="str">
        <f t="shared" si="59"/>
        <v/>
      </c>
      <c r="K2320" s="86" t="str">
        <f>IF(AND(A2320="",D2320="",E2320="",F2320=""),"",IF(D2320="","SEM CATEGORIA",IF(E2320="","SEM SUBCATEGORIA",IF(COUNTIFS(CADASTROS!$L$7:$L$93,D2320,CADASTROS!$D$7:$D$93,E2320)=0,"INCOMPATÍVEL","OK"))))</f>
        <v/>
      </c>
    </row>
    <row r="2321" spans="1:11" ht="30" hidden="1" customHeight="1" x14ac:dyDescent="0.25">
      <c r="A2321" s="86" t="str">
        <f>IF(COUNTIF(EXTRATO!$A$2:$A$3000,"BAN-02178")=0,"","BAN-02178")</f>
        <v/>
      </c>
      <c r="B2321" s="85" t="str">
        <f>IF(A2321="","",IF(INDEX(EXTRATO!$C$2:$C$3000,MATCH($A2321,EXTRATO!$A$2:$A$3000,0))="","",INDEX(EXTRATO!$C$2:$C$3000,MATCH($A2321,EXTRATO!$A$2:$A$3000,0))))</f>
        <v/>
      </c>
      <c r="C2321" s="86" t="str">
        <f t="shared" si="58"/>
        <v/>
      </c>
      <c r="D2321" s="81"/>
      <c r="E2321" s="79"/>
      <c r="F2321" s="80" t="str">
        <f>IF(A2321="","",SUMIF(EXTRATO!$A$2:$A$3000,$A2321,EXTRATO!$J$2:$J$3000)+SUMIF(EXTRATO!$A$2:$A$3000,$A2321,EXTRATO!$K$2:$K$3000)+SUMIF(EXTRATO!$A$2:$A$3000,$A2321,EXTRATO!$L$2:$L$3000)+SUMIF(EXTRATO!$A$2:$A$3000,$A2321,EXTRATO!$M$2:$M$3000))</f>
        <v/>
      </c>
      <c r="G2321" s="81" t="str">
        <f>IF(A2321="","",IF(INDEX(EXTRATO!$G$2:$G$3000,MATCH($A2321,EXTRATO!$A$2:$A$3000,0))="","",INDEX(EXTRATO!$G$2:$G$3000,MATCH($A2321,EXTRATO!$A$2:$A$3000,0))))</f>
        <v/>
      </c>
      <c r="H2321" s="86" t="str">
        <f>IF(A2321="","",IF(INDEX(EXTRATO!$F$2:$F$3000,MATCH($A2321,EXTRATO!$A$2:$A$3000,0))="","",INDEX(EXTRATO!$F$2:$F$3000,MATCH($A2321,EXTRATO!$A$2:$A$3000,0))))</f>
        <v/>
      </c>
      <c r="I2321" s="88" t="str">
        <f>IF(A2321="","",IF(INDEX(EXTRATO!$H$2:$H$3000,MATCH($A2321,EXTRATO!$A$2:$A$3000,0))="","",INDEX(EXTRATO!$H$2:$H$3000,MATCH($A2321,EXTRATO!$A$2:$A$3000,0))))</f>
        <v/>
      </c>
      <c r="J2321" s="86" t="str">
        <f t="shared" si="59"/>
        <v/>
      </c>
      <c r="K2321" s="86" t="str">
        <f>IF(AND(A2321="",D2321="",E2321="",F2321=""),"",IF(D2321="","SEM CATEGORIA",IF(E2321="","SEM SUBCATEGORIA",IF(COUNTIFS(CADASTROS!$L$7:$L$93,D2321,CADASTROS!$D$7:$D$93,E2321)=0,"INCOMPATÍVEL","OK"))))</f>
        <v/>
      </c>
    </row>
    <row r="2322" spans="1:11" ht="30" hidden="1" customHeight="1" x14ac:dyDescent="0.25">
      <c r="A2322" s="86" t="str">
        <f>IF(COUNTIF(EXTRATO!$A$2:$A$3000,"BAN-02179")=0,"","BAN-02179")</f>
        <v/>
      </c>
      <c r="B2322" s="85" t="str">
        <f>IF(A2322="","",IF(INDEX(EXTRATO!$C$2:$C$3000,MATCH($A2322,EXTRATO!$A$2:$A$3000,0))="","",INDEX(EXTRATO!$C$2:$C$3000,MATCH($A2322,EXTRATO!$A$2:$A$3000,0))))</f>
        <v/>
      </c>
      <c r="C2322" s="86" t="str">
        <f t="shared" si="58"/>
        <v/>
      </c>
      <c r="D2322" s="81"/>
      <c r="E2322" s="79"/>
      <c r="F2322" s="80" t="str">
        <f>IF(A2322="","",SUMIF(EXTRATO!$A$2:$A$3000,$A2322,EXTRATO!$J$2:$J$3000)+SUMIF(EXTRATO!$A$2:$A$3000,$A2322,EXTRATO!$K$2:$K$3000)+SUMIF(EXTRATO!$A$2:$A$3000,$A2322,EXTRATO!$L$2:$L$3000)+SUMIF(EXTRATO!$A$2:$A$3000,$A2322,EXTRATO!$M$2:$M$3000))</f>
        <v/>
      </c>
      <c r="G2322" s="81" t="str">
        <f>IF(A2322="","",IF(INDEX(EXTRATO!$G$2:$G$3000,MATCH($A2322,EXTRATO!$A$2:$A$3000,0))="","",INDEX(EXTRATO!$G$2:$G$3000,MATCH($A2322,EXTRATO!$A$2:$A$3000,0))))</f>
        <v/>
      </c>
      <c r="H2322" s="86" t="str">
        <f>IF(A2322="","",IF(INDEX(EXTRATO!$F$2:$F$3000,MATCH($A2322,EXTRATO!$A$2:$A$3000,0))="","",INDEX(EXTRATO!$F$2:$F$3000,MATCH($A2322,EXTRATO!$A$2:$A$3000,0))))</f>
        <v/>
      </c>
      <c r="I2322" s="88" t="str">
        <f>IF(A2322="","",IF(INDEX(EXTRATO!$H$2:$H$3000,MATCH($A2322,EXTRATO!$A$2:$A$3000,0))="","",INDEX(EXTRATO!$H$2:$H$3000,MATCH($A2322,EXTRATO!$A$2:$A$3000,0))))</f>
        <v/>
      </c>
      <c r="J2322" s="86" t="str">
        <f t="shared" si="59"/>
        <v/>
      </c>
      <c r="K2322" s="86" t="str">
        <f>IF(AND(A2322="",D2322="",E2322="",F2322=""),"",IF(D2322="","SEM CATEGORIA",IF(E2322="","SEM SUBCATEGORIA",IF(COUNTIFS(CADASTROS!$L$7:$L$93,D2322,CADASTROS!$D$7:$D$93,E2322)=0,"INCOMPATÍVEL","OK"))))</f>
        <v/>
      </c>
    </row>
    <row r="2323" spans="1:11" ht="30" hidden="1" customHeight="1" x14ac:dyDescent="0.25">
      <c r="A2323" s="86" t="str">
        <f>IF(COUNTIF(EXTRATO!$A$2:$A$3000,"BAN-02180")=0,"","BAN-02180")</f>
        <v/>
      </c>
      <c r="B2323" s="85" t="str">
        <f>IF(A2323="","",IF(INDEX(EXTRATO!$C$2:$C$3000,MATCH($A2323,EXTRATO!$A$2:$A$3000,0))="","",INDEX(EXTRATO!$C$2:$C$3000,MATCH($A2323,EXTRATO!$A$2:$A$3000,0))))</f>
        <v/>
      </c>
      <c r="C2323" s="86" t="str">
        <f t="shared" si="58"/>
        <v/>
      </c>
      <c r="D2323" s="81"/>
      <c r="E2323" s="79"/>
      <c r="F2323" s="80" t="str">
        <f>IF(A2323="","",SUMIF(EXTRATO!$A$2:$A$3000,$A2323,EXTRATO!$J$2:$J$3000)+SUMIF(EXTRATO!$A$2:$A$3000,$A2323,EXTRATO!$K$2:$K$3000)+SUMIF(EXTRATO!$A$2:$A$3000,$A2323,EXTRATO!$L$2:$L$3000)+SUMIF(EXTRATO!$A$2:$A$3000,$A2323,EXTRATO!$M$2:$M$3000))</f>
        <v/>
      </c>
      <c r="G2323" s="81" t="str">
        <f>IF(A2323="","",IF(INDEX(EXTRATO!$G$2:$G$3000,MATCH($A2323,EXTRATO!$A$2:$A$3000,0))="","",INDEX(EXTRATO!$G$2:$G$3000,MATCH($A2323,EXTRATO!$A$2:$A$3000,0))))</f>
        <v/>
      </c>
      <c r="H2323" s="86" t="str">
        <f>IF(A2323="","",IF(INDEX(EXTRATO!$F$2:$F$3000,MATCH($A2323,EXTRATO!$A$2:$A$3000,0))="","",INDEX(EXTRATO!$F$2:$F$3000,MATCH($A2323,EXTRATO!$A$2:$A$3000,0))))</f>
        <v/>
      </c>
      <c r="I2323" s="88" t="str">
        <f>IF(A2323="","",IF(INDEX(EXTRATO!$H$2:$H$3000,MATCH($A2323,EXTRATO!$A$2:$A$3000,0))="","",INDEX(EXTRATO!$H$2:$H$3000,MATCH($A2323,EXTRATO!$A$2:$A$3000,0))))</f>
        <v/>
      </c>
      <c r="J2323" s="86" t="str">
        <f t="shared" si="59"/>
        <v/>
      </c>
      <c r="K2323" s="86" t="str">
        <f>IF(AND(A2323="",D2323="",E2323="",F2323=""),"",IF(D2323="","SEM CATEGORIA",IF(E2323="","SEM SUBCATEGORIA",IF(COUNTIFS(CADASTROS!$L$7:$L$93,D2323,CADASTROS!$D$7:$D$93,E2323)=0,"INCOMPATÍVEL","OK"))))</f>
        <v/>
      </c>
    </row>
    <row r="2324" spans="1:11" ht="30" hidden="1" customHeight="1" x14ac:dyDescent="0.25">
      <c r="A2324" s="86" t="str">
        <f>IF(COUNTIF(EXTRATO!$A$2:$A$3000,"BAN-02181")=0,"","BAN-02181")</f>
        <v/>
      </c>
      <c r="B2324" s="85" t="str">
        <f>IF(A2324="","",IF(INDEX(EXTRATO!$C$2:$C$3000,MATCH($A2324,EXTRATO!$A$2:$A$3000,0))="","",INDEX(EXTRATO!$C$2:$C$3000,MATCH($A2324,EXTRATO!$A$2:$A$3000,0))))</f>
        <v/>
      </c>
      <c r="C2324" s="86" t="str">
        <f t="shared" si="58"/>
        <v/>
      </c>
      <c r="D2324" s="81"/>
      <c r="E2324" s="79"/>
      <c r="F2324" s="80" t="str">
        <f>IF(A2324="","",SUMIF(EXTRATO!$A$2:$A$3000,$A2324,EXTRATO!$J$2:$J$3000)+SUMIF(EXTRATO!$A$2:$A$3000,$A2324,EXTRATO!$K$2:$K$3000)+SUMIF(EXTRATO!$A$2:$A$3000,$A2324,EXTRATO!$L$2:$L$3000)+SUMIF(EXTRATO!$A$2:$A$3000,$A2324,EXTRATO!$M$2:$M$3000))</f>
        <v/>
      </c>
      <c r="G2324" s="81" t="str">
        <f>IF(A2324="","",IF(INDEX(EXTRATO!$G$2:$G$3000,MATCH($A2324,EXTRATO!$A$2:$A$3000,0))="","",INDEX(EXTRATO!$G$2:$G$3000,MATCH($A2324,EXTRATO!$A$2:$A$3000,0))))</f>
        <v/>
      </c>
      <c r="H2324" s="86" t="str">
        <f>IF(A2324="","",IF(INDEX(EXTRATO!$F$2:$F$3000,MATCH($A2324,EXTRATO!$A$2:$A$3000,0))="","",INDEX(EXTRATO!$F$2:$F$3000,MATCH($A2324,EXTRATO!$A$2:$A$3000,0))))</f>
        <v/>
      </c>
      <c r="I2324" s="88" t="str">
        <f>IF(A2324="","",IF(INDEX(EXTRATO!$H$2:$H$3000,MATCH($A2324,EXTRATO!$A$2:$A$3000,0))="","",INDEX(EXTRATO!$H$2:$H$3000,MATCH($A2324,EXTRATO!$A$2:$A$3000,0))))</f>
        <v/>
      </c>
      <c r="J2324" s="86" t="str">
        <f t="shared" si="59"/>
        <v/>
      </c>
      <c r="K2324" s="86" t="str">
        <f>IF(AND(A2324="",D2324="",E2324="",F2324=""),"",IF(D2324="","SEM CATEGORIA",IF(E2324="","SEM SUBCATEGORIA",IF(COUNTIFS(CADASTROS!$L$7:$L$93,D2324,CADASTROS!$D$7:$D$93,E2324)=0,"INCOMPATÍVEL","OK"))))</f>
        <v/>
      </c>
    </row>
    <row r="2325" spans="1:11" ht="30" hidden="1" customHeight="1" x14ac:dyDescent="0.25">
      <c r="A2325" s="86" t="str">
        <f>IF(COUNTIF(EXTRATO!$A$2:$A$3000,"BAN-02182")=0,"","BAN-02182")</f>
        <v/>
      </c>
      <c r="B2325" s="85" t="str">
        <f>IF(A2325="","",IF(INDEX(EXTRATO!$C$2:$C$3000,MATCH($A2325,EXTRATO!$A$2:$A$3000,0))="","",INDEX(EXTRATO!$C$2:$C$3000,MATCH($A2325,EXTRATO!$A$2:$A$3000,0))))</f>
        <v/>
      </c>
      <c r="C2325" s="86" t="str">
        <f t="shared" ref="C2325:C2388" si="60">IF(B2325="","",MONTH(B2325))</f>
        <v/>
      </c>
      <c r="D2325" s="81"/>
      <c r="E2325" s="79"/>
      <c r="F2325" s="80" t="str">
        <f>IF(A2325="","",SUMIF(EXTRATO!$A$2:$A$3000,$A2325,EXTRATO!$J$2:$J$3000)+SUMIF(EXTRATO!$A$2:$A$3000,$A2325,EXTRATO!$K$2:$K$3000)+SUMIF(EXTRATO!$A$2:$A$3000,$A2325,EXTRATO!$L$2:$L$3000)+SUMIF(EXTRATO!$A$2:$A$3000,$A2325,EXTRATO!$M$2:$M$3000))</f>
        <v/>
      </c>
      <c r="G2325" s="81" t="str">
        <f>IF(A2325="","",IF(INDEX(EXTRATO!$G$2:$G$3000,MATCH($A2325,EXTRATO!$A$2:$A$3000,0))="","",INDEX(EXTRATO!$G$2:$G$3000,MATCH($A2325,EXTRATO!$A$2:$A$3000,0))))</f>
        <v/>
      </c>
      <c r="H2325" s="86" t="str">
        <f>IF(A2325="","",IF(INDEX(EXTRATO!$F$2:$F$3000,MATCH($A2325,EXTRATO!$A$2:$A$3000,0))="","",INDEX(EXTRATO!$F$2:$F$3000,MATCH($A2325,EXTRATO!$A$2:$A$3000,0))))</f>
        <v/>
      </c>
      <c r="I2325" s="88" t="str">
        <f>IF(A2325="","",IF(INDEX(EXTRATO!$H$2:$H$3000,MATCH($A2325,EXTRATO!$A$2:$A$3000,0))="","",INDEX(EXTRATO!$H$2:$H$3000,MATCH($A2325,EXTRATO!$A$2:$A$3000,0))))</f>
        <v/>
      </c>
      <c r="J2325" s="86" t="str">
        <f t="shared" si="59"/>
        <v/>
      </c>
      <c r="K2325" s="86" t="str">
        <f>IF(AND(A2325="",D2325="",E2325="",F2325=""),"",IF(D2325="","SEM CATEGORIA",IF(E2325="","SEM SUBCATEGORIA",IF(COUNTIFS(CADASTROS!$L$7:$L$93,D2325,CADASTROS!$D$7:$D$93,E2325)=0,"INCOMPATÍVEL","OK"))))</f>
        <v/>
      </c>
    </row>
    <row r="2326" spans="1:11" ht="30" hidden="1" customHeight="1" x14ac:dyDescent="0.25">
      <c r="A2326" s="86" t="str">
        <f>IF(COUNTIF(EXTRATO!$A$2:$A$3000,"BAN-02183")=0,"","BAN-02183")</f>
        <v/>
      </c>
      <c r="B2326" s="85" t="str">
        <f>IF(A2326="","",IF(INDEX(EXTRATO!$C$2:$C$3000,MATCH($A2326,EXTRATO!$A$2:$A$3000,0))="","",INDEX(EXTRATO!$C$2:$C$3000,MATCH($A2326,EXTRATO!$A$2:$A$3000,0))))</f>
        <v/>
      </c>
      <c r="C2326" s="86" t="str">
        <f t="shared" si="60"/>
        <v/>
      </c>
      <c r="D2326" s="81"/>
      <c r="E2326" s="79"/>
      <c r="F2326" s="80" t="str">
        <f>IF(A2326="","",SUMIF(EXTRATO!$A$2:$A$3000,$A2326,EXTRATO!$J$2:$J$3000)+SUMIF(EXTRATO!$A$2:$A$3000,$A2326,EXTRATO!$K$2:$K$3000)+SUMIF(EXTRATO!$A$2:$A$3000,$A2326,EXTRATO!$L$2:$L$3000)+SUMIF(EXTRATO!$A$2:$A$3000,$A2326,EXTRATO!$M$2:$M$3000))</f>
        <v/>
      </c>
      <c r="G2326" s="81" t="str">
        <f>IF(A2326="","",IF(INDEX(EXTRATO!$G$2:$G$3000,MATCH($A2326,EXTRATO!$A$2:$A$3000,0))="","",INDEX(EXTRATO!$G$2:$G$3000,MATCH($A2326,EXTRATO!$A$2:$A$3000,0))))</f>
        <v/>
      </c>
      <c r="H2326" s="86" t="str">
        <f>IF(A2326="","",IF(INDEX(EXTRATO!$F$2:$F$3000,MATCH($A2326,EXTRATO!$A$2:$A$3000,0))="","",INDEX(EXTRATO!$F$2:$F$3000,MATCH($A2326,EXTRATO!$A$2:$A$3000,0))))</f>
        <v/>
      </c>
      <c r="I2326" s="88" t="str">
        <f>IF(A2326="","",IF(INDEX(EXTRATO!$H$2:$H$3000,MATCH($A2326,EXTRATO!$A$2:$A$3000,0))="","",INDEX(EXTRATO!$H$2:$H$3000,MATCH($A2326,EXTRATO!$A$2:$A$3000,0))))</f>
        <v/>
      </c>
      <c r="J2326" s="86" t="str">
        <f t="shared" si="59"/>
        <v/>
      </c>
      <c r="K2326" s="86" t="str">
        <f>IF(AND(A2326="",D2326="",E2326="",F2326=""),"",IF(D2326="","SEM CATEGORIA",IF(E2326="","SEM SUBCATEGORIA",IF(COUNTIFS(CADASTROS!$L$7:$L$93,D2326,CADASTROS!$D$7:$D$93,E2326)=0,"INCOMPATÍVEL","OK"))))</f>
        <v/>
      </c>
    </row>
    <row r="2327" spans="1:11" ht="30" hidden="1" customHeight="1" x14ac:dyDescent="0.25">
      <c r="A2327" s="86" t="str">
        <f>IF(COUNTIF(EXTRATO!$A$2:$A$3000,"BAN-02184")=0,"","BAN-02184")</f>
        <v/>
      </c>
      <c r="B2327" s="85" t="str">
        <f>IF(A2327="","",IF(INDEX(EXTRATO!$C$2:$C$3000,MATCH($A2327,EXTRATO!$A$2:$A$3000,0))="","",INDEX(EXTRATO!$C$2:$C$3000,MATCH($A2327,EXTRATO!$A$2:$A$3000,0))))</f>
        <v/>
      </c>
      <c r="C2327" s="86" t="str">
        <f t="shared" si="60"/>
        <v/>
      </c>
      <c r="D2327" s="81"/>
      <c r="E2327" s="79"/>
      <c r="F2327" s="80" t="str">
        <f>IF(A2327="","",SUMIF(EXTRATO!$A$2:$A$3000,$A2327,EXTRATO!$J$2:$J$3000)+SUMIF(EXTRATO!$A$2:$A$3000,$A2327,EXTRATO!$K$2:$K$3000)+SUMIF(EXTRATO!$A$2:$A$3000,$A2327,EXTRATO!$L$2:$L$3000)+SUMIF(EXTRATO!$A$2:$A$3000,$A2327,EXTRATO!$M$2:$M$3000))</f>
        <v/>
      </c>
      <c r="G2327" s="81" t="str">
        <f>IF(A2327="","",IF(INDEX(EXTRATO!$G$2:$G$3000,MATCH($A2327,EXTRATO!$A$2:$A$3000,0))="","",INDEX(EXTRATO!$G$2:$G$3000,MATCH($A2327,EXTRATO!$A$2:$A$3000,0))))</f>
        <v/>
      </c>
      <c r="H2327" s="86" t="str">
        <f>IF(A2327="","",IF(INDEX(EXTRATO!$F$2:$F$3000,MATCH($A2327,EXTRATO!$A$2:$A$3000,0))="","",INDEX(EXTRATO!$F$2:$F$3000,MATCH($A2327,EXTRATO!$A$2:$A$3000,0))))</f>
        <v/>
      </c>
      <c r="I2327" s="88" t="str">
        <f>IF(A2327="","",IF(INDEX(EXTRATO!$H$2:$H$3000,MATCH($A2327,EXTRATO!$A$2:$A$3000,0))="","",INDEX(EXTRATO!$H$2:$H$3000,MATCH($A2327,EXTRATO!$A$2:$A$3000,0))))</f>
        <v/>
      </c>
      <c r="J2327" s="86" t="str">
        <f t="shared" si="59"/>
        <v/>
      </c>
      <c r="K2327" s="86" t="str">
        <f>IF(AND(A2327="",D2327="",E2327="",F2327=""),"",IF(D2327="","SEM CATEGORIA",IF(E2327="","SEM SUBCATEGORIA",IF(COUNTIFS(CADASTROS!$L$7:$L$93,D2327,CADASTROS!$D$7:$D$93,E2327)=0,"INCOMPATÍVEL","OK"))))</f>
        <v/>
      </c>
    </row>
    <row r="2328" spans="1:11" ht="30" hidden="1" customHeight="1" x14ac:dyDescent="0.25">
      <c r="A2328" s="86" t="str">
        <f>IF(COUNTIF(EXTRATO!$A$2:$A$3000,"BAN-02185")=0,"","BAN-02185")</f>
        <v/>
      </c>
      <c r="B2328" s="85" t="str">
        <f>IF(A2328="","",IF(INDEX(EXTRATO!$C$2:$C$3000,MATCH($A2328,EXTRATO!$A$2:$A$3000,0))="","",INDEX(EXTRATO!$C$2:$C$3000,MATCH($A2328,EXTRATO!$A$2:$A$3000,0))))</f>
        <v/>
      </c>
      <c r="C2328" s="86" t="str">
        <f t="shared" si="60"/>
        <v/>
      </c>
      <c r="D2328" s="81"/>
      <c r="E2328" s="79"/>
      <c r="F2328" s="80" t="str">
        <f>IF(A2328="","",SUMIF(EXTRATO!$A$2:$A$3000,$A2328,EXTRATO!$J$2:$J$3000)+SUMIF(EXTRATO!$A$2:$A$3000,$A2328,EXTRATO!$K$2:$K$3000)+SUMIF(EXTRATO!$A$2:$A$3000,$A2328,EXTRATO!$L$2:$L$3000)+SUMIF(EXTRATO!$A$2:$A$3000,$A2328,EXTRATO!$M$2:$M$3000))</f>
        <v/>
      </c>
      <c r="G2328" s="81" t="str">
        <f>IF(A2328="","",IF(INDEX(EXTRATO!$G$2:$G$3000,MATCH($A2328,EXTRATO!$A$2:$A$3000,0))="","",INDEX(EXTRATO!$G$2:$G$3000,MATCH($A2328,EXTRATO!$A$2:$A$3000,0))))</f>
        <v/>
      </c>
      <c r="H2328" s="86" t="str">
        <f>IF(A2328="","",IF(INDEX(EXTRATO!$F$2:$F$3000,MATCH($A2328,EXTRATO!$A$2:$A$3000,0))="","",INDEX(EXTRATO!$F$2:$F$3000,MATCH($A2328,EXTRATO!$A$2:$A$3000,0))))</f>
        <v/>
      </c>
      <c r="I2328" s="88" t="str">
        <f>IF(A2328="","",IF(INDEX(EXTRATO!$H$2:$H$3000,MATCH($A2328,EXTRATO!$A$2:$A$3000,0))="","",INDEX(EXTRATO!$H$2:$H$3000,MATCH($A2328,EXTRATO!$A$2:$A$3000,0))))</f>
        <v/>
      </c>
      <c r="J2328" s="86" t="str">
        <f t="shared" si="59"/>
        <v/>
      </c>
      <c r="K2328" s="86" t="str">
        <f>IF(AND(A2328="",D2328="",E2328="",F2328=""),"",IF(D2328="","SEM CATEGORIA",IF(E2328="","SEM SUBCATEGORIA",IF(COUNTIFS(CADASTROS!$L$7:$L$93,D2328,CADASTROS!$D$7:$D$93,E2328)=0,"INCOMPATÍVEL","OK"))))</f>
        <v/>
      </c>
    </row>
    <row r="2329" spans="1:11" ht="30" hidden="1" customHeight="1" x14ac:dyDescent="0.25">
      <c r="A2329" s="86" t="str">
        <f>IF(COUNTIF(EXTRATO!$A$2:$A$3000,"BAN-02186")=0,"","BAN-02186")</f>
        <v/>
      </c>
      <c r="B2329" s="85" t="str">
        <f>IF(A2329="","",IF(INDEX(EXTRATO!$C$2:$C$3000,MATCH($A2329,EXTRATO!$A$2:$A$3000,0))="","",INDEX(EXTRATO!$C$2:$C$3000,MATCH($A2329,EXTRATO!$A$2:$A$3000,0))))</f>
        <v/>
      </c>
      <c r="C2329" s="86" t="str">
        <f t="shared" si="60"/>
        <v/>
      </c>
      <c r="D2329" s="81"/>
      <c r="E2329" s="79"/>
      <c r="F2329" s="80" t="str">
        <f>IF(A2329="","",SUMIF(EXTRATO!$A$2:$A$3000,$A2329,EXTRATO!$J$2:$J$3000)+SUMIF(EXTRATO!$A$2:$A$3000,$A2329,EXTRATO!$K$2:$K$3000)+SUMIF(EXTRATO!$A$2:$A$3000,$A2329,EXTRATO!$L$2:$L$3000)+SUMIF(EXTRATO!$A$2:$A$3000,$A2329,EXTRATO!$M$2:$M$3000))</f>
        <v/>
      </c>
      <c r="G2329" s="81" t="str">
        <f>IF(A2329="","",IF(INDEX(EXTRATO!$G$2:$G$3000,MATCH($A2329,EXTRATO!$A$2:$A$3000,0))="","",INDEX(EXTRATO!$G$2:$G$3000,MATCH($A2329,EXTRATO!$A$2:$A$3000,0))))</f>
        <v/>
      </c>
      <c r="H2329" s="86" t="str">
        <f>IF(A2329="","",IF(INDEX(EXTRATO!$F$2:$F$3000,MATCH($A2329,EXTRATO!$A$2:$A$3000,0))="","",INDEX(EXTRATO!$F$2:$F$3000,MATCH($A2329,EXTRATO!$A$2:$A$3000,0))))</f>
        <v/>
      </c>
      <c r="I2329" s="88" t="str">
        <f>IF(A2329="","",IF(INDEX(EXTRATO!$H$2:$H$3000,MATCH($A2329,EXTRATO!$A$2:$A$3000,0))="","",INDEX(EXTRATO!$H$2:$H$3000,MATCH($A2329,EXTRATO!$A$2:$A$3000,0))))</f>
        <v/>
      </c>
      <c r="J2329" s="86" t="str">
        <f t="shared" si="59"/>
        <v/>
      </c>
      <c r="K2329" s="86" t="str">
        <f>IF(AND(A2329="",D2329="",E2329="",F2329=""),"",IF(D2329="","SEM CATEGORIA",IF(E2329="","SEM SUBCATEGORIA",IF(COUNTIFS(CADASTROS!$L$7:$L$93,D2329,CADASTROS!$D$7:$D$93,E2329)=0,"INCOMPATÍVEL","OK"))))</f>
        <v/>
      </c>
    </row>
    <row r="2330" spans="1:11" ht="30" hidden="1" customHeight="1" x14ac:dyDescent="0.25">
      <c r="A2330" s="86" t="str">
        <f>IF(COUNTIF(EXTRATO!$A$2:$A$3000,"BAN-02187")=0,"","BAN-02187")</f>
        <v/>
      </c>
      <c r="B2330" s="85" t="str">
        <f>IF(A2330="","",IF(INDEX(EXTRATO!$C$2:$C$3000,MATCH($A2330,EXTRATO!$A$2:$A$3000,0))="","",INDEX(EXTRATO!$C$2:$C$3000,MATCH($A2330,EXTRATO!$A$2:$A$3000,0))))</f>
        <v/>
      </c>
      <c r="C2330" s="86" t="str">
        <f t="shared" si="60"/>
        <v/>
      </c>
      <c r="D2330" s="81"/>
      <c r="E2330" s="79"/>
      <c r="F2330" s="80" t="str">
        <f>IF(A2330="","",SUMIF(EXTRATO!$A$2:$A$3000,$A2330,EXTRATO!$J$2:$J$3000)+SUMIF(EXTRATO!$A$2:$A$3000,$A2330,EXTRATO!$K$2:$K$3000)+SUMIF(EXTRATO!$A$2:$A$3000,$A2330,EXTRATO!$L$2:$L$3000)+SUMIF(EXTRATO!$A$2:$A$3000,$A2330,EXTRATO!$M$2:$M$3000))</f>
        <v/>
      </c>
      <c r="G2330" s="81" t="str">
        <f>IF(A2330="","",IF(INDEX(EXTRATO!$G$2:$G$3000,MATCH($A2330,EXTRATO!$A$2:$A$3000,0))="","",INDEX(EXTRATO!$G$2:$G$3000,MATCH($A2330,EXTRATO!$A$2:$A$3000,0))))</f>
        <v/>
      </c>
      <c r="H2330" s="86" t="str">
        <f>IF(A2330="","",IF(INDEX(EXTRATO!$F$2:$F$3000,MATCH($A2330,EXTRATO!$A$2:$A$3000,0))="","",INDEX(EXTRATO!$F$2:$F$3000,MATCH($A2330,EXTRATO!$A$2:$A$3000,0))))</f>
        <v/>
      </c>
      <c r="I2330" s="88" t="str">
        <f>IF(A2330="","",IF(INDEX(EXTRATO!$H$2:$H$3000,MATCH($A2330,EXTRATO!$A$2:$A$3000,0))="","",INDEX(EXTRATO!$H$2:$H$3000,MATCH($A2330,EXTRATO!$A$2:$A$3000,0))))</f>
        <v/>
      </c>
      <c r="J2330" s="86" t="str">
        <f t="shared" si="59"/>
        <v/>
      </c>
      <c r="K2330" s="86" t="str">
        <f>IF(AND(A2330="",D2330="",E2330="",F2330=""),"",IF(D2330="","SEM CATEGORIA",IF(E2330="","SEM SUBCATEGORIA",IF(COUNTIFS(CADASTROS!$L$7:$L$93,D2330,CADASTROS!$D$7:$D$93,E2330)=0,"INCOMPATÍVEL","OK"))))</f>
        <v/>
      </c>
    </row>
    <row r="2331" spans="1:11" ht="30" hidden="1" customHeight="1" x14ac:dyDescent="0.25">
      <c r="A2331" s="86" t="str">
        <f>IF(COUNTIF(EXTRATO!$A$2:$A$3000,"BAN-02188")=0,"","BAN-02188")</f>
        <v/>
      </c>
      <c r="B2331" s="85" t="str">
        <f>IF(A2331="","",IF(INDEX(EXTRATO!$C$2:$C$3000,MATCH($A2331,EXTRATO!$A$2:$A$3000,0))="","",INDEX(EXTRATO!$C$2:$C$3000,MATCH($A2331,EXTRATO!$A$2:$A$3000,0))))</f>
        <v/>
      </c>
      <c r="C2331" s="86" t="str">
        <f t="shared" si="60"/>
        <v/>
      </c>
      <c r="D2331" s="81"/>
      <c r="E2331" s="79"/>
      <c r="F2331" s="80" t="str">
        <f>IF(A2331="","",SUMIF(EXTRATO!$A$2:$A$3000,$A2331,EXTRATO!$J$2:$J$3000)+SUMIF(EXTRATO!$A$2:$A$3000,$A2331,EXTRATO!$K$2:$K$3000)+SUMIF(EXTRATO!$A$2:$A$3000,$A2331,EXTRATO!$L$2:$L$3000)+SUMIF(EXTRATO!$A$2:$A$3000,$A2331,EXTRATO!$M$2:$M$3000))</f>
        <v/>
      </c>
      <c r="G2331" s="81" t="str">
        <f>IF(A2331="","",IF(INDEX(EXTRATO!$G$2:$G$3000,MATCH($A2331,EXTRATO!$A$2:$A$3000,0))="","",INDEX(EXTRATO!$G$2:$G$3000,MATCH($A2331,EXTRATO!$A$2:$A$3000,0))))</f>
        <v/>
      </c>
      <c r="H2331" s="86" t="str">
        <f>IF(A2331="","",IF(INDEX(EXTRATO!$F$2:$F$3000,MATCH($A2331,EXTRATO!$A$2:$A$3000,0))="","",INDEX(EXTRATO!$F$2:$F$3000,MATCH($A2331,EXTRATO!$A$2:$A$3000,0))))</f>
        <v/>
      </c>
      <c r="I2331" s="88" t="str">
        <f>IF(A2331="","",IF(INDEX(EXTRATO!$H$2:$H$3000,MATCH($A2331,EXTRATO!$A$2:$A$3000,0))="","",INDEX(EXTRATO!$H$2:$H$3000,MATCH($A2331,EXTRATO!$A$2:$A$3000,0))))</f>
        <v/>
      </c>
      <c r="J2331" s="86" t="str">
        <f t="shared" si="59"/>
        <v/>
      </c>
      <c r="K2331" s="86" t="str">
        <f>IF(AND(A2331="",D2331="",E2331="",F2331=""),"",IF(D2331="","SEM CATEGORIA",IF(E2331="","SEM SUBCATEGORIA",IF(COUNTIFS(CADASTROS!$L$7:$L$93,D2331,CADASTROS!$D$7:$D$93,E2331)=0,"INCOMPATÍVEL","OK"))))</f>
        <v/>
      </c>
    </row>
    <row r="2332" spans="1:11" ht="30" hidden="1" customHeight="1" x14ac:dyDescent="0.25">
      <c r="A2332" s="86" t="str">
        <f>IF(COUNTIF(EXTRATO!$A$2:$A$3000,"BAN-02189")=0,"","BAN-02189")</f>
        <v/>
      </c>
      <c r="B2332" s="85" t="str">
        <f>IF(A2332="","",IF(INDEX(EXTRATO!$C$2:$C$3000,MATCH($A2332,EXTRATO!$A$2:$A$3000,0))="","",INDEX(EXTRATO!$C$2:$C$3000,MATCH($A2332,EXTRATO!$A$2:$A$3000,0))))</f>
        <v/>
      </c>
      <c r="C2332" s="86" t="str">
        <f t="shared" si="60"/>
        <v/>
      </c>
      <c r="D2332" s="81"/>
      <c r="E2332" s="79"/>
      <c r="F2332" s="80" t="str">
        <f>IF(A2332="","",SUMIF(EXTRATO!$A$2:$A$3000,$A2332,EXTRATO!$J$2:$J$3000)+SUMIF(EXTRATO!$A$2:$A$3000,$A2332,EXTRATO!$K$2:$K$3000)+SUMIF(EXTRATO!$A$2:$A$3000,$A2332,EXTRATO!$L$2:$L$3000)+SUMIF(EXTRATO!$A$2:$A$3000,$A2332,EXTRATO!$M$2:$M$3000))</f>
        <v/>
      </c>
      <c r="G2332" s="81" t="str">
        <f>IF(A2332="","",IF(INDEX(EXTRATO!$G$2:$G$3000,MATCH($A2332,EXTRATO!$A$2:$A$3000,0))="","",INDEX(EXTRATO!$G$2:$G$3000,MATCH($A2332,EXTRATO!$A$2:$A$3000,0))))</f>
        <v/>
      </c>
      <c r="H2332" s="86" t="str">
        <f>IF(A2332="","",IF(INDEX(EXTRATO!$F$2:$F$3000,MATCH($A2332,EXTRATO!$A$2:$A$3000,0))="","",INDEX(EXTRATO!$F$2:$F$3000,MATCH($A2332,EXTRATO!$A$2:$A$3000,0))))</f>
        <v/>
      </c>
      <c r="I2332" s="88" t="str">
        <f>IF(A2332="","",IF(INDEX(EXTRATO!$H$2:$H$3000,MATCH($A2332,EXTRATO!$A$2:$A$3000,0))="","",INDEX(EXTRATO!$H$2:$H$3000,MATCH($A2332,EXTRATO!$A$2:$A$3000,0))))</f>
        <v/>
      </c>
      <c r="J2332" s="86" t="str">
        <f t="shared" si="59"/>
        <v/>
      </c>
      <c r="K2332" s="86" t="str">
        <f>IF(AND(A2332="",D2332="",E2332="",F2332=""),"",IF(D2332="","SEM CATEGORIA",IF(E2332="","SEM SUBCATEGORIA",IF(COUNTIFS(CADASTROS!$L$7:$L$93,D2332,CADASTROS!$D$7:$D$93,E2332)=0,"INCOMPATÍVEL","OK"))))</f>
        <v/>
      </c>
    </row>
    <row r="2333" spans="1:11" ht="30" hidden="1" customHeight="1" x14ac:dyDescent="0.25">
      <c r="A2333" s="86" t="str">
        <f>IF(COUNTIF(EXTRATO!$A$2:$A$3000,"BAN-02190")=0,"","BAN-02190")</f>
        <v/>
      </c>
      <c r="B2333" s="85" t="str">
        <f>IF(A2333="","",IF(INDEX(EXTRATO!$C$2:$C$3000,MATCH($A2333,EXTRATO!$A$2:$A$3000,0))="","",INDEX(EXTRATO!$C$2:$C$3000,MATCH($A2333,EXTRATO!$A$2:$A$3000,0))))</f>
        <v/>
      </c>
      <c r="C2333" s="86" t="str">
        <f t="shared" si="60"/>
        <v/>
      </c>
      <c r="D2333" s="81"/>
      <c r="E2333" s="79"/>
      <c r="F2333" s="80" t="str">
        <f>IF(A2333="","",SUMIF(EXTRATO!$A$2:$A$3000,$A2333,EXTRATO!$J$2:$J$3000)+SUMIF(EXTRATO!$A$2:$A$3000,$A2333,EXTRATO!$K$2:$K$3000)+SUMIF(EXTRATO!$A$2:$A$3000,$A2333,EXTRATO!$L$2:$L$3000)+SUMIF(EXTRATO!$A$2:$A$3000,$A2333,EXTRATO!$M$2:$M$3000))</f>
        <v/>
      </c>
      <c r="G2333" s="81" t="str">
        <f>IF(A2333="","",IF(INDEX(EXTRATO!$G$2:$G$3000,MATCH($A2333,EXTRATO!$A$2:$A$3000,0))="","",INDEX(EXTRATO!$G$2:$G$3000,MATCH($A2333,EXTRATO!$A$2:$A$3000,0))))</f>
        <v/>
      </c>
      <c r="H2333" s="86" t="str">
        <f>IF(A2333="","",IF(INDEX(EXTRATO!$F$2:$F$3000,MATCH($A2333,EXTRATO!$A$2:$A$3000,0))="","",INDEX(EXTRATO!$F$2:$F$3000,MATCH($A2333,EXTRATO!$A$2:$A$3000,0))))</f>
        <v/>
      </c>
      <c r="I2333" s="88" t="str">
        <f>IF(A2333="","",IF(INDEX(EXTRATO!$H$2:$H$3000,MATCH($A2333,EXTRATO!$A$2:$A$3000,0))="","",INDEX(EXTRATO!$H$2:$H$3000,MATCH($A2333,EXTRATO!$A$2:$A$3000,0))))</f>
        <v/>
      </c>
      <c r="J2333" s="86" t="str">
        <f t="shared" si="59"/>
        <v/>
      </c>
      <c r="K2333" s="86" t="str">
        <f>IF(AND(A2333="",D2333="",E2333="",F2333=""),"",IF(D2333="","SEM CATEGORIA",IF(E2333="","SEM SUBCATEGORIA",IF(COUNTIFS(CADASTROS!$L$7:$L$93,D2333,CADASTROS!$D$7:$D$93,E2333)=0,"INCOMPATÍVEL","OK"))))</f>
        <v/>
      </c>
    </row>
    <row r="2334" spans="1:11" ht="30" hidden="1" customHeight="1" x14ac:dyDescent="0.25">
      <c r="A2334" s="86" t="str">
        <f>IF(COUNTIF(EXTRATO!$A$2:$A$3000,"BAN-02191")=0,"","BAN-02191")</f>
        <v/>
      </c>
      <c r="B2334" s="85" t="str">
        <f>IF(A2334="","",IF(INDEX(EXTRATO!$C$2:$C$3000,MATCH($A2334,EXTRATO!$A$2:$A$3000,0))="","",INDEX(EXTRATO!$C$2:$C$3000,MATCH($A2334,EXTRATO!$A$2:$A$3000,0))))</f>
        <v/>
      </c>
      <c r="C2334" s="86" t="str">
        <f t="shared" si="60"/>
        <v/>
      </c>
      <c r="D2334" s="81"/>
      <c r="E2334" s="79"/>
      <c r="F2334" s="80" t="str">
        <f>IF(A2334="","",SUMIF(EXTRATO!$A$2:$A$3000,$A2334,EXTRATO!$J$2:$J$3000)+SUMIF(EXTRATO!$A$2:$A$3000,$A2334,EXTRATO!$K$2:$K$3000)+SUMIF(EXTRATO!$A$2:$A$3000,$A2334,EXTRATO!$L$2:$L$3000)+SUMIF(EXTRATO!$A$2:$A$3000,$A2334,EXTRATO!$M$2:$M$3000))</f>
        <v/>
      </c>
      <c r="G2334" s="81" t="str">
        <f>IF(A2334="","",IF(INDEX(EXTRATO!$G$2:$G$3000,MATCH($A2334,EXTRATO!$A$2:$A$3000,0))="","",INDEX(EXTRATO!$G$2:$G$3000,MATCH($A2334,EXTRATO!$A$2:$A$3000,0))))</f>
        <v/>
      </c>
      <c r="H2334" s="86" t="str">
        <f>IF(A2334="","",IF(INDEX(EXTRATO!$F$2:$F$3000,MATCH($A2334,EXTRATO!$A$2:$A$3000,0))="","",INDEX(EXTRATO!$F$2:$F$3000,MATCH($A2334,EXTRATO!$A$2:$A$3000,0))))</f>
        <v/>
      </c>
      <c r="I2334" s="88" t="str">
        <f>IF(A2334="","",IF(INDEX(EXTRATO!$H$2:$H$3000,MATCH($A2334,EXTRATO!$A$2:$A$3000,0))="","",INDEX(EXTRATO!$H$2:$H$3000,MATCH($A2334,EXTRATO!$A$2:$A$3000,0))))</f>
        <v/>
      </c>
      <c r="J2334" s="86" t="str">
        <f t="shared" si="59"/>
        <v/>
      </c>
      <c r="K2334" s="86" t="str">
        <f>IF(AND(A2334="",D2334="",E2334="",F2334=""),"",IF(D2334="","SEM CATEGORIA",IF(E2334="","SEM SUBCATEGORIA",IF(COUNTIFS(CADASTROS!$L$7:$L$93,D2334,CADASTROS!$D$7:$D$93,E2334)=0,"INCOMPATÍVEL","OK"))))</f>
        <v/>
      </c>
    </row>
    <row r="2335" spans="1:11" ht="30" hidden="1" customHeight="1" x14ac:dyDescent="0.25">
      <c r="A2335" s="86" t="str">
        <f>IF(COUNTIF(EXTRATO!$A$2:$A$3000,"BAN-02192")=0,"","BAN-02192")</f>
        <v/>
      </c>
      <c r="B2335" s="85" t="str">
        <f>IF(A2335="","",IF(INDEX(EXTRATO!$C$2:$C$3000,MATCH($A2335,EXTRATO!$A$2:$A$3000,0))="","",INDEX(EXTRATO!$C$2:$C$3000,MATCH($A2335,EXTRATO!$A$2:$A$3000,0))))</f>
        <v/>
      </c>
      <c r="C2335" s="86" t="str">
        <f t="shared" si="60"/>
        <v/>
      </c>
      <c r="D2335" s="81"/>
      <c r="E2335" s="79"/>
      <c r="F2335" s="80" t="str">
        <f>IF(A2335="","",SUMIF(EXTRATO!$A$2:$A$3000,$A2335,EXTRATO!$J$2:$J$3000)+SUMIF(EXTRATO!$A$2:$A$3000,$A2335,EXTRATO!$K$2:$K$3000)+SUMIF(EXTRATO!$A$2:$A$3000,$A2335,EXTRATO!$L$2:$L$3000)+SUMIF(EXTRATO!$A$2:$A$3000,$A2335,EXTRATO!$M$2:$M$3000))</f>
        <v/>
      </c>
      <c r="G2335" s="81" t="str">
        <f>IF(A2335="","",IF(INDEX(EXTRATO!$G$2:$G$3000,MATCH($A2335,EXTRATO!$A$2:$A$3000,0))="","",INDEX(EXTRATO!$G$2:$G$3000,MATCH($A2335,EXTRATO!$A$2:$A$3000,0))))</f>
        <v/>
      </c>
      <c r="H2335" s="86" t="str">
        <f>IF(A2335="","",IF(INDEX(EXTRATO!$F$2:$F$3000,MATCH($A2335,EXTRATO!$A$2:$A$3000,0))="","",INDEX(EXTRATO!$F$2:$F$3000,MATCH($A2335,EXTRATO!$A$2:$A$3000,0))))</f>
        <v/>
      </c>
      <c r="I2335" s="88" t="str">
        <f>IF(A2335="","",IF(INDEX(EXTRATO!$H$2:$H$3000,MATCH($A2335,EXTRATO!$A$2:$A$3000,0))="","",INDEX(EXTRATO!$H$2:$H$3000,MATCH($A2335,EXTRATO!$A$2:$A$3000,0))))</f>
        <v/>
      </c>
      <c r="J2335" s="86" t="str">
        <f t="shared" si="59"/>
        <v/>
      </c>
      <c r="K2335" s="86" t="str">
        <f>IF(AND(A2335="",D2335="",E2335="",F2335=""),"",IF(D2335="","SEM CATEGORIA",IF(E2335="","SEM SUBCATEGORIA",IF(COUNTIFS(CADASTROS!$L$7:$L$93,D2335,CADASTROS!$D$7:$D$93,E2335)=0,"INCOMPATÍVEL","OK"))))</f>
        <v/>
      </c>
    </row>
    <row r="2336" spans="1:11" ht="30" hidden="1" customHeight="1" x14ac:dyDescent="0.25">
      <c r="A2336" s="86" t="str">
        <f>IF(COUNTIF(EXTRATO!$A$2:$A$3000,"BAN-02193")=0,"","BAN-02193")</f>
        <v/>
      </c>
      <c r="B2336" s="85" t="str">
        <f>IF(A2336="","",IF(INDEX(EXTRATO!$C$2:$C$3000,MATCH($A2336,EXTRATO!$A$2:$A$3000,0))="","",INDEX(EXTRATO!$C$2:$C$3000,MATCH($A2336,EXTRATO!$A$2:$A$3000,0))))</f>
        <v/>
      </c>
      <c r="C2336" s="86" t="str">
        <f t="shared" si="60"/>
        <v/>
      </c>
      <c r="D2336" s="81"/>
      <c r="E2336" s="79"/>
      <c r="F2336" s="80" t="str">
        <f>IF(A2336="","",SUMIF(EXTRATO!$A$2:$A$3000,$A2336,EXTRATO!$J$2:$J$3000)+SUMIF(EXTRATO!$A$2:$A$3000,$A2336,EXTRATO!$K$2:$K$3000)+SUMIF(EXTRATO!$A$2:$A$3000,$A2336,EXTRATO!$L$2:$L$3000)+SUMIF(EXTRATO!$A$2:$A$3000,$A2336,EXTRATO!$M$2:$M$3000))</f>
        <v/>
      </c>
      <c r="G2336" s="81" t="str">
        <f>IF(A2336="","",IF(INDEX(EXTRATO!$G$2:$G$3000,MATCH($A2336,EXTRATO!$A$2:$A$3000,0))="","",INDEX(EXTRATO!$G$2:$G$3000,MATCH($A2336,EXTRATO!$A$2:$A$3000,0))))</f>
        <v/>
      </c>
      <c r="H2336" s="86" t="str">
        <f>IF(A2336="","",IF(INDEX(EXTRATO!$F$2:$F$3000,MATCH($A2336,EXTRATO!$A$2:$A$3000,0))="","",INDEX(EXTRATO!$F$2:$F$3000,MATCH($A2336,EXTRATO!$A$2:$A$3000,0))))</f>
        <v/>
      </c>
      <c r="I2336" s="88" t="str">
        <f>IF(A2336="","",IF(INDEX(EXTRATO!$H$2:$H$3000,MATCH($A2336,EXTRATO!$A$2:$A$3000,0))="","",INDEX(EXTRATO!$H$2:$H$3000,MATCH($A2336,EXTRATO!$A$2:$A$3000,0))))</f>
        <v/>
      </c>
      <c r="J2336" s="86" t="str">
        <f t="shared" si="59"/>
        <v/>
      </c>
      <c r="K2336" s="86" t="str">
        <f>IF(AND(A2336="",D2336="",E2336="",F2336=""),"",IF(D2336="","SEM CATEGORIA",IF(E2336="","SEM SUBCATEGORIA",IF(COUNTIFS(CADASTROS!$L$7:$L$93,D2336,CADASTROS!$D$7:$D$93,E2336)=0,"INCOMPATÍVEL","OK"))))</f>
        <v/>
      </c>
    </row>
    <row r="2337" spans="1:11" ht="30" hidden="1" customHeight="1" x14ac:dyDescent="0.25">
      <c r="A2337" s="86" t="str">
        <f>IF(COUNTIF(EXTRATO!$A$2:$A$3000,"BAN-02194")=0,"","BAN-02194")</f>
        <v/>
      </c>
      <c r="B2337" s="85" t="str">
        <f>IF(A2337="","",IF(INDEX(EXTRATO!$C$2:$C$3000,MATCH($A2337,EXTRATO!$A$2:$A$3000,0))="","",INDEX(EXTRATO!$C$2:$C$3000,MATCH($A2337,EXTRATO!$A$2:$A$3000,0))))</f>
        <v/>
      </c>
      <c r="C2337" s="86" t="str">
        <f t="shared" si="60"/>
        <v/>
      </c>
      <c r="D2337" s="81"/>
      <c r="E2337" s="79"/>
      <c r="F2337" s="80" t="str">
        <f>IF(A2337="","",SUMIF(EXTRATO!$A$2:$A$3000,$A2337,EXTRATO!$J$2:$J$3000)+SUMIF(EXTRATO!$A$2:$A$3000,$A2337,EXTRATO!$K$2:$K$3000)+SUMIF(EXTRATO!$A$2:$A$3000,$A2337,EXTRATO!$L$2:$L$3000)+SUMIF(EXTRATO!$A$2:$A$3000,$A2337,EXTRATO!$M$2:$M$3000))</f>
        <v/>
      </c>
      <c r="G2337" s="81" t="str">
        <f>IF(A2337="","",IF(INDEX(EXTRATO!$G$2:$G$3000,MATCH($A2337,EXTRATO!$A$2:$A$3000,0))="","",INDEX(EXTRATO!$G$2:$G$3000,MATCH($A2337,EXTRATO!$A$2:$A$3000,0))))</f>
        <v/>
      </c>
      <c r="H2337" s="86" t="str">
        <f>IF(A2337="","",IF(INDEX(EXTRATO!$F$2:$F$3000,MATCH($A2337,EXTRATO!$A$2:$A$3000,0))="","",INDEX(EXTRATO!$F$2:$F$3000,MATCH($A2337,EXTRATO!$A$2:$A$3000,0))))</f>
        <v/>
      </c>
      <c r="I2337" s="88" t="str">
        <f>IF(A2337="","",IF(INDEX(EXTRATO!$H$2:$H$3000,MATCH($A2337,EXTRATO!$A$2:$A$3000,0))="","",INDEX(EXTRATO!$H$2:$H$3000,MATCH($A2337,EXTRATO!$A$2:$A$3000,0))))</f>
        <v/>
      </c>
      <c r="J2337" s="86" t="str">
        <f t="shared" si="59"/>
        <v/>
      </c>
      <c r="K2337" s="86" t="str">
        <f>IF(AND(A2337="",D2337="",E2337="",F2337=""),"",IF(D2337="","SEM CATEGORIA",IF(E2337="","SEM SUBCATEGORIA",IF(COUNTIFS(CADASTROS!$L$7:$L$93,D2337,CADASTROS!$D$7:$D$93,E2337)=0,"INCOMPATÍVEL","OK"))))</f>
        <v/>
      </c>
    </row>
    <row r="2338" spans="1:11" ht="30" hidden="1" customHeight="1" x14ac:dyDescent="0.25">
      <c r="A2338" s="86" t="str">
        <f>IF(COUNTIF(EXTRATO!$A$2:$A$3000,"BAN-02195")=0,"","BAN-02195")</f>
        <v/>
      </c>
      <c r="B2338" s="85" t="str">
        <f>IF(A2338="","",IF(INDEX(EXTRATO!$C$2:$C$3000,MATCH($A2338,EXTRATO!$A$2:$A$3000,0))="","",INDEX(EXTRATO!$C$2:$C$3000,MATCH($A2338,EXTRATO!$A$2:$A$3000,0))))</f>
        <v/>
      </c>
      <c r="C2338" s="86" t="str">
        <f t="shared" si="60"/>
        <v/>
      </c>
      <c r="D2338" s="81"/>
      <c r="E2338" s="79"/>
      <c r="F2338" s="80" t="str">
        <f>IF(A2338="","",SUMIF(EXTRATO!$A$2:$A$3000,$A2338,EXTRATO!$J$2:$J$3000)+SUMIF(EXTRATO!$A$2:$A$3000,$A2338,EXTRATO!$K$2:$K$3000)+SUMIF(EXTRATO!$A$2:$A$3000,$A2338,EXTRATO!$L$2:$L$3000)+SUMIF(EXTRATO!$A$2:$A$3000,$A2338,EXTRATO!$M$2:$M$3000))</f>
        <v/>
      </c>
      <c r="G2338" s="81" t="str">
        <f>IF(A2338="","",IF(INDEX(EXTRATO!$G$2:$G$3000,MATCH($A2338,EXTRATO!$A$2:$A$3000,0))="","",INDEX(EXTRATO!$G$2:$G$3000,MATCH($A2338,EXTRATO!$A$2:$A$3000,0))))</f>
        <v/>
      </c>
      <c r="H2338" s="86" t="str">
        <f>IF(A2338="","",IF(INDEX(EXTRATO!$F$2:$F$3000,MATCH($A2338,EXTRATO!$A$2:$A$3000,0))="","",INDEX(EXTRATO!$F$2:$F$3000,MATCH($A2338,EXTRATO!$A$2:$A$3000,0))))</f>
        <v/>
      </c>
      <c r="I2338" s="88" t="str">
        <f>IF(A2338="","",IF(INDEX(EXTRATO!$H$2:$H$3000,MATCH($A2338,EXTRATO!$A$2:$A$3000,0))="","",INDEX(EXTRATO!$H$2:$H$3000,MATCH($A2338,EXTRATO!$A$2:$A$3000,0))))</f>
        <v/>
      </c>
      <c r="J2338" s="86" t="str">
        <f t="shared" si="59"/>
        <v/>
      </c>
      <c r="K2338" s="86" t="str">
        <f>IF(AND(A2338="",D2338="",E2338="",F2338=""),"",IF(D2338="","SEM CATEGORIA",IF(E2338="","SEM SUBCATEGORIA",IF(COUNTIFS(CADASTROS!$L$7:$L$93,D2338,CADASTROS!$D$7:$D$93,E2338)=0,"INCOMPATÍVEL","OK"))))</f>
        <v/>
      </c>
    </row>
    <row r="2339" spans="1:11" ht="30" hidden="1" customHeight="1" x14ac:dyDescent="0.25">
      <c r="A2339" s="86" t="str">
        <f>IF(COUNTIF(EXTRATO!$A$2:$A$3000,"BAN-02196")=0,"","BAN-02196")</f>
        <v/>
      </c>
      <c r="B2339" s="85" t="str">
        <f>IF(A2339="","",IF(INDEX(EXTRATO!$C$2:$C$3000,MATCH($A2339,EXTRATO!$A$2:$A$3000,0))="","",INDEX(EXTRATO!$C$2:$C$3000,MATCH($A2339,EXTRATO!$A$2:$A$3000,0))))</f>
        <v/>
      </c>
      <c r="C2339" s="86" t="str">
        <f t="shared" si="60"/>
        <v/>
      </c>
      <c r="D2339" s="81"/>
      <c r="E2339" s="79"/>
      <c r="F2339" s="80" t="str">
        <f>IF(A2339="","",SUMIF(EXTRATO!$A$2:$A$3000,$A2339,EXTRATO!$J$2:$J$3000)+SUMIF(EXTRATO!$A$2:$A$3000,$A2339,EXTRATO!$K$2:$K$3000)+SUMIF(EXTRATO!$A$2:$A$3000,$A2339,EXTRATO!$L$2:$L$3000)+SUMIF(EXTRATO!$A$2:$A$3000,$A2339,EXTRATO!$M$2:$M$3000))</f>
        <v/>
      </c>
      <c r="G2339" s="81" t="str">
        <f>IF(A2339="","",IF(INDEX(EXTRATO!$G$2:$G$3000,MATCH($A2339,EXTRATO!$A$2:$A$3000,0))="","",INDEX(EXTRATO!$G$2:$G$3000,MATCH($A2339,EXTRATO!$A$2:$A$3000,0))))</f>
        <v/>
      </c>
      <c r="H2339" s="86" t="str">
        <f>IF(A2339="","",IF(INDEX(EXTRATO!$F$2:$F$3000,MATCH($A2339,EXTRATO!$A$2:$A$3000,0))="","",INDEX(EXTRATO!$F$2:$F$3000,MATCH($A2339,EXTRATO!$A$2:$A$3000,0))))</f>
        <v/>
      </c>
      <c r="I2339" s="88" t="str">
        <f>IF(A2339="","",IF(INDEX(EXTRATO!$H$2:$H$3000,MATCH($A2339,EXTRATO!$A$2:$A$3000,0))="","",INDEX(EXTRATO!$H$2:$H$3000,MATCH($A2339,EXTRATO!$A$2:$A$3000,0))))</f>
        <v/>
      </c>
      <c r="J2339" s="86" t="str">
        <f t="shared" si="59"/>
        <v/>
      </c>
      <c r="K2339" s="86" t="str">
        <f>IF(AND(A2339="",D2339="",E2339="",F2339=""),"",IF(D2339="","SEM CATEGORIA",IF(E2339="","SEM SUBCATEGORIA",IF(COUNTIFS(CADASTROS!$L$7:$L$93,D2339,CADASTROS!$D$7:$D$93,E2339)=0,"INCOMPATÍVEL","OK"))))</f>
        <v/>
      </c>
    </row>
    <row r="2340" spans="1:11" ht="30" hidden="1" customHeight="1" x14ac:dyDescent="0.25">
      <c r="A2340" s="86" t="str">
        <f>IF(COUNTIF(EXTRATO!$A$2:$A$3000,"BAN-02197")=0,"","BAN-02197")</f>
        <v/>
      </c>
      <c r="B2340" s="85" t="str">
        <f>IF(A2340="","",IF(INDEX(EXTRATO!$C$2:$C$3000,MATCH($A2340,EXTRATO!$A$2:$A$3000,0))="","",INDEX(EXTRATO!$C$2:$C$3000,MATCH($A2340,EXTRATO!$A$2:$A$3000,0))))</f>
        <v/>
      </c>
      <c r="C2340" s="86" t="str">
        <f t="shared" si="60"/>
        <v/>
      </c>
      <c r="D2340" s="81"/>
      <c r="E2340" s="79"/>
      <c r="F2340" s="80" t="str">
        <f>IF(A2340="","",SUMIF(EXTRATO!$A$2:$A$3000,$A2340,EXTRATO!$J$2:$J$3000)+SUMIF(EXTRATO!$A$2:$A$3000,$A2340,EXTRATO!$K$2:$K$3000)+SUMIF(EXTRATO!$A$2:$A$3000,$A2340,EXTRATO!$L$2:$L$3000)+SUMIF(EXTRATO!$A$2:$A$3000,$A2340,EXTRATO!$M$2:$M$3000))</f>
        <v/>
      </c>
      <c r="G2340" s="81" t="str">
        <f>IF(A2340="","",IF(INDEX(EXTRATO!$G$2:$G$3000,MATCH($A2340,EXTRATO!$A$2:$A$3000,0))="","",INDEX(EXTRATO!$G$2:$G$3000,MATCH($A2340,EXTRATO!$A$2:$A$3000,0))))</f>
        <v/>
      </c>
      <c r="H2340" s="86" t="str">
        <f>IF(A2340="","",IF(INDEX(EXTRATO!$F$2:$F$3000,MATCH($A2340,EXTRATO!$A$2:$A$3000,0))="","",INDEX(EXTRATO!$F$2:$F$3000,MATCH($A2340,EXTRATO!$A$2:$A$3000,0))))</f>
        <v/>
      </c>
      <c r="I2340" s="88" t="str">
        <f>IF(A2340="","",IF(INDEX(EXTRATO!$H$2:$H$3000,MATCH($A2340,EXTRATO!$A$2:$A$3000,0))="","",INDEX(EXTRATO!$H$2:$H$3000,MATCH($A2340,EXTRATO!$A$2:$A$3000,0))))</f>
        <v/>
      </c>
      <c r="J2340" s="86" t="str">
        <f t="shared" si="59"/>
        <v/>
      </c>
      <c r="K2340" s="86" t="str">
        <f>IF(AND(A2340="",D2340="",E2340="",F2340=""),"",IF(D2340="","SEM CATEGORIA",IF(E2340="","SEM SUBCATEGORIA",IF(COUNTIFS(CADASTROS!$L$7:$L$93,D2340,CADASTROS!$D$7:$D$93,E2340)=0,"INCOMPATÍVEL","OK"))))</f>
        <v/>
      </c>
    </row>
    <row r="2341" spans="1:11" ht="30" hidden="1" customHeight="1" x14ac:dyDescent="0.25">
      <c r="A2341" s="86" t="str">
        <f>IF(COUNTIF(EXTRATO!$A$2:$A$3000,"BAN-02198")=0,"","BAN-02198")</f>
        <v/>
      </c>
      <c r="B2341" s="85" t="str">
        <f>IF(A2341="","",IF(INDEX(EXTRATO!$C$2:$C$3000,MATCH($A2341,EXTRATO!$A$2:$A$3000,0))="","",INDEX(EXTRATO!$C$2:$C$3000,MATCH($A2341,EXTRATO!$A$2:$A$3000,0))))</f>
        <v/>
      </c>
      <c r="C2341" s="86" t="str">
        <f t="shared" si="60"/>
        <v/>
      </c>
      <c r="D2341" s="81"/>
      <c r="E2341" s="79"/>
      <c r="F2341" s="80" t="str">
        <f>IF(A2341="","",SUMIF(EXTRATO!$A$2:$A$3000,$A2341,EXTRATO!$J$2:$J$3000)+SUMIF(EXTRATO!$A$2:$A$3000,$A2341,EXTRATO!$K$2:$K$3000)+SUMIF(EXTRATO!$A$2:$A$3000,$A2341,EXTRATO!$L$2:$L$3000)+SUMIF(EXTRATO!$A$2:$A$3000,$A2341,EXTRATO!$M$2:$M$3000))</f>
        <v/>
      </c>
      <c r="G2341" s="81" t="str">
        <f>IF(A2341="","",IF(INDEX(EXTRATO!$G$2:$G$3000,MATCH($A2341,EXTRATO!$A$2:$A$3000,0))="","",INDEX(EXTRATO!$G$2:$G$3000,MATCH($A2341,EXTRATO!$A$2:$A$3000,0))))</f>
        <v/>
      </c>
      <c r="H2341" s="86" t="str">
        <f>IF(A2341="","",IF(INDEX(EXTRATO!$F$2:$F$3000,MATCH($A2341,EXTRATO!$A$2:$A$3000,0))="","",INDEX(EXTRATO!$F$2:$F$3000,MATCH($A2341,EXTRATO!$A$2:$A$3000,0))))</f>
        <v/>
      </c>
      <c r="I2341" s="88" t="str">
        <f>IF(A2341="","",IF(INDEX(EXTRATO!$H$2:$H$3000,MATCH($A2341,EXTRATO!$A$2:$A$3000,0))="","",INDEX(EXTRATO!$H$2:$H$3000,MATCH($A2341,EXTRATO!$A$2:$A$3000,0))))</f>
        <v/>
      </c>
      <c r="J2341" s="86" t="str">
        <f t="shared" si="59"/>
        <v/>
      </c>
      <c r="K2341" s="86" t="str">
        <f>IF(AND(A2341="",D2341="",E2341="",F2341=""),"",IF(D2341="","SEM CATEGORIA",IF(E2341="","SEM SUBCATEGORIA",IF(COUNTIFS(CADASTROS!$L$7:$L$93,D2341,CADASTROS!$D$7:$D$93,E2341)=0,"INCOMPATÍVEL","OK"))))</f>
        <v/>
      </c>
    </row>
    <row r="2342" spans="1:11" ht="30" hidden="1" customHeight="1" x14ac:dyDescent="0.25">
      <c r="A2342" s="86" t="str">
        <f>IF(COUNTIF(EXTRATO!$A$2:$A$3000,"BAN-02199")=0,"","BAN-02199")</f>
        <v/>
      </c>
      <c r="B2342" s="85" t="str">
        <f>IF(A2342="","",IF(INDEX(EXTRATO!$C$2:$C$3000,MATCH($A2342,EXTRATO!$A$2:$A$3000,0))="","",INDEX(EXTRATO!$C$2:$C$3000,MATCH($A2342,EXTRATO!$A$2:$A$3000,0))))</f>
        <v/>
      </c>
      <c r="C2342" s="86" t="str">
        <f t="shared" si="60"/>
        <v/>
      </c>
      <c r="D2342" s="81"/>
      <c r="E2342" s="79"/>
      <c r="F2342" s="80" t="str">
        <f>IF(A2342="","",SUMIF(EXTRATO!$A$2:$A$3000,$A2342,EXTRATO!$J$2:$J$3000)+SUMIF(EXTRATO!$A$2:$A$3000,$A2342,EXTRATO!$K$2:$K$3000)+SUMIF(EXTRATO!$A$2:$A$3000,$A2342,EXTRATO!$L$2:$L$3000)+SUMIF(EXTRATO!$A$2:$A$3000,$A2342,EXTRATO!$M$2:$M$3000))</f>
        <v/>
      </c>
      <c r="G2342" s="81" t="str">
        <f>IF(A2342="","",IF(INDEX(EXTRATO!$G$2:$G$3000,MATCH($A2342,EXTRATO!$A$2:$A$3000,0))="","",INDEX(EXTRATO!$G$2:$G$3000,MATCH($A2342,EXTRATO!$A$2:$A$3000,0))))</f>
        <v/>
      </c>
      <c r="H2342" s="86" t="str">
        <f>IF(A2342="","",IF(INDEX(EXTRATO!$F$2:$F$3000,MATCH($A2342,EXTRATO!$A$2:$A$3000,0))="","",INDEX(EXTRATO!$F$2:$F$3000,MATCH($A2342,EXTRATO!$A$2:$A$3000,0))))</f>
        <v/>
      </c>
      <c r="I2342" s="88" t="str">
        <f>IF(A2342="","",IF(INDEX(EXTRATO!$H$2:$H$3000,MATCH($A2342,EXTRATO!$A$2:$A$3000,0))="","",INDEX(EXTRATO!$H$2:$H$3000,MATCH($A2342,EXTRATO!$A$2:$A$3000,0))))</f>
        <v/>
      </c>
      <c r="J2342" s="86" t="str">
        <f t="shared" si="59"/>
        <v/>
      </c>
      <c r="K2342" s="86" t="str">
        <f>IF(AND(A2342="",D2342="",E2342="",F2342=""),"",IF(D2342="","SEM CATEGORIA",IF(E2342="","SEM SUBCATEGORIA",IF(COUNTIFS(CADASTROS!$L$7:$L$93,D2342,CADASTROS!$D$7:$D$93,E2342)=0,"INCOMPATÍVEL","OK"))))</f>
        <v/>
      </c>
    </row>
    <row r="2343" spans="1:11" ht="30" hidden="1" customHeight="1" x14ac:dyDescent="0.25">
      <c r="A2343" s="86" t="str">
        <f>IF(COUNTIF(EXTRATO!$A$2:$A$3000,"BAN-02200")=0,"","BAN-02200")</f>
        <v/>
      </c>
      <c r="B2343" s="85" t="str">
        <f>IF(A2343="","",IF(INDEX(EXTRATO!$C$2:$C$3000,MATCH($A2343,EXTRATO!$A$2:$A$3000,0))="","",INDEX(EXTRATO!$C$2:$C$3000,MATCH($A2343,EXTRATO!$A$2:$A$3000,0))))</f>
        <v/>
      </c>
      <c r="C2343" s="86" t="str">
        <f t="shared" si="60"/>
        <v/>
      </c>
      <c r="D2343" s="81"/>
      <c r="E2343" s="79"/>
      <c r="F2343" s="80" t="str">
        <f>IF(A2343="","",SUMIF(EXTRATO!$A$2:$A$3000,$A2343,EXTRATO!$J$2:$J$3000)+SUMIF(EXTRATO!$A$2:$A$3000,$A2343,EXTRATO!$K$2:$K$3000)+SUMIF(EXTRATO!$A$2:$A$3000,$A2343,EXTRATO!$L$2:$L$3000)+SUMIF(EXTRATO!$A$2:$A$3000,$A2343,EXTRATO!$M$2:$M$3000))</f>
        <v/>
      </c>
      <c r="G2343" s="81" t="str">
        <f>IF(A2343="","",IF(INDEX(EXTRATO!$G$2:$G$3000,MATCH($A2343,EXTRATO!$A$2:$A$3000,0))="","",INDEX(EXTRATO!$G$2:$G$3000,MATCH($A2343,EXTRATO!$A$2:$A$3000,0))))</f>
        <v/>
      </c>
      <c r="H2343" s="86" t="str">
        <f>IF(A2343="","",IF(INDEX(EXTRATO!$F$2:$F$3000,MATCH($A2343,EXTRATO!$A$2:$A$3000,0))="","",INDEX(EXTRATO!$F$2:$F$3000,MATCH($A2343,EXTRATO!$A$2:$A$3000,0))))</f>
        <v/>
      </c>
      <c r="I2343" s="88" t="str">
        <f>IF(A2343="","",IF(INDEX(EXTRATO!$H$2:$H$3000,MATCH($A2343,EXTRATO!$A$2:$A$3000,0))="","",INDEX(EXTRATO!$H$2:$H$3000,MATCH($A2343,EXTRATO!$A$2:$A$3000,0))))</f>
        <v/>
      </c>
      <c r="J2343" s="86" t="str">
        <f t="shared" si="59"/>
        <v/>
      </c>
      <c r="K2343" s="86" t="str">
        <f>IF(AND(A2343="",D2343="",E2343="",F2343=""),"",IF(D2343="","SEM CATEGORIA",IF(E2343="","SEM SUBCATEGORIA",IF(COUNTIFS(CADASTROS!$L$7:$L$93,D2343,CADASTROS!$D$7:$D$93,E2343)=0,"INCOMPATÍVEL","OK"))))</f>
        <v/>
      </c>
    </row>
    <row r="2344" spans="1:11" ht="30" hidden="1" customHeight="1" x14ac:dyDescent="0.25">
      <c r="A2344" s="86" t="str">
        <f>IF(COUNTIF(EXTRATO!$A$2:$A$3000,"BAN-02201")=0,"","BAN-02201")</f>
        <v/>
      </c>
      <c r="B2344" s="85" t="str">
        <f>IF(A2344="","",IF(INDEX(EXTRATO!$C$2:$C$3000,MATCH($A2344,EXTRATO!$A$2:$A$3000,0))="","",INDEX(EXTRATO!$C$2:$C$3000,MATCH($A2344,EXTRATO!$A$2:$A$3000,0))))</f>
        <v/>
      </c>
      <c r="C2344" s="86" t="str">
        <f t="shared" si="60"/>
        <v/>
      </c>
      <c r="D2344" s="81"/>
      <c r="E2344" s="79"/>
      <c r="F2344" s="80" t="str">
        <f>IF(A2344="","",SUMIF(EXTRATO!$A$2:$A$3000,$A2344,EXTRATO!$J$2:$J$3000)+SUMIF(EXTRATO!$A$2:$A$3000,$A2344,EXTRATO!$K$2:$K$3000)+SUMIF(EXTRATO!$A$2:$A$3000,$A2344,EXTRATO!$L$2:$L$3000)+SUMIF(EXTRATO!$A$2:$A$3000,$A2344,EXTRATO!$M$2:$M$3000))</f>
        <v/>
      </c>
      <c r="G2344" s="81" t="str">
        <f>IF(A2344="","",IF(INDEX(EXTRATO!$G$2:$G$3000,MATCH($A2344,EXTRATO!$A$2:$A$3000,0))="","",INDEX(EXTRATO!$G$2:$G$3000,MATCH($A2344,EXTRATO!$A$2:$A$3000,0))))</f>
        <v/>
      </c>
      <c r="H2344" s="86" t="str">
        <f>IF(A2344="","",IF(INDEX(EXTRATO!$F$2:$F$3000,MATCH($A2344,EXTRATO!$A$2:$A$3000,0))="","",INDEX(EXTRATO!$F$2:$F$3000,MATCH($A2344,EXTRATO!$A$2:$A$3000,0))))</f>
        <v/>
      </c>
      <c r="I2344" s="88" t="str">
        <f>IF(A2344="","",IF(INDEX(EXTRATO!$H$2:$H$3000,MATCH($A2344,EXTRATO!$A$2:$A$3000,0))="","",INDEX(EXTRATO!$H$2:$H$3000,MATCH($A2344,EXTRATO!$A$2:$A$3000,0))))</f>
        <v/>
      </c>
      <c r="J2344" s="86" t="str">
        <f t="shared" si="59"/>
        <v/>
      </c>
      <c r="K2344" s="86" t="str">
        <f>IF(AND(A2344="",D2344="",E2344="",F2344=""),"",IF(D2344="","SEM CATEGORIA",IF(E2344="","SEM SUBCATEGORIA",IF(COUNTIFS(CADASTROS!$L$7:$L$93,D2344,CADASTROS!$D$7:$D$93,E2344)=0,"INCOMPATÍVEL","OK"))))</f>
        <v/>
      </c>
    </row>
    <row r="2345" spans="1:11" ht="30" hidden="1" customHeight="1" x14ac:dyDescent="0.25">
      <c r="A2345" s="86" t="str">
        <f>IF(COUNTIF(EXTRATO!$A$2:$A$3000,"BAN-02202")=0,"","BAN-02202")</f>
        <v/>
      </c>
      <c r="B2345" s="85" t="str">
        <f>IF(A2345="","",IF(INDEX(EXTRATO!$C$2:$C$3000,MATCH($A2345,EXTRATO!$A$2:$A$3000,0))="","",INDEX(EXTRATO!$C$2:$C$3000,MATCH($A2345,EXTRATO!$A$2:$A$3000,0))))</f>
        <v/>
      </c>
      <c r="C2345" s="86" t="str">
        <f t="shared" si="60"/>
        <v/>
      </c>
      <c r="D2345" s="81"/>
      <c r="E2345" s="79"/>
      <c r="F2345" s="80" t="str">
        <f>IF(A2345="","",SUMIF(EXTRATO!$A$2:$A$3000,$A2345,EXTRATO!$J$2:$J$3000)+SUMIF(EXTRATO!$A$2:$A$3000,$A2345,EXTRATO!$K$2:$K$3000)+SUMIF(EXTRATO!$A$2:$A$3000,$A2345,EXTRATO!$L$2:$L$3000)+SUMIF(EXTRATO!$A$2:$A$3000,$A2345,EXTRATO!$M$2:$M$3000))</f>
        <v/>
      </c>
      <c r="G2345" s="81" t="str">
        <f>IF(A2345="","",IF(INDEX(EXTRATO!$G$2:$G$3000,MATCH($A2345,EXTRATO!$A$2:$A$3000,0))="","",INDEX(EXTRATO!$G$2:$G$3000,MATCH($A2345,EXTRATO!$A$2:$A$3000,0))))</f>
        <v/>
      </c>
      <c r="H2345" s="86" t="str">
        <f>IF(A2345="","",IF(INDEX(EXTRATO!$F$2:$F$3000,MATCH($A2345,EXTRATO!$A$2:$A$3000,0))="","",INDEX(EXTRATO!$F$2:$F$3000,MATCH($A2345,EXTRATO!$A$2:$A$3000,0))))</f>
        <v/>
      </c>
      <c r="I2345" s="88" t="str">
        <f>IF(A2345="","",IF(INDEX(EXTRATO!$H$2:$H$3000,MATCH($A2345,EXTRATO!$A$2:$A$3000,0))="","",INDEX(EXTRATO!$H$2:$H$3000,MATCH($A2345,EXTRATO!$A$2:$A$3000,0))))</f>
        <v/>
      </c>
      <c r="J2345" s="86" t="str">
        <f t="shared" si="59"/>
        <v/>
      </c>
      <c r="K2345" s="86" t="str">
        <f>IF(AND(A2345="",D2345="",E2345="",F2345=""),"",IF(D2345="","SEM CATEGORIA",IF(E2345="","SEM SUBCATEGORIA",IF(COUNTIFS(CADASTROS!$L$7:$L$93,D2345,CADASTROS!$D$7:$D$93,E2345)=0,"INCOMPATÍVEL","OK"))))</f>
        <v/>
      </c>
    </row>
    <row r="2346" spans="1:11" ht="30" hidden="1" customHeight="1" x14ac:dyDescent="0.25">
      <c r="A2346" s="86" t="str">
        <f>IF(COUNTIF(EXTRATO!$A$2:$A$3000,"BAN-02203")=0,"","BAN-02203")</f>
        <v/>
      </c>
      <c r="B2346" s="85" t="str">
        <f>IF(A2346="","",IF(INDEX(EXTRATO!$C$2:$C$3000,MATCH($A2346,EXTRATO!$A$2:$A$3000,0))="","",INDEX(EXTRATO!$C$2:$C$3000,MATCH($A2346,EXTRATO!$A$2:$A$3000,0))))</f>
        <v/>
      </c>
      <c r="C2346" s="86" t="str">
        <f t="shared" si="60"/>
        <v/>
      </c>
      <c r="D2346" s="81"/>
      <c r="E2346" s="79"/>
      <c r="F2346" s="80" t="str">
        <f>IF(A2346="","",SUMIF(EXTRATO!$A$2:$A$3000,$A2346,EXTRATO!$J$2:$J$3000)+SUMIF(EXTRATO!$A$2:$A$3000,$A2346,EXTRATO!$K$2:$K$3000)+SUMIF(EXTRATO!$A$2:$A$3000,$A2346,EXTRATO!$L$2:$L$3000)+SUMIF(EXTRATO!$A$2:$A$3000,$A2346,EXTRATO!$M$2:$M$3000))</f>
        <v/>
      </c>
      <c r="G2346" s="81" t="str">
        <f>IF(A2346="","",IF(INDEX(EXTRATO!$G$2:$G$3000,MATCH($A2346,EXTRATO!$A$2:$A$3000,0))="","",INDEX(EXTRATO!$G$2:$G$3000,MATCH($A2346,EXTRATO!$A$2:$A$3000,0))))</f>
        <v/>
      </c>
      <c r="H2346" s="86" t="str">
        <f>IF(A2346="","",IF(INDEX(EXTRATO!$F$2:$F$3000,MATCH($A2346,EXTRATO!$A$2:$A$3000,0))="","",INDEX(EXTRATO!$F$2:$F$3000,MATCH($A2346,EXTRATO!$A$2:$A$3000,0))))</f>
        <v/>
      </c>
      <c r="I2346" s="88" t="str">
        <f>IF(A2346="","",IF(INDEX(EXTRATO!$H$2:$H$3000,MATCH($A2346,EXTRATO!$A$2:$A$3000,0))="","",INDEX(EXTRATO!$H$2:$H$3000,MATCH($A2346,EXTRATO!$A$2:$A$3000,0))))</f>
        <v/>
      </c>
      <c r="J2346" s="86" t="str">
        <f t="shared" si="59"/>
        <v/>
      </c>
      <c r="K2346" s="86" t="str">
        <f>IF(AND(A2346="",D2346="",E2346="",F2346=""),"",IF(D2346="","SEM CATEGORIA",IF(E2346="","SEM SUBCATEGORIA",IF(COUNTIFS(CADASTROS!$L$7:$L$93,D2346,CADASTROS!$D$7:$D$93,E2346)=0,"INCOMPATÍVEL","OK"))))</f>
        <v/>
      </c>
    </row>
    <row r="2347" spans="1:11" ht="30" hidden="1" customHeight="1" x14ac:dyDescent="0.25">
      <c r="A2347" s="86" t="str">
        <f>IF(COUNTIF(EXTRATO!$A$2:$A$3000,"BAN-02204")=0,"","BAN-02204")</f>
        <v/>
      </c>
      <c r="B2347" s="85" t="str">
        <f>IF(A2347="","",IF(INDEX(EXTRATO!$C$2:$C$3000,MATCH($A2347,EXTRATO!$A$2:$A$3000,0))="","",INDEX(EXTRATO!$C$2:$C$3000,MATCH($A2347,EXTRATO!$A$2:$A$3000,0))))</f>
        <v/>
      </c>
      <c r="C2347" s="86" t="str">
        <f t="shared" si="60"/>
        <v/>
      </c>
      <c r="D2347" s="81"/>
      <c r="E2347" s="79"/>
      <c r="F2347" s="80" t="str">
        <f>IF(A2347="","",SUMIF(EXTRATO!$A$2:$A$3000,$A2347,EXTRATO!$J$2:$J$3000)+SUMIF(EXTRATO!$A$2:$A$3000,$A2347,EXTRATO!$K$2:$K$3000)+SUMIF(EXTRATO!$A$2:$A$3000,$A2347,EXTRATO!$L$2:$L$3000)+SUMIF(EXTRATO!$A$2:$A$3000,$A2347,EXTRATO!$M$2:$M$3000))</f>
        <v/>
      </c>
      <c r="G2347" s="81" t="str">
        <f>IF(A2347="","",IF(INDEX(EXTRATO!$G$2:$G$3000,MATCH($A2347,EXTRATO!$A$2:$A$3000,0))="","",INDEX(EXTRATO!$G$2:$G$3000,MATCH($A2347,EXTRATO!$A$2:$A$3000,0))))</f>
        <v/>
      </c>
      <c r="H2347" s="86" t="str">
        <f>IF(A2347="","",IF(INDEX(EXTRATO!$F$2:$F$3000,MATCH($A2347,EXTRATO!$A$2:$A$3000,0))="","",INDEX(EXTRATO!$F$2:$F$3000,MATCH($A2347,EXTRATO!$A$2:$A$3000,0))))</f>
        <v/>
      </c>
      <c r="I2347" s="88" t="str">
        <f>IF(A2347="","",IF(INDEX(EXTRATO!$H$2:$H$3000,MATCH($A2347,EXTRATO!$A$2:$A$3000,0))="","",INDEX(EXTRATO!$H$2:$H$3000,MATCH($A2347,EXTRATO!$A$2:$A$3000,0))))</f>
        <v/>
      </c>
      <c r="J2347" s="86" t="str">
        <f t="shared" si="59"/>
        <v/>
      </c>
      <c r="K2347" s="86" t="str">
        <f>IF(AND(A2347="",D2347="",E2347="",F2347=""),"",IF(D2347="","SEM CATEGORIA",IF(E2347="","SEM SUBCATEGORIA",IF(COUNTIFS(CADASTROS!$L$7:$L$93,D2347,CADASTROS!$D$7:$D$93,E2347)=0,"INCOMPATÍVEL","OK"))))</f>
        <v/>
      </c>
    </row>
    <row r="2348" spans="1:11" ht="30" hidden="1" customHeight="1" x14ac:dyDescent="0.25">
      <c r="A2348" s="86" t="str">
        <f>IF(COUNTIF(EXTRATO!$A$2:$A$3000,"BAN-02205")=0,"","BAN-02205")</f>
        <v/>
      </c>
      <c r="B2348" s="85" t="str">
        <f>IF(A2348="","",IF(INDEX(EXTRATO!$C$2:$C$3000,MATCH($A2348,EXTRATO!$A$2:$A$3000,0))="","",INDEX(EXTRATO!$C$2:$C$3000,MATCH($A2348,EXTRATO!$A$2:$A$3000,0))))</f>
        <v/>
      </c>
      <c r="C2348" s="86" t="str">
        <f t="shared" si="60"/>
        <v/>
      </c>
      <c r="D2348" s="81"/>
      <c r="E2348" s="79"/>
      <c r="F2348" s="80" t="str">
        <f>IF(A2348="","",SUMIF(EXTRATO!$A$2:$A$3000,$A2348,EXTRATO!$J$2:$J$3000)+SUMIF(EXTRATO!$A$2:$A$3000,$A2348,EXTRATO!$K$2:$K$3000)+SUMIF(EXTRATO!$A$2:$A$3000,$A2348,EXTRATO!$L$2:$L$3000)+SUMIF(EXTRATO!$A$2:$A$3000,$A2348,EXTRATO!$M$2:$M$3000))</f>
        <v/>
      </c>
      <c r="G2348" s="81" t="str">
        <f>IF(A2348="","",IF(INDEX(EXTRATO!$G$2:$G$3000,MATCH($A2348,EXTRATO!$A$2:$A$3000,0))="","",INDEX(EXTRATO!$G$2:$G$3000,MATCH($A2348,EXTRATO!$A$2:$A$3000,0))))</f>
        <v/>
      </c>
      <c r="H2348" s="86" t="str">
        <f>IF(A2348="","",IF(INDEX(EXTRATO!$F$2:$F$3000,MATCH($A2348,EXTRATO!$A$2:$A$3000,0))="","",INDEX(EXTRATO!$F$2:$F$3000,MATCH($A2348,EXTRATO!$A$2:$A$3000,0))))</f>
        <v/>
      </c>
      <c r="I2348" s="88" t="str">
        <f>IF(A2348="","",IF(INDEX(EXTRATO!$H$2:$H$3000,MATCH($A2348,EXTRATO!$A$2:$A$3000,0))="","",INDEX(EXTRATO!$H$2:$H$3000,MATCH($A2348,EXTRATO!$A$2:$A$3000,0))))</f>
        <v/>
      </c>
      <c r="J2348" s="86" t="str">
        <f t="shared" ref="J2348:J2411" si="61">IF(A2348="","",IF(K2348="OK","MANUAL","PENDENTE"))</f>
        <v/>
      </c>
      <c r="K2348" s="86" t="str">
        <f>IF(AND(A2348="",D2348="",E2348="",F2348=""),"",IF(D2348="","SEM CATEGORIA",IF(E2348="","SEM SUBCATEGORIA",IF(COUNTIFS(CADASTROS!$L$7:$L$93,D2348,CADASTROS!$D$7:$D$93,E2348)=0,"INCOMPATÍVEL","OK"))))</f>
        <v/>
      </c>
    </row>
    <row r="2349" spans="1:11" ht="30" hidden="1" customHeight="1" x14ac:dyDescent="0.25">
      <c r="A2349" s="86" t="str">
        <f>IF(COUNTIF(EXTRATO!$A$2:$A$3000,"BAN-02206")=0,"","BAN-02206")</f>
        <v/>
      </c>
      <c r="B2349" s="85" t="str">
        <f>IF(A2349="","",IF(INDEX(EXTRATO!$C$2:$C$3000,MATCH($A2349,EXTRATO!$A$2:$A$3000,0))="","",INDEX(EXTRATO!$C$2:$C$3000,MATCH($A2349,EXTRATO!$A$2:$A$3000,0))))</f>
        <v/>
      </c>
      <c r="C2349" s="86" t="str">
        <f t="shared" si="60"/>
        <v/>
      </c>
      <c r="D2349" s="81"/>
      <c r="E2349" s="79"/>
      <c r="F2349" s="80" t="str">
        <f>IF(A2349="","",SUMIF(EXTRATO!$A$2:$A$3000,$A2349,EXTRATO!$J$2:$J$3000)+SUMIF(EXTRATO!$A$2:$A$3000,$A2349,EXTRATO!$K$2:$K$3000)+SUMIF(EXTRATO!$A$2:$A$3000,$A2349,EXTRATO!$L$2:$L$3000)+SUMIF(EXTRATO!$A$2:$A$3000,$A2349,EXTRATO!$M$2:$M$3000))</f>
        <v/>
      </c>
      <c r="G2349" s="81" t="str">
        <f>IF(A2349="","",IF(INDEX(EXTRATO!$G$2:$G$3000,MATCH($A2349,EXTRATO!$A$2:$A$3000,0))="","",INDEX(EXTRATO!$G$2:$G$3000,MATCH($A2349,EXTRATO!$A$2:$A$3000,0))))</f>
        <v/>
      </c>
      <c r="H2349" s="86" t="str">
        <f>IF(A2349="","",IF(INDEX(EXTRATO!$F$2:$F$3000,MATCH($A2349,EXTRATO!$A$2:$A$3000,0))="","",INDEX(EXTRATO!$F$2:$F$3000,MATCH($A2349,EXTRATO!$A$2:$A$3000,0))))</f>
        <v/>
      </c>
      <c r="I2349" s="88" t="str">
        <f>IF(A2349="","",IF(INDEX(EXTRATO!$H$2:$H$3000,MATCH($A2349,EXTRATO!$A$2:$A$3000,0))="","",INDEX(EXTRATO!$H$2:$H$3000,MATCH($A2349,EXTRATO!$A$2:$A$3000,0))))</f>
        <v/>
      </c>
      <c r="J2349" s="86" t="str">
        <f t="shared" si="61"/>
        <v/>
      </c>
      <c r="K2349" s="86" t="str">
        <f>IF(AND(A2349="",D2349="",E2349="",F2349=""),"",IF(D2349="","SEM CATEGORIA",IF(E2349="","SEM SUBCATEGORIA",IF(COUNTIFS(CADASTROS!$L$7:$L$93,D2349,CADASTROS!$D$7:$D$93,E2349)=0,"INCOMPATÍVEL","OK"))))</f>
        <v/>
      </c>
    </row>
    <row r="2350" spans="1:11" ht="30" hidden="1" customHeight="1" x14ac:dyDescent="0.25">
      <c r="A2350" s="86" t="str">
        <f>IF(COUNTIF(EXTRATO!$A$2:$A$3000,"BAN-02207")=0,"","BAN-02207")</f>
        <v/>
      </c>
      <c r="B2350" s="85" t="str">
        <f>IF(A2350="","",IF(INDEX(EXTRATO!$C$2:$C$3000,MATCH($A2350,EXTRATO!$A$2:$A$3000,0))="","",INDEX(EXTRATO!$C$2:$C$3000,MATCH($A2350,EXTRATO!$A$2:$A$3000,0))))</f>
        <v/>
      </c>
      <c r="C2350" s="86" t="str">
        <f t="shared" si="60"/>
        <v/>
      </c>
      <c r="D2350" s="81"/>
      <c r="E2350" s="79"/>
      <c r="F2350" s="80" t="str">
        <f>IF(A2350="","",SUMIF(EXTRATO!$A$2:$A$3000,$A2350,EXTRATO!$J$2:$J$3000)+SUMIF(EXTRATO!$A$2:$A$3000,$A2350,EXTRATO!$K$2:$K$3000)+SUMIF(EXTRATO!$A$2:$A$3000,$A2350,EXTRATO!$L$2:$L$3000)+SUMIF(EXTRATO!$A$2:$A$3000,$A2350,EXTRATO!$M$2:$M$3000))</f>
        <v/>
      </c>
      <c r="G2350" s="81" t="str">
        <f>IF(A2350="","",IF(INDEX(EXTRATO!$G$2:$G$3000,MATCH($A2350,EXTRATO!$A$2:$A$3000,0))="","",INDEX(EXTRATO!$G$2:$G$3000,MATCH($A2350,EXTRATO!$A$2:$A$3000,0))))</f>
        <v/>
      </c>
      <c r="H2350" s="86" t="str">
        <f>IF(A2350="","",IF(INDEX(EXTRATO!$F$2:$F$3000,MATCH($A2350,EXTRATO!$A$2:$A$3000,0))="","",INDEX(EXTRATO!$F$2:$F$3000,MATCH($A2350,EXTRATO!$A$2:$A$3000,0))))</f>
        <v/>
      </c>
      <c r="I2350" s="88" t="str">
        <f>IF(A2350="","",IF(INDEX(EXTRATO!$H$2:$H$3000,MATCH($A2350,EXTRATO!$A$2:$A$3000,0))="","",INDEX(EXTRATO!$H$2:$H$3000,MATCH($A2350,EXTRATO!$A$2:$A$3000,0))))</f>
        <v/>
      </c>
      <c r="J2350" s="86" t="str">
        <f t="shared" si="61"/>
        <v/>
      </c>
      <c r="K2350" s="86" t="str">
        <f>IF(AND(A2350="",D2350="",E2350="",F2350=""),"",IF(D2350="","SEM CATEGORIA",IF(E2350="","SEM SUBCATEGORIA",IF(COUNTIFS(CADASTROS!$L$7:$L$93,D2350,CADASTROS!$D$7:$D$93,E2350)=0,"INCOMPATÍVEL","OK"))))</f>
        <v/>
      </c>
    </row>
    <row r="2351" spans="1:11" ht="30" hidden="1" customHeight="1" x14ac:dyDescent="0.25">
      <c r="A2351" s="86" t="str">
        <f>IF(COUNTIF(EXTRATO!$A$2:$A$3000,"BAN-02208")=0,"","BAN-02208")</f>
        <v/>
      </c>
      <c r="B2351" s="85" t="str">
        <f>IF(A2351="","",IF(INDEX(EXTRATO!$C$2:$C$3000,MATCH($A2351,EXTRATO!$A$2:$A$3000,0))="","",INDEX(EXTRATO!$C$2:$C$3000,MATCH($A2351,EXTRATO!$A$2:$A$3000,0))))</f>
        <v/>
      </c>
      <c r="C2351" s="86" t="str">
        <f t="shared" si="60"/>
        <v/>
      </c>
      <c r="D2351" s="81"/>
      <c r="E2351" s="79"/>
      <c r="F2351" s="80" t="str">
        <f>IF(A2351="","",SUMIF(EXTRATO!$A$2:$A$3000,$A2351,EXTRATO!$J$2:$J$3000)+SUMIF(EXTRATO!$A$2:$A$3000,$A2351,EXTRATO!$K$2:$K$3000)+SUMIF(EXTRATO!$A$2:$A$3000,$A2351,EXTRATO!$L$2:$L$3000)+SUMIF(EXTRATO!$A$2:$A$3000,$A2351,EXTRATO!$M$2:$M$3000))</f>
        <v/>
      </c>
      <c r="G2351" s="81" t="str">
        <f>IF(A2351="","",IF(INDEX(EXTRATO!$G$2:$G$3000,MATCH($A2351,EXTRATO!$A$2:$A$3000,0))="","",INDEX(EXTRATO!$G$2:$G$3000,MATCH($A2351,EXTRATO!$A$2:$A$3000,0))))</f>
        <v/>
      </c>
      <c r="H2351" s="86" t="str">
        <f>IF(A2351="","",IF(INDEX(EXTRATO!$F$2:$F$3000,MATCH($A2351,EXTRATO!$A$2:$A$3000,0))="","",INDEX(EXTRATO!$F$2:$F$3000,MATCH($A2351,EXTRATO!$A$2:$A$3000,0))))</f>
        <v/>
      </c>
      <c r="I2351" s="88" t="str">
        <f>IF(A2351="","",IF(INDEX(EXTRATO!$H$2:$H$3000,MATCH($A2351,EXTRATO!$A$2:$A$3000,0))="","",INDEX(EXTRATO!$H$2:$H$3000,MATCH($A2351,EXTRATO!$A$2:$A$3000,0))))</f>
        <v/>
      </c>
      <c r="J2351" s="86" t="str">
        <f t="shared" si="61"/>
        <v/>
      </c>
      <c r="K2351" s="86" t="str">
        <f>IF(AND(A2351="",D2351="",E2351="",F2351=""),"",IF(D2351="","SEM CATEGORIA",IF(E2351="","SEM SUBCATEGORIA",IF(COUNTIFS(CADASTROS!$L$7:$L$93,D2351,CADASTROS!$D$7:$D$93,E2351)=0,"INCOMPATÍVEL","OK"))))</f>
        <v/>
      </c>
    </row>
    <row r="2352" spans="1:11" ht="30" hidden="1" customHeight="1" x14ac:dyDescent="0.25">
      <c r="A2352" s="86" t="str">
        <f>IF(COUNTIF(EXTRATO!$A$2:$A$3000,"BAN-02209")=0,"","BAN-02209")</f>
        <v/>
      </c>
      <c r="B2352" s="85" t="str">
        <f>IF(A2352="","",IF(INDEX(EXTRATO!$C$2:$C$3000,MATCH($A2352,EXTRATO!$A$2:$A$3000,0))="","",INDEX(EXTRATO!$C$2:$C$3000,MATCH($A2352,EXTRATO!$A$2:$A$3000,0))))</f>
        <v/>
      </c>
      <c r="C2352" s="86" t="str">
        <f t="shared" si="60"/>
        <v/>
      </c>
      <c r="D2352" s="81"/>
      <c r="E2352" s="79"/>
      <c r="F2352" s="80" t="str">
        <f>IF(A2352="","",SUMIF(EXTRATO!$A$2:$A$3000,$A2352,EXTRATO!$J$2:$J$3000)+SUMIF(EXTRATO!$A$2:$A$3000,$A2352,EXTRATO!$K$2:$K$3000)+SUMIF(EXTRATO!$A$2:$A$3000,$A2352,EXTRATO!$L$2:$L$3000)+SUMIF(EXTRATO!$A$2:$A$3000,$A2352,EXTRATO!$M$2:$M$3000))</f>
        <v/>
      </c>
      <c r="G2352" s="81" t="str">
        <f>IF(A2352="","",IF(INDEX(EXTRATO!$G$2:$G$3000,MATCH($A2352,EXTRATO!$A$2:$A$3000,0))="","",INDEX(EXTRATO!$G$2:$G$3000,MATCH($A2352,EXTRATO!$A$2:$A$3000,0))))</f>
        <v/>
      </c>
      <c r="H2352" s="86" t="str">
        <f>IF(A2352="","",IF(INDEX(EXTRATO!$F$2:$F$3000,MATCH($A2352,EXTRATO!$A$2:$A$3000,0))="","",INDEX(EXTRATO!$F$2:$F$3000,MATCH($A2352,EXTRATO!$A$2:$A$3000,0))))</f>
        <v/>
      </c>
      <c r="I2352" s="88" t="str">
        <f>IF(A2352="","",IF(INDEX(EXTRATO!$H$2:$H$3000,MATCH($A2352,EXTRATO!$A$2:$A$3000,0))="","",INDEX(EXTRATO!$H$2:$H$3000,MATCH($A2352,EXTRATO!$A$2:$A$3000,0))))</f>
        <v/>
      </c>
      <c r="J2352" s="86" t="str">
        <f t="shared" si="61"/>
        <v/>
      </c>
      <c r="K2352" s="86" t="str">
        <f>IF(AND(A2352="",D2352="",E2352="",F2352=""),"",IF(D2352="","SEM CATEGORIA",IF(E2352="","SEM SUBCATEGORIA",IF(COUNTIFS(CADASTROS!$L$7:$L$93,D2352,CADASTROS!$D$7:$D$93,E2352)=0,"INCOMPATÍVEL","OK"))))</f>
        <v/>
      </c>
    </row>
    <row r="2353" spans="1:11" ht="30" hidden="1" customHeight="1" x14ac:dyDescent="0.25">
      <c r="A2353" s="86" t="str">
        <f>IF(COUNTIF(EXTRATO!$A$2:$A$3000,"BAN-02210")=0,"","BAN-02210")</f>
        <v/>
      </c>
      <c r="B2353" s="85" t="str">
        <f>IF(A2353="","",IF(INDEX(EXTRATO!$C$2:$C$3000,MATCH($A2353,EXTRATO!$A$2:$A$3000,0))="","",INDEX(EXTRATO!$C$2:$C$3000,MATCH($A2353,EXTRATO!$A$2:$A$3000,0))))</f>
        <v/>
      </c>
      <c r="C2353" s="86" t="str">
        <f t="shared" si="60"/>
        <v/>
      </c>
      <c r="D2353" s="81"/>
      <c r="E2353" s="79"/>
      <c r="F2353" s="80" t="str">
        <f>IF(A2353="","",SUMIF(EXTRATO!$A$2:$A$3000,$A2353,EXTRATO!$J$2:$J$3000)+SUMIF(EXTRATO!$A$2:$A$3000,$A2353,EXTRATO!$K$2:$K$3000)+SUMIF(EXTRATO!$A$2:$A$3000,$A2353,EXTRATO!$L$2:$L$3000)+SUMIF(EXTRATO!$A$2:$A$3000,$A2353,EXTRATO!$M$2:$M$3000))</f>
        <v/>
      </c>
      <c r="G2353" s="81" t="str">
        <f>IF(A2353="","",IF(INDEX(EXTRATO!$G$2:$G$3000,MATCH($A2353,EXTRATO!$A$2:$A$3000,0))="","",INDEX(EXTRATO!$G$2:$G$3000,MATCH($A2353,EXTRATO!$A$2:$A$3000,0))))</f>
        <v/>
      </c>
      <c r="H2353" s="86" t="str">
        <f>IF(A2353="","",IF(INDEX(EXTRATO!$F$2:$F$3000,MATCH($A2353,EXTRATO!$A$2:$A$3000,0))="","",INDEX(EXTRATO!$F$2:$F$3000,MATCH($A2353,EXTRATO!$A$2:$A$3000,0))))</f>
        <v/>
      </c>
      <c r="I2353" s="88" t="str">
        <f>IF(A2353="","",IF(INDEX(EXTRATO!$H$2:$H$3000,MATCH($A2353,EXTRATO!$A$2:$A$3000,0))="","",INDEX(EXTRATO!$H$2:$H$3000,MATCH($A2353,EXTRATO!$A$2:$A$3000,0))))</f>
        <v/>
      </c>
      <c r="J2353" s="86" t="str">
        <f t="shared" si="61"/>
        <v/>
      </c>
      <c r="K2353" s="86" t="str">
        <f>IF(AND(A2353="",D2353="",E2353="",F2353=""),"",IF(D2353="","SEM CATEGORIA",IF(E2353="","SEM SUBCATEGORIA",IF(COUNTIFS(CADASTROS!$L$7:$L$93,D2353,CADASTROS!$D$7:$D$93,E2353)=0,"INCOMPATÍVEL","OK"))))</f>
        <v/>
      </c>
    </row>
    <row r="2354" spans="1:11" ht="30" hidden="1" customHeight="1" x14ac:dyDescent="0.25">
      <c r="A2354" s="86" t="str">
        <f>IF(COUNTIF(EXTRATO!$A$2:$A$3000,"BAN-02211")=0,"","BAN-02211")</f>
        <v/>
      </c>
      <c r="B2354" s="85" t="str">
        <f>IF(A2354="","",IF(INDEX(EXTRATO!$C$2:$C$3000,MATCH($A2354,EXTRATO!$A$2:$A$3000,0))="","",INDEX(EXTRATO!$C$2:$C$3000,MATCH($A2354,EXTRATO!$A$2:$A$3000,0))))</f>
        <v/>
      </c>
      <c r="C2354" s="86" t="str">
        <f t="shared" si="60"/>
        <v/>
      </c>
      <c r="D2354" s="81"/>
      <c r="E2354" s="79"/>
      <c r="F2354" s="80" t="str">
        <f>IF(A2354="","",SUMIF(EXTRATO!$A$2:$A$3000,$A2354,EXTRATO!$J$2:$J$3000)+SUMIF(EXTRATO!$A$2:$A$3000,$A2354,EXTRATO!$K$2:$K$3000)+SUMIF(EXTRATO!$A$2:$A$3000,$A2354,EXTRATO!$L$2:$L$3000)+SUMIF(EXTRATO!$A$2:$A$3000,$A2354,EXTRATO!$M$2:$M$3000))</f>
        <v/>
      </c>
      <c r="G2354" s="81" t="str">
        <f>IF(A2354="","",IF(INDEX(EXTRATO!$G$2:$G$3000,MATCH($A2354,EXTRATO!$A$2:$A$3000,0))="","",INDEX(EXTRATO!$G$2:$G$3000,MATCH($A2354,EXTRATO!$A$2:$A$3000,0))))</f>
        <v/>
      </c>
      <c r="H2354" s="86" t="str">
        <f>IF(A2354="","",IF(INDEX(EXTRATO!$F$2:$F$3000,MATCH($A2354,EXTRATO!$A$2:$A$3000,0))="","",INDEX(EXTRATO!$F$2:$F$3000,MATCH($A2354,EXTRATO!$A$2:$A$3000,0))))</f>
        <v/>
      </c>
      <c r="I2354" s="88" t="str">
        <f>IF(A2354="","",IF(INDEX(EXTRATO!$H$2:$H$3000,MATCH($A2354,EXTRATO!$A$2:$A$3000,0))="","",INDEX(EXTRATO!$H$2:$H$3000,MATCH($A2354,EXTRATO!$A$2:$A$3000,0))))</f>
        <v/>
      </c>
      <c r="J2354" s="86" t="str">
        <f t="shared" si="61"/>
        <v/>
      </c>
      <c r="K2354" s="86" t="str">
        <f>IF(AND(A2354="",D2354="",E2354="",F2354=""),"",IF(D2354="","SEM CATEGORIA",IF(E2354="","SEM SUBCATEGORIA",IF(COUNTIFS(CADASTROS!$L$7:$L$93,D2354,CADASTROS!$D$7:$D$93,E2354)=0,"INCOMPATÍVEL","OK"))))</f>
        <v/>
      </c>
    </row>
    <row r="2355" spans="1:11" ht="30" hidden="1" customHeight="1" x14ac:dyDescent="0.25">
      <c r="A2355" s="86" t="str">
        <f>IF(COUNTIF(EXTRATO!$A$2:$A$3000,"BAN-02212")=0,"","BAN-02212")</f>
        <v/>
      </c>
      <c r="B2355" s="85" t="str">
        <f>IF(A2355="","",IF(INDEX(EXTRATO!$C$2:$C$3000,MATCH($A2355,EXTRATO!$A$2:$A$3000,0))="","",INDEX(EXTRATO!$C$2:$C$3000,MATCH($A2355,EXTRATO!$A$2:$A$3000,0))))</f>
        <v/>
      </c>
      <c r="C2355" s="86" t="str">
        <f t="shared" si="60"/>
        <v/>
      </c>
      <c r="D2355" s="81"/>
      <c r="E2355" s="79"/>
      <c r="F2355" s="80" t="str">
        <f>IF(A2355="","",SUMIF(EXTRATO!$A$2:$A$3000,$A2355,EXTRATO!$J$2:$J$3000)+SUMIF(EXTRATO!$A$2:$A$3000,$A2355,EXTRATO!$K$2:$K$3000)+SUMIF(EXTRATO!$A$2:$A$3000,$A2355,EXTRATO!$L$2:$L$3000)+SUMIF(EXTRATO!$A$2:$A$3000,$A2355,EXTRATO!$M$2:$M$3000))</f>
        <v/>
      </c>
      <c r="G2355" s="81" t="str">
        <f>IF(A2355="","",IF(INDEX(EXTRATO!$G$2:$G$3000,MATCH($A2355,EXTRATO!$A$2:$A$3000,0))="","",INDEX(EXTRATO!$G$2:$G$3000,MATCH($A2355,EXTRATO!$A$2:$A$3000,0))))</f>
        <v/>
      </c>
      <c r="H2355" s="86" t="str">
        <f>IF(A2355="","",IF(INDEX(EXTRATO!$F$2:$F$3000,MATCH($A2355,EXTRATO!$A$2:$A$3000,0))="","",INDEX(EXTRATO!$F$2:$F$3000,MATCH($A2355,EXTRATO!$A$2:$A$3000,0))))</f>
        <v/>
      </c>
      <c r="I2355" s="88" t="str">
        <f>IF(A2355="","",IF(INDEX(EXTRATO!$H$2:$H$3000,MATCH($A2355,EXTRATO!$A$2:$A$3000,0))="","",INDEX(EXTRATO!$H$2:$H$3000,MATCH($A2355,EXTRATO!$A$2:$A$3000,0))))</f>
        <v/>
      </c>
      <c r="J2355" s="86" t="str">
        <f t="shared" si="61"/>
        <v/>
      </c>
      <c r="K2355" s="86" t="str">
        <f>IF(AND(A2355="",D2355="",E2355="",F2355=""),"",IF(D2355="","SEM CATEGORIA",IF(E2355="","SEM SUBCATEGORIA",IF(COUNTIFS(CADASTROS!$L$7:$L$93,D2355,CADASTROS!$D$7:$D$93,E2355)=0,"INCOMPATÍVEL","OK"))))</f>
        <v/>
      </c>
    </row>
    <row r="2356" spans="1:11" ht="30" hidden="1" customHeight="1" x14ac:dyDescent="0.25">
      <c r="A2356" s="86" t="str">
        <f>IF(COUNTIF(EXTRATO!$A$2:$A$3000,"BAN-02213")=0,"","BAN-02213")</f>
        <v/>
      </c>
      <c r="B2356" s="85" t="str">
        <f>IF(A2356="","",IF(INDEX(EXTRATO!$C$2:$C$3000,MATCH($A2356,EXTRATO!$A$2:$A$3000,0))="","",INDEX(EXTRATO!$C$2:$C$3000,MATCH($A2356,EXTRATO!$A$2:$A$3000,0))))</f>
        <v/>
      </c>
      <c r="C2356" s="86" t="str">
        <f t="shared" si="60"/>
        <v/>
      </c>
      <c r="D2356" s="81"/>
      <c r="E2356" s="79"/>
      <c r="F2356" s="80" t="str">
        <f>IF(A2356="","",SUMIF(EXTRATO!$A$2:$A$3000,$A2356,EXTRATO!$J$2:$J$3000)+SUMIF(EXTRATO!$A$2:$A$3000,$A2356,EXTRATO!$K$2:$K$3000)+SUMIF(EXTRATO!$A$2:$A$3000,$A2356,EXTRATO!$L$2:$L$3000)+SUMIF(EXTRATO!$A$2:$A$3000,$A2356,EXTRATO!$M$2:$M$3000))</f>
        <v/>
      </c>
      <c r="G2356" s="81" t="str">
        <f>IF(A2356="","",IF(INDEX(EXTRATO!$G$2:$G$3000,MATCH($A2356,EXTRATO!$A$2:$A$3000,0))="","",INDEX(EXTRATO!$G$2:$G$3000,MATCH($A2356,EXTRATO!$A$2:$A$3000,0))))</f>
        <v/>
      </c>
      <c r="H2356" s="86" t="str">
        <f>IF(A2356="","",IF(INDEX(EXTRATO!$F$2:$F$3000,MATCH($A2356,EXTRATO!$A$2:$A$3000,0))="","",INDEX(EXTRATO!$F$2:$F$3000,MATCH($A2356,EXTRATO!$A$2:$A$3000,0))))</f>
        <v/>
      </c>
      <c r="I2356" s="88" t="str">
        <f>IF(A2356="","",IF(INDEX(EXTRATO!$H$2:$H$3000,MATCH($A2356,EXTRATO!$A$2:$A$3000,0))="","",INDEX(EXTRATO!$H$2:$H$3000,MATCH($A2356,EXTRATO!$A$2:$A$3000,0))))</f>
        <v/>
      </c>
      <c r="J2356" s="86" t="str">
        <f t="shared" si="61"/>
        <v/>
      </c>
      <c r="K2356" s="86" t="str">
        <f>IF(AND(A2356="",D2356="",E2356="",F2356=""),"",IF(D2356="","SEM CATEGORIA",IF(E2356="","SEM SUBCATEGORIA",IF(COUNTIFS(CADASTROS!$L$7:$L$93,D2356,CADASTROS!$D$7:$D$93,E2356)=0,"INCOMPATÍVEL","OK"))))</f>
        <v/>
      </c>
    </row>
    <row r="2357" spans="1:11" ht="30" hidden="1" customHeight="1" x14ac:dyDescent="0.25">
      <c r="A2357" s="86" t="str">
        <f>IF(COUNTIF(EXTRATO!$A$2:$A$3000,"BAN-02214")=0,"","BAN-02214")</f>
        <v/>
      </c>
      <c r="B2357" s="85" t="str">
        <f>IF(A2357="","",IF(INDEX(EXTRATO!$C$2:$C$3000,MATCH($A2357,EXTRATO!$A$2:$A$3000,0))="","",INDEX(EXTRATO!$C$2:$C$3000,MATCH($A2357,EXTRATO!$A$2:$A$3000,0))))</f>
        <v/>
      </c>
      <c r="C2357" s="86" t="str">
        <f t="shared" si="60"/>
        <v/>
      </c>
      <c r="D2357" s="81"/>
      <c r="E2357" s="79"/>
      <c r="F2357" s="80" t="str">
        <f>IF(A2357="","",SUMIF(EXTRATO!$A$2:$A$3000,$A2357,EXTRATO!$J$2:$J$3000)+SUMIF(EXTRATO!$A$2:$A$3000,$A2357,EXTRATO!$K$2:$K$3000)+SUMIF(EXTRATO!$A$2:$A$3000,$A2357,EXTRATO!$L$2:$L$3000)+SUMIF(EXTRATO!$A$2:$A$3000,$A2357,EXTRATO!$M$2:$M$3000))</f>
        <v/>
      </c>
      <c r="G2357" s="81" t="str">
        <f>IF(A2357="","",IF(INDEX(EXTRATO!$G$2:$G$3000,MATCH($A2357,EXTRATO!$A$2:$A$3000,0))="","",INDEX(EXTRATO!$G$2:$G$3000,MATCH($A2357,EXTRATO!$A$2:$A$3000,0))))</f>
        <v/>
      </c>
      <c r="H2357" s="86" t="str">
        <f>IF(A2357="","",IF(INDEX(EXTRATO!$F$2:$F$3000,MATCH($A2357,EXTRATO!$A$2:$A$3000,0))="","",INDEX(EXTRATO!$F$2:$F$3000,MATCH($A2357,EXTRATO!$A$2:$A$3000,0))))</f>
        <v/>
      </c>
      <c r="I2357" s="88" t="str">
        <f>IF(A2357="","",IF(INDEX(EXTRATO!$H$2:$H$3000,MATCH($A2357,EXTRATO!$A$2:$A$3000,0))="","",INDEX(EXTRATO!$H$2:$H$3000,MATCH($A2357,EXTRATO!$A$2:$A$3000,0))))</f>
        <v/>
      </c>
      <c r="J2357" s="86" t="str">
        <f t="shared" si="61"/>
        <v/>
      </c>
      <c r="K2357" s="86" t="str">
        <f>IF(AND(A2357="",D2357="",E2357="",F2357=""),"",IF(D2357="","SEM CATEGORIA",IF(E2357="","SEM SUBCATEGORIA",IF(COUNTIFS(CADASTROS!$L$7:$L$93,D2357,CADASTROS!$D$7:$D$93,E2357)=0,"INCOMPATÍVEL","OK"))))</f>
        <v/>
      </c>
    </row>
    <row r="2358" spans="1:11" ht="30" hidden="1" customHeight="1" x14ac:dyDescent="0.25">
      <c r="A2358" s="86" t="str">
        <f>IF(COUNTIF(EXTRATO!$A$2:$A$3000,"BAN-02215")=0,"","BAN-02215")</f>
        <v/>
      </c>
      <c r="B2358" s="85" t="str">
        <f>IF(A2358="","",IF(INDEX(EXTRATO!$C$2:$C$3000,MATCH($A2358,EXTRATO!$A$2:$A$3000,0))="","",INDEX(EXTRATO!$C$2:$C$3000,MATCH($A2358,EXTRATO!$A$2:$A$3000,0))))</f>
        <v/>
      </c>
      <c r="C2358" s="86" t="str">
        <f t="shared" si="60"/>
        <v/>
      </c>
      <c r="D2358" s="81"/>
      <c r="E2358" s="79"/>
      <c r="F2358" s="80" t="str">
        <f>IF(A2358="","",SUMIF(EXTRATO!$A$2:$A$3000,$A2358,EXTRATO!$J$2:$J$3000)+SUMIF(EXTRATO!$A$2:$A$3000,$A2358,EXTRATO!$K$2:$K$3000)+SUMIF(EXTRATO!$A$2:$A$3000,$A2358,EXTRATO!$L$2:$L$3000)+SUMIF(EXTRATO!$A$2:$A$3000,$A2358,EXTRATO!$M$2:$M$3000))</f>
        <v/>
      </c>
      <c r="G2358" s="81" t="str">
        <f>IF(A2358="","",IF(INDEX(EXTRATO!$G$2:$G$3000,MATCH($A2358,EXTRATO!$A$2:$A$3000,0))="","",INDEX(EXTRATO!$G$2:$G$3000,MATCH($A2358,EXTRATO!$A$2:$A$3000,0))))</f>
        <v/>
      </c>
      <c r="H2358" s="86" t="str">
        <f>IF(A2358="","",IF(INDEX(EXTRATO!$F$2:$F$3000,MATCH($A2358,EXTRATO!$A$2:$A$3000,0))="","",INDEX(EXTRATO!$F$2:$F$3000,MATCH($A2358,EXTRATO!$A$2:$A$3000,0))))</f>
        <v/>
      </c>
      <c r="I2358" s="88" t="str">
        <f>IF(A2358="","",IF(INDEX(EXTRATO!$H$2:$H$3000,MATCH($A2358,EXTRATO!$A$2:$A$3000,0))="","",INDEX(EXTRATO!$H$2:$H$3000,MATCH($A2358,EXTRATO!$A$2:$A$3000,0))))</f>
        <v/>
      </c>
      <c r="J2358" s="86" t="str">
        <f t="shared" si="61"/>
        <v/>
      </c>
      <c r="K2358" s="86" t="str">
        <f>IF(AND(A2358="",D2358="",E2358="",F2358=""),"",IF(D2358="","SEM CATEGORIA",IF(E2358="","SEM SUBCATEGORIA",IF(COUNTIFS(CADASTROS!$L$7:$L$93,D2358,CADASTROS!$D$7:$D$93,E2358)=0,"INCOMPATÍVEL","OK"))))</f>
        <v/>
      </c>
    </row>
    <row r="2359" spans="1:11" ht="30" hidden="1" customHeight="1" x14ac:dyDescent="0.25">
      <c r="A2359" s="86" t="str">
        <f>IF(COUNTIF(EXTRATO!$A$2:$A$3000,"BAN-02216")=0,"","BAN-02216")</f>
        <v/>
      </c>
      <c r="B2359" s="85" t="str">
        <f>IF(A2359="","",IF(INDEX(EXTRATO!$C$2:$C$3000,MATCH($A2359,EXTRATO!$A$2:$A$3000,0))="","",INDEX(EXTRATO!$C$2:$C$3000,MATCH($A2359,EXTRATO!$A$2:$A$3000,0))))</f>
        <v/>
      </c>
      <c r="C2359" s="86" t="str">
        <f t="shared" si="60"/>
        <v/>
      </c>
      <c r="D2359" s="81"/>
      <c r="E2359" s="79"/>
      <c r="F2359" s="80" t="str">
        <f>IF(A2359="","",SUMIF(EXTRATO!$A$2:$A$3000,$A2359,EXTRATO!$J$2:$J$3000)+SUMIF(EXTRATO!$A$2:$A$3000,$A2359,EXTRATO!$K$2:$K$3000)+SUMIF(EXTRATO!$A$2:$A$3000,$A2359,EXTRATO!$L$2:$L$3000)+SUMIF(EXTRATO!$A$2:$A$3000,$A2359,EXTRATO!$M$2:$M$3000))</f>
        <v/>
      </c>
      <c r="G2359" s="81" t="str">
        <f>IF(A2359="","",IF(INDEX(EXTRATO!$G$2:$G$3000,MATCH($A2359,EXTRATO!$A$2:$A$3000,0))="","",INDEX(EXTRATO!$G$2:$G$3000,MATCH($A2359,EXTRATO!$A$2:$A$3000,0))))</f>
        <v/>
      </c>
      <c r="H2359" s="86" t="str">
        <f>IF(A2359="","",IF(INDEX(EXTRATO!$F$2:$F$3000,MATCH($A2359,EXTRATO!$A$2:$A$3000,0))="","",INDEX(EXTRATO!$F$2:$F$3000,MATCH($A2359,EXTRATO!$A$2:$A$3000,0))))</f>
        <v/>
      </c>
      <c r="I2359" s="88" t="str">
        <f>IF(A2359="","",IF(INDEX(EXTRATO!$H$2:$H$3000,MATCH($A2359,EXTRATO!$A$2:$A$3000,0))="","",INDEX(EXTRATO!$H$2:$H$3000,MATCH($A2359,EXTRATO!$A$2:$A$3000,0))))</f>
        <v/>
      </c>
      <c r="J2359" s="86" t="str">
        <f t="shared" si="61"/>
        <v/>
      </c>
      <c r="K2359" s="86" t="str">
        <f>IF(AND(A2359="",D2359="",E2359="",F2359=""),"",IF(D2359="","SEM CATEGORIA",IF(E2359="","SEM SUBCATEGORIA",IF(COUNTIFS(CADASTROS!$L$7:$L$93,D2359,CADASTROS!$D$7:$D$93,E2359)=0,"INCOMPATÍVEL","OK"))))</f>
        <v/>
      </c>
    </row>
    <row r="2360" spans="1:11" ht="30" hidden="1" customHeight="1" x14ac:dyDescent="0.25">
      <c r="A2360" s="86" t="str">
        <f>IF(COUNTIF(EXTRATO!$A$2:$A$3000,"BAN-02217")=0,"","BAN-02217")</f>
        <v/>
      </c>
      <c r="B2360" s="85" t="str">
        <f>IF(A2360="","",IF(INDEX(EXTRATO!$C$2:$C$3000,MATCH($A2360,EXTRATO!$A$2:$A$3000,0))="","",INDEX(EXTRATO!$C$2:$C$3000,MATCH($A2360,EXTRATO!$A$2:$A$3000,0))))</f>
        <v/>
      </c>
      <c r="C2360" s="86" t="str">
        <f t="shared" si="60"/>
        <v/>
      </c>
      <c r="D2360" s="81"/>
      <c r="E2360" s="79"/>
      <c r="F2360" s="80" t="str">
        <f>IF(A2360="","",SUMIF(EXTRATO!$A$2:$A$3000,$A2360,EXTRATO!$J$2:$J$3000)+SUMIF(EXTRATO!$A$2:$A$3000,$A2360,EXTRATO!$K$2:$K$3000)+SUMIF(EXTRATO!$A$2:$A$3000,$A2360,EXTRATO!$L$2:$L$3000)+SUMIF(EXTRATO!$A$2:$A$3000,$A2360,EXTRATO!$M$2:$M$3000))</f>
        <v/>
      </c>
      <c r="G2360" s="81" t="str">
        <f>IF(A2360="","",IF(INDEX(EXTRATO!$G$2:$G$3000,MATCH($A2360,EXTRATO!$A$2:$A$3000,0))="","",INDEX(EXTRATO!$G$2:$G$3000,MATCH($A2360,EXTRATO!$A$2:$A$3000,0))))</f>
        <v/>
      </c>
      <c r="H2360" s="86" t="str">
        <f>IF(A2360="","",IF(INDEX(EXTRATO!$F$2:$F$3000,MATCH($A2360,EXTRATO!$A$2:$A$3000,0))="","",INDEX(EXTRATO!$F$2:$F$3000,MATCH($A2360,EXTRATO!$A$2:$A$3000,0))))</f>
        <v/>
      </c>
      <c r="I2360" s="88" t="str">
        <f>IF(A2360="","",IF(INDEX(EXTRATO!$H$2:$H$3000,MATCH($A2360,EXTRATO!$A$2:$A$3000,0))="","",INDEX(EXTRATO!$H$2:$H$3000,MATCH($A2360,EXTRATO!$A$2:$A$3000,0))))</f>
        <v/>
      </c>
      <c r="J2360" s="86" t="str">
        <f t="shared" si="61"/>
        <v/>
      </c>
      <c r="K2360" s="86" t="str">
        <f>IF(AND(A2360="",D2360="",E2360="",F2360=""),"",IF(D2360="","SEM CATEGORIA",IF(E2360="","SEM SUBCATEGORIA",IF(COUNTIFS(CADASTROS!$L$7:$L$93,D2360,CADASTROS!$D$7:$D$93,E2360)=0,"INCOMPATÍVEL","OK"))))</f>
        <v/>
      </c>
    </row>
    <row r="2361" spans="1:11" ht="30" hidden="1" customHeight="1" x14ac:dyDescent="0.25">
      <c r="A2361" s="86" t="str">
        <f>IF(COUNTIF(EXTRATO!$A$2:$A$3000,"BAN-02218")=0,"","BAN-02218")</f>
        <v/>
      </c>
      <c r="B2361" s="85" t="str">
        <f>IF(A2361="","",IF(INDEX(EXTRATO!$C$2:$C$3000,MATCH($A2361,EXTRATO!$A$2:$A$3000,0))="","",INDEX(EXTRATO!$C$2:$C$3000,MATCH($A2361,EXTRATO!$A$2:$A$3000,0))))</f>
        <v/>
      </c>
      <c r="C2361" s="86" t="str">
        <f t="shared" si="60"/>
        <v/>
      </c>
      <c r="D2361" s="81"/>
      <c r="E2361" s="79"/>
      <c r="F2361" s="80" t="str">
        <f>IF(A2361="","",SUMIF(EXTRATO!$A$2:$A$3000,$A2361,EXTRATO!$J$2:$J$3000)+SUMIF(EXTRATO!$A$2:$A$3000,$A2361,EXTRATO!$K$2:$K$3000)+SUMIF(EXTRATO!$A$2:$A$3000,$A2361,EXTRATO!$L$2:$L$3000)+SUMIF(EXTRATO!$A$2:$A$3000,$A2361,EXTRATO!$M$2:$M$3000))</f>
        <v/>
      </c>
      <c r="G2361" s="81" t="str">
        <f>IF(A2361="","",IF(INDEX(EXTRATO!$G$2:$G$3000,MATCH($A2361,EXTRATO!$A$2:$A$3000,0))="","",INDEX(EXTRATO!$G$2:$G$3000,MATCH($A2361,EXTRATO!$A$2:$A$3000,0))))</f>
        <v/>
      </c>
      <c r="H2361" s="86" t="str">
        <f>IF(A2361="","",IF(INDEX(EXTRATO!$F$2:$F$3000,MATCH($A2361,EXTRATO!$A$2:$A$3000,0))="","",INDEX(EXTRATO!$F$2:$F$3000,MATCH($A2361,EXTRATO!$A$2:$A$3000,0))))</f>
        <v/>
      </c>
      <c r="I2361" s="88" t="str">
        <f>IF(A2361="","",IF(INDEX(EXTRATO!$H$2:$H$3000,MATCH($A2361,EXTRATO!$A$2:$A$3000,0))="","",INDEX(EXTRATO!$H$2:$H$3000,MATCH($A2361,EXTRATO!$A$2:$A$3000,0))))</f>
        <v/>
      </c>
      <c r="J2361" s="86" t="str">
        <f t="shared" si="61"/>
        <v/>
      </c>
      <c r="K2361" s="86" t="str">
        <f>IF(AND(A2361="",D2361="",E2361="",F2361=""),"",IF(D2361="","SEM CATEGORIA",IF(E2361="","SEM SUBCATEGORIA",IF(COUNTIFS(CADASTROS!$L$7:$L$93,D2361,CADASTROS!$D$7:$D$93,E2361)=0,"INCOMPATÍVEL","OK"))))</f>
        <v/>
      </c>
    </row>
    <row r="2362" spans="1:11" ht="30" hidden="1" customHeight="1" x14ac:dyDescent="0.25">
      <c r="A2362" s="86" t="str">
        <f>IF(COUNTIF(EXTRATO!$A$2:$A$3000,"BAN-02219")=0,"","BAN-02219")</f>
        <v/>
      </c>
      <c r="B2362" s="85" t="str">
        <f>IF(A2362="","",IF(INDEX(EXTRATO!$C$2:$C$3000,MATCH($A2362,EXTRATO!$A$2:$A$3000,0))="","",INDEX(EXTRATO!$C$2:$C$3000,MATCH($A2362,EXTRATO!$A$2:$A$3000,0))))</f>
        <v/>
      </c>
      <c r="C2362" s="86" t="str">
        <f t="shared" si="60"/>
        <v/>
      </c>
      <c r="D2362" s="81"/>
      <c r="E2362" s="79"/>
      <c r="F2362" s="80" t="str">
        <f>IF(A2362="","",SUMIF(EXTRATO!$A$2:$A$3000,$A2362,EXTRATO!$J$2:$J$3000)+SUMIF(EXTRATO!$A$2:$A$3000,$A2362,EXTRATO!$K$2:$K$3000)+SUMIF(EXTRATO!$A$2:$A$3000,$A2362,EXTRATO!$L$2:$L$3000)+SUMIF(EXTRATO!$A$2:$A$3000,$A2362,EXTRATO!$M$2:$M$3000))</f>
        <v/>
      </c>
      <c r="G2362" s="81" t="str">
        <f>IF(A2362="","",IF(INDEX(EXTRATO!$G$2:$G$3000,MATCH($A2362,EXTRATO!$A$2:$A$3000,0))="","",INDEX(EXTRATO!$G$2:$G$3000,MATCH($A2362,EXTRATO!$A$2:$A$3000,0))))</f>
        <v/>
      </c>
      <c r="H2362" s="86" t="str">
        <f>IF(A2362="","",IF(INDEX(EXTRATO!$F$2:$F$3000,MATCH($A2362,EXTRATO!$A$2:$A$3000,0))="","",INDEX(EXTRATO!$F$2:$F$3000,MATCH($A2362,EXTRATO!$A$2:$A$3000,0))))</f>
        <v/>
      </c>
      <c r="I2362" s="88" t="str">
        <f>IF(A2362="","",IF(INDEX(EXTRATO!$H$2:$H$3000,MATCH($A2362,EXTRATO!$A$2:$A$3000,0))="","",INDEX(EXTRATO!$H$2:$H$3000,MATCH($A2362,EXTRATO!$A$2:$A$3000,0))))</f>
        <v/>
      </c>
      <c r="J2362" s="86" t="str">
        <f t="shared" si="61"/>
        <v/>
      </c>
      <c r="K2362" s="86" t="str">
        <f>IF(AND(A2362="",D2362="",E2362="",F2362=""),"",IF(D2362="","SEM CATEGORIA",IF(E2362="","SEM SUBCATEGORIA",IF(COUNTIFS(CADASTROS!$L$7:$L$93,D2362,CADASTROS!$D$7:$D$93,E2362)=0,"INCOMPATÍVEL","OK"))))</f>
        <v/>
      </c>
    </row>
    <row r="2363" spans="1:11" ht="30" hidden="1" customHeight="1" x14ac:dyDescent="0.25">
      <c r="A2363" s="86" t="str">
        <f>IF(COUNTIF(EXTRATO!$A$2:$A$3000,"BAN-02220")=0,"","BAN-02220")</f>
        <v/>
      </c>
      <c r="B2363" s="85" t="str">
        <f>IF(A2363="","",IF(INDEX(EXTRATO!$C$2:$C$3000,MATCH($A2363,EXTRATO!$A$2:$A$3000,0))="","",INDEX(EXTRATO!$C$2:$C$3000,MATCH($A2363,EXTRATO!$A$2:$A$3000,0))))</f>
        <v/>
      </c>
      <c r="C2363" s="86" t="str">
        <f t="shared" si="60"/>
        <v/>
      </c>
      <c r="D2363" s="81"/>
      <c r="E2363" s="79"/>
      <c r="F2363" s="80" t="str">
        <f>IF(A2363="","",SUMIF(EXTRATO!$A$2:$A$3000,$A2363,EXTRATO!$J$2:$J$3000)+SUMIF(EXTRATO!$A$2:$A$3000,$A2363,EXTRATO!$K$2:$K$3000)+SUMIF(EXTRATO!$A$2:$A$3000,$A2363,EXTRATO!$L$2:$L$3000)+SUMIF(EXTRATO!$A$2:$A$3000,$A2363,EXTRATO!$M$2:$M$3000))</f>
        <v/>
      </c>
      <c r="G2363" s="81" t="str">
        <f>IF(A2363="","",IF(INDEX(EXTRATO!$G$2:$G$3000,MATCH($A2363,EXTRATO!$A$2:$A$3000,0))="","",INDEX(EXTRATO!$G$2:$G$3000,MATCH($A2363,EXTRATO!$A$2:$A$3000,0))))</f>
        <v/>
      </c>
      <c r="H2363" s="86" t="str">
        <f>IF(A2363="","",IF(INDEX(EXTRATO!$F$2:$F$3000,MATCH($A2363,EXTRATO!$A$2:$A$3000,0))="","",INDEX(EXTRATO!$F$2:$F$3000,MATCH($A2363,EXTRATO!$A$2:$A$3000,0))))</f>
        <v/>
      </c>
      <c r="I2363" s="88" t="str">
        <f>IF(A2363="","",IF(INDEX(EXTRATO!$H$2:$H$3000,MATCH($A2363,EXTRATO!$A$2:$A$3000,0))="","",INDEX(EXTRATO!$H$2:$H$3000,MATCH($A2363,EXTRATO!$A$2:$A$3000,0))))</f>
        <v/>
      </c>
      <c r="J2363" s="86" t="str">
        <f t="shared" si="61"/>
        <v/>
      </c>
      <c r="K2363" s="86" t="str">
        <f>IF(AND(A2363="",D2363="",E2363="",F2363=""),"",IF(D2363="","SEM CATEGORIA",IF(E2363="","SEM SUBCATEGORIA",IF(COUNTIFS(CADASTROS!$L$7:$L$93,D2363,CADASTROS!$D$7:$D$93,E2363)=0,"INCOMPATÍVEL","OK"))))</f>
        <v/>
      </c>
    </row>
    <row r="2364" spans="1:11" ht="30" hidden="1" customHeight="1" x14ac:dyDescent="0.25">
      <c r="A2364" s="86" t="str">
        <f>IF(COUNTIF(EXTRATO!$A$2:$A$3000,"BAN-02221")=0,"","BAN-02221")</f>
        <v/>
      </c>
      <c r="B2364" s="85" t="str">
        <f>IF(A2364="","",IF(INDEX(EXTRATO!$C$2:$C$3000,MATCH($A2364,EXTRATO!$A$2:$A$3000,0))="","",INDEX(EXTRATO!$C$2:$C$3000,MATCH($A2364,EXTRATO!$A$2:$A$3000,0))))</f>
        <v/>
      </c>
      <c r="C2364" s="86" t="str">
        <f t="shared" si="60"/>
        <v/>
      </c>
      <c r="D2364" s="81"/>
      <c r="E2364" s="79"/>
      <c r="F2364" s="80" t="str">
        <f>IF(A2364="","",SUMIF(EXTRATO!$A$2:$A$3000,$A2364,EXTRATO!$J$2:$J$3000)+SUMIF(EXTRATO!$A$2:$A$3000,$A2364,EXTRATO!$K$2:$K$3000)+SUMIF(EXTRATO!$A$2:$A$3000,$A2364,EXTRATO!$L$2:$L$3000)+SUMIF(EXTRATO!$A$2:$A$3000,$A2364,EXTRATO!$M$2:$M$3000))</f>
        <v/>
      </c>
      <c r="G2364" s="81" t="str">
        <f>IF(A2364="","",IF(INDEX(EXTRATO!$G$2:$G$3000,MATCH($A2364,EXTRATO!$A$2:$A$3000,0))="","",INDEX(EXTRATO!$G$2:$G$3000,MATCH($A2364,EXTRATO!$A$2:$A$3000,0))))</f>
        <v/>
      </c>
      <c r="H2364" s="86" t="str">
        <f>IF(A2364="","",IF(INDEX(EXTRATO!$F$2:$F$3000,MATCH($A2364,EXTRATO!$A$2:$A$3000,0))="","",INDEX(EXTRATO!$F$2:$F$3000,MATCH($A2364,EXTRATO!$A$2:$A$3000,0))))</f>
        <v/>
      </c>
      <c r="I2364" s="88" t="str">
        <f>IF(A2364="","",IF(INDEX(EXTRATO!$H$2:$H$3000,MATCH($A2364,EXTRATO!$A$2:$A$3000,0))="","",INDEX(EXTRATO!$H$2:$H$3000,MATCH($A2364,EXTRATO!$A$2:$A$3000,0))))</f>
        <v/>
      </c>
      <c r="J2364" s="86" t="str">
        <f t="shared" si="61"/>
        <v/>
      </c>
      <c r="K2364" s="86" t="str">
        <f>IF(AND(A2364="",D2364="",E2364="",F2364=""),"",IF(D2364="","SEM CATEGORIA",IF(E2364="","SEM SUBCATEGORIA",IF(COUNTIFS(CADASTROS!$L$7:$L$93,D2364,CADASTROS!$D$7:$D$93,E2364)=0,"INCOMPATÍVEL","OK"))))</f>
        <v/>
      </c>
    </row>
    <row r="2365" spans="1:11" ht="30" hidden="1" customHeight="1" x14ac:dyDescent="0.25">
      <c r="A2365" s="86" t="str">
        <f>IF(COUNTIF(EXTRATO!$A$2:$A$3000,"BAN-02222")=0,"","BAN-02222")</f>
        <v/>
      </c>
      <c r="B2365" s="85" t="str">
        <f>IF(A2365="","",IF(INDEX(EXTRATO!$C$2:$C$3000,MATCH($A2365,EXTRATO!$A$2:$A$3000,0))="","",INDEX(EXTRATO!$C$2:$C$3000,MATCH($A2365,EXTRATO!$A$2:$A$3000,0))))</f>
        <v/>
      </c>
      <c r="C2365" s="86" t="str">
        <f t="shared" si="60"/>
        <v/>
      </c>
      <c r="D2365" s="81"/>
      <c r="E2365" s="79"/>
      <c r="F2365" s="80" t="str">
        <f>IF(A2365="","",SUMIF(EXTRATO!$A$2:$A$3000,$A2365,EXTRATO!$J$2:$J$3000)+SUMIF(EXTRATO!$A$2:$A$3000,$A2365,EXTRATO!$K$2:$K$3000)+SUMIF(EXTRATO!$A$2:$A$3000,$A2365,EXTRATO!$L$2:$L$3000)+SUMIF(EXTRATO!$A$2:$A$3000,$A2365,EXTRATO!$M$2:$M$3000))</f>
        <v/>
      </c>
      <c r="G2365" s="81" t="str">
        <f>IF(A2365="","",IF(INDEX(EXTRATO!$G$2:$G$3000,MATCH($A2365,EXTRATO!$A$2:$A$3000,0))="","",INDEX(EXTRATO!$G$2:$G$3000,MATCH($A2365,EXTRATO!$A$2:$A$3000,0))))</f>
        <v/>
      </c>
      <c r="H2365" s="86" t="str">
        <f>IF(A2365="","",IF(INDEX(EXTRATO!$F$2:$F$3000,MATCH($A2365,EXTRATO!$A$2:$A$3000,0))="","",INDEX(EXTRATO!$F$2:$F$3000,MATCH($A2365,EXTRATO!$A$2:$A$3000,0))))</f>
        <v/>
      </c>
      <c r="I2365" s="88" t="str">
        <f>IF(A2365="","",IF(INDEX(EXTRATO!$H$2:$H$3000,MATCH($A2365,EXTRATO!$A$2:$A$3000,0))="","",INDEX(EXTRATO!$H$2:$H$3000,MATCH($A2365,EXTRATO!$A$2:$A$3000,0))))</f>
        <v/>
      </c>
      <c r="J2365" s="86" t="str">
        <f t="shared" si="61"/>
        <v/>
      </c>
      <c r="K2365" s="86" t="str">
        <f>IF(AND(A2365="",D2365="",E2365="",F2365=""),"",IF(D2365="","SEM CATEGORIA",IF(E2365="","SEM SUBCATEGORIA",IF(COUNTIFS(CADASTROS!$L$7:$L$93,D2365,CADASTROS!$D$7:$D$93,E2365)=0,"INCOMPATÍVEL","OK"))))</f>
        <v/>
      </c>
    </row>
    <row r="2366" spans="1:11" ht="30" hidden="1" customHeight="1" x14ac:dyDescent="0.25">
      <c r="A2366" s="86" t="str">
        <f>IF(COUNTIF(EXTRATO!$A$2:$A$3000,"BAN-02223")=0,"","BAN-02223")</f>
        <v/>
      </c>
      <c r="B2366" s="85" t="str">
        <f>IF(A2366="","",IF(INDEX(EXTRATO!$C$2:$C$3000,MATCH($A2366,EXTRATO!$A$2:$A$3000,0))="","",INDEX(EXTRATO!$C$2:$C$3000,MATCH($A2366,EXTRATO!$A$2:$A$3000,0))))</f>
        <v/>
      </c>
      <c r="C2366" s="86" t="str">
        <f t="shared" si="60"/>
        <v/>
      </c>
      <c r="D2366" s="81"/>
      <c r="E2366" s="79"/>
      <c r="F2366" s="80" t="str">
        <f>IF(A2366="","",SUMIF(EXTRATO!$A$2:$A$3000,$A2366,EXTRATO!$J$2:$J$3000)+SUMIF(EXTRATO!$A$2:$A$3000,$A2366,EXTRATO!$K$2:$K$3000)+SUMIF(EXTRATO!$A$2:$A$3000,$A2366,EXTRATO!$L$2:$L$3000)+SUMIF(EXTRATO!$A$2:$A$3000,$A2366,EXTRATO!$M$2:$M$3000))</f>
        <v/>
      </c>
      <c r="G2366" s="81" t="str">
        <f>IF(A2366="","",IF(INDEX(EXTRATO!$G$2:$G$3000,MATCH($A2366,EXTRATO!$A$2:$A$3000,0))="","",INDEX(EXTRATO!$G$2:$G$3000,MATCH($A2366,EXTRATO!$A$2:$A$3000,0))))</f>
        <v/>
      </c>
      <c r="H2366" s="86" t="str">
        <f>IF(A2366="","",IF(INDEX(EXTRATO!$F$2:$F$3000,MATCH($A2366,EXTRATO!$A$2:$A$3000,0))="","",INDEX(EXTRATO!$F$2:$F$3000,MATCH($A2366,EXTRATO!$A$2:$A$3000,0))))</f>
        <v/>
      </c>
      <c r="I2366" s="88" t="str">
        <f>IF(A2366="","",IF(INDEX(EXTRATO!$H$2:$H$3000,MATCH($A2366,EXTRATO!$A$2:$A$3000,0))="","",INDEX(EXTRATO!$H$2:$H$3000,MATCH($A2366,EXTRATO!$A$2:$A$3000,0))))</f>
        <v/>
      </c>
      <c r="J2366" s="86" t="str">
        <f t="shared" si="61"/>
        <v/>
      </c>
      <c r="K2366" s="86" t="str">
        <f>IF(AND(A2366="",D2366="",E2366="",F2366=""),"",IF(D2366="","SEM CATEGORIA",IF(E2366="","SEM SUBCATEGORIA",IF(COUNTIFS(CADASTROS!$L$7:$L$93,D2366,CADASTROS!$D$7:$D$93,E2366)=0,"INCOMPATÍVEL","OK"))))</f>
        <v/>
      </c>
    </row>
    <row r="2367" spans="1:11" ht="30" hidden="1" customHeight="1" x14ac:dyDescent="0.25">
      <c r="A2367" s="86" t="str">
        <f>IF(COUNTIF(EXTRATO!$A$2:$A$3000,"BAN-02224")=0,"","BAN-02224")</f>
        <v/>
      </c>
      <c r="B2367" s="85" t="str">
        <f>IF(A2367="","",IF(INDEX(EXTRATO!$C$2:$C$3000,MATCH($A2367,EXTRATO!$A$2:$A$3000,0))="","",INDEX(EXTRATO!$C$2:$C$3000,MATCH($A2367,EXTRATO!$A$2:$A$3000,0))))</f>
        <v/>
      </c>
      <c r="C2367" s="86" t="str">
        <f t="shared" si="60"/>
        <v/>
      </c>
      <c r="D2367" s="81"/>
      <c r="E2367" s="79"/>
      <c r="F2367" s="80" t="str">
        <f>IF(A2367="","",SUMIF(EXTRATO!$A$2:$A$3000,$A2367,EXTRATO!$J$2:$J$3000)+SUMIF(EXTRATO!$A$2:$A$3000,$A2367,EXTRATO!$K$2:$K$3000)+SUMIF(EXTRATO!$A$2:$A$3000,$A2367,EXTRATO!$L$2:$L$3000)+SUMIF(EXTRATO!$A$2:$A$3000,$A2367,EXTRATO!$M$2:$M$3000))</f>
        <v/>
      </c>
      <c r="G2367" s="81" t="str">
        <f>IF(A2367="","",IF(INDEX(EXTRATO!$G$2:$G$3000,MATCH($A2367,EXTRATO!$A$2:$A$3000,0))="","",INDEX(EXTRATO!$G$2:$G$3000,MATCH($A2367,EXTRATO!$A$2:$A$3000,0))))</f>
        <v/>
      </c>
      <c r="H2367" s="86" t="str">
        <f>IF(A2367="","",IF(INDEX(EXTRATO!$F$2:$F$3000,MATCH($A2367,EXTRATO!$A$2:$A$3000,0))="","",INDEX(EXTRATO!$F$2:$F$3000,MATCH($A2367,EXTRATO!$A$2:$A$3000,0))))</f>
        <v/>
      </c>
      <c r="I2367" s="88" t="str">
        <f>IF(A2367="","",IF(INDEX(EXTRATO!$H$2:$H$3000,MATCH($A2367,EXTRATO!$A$2:$A$3000,0))="","",INDEX(EXTRATO!$H$2:$H$3000,MATCH($A2367,EXTRATO!$A$2:$A$3000,0))))</f>
        <v/>
      </c>
      <c r="J2367" s="86" t="str">
        <f t="shared" si="61"/>
        <v/>
      </c>
      <c r="K2367" s="86" t="str">
        <f>IF(AND(A2367="",D2367="",E2367="",F2367=""),"",IF(D2367="","SEM CATEGORIA",IF(E2367="","SEM SUBCATEGORIA",IF(COUNTIFS(CADASTROS!$L$7:$L$93,D2367,CADASTROS!$D$7:$D$93,E2367)=0,"INCOMPATÍVEL","OK"))))</f>
        <v/>
      </c>
    </row>
    <row r="2368" spans="1:11" ht="30" hidden="1" customHeight="1" x14ac:dyDescent="0.25">
      <c r="A2368" s="86" t="str">
        <f>IF(COUNTIF(EXTRATO!$A$2:$A$3000,"BAN-02225")=0,"","BAN-02225")</f>
        <v/>
      </c>
      <c r="B2368" s="85" t="str">
        <f>IF(A2368="","",IF(INDEX(EXTRATO!$C$2:$C$3000,MATCH($A2368,EXTRATO!$A$2:$A$3000,0))="","",INDEX(EXTRATO!$C$2:$C$3000,MATCH($A2368,EXTRATO!$A$2:$A$3000,0))))</f>
        <v/>
      </c>
      <c r="C2368" s="86" t="str">
        <f t="shared" si="60"/>
        <v/>
      </c>
      <c r="D2368" s="81"/>
      <c r="E2368" s="79"/>
      <c r="F2368" s="80" t="str">
        <f>IF(A2368="","",SUMIF(EXTRATO!$A$2:$A$3000,$A2368,EXTRATO!$J$2:$J$3000)+SUMIF(EXTRATO!$A$2:$A$3000,$A2368,EXTRATO!$K$2:$K$3000)+SUMIF(EXTRATO!$A$2:$A$3000,$A2368,EXTRATO!$L$2:$L$3000)+SUMIF(EXTRATO!$A$2:$A$3000,$A2368,EXTRATO!$M$2:$M$3000))</f>
        <v/>
      </c>
      <c r="G2368" s="81" t="str">
        <f>IF(A2368="","",IF(INDEX(EXTRATO!$G$2:$G$3000,MATCH($A2368,EXTRATO!$A$2:$A$3000,0))="","",INDEX(EXTRATO!$G$2:$G$3000,MATCH($A2368,EXTRATO!$A$2:$A$3000,0))))</f>
        <v/>
      </c>
      <c r="H2368" s="86" t="str">
        <f>IF(A2368="","",IF(INDEX(EXTRATO!$F$2:$F$3000,MATCH($A2368,EXTRATO!$A$2:$A$3000,0))="","",INDEX(EXTRATO!$F$2:$F$3000,MATCH($A2368,EXTRATO!$A$2:$A$3000,0))))</f>
        <v/>
      </c>
      <c r="I2368" s="88" t="str">
        <f>IF(A2368="","",IF(INDEX(EXTRATO!$H$2:$H$3000,MATCH($A2368,EXTRATO!$A$2:$A$3000,0))="","",INDEX(EXTRATO!$H$2:$H$3000,MATCH($A2368,EXTRATO!$A$2:$A$3000,0))))</f>
        <v/>
      </c>
      <c r="J2368" s="86" t="str">
        <f t="shared" si="61"/>
        <v/>
      </c>
      <c r="K2368" s="86" t="str">
        <f>IF(AND(A2368="",D2368="",E2368="",F2368=""),"",IF(D2368="","SEM CATEGORIA",IF(E2368="","SEM SUBCATEGORIA",IF(COUNTIFS(CADASTROS!$L$7:$L$93,D2368,CADASTROS!$D$7:$D$93,E2368)=0,"INCOMPATÍVEL","OK"))))</f>
        <v/>
      </c>
    </row>
    <row r="2369" spans="1:11" ht="30" hidden="1" customHeight="1" x14ac:dyDescent="0.25">
      <c r="A2369" s="86" t="str">
        <f>IF(COUNTIF(EXTRATO!$A$2:$A$3000,"BAN-02226")=0,"","BAN-02226")</f>
        <v/>
      </c>
      <c r="B2369" s="85" t="str">
        <f>IF(A2369="","",IF(INDEX(EXTRATO!$C$2:$C$3000,MATCH($A2369,EXTRATO!$A$2:$A$3000,0))="","",INDEX(EXTRATO!$C$2:$C$3000,MATCH($A2369,EXTRATO!$A$2:$A$3000,0))))</f>
        <v/>
      </c>
      <c r="C2369" s="86" t="str">
        <f t="shared" si="60"/>
        <v/>
      </c>
      <c r="D2369" s="81"/>
      <c r="E2369" s="79"/>
      <c r="F2369" s="80" t="str">
        <f>IF(A2369="","",SUMIF(EXTRATO!$A$2:$A$3000,$A2369,EXTRATO!$J$2:$J$3000)+SUMIF(EXTRATO!$A$2:$A$3000,$A2369,EXTRATO!$K$2:$K$3000)+SUMIF(EXTRATO!$A$2:$A$3000,$A2369,EXTRATO!$L$2:$L$3000)+SUMIF(EXTRATO!$A$2:$A$3000,$A2369,EXTRATO!$M$2:$M$3000))</f>
        <v/>
      </c>
      <c r="G2369" s="81" t="str">
        <f>IF(A2369="","",IF(INDEX(EXTRATO!$G$2:$G$3000,MATCH($A2369,EXTRATO!$A$2:$A$3000,0))="","",INDEX(EXTRATO!$G$2:$G$3000,MATCH($A2369,EXTRATO!$A$2:$A$3000,0))))</f>
        <v/>
      </c>
      <c r="H2369" s="86" t="str">
        <f>IF(A2369="","",IF(INDEX(EXTRATO!$F$2:$F$3000,MATCH($A2369,EXTRATO!$A$2:$A$3000,0))="","",INDEX(EXTRATO!$F$2:$F$3000,MATCH($A2369,EXTRATO!$A$2:$A$3000,0))))</f>
        <v/>
      </c>
      <c r="I2369" s="88" t="str">
        <f>IF(A2369="","",IF(INDEX(EXTRATO!$H$2:$H$3000,MATCH($A2369,EXTRATO!$A$2:$A$3000,0))="","",INDEX(EXTRATO!$H$2:$H$3000,MATCH($A2369,EXTRATO!$A$2:$A$3000,0))))</f>
        <v/>
      </c>
      <c r="J2369" s="86" t="str">
        <f t="shared" si="61"/>
        <v/>
      </c>
      <c r="K2369" s="86" t="str">
        <f>IF(AND(A2369="",D2369="",E2369="",F2369=""),"",IF(D2369="","SEM CATEGORIA",IF(E2369="","SEM SUBCATEGORIA",IF(COUNTIFS(CADASTROS!$L$7:$L$93,D2369,CADASTROS!$D$7:$D$93,E2369)=0,"INCOMPATÍVEL","OK"))))</f>
        <v/>
      </c>
    </row>
    <row r="2370" spans="1:11" ht="30" hidden="1" customHeight="1" x14ac:dyDescent="0.25">
      <c r="A2370" s="86" t="str">
        <f>IF(COUNTIF(EXTRATO!$A$2:$A$3000,"BAN-02227")=0,"","BAN-02227")</f>
        <v/>
      </c>
      <c r="B2370" s="85" t="str">
        <f>IF(A2370="","",IF(INDEX(EXTRATO!$C$2:$C$3000,MATCH($A2370,EXTRATO!$A$2:$A$3000,0))="","",INDEX(EXTRATO!$C$2:$C$3000,MATCH($A2370,EXTRATO!$A$2:$A$3000,0))))</f>
        <v/>
      </c>
      <c r="C2370" s="86" t="str">
        <f t="shared" si="60"/>
        <v/>
      </c>
      <c r="D2370" s="81"/>
      <c r="E2370" s="79"/>
      <c r="F2370" s="80" t="str">
        <f>IF(A2370="","",SUMIF(EXTRATO!$A$2:$A$3000,$A2370,EXTRATO!$J$2:$J$3000)+SUMIF(EXTRATO!$A$2:$A$3000,$A2370,EXTRATO!$K$2:$K$3000)+SUMIF(EXTRATO!$A$2:$A$3000,$A2370,EXTRATO!$L$2:$L$3000)+SUMIF(EXTRATO!$A$2:$A$3000,$A2370,EXTRATO!$M$2:$M$3000))</f>
        <v/>
      </c>
      <c r="G2370" s="81" t="str">
        <f>IF(A2370="","",IF(INDEX(EXTRATO!$G$2:$G$3000,MATCH($A2370,EXTRATO!$A$2:$A$3000,0))="","",INDEX(EXTRATO!$G$2:$G$3000,MATCH($A2370,EXTRATO!$A$2:$A$3000,0))))</f>
        <v/>
      </c>
      <c r="H2370" s="86" t="str">
        <f>IF(A2370="","",IF(INDEX(EXTRATO!$F$2:$F$3000,MATCH($A2370,EXTRATO!$A$2:$A$3000,0))="","",INDEX(EXTRATO!$F$2:$F$3000,MATCH($A2370,EXTRATO!$A$2:$A$3000,0))))</f>
        <v/>
      </c>
      <c r="I2370" s="88" t="str">
        <f>IF(A2370="","",IF(INDEX(EXTRATO!$H$2:$H$3000,MATCH($A2370,EXTRATO!$A$2:$A$3000,0))="","",INDEX(EXTRATO!$H$2:$H$3000,MATCH($A2370,EXTRATO!$A$2:$A$3000,0))))</f>
        <v/>
      </c>
      <c r="J2370" s="86" t="str">
        <f t="shared" si="61"/>
        <v/>
      </c>
      <c r="K2370" s="86" t="str">
        <f>IF(AND(A2370="",D2370="",E2370="",F2370=""),"",IF(D2370="","SEM CATEGORIA",IF(E2370="","SEM SUBCATEGORIA",IF(COUNTIFS(CADASTROS!$L$7:$L$93,D2370,CADASTROS!$D$7:$D$93,E2370)=0,"INCOMPATÍVEL","OK"))))</f>
        <v/>
      </c>
    </row>
    <row r="2371" spans="1:11" ht="30" hidden="1" customHeight="1" x14ac:dyDescent="0.25">
      <c r="A2371" s="86" t="str">
        <f>IF(COUNTIF(EXTRATO!$A$2:$A$3000,"BAN-02228")=0,"","BAN-02228")</f>
        <v/>
      </c>
      <c r="B2371" s="85" t="str">
        <f>IF(A2371="","",IF(INDEX(EXTRATO!$C$2:$C$3000,MATCH($A2371,EXTRATO!$A$2:$A$3000,0))="","",INDEX(EXTRATO!$C$2:$C$3000,MATCH($A2371,EXTRATO!$A$2:$A$3000,0))))</f>
        <v/>
      </c>
      <c r="C2371" s="86" t="str">
        <f t="shared" si="60"/>
        <v/>
      </c>
      <c r="D2371" s="81"/>
      <c r="E2371" s="79"/>
      <c r="F2371" s="80" t="str">
        <f>IF(A2371="","",SUMIF(EXTRATO!$A$2:$A$3000,$A2371,EXTRATO!$J$2:$J$3000)+SUMIF(EXTRATO!$A$2:$A$3000,$A2371,EXTRATO!$K$2:$K$3000)+SUMIF(EXTRATO!$A$2:$A$3000,$A2371,EXTRATO!$L$2:$L$3000)+SUMIF(EXTRATO!$A$2:$A$3000,$A2371,EXTRATO!$M$2:$M$3000))</f>
        <v/>
      </c>
      <c r="G2371" s="81" t="str">
        <f>IF(A2371="","",IF(INDEX(EXTRATO!$G$2:$G$3000,MATCH($A2371,EXTRATO!$A$2:$A$3000,0))="","",INDEX(EXTRATO!$G$2:$G$3000,MATCH($A2371,EXTRATO!$A$2:$A$3000,0))))</f>
        <v/>
      </c>
      <c r="H2371" s="86" t="str">
        <f>IF(A2371="","",IF(INDEX(EXTRATO!$F$2:$F$3000,MATCH($A2371,EXTRATO!$A$2:$A$3000,0))="","",INDEX(EXTRATO!$F$2:$F$3000,MATCH($A2371,EXTRATO!$A$2:$A$3000,0))))</f>
        <v/>
      </c>
      <c r="I2371" s="88" t="str">
        <f>IF(A2371="","",IF(INDEX(EXTRATO!$H$2:$H$3000,MATCH($A2371,EXTRATO!$A$2:$A$3000,0))="","",INDEX(EXTRATO!$H$2:$H$3000,MATCH($A2371,EXTRATO!$A$2:$A$3000,0))))</f>
        <v/>
      </c>
      <c r="J2371" s="86" t="str">
        <f t="shared" si="61"/>
        <v/>
      </c>
      <c r="K2371" s="86" t="str">
        <f>IF(AND(A2371="",D2371="",E2371="",F2371=""),"",IF(D2371="","SEM CATEGORIA",IF(E2371="","SEM SUBCATEGORIA",IF(COUNTIFS(CADASTROS!$L$7:$L$93,D2371,CADASTROS!$D$7:$D$93,E2371)=0,"INCOMPATÍVEL","OK"))))</f>
        <v/>
      </c>
    </row>
    <row r="2372" spans="1:11" ht="30" hidden="1" customHeight="1" x14ac:dyDescent="0.25">
      <c r="A2372" s="86" t="str">
        <f>IF(COUNTIF(EXTRATO!$A$2:$A$3000,"BAN-02229")=0,"","BAN-02229")</f>
        <v/>
      </c>
      <c r="B2372" s="85" t="str">
        <f>IF(A2372="","",IF(INDEX(EXTRATO!$C$2:$C$3000,MATCH($A2372,EXTRATO!$A$2:$A$3000,0))="","",INDEX(EXTRATO!$C$2:$C$3000,MATCH($A2372,EXTRATO!$A$2:$A$3000,0))))</f>
        <v/>
      </c>
      <c r="C2372" s="86" t="str">
        <f t="shared" si="60"/>
        <v/>
      </c>
      <c r="D2372" s="81"/>
      <c r="E2372" s="79"/>
      <c r="F2372" s="80" t="str">
        <f>IF(A2372="","",SUMIF(EXTRATO!$A$2:$A$3000,$A2372,EXTRATO!$J$2:$J$3000)+SUMIF(EXTRATO!$A$2:$A$3000,$A2372,EXTRATO!$K$2:$K$3000)+SUMIF(EXTRATO!$A$2:$A$3000,$A2372,EXTRATO!$L$2:$L$3000)+SUMIF(EXTRATO!$A$2:$A$3000,$A2372,EXTRATO!$M$2:$M$3000))</f>
        <v/>
      </c>
      <c r="G2372" s="81" t="str">
        <f>IF(A2372="","",IF(INDEX(EXTRATO!$G$2:$G$3000,MATCH($A2372,EXTRATO!$A$2:$A$3000,0))="","",INDEX(EXTRATO!$G$2:$G$3000,MATCH($A2372,EXTRATO!$A$2:$A$3000,0))))</f>
        <v/>
      </c>
      <c r="H2372" s="86" t="str">
        <f>IF(A2372="","",IF(INDEX(EXTRATO!$F$2:$F$3000,MATCH($A2372,EXTRATO!$A$2:$A$3000,0))="","",INDEX(EXTRATO!$F$2:$F$3000,MATCH($A2372,EXTRATO!$A$2:$A$3000,0))))</f>
        <v/>
      </c>
      <c r="I2372" s="88" t="str">
        <f>IF(A2372="","",IF(INDEX(EXTRATO!$H$2:$H$3000,MATCH($A2372,EXTRATO!$A$2:$A$3000,0))="","",INDEX(EXTRATO!$H$2:$H$3000,MATCH($A2372,EXTRATO!$A$2:$A$3000,0))))</f>
        <v/>
      </c>
      <c r="J2372" s="86" t="str">
        <f t="shared" si="61"/>
        <v/>
      </c>
      <c r="K2372" s="86" t="str">
        <f>IF(AND(A2372="",D2372="",E2372="",F2372=""),"",IF(D2372="","SEM CATEGORIA",IF(E2372="","SEM SUBCATEGORIA",IF(COUNTIFS(CADASTROS!$L$7:$L$93,D2372,CADASTROS!$D$7:$D$93,E2372)=0,"INCOMPATÍVEL","OK"))))</f>
        <v/>
      </c>
    </row>
    <row r="2373" spans="1:11" ht="30" hidden="1" customHeight="1" x14ac:dyDescent="0.25">
      <c r="A2373" s="86" t="str">
        <f>IF(COUNTIF(EXTRATO!$A$2:$A$3000,"BAN-02230")=0,"","BAN-02230")</f>
        <v/>
      </c>
      <c r="B2373" s="85" t="str">
        <f>IF(A2373="","",IF(INDEX(EXTRATO!$C$2:$C$3000,MATCH($A2373,EXTRATO!$A$2:$A$3000,0))="","",INDEX(EXTRATO!$C$2:$C$3000,MATCH($A2373,EXTRATO!$A$2:$A$3000,0))))</f>
        <v/>
      </c>
      <c r="C2373" s="86" t="str">
        <f t="shared" si="60"/>
        <v/>
      </c>
      <c r="D2373" s="81"/>
      <c r="E2373" s="79"/>
      <c r="F2373" s="80" t="str">
        <f>IF(A2373="","",SUMIF(EXTRATO!$A$2:$A$3000,$A2373,EXTRATO!$J$2:$J$3000)+SUMIF(EXTRATO!$A$2:$A$3000,$A2373,EXTRATO!$K$2:$K$3000)+SUMIF(EXTRATO!$A$2:$A$3000,$A2373,EXTRATO!$L$2:$L$3000)+SUMIF(EXTRATO!$A$2:$A$3000,$A2373,EXTRATO!$M$2:$M$3000))</f>
        <v/>
      </c>
      <c r="G2373" s="81" t="str">
        <f>IF(A2373="","",IF(INDEX(EXTRATO!$G$2:$G$3000,MATCH($A2373,EXTRATO!$A$2:$A$3000,0))="","",INDEX(EXTRATO!$G$2:$G$3000,MATCH($A2373,EXTRATO!$A$2:$A$3000,0))))</f>
        <v/>
      </c>
      <c r="H2373" s="86" t="str">
        <f>IF(A2373="","",IF(INDEX(EXTRATO!$F$2:$F$3000,MATCH($A2373,EXTRATO!$A$2:$A$3000,0))="","",INDEX(EXTRATO!$F$2:$F$3000,MATCH($A2373,EXTRATO!$A$2:$A$3000,0))))</f>
        <v/>
      </c>
      <c r="I2373" s="88" t="str">
        <f>IF(A2373="","",IF(INDEX(EXTRATO!$H$2:$H$3000,MATCH($A2373,EXTRATO!$A$2:$A$3000,0))="","",INDEX(EXTRATO!$H$2:$H$3000,MATCH($A2373,EXTRATO!$A$2:$A$3000,0))))</f>
        <v/>
      </c>
      <c r="J2373" s="86" t="str">
        <f t="shared" si="61"/>
        <v/>
      </c>
      <c r="K2373" s="86" t="str">
        <f>IF(AND(A2373="",D2373="",E2373="",F2373=""),"",IF(D2373="","SEM CATEGORIA",IF(E2373="","SEM SUBCATEGORIA",IF(COUNTIFS(CADASTROS!$L$7:$L$93,D2373,CADASTROS!$D$7:$D$93,E2373)=0,"INCOMPATÍVEL","OK"))))</f>
        <v/>
      </c>
    </row>
    <row r="2374" spans="1:11" ht="30" hidden="1" customHeight="1" x14ac:dyDescent="0.25">
      <c r="A2374" s="86" t="str">
        <f>IF(COUNTIF(EXTRATO!$A$2:$A$3000,"BAN-02231")=0,"","BAN-02231")</f>
        <v/>
      </c>
      <c r="B2374" s="85" t="str">
        <f>IF(A2374="","",IF(INDEX(EXTRATO!$C$2:$C$3000,MATCH($A2374,EXTRATO!$A$2:$A$3000,0))="","",INDEX(EXTRATO!$C$2:$C$3000,MATCH($A2374,EXTRATO!$A$2:$A$3000,0))))</f>
        <v/>
      </c>
      <c r="C2374" s="86" t="str">
        <f t="shared" si="60"/>
        <v/>
      </c>
      <c r="D2374" s="81"/>
      <c r="E2374" s="79"/>
      <c r="F2374" s="80" t="str">
        <f>IF(A2374="","",SUMIF(EXTRATO!$A$2:$A$3000,$A2374,EXTRATO!$J$2:$J$3000)+SUMIF(EXTRATO!$A$2:$A$3000,$A2374,EXTRATO!$K$2:$K$3000)+SUMIF(EXTRATO!$A$2:$A$3000,$A2374,EXTRATO!$L$2:$L$3000)+SUMIF(EXTRATO!$A$2:$A$3000,$A2374,EXTRATO!$M$2:$M$3000))</f>
        <v/>
      </c>
      <c r="G2374" s="81" t="str">
        <f>IF(A2374="","",IF(INDEX(EXTRATO!$G$2:$G$3000,MATCH($A2374,EXTRATO!$A$2:$A$3000,0))="","",INDEX(EXTRATO!$G$2:$G$3000,MATCH($A2374,EXTRATO!$A$2:$A$3000,0))))</f>
        <v/>
      </c>
      <c r="H2374" s="86" t="str">
        <f>IF(A2374="","",IF(INDEX(EXTRATO!$F$2:$F$3000,MATCH($A2374,EXTRATO!$A$2:$A$3000,0))="","",INDEX(EXTRATO!$F$2:$F$3000,MATCH($A2374,EXTRATO!$A$2:$A$3000,0))))</f>
        <v/>
      </c>
      <c r="I2374" s="88" t="str">
        <f>IF(A2374="","",IF(INDEX(EXTRATO!$H$2:$H$3000,MATCH($A2374,EXTRATO!$A$2:$A$3000,0))="","",INDEX(EXTRATO!$H$2:$H$3000,MATCH($A2374,EXTRATO!$A$2:$A$3000,0))))</f>
        <v/>
      </c>
      <c r="J2374" s="86" t="str">
        <f t="shared" si="61"/>
        <v/>
      </c>
      <c r="K2374" s="86" t="str">
        <f>IF(AND(A2374="",D2374="",E2374="",F2374=""),"",IF(D2374="","SEM CATEGORIA",IF(E2374="","SEM SUBCATEGORIA",IF(COUNTIFS(CADASTROS!$L$7:$L$93,D2374,CADASTROS!$D$7:$D$93,E2374)=0,"INCOMPATÍVEL","OK"))))</f>
        <v/>
      </c>
    </row>
    <row r="2375" spans="1:11" ht="30" hidden="1" customHeight="1" x14ac:dyDescent="0.25">
      <c r="A2375" s="86" t="str">
        <f>IF(COUNTIF(EXTRATO!$A$2:$A$3000,"BAN-02232")=0,"","BAN-02232")</f>
        <v/>
      </c>
      <c r="B2375" s="85" t="str">
        <f>IF(A2375="","",IF(INDEX(EXTRATO!$C$2:$C$3000,MATCH($A2375,EXTRATO!$A$2:$A$3000,0))="","",INDEX(EXTRATO!$C$2:$C$3000,MATCH($A2375,EXTRATO!$A$2:$A$3000,0))))</f>
        <v/>
      </c>
      <c r="C2375" s="86" t="str">
        <f t="shared" si="60"/>
        <v/>
      </c>
      <c r="D2375" s="81"/>
      <c r="E2375" s="79"/>
      <c r="F2375" s="80" t="str">
        <f>IF(A2375="","",SUMIF(EXTRATO!$A$2:$A$3000,$A2375,EXTRATO!$J$2:$J$3000)+SUMIF(EXTRATO!$A$2:$A$3000,$A2375,EXTRATO!$K$2:$K$3000)+SUMIF(EXTRATO!$A$2:$A$3000,$A2375,EXTRATO!$L$2:$L$3000)+SUMIF(EXTRATO!$A$2:$A$3000,$A2375,EXTRATO!$M$2:$M$3000))</f>
        <v/>
      </c>
      <c r="G2375" s="81" t="str">
        <f>IF(A2375="","",IF(INDEX(EXTRATO!$G$2:$G$3000,MATCH($A2375,EXTRATO!$A$2:$A$3000,0))="","",INDEX(EXTRATO!$G$2:$G$3000,MATCH($A2375,EXTRATO!$A$2:$A$3000,0))))</f>
        <v/>
      </c>
      <c r="H2375" s="86" t="str">
        <f>IF(A2375="","",IF(INDEX(EXTRATO!$F$2:$F$3000,MATCH($A2375,EXTRATO!$A$2:$A$3000,0))="","",INDEX(EXTRATO!$F$2:$F$3000,MATCH($A2375,EXTRATO!$A$2:$A$3000,0))))</f>
        <v/>
      </c>
      <c r="I2375" s="88" t="str">
        <f>IF(A2375="","",IF(INDEX(EXTRATO!$H$2:$H$3000,MATCH($A2375,EXTRATO!$A$2:$A$3000,0))="","",INDEX(EXTRATO!$H$2:$H$3000,MATCH($A2375,EXTRATO!$A$2:$A$3000,0))))</f>
        <v/>
      </c>
      <c r="J2375" s="86" t="str">
        <f t="shared" si="61"/>
        <v/>
      </c>
      <c r="K2375" s="86" t="str">
        <f>IF(AND(A2375="",D2375="",E2375="",F2375=""),"",IF(D2375="","SEM CATEGORIA",IF(E2375="","SEM SUBCATEGORIA",IF(COUNTIFS(CADASTROS!$L$7:$L$93,D2375,CADASTROS!$D$7:$D$93,E2375)=0,"INCOMPATÍVEL","OK"))))</f>
        <v/>
      </c>
    </row>
    <row r="2376" spans="1:11" ht="30" hidden="1" customHeight="1" x14ac:dyDescent="0.25">
      <c r="A2376" s="86" t="str">
        <f>IF(COUNTIF(EXTRATO!$A$2:$A$3000,"BAN-02233")=0,"","BAN-02233")</f>
        <v/>
      </c>
      <c r="B2376" s="85" t="str">
        <f>IF(A2376="","",IF(INDEX(EXTRATO!$C$2:$C$3000,MATCH($A2376,EXTRATO!$A$2:$A$3000,0))="","",INDEX(EXTRATO!$C$2:$C$3000,MATCH($A2376,EXTRATO!$A$2:$A$3000,0))))</f>
        <v/>
      </c>
      <c r="C2376" s="86" t="str">
        <f t="shared" si="60"/>
        <v/>
      </c>
      <c r="D2376" s="81"/>
      <c r="E2376" s="79"/>
      <c r="F2376" s="80" t="str">
        <f>IF(A2376="","",SUMIF(EXTRATO!$A$2:$A$3000,$A2376,EXTRATO!$J$2:$J$3000)+SUMIF(EXTRATO!$A$2:$A$3000,$A2376,EXTRATO!$K$2:$K$3000)+SUMIF(EXTRATO!$A$2:$A$3000,$A2376,EXTRATO!$L$2:$L$3000)+SUMIF(EXTRATO!$A$2:$A$3000,$A2376,EXTRATO!$M$2:$M$3000))</f>
        <v/>
      </c>
      <c r="G2376" s="81" t="str">
        <f>IF(A2376="","",IF(INDEX(EXTRATO!$G$2:$G$3000,MATCH($A2376,EXTRATO!$A$2:$A$3000,0))="","",INDEX(EXTRATO!$G$2:$G$3000,MATCH($A2376,EXTRATO!$A$2:$A$3000,0))))</f>
        <v/>
      </c>
      <c r="H2376" s="86" t="str">
        <f>IF(A2376="","",IF(INDEX(EXTRATO!$F$2:$F$3000,MATCH($A2376,EXTRATO!$A$2:$A$3000,0))="","",INDEX(EXTRATO!$F$2:$F$3000,MATCH($A2376,EXTRATO!$A$2:$A$3000,0))))</f>
        <v/>
      </c>
      <c r="I2376" s="88" t="str">
        <f>IF(A2376="","",IF(INDEX(EXTRATO!$H$2:$H$3000,MATCH($A2376,EXTRATO!$A$2:$A$3000,0))="","",INDEX(EXTRATO!$H$2:$H$3000,MATCH($A2376,EXTRATO!$A$2:$A$3000,0))))</f>
        <v/>
      </c>
      <c r="J2376" s="86" t="str">
        <f t="shared" si="61"/>
        <v/>
      </c>
      <c r="K2376" s="86" t="str">
        <f>IF(AND(A2376="",D2376="",E2376="",F2376=""),"",IF(D2376="","SEM CATEGORIA",IF(E2376="","SEM SUBCATEGORIA",IF(COUNTIFS(CADASTROS!$L$7:$L$93,D2376,CADASTROS!$D$7:$D$93,E2376)=0,"INCOMPATÍVEL","OK"))))</f>
        <v/>
      </c>
    </row>
    <row r="2377" spans="1:11" ht="30" hidden="1" customHeight="1" x14ac:dyDescent="0.25">
      <c r="A2377" s="86" t="str">
        <f>IF(COUNTIF(EXTRATO!$A$2:$A$3000,"BAN-02234")=0,"","BAN-02234")</f>
        <v/>
      </c>
      <c r="B2377" s="85" t="str">
        <f>IF(A2377="","",IF(INDEX(EXTRATO!$C$2:$C$3000,MATCH($A2377,EXTRATO!$A$2:$A$3000,0))="","",INDEX(EXTRATO!$C$2:$C$3000,MATCH($A2377,EXTRATO!$A$2:$A$3000,0))))</f>
        <v/>
      </c>
      <c r="C2377" s="86" t="str">
        <f t="shared" si="60"/>
        <v/>
      </c>
      <c r="D2377" s="81"/>
      <c r="E2377" s="79"/>
      <c r="F2377" s="80" t="str">
        <f>IF(A2377="","",SUMIF(EXTRATO!$A$2:$A$3000,$A2377,EXTRATO!$J$2:$J$3000)+SUMIF(EXTRATO!$A$2:$A$3000,$A2377,EXTRATO!$K$2:$K$3000)+SUMIF(EXTRATO!$A$2:$A$3000,$A2377,EXTRATO!$L$2:$L$3000)+SUMIF(EXTRATO!$A$2:$A$3000,$A2377,EXTRATO!$M$2:$M$3000))</f>
        <v/>
      </c>
      <c r="G2377" s="81" t="str">
        <f>IF(A2377="","",IF(INDEX(EXTRATO!$G$2:$G$3000,MATCH($A2377,EXTRATO!$A$2:$A$3000,0))="","",INDEX(EXTRATO!$G$2:$G$3000,MATCH($A2377,EXTRATO!$A$2:$A$3000,0))))</f>
        <v/>
      </c>
      <c r="H2377" s="86" t="str">
        <f>IF(A2377="","",IF(INDEX(EXTRATO!$F$2:$F$3000,MATCH($A2377,EXTRATO!$A$2:$A$3000,0))="","",INDEX(EXTRATO!$F$2:$F$3000,MATCH($A2377,EXTRATO!$A$2:$A$3000,0))))</f>
        <v/>
      </c>
      <c r="I2377" s="88" t="str">
        <f>IF(A2377="","",IF(INDEX(EXTRATO!$H$2:$H$3000,MATCH($A2377,EXTRATO!$A$2:$A$3000,0))="","",INDEX(EXTRATO!$H$2:$H$3000,MATCH($A2377,EXTRATO!$A$2:$A$3000,0))))</f>
        <v/>
      </c>
      <c r="J2377" s="86" t="str">
        <f t="shared" si="61"/>
        <v/>
      </c>
      <c r="K2377" s="86" t="str">
        <f>IF(AND(A2377="",D2377="",E2377="",F2377=""),"",IF(D2377="","SEM CATEGORIA",IF(E2377="","SEM SUBCATEGORIA",IF(COUNTIFS(CADASTROS!$L$7:$L$93,D2377,CADASTROS!$D$7:$D$93,E2377)=0,"INCOMPATÍVEL","OK"))))</f>
        <v/>
      </c>
    </row>
    <row r="2378" spans="1:11" ht="30" hidden="1" customHeight="1" x14ac:dyDescent="0.25">
      <c r="A2378" s="86" t="str">
        <f>IF(COUNTIF(EXTRATO!$A$2:$A$3000,"BAN-02235")=0,"","BAN-02235")</f>
        <v/>
      </c>
      <c r="B2378" s="85" t="str">
        <f>IF(A2378="","",IF(INDEX(EXTRATO!$C$2:$C$3000,MATCH($A2378,EXTRATO!$A$2:$A$3000,0))="","",INDEX(EXTRATO!$C$2:$C$3000,MATCH($A2378,EXTRATO!$A$2:$A$3000,0))))</f>
        <v/>
      </c>
      <c r="C2378" s="86" t="str">
        <f t="shared" si="60"/>
        <v/>
      </c>
      <c r="D2378" s="81"/>
      <c r="E2378" s="79"/>
      <c r="F2378" s="80" t="str">
        <f>IF(A2378="","",SUMIF(EXTRATO!$A$2:$A$3000,$A2378,EXTRATO!$J$2:$J$3000)+SUMIF(EXTRATO!$A$2:$A$3000,$A2378,EXTRATO!$K$2:$K$3000)+SUMIF(EXTRATO!$A$2:$A$3000,$A2378,EXTRATO!$L$2:$L$3000)+SUMIF(EXTRATO!$A$2:$A$3000,$A2378,EXTRATO!$M$2:$M$3000))</f>
        <v/>
      </c>
      <c r="G2378" s="81" t="str">
        <f>IF(A2378="","",IF(INDEX(EXTRATO!$G$2:$G$3000,MATCH($A2378,EXTRATO!$A$2:$A$3000,0))="","",INDEX(EXTRATO!$G$2:$G$3000,MATCH($A2378,EXTRATO!$A$2:$A$3000,0))))</f>
        <v/>
      </c>
      <c r="H2378" s="86" t="str">
        <f>IF(A2378="","",IF(INDEX(EXTRATO!$F$2:$F$3000,MATCH($A2378,EXTRATO!$A$2:$A$3000,0))="","",INDEX(EXTRATO!$F$2:$F$3000,MATCH($A2378,EXTRATO!$A$2:$A$3000,0))))</f>
        <v/>
      </c>
      <c r="I2378" s="88" t="str">
        <f>IF(A2378="","",IF(INDEX(EXTRATO!$H$2:$H$3000,MATCH($A2378,EXTRATO!$A$2:$A$3000,0))="","",INDEX(EXTRATO!$H$2:$H$3000,MATCH($A2378,EXTRATO!$A$2:$A$3000,0))))</f>
        <v/>
      </c>
      <c r="J2378" s="86" t="str">
        <f t="shared" si="61"/>
        <v/>
      </c>
      <c r="K2378" s="86" t="str">
        <f>IF(AND(A2378="",D2378="",E2378="",F2378=""),"",IF(D2378="","SEM CATEGORIA",IF(E2378="","SEM SUBCATEGORIA",IF(COUNTIFS(CADASTROS!$L$7:$L$93,D2378,CADASTROS!$D$7:$D$93,E2378)=0,"INCOMPATÍVEL","OK"))))</f>
        <v/>
      </c>
    </row>
    <row r="2379" spans="1:11" ht="30" hidden="1" customHeight="1" x14ac:dyDescent="0.25">
      <c r="A2379" s="86" t="str">
        <f>IF(COUNTIF(EXTRATO!$A$2:$A$3000,"BAN-02236")=0,"","BAN-02236")</f>
        <v/>
      </c>
      <c r="B2379" s="85" t="str">
        <f>IF(A2379="","",IF(INDEX(EXTRATO!$C$2:$C$3000,MATCH($A2379,EXTRATO!$A$2:$A$3000,0))="","",INDEX(EXTRATO!$C$2:$C$3000,MATCH($A2379,EXTRATO!$A$2:$A$3000,0))))</f>
        <v/>
      </c>
      <c r="C2379" s="86" t="str">
        <f t="shared" si="60"/>
        <v/>
      </c>
      <c r="D2379" s="81"/>
      <c r="E2379" s="79"/>
      <c r="F2379" s="80" t="str">
        <f>IF(A2379="","",SUMIF(EXTRATO!$A$2:$A$3000,$A2379,EXTRATO!$J$2:$J$3000)+SUMIF(EXTRATO!$A$2:$A$3000,$A2379,EXTRATO!$K$2:$K$3000)+SUMIF(EXTRATO!$A$2:$A$3000,$A2379,EXTRATO!$L$2:$L$3000)+SUMIF(EXTRATO!$A$2:$A$3000,$A2379,EXTRATO!$M$2:$M$3000))</f>
        <v/>
      </c>
      <c r="G2379" s="81" t="str">
        <f>IF(A2379="","",IF(INDEX(EXTRATO!$G$2:$G$3000,MATCH($A2379,EXTRATO!$A$2:$A$3000,0))="","",INDEX(EXTRATO!$G$2:$G$3000,MATCH($A2379,EXTRATO!$A$2:$A$3000,0))))</f>
        <v/>
      </c>
      <c r="H2379" s="86" t="str">
        <f>IF(A2379="","",IF(INDEX(EXTRATO!$F$2:$F$3000,MATCH($A2379,EXTRATO!$A$2:$A$3000,0))="","",INDEX(EXTRATO!$F$2:$F$3000,MATCH($A2379,EXTRATO!$A$2:$A$3000,0))))</f>
        <v/>
      </c>
      <c r="I2379" s="88" t="str">
        <f>IF(A2379="","",IF(INDEX(EXTRATO!$H$2:$H$3000,MATCH($A2379,EXTRATO!$A$2:$A$3000,0))="","",INDEX(EXTRATO!$H$2:$H$3000,MATCH($A2379,EXTRATO!$A$2:$A$3000,0))))</f>
        <v/>
      </c>
      <c r="J2379" s="86" t="str">
        <f t="shared" si="61"/>
        <v/>
      </c>
      <c r="K2379" s="86" t="str">
        <f>IF(AND(A2379="",D2379="",E2379="",F2379=""),"",IF(D2379="","SEM CATEGORIA",IF(E2379="","SEM SUBCATEGORIA",IF(COUNTIFS(CADASTROS!$L$7:$L$93,D2379,CADASTROS!$D$7:$D$93,E2379)=0,"INCOMPATÍVEL","OK"))))</f>
        <v/>
      </c>
    </row>
    <row r="2380" spans="1:11" ht="30" hidden="1" customHeight="1" x14ac:dyDescent="0.25">
      <c r="A2380" s="86" t="str">
        <f>IF(COUNTIF(EXTRATO!$A$2:$A$3000,"BAN-02237")=0,"","BAN-02237")</f>
        <v/>
      </c>
      <c r="B2380" s="85" t="str">
        <f>IF(A2380="","",IF(INDEX(EXTRATO!$C$2:$C$3000,MATCH($A2380,EXTRATO!$A$2:$A$3000,0))="","",INDEX(EXTRATO!$C$2:$C$3000,MATCH($A2380,EXTRATO!$A$2:$A$3000,0))))</f>
        <v/>
      </c>
      <c r="C2380" s="86" t="str">
        <f t="shared" si="60"/>
        <v/>
      </c>
      <c r="D2380" s="81"/>
      <c r="E2380" s="79"/>
      <c r="F2380" s="80" t="str">
        <f>IF(A2380="","",SUMIF(EXTRATO!$A$2:$A$3000,$A2380,EXTRATO!$J$2:$J$3000)+SUMIF(EXTRATO!$A$2:$A$3000,$A2380,EXTRATO!$K$2:$K$3000)+SUMIF(EXTRATO!$A$2:$A$3000,$A2380,EXTRATO!$L$2:$L$3000)+SUMIF(EXTRATO!$A$2:$A$3000,$A2380,EXTRATO!$M$2:$M$3000))</f>
        <v/>
      </c>
      <c r="G2380" s="81" t="str">
        <f>IF(A2380="","",IF(INDEX(EXTRATO!$G$2:$G$3000,MATCH($A2380,EXTRATO!$A$2:$A$3000,0))="","",INDEX(EXTRATO!$G$2:$G$3000,MATCH($A2380,EXTRATO!$A$2:$A$3000,0))))</f>
        <v/>
      </c>
      <c r="H2380" s="86" t="str">
        <f>IF(A2380="","",IF(INDEX(EXTRATO!$F$2:$F$3000,MATCH($A2380,EXTRATO!$A$2:$A$3000,0))="","",INDEX(EXTRATO!$F$2:$F$3000,MATCH($A2380,EXTRATO!$A$2:$A$3000,0))))</f>
        <v/>
      </c>
      <c r="I2380" s="88" t="str">
        <f>IF(A2380="","",IF(INDEX(EXTRATO!$H$2:$H$3000,MATCH($A2380,EXTRATO!$A$2:$A$3000,0))="","",INDEX(EXTRATO!$H$2:$H$3000,MATCH($A2380,EXTRATO!$A$2:$A$3000,0))))</f>
        <v/>
      </c>
      <c r="J2380" s="86" t="str">
        <f t="shared" si="61"/>
        <v/>
      </c>
      <c r="K2380" s="86" t="str">
        <f>IF(AND(A2380="",D2380="",E2380="",F2380=""),"",IF(D2380="","SEM CATEGORIA",IF(E2380="","SEM SUBCATEGORIA",IF(COUNTIFS(CADASTROS!$L$7:$L$93,D2380,CADASTROS!$D$7:$D$93,E2380)=0,"INCOMPATÍVEL","OK"))))</f>
        <v/>
      </c>
    </row>
    <row r="2381" spans="1:11" ht="30" hidden="1" customHeight="1" x14ac:dyDescent="0.25">
      <c r="A2381" s="86" t="str">
        <f>IF(COUNTIF(EXTRATO!$A$2:$A$3000,"BAN-02238")=0,"","BAN-02238")</f>
        <v/>
      </c>
      <c r="B2381" s="85" t="str">
        <f>IF(A2381="","",IF(INDEX(EXTRATO!$C$2:$C$3000,MATCH($A2381,EXTRATO!$A$2:$A$3000,0))="","",INDEX(EXTRATO!$C$2:$C$3000,MATCH($A2381,EXTRATO!$A$2:$A$3000,0))))</f>
        <v/>
      </c>
      <c r="C2381" s="86" t="str">
        <f t="shared" si="60"/>
        <v/>
      </c>
      <c r="D2381" s="81"/>
      <c r="E2381" s="79"/>
      <c r="F2381" s="80" t="str">
        <f>IF(A2381="","",SUMIF(EXTRATO!$A$2:$A$3000,$A2381,EXTRATO!$J$2:$J$3000)+SUMIF(EXTRATO!$A$2:$A$3000,$A2381,EXTRATO!$K$2:$K$3000)+SUMIF(EXTRATO!$A$2:$A$3000,$A2381,EXTRATO!$L$2:$L$3000)+SUMIF(EXTRATO!$A$2:$A$3000,$A2381,EXTRATO!$M$2:$M$3000))</f>
        <v/>
      </c>
      <c r="G2381" s="81" t="str">
        <f>IF(A2381="","",IF(INDEX(EXTRATO!$G$2:$G$3000,MATCH($A2381,EXTRATO!$A$2:$A$3000,0))="","",INDEX(EXTRATO!$G$2:$G$3000,MATCH($A2381,EXTRATO!$A$2:$A$3000,0))))</f>
        <v/>
      </c>
      <c r="H2381" s="86" t="str">
        <f>IF(A2381="","",IF(INDEX(EXTRATO!$F$2:$F$3000,MATCH($A2381,EXTRATO!$A$2:$A$3000,0))="","",INDEX(EXTRATO!$F$2:$F$3000,MATCH($A2381,EXTRATO!$A$2:$A$3000,0))))</f>
        <v/>
      </c>
      <c r="I2381" s="88" t="str">
        <f>IF(A2381="","",IF(INDEX(EXTRATO!$H$2:$H$3000,MATCH($A2381,EXTRATO!$A$2:$A$3000,0))="","",INDEX(EXTRATO!$H$2:$H$3000,MATCH($A2381,EXTRATO!$A$2:$A$3000,0))))</f>
        <v/>
      </c>
      <c r="J2381" s="86" t="str">
        <f t="shared" si="61"/>
        <v/>
      </c>
      <c r="K2381" s="86" t="str">
        <f>IF(AND(A2381="",D2381="",E2381="",F2381=""),"",IF(D2381="","SEM CATEGORIA",IF(E2381="","SEM SUBCATEGORIA",IF(COUNTIFS(CADASTROS!$L$7:$L$93,D2381,CADASTROS!$D$7:$D$93,E2381)=0,"INCOMPATÍVEL","OK"))))</f>
        <v/>
      </c>
    </row>
    <row r="2382" spans="1:11" ht="30" hidden="1" customHeight="1" x14ac:dyDescent="0.25">
      <c r="A2382" s="86" t="str">
        <f>IF(COUNTIF(EXTRATO!$A$2:$A$3000,"BAN-02239")=0,"","BAN-02239")</f>
        <v/>
      </c>
      <c r="B2382" s="85" t="str">
        <f>IF(A2382="","",IF(INDEX(EXTRATO!$C$2:$C$3000,MATCH($A2382,EXTRATO!$A$2:$A$3000,0))="","",INDEX(EXTRATO!$C$2:$C$3000,MATCH($A2382,EXTRATO!$A$2:$A$3000,0))))</f>
        <v/>
      </c>
      <c r="C2382" s="86" t="str">
        <f t="shared" si="60"/>
        <v/>
      </c>
      <c r="D2382" s="81"/>
      <c r="E2382" s="79"/>
      <c r="F2382" s="80" t="str">
        <f>IF(A2382="","",SUMIF(EXTRATO!$A$2:$A$3000,$A2382,EXTRATO!$J$2:$J$3000)+SUMIF(EXTRATO!$A$2:$A$3000,$A2382,EXTRATO!$K$2:$K$3000)+SUMIF(EXTRATO!$A$2:$A$3000,$A2382,EXTRATO!$L$2:$L$3000)+SUMIF(EXTRATO!$A$2:$A$3000,$A2382,EXTRATO!$M$2:$M$3000))</f>
        <v/>
      </c>
      <c r="G2382" s="81" t="str">
        <f>IF(A2382="","",IF(INDEX(EXTRATO!$G$2:$G$3000,MATCH($A2382,EXTRATO!$A$2:$A$3000,0))="","",INDEX(EXTRATO!$G$2:$G$3000,MATCH($A2382,EXTRATO!$A$2:$A$3000,0))))</f>
        <v/>
      </c>
      <c r="H2382" s="86" t="str">
        <f>IF(A2382="","",IF(INDEX(EXTRATO!$F$2:$F$3000,MATCH($A2382,EXTRATO!$A$2:$A$3000,0))="","",INDEX(EXTRATO!$F$2:$F$3000,MATCH($A2382,EXTRATO!$A$2:$A$3000,0))))</f>
        <v/>
      </c>
      <c r="I2382" s="88" t="str">
        <f>IF(A2382="","",IF(INDEX(EXTRATO!$H$2:$H$3000,MATCH($A2382,EXTRATO!$A$2:$A$3000,0))="","",INDEX(EXTRATO!$H$2:$H$3000,MATCH($A2382,EXTRATO!$A$2:$A$3000,0))))</f>
        <v/>
      </c>
      <c r="J2382" s="86" t="str">
        <f t="shared" si="61"/>
        <v/>
      </c>
      <c r="K2382" s="86" t="str">
        <f>IF(AND(A2382="",D2382="",E2382="",F2382=""),"",IF(D2382="","SEM CATEGORIA",IF(E2382="","SEM SUBCATEGORIA",IF(COUNTIFS(CADASTROS!$L$7:$L$93,D2382,CADASTROS!$D$7:$D$93,E2382)=0,"INCOMPATÍVEL","OK"))))</f>
        <v/>
      </c>
    </row>
    <row r="2383" spans="1:11" ht="30" hidden="1" customHeight="1" x14ac:dyDescent="0.25">
      <c r="A2383" s="86" t="str">
        <f>IF(COUNTIF(EXTRATO!$A$2:$A$3000,"BAN-02240")=0,"","BAN-02240")</f>
        <v/>
      </c>
      <c r="B2383" s="85" t="str">
        <f>IF(A2383="","",IF(INDEX(EXTRATO!$C$2:$C$3000,MATCH($A2383,EXTRATO!$A$2:$A$3000,0))="","",INDEX(EXTRATO!$C$2:$C$3000,MATCH($A2383,EXTRATO!$A$2:$A$3000,0))))</f>
        <v/>
      </c>
      <c r="C2383" s="86" t="str">
        <f t="shared" si="60"/>
        <v/>
      </c>
      <c r="D2383" s="81"/>
      <c r="E2383" s="79"/>
      <c r="F2383" s="80" t="str">
        <f>IF(A2383="","",SUMIF(EXTRATO!$A$2:$A$3000,$A2383,EXTRATO!$J$2:$J$3000)+SUMIF(EXTRATO!$A$2:$A$3000,$A2383,EXTRATO!$K$2:$K$3000)+SUMIF(EXTRATO!$A$2:$A$3000,$A2383,EXTRATO!$L$2:$L$3000)+SUMIF(EXTRATO!$A$2:$A$3000,$A2383,EXTRATO!$M$2:$M$3000))</f>
        <v/>
      </c>
      <c r="G2383" s="81" t="str">
        <f>IF(A2383="","",IF(INDEX(EXTRATO!$G$2:$G$3000,MATCH($A2383,EXTRATO!$A$2:$A$3000,0))="","",INDEX(EXTRATO!$G$2:$G$3000,MATCH($A2383,EXTRATO!$A$2:$A$3000,0))))</f>
        <v/>
      </c>
      <c r="H2383" s="86" t="str">
        <f>IF(A2383="","",IF(INDEX(EXTRATO!$F$2:$F$3000,MATCH($A2383,EXTRATO!$A$2:$A$3000,0))="","",INDEX(EXTRATO!$F$2:$F$3000,MATCH($A2383,EXTRATO!$A$2:$A$3000,0))))</f>
        <v/>
      </c>
      <c r="I2383" s="88" t="str">
        <f>IF(A2383="","",IF(INDEX(EXTRATO!$H$2:$H$3000,MATCH($A2383,EXTRATO!$A$2:$A$3000,0))="","",INDEX(EXTRATO!$H$2:$H$3000,MATCH($A2383,EXTRATO!$A$2:$A$3000,0))))</f>
        <v/>
      </c>
      <c r="J2383" s="86" t="str">
        <f t="shared" si="61"/>
        <v/>
      </c>
      <c r="K2383" s="86" t="str">
        <f>IF(AND(A2383="",D2383="",E2383="",F2383=""),"",IF(D2383="","SEM CATEGORIA",IF(E2383="","SEM SUBCATEGORIA",IF(COUNTIFS(CADASTROS!$L$7:$L$93,D2383,CADASTROS!$D$7:$D$93,E2383)=0,"INCOMPATÍVEL","OK"))))</f>
        <v/>
      </c>
    </row>
    <row r="2384" spans="1:11" ht="30" hidden="1" customHeight="1" x14ac:dyDescent="0.25">
      <c r="A2384" s="86" t="str">
        <f>IF(COUNTIF(EXTRATO!$A$2:$A$3000,"BAN-02241")=0,"","BAN-02241")</f>
        <v/>
      </c>
      <c r="B2384" s="85" t="str">
        <f>IF(A2384="","",IF(INDEX(EXTRATO!$C$2:$C$3000,MATCH($A2384,EXTRATO!$A$2:$A$3000,0))="","",INDEX(EXTRATO!$C$2:$C$3000,MATCH($A2384,EXTRATO!$A$2:$A$3000,0))))</f>
        <v/>
      </c>
      <c r="C2384" s="86" t="str">
        <f t="shared" si="60"/>
        <v/>
      </c>
      <c r="D2384" s="81"/>
      <c r="E2384" s="79"/>
      <c r="F2384" s="80" t="str">
        <f>IF(A2384="","",SUMIF(EXTRATO!$A$2:$A$3000,$A2384,EXTRATO!$J$2:$J$3000)+SUMIF(EXTRATO!$A$2:$A$3000,$A2384,EXTRATO!$K$2:$K$3000)+SUMIF(EXTRATO!$A$2:$A$3000,$A2384,EXTRATO!$L$2:$L$3000)+SUMIF(EXTRATO!$A$2:$A$3000,$A2384,EXTRATO!$M$2:$M$3000))</f>
        <v/>
      </c>
      <c r="G2384" s="81" t="str">
        <f>IF(A2384="","",IF(INDEX(EXTRATO!$G$2:$G$3000,MATCH($A2384,EXTRATO!$A$2:$A$3000,0))="","",INDEX(EXTRATO!$G$2:$G$3000,MATCH($A2384,EXTRATO!$A$2:$A$3000,0))))</f>
        <v/>
      </c>
      <c r="H2384" s="86" t="str">
        <f>IF(A2384="","",IF(INDEX(EXTRATO!$F$2:$F$3000,MATCH($A2384,EXTRATO!$A$2:$A$3000,0))="","",INDEX(EXTRATO!$F$2:$F$3000,MATCH($A2384,EXTRATO!$A$2:$A$3000,0))))</f>
        <v/>
      </c>
      <c r="I2384" s="88" t="str">
        <f>IF(A2384="","",IF(INDEX(EXTRATO!$H$2:$H$3000,MATCH($A2384,EXTRATO!$A$2:$A$3000,0))="","",INDEX(EXTRATO!$H$2:$H$3000,MATCH($A2384,EXTRATO!$A$2:$A$3000,0))))</f>
        <v/>
      </c>
      <c r="J2384" s="86" t="str">
        <f t="shared" si="61"/>
        <v/>
      </c>
      <c r="K2384" s="86" t="str">
        <f>IF(AND(A2384="",D2384="",E2384="",F2384=""),"",IF(D2384="","SEM CATEGORIA",IF(E2384="","SEM SUBCATEGORIA",IF(COUNTIFS(CADASTROS!$L$7:$L$93,D2384,CADASTROS!$D$7:$D$93,E2384)=0,"INCOMPATÍVEL","OK"))))</f>
        <v/>
      </c>
    </row>
    <row r="2385" spans="1:11" ht="30" hidden="1" customHeight="1" x14ac:dyDescent="0.25">
      <c r="A2385" s="86" t="str">
        <f>IF(COUNTIF(EXTRATO!$A$2:$A$3000,"BAN-02242")=0,"","BAN-02242")</f>
        <v/>
      </c>
      <c r="B2385" s="85" t="str">
        <f>IF(A2385="","",IF(INDEX(EXTRATO!$C$2:$C$3000,MATCH($A2385,EXTRATO!$A$2:$A$3000,0))="","",INDEX(EXTRATO!$C$2:$C$3000,MATCH($A2385,EXTRATO!$A$2:$A$3000,0))))</f>
        <v/>
      </c>
      <c r="C2385" s="86" t="str">
        <f t="shared" si="60"/>
        <v/>
      </c>
      <c r="D2385" s="81"/>
      <c r="E2385" s="79"/>
      <c r="F2385" s="80" t="str">
        <f>IF(A2385="","",SUMIF(EXTRATO!$A$2:$A$3000,$A2385,EXTRATO!$J$2:$J$3000)+SUMIF(EXTRATO!$A$2:$A$3000,$A2385,EXTRATO!$K$2:$K$3000)+SUMIF(EXTRATO!$A$2:$A$3000,$A2385,EXTRATO!$L$2:$L$3000)+SUMIF(EXTRATO!$A$2:$A$3000,$A2385,EXTRATO!$M$2:$M$3000))</f>
        <v/>
      </c>
      <c r="G2385" s="81" t="str">
        <f>IF(A2385="","",IF(INDEX(EXTRATO!$G$2:$G$3000,MATCH($A2385,EXTRATO!$A$2:$A$3000,0))="","",INDEX(EXTRATO!$G$2:$G$3000,MATCH($A2385,EXTRATO!$A$2:$A$3000,0))))</f>
        <v/>
      </c>
      <c r="H2385" s="86" t="str">
        <f>IF(A2385="","",IF(INDEX(EXTRATO!$F$2:$F$3000,MATCH($A2385,EXTRATO!$A$2:$A$3000,0))="","",INDEX(EXTRATO!$F$2:$F$3000,MATCH($A2385,EXTRATO!$A$2:$A$3000,0))))</f>
        <v/>
      </c>
      <c r="I2385" s="88" t="str">
        <f>IF(A2385="","",IF(INDEX(EXTRATO!$H$2:$H$3000,MATCH($A2385,EXTRATO!$A$2:$A$3000,0))="","",INDEX(EXTRATO!$H$2:$H$3000,MATCH($A2385,EXTRATO!$A$2:$A$3000,0))))</f>
        <v/>
      </c>
      <c r="J2385" s="86" t="str">
        <f t="shared" si="61"/>
        <v/>
      </c>
      <c r="K2385" s="86" t="str">
        <f>IF(AND(A2385="",D2385="",E2385="",F2385=""),"",IF(D2385="","SEM CATEGORIA",IF(E2385="","SEM SUBCATEGORIA",IF(COUNTIFS(CADASTROS!$L$7:$L$93,D2385,CADASTROS!$D$7:$D$93,E2385)=0,"INCOMPATÍVEL","OK"))))</f>
        <v/>
      </c>
    </row>
    <row r="2386" spans="1:11" ht="30" hidden="1" customHeight="1" x14ac:dyDescent="0.25">
      <c r="A2386" s="86" t="str">
        <f>IF(COUNTIF(EXTRATO!$A$2:$A$3000,"BAN-02243")=0,"","BAN-02243")</f>
        <v/>
      </c>
      <c r="B2386" s="85" t="str">
        <f>IF(A2386="","",IF(INDEX(EXTRATO!$C$2:$C$3000,MATCH($A2386,EXTRATO!$A$2:$A$3000,0))="","",INDEX(EXTRATO!$C$2:$C$3000,MATCH($A2386,EXTRATO!$A$2:$A$3000,0))))</f>
        <v/>
      </c>
      <c r="C2386" s="86" t="str">
        <f t="shared" si="60"/>
        <v/>
      </c>
      <c r="D2386" s="81"/>
      <c r="E2386" s="79"/>
      <c r="F2386" s="80" t="str">
        <f>IF(A2386="","",SUMIF(EXTRATO!$A$2:$A$3000,$A2386,EXTRATO!$J$2:$J$3000)+SUMIF(EXTRATO!$A$2:$A$3000,$A2386,EXTRATO!$K$2:$K$3000)+SUMIF(EXTRATO!$A$2:$A$3000,$A2386,EXTRATO!$L$2:$L$3000)+SUMIF(EXTRATO!$A$2:$A$3000,$A2386,EXTRATO!$M$2:$M$3000))</f>
        <v/>
      </c>
      <c r="G2386" s="81" t="str">
        <f>IF(A2386="","",IF(INDEX(EXTRATO!$G$2:$G$3000,MATCH($A2386,EXTRATO!$A$2:$A$3000,0))="","",INDEX(EXTRATO!$G$2:$G$3000,MATCH($A2386,EXTRATO!$A$2:$A$3000,0))))</f>
        <v/>
      </c>
      <c r="H2386" s="86" t="str">
        <f>IF(A2386="","",IF(INDEX(EXTRATO!$F$2:$F$3000,MATCH($A2386,EXTRATO!$A$2:$A$3000,0))="","",INDEX(EXTRATO!$F$2:$F$3000,MATCH($A2386,EXTRATO!$A$2:$A$3000,0))))</f>
        <v/>
      </c>
      <c r="I2386" s="88" t="str">
        <f>IF(A2386="","",IF(INDEX(EXTRATO!$H$2:$H$3000,MATCH($A2386,EXTRATO!$A$2:$A$3000,0))="","",INDEX(EXTRATO!$H$2:$H$3000,MATCH($A2386,EXTRATO!$A$2:$A$3000,0))))</f>
        <v/>
      </c>
      <c r="J2386" s="86" t="str">
        <f t="shared" si="61"/>
        <v/>
      </c>
      <c r="K2386" s="86" t="str">
        <f>IF(AND(A2386="",D2386="",E2386="",F2386=""),"",IF(D2386="","SEM CATEGORIA",IF(E2386="","SEM SUBCATEGORIA",IF(COUNTIFS(CADASTROS!$L$7:$L$93,D2386,CADASTROS!$D$7:$D$93,E2386)=0,"INCOMPATÍVEL","OK"))))</f>
        <v/>
      </c>
    </row>
    <row r="2387" spans="1:11" ht="30" hidden="1" customHeight="1" x14ac:dyDescent="0.25">
      <c r="A2387" s="86" t="str">
        <f>IF(COUNTIF(EXTRATO!$A$2:$A$3000,"BAN-02244")=0,"","BAN-02244")</f>
        <v/>
      </c>
      <c r="B2387" s="85" t="str">
        <f>IF(A2387="","",IF(INDEX(EXTRATO!$C$2:$C$3000,MATCH($A2387,EXTRATO!$A$2:$A$3000,0))="","",INDEX(EXTRATO!$C$2:$C$3000,MATCH($A2387,EXTRATO!$A$2:$A$3000,0))))</f>
        <v/>
      </c>
      <c r="C2387" s="86" t="str">
        <f t="shared" si="60"/>
        <v/>
      </c>
      <c r="D2387" s="81"/>
      <c r="E2387" s="79"/>
      <c r="F2387" s="80" t="str">
        <f>IF(A2387="","",SUMIF(EXTRATO!$A$2:$A$3000,$A2387,EXTRATO!$J$2:$J$3000)+SUMIF(EXTRATO!$A$2:$A$3000,$A2387,EXTRATO!$K$2:$K$3000)+SUMIF(EXTRATO!$A$2:$A$3000,$A2387,EXTRATO!$L$2:$L$3000)+SUMIF(EXTRATO!$A$2:$A$3000,$A2387,EXTRATO!$M$2:$M$3000))</f>
        <v/>
      </c>
      <c r="G2387" s="81" t="str">
        <f>IF(A2387="","",IF(INDEX(EXTRATO!$G$2:$G$3000,MATCH($A2387,EXTRATO!$A$2:$A$3000,0))="","",INDEX(EXTRATO!$G$2:$G$3000,MATCH($A2387,EXTRATO!$A$2:$A$3000,0))))</f>
        <v/>
      </c>
      <c r="H2387" s="86" t="str">
        <f>IF(A2387="","",IF(INDEX(EXTRATO!$F$2:$F$3000,MATCH($A2387,EXTRATO!$A$2:$A$3000,0))="","",INDEX(EXTRATO!$F$2:$F$3000,MATCH($A2387,EXTRATO!$A$2:$A$3000,0))))</f>
        <v/>
      </c>
      <c r="I2387" s="88" t="str">
        <f>IF(A2387="","",IF(INDEX(EXTRATO!$H$2:$H$3000,MATCH($A2387,EXTRATO!$A$2:$A$3000,0))="","",INDEX(EXTRATO!$H$2:$H$3000,MATCH($A2387,EXTRATO!$A$2:$A$3000,0))))</f>
        <v/>
      </c>
      <c r="J2387" s="86" t="str">
        <f t="shared" si="61"/>
        <v/>
      </c>
      <c r="K2387" s="86" t="str">
        <f>IF(AND(A2387="",D2387="",E2387="",F2387=""),"",IF(D2387="","SEM CATEGORIA",IF(E2387="","SEM SUBCATEGORIA",IF(COUNTIFS(CADASTROS!$L$7:$L$93,D2387,CADASTROS!$D$7:$D$93,E2387)=0,"INCOMPATÍVEL","OK"))))</f>
        <v/>
      </c>
    </row>
    <row r="2388" spans="1:11" ht="30" hidden="1" customHeight="1" x14ac:dyDescent="0.25">
      <c r="A2388" s="86" t="str">
        <f>IF(COUNTIF(EXTRATO!$A$2:$A$3000,"BAN-02245")=0,"","BAN-02245")</f>
        <v/>
      </c>
      <c r="B2388" s="85" t="str">
        <f>IF(A2388="","",IF(INDEX(EXTRATO!$C$2:$C$3000,MATCH($A2388,EXTRATO!$A$2:$A$3000,0))="","",INDEX(EXTRATO!$C$2:$C$3000,MATCH($A2388,EXTRATO!$A$2:$A$3000,0))))</f>
        <v/>
      </c>
      <c r="C2388" s="86" t="str">
        <f t="shared" si="60"/>
        <v/>
      </c>
      <c r="D2388" s="81"/>
      <c r="E2388" s="79"/>
      <c r="F2388" s="80" t="str">
        <f>IF(A2388="","",SUMIF(EXTRATO!$A$2:$A$3000,$A2388,EXTRATO!$J$2:$J$3000)+SUMIF(EXTRATO!$A$2:$A$3000,$A2388,EXTRATO!$K$2:$K$3000)+SUMIF(EXTRATO!$A$2:$A$3000,$A2388,EXTRATO!$L$2:$L$3000)+SUMIF(EXTRATO!$A$2:$A$3000,$A2388,EXTRATO!$M$2:$M$3000))</f>
        <v/>
      </c>
      <c r="G2388" s="81" t="str">
        <f>IF(A2388="","",IF(INDEX(EXTRATO!$G$2:$G$3000,MATCH($A2388,EXTRATO!$A$2:$A$3000,0))="","",INDEX(EXTRATO!$G$2:$G$3000,MATCH($A2388,EXTRATO!$A$2:$A$3000,0))))</f>
        <v/>
      </c>
      <c r="H2388" s="86" t="str">
        <f>IF(A2388="","",IF(INDEX(EXTRATO!$F$2:$F$3000,MATCH($A2388,EXTRATO!$A$2:$A$3000,0))="","",INDEX(EXTRATO!$F$2:$F$3000,MATCH($A2388,EXTRATO!$A$2:$A$3000,0))))</f>
        <v/>
      </c>
      <c r="I2388" s="88" t="str">
        <f>IF(A2388="","",IF(INDEX(EXTRATO!$H$2:$H$3000,MATCH($A2388,EXTRATO!$A$2:$A$3000,0))="","",INDEX(EXTRATO!$H$2:$H$3000,MATCH($A2388,EXTRATO!$A$2:$A$3000,0))))</f>
        <v/>
      </c>
      <c r="J2388" s="86" t="str">
        <f t="shared" si="61"/>
        <v/>
      </c>
      <c r="K2388" s="86" t="str">
        <f>IF(AND(A2388="",D2388="",E2388="",F2388=""),"",IF(D2388="","SEM CATEGORIA",IF(E2388="","SEM SUBCATEGORIA",IF(COUNTIFS(CADASTROS!$L$7:$L$93,D2388,CADASTROS!$D$7:$D$93,E2388)=0,"INCOMPATÍVEL","OK"))))</f>
        <v/>
      </c>
    </row>
    <row r="2389" spans="1:11" ht="30" hidden="1" customHeight="1" x14ac:dyDescent="0.25">
      <c r="A2389" s="86" t="str">
        <f>IF(COUNTIF(EXTRATO!$A$2:$A$3000,"BAN-02246")=0,"","BAN-02246")</f>
        <v/>
      </c>
      <c r="B2389" s="85" t="str">
        <f>IF(A2389="","",IF(INDEX(EXTRATO!$C$2:$C$3000,MATCH($A2389,EXTRATO!$A$2:$A$3000,0))="","",INDEX(EXTRATO!$C$2:$C$3000,MATCH($A2389,EXTRATO!$A$2:$A$3000,0))))</f>
        <v/>
      </c>
      <c r="C2389" s="86" t="str">
        <f t="shared" ref="C2389:C2452" si="62">IF(B2389="","",MONTH(B2389))</f>
        <v/>
      </c>
      <c r="D2389" s="81"/>
      <c r="E2389" s="79"/>
      <c r="F2389" s="80" t="str">
        <f>IF(A2389="","",SUMIF(EXTRATO!$A$2:$A$3000,$A2389,EXTRATO!$J$2:$J$3000)+SUMIF(EXTRATO!$A$2:$A$3000,$A2389,EXTRATO!$K$2:$K$3000)+SUMIF(EXTRATO!$A$2:$A$3000,$A2389,EXTRATO!$L$2:$L$3000)+SUMIF(EXTRATO!$A$2:$A$3000,$A2389,EXTRATO!$M$2:$M$3000))</f>
        <v/>
      </c>
      <c r="G2389" s="81" t="str">
        <f>IF(A2389="","",IF(INDEX(EXTRATO!$G$2:$G$3000,MATCH($A2389,EXTRATO!$A$2:$A$3000,0))="","",INDEX(EXTRATO!$G$2:$G$3000,MATCH($A2389,EXTRATO!$A$2:$A$3000,0))))</f>
        <v/>
      </c>
      <c r="H2389" s="86" t="str">
        <f>IF(A2389="","",IF(INDEX(EXTRATO!$F$2:$F$3000,MATCH($A2389,EXTRATO!$A$2:$A$3000,0))="","",INDEX(EXTRATO!$F$2:$F$3000,MATCH($A2389,EXTRATO!$A$2:$A$3000,0))))</f>
        <v/>
      </c>
      <c r="I2389" s="88" t="str">
        <f>IF(A2389="","",IF(INDEX(EXTRATO!$H$2:$H$3000,MATCH($A2389,EXTRATO!$A$2:$A$3000,0))="","",INDEX(EXTRATO!$H$2:$H$3000,MATCH($A2389,EXTRATO!$A$2:$A$3000,0))))</f>
        <v/>
      </c>
      <c r="J2389" s="86" t="str">
        <f t="shared" si="61"/>
        <v/>
      </c>
      <c r="K2389" s="86" t="str">
        <f>IF(AND(A2389="",D2389="",E2389="",F2389=""),"",IF(D2389="","SEM CATEGORIA",IF(E2389="","SEM SUBCATEGORIA",IF(COUNTIFS(CADASTROS!$L$7:$L$93,D2389,CADASTROS!$D$7:$D$93,E2389)=0,"INCOMPATÍVEL","OK"))))</f>
        <v/>
      </c>
    </row>
    <row r="2390" spans="1:11" ht="30" hidden="1" customHeight="1" x14ac:dyDescent="0.25">
      <c r="A2390" s="86" t="str">
        <f>IF(COUNTIF(EXTRATO!$A$2:$A$3000,"BAN-02247")=0,"","BAN-02247")</f>
        <v/>
      </c>
      <c r="B2390" s="85" t="str">
        <f>IF(A2390="","",IF(INDEX(EXTRATO!$C$2:$C$3000,MATCH($A2390,EXTRATO!$A$2:$A$3000,0))="","",INDEX(EXTRATO!$C$2:$C$3000,MATCH($A2390,EXTRATO!$A$2:$A$3000,0))))</f>
        <v/>
      </c>
      <c r="C2390" s="86" t="str">
        <f t="shared" si="62"/>
        <v/>
      </c>
      <c r="D2390" s="81"/>
      <c r="E2390" s="79"/>
      <c r="F2390" s="80" t="str">
        <f>IF(A2390="","",SUMIF(EXTRATO!$A$2:$A$3000,$A2390,EXTRATO!$J$2:$J$3000)+SUMIF(EXTRATO!$A$2:$A$3000,$A2390,EXTRATO!$K$2:$K$3000)+SUMIF(EXTRATO!$A$2:$A$3000,$A2390,EXTRATO!$L$2:$L$3000)+SUMIF(EXTRATO!$A$2:$A$3000,$A2390,EXTRATO!$M$2:$M$3000))</f>
        <v/>
      </c>
      <c r="G2390" s="81" t="str">
        <f>IF(A2390="","",IF(INDEX(EXTRATO!$G$2:$G$3000,MATCH($A2390,EXTRATO!$A$2:$A$3000,0))="","",INDEX(EXTRATO!$G$2:$G$3000,MATCH($A2390,EXTRATO!$A$2:$A$3000,0))))</f>
        <v/>
      </c>
      <c r="H2390" s="86" t="str">
        <f>IF(A2390="","",IF(INDEX(EXTRATO!$F$2:$F$3000,MATCH($A2390,EXTRATO!$A$2:$A$3000,0))="","",INDEX(EXTRATO!$F$2:$F$3000,MATCH($A2390,EXTRATO!$A$2:$A$3000,0))))</f>
        <v/>
      </c>
      <c r="I2390" s="88" t="str">
        <f>IF(A2390="","",IF(INDEX(EXTRATO!$H$2:$H$3000,MATCH($A2390,EXTRATO!$A$2:$A$3000,0))="","",INDEX(EXTRATO!$H$2:$H$3000,MATCH($A2390,EXTRATO!$A$2:$A$3000,0))))</f>
        <v/>
      </c>
      <c r="J2390" s="86" t="str">
        <f t="shared" si="61"/>
        <v/>
      </c>
      <c r="K2390" s="86" t="str">
        <f>IF(AND(A2390="",D2390="",E2390="",F2390=""),"",IF(D2390="","SEM CATEGORIA",IF(E2390="","SEM SUBCATEGORIA",IF(COUNTIFS(CADASTROS!$L$7:$L$93,D2390,CADASTROS!$D$7:$D$93,E2390)=0,"INCOMPATÍVEL","OK"))))</f>
        <v/>
      </c>
    </row>
    <row r="2391" spans="1:11" ht="30" hidden="1" customHeight="1" x14ac:dyDescent="0.25">
      <c r="A2391" s="86" t="str">
        <f>IF(COUNTIF(EXTRATO!$A$2:$A$3000,"BAN-02248")=0,"","BAN-02248")</f>
        <v/>
      </c>
      <c r="B2391" s="85" t="str">
        <f>IF(A2391="","",IF(INDEX(EXTRATO!$C$2:$C$3000,MATCH($A2391,EXTRATO!$A$2:$A$3000,0))="","",INDEX(EXTRATO!$C$2:$C$3000,MATCH($A2391,EXTRATO!$A$2:$A$3000,0))))</f>
        <v/>
      </c>
      <c r="C2391" s="86" t="str">
        <f t="shared" si="62"/>
        <v/>
      </c>
      <c r="D2391" s="81"/>
      <c r="E2391" s="79"/>
      <c r="F2391" s="80" t="str">
        <f>IF(A2391="","",SUMIF(EXTRATO!$A$2:$A$3000,$A2391,EXTRATO!$J$2:$J$3000)+SUMIF(EXTRATO!$A$2:$A$3000,$A2391,EXTRATO!$K$2:$K$3000)+SUMIF(EXTRATO!$A$2:$A$3000,$A2391,EXTRATO!$L$2:$L$3000)+SUMIF(EXTRATO!$A$2:$A$3000,$A2391,EXTRATO!$M$2:$M$3000))</f>
        <v/>
      </c>
      <c r="G2391" s="81" t="str">
        <f>IF(A2391="","",IF(INDEX(EXTRATO!$G$2:$G$3000,MATCH($A2391,EXTRATO!$A$2:$A$3000,0))="","",INDEX(EXTRATO!$G$2:$G$3000,MATCH($A2391,EXTRATO!$A$2:$A$3000,0))))</f>
        <v/>
      </c>
      <c r="H2391" s="86" t="str">
        <f>IF(A2391="","",IF(INDEX(EXTRATO!$F$2:$F$3000,MATCH($A2391,EXTRATO!$A$2:$A$3000,0))="","",INDEX(EXTRATO!$F$2:$F$3000,MATCH($A2391,EXTRATO!$A$2:$A$3000,0))))</f>
        <v/>
      </c>
      <c r="I2391" s="88" t="str">
        <f>IF(A2391="","",IF(INDEX(EXTRATO!$H$2:$H$3000,MATCH($A2391,EXTRATO!$A$2:$A$3000,0))="","",INDEX(EXTRATO!$H$2:$H$3000,MATCH($A2391,EXTRATO!$A$2:$A$3000,0))))</f>
        <v/>
      </c>
      <c r="J2391" s="86" t="str">
        <f t="shared" si="61"/>
        <v/>
      </c>
      <c r="K2391" s="86" t="str">
        <f>IF(AND(A2391="",D2391="",E2391="",F2391=""),"",IF(D2391="","SEM CATEGORIA",IF(E2391="","SEM SUBCATEGORIA",IF(COUNTIFS(CADASTROS!$L$7:$L$93,D2391,CADASTROS!$D$7:$D$93,E2391)=0,"INCOMPATÍVEL","OK"))))</f>
        <v/>
      </c>
    </row>
    <row r="2392" spans="1:11" ht="30" hidden="1" customHeight="1" x14ac:dyDescent="0.25">
      <c r="A2392" s="86" t="str">
        <f>IF(COUNTIF(EXTRATO!$A$2:$A$3000,"BAN-02249")=0,"","BAN-02249")</f>
        <v/>
      </c>
      <c r="B2392" s="85" t="str">
        <f>IF(A2392="","",IF(INDEX(EXTRATO!$C$2:$C$3000,MATCH($A2392,EXTRATO!$A$2:$A$3000,0))="","",INDEX(EXTRATO!$C$2:$C$3000,MATCH($A2392,EXTRATO!$A$2:$A$3000,0))))</f>
        <v/>
      </c>
      <c r="C2392" s="86" t="str">
        <f t="shared" si="62"/>
        <v/>
      </c>
      <c r="D2392" s="81"/>
      <c r="E2392" s="79"/>
      <c r="F2392" s="80" t="str">
        <f>IF(A2392="","",SUMIF(EXTRATO!$A$2:$A$3000,$A2392,EXTRATO!$J$2:$J$3000)+SUMIF(EXTRATO!$A$2:$A$3000,$A2392,EXTRATO!$K$2:$K$3000)+SUMIF(EXTRATO!$A$2:$A$3000,$A2392,EXTRATO!$L$2:$L$3000)+SUMIF(EXTRATO!$A$2:$A$3000,$A2392,EXTRATO!$M$2:$M$3000))</f>
        <v/>
      </c>
      <c r="G2392" s="81" t="str">
        <f>IF(A2392="","",IF(INDEX(EXTRATO!$G$2:$G$3000,MATCH($A2392,EXTRATO!$A$2:$A$3000,0))="","",INDEX(EXTRATO!$G$2:$G$3000,MATCH($A2392,EXTRATO!$A$2:$A$3000,0))))</f>
        <v/>
      </c>
      <c r="H2392" s="86" t="str">
        <f>IF(A2392="","",IF(INDEX(EXTRATO!$F$2:$F$3000,MATCH($A2392,EXTRATO!$A$2:$A$3000,0))="","",INDEX(EXTRATO!$F$2:$F$3000,MATCH($A2392,EXTRATO!$A$2:$A$3000,0))))</f>
        <v/>
      </c>
      <c r="I2392" s="88" t="str">
        <f>IF(A2392="","",IF(INDEX(EXTRATO!$H$2:$H$3000,MATCH($A2392,EXTRATO!$A$2:$A$3000,0))="","",INDEX(EXTRATO!$H$2:$H$3000,MATCH($A2392,EXTRATO!$A$2:$A$3000,0))))</f>
        <v/>
      </c>
      <c r="J2392" s="86" t="str">
        <f t="shared" si="61"/>
        <v/>
      </c>
      <c r="K2392" s="86" t="str">
        <f>IF(AND(A2392="",D2392="",E2392="",F2392=""),"",IF(D2392="","SEM CATEGORIA",IF(E2392="","SEM SUBCATEGORIA",IF(COUNTIFS(CADASTROS!$L$7:$L$93,D2392,CADASTROS!$D$7:$D$93,E2392)=0,"INCOMPATÍVEL","OK"))))</f>
        <v/>
      </c>
    </row>
    <row r="2393" spans="1:11" ht="30" hidden="1" customHeight="1" x14ac:dyDescent="0.25">
      <c r="A2393" s="86" t="str">
        <f>IF(COUNTIF(EXTRATO!$A$2:$A$3000,"BAN-02250")=0,"","BAN-02250")</f>
        <v/>
      </c>
      <c r="B2393" s="85" t="str">
        <f>IF(A2393="","",IF(INDEX(EXTRATO!$C$2:$C$3000,MATCH($A2393,EXTRATO!$A$2:$A$3000,0))="","",INDEX(EXTRATO!$C$2:$C$3000,MATCH($A2393,EXTRATO!$A$2:$A$3000,0))))</f>
        <v/>
      </c>
      <c r="C2393" s="86" t="str">
        <f t="shared" si="62"/>
        <v/>
      </c>
      <c r="D2393" s="81"/>
      <c r="E2393" s="79"/>
      <c r="F2393" s="80" t="str">
        <f>IF(A2393="","",SUMIF(EXTRATO!$A$2:$A$3000,$A2393,EXTRATO!$J$2:$J$3000)+SUMIF(EXTRATO!$A$2:$A$3000,$A2393,EXTRATO!$K$2:$K$3000)+SUMIF(EXTRATO!$A$2:$A$3000,$A2393,EXTRATO!$L$2:$L$3000)+SUMIF(EXTRATO!$A$2:$A$3000,$A2393,EXTRATO!$M$2:$M$3000))</f>
        <v/>
      </c>
      <c r="G2393" s="81" t="str">
        <f>IF(A2393="","",IF(INDEX(EXTRATO!$G$2:$G$3000,MATCH($A2393,EXTRATO!$A$2:$A$3000,0))="","",INDEX(EXTRATO!$G$2:$G$3000,MATCH($A2393,EXTRATO!$A$2:$A$3000,0))))</f>
        <v/>
      </c>
      <c r="H2393" s="86" t="str">
        <f>IF(A2393="","",IF(INDEX(EXTRATO!$F$2:$F$3000,MATCH($A2393,EXTRATO!$A$2:$A$3000,0))="","",INDEX(EXTRATO!$F$2:$F$3000,MATCH($A2393,EXTRATO!$A$2:$A$3000,0))))</f>
        <v/>
      </c>
      <c r="I2393" s="88" t="str">
        <f>IF(A2393="","",IF(INDEX(EXTRATO!$H$2:$H$3000,MATCH($A2393,EXTRATO!$A$2:$A$3000,0))="","",INDEX(EXTRATO!$H$2:$H$3000,MATCH($A2393,EXTRATO!$A$2:$A$3000,0))))</f>
        <v/>
      </c>
      <c r="J2393" s="86" t="str">
        <f t="shared" si="61"/>
        <v/>
      </c>
      <c r="K2393" s="86" t="str">
        <f>IF(AND(A2393="",D2393="",E2393="",F2393=""),"",IF(D2393="","SEM CATEGORIA",IF(E2393="","SEM SUBCATEGORIA",IF(COUNTIFS(CADASTROS!$L$7:$L$93,D2393,CADASTROS!$D$7:$D$93,E2393)=0,"INCOMPATÍVEL","OK"))))</f>
        <v/>
      </c>
    </row>
    <row r="2394" spans="1:11" ht="30" hidden="1" customHeight="1" x14ac:dyDescent="0.25">
      <c r="A2394" s="86" t="str">
        <f>IF(COUNTIF(EXTRATO!$A$2:$A$3000,"BAN-02251")=0,"","BAN-02251")</f>
        <v/>
      </c>
      <c r="B2394" s="85" t="str">
        <f>IF(A2394="","",IF(INDEX(EXTRATO!$C$2:$C$3000,MATCH($A2394,EXTRATO!$A$2:$A$3000,0))="","",INDEX(EXTRATO!$C$2:$C$3000,MATCH($A2394,EXTRATO!$A$2:$A$3000,0))))</f>
        <v/>
      </c>
      <c r="C2394" s="86" t="str">
        <f t="shared" si="62"/>
        <v/>
      </c>
      <c r="D2394" s="81"/>
      <c r="E2394" s="79"/>
      <c r="F2394" s="80" t="str">
        <f>IF(A2394="","",SUMIF(EXTRATO!$A$2:$A$3000,$A2394,EXTRATO!$J$2:$J$3000)+SUMIF(EXTRATO!$A$2:$A$3000,$A2394,EXTRATO!$K$2:$K$3000)+SUMIF(EXTRATO!$A$2:$A$3000,$A2394,EXTRATO!$L$2:$L$3000)+SUMIF(EXTRATO!$A$2:$A$3000,$A2394,EXTRATO!$M$2:$M$3000))</f>
        <v/>
      </c>
      <c r="G2394" s="81" t="str">
        <f>IF(A2394="","",IF(INDEX(EXTRATO!$G$2:$G$3000,MATCH($A2394,EXTRATO!$A$2:$A$3000,0))="","",INDEX(EXTRATO!$G$2:$G$3000,MATCH($A2394,EXTRATO!$A$2:$A$3000,0))))</f>
        <v/>
      </c>
      <c r="H2394" s="86" t="str">
        <f>IF(A2394="","",IF(INDEX(EXTRATO!$F$2:$F$3000,MATCH($A2394,EXTRATO!$A$2:$A$3000,0))="","",INDEX(EXTRATO!$F$2:$F$3000,MATCH($A2394,EXTRATO!$A$2:$A$3000,0))))</f>
        <v/>
      </c>
      <c r="I2394" s="88" t="str">
        <f>IF(A2394="","",IF(INDEX(EXTRATO!$H$2:$H$3000,MATCH($A2394,EXTRATO!$A$2:$A$3000,0))="","",INDEX(EXTRATO!$H$2:$H$3000,MATCH($A2394,EXTRATO!$A$2:$A$3000,0))))</f>
        <v/>
      </c>
      <c r="J2394" s="86" t="str">
        <f t="shared" si="61"/>
        <v/>
      </c>
      <c r="K2394" s="86" t="str">
        <f>IF(AND(A2394="",D2394="",E2394="",F2394=""),"",IF(D2394="","SEM CATEGORIA",IF(E2394="","SEM SUBCATEGORIA",IF(COUNTIFS(CADASTROS!$L$7:$L$93,D2394,CADASTROS!$D$7:$D$93,E2394)=0,"INCOMPATÍVEL","OK"))))</f>
        <v/>
      </c>
    </row>
    <row r="2395" spans="1:11" ht="30" hidden="1" customHeight="1" x14ac:dyDescent="0.25">
      <c r="A2395" s="86" t="str">
        <f>IF(COUNTIF(EXTRATO!$A$2:$A$3000,"BAN-02252")=0,"","BAN-02252")</f>
        <v/>
      </c>
      <c r="B2395" s="85" t="str">
        <f>IF(A2395="","",IF(INDEX(EXTRATO!$C$2:$C$3000,MATCH($A2395,EXTRATO!$A$2:$A$3000,0))="","",INDEX(EXTRATO!$C$2:$C$3000,MATCH($A2395,EXTRATO!$A$2:$A$3000,0))))</f>
        <v/>
      </c>
      <c r="C2395" s="86" t="str">
        <f t="shared" si="62"/>
        <v/>
      </c>
      <c r="D2395" s="81"/>
      <c r="E2395" s="79"/>
      <c r="F2395" s="80" t="str">
        <f>IF(A2395="","",SUMIF(EXTRATO!$A$2:$A$3000,$A2395,EXTRATO!$J$2:$J$3000)+SUMIF(EXTRATO!$A$2:$A$3000,$A2395,EXTRATO!$K$2:$K$3000)+SUMIF(EXTRATO!$A$2:$A$3000,$A2395,EXTRATO!$L$2:$L$3000)+SUMIF(EXTRATO!$A$2:$A$3000,$A2395,EXTRATO!$M$2:$M$3000))</f>
        <v/>
      </c>
      <c r="G2395" s="81" t="str">
        <f>IF(A2395="","",IF(INDEX(EXTRATO!$G$2:$G$3000,MATCH($A2395,EXTRATO!$A$2:$A$3000,0))="","",INDEX(EXTRATO!$G$2:$G$3000,MATCH($A2395,EXTRATO!$A$2:$A$3000,0))))</f>
        <v/>
      </c>
      <c r="H2395" s="86" t="str">
        <f>IF(A2395="","",IF(INDEX(EXTRATO!$F$2:$F$3000,MATCH($A2395,EXTRATO!$A$2:$A$3000,0))="","",INDEX(EXTRATO!$F$2:$F$3000,MATCH($A2395,EXTRATO!$A$2:$A$3000,0))))</f>
        <v/>
      </c>
      <c r="I2395" s="88" t="str">
        <f>IF(A2395="","",IF(INDEX(EXTRATO!$H$2:$H$3000,MATCH($A2395,EXTRATO!$A$2:$A$3000,0))="","",INDEX(EXTRATO!$H$2:$H$3000,MATCH($A2395,EXTRATO!$A$2:$A$3000,0))))</f>
        <v/>
      </c>
      <c r="J2395" s="86" t="str">
        <f t="shared" si="61"/>
        <v/>
      </c>
      <c r="K2395" s="86" t="str">
        <f>IF(AND(A2395="",D2395="",E2395="",F2395=""),"",IF(D2395="","SEM CATEGORIA",IF(E2395="","SEM SUBCATEGORIA",IF(COUNTIFS(CADASTROS!$L$7:$L$93,D2395,CADASTROS!$D$7:$D$93,E2395)=0,"INCOMPATÍVEL","OK"))))</f>
        <v/>
      </c>
    </row>
    <row r="2396" spans="1:11" ht="30" hidden="1" customHeight="1" x14ac:dyDescent="0.25">
      <c r="A2396" s="86" t="str">
        <f>IF(COUNTIF(EXTRATO!$A$2:$A$3000,"BAN-02253")=0,"","BAN-02253")</f>
        <v/>
      </c>
      <c r="B2396" s="85" t="str">
        <f>IF(A2396="","",IF(INDEX(EXTRATO!$C$2:$C$3000,MATCH($A2396,EXTRATO!$A$2:$A$3000,0))="","",INDEX(EXTRATO!$C$2:$C$3000,MATCH($A2396,EXTRATO!$A$2:$A$3000,0))))</f>
        <v/>
      </c>
      <c r="C2396" s="86" t="str">
        <f t="shared" si="62"/>
        <v/>
      </c>
      <c r="D2396" s="81"/>
      <c r="E2396" s="79"/>
      <c r="F2396" s="80" t="str">
        <f>IF(A2396="","",SUMIF(EXTRATO!$A$2:$A$3000,$A2396,EXTRATO!$J$2:$J$3000)+SUMIF(EXTRATO!$A$2:$A$3000,$A2396,EXTRATO!$K$2:$K$3000)+SUMIF(EXTRATO!$A$2:$A$3000,$A2396,EXTRATO!$L$2:$L$3000)+SUMIF(EXTRATO!$A$2:$A$3000,$A2396,EXTRATO!$M$2:$M$3000))</f>
        <v/>
      </c>
      <c r="G2396" s="81" t="str">
        <f>IF(A2396="","",IF(INDEX(EXTRATO!$G$2:$G$3000,MATCH($A2396,EXTRATO!$A$2:$A$3000,0))="","",INDEX(EXTRATO!$G$2:$G$3000,MATCH($A2396,EXTRATO!$A$2:$A$3000,0))))</f>
        <v/>
      </c>
      <c r="H2396" s="86" t="str">
        <f>IF(A2396="","",IF(INDEX(EXTRATO!$F$2:$F$3000,MATCH($A2396,EXTRATO!$A$2:$A$3000,0))="","",INDEX(EXTRATO!$F$2:$F$3000,MATCH($A2396,EXTRATO!$A$2:$A$3000,0))))</f>
        <v/>
      </c>
      <c r="I2396" s="88" t="str">
        <f>IF(A2396="","",IF(INDEX(EXTRATO!$H$2:$H$3000,MATCH($A2396,EXTRATO!$A$2:$A$3000,0))="","",INDEX(EXTRATO!$H$2:$H$3000,MATCH($A2396,EXTRATO!$A$2:$A$3000,0))))</f>
        <v/>
      </c>
      <c r="J2396" s="86" t="str">
        <f t="shared" si="61"/>
        <v/>
      </c>
      <c r="K2396" s="86" t="str">
        <f>IF(AND(A2396="",D2396="",E2396="",F2396=""),"",IF(D2396="","SEM CATEGORIA",IF(E2396="","SEM SUBCATEGORIA",IF(COUNTIFS(CADASTROS!$L$7:$L$93,D2396,CADASTROS!$D$7:$D$93,E2396)=0,"INCOMPATÍVEL","OK"))))</f>
        <v/>
      </c>
    </row>
    <row r="2397" spans="1:11" ht="30" hidden="1" customHeight="1" x14ac:dyDescent="0.25">
      <c r="A2397" s="86" t="str">
        <f>IF(COUNTIF(EXTRATO!$A$2:$A$3000,"BAN-02254")=0,"","BAN-02254")</f>
        <v/>
      </c>
      <c r="B2397" s="85" t="str">
        <f>IF(A2397="","",IF(INDEX(EXTRATO!$C$2:$C$3000,MATCH($A2397,EXTRATO!$A$2:$A$3000,0))="","",INDEX(EXTRATO!$C$2:$C$3000,MATCH($A2397,EXTRATO!$A$2:$A$3000,0))))</f>
        <v/>
      </c>
      <c r="C2397" s="86" t="str">
        <f t="shared" si="62"/>
        <v/>
      </c>
      <c r="D2397" s="81"/>
      <c r="E2397" s="79"/>
      <c r="F2397" s="80" t="str">
        <f>IF(A2397="","",SUMIF(EXTRATO!$A$2:$A$3000,$A2397,EXTRATO!$J$2:$J$3000)+SUMIF(EXTRATO!$A$2:$A$3000,$A2397,EXTRATO!$K$2:$K$3000)+SUMIF(EXTRATO!$A$2:$A$3000,$A2397,EXTRATO!$L$2:$L$3000)+SUMIF(EXTRATO!$A$2:$A$3000,$A2397,EXTRATO!$M$2:$M$3000))</f>
        <v/>
      </c>
      <c r="G2397" s="81" t="str">
        <f>IF(A2397="","",IF(INDEX(EXTRATO!$G$2:$G$3000,MATCH($A2397,EXTRATO!$A$2:$A$3000,0))="","",INDEX(EXTRATO!$G$2:$G$3000,MATCH($A2397,EXTRATO!$A$2:$A$3000,0))))</f>
        <v/>
      </c>
      <c r="H2397" s="86" t="str">
        <f>IF(A2397="","",IF(INDEX(EXTRATO!$F$2:$F$3000,MATCH($A2397,EXTRATO!$A$2:$A$3000,0))="","",INDEX(EXTRATO!$F$2:$F$3000,MATCH($A2397,EXTRATO!$A$2:$A$3000,0))))</f>
        <v/>
      </c>
      <c r="I2397" s="88" t="str">
        <f>IF(A2397="","",IF(INDEX(EXTRATO!$H$2:$H$3000,MATCH($A2397,EXTRATO!$A$2:$A$3000,0))="","",INDEX(EXTRATO!$H$2:$H$3000,MATCH($A2397,EXTRATO!$A$2:$A$3000,0))))</f>
        <v/>
      </c>
      <c r="J2397" s="86" t="str">
        <f t="shared" si="61"/>
        <v/>
      </c>
      <c r="K2397" s="86" t="str">
        <f>IF(AND(A2397="",D2397="",E2397="",F2397=""),"",IF(D2397="","SEM CATEGORIA",IF(E2397="","SEM SUBCATEGORIA",IF(COUNTIFS(CADASTROS!$L$7:$L$93,D2397,CADASTROS!$D$7:$D$93,E2397)=0,"INCOMPATÍVEL","OK"))))</f>
        <v/>
      </c>
    </row>
    <row r="2398" spans="1:11" ht="30" hidden="1" customHeight="1" x14ac:dyDescent="0.25">
      <c r="A2398" s="86" t="str">
        <f>IF(COUNTIF(EXTRATO!$A$2:$A$3000,"BAN-02255")=0,"","BAN-02255")</f>
        <v/>
      </c>
      <c r="B2398" s="85" t="str">
        <f>IF(A2398="","",IF(INDEX(EXTRATO!$C$2:$C$3000,MATCH($A2398,EXTRATO!$A$2:$A$3000,0))="","",INDEX(EXTRATO!$C$2:$C$3000,MATCH($A2398,EXTRATO!$A$2:$A$3000,0))))</f>
        <v/>
      </c>
      <c r="C2398" s="86" t="str">
        <f t="shared" si="62"/>
        <v/>
      </c>
      <c r="D2398" s="81"/>
      <c r="E2398" s="79"/>
      <c r="F2398" s="80" t="str">
        <f>IF(A2398="","",SUMIF(EXTRATO!$A$2:$A$3000,$A2398,EXTRATO!$J$2:$J$3000)+SUMIF(EXTRATO!$A$2:$A$3000,$A2398,EXTRATO!$K$2:$K$3000)+SUMIF(EXTRATO!$A$2:$A$3000,$A2398,EXTRATO!$L$2:$L$3000)+SUMIF(EXTRATO!$A$2:$A$3000,$A2398,EXTRATO!$M$2:$M$3000))</f>
        <v/>
      </c>
      <c r="G2398" s="81" t="str">
        <f>IF(A2398="","",IF(INDEX(EXTRATO!$G$2:$G$3000,MATCH($A2398,EXTRATO!$A$2:$A$3000,0))="","",INDEX(EXTRATO!$G$2:$G$3000,MATCH($A2398,EXTRATO!$A$2:$A$3000,0))))</f>
        <v/>
      </c>
      <c r="H2398" s="86" t="str">
        <f>IF(A2398="","",IF(INDEX(EXTRATO!$F$2:$F$3000,MATCH($A2398,EXTRATO!$A$2:$A$3000,0))="","",INDEX(EXTRATO!$F$2:$F$3000,MATCH($A2398,EXTRATO!$A$2:$A$3000,0))))</f>
        <v/>
      </c>
      <c r="I2398" s="88" t="str">
        <f>IF(A2398="","",IF(INDEX(EXTRATO!$H$2:$H$3000,MATCH($A2398,EXTRATO!$A$2:$A$3000,0))="","",INDEX(EXTRATO!$H$2:$H$3000,MATCH($A2398,EXTRATO!$A$2:$A$3000,0))))</f>
        <v/>
      </c>
      <c r="J2398" s="86" t="str">
        <f t="shared" si="61"/>
        <v/>
      </c>
      <c r="K2398" s="86" t="str">
        <f>IF(AND(A2398="",D2398="",E2398="",F2398=""),"",IF(D2398="","SEM CATEGORIA",IF(E2398="","SEM SUBCATEGORIA",IF(COUNTIFS(CADASTROS!$L$7:$L$93,D2398,CADASTROS!$D$7:$D$93,E2398)=0,"INCOMPATÍVEL","OK"))))</f>
        <v/>
      </c>
    </row>
    <row r="2399" spans="1:11" ht="30" hidden="1" customHeight="1" x14ac:dyDescent="0.25">
      <c r="A2399" s="86" t="str">
        <f>IF(COUNTIF(EXTRATO!$A$2:$A$3000,"BAN-02256")=0,"","BAN-02256")</f>
        <v/>
      </c>
      <c r="B2399" s="85" t="str">
        <f>IF(A2399="","",IF(INDEX(EXTRATO!$C$2:$C$3000,MATCH($A2399,EXTRATO!$A$2:$A$3000,0))="","",INDEX(EXTRATO!$C$2:$C$3000,MATCH($A2399,EXTRATO!$A$2:$A$3000,0))))</f>
        <v/>
      </c>
      <c r="C2399" s="86" t="str">
        <f t="shared" si="62"/>
        <v/>
      </c>
      <c r="D2399" s="81"/>
      <c r="E2399" s="79"/>
      <c r="F2399" s="80" t="str">
        <f>IF(A2399="","",SUMIF(EXTRATO!$A$2:$A$3000,$A2399,EXTRATO!$J$2:$J$3000)+SUMIF(EXTRATO!$A$2:$A$3000,$A2399,EXTRATO!$K$2:$K$3000)+SUMIF(EXTRATO!$A$2:$A$3000,$A2399,EXTRATO!$L$2:$L$3000)+SUMIF(EXTRATO!$A$2:$A$3000,$A2399,EXTRATO!$M$2:$M$3000))</f>
        <v/>
      </c>
      <c r="G2399" s="81" t="str">
        <f>IF(A2399="","",IF(INDEX(EXTRATO!$G$2:$G$3000,MATCH($A2399,EXTRATO!$A$2:$A$3000,0))="","",INDEX(EXTRATO!$G$2:$G$3000,MATCH($A2399,EXTRATO!$A$2:$A$3000,0))))</f>
        <v/>
      </c>
      <c r="H2399" s="86" t="str">
        <f>IF(A2399="","",IF(INDEX(EXTRATO!$F$2:$F$3000,MATCH($A2399,EXTRATO!$A$2:$A$3000,0))="","",INDEX(EXTRATO!$F$2:$F$3000,MATCH($A2399,EXTRATO!$A$2:$A$3000,0))))</f>
        <v/>
      </c>
      <c r="I2399" s="88" t="str">
        <f>IF(A2399="","",IF(INDEX(EXTRATO!$H$2:$H$3000,MATCH($A2399,EXTRATO!$A$2:$A$3000,0))="","",INDEX(EXTRATO!$H$2:$H$3000,MATCH($A2399,EXTRATO!$A$2:$A$3000,0))))</f>
        <v/>
      </c>
      <c r="J2399" s="86" t="str">
        <f t="shared" si="61"/>
        <v/>
      </c>
      <c r="K2399" s="86" t="str">
        <f>IF(AND(A2399="",D2399="",E2399="",F2399=""),"",IF(D2399="","SEM CATEGORIA",IF(E2399="","SEM SUBCATEGORIA",IF(COUNTIFS(CADASTROS!$L$7:$L$93,D2399,CADASTROS!$D$7:$D$93,E2399)=0,"INCOMPATÍVEL","OK"))))</f>
        <v/>
      </c>
    </row>
    <row r="2400" spans="1:11" ht="30" hidden="1" customHeight="1" x14ac:dyDescent="0.25">
      <c r="A2400" s="86" t="str">
        <f>IF(COUNTIF(EXTRATO!$A$2:$A$3000,"BAN-02257")=0,"","BAN-02257")</f>
        <v/>
      </c>
      <c r="B2400" s="85" t="str">
        <f>IF(A2400="","",IF(INDEX(EXTRATO!$C$2:$C$3000,MATCH($A2400,EXTRATO!$A$2:$A$3000,0))="","",INDEX(EXTRATO!$C$2:$C$3000,MATCH($A2400,EXTRATO!$A$2:$A$3000,0))))</f>
        <v/>
      </c>
      <c r="C2400" s="86" t="str">
        <f t="shared" si="62"/>
        <v/>
      </c>
      <c r="D2400" s="81"/>
      <c r="E2400" s="79"/>
      <c r="F2400" s="80" t="str">
        <f>IF(A2400="","",SUMIF(EXTRATO!$A$2:$A$3000,$A2400,EXTRATO!$J$2:$J$3000)+SUMIF(EXTRATO!$A$2:$A$3000,$A2400,EXTRATO!$K$2:$K$3000)+SUMIF(EXTRATO!$A$2:$A$3000,$A2400,EXTRATO!$L$2:$L$3000)+SUMIF(EXTRATO!$A$2:$A$3000,$A2400,EXTRATO!$M$2:$M$3000))</f>
        <v/>
      </c>
      <c r="G2400" s="81" t="str">
        <f>IF(A2400="","",IF(INDEX(EXTRATO!$G$2:$G$3000,MATCH($A2400,EXTRATO!$A$2:$A$3000,0))="","",INDEX(EXTRATO!$G$2:$G$3000,MATCH($A2400,EXTRATO!$A$2:$A$3000,0))))</f>
        <v/>
      </c>
      <c r="H2400" s="86" t="str">
        <f>IF(A2400="","",IF(INDEX(EXTRATO!$F$2:$F$3000,MATCH($A2400,EXTRATO!$A$2:$A$3000,0))="","",INDEX(EXTRATO!$F$2:$F$3000,MATCH($A2400,EXTRATO!$A$2:$A$3000,0))))</f>
        <v/>
      </c>
      <c r="I2400" s="88" t="str">
        <f>IF(A2400="","",IF(INDEX(EXTRATO!$H$2:$H$3000,MATCH($A2400,EXTRATO!$A$2:$A$3000,0))="","",INDEX(EXTRATO!$H$2:$H$3000,MATCH($A2400,EXTRATO!$A$2:$A$3000,0))))</f>
        <v/>
      </c>
      <c r="J2400" s="86" t="str">
        <f t="shared" si="61"/>
        <v/>
      </c>
      <c r="K2400" s="86" t="str">
        <f>IF(AND(A2400="",D2400="",E2400="",F2400=""),"",IF(D2400="","SEM CATEGORIA",IF(E2400="","SEM SUBCATEGORIA",IF(COUNTIFS(CADASTROS!$L$7:$L$93,D2400,CADASTROS!$D$7:$D$93,E2400)=0,"INCOMPATÍVEL","OK"))))</f>
        <v/>
      </c>
    </row>
    <row r="2401" spans="1:11" ht="30" hidden="1" customHeight="1" x14ac:dyDescent="0.25">
      <c r="A2401" s="86" t="str">
        <f>IF(COUNTIF(EXTRATO!$A$2:$A$3000,"BAN-02258")=0,"","BAN-02258")</f>
        <v/>
      </c>
      <c r="B2401" s="85" t="str">
        <f>IF(A2401="","",IF(INDEX(EXTRATO!$C$2:$C$3000,MATCH($A2401,EXTRATO!$A$2:$A$3000,0))="","",INDEX(EXTRATO!$C$2:$C$3000,MATCH($A2401,EXTRATO!$A$2:$A$3000,0))))</f>
        <v/>
      </c>
      <c r="C2401" s="86" t="str">
        <f t="shared" si="62"/>
        <v/>
      </c>
      <c r="D2401" s="81"/>
      <c r="E2401" s="79"/>
      <c r="F2401" s="80" t="str">
        <f>IF(A2401="","",SUMIF(EXTRATO!$A$2:$A$3000,$A2401,EXTRATO!$J$2:$J$3000)+SUMIF(EXTRATO!$A$2:$A$3000,$A2401,EXTRATO!$K$2:$K$3000)+SUMIF(EXTRATO!$A$2:$A$3000,$A2401,EXTRATO!$L$2:$L$3000)+SUMIF(EXTRATO!$A$2:$A$3000,$A2401,EXTRATO!$M$2:$M$3000))</f>
        <v/>
      </c>
      <c r="G2401" s="81" t="str">
        <f>IF(A2401="","",IF(INDEX(EXTRATO!$G$2:$G$3000,MATCH($A2401,EXTRATO!$A$2:$A$3000,0))="","",INDEX(EXTRATO!$G$2:$G$3000,MATCH($A2401,EXTRATO!$A$2:$A$3000,0))))</f>
        <v/>
      </c>
      <c r="H2401" s="86" t="str">
        <f>IF(A2401="","",IF(INDEX(EXTRATO!$F$2:$F$3000,MATCH($A2401,EXTRATO!$A$2:$A$3000,0))="","",INDEX(EXTRATO!$F$2:$F$3000,MATCH($A2401,EXTRATO!$A$2:$A$3000,0))))</f>
        <v/>
      </c>
      <c r="I2401" s="88" t="str">
        <f>IF(A2401="","",IF(INDEX(EXTRATO!$H$2:$H$3000,MATCH($A2401,EXTRATO!$A$2:$A$3000,0))="","",INDEX(EXTRATO!$H$2:$H$3000,MATCH($A2401,EXTRATO!$A$2:$A$3000,0))))</f>
        <v/>
      </c>
      <c r="J2401" s="86" t="str">
        <f t="shared" si="61"/>
        <v/>
      </c>
      <c r="K2401" s="86" t="str">
        <f>IF(AND(A2401="",D2401="",E2401="",F2401=""),"",IF(D2401="","SEM CATEGORIA",IF(E2401="","SEM SUBCATEGORIA",IF(COUNTIFS(CADASTROS!$L$7:$L$93,D2401,CADASTROS!$D$7:$D$93,E2401)=0,"INCOMPATÍVEL","OK"))))</f>
        <v/>
      </c>
    </row>
    <row r="2402" spans="1:11" ht="30" hidden="1" customHeight="1" x14ac:dyDescent="0.25">
      <c r="A2402" s="86" t="str">
        <f>IF(COUNTIF(EXTRATO!$A$2:$A$3000,"BAN-02259")=0,"","BAN-02259")</f>
        <v/>
      </c>
      <c r="B2402" s="85" t="str">
        <f>IF(A2402="","",IF(INDEX(EXTRATO!$C$2:$C$3000,MATCH($A2402,EXTRATO!$A$2:$A$3000,0))="","",INDEX(EXTRATO!$C$2:$C$3000,MATCH($A2402,EXTRATO!$A$2:$A$3000,0))))</f>
        <v/>
      </c>
      <c r="C2402" s="86" t="str">
        <f t="shared" si="62"/>
        <v/>
      </c>
      <c r="D2402" s="81"/>
      <c r="E2402" s="79"/>
      <c r="F2402" s="80" t="str">
        <f>IF(A2402="","",SUMIF(EXTRATO!$A$2:$A$3000,$A2402,EXTRATO!$J$2:$J$3000)+SUMIF(EXTRATO!$A$2:$A$3000,$A2402,EXTRATO!$K$2:$K$3000)+SUMIF(EXTRATO!$A$2:$A$3000,$A2402,EXTRATO!$L$2:$L$3000)+SUMIF(EXTRATO!$A$2:$A$3000,$A2402,EXTRATO!$M$2:$M$3000))</f>
        <v/>
      </c>
      <c r="G2402" s="81" t="str">
        <f>IF(A2402="","",IF(INDEX(EXTRATO!$G$2:$G$3000,MATCH($A2402,EXTRATO!$A$2:$A$3000,0))="","",INDEX(EXTRATO!$G$2:$G$3000,MATCH($A2402,EXTRATO!$A$2:$A$3000,0))))</f>
        <v/>
      </c>
      <c r="H2402" s="86" t="str">
        <f>IF(A2402="","",IF(INDEX(EXTRATO!$F$2:$F$3000,MATCH($A2402,EXTRATO!$A$2:$A$3000,0))="","",INDEX(EXTRATO!$F$2:$F$3000,MATCH($A2402,EXTRATO!$A$2:$A$3000,0))))</f>
        <v/>
      </c>
      <c r="I2402" s="88" t="str">
        <f>IF(A2402="","",IF(INDEX(EXTRATO!$H$2:$H$3000,MATCH($A2402,EXTRATO!$A$2:$A$3000,0))="","",INDEX(EXTRATO!$H$2:$H$3000,MATCH($A2402,EXTRATO!$A$2:$A$3000,0))))</f>
        <v/>
      </c>
      <c r="J2402" s="86" t="str">
        <f t="shared" si="61"/>
        <v/>
      </c>
      <c r="K2402" s="86" t="str">
        <f>IF(AND(A2402="",D2402="",E2402="",F2402=""),"",IF(D2402="","SEM CATEGORIA",IF(E2402="","SEM SUBCATEGORIA",IF(COUNTIFS(CADASTROS!$L$7:$L$93,D2402,CADASTROS!$D$7:$D$93,E2402)=0,"INCOMPATÍVEL","OK"))))</f>
        <v/>
      </c>
    </row>
    <row r="2403" spans="1:11" ht="30" hidden="1" customHeight="1" x14ac:dyDescent="0.25">
      <c r="A2403" s="86" t="str">
        <f>IF(COUNTIF(EXTRATO!$A$2:$A$3000,"BAN-02260")=0,"","BAN-02260")</f>
        <v/>
      </c>
      <c r="B2403" s="85" t="str">
        <f>IF(A2403="","",IF(INDEX(EXTRATO!$C$2:$C$3000,MATCH($A2403,EXTRATO!$A$2:$A$3000,0))="","",INDEX(EXTRATO!$C$2:$C$3000,MATCH($A2403,EXTRATO!$A$2:$A$3000,0))))</f>
        <v/>
      </c>
      <c r="C2403" s="86" t="str">
        <f t="shared" si="62"/>
        <v/>
      </c>
      <c r="D2403" s="81"/>
      <c r="E2403" s="79"/>
      <c r="F2403" s="80" t="str">
        <f>IF(A2403="","",SUMIF(EXTRATO!$A$2:$A$3000,$A2403,EXTRATO!$J$2:$J$3000)+SUMIF(EXTRATO!$A$2:$A$3000,$A2403,EXTRATO!$K$2:$K$3000)+SUMIF(EXTRATO!$A$2:$A$3000,$A2403,EXTRATO!$L$2:$L$3000)+SUMIF(EXTRATO!$A$2:$A$3000,$A2403,EXTRATO!$M$2:$M$3000))</f>
        <v/>
      </c>
      <c r="G2403" s="81" t="str">
        <f>IF(A2403="","",IF(INDEX(EXTRATO!$G$2:$G$3000,MATCH($A2403,EXTRATO!$A$2:$A$3000,0))="","",INDEX(EXTRATO!$G$2:$G$3000,MATCH($A2403,EXTRATO!$A$2:$A$3000,0))))</f>
        <v/>
      </c>
      <c r="H2403" s="86" t="str">
        <f>IF(A2403="","",IF(INDEX(EXTRATO!$F$2:$F$3000,MATCH($A2403,EXTRATO!$A$2:$A$3000,0))="","",INDEX(EXTRATO!$F$2:$F$3000,MATCH($A2403,EXTRATO!$A$2:$A$3000,0))))</f>
        <v/>
      </c>
      <c r="I2403" s="88" t="str">
        <f>IF(A2403="","",IF(INDEX(EXTRATO!$H$2:$H$3000,MATCH($A2403,EXTRATO!$A$2:$A$3000,0))="","",INDEX(EXTRATO!$H$2:$H$3000,MATCH($A2403,EXTRATO!$A$2:$A$3000,0))))</f>
        <v/>
      </c>
      <c r="J2403" s="86" t="str">
        <f t="shared" si="61"/>
        <v/>
      </c>
      <c r="K2403" s="86" t="str">
        <f>IF(AND(A2403="",D2403="",E2403="",F2403=""),"",IF(D2403="","SEM CATEGORIA",IF(E2403="","SEM SUBCATEGORIA",IF(COUNTIFS(CADASTROS!$L$7:$L$93,D2403,CADASTROS!$D$7:$D$93,E2403)=0,"INCOMPATÍVEL","OK"))))</f>
        <v/>
      </c>
    </row>
    <row r="2404" spans="1:11" ht="30" hidden="1" customHeight="1" x14ac:dyDescent="0.25">
      <c r="A2404" s="86" t="str">
        <f>IF(COUNTIF(EXTRATO!$A$2:$A$3000,"BAN-02261")=0,"","BAN-02261")</f>
        <v/>
      </c>
      <c r="B2404" s="85" t="str">
        <f>IF(A2404="","",IF(INDEX(EXTRATO!$C$2:$C$3000,MATCH($A2404,EXTRATO!$A$2:$A$3000,0))="","",INDEX(EXTRATO!$C$2:$C$3000,MATCH($A2404,EXTRATO!$A$2:$A$3000,0))))</f>
        <v/>
      </c>
      <c r="C2404" s="86" t="str">
        <f t="shared" si="62"/>
        <v/>
      </c>
      <c r="D2404" s="81"/>
      <c r="E2404" s="79"/>
      <c r="F2404" s="80" t="str">
        <f>IF(A2404="","",SUMIF(EXTRATO!$A$2:$A$3000,$A2404,EXTRATO!$J$2:$J$3000)+SUMIF(EXTRATO!$A$2:$A$3000,$A2404,EXTRATO!$K$2:$K$3000)+SUMIF(EXTRATO!$A$2:$A$3000,$A2404,EXTRATO!$L$2:$L$3000)+SUMIF(EXTRATO!$A$2:$A$3000,$A2404,EXTRATO!$M$2:$M$3000))</f>
        <v/>
      </c>
      <c r="G2404" s="81" t="str">
        <f>IF(A2404="","",IF(INDEX(EXTRATO!$G$2:$G$3000,MATCH($A2404,EXTRATO!$A$2:$A$3000,0))="","",INDEX(EXTRATO!$G$2:$G$3000,MATCH($A2404,EXTRATO!$A$2:$A$3000,0))))</f>
        <v/>
      </c>
      <c r="H2404" s="86" t="str">
        <f>IF(A2404="","",IF(INDEX(EXTRATO!$F$2:$F$3000,MATCH($A2404,EXTRATO!$A$2:$A$3000,0))="","",INDEX(EXTRATO!$F$2:$F$3000,MATCH($A2404,EXTRATO!$A$2:$A$3000,0))))</f>
        <v/>
      </c>
      <c r="I2404" s="88" t="str">
        <f>IF(A2404="","",IF(INDEX(EXTRATO!$H$2:$H$3000,MATCH($A2404,EXTRATO!$A$2:$A$3000,0))="","",INDEX(EXTRATO!$H$2:$H$3000,MATCH($A2404,EXTRATO!$A$2:$A$3000,0))))</f>
        <v/>
      </c>
      <c r="J2404" s="86" t="str">
        <f t="shared" si="61"/>
        <v/>
      </c>
      <c r="K2404" s="86" t="str">
        <f>IF(AND(A2404="",D2404="",E2404="",F2404=""),"",IF(D2404="","SEM CATEGORIA",IF(E2404="","SEM SUBCATEGORIA",IF(COUNTIFS(CADASTROS!$L$7:$L$93,D2404,CADASTROS!$D$7:$D$93,E2404)=0,"INCOMPATÍVEL","OK"))))</f>
        <v/>
      </c>
    </row>
    <row r="2405" spans="1:11" ht="30" hidden="1" customHeight="1" x14ac:dyDescent="0.25">
      <c r="A2405" s="86" t="str">
        <f>IF(COUNTIF(EXTRATO!$A$2:$A$3000,"BAN-02262")=0,"","BAN-02262")</f>
        <v/>
      </c>
      <c r="B2405" s="85" t="str">
        <f>IF(A2405="","",IF(INDEX(EXTRATO!$C$2:$C$3000,MATCH($A2405,EXTRATO!$A$2:$A$3000,0))="","",INDEX(EXTRATO!$C$2:$C$3000,MATCH($A2405,EXTRATO!$A$2:$A$3000,0))))</f>
        <v/>
      </c>
      <c r="C2405" s="86" t="str">
        <f t="shared" si="62"/>
        <v/>
      </c>
      <c r="D2405" s="81"/>
      <c r="E2405" s="79"/>
      <c r="F2405" s="80" t="str">
        <f>IF(A2405="","",SUMIF(EXTRATO!$A$2:$A$3000,$A2405,EXTRATO!$J$2:$J$3000)+SUMIF(EXTRATO!$A$2:$A$3000,$A2405,EXTRATO!$K$2:$K$3000)+SUMIF(EXTRATO!$A$2:$A$3000,$A2405,EXTRATO!$L$2:$L$3000)+SUMIF(EXTRATO!$A$2:$A$3000,$A2405,EXTRATO!$M$2:$M$3000))</f>
        <v/>
      </c>
      <c r="G2405" s="81" t="str">
        <f>IF(A2405="","",IF(INDEX(EXTRATO!$G$2:$G$3000,MATCH($A2405,EXTRATO!$A$2:$A$3000,0))="","",INDEX(EXTRATO!$G$2:$G$3000,MATCH($A2405,EXTRATO!$A$2:$A$3000,0))))</f>
        <v/>
      </c>
      <c r="H2405" s="86" t="str">
        <f>IF(A2405="","",IF(INDEX(EXTRATO!$F$2:$F$3000,MATCH($A2405,EXTRATO!$A$2:$A$3000,0))="","",INDEX(EXTRATO!$F$2:$F$3000,MATCH($A2405,EXTRATO!$A$2:$A$3000,0))))</f>
        <v/>
      </c>
      <c r="I2405" s="88" t="str">
        <f>IF(A2405="","",IF(INDEX(EXTRATO!$H$2:$H$3000,MATCH($A2405,EXTRATO!$A$2:$A$3000,0))="","",INDEX(EXTRATO!$H$2:$H$3000,MATCH($A2405,EXTRATO!$A$2:$A$3000,0))))</f>
        <v/>
      </c>
      <c r="J2405" s="86" t="str">
        <f t="shared" si="61"/>
        <v/>
      </c>
      <c r="K2405" s="86" t="str">
        <f>IF(AND(A2405="",D2405="",E2405="",F2405=""),"",IF(D2405="","SEM CATEGORIA",IF(E2405="","SEM SUBCATEGORIA",IF(COUNTIFS(CADASTROS!$L$7:$L$93,D2405,CADASTROS!$D$7:$D$93,E2405)=0,"INCOMPATÍVEL","OK"))))</f>
        <v/>
      </c>
    </row>
    <row r="2406" spans="1:11" ht="30" hidden="1" customHeight="1" x14ac:dyDescent="0.25">
      <c r="A2406" s="86" t="str">
        <f>IF(COUNTIF(EXTRATO!$A$2:$A$3000,"BAN-02263")=0,"","BAN-02263")</f>
        <v/>
      </c>
      <c r="B2406" s="85" t="str">
        <f>IF(A2406="","",IF(INDEX(EXTRATO!$C$2:$C$3000,MATCH($A2406,EXTRATO!$A$2:$A$3000,0))="","",INDEX(EXTRATO!$C$2:$C$3000,MATCH($A2406,EXTRATO!$A$2:$A$3000,0))))</f>
        <v/>
      </c>
      <c r="C2406" s="86" t="str">
        <f t="shared" si="62"/>
        <v/>
      </c>
      <c r="D2406" s="81"/>
      <c r="E2406" s="79"/>
      <c r="F2406" s="80" t="str">
        <f>IF(A2406="","",SUMIF(EXTRATO!$A$2:$A$3000,$A2406,EXTRATO!$J$2:$J$3000)+SUMIF(EXTRATO!$A$2:$A$3000,$A2406,EXTRATO!$K$2:$K$3000)+SUMIF(EXTRATO!$A$2:$A$3000,$A2406,EXTRATO!$L$2:$L$3000)+SUMIF(EXTRATO!$A$2:$A$3000,$A2406,EXTRATO!$M$2:$M$3000))</f>
        <v/>
      </c>
      <c r="G2406" s="81" t="str">
        <f>IF(A2406="","",IF(INDEX(EXTRATO!$G$2:$G$3000,MATCH($A2406,EXTRATO!$A$2:$A$3000,0))="","",INDEX(EXTRATO!$G$2:$G$3000,MATCH($A2406,EXTRATO!$A$2:$A$3000,0))))</f>
        <v/>
      </c>
      <c r="H2406" s="86" t="str">
        <f>IF(A2406="","",IF(INDEX(EXTRATO!$F$2:$F$3000,MATCH($A2406,EXTRATO!$A$2:$A$3000,0))="","",INDEX(EXTRATO!$F$2:$F$3000,MATCH($A2406,EXTRATO!$A$2:$A$3000,0))))</f>
        <v/>
      </c>
      <c r="I2406" s="88" t="str">
        <f>IF(A2406="","",IF(INDEX(EXTRATO!$H$2:$H$3000,MATCH($A2406,EXTRATO!$A$2:$A$3000,0))="","",INDEX(EXTRATO!$H$2:$H$3000,MATCH($A2406,EXTRATO!$A$2:$A$3000,0))))</f>
        <v/>
      </c>
      <c r="J2406" s="86" t="str">
        <f t="shared" si="61"/>
        <v/>
      </c>
      <c r="K2406" s="86" t="str">
        <f>IF(AND(A2406="",D2406="",E2406="",F2406=""),"",IF(D2406="","SEM CATEGORIA",IF(E2406="","SEM SUBCATEGORIA",IF(COUNTIFS(CADASTROS!$L$7:$L$93,D2406,CADASTROS!$D$7:$D$93,E2406)=0,"INCOMPATÍVEL","OK"))))</f>
        <v/>
      </c>
    </row>
    <row r="2407" spans="1:11" ht="30" hidden="1" customHeight="1" x14ac:dyDescent="0.25">
      <c r="A2407" s="86" t="str">
        <f>IF(COUNTIF(EXTRATO!$A$2:$A$3000,"BAN-02264")=0,"","BAN-02264")</f>
        <v/>
      </c>
      <c r="B2407" s="85" t="str">
        <f>IF(A2407="","",IF(INDEX(EXTRATO!$C$2:$C$3000,MATCH($A2407,EXTRATO!$A$2:$A$3000,0))="","",INDEX(EXTRATO!$C$2:$C$3000,MATCH($A2407,EXTRATO!$A$2:$A$3000,0))))</f>
        <v/>
      </c>
      <c r="C2407" s="86" t="str">
        <f t="shared" si="62"/>
        <v/>
      </c>
      <c r="D2407" s="81"/>
      <c r="E2407" s="79"/>
      <c r="F2407" s="80" t="str">
        <f>IF(A2407="","",SUMIF(EXTRATO!$A$2:$A$3000,$A2407,EXTRATO!$J$2:$J$3000)+SUMIF(EXTRATO!$A$2:$A$3000,$A2407,EXTRATO!$K$2:$K$3000)+SUMIF(EXTRATO!$A$2:$A$3000,$A2407,EXTRATO!$L$2:$L$3000)+SUMIF(EXTRATO!$A$2:$A$3000,$A2407,EXTRATO!$M$2:$M$3000))</f>
        <v/>
      </c>
      <c r="G2407" s="81" t="str">
        <f>IF(A2407="","",IF(INDEX(EXTRATO!$G$2:$G$3000,MATCH($A2407,EXTRATO!$A$2:$A$3000,0))="","",INDEX(EXTRATO!$G$2:$G$3000,MATCH($A2407,EXTRATO!$A$2:$A$3000,0))))</f>
        <v/>
      </c>
      <c r="H2407" s="86" t="str">
        <f>IF(A2407="","",IF(INDEX(EXTRATO!$F$2:$F$3000,MATCH($A2407,EXTRATO!$A$2:$A$3000,0))="","",INDEX(EXTRATO!$F$2:$F$3000,MATCH($A2407,EXTRATO!$A$2:$A$3000,0))))</f>
        <v/>
      </c>
      <c r="I2407" s="88" t="str">
        <f>IF(A2407="","",IF(INDEX(EXTRATO!$H$2:$H$3000,MATCH($A2407,EXTRATO!$A$2:$A$3000,0))="","",INDEX(EXTRATO!$H$2:$H$3000,MATCH($A2407,EXTRATO!$A$2:$A$3000,0))))</f>
        <v/>
      </c>
      <c r="J2407" s="86" t="str">
        <f t="shared" si="61"/>
        <v/>
      </c>
      <c r="K2407" s="86" t="str">
        <f>IF(AND(A2407="",D2407="",E2407="",F2407=""),"",IF(D2407="","SEM CATEGORIA",IF(E2407="","SEM SUBCATEGORIA",IF(COUNTIFS(CADASTROS!$L$7:$L$93,D2407,CADASTROS!$D$7:$D$93,E2407)=0,"INCOMPATÍVEL","OK"))))</f>
        <v/>
      </c>
    </row>
    <row r="2408" spans="1:11" ht="30" hidden="1" customHeight="1" x14ac:dyDescent="0.25">
      <c r="A2408" s="86" t="str">
        <f>IF(COUNTIF(EXTRATO!$A$2:$A$3000,"BAN-02265")=0,"","BAN-02265")</f>
        <v/>
      </c>
      <c r="B2408" s="85" t="str">
        <f>IF(A2408="","",IF(INDEX(EXTRATO!$C$2:$C$3000,MATCH($A2408,EXTRATO!$A$2:$A$3000,0))="","",INDEX(EXTRATO!$C$2:$C$3000,MATCH($A2408,EXTRATO!$A$2:$A$3000,0))))</f>
        <v/>
      </c>
      <c r="C2408" s="86" t="str">
        <f t="shared" si="62"/>
        <v/>
      </c>
      <c r="D2408" s="81"/>
      <c r="E2408" s="79"/>
      <c r="F2408" s="80" t="str">
        <f>IF(A2408="","",SUMIF(EXTRATO!$A$2:$A$3000,$A2408,EXTRATO!$J$2:$J$3000)+SUMIF(EXTRATO!$A$2:$A$3000,$A2408,EXTRATO!$K$2:$K$3000)+SUMIF(EXTRATO!$A$2:$A$3000,$A2408,EXTRATO!$L$2:$L$3000)+SUMIF(EXTRATO!$A$2:$A$3000,$A2408,EXTRATO!$M$2:$M$3000))</f>
        <v/>
      </c>
      <c r="G2408" s="81" t="str">
        <f>IF(A2408="","",IF(INDEX(EXTRATO!$G$2:$G$3000,MATCH($A2408,EXTRATO!$A$2:$A$3000,0))="","",INDEX(EXTRATO!$G$2:$G$3000,MATCH($A2408,EXTRATO!$A$2:$A$3000,0))))</f>
        <v/>
      </c>
      <c r="H2408" s="86" t="str">
        <f>IF(A2408="","",IF(INDEX(EXTRATO!$F$2:$F$3000,MATCH($A2408,EXTRATO!$A$2:$A$3000,0))="","",INDEX(EXTRATO!$F$2:$F$3000,MATCH($A2408,EXTRATO!$A$2:$A$3000,0))))</f>
        <v/>
      </c>
      <c r="I2408" s="88" t="str">
        <f>IF(A2408="","",IF(INDEX(EXTRATO!$H$2:$H$3000,MATCH($A2408,EXTRATO!$A$2:$A$3000,0))="","",INDEX(EXTRATO!$H$2:$H$3000,MATCH($A2408,EXTRATO!$A$2:$A$3000,0))))</f>
        <v/>
      </c>
      <c r="J2408" s="86" t="str">
        <f t="shared" si="61"/>
        <v/>
      </c>
      <c r="K2408" s="86" t="str">
        <f>IF(AND(A2408="",D2408="",E2408="",F2408=""),"",IF(D2408="","SEM CATEGORIA",IF(E2408="","SEM SUBCATEGORIA",IF(COUNTIFS(CADASTROS!$L$7:$L$93,D2408,CADASTROS!$D$7:$D$93,E2408)=0,"INCOMPATÍVEL","OK"))))</f>
        <v/>
      </c>
    </row>
    <row r="2409" spans="1:11" ht="30" hidden="1" customHeight="1" x14ac:dyDescent="0.25">
      <c r="A2409" s="86" t="str">
        <f>IF(COUNTIF(EXTRATO!$A$2:$A$3000,"BAN-02266")=0,"","BAN-02266")</f>
        <v/>
      </c>
      <c r="B2409" s="85" t="str">
        <f>IF(A2409="","",IF(INDEX(EXTRATO!$C$2:$C$3000,MATCH($A2409,EXTRATO!$A$2:$A$3000,0))="","",INDEX(EXTRATO!$C$2:$C$3000,MATCH($A2409,EXTRATO!$A$2:$A$3000,0))))</f>
        <v/>
      </c>
      <c r="C2409" s="86" t="str">
        <f t="shared" si="62"/>
        <v/>
      </c>
      <c r="D2409" s="81"/>
      <c r="E2409" s="79"/>
      <c r="F2409" s="80" t="str">
        <f>IF(A2409="","",SUMIF(EXTRATO!$A$2:$A$3000,$A2409,EXTRATO!$J$2:$J$3000)+SUMIF(EXTRATO!$A$2:$A$3000,$A2409,EXTRATO!$K$2:$K$3000)+SUMIF(EXTRATO!$A$2:$A$3000,$A2409,EXTRATO!$L$2:$L$3000)+SUMIF(EXTRATO!$A$2:$A$3000,$A2409,EXTRATO!$M$2:$M$3000))</f>
        <v/>
      </c>
      <c r="G2409" s="81" t="str">
        <f>IF(A2409="","",IF(INDEX(EXTRATO!$G$2:$G$3000,MATCH($A2409,EXTRATO!$A$2:$A$3000,0))="","",INDEX(EXTRATO!$G$2:$G$3000,MATCH($A2409,EXTRATO!$A$2:$A$3000,0))))</f>
        <v/>
      </c>
      <c r="H2409" s="86" t="str">
        <f>IF(A2409="","",IF(INDEX(EXTRATO!$F$2:$F$3000,MATCH($A2409,EXTRATO!$A$2:$A$3000,0))="","",INDEX(EXTRATO!$F$2:$F$3000,MATCH($A2409,EXTRATO!$A$2:$A$3000,0))))</f>
        <v/>
      </c>
      <c r="I2409" s="88" t="str">
        <f>IF(A2409="","",IF(INDEX(EXTRATO!$H$2:$H$3000,MATCH($A2409,EXTRATO!$A$2:$A$3000,0))="","",INDEX(EXTRATO!$H$2:$H$3000,MATCH($A2409,EXTRATO!$A$2:$A$3000,0))))</f>
        <v/>
      </c>
      <c r="J2409" s="86" t="str">
        <f t="shared" si="61"/>
        <v/>
      </c>
      <c r="K2409" s="86" t="str">
        <f>IF(AND(A2409="",D2409="",E2409="",F2409=""),"",IF(D2409="","SEM CATEGORIA",IF(E2409="","SEM SUBCATEGORIA",IF(COUNTIFS(CADASTROS!$L$7:$L$93,D2409,CADASTROS!$D$7:$D$93,E2409)=0,"INCOMPATÍVEL","OK"))))</f>
        <v/>
      </c>
    </row>
    <row r="2410" spans="1:11" ht="30" hidden="1" customHeight="1" x14ac:dyDescent="0.25">
      <c r="A2410" s="86" t="str">
        <f>IF(COUNTIF(EXTRATO!$A$2:$A$3000,"BAN-02267")=0,"","BAN-02267")</f>
        <v/>
      </c>
      <c r="B2410" s="85" t="str">
        <f>IF(A2410="","",IF(INDEX(EXTRATO!$C$2:$C$3000,MATCH($A2410,EXTRATO!$A$2:$A$3000,0))="","",INDEX(EXTRATO!$C$2:$C$3000,MATCH($A2410,EXTRATO!$A$2:$A$3000,0))))</f>
        <v/>
      </c>
      <c r="C2410" s="86" t="str">
        <f t="shared" si="62"/>
        <v/>
      </c>
      <c r="D2410" s="81"/>
      <c r="E2410" s="79"/>
      <c r="F2410" s="80" t="str">
        <f>IF(A2410="","",SUMIF(EXTRATO!$A$2:$A$3000,$A2410,EXTRATO!$J$2:$J$3000)+SUMIF(EXTRATO!$A$2:$A$3000,$A2410,EXTRATO!$K$2:$K$3000)+SUMIF(EXTRATO!$A$2:$A$3000,$A2410,EXTRATO!$L$2:$L$3000)+SUMIF(EXTRATO!$A$2:$A$3000,$A2410,EXTRATO!$M$2:$M$3000))</f>
        <v/>
      </c>
      <c r="G2410" s="81" t="str">
        <f>IF(A2410="","",IF(INDEX(EXTRATO!$G$2:$G$3000,MATCH($A2410,EXTRATO!$A$2:$A$3000,0))="","",INDEX(EXTRATO!$G$2:$G$3000,MATCH($A2410,EXTRATO!$A$2:$A$3000,0))))</f>
        <v/>
      </c>
      <c r="H2410" s="86" t="str">
        <f>IF(A2410="","",IF(INDEX(EXTRATO!$F$2:$F$3000,MATCH($A2410,EXTRATO!$A$2:$A$3000,0))="","",INDEX(EXTRATO!$F$2:$F$3000,MATCH($A2410,EXTRATO!$A$2:$A$3000,0))))</f>
        <v/>
      </c>
      <c r="I2410" s="88" t="str">
        <f>IF(A2410="","",IF(INDEX(EXTRATO!$H$2:$H$3000,MATCH($A2410,EXTRATO!$A$2:$A$3000,0))="","",INDEX(EXTRATO!$H$2:$H$3000,MATCH($A2410,EXTRATO!$A$2:$A$3000,0))))</f>
        <v/>
      </c>
      <c r="J2410" s="86" t="str">
        <f t="shared" si="61"/>
        <v/>
      </c>
      <c r="K2410" s="86" t="str">
        <f>IF(AND(A2410="",D2410="",E2410="",F2410=""),"",IF(D2410="","SEM CATEGORIA",IF(E2410="","SEM SUBCATEGORIA",IF(COUNTIFS(CADASTROS!$L$7:$L$93,D2410,CADASTROS!$D$7:$D$93,E2410)=0,"INCOMPATÍVEL","OK"))))</f>
        <v/>
      </c>
    </row>
    <row r="2411" spans="1:11" ht="30" hidden="1" customHeight="1" x14ac:dyDescent="0.25">
      <c r="A2411" s="86" t="str">
        <f>IF(COUNTIF(EXTRATO!$A$2:$A$3000,"BAN-02268")=0,"","BAN-02268")</f>
        <v/>
      </c>
      <c r="B2411" s="85" t="str">
        <f>IF(A2411="","",IF(INDEX(EXTRATO!$C$2:$C$3000,MATCH($A2411,EXTRATO!$A$2:$A$3000,0))="","",INDEX(EXTRATO!$C$2:$C$3000,MATCH($A2411,EXTRATO!$A$2:$A$3000,0))))</f>
        <v/>
      </c>
      <c r="C2411" s="86" t="str">
        <f t="shared" si="62"/>
        <v/>
      </c>
      <c r="D2411" s="81"/>
      <c r="E2411" s="79"/>
      <c r="F2411" s="80" t="str">
        <f>IF(A2411="","",SUMIF(EXTRATO!$A$2:$A$3000,$A2411,EXTRATO!$J$2:$J$3000)+SUMIF(EXTRATO!$A$2:$A$3000,$A2411,EXTRATO!$K$2:$K$3000)+SUMIF(EXTRATO!$A$2:$A$3000,$A2411,EXTRATO!$L$2:$L$3000)+SUMIF(EXTRATO!$A$2:$A$3000,$A2411,EXTRATO!$M$2:$M$3000))</f>
        <v/>
      </c>
      <c r="G2411" s="81" t="str">
        <f>IF(A2411="","",IF(INDEX(EXTRATO!$G$2:$G$3000,MATCH($A2411,EXTRATO!$A$2:$A$3000,0))="","",INDEX(EXTRATO!$G$2:$G$3000,MATCH($A2411,EXTRATO!$A$2:$A$3000,0))))</f>
        <v/>
      </c>
      <c r="H2411" s="86" t="str">
        <f>IF(A2411="","",IF(INDEX(EXTRATO!$F$2:$F$3000,MATCH($A2411,EXTRATO!$A$2:$A$3000,0))="","",INDEX(EXTRATO!$F$2:$F$3000,MATCH($A2411,EXTRATO!$A$2:$A$3000,0))))</f>
        <v/>
      </c>
      <c r="I2411" s="88" t="str">
        <f>IF(A2411="","",IF(INDEX(EXTRATO!$H$2:$H$3000,MATCH($A2411,EXTRATO!$A$2:$A$3000,0))="","",INDEX(EXTRATO!$H$2:$H$3000,MATCH($A2411,EXTRATO!$A$2:$A$3000,0))))</f>
        <v/>
      </c>
      <c r="J2411" s="86" t="str">
        <f t="shared" si="61"/>
        <v/>
      </c>
      <c r="K2411" s="86" t="str">
        <f>IF(AND(A2411="",D2411="",E2411="",F2411=""),"",IF(D2411="","SEM CATEGORIA",IF(E2411="","SEM SUBCATEGORIA",IF(COUNTIFS(CADASTROS!$L$7:$L$93,D2411,CADASTROS!$D$7:$D$93,E2411)=0,"INCOMPATÍVEL","OK"))))</f>
        <v/>
      </c>
    </row>
    <row r="2412" spans="1:11" ht="30" hidden="1" customHeight="1" x14ac:dyDescent="0.25">
      <c r="A2412" s="86" t="str">
        <f>IF(COUNTIF(EXTRATO!$A$2:$A$3000,"BAN-02269")=0,"","BAN-02269")</f>
        <v/>
      </c>
      <c r="B2412" s="85" t="str">
        <f>IF(A2412="","",IF(INDEX(EXTRATO!$C$2:$C$3000,MATCH($A2412,EXTRATO!$A$2:$A$3000,0))="","",INDEX(EXTRATO!$C$2:$C$3000,MATCH($A2412,EXTRATO!$A$2:$A$3000,0))))</f>
        <v/>
      </c>
      <c r="C2412" s="86" t="str">
        <f t="shared" si="62"/>
        <v/>
      </c>
      <c r="D2412" s="81"/>
      <c r="E2412" s="79"/>
      <c r="F2412" s="80" t="str">
        <f>IF(A2412="","",SUMIF(EXTRATO!$A$2:$A$3000,$A2412,EXTRATO!$J$2:$J$3000)+SUMIF(EXTRATO!$A$2:$A$3000,$A2412,EXTRATO!$K$2:$K$3000)+SUMIF(EXTRATO!$A$2:$A$3000,$A2412,EXTRATO!$L$2:$L$3000)+SUMIF(EXTRATO!$A$2:$A$3000,$A2412,EXTRATO!$M$2:$M$3000))</f>
        <v/>
      </c>
      <c r="G2412" s="81" t="str">
        <f>IF(A2412="","",IF(INDEX(EXTRATO!$G$2:$G$3000,MATCH($A2412,EXTRATO!$A$2:$A$3000,0))="","",INDEX(EXTRATO!$G$2:$G$3000,MATCH($A2412,EXTRATO!$A$2:$A$3000,0))))</f>
        <v/>
      </c>
      <c r="H2412" s="86" t="str">
        <f>IF(A2412="","",IF(INDEX(EXTRATO!$F$2:$F$3000,MATCH($A2412,EXTRATO!$A$2:$A$3000,0))="","",INDEX(EXTRATO!$F$2:$F$3000,MATCH($A2412,EXTRATO!$A$2:$A$3000,0))))</f>
        <v/>
      </c>
      <c r="I2412" s="88" t="str">
        <f>IF(A2412="","",IF(INDEX(EXTRATO!$H$2:$H$3000,MATCH($A2412,EXTRATO!$A$2:$A$3000,0))="","",INDEX(EXTRATO!$H$2:$H$3000,MATCH($A2412,EXTRATO!$A$2:$A$3000,0))))</f>
        <v/>
      </c>
      <c r="J2412" s="86" t="str">
        <f t="shared" ref="J2412:J2475" si="63">IF(A2412="","",IF(K2412="OK","MANUAL","PENDENTE"))</f>
        <v/>
      </c>
      <c r="K2412" s="86" t="str">
        <f>IF(AND(A2412="",D2412="",E2412="",F2412=""),"",IF(D2412="","SEM CATEGORIA",IF(E2412="","SEM SUBCATEGORIA",IF(COUNTIFS(CADASTROS!$L$7:$L$93,D2412,CADASTROS!$D$7:$D$93,E2412)=0,"INCOMPATÍVEL","OK"))))</f>
        <v/>
      </c>
    </row>
    <row r="2413" spans="1:11" ht="30" hidden="1" customHeight="1" x14ac:dyDescent="0.25">
      <c r="A2413" s="86" t="str">
        <f>IF(COUNTIF(EXTRATO!$A$2:$A$3000,"BAN-02270")=0,"","BAN-02270")</f>
        <v/>
      </c>
      <c r="B2413" s="85" t="str">
        <f>IF(A2413="","",IF(INDEX(EXTRATO!$C$2:$C$3000,MATCH($A2413,EXTRATO!$A$2:$A$3000,0))="","",INDEX(EXTRATO!$C$2:$C$3000,MATCH($A2413,EXTRATO!$A$2:$A$3000,0))))</f>
        <v/>
      </c>
      <c r="C2413" s="86" t="str">
        <f t="shared" si="62"/>
        <v/>
      </c>
      <c r="D2413" s="81"/>
      <c r="E2413" s="79"/>
      <c r="F2413" s="80" t="str">
        <f>IF(A2413="","",SUMIF(EXTRATO!$A$2:$A$3000,$A2413,EXTRATO!$J$2:$J$3000)+SUMIF(EXTRATO!$A$2:$A$3000,$A2413,EXTRATO!$K$2:$K$3000)+SUMIF(EXTRATO!$A$2:$A$3000,$A2413,EXTRATO!$L$2:$L$3000)+SUMIF(EXTRATO!$A$2:$A$3000,$A2413,EXTRATO!$M$2:$M$3000))</f>
        <v/>
      </c>
      <c r="G2413" s="81" t="str">
        <f>IF(A2413="","",IF(INDEX(EXTRATO!$G$2:$G$3000,MATCH($A2413,EXTRATO!$A$2:$A$3000,0))="","",INDEX(EXTRATO!$G$2:$G$3000,MATCH($A2413,EXTRATO!$A$2:$A$3000,0))))</f>
        <v/>
      </c>
      <c r="H2413" s="86" t="str">
        <f>IF(A2413="","",IF(INDEX(EXTRATO!$F$2:$F$3000,MATCH($A2413,EXTRATO!$A$2:$A$3000,0))="","",INDEX(EXTRATO!$F$2:$F$3000,MATCH($A2413,EXTRATO!$A$2:$A$3000,0))))</f>
        <v/>
      </c>
      <c r="I2413" s="88" t="str">
        <f>IF(A2413="","",IF(INDEX(EXTRATO!$H$2:$H$3000,MATCH($A2413,EXTRATO!$A$2:$A$3000,0))="","",INDEX(EXTRATO!$H$2:$H$3000,MATCH($A2413,EXTRATO!$A$2:$A$3000,0))))</f>
        <v/>
      </c>
      <c r="J2413" s="86" t="str">
        <f t="shared" si="63"/>
        <v/>
      </c>
      <c r="K2413" s="86" t="str">
        <f>IF(AND(A2413="",D2413="",E2413="",F2413=""),"",IF(D2413="","SEM CATEGORIA",IF(E2413="","SEM SUBCATEGORIA",IF(COUNTIFS(CADASTROS!$L$7:$L$93,D2413,CADASTROS!$D$7:$D$93,E2413)=0,"INCOMPATÍVEL","OK"))))</f>
        <v/>
      </c>
    </row>
    <row r="2414" spans="1:11" ht="30" hidden="1" customHeight="1" x14ac:dyDescent="0.25">
      <c r="A2414" s="86" t="str">
        <f>IF(COUNTIF(EXTRATO!$A$2:$A$3000,"BAN-02271")=0,"","BAN-02271")</f>
        <v/>
      </c>
      <c r="B2414" s="85" t="str">
        <f>IF(A2414="","",IF(INDEX(EXTRATO!$C$2:$C$3000,MATCH($A2414,EXTRATO!$A$2:$A$3000,0))="","",INDEX(EXTRATO!$C$2:$C$3000,MATCH($A2414,EXTRATO!$A$2:$A$3000,0))))</f>
        <v/>
      </c>
      <c r="C2414" s="86" t="str">
        <f t="shared" si="62"/>
        <v/>
      </c>
      <c r="D2414" s="81"/>
      <c r="E2414" s="79"/>
      <c r="F2414" s="80" t="str">
        <f>IF(A2414="","",SUMIF(EXTRATO!$A$2:$A$3000,$A2414,EXTRATO!$J$2:$J$3000)+SUMIF(EXTRATO!$A$2:$A$3000,$A2414,EXTRATO!$K$2:$K$3000)+SUMIF(EXTRATO!$A$2:$A$3000,$A2414,EXTRATO!$L$2:$L$3000)+SUMIF(EXTRATO!$A$2:$A$3000,$A2414,EXTRATO!$M$2:$M$3000))</f>
        <v/>
      </c>
      <c r="G2414" s="81" t="str">
        <f>IF(A2414="","",IF(INDEX(EXTRATO!$G$2:$G$3000,MATCH($A2414,EXTRATO!$A$2:$A$3000,0))="","",INDEX(EXTRATO!$G$2:$G$3000,MATCH($A2414,EXTRATO!$A$2:$A$3000,0))))</f>
        <v/>
      </c>
      <c r="H2414" s="86" t="str">
        <f>IF(A2414="","",IF(INDEX(EXTRATO!$F$2:$F$3000,MATCH($A2414,EXTRATO!$A$2:$A$3000,0))="","",INDEX(EXTRATO!$F$2:$F$3000,MATCH($A2414,EXTRATO!$A$2:$A$3000,0))))</f>
        <v/>
      </c>
      <c r="I2414" s="88" t="str">
        <f>IF(A2414="","",IF(INDEX(EXTRATO!$H$2:$H$3000,MATCH($A2414,EXTRATO!$A$2:$A$3000,0))="","",INDEX(EXTRATO!$H$2:$H$3000,MATCH($A2414,EXTRATO!$A$2:$A$3000,0))))</f>
        <v/>
      </c>
      <c r="J2414" s="86" t="str">
        <f t="shared" si="63"/>
        <v/>
      </c>
      <c r="K2414" s="86" t="str">
        <f>IF(AND(A2414="",D2414="",E2414="",F2414=""),"",IF(D2414="","SEM CATEGORIA",IF(E2414="","SEM SUBCATEGORIA",IF(COUNTIFS(CADASTROS!$L$7:$L$93,D2414,CADASTROS!$D$7:$D$93,E2414)=0,"INCOMPATÍVEL","OK"))))</f>
        <v/>
      </c>
    </row>
    <row r="2415" spans="1:11" ht="30" hidden="1" customHeight="1" x14ac:dyDescent="0.25">
      <c r="A2415" s="86" t="str">
        <f>IF(COUNTIF(EXTRATO!$A$2:$A$3000,"BAN-02272")=0,"","BAN-02272")</f>
        <v/>
      </c>
      <c r="B2415" s="85" t="str">
        <f>IF(A2415="","",IF(INDEX(EXTRATO!$C$2:$C$3000,MATCH($A2415,EXTRATO!$A$2:$A$3000,0))="","",INDEX(EXTRATO!$C$2:$C$3000,MATCH($A2415,EXTRATO!$A$2:$A$3000,0))))</f>
        <v/>
      </c>
      <c r="C2415" s="86" t="str">
        <f t="shared" si="62"/>
        <v/>
      </c>
      <c r="D2415" s="81"/>
      <c r="E2415" s="79"/>
      <c r="F2415" s="80" t="str">
        <f>IF(A2415="","",SUMIF(EXTRATO!$A$2:$A$3000,$A2415,EXTRATO!$J$2:$J$3000)+SUMIF(EXTRATO!$A$2:$A$3000,$A2415,EXTRATO!$K$2:$K$3000)+SUMIF(EXTRATO!$A$2:$A$3000,$A2415,EXTRATO!$L$2:$L$3000)+SUMIF(EXTRATO!$A$2:$A$3000,$A2415,EXTRATO!$M$2:$M$3000))</f>
        <v/>
      </c>
      <c r="G2415" s="81" t="str">
        <f>IF(A2415="","",IF(INDEX(EXTRATO!$G$2:$G$3000,MATCH($A2415,EXTRATO!$A$2:$A$3000,0))="","",INDEX(EXTRATO!$G$2:$G$3000,MATCH($A2415,EXTRATO!$A$2:$A$3000,0))))</f>
        <v/>
      </c>
      <c r="H2415" s="86" t="str">
        <f>IF(A2415="","",IF(INDEX(EXTRATO!$F$2:$F$3000,MATCH($A2415,EXTRATO!$A$2:$A$3000,0))="","",INDEX(EXTRATO!$F$2:$F$3000,MATCH($A2415,EXTRATO!$A$2:$A$3000,0))))</f>
        <v/>
      </c>
      <c r="I2415" s="88" t="str">
        <f>IF(A2415="","",IF(INDEX(EXTRATO!$H$2:$H$3000,MATCH($A2415,EXTRATO!$A$2:$A$3000,0))="","",INDEX(EXTRATO!$H$2:$H$3000,MATCH($A2415,EXTRATO!$A$2:$A$3000,0))))</f>
        <v/>
      </c>
      <c r="J2415" s="86" t="str">
        <f t="shared" si="63"/>
        <v/>
      </c>
      <c r="K2415" s="86" t="str">
        <f>IF(AND(A2415="",D2415="",E2415="",F2415=""),"",IF(D2415="","SEM CATEGORIA",IF(E2415="","SEM SUBCATEGORIA",IF(COUNTIFS(CADASTROS!$L$7:$L$93,D2415,CADASTROS!$D$7:$D$93,E2415)=0,"INCOMPATÍVEL","OK"))))</f>
        <v/>
      </c>
    </row>
    <row r="2416" spans="1:11" ht="30" hidden="1" customHeight="1" x14ac:dyDescent="0.25">
      <c r="A2416" s="86" t="str">
        <f>IF(COUNTIF(EXTRATO!$A$2:$A$3000,"BAN-02273")=0,"","BAN-02273")</f>
        <v/>
      </c>
      <c r="B2416" s="85" t="str">
        <f>IF(A2416="","",IF(INDEX(EXTRATO!$C$2:$C$3000,MATCH($A2416,EXTRATO!$A$2:$A$3000,0))="","",INDEX(EXTRATO!$C$2:$C$3000,MATCH($A2416,EXTRATO!$A$2:$A$3000,0))))</f>
        <v/>
      </c>
      <c r="C2416" s="86" t="str">
        <f t="shared" si="62"/>
        <v/>
      </c>
      <c r="D2416" s="81"/>
      <c r="E2416" s="79"/>
      <c r="F2416" s="80" t="str">
        <f>IF(A2416="","",SUMIF(EXTRATO!$A$2:$A$3000,$A2416,EXTRATO!$J$2:$J$3000)+SUMIF(EXTRATO!$A$2:$A$3000,$A2416,EXTRATO!$K$2:$K$3000)+SUMIF(EXTRATO!$A$2:$A$3000,$A2416,EXTRATO!$L$2:$L$3000)+SUMIF(EXTRATO!$A$2:$A$3000,$A2416,EXTRATO!$M$2:$M$3000))</f>
        <v/>
      </c>
      <c r="G2416" s="81" t="str">
        <f>IF(A2416="","",IF(INDEX(EXTRATO!$G$2:$G$3000,MATCH($A2416,EXTRATO!$A$2:$A$3000,0))="","",INDEX(EXTRATO!$G$2:$G$3000,MATCH($A2416,EXTRATO!$A$2:$A$3000,0))))</f>
        <v/>
      </c>
      <c r="H2416" s="86" t="str">
        <f>IF(A2416="","",IF(INDEX(EXTRATO!$F$2:$F$3000,MATCH($A2416,EXTRATO!$A$2:$A$3000,0))="","",INDEX(EXTRATO!$F$2:$F$3000,MATCH($A2416,EXTRATO!$A$2:$A$3000,0))))</f>
        <v/>
      </c>
      <c r="I2416" s="88" t="str">
        <f>IF(A2416="","",IF(INDEX(EXTRATO!$H$2:$H$3000,MATCH($A2416,EXTRATO!$A$2:$A$3000,0))="","",INDEX(EXTRATO!$H$2:$H$3000,MATCH($A2416,EXTRATO!$A$2:$A$3000,0))))</f>
        <v/>
      </c>
      <c r="J2416" s="86" t="str">
        <f t="shared" si="63"/>
        <v/>
      </c>
      <c r="K2416" s="86" t="str">
        <f>IF(AND(A2416="",D2416="",E2416="",F2416=""),"",IF(D2416="","SEM CATEGORIA",IF(E2416="","SEM SUBCATEGORIA",IF(COUNTIFS(CADASTROS!$L$7:$L$93,D2416,CADASTROS!$D$7:$D$93,E2416)=0,"INCOMPATÍVEL","OK"))))</f>
        <v/>
      </c>
    </row>
    <row r="2417" spans="1:11" ht="30" hidden="1" customHeight="1" x14ac:dyDescent="0.25">
      <c r="A2417" s="86" t="str">
        <f>IF(COUNTIF(EXTRATO!$A$2:$A$3000,"BAN-02274")=0,"","BAN-02274")</f>
        <v/>
      </c>
      <c r="B2417" s="85" t="str">
        <f>IF(A2417="","",IF(INDEX(EXTRATO!$C$2:$C$3000,MATCH($A2417,EXTRATO!$A$2:$A$3000,0))="","",INDEX(EXTRATO!$C$2:$C$3000,MATCH($A2417,EXTRATO!$A$2:$A$3000,0))))</f>
        <v/>
      </c>
      <c r="C2417" s="86" t="str">
        <f t="shared" si="62"/>
        <v/>
      </c>
      <c r="D2417" s="81"/>
      <c r="E2417" s="79"/>
      <c r="F2417" s="80" t="str">
        <f>IF(A2417="","",SUMIF(EXTRATO!$A$2:$A$3000,$A2417,EXTRATO!$J$2:$J$3000)+SUMIF(EXTRATO!$A$2:$A$3000,$A2417,EXTRATO!$K$2:$K$3000)+SUMIF(EXTRATO!$A$2:$A$3000,$A2417,EXTRATO!$L$2:$L$3000)+SUMIF(EXTRATO!$A$2:$A$3000,$A2417,EXTRATO!$M$2:$M$3000))</f>
        <v/>
      </c>
      <c r="G2417" s="81" t="str">
        <f>IF(A2417="","",IF(INDEX(EXTRATO!$G$2:$G$3000,MATCH($A2417,EXTRATO!$A$2:$A$3000,0))="","",INDEX(EXTRATO!$G$2:$G$3000,MATCH($A2417,EXTRATO!$A$2:$A$3000,0))))</f>
        <v/>
      </c>
      <c r="H2417" s="86" t="str">
        <f>IF(A2417="","",IF(INDEX(EXTRATO!$F$2:$F$3000,MATCH($A2417,EXTRATO!$A$2:$A$3000,0))="","",INDEX(EXTRATO!$F$2:$F$3000,MATCH($A2417,EXTRATO!$A$2:$A$3000,0))))</f>
        <v/>
      </c>
      <c r="I2417" s="88" t="str">
        <f>IF(A2417="","",IF(INDEX(EXTRATO!$H$2:$H$3000,MATCH($A2417,EXTRATO!$A$2:$A$3000,0))="","",INDEX(EXTRATO!$H$2:$H$3000,MATCH($A2417,EXTRATO!$A$2:$A$3000,0))))</f>
        <v/>
      </c>
      <c r="J2417" s="86" t="str">
        <f t="shared" si="63"/>
        <v/>
      </c>
      <c r="K2417" s="86" t="str">
        <f>IF(AND(A2417="",D2417="",E2417="",F2417=""),"",IF(D2417="","SEM CATEGORIA",IF(E2417="","SEM SUBCATEGORIA",IF(COUNTIFS(CADASTROS!$L$7:$L$93,D2417,CADASTROS!$D$7:$D$93,E2417)=0,"INCOMPATÍVEL","OK"))))</f>
        <v/>
      </c>
    </row>
    <row r="2418" spans="1:11" ht="30" hidden="1" customHeight="1" x14ac:dyDescent="0.25">
      <c r="A2418" s="86" t="str">
        <f>IF(COUNTIF(EXTRATO!$A$2:$A$3000,"BAN-02275")=0,"","BAN-02275")</f>
        <v/>
      </c>
      <c r="B2418" s="85" t="str">
        <f>IF(A2418="","",IF(INDEX(EXTRATO!$C$2:$C$3000,MATCH($A2418,EXTRATO!$A$2:$A$3000,0))="","",INDEX(EXTRATO!$C$2:$C$3000,MATCH($A2418,EXTRATO!$A$2:$A$3000,0))))</f>
        <v/>
      </c>
      <c r="C2418" s="86" t="str">
        <f t="shared" si="62"/>
        <v/>
      </c>
      <c r="D2418" s="81"/>
      <c r="E2418" s="79"/>
      <c r="F2418" s="80" t="str">
        <f>IF(A2418="","",SUMIF(EXTRATO!$A$2:$A$3000,$A2418,EXTRATO!$J$2:$J$3000)+SUMIF(EXTRATO!$A$2:$A$3000,$A2418,EXTRATO!$K$2:$K$3000)+SUMIF(EXTRATO!$A$2:$A$3000,$A2418,EXTRATO!$L$2:$L$3000)+SUMIF(EXTRATO!$A$2:$A$3000,$A2418,EXTRATO!$M$2:$M$3000))</f>
        <v/>
      </c>
      <c r="G2418" s="81" t="str">
        <f>IF(A2418="","",IF(INDEX(EXTRATO!$G$2:$G$3000,MATCH($A2418,EXTRATO!$A$2:$A$3000,0))="","",INDEX(EXTRATO!$G$2:$G$3000,MATCH($A2418,EXTRATO!$A$2:$A$3000,0))))</f>
        <v/>
      </c>
      <c r="H2418" s="86" t="str">
        <f>IF(A2418="","",IF(INDEX(EXTRATO!$F$2:$F$3000,MATCH($A2418,EXTRATO!$A$2:$A$3000,0))="","",INDEX(EXTRATO!$F$2:$F$3000,MATCH($A2418,EXTRATO!$A$2:$A$3000,0))))</f>
        <v/>
      </c>
      <c r="I2418" s="88" t="str">
        <f>IF(A2418="","",IF(INDEX(EXTRATO!$H$2:$H$3000,MATCH($A2418,EXTRATO!$A$2:$A$3000,0))="","",INDEX(EXTRATO!$H$2:$H$3000,MATCH($A2418,EXTRATO!$A$2:$A$3000,0))))</f>
        <v/>
      </c>
      <c r="J2418" s="86" t="str">
        <f t="shared" si="63"/>
        <v/>
      </c>
      <c r="K2418" s="86" t="str">
        <f>IF(AND(A2418="",D2418="",E2418="",F2418=""),"",IF(D2418="","SEM CATEGORIA",IF(E2418="","SEM SUBCATEGORIA",IF(COUNTIFS(CADASTROS!$L$7:$L$93,D2418,CADASTROS!$D$7:$D$93,E2418)=0,"INCOMPATÍVEL","OK"))))</f>
        <v/>
      </c>
    </row>
    <row r="2419" spans="1:11" ht="30" hidden="1" customHeight="1" x14ac:dyDescent="0.25">
      <c r="A2419" s="86" t="str">
        <f>IF(COUNTIF(EXTRATO!$A$2:$A$3000,"BAN-02276")=0,"","BAN-02276")</f>
        <v/>
      </c>
      <c r="B2419" s="85" t="str">
        <f>IF(A2419="","",IF(INDEX(EXTRATO!$C$2:$C$3000,MATCH($A2419,EXTRATO!$A$2:$A$3000,0))="","",INDEX(EXTRATO!$C$2:$C$3000,MATCH($A2419,EXTRATO!$A$2:$A$3000,0))))</f>
        <v/>
      </c>
      <c r="C2419" s="86" t="str">
        <f t="shared" si="62"/>
        <v/>
      </c>
      <c r="D2419" s="81"/>
      <c r="E2419" s="79"/>
      <c r="F2419" s="80" t="str">
        <f>IF(A2419="","",SUMIF(EXTRATO!$A$2:$A$3000,$A2419,EXTRATO!$J$2:$J$3000)+SUMIF(EXTRATO!$A$2:$A$3000,$A2419,EXTRATO!$K$2:$K$3000)+SUMIF(EXTRATO!$A$2:$A$3000,$A2419,EXTRATO!$L$2:$L$3000)+SUMIF(EXTRATO!$A$2:$A$3000,$A2419,EXTRATO!$M$2:$M$3000))</f>
        <v/>
      </c>
      <c r="G2419" s="81" t="str">
        <f>IF(A2419="","",IF(INDEX(EXTRATO!$G$2:$G$3000,MATCH($A2419,EXTRATO!$A$2:$A$3000,0))="","",INDEX(EXTRATO!$G$2:$G$3000,MATCH($A2419,EXTRATO!$A$2:$A$3000,0))))</f>
        <v/>
      </c>
      <c r="H2419" s="86" t="str">
        <f>IF(A2419="","",IF(INDEX(EXTRATO!$F$2:$F$3000,MATCH($A2419,EXTRATO!$A$2:$A$3000,0))="","",INDEX(EXTRATO!$F$2:$F$3000,MATCH($A2419,EXTRATO!$A$2:$A$3000,0))))</f>
        <v/>
      </c>
      <c r="I2419" s="88" t="str">
        <f>IF(A2419="","",IF(INDEX(EXTRATO!$H$2:$H$3000,MATCH($A2419,EXTRATO!$A$2:$A$3000,0))="","",INDEX(EXTRATO!$H$2:$H$3000,MATCH($A2419,EXTRATO!$A$2:$A$3000,0))))</f>
        <v/>
      </c>
      <c r="J2419" s="86" t="str">
        <f t="shared" si="63"/>
        <v/>
      </c>
      <c r="K2419" s="86" t="str">
        <f>IF(AND(A2419="",D2419="",E2419="",F2419=""),"",IF(D2419="","SEM CATEGORIA",IF(E2419="","SEM SUBCATEGORIA",IF(COUNTIFS(CADASTROS!$L$7:$L$93,D2419,CADASTROS!$D$7:$D$93,E2419)=0,"INCOMPATÍVEL","OK"))))</f>
        <v/>
      </c>
    </row>
    <row r="2420" spans="1:11" ht="30" hidden="1" customHeight="1" x14ac:dyDescent="0.25">
      <c r="A2420" s="86" t="str">
        <f>IF(COUNTIF(EXTRATO!$A$2:$A$3000,"BAN-02277")=0,"","BAN-02277")</f>
        <v/>
      </c>
      <c r="B2420" s="85" t="str">
        <f>IF(A2420="","",IF(INDEX(EXTRATO!$C$2:$C$3000,MATCH($A2420,EXTRATO!$A$2:$A$3000,0))="","",INDEX(EXTRATO!$C$2:$C$3000,MATCH($A2420,EXTRATO!$A$2:$A$3000,0))))</f>
        <v/>
      </c>
      <c r="C2420" s="86" t="str">
        <f t="shared" si="62"/>
        <v/>
      </c>
      <c r="D2420" s="81"/>
      <c r="E2420" s="79"/>
      <c r="F2420" s="80" t="str">
        <f>IF(A2420="","",SUMIF(EXTRATO!$A$2:$A$3000,$A2420,EXTRATO!$J$2:$J$3000)+SUMIF(EXTRATO!$A$2:$A$3000,$A2420,EXTRATO!$K$2:$K$3000)+SUMIF(EXTRATO!$A$2:$A$3000,$A2420,EXTRATO!$L$2:$L$3000)+SUMIF(EXTRATO!$A$2:$A$3000,$A2420,EXTRATO!$M$2:$M$3000))</f>
        <v/>
      </c>
      <c r="G2420" s="81" t="str">
        <f>IF(A2420="","",IF(INDEX(EXTRATO!$G$2:$G$3000,MATCH($A2420,EXTRATO!$A$2:$A$3000,0))="","",INDEX(EXTRATO!$G$2:$G$3000,MATCH($A2420,EXTRATO!$A$2:$A$3000,0))))</f>
        <v/>
      </c>
      <c r="H2420" s="86" t="str">
        <f>IF(A2420="","",IF(INDEX(EXTRATO!$F$2:$F$3000,MATCH($A2420,EXTRATO!$A$2:$A$3000,0))="","",INDEX(EXTRATO!$F$2:$F$3000,MATCH($A2420,EXTRATO!$A$2:$A$3000,0))))</f>
        <v/>
      </c>
      <c r="I2420" s="88" t="str">
        <f>IF(A2420="","",IF(INDEX(EXTRATO!$H$2:$H$3000,MATCH($A2420,EXTRATO!$A$2:$A$3000,0))="","",INDEX(EXTRATO!$H$2:$H$3000,MATCH($A2420,EXTRATO!$A$2:$A$3000,0))))</f>
        <v/>
      </c>
      <c r="J2420" s="86" t="str">
        <f t="shared" si="63"/>
        <v/>
      </c>
      <c r="K2420" s="86" t="str">
        <f>IF(AND(A2420="",D2420="",E2420="",F2420=""),"",IF(D2420="","SEM CATEGORIA",IF(E2420="","SEM SUBCATEGORIA",IF(COUNTIFS(CADASTROS!$L$7:$L$93,D2420,CADASTROS!$D$7:$D$93,E2420)=0,"INCOMPATÍVEL","OK"))))</f>
        <v/>
      </c>
    </row>
    <row r="2421" spans="1:11" ht="30" hidden="1" customHeight="1" x14ac:dyDescent="0.25">
      <c r="A2421" s="86" t="str">
        <f>IF(COUNTIF(EXTRATO!$A$2:$A$3000,"BAN-02278")=0,"","BAN-02278")</f>
        <v/>
      </c>
      <c r="B2421" s="85" t="str">
        <f>IF(A2421="","",IF(INDEX(EXTRATO!$C$2:$C$3000,MATCH($A2421,EXTRATO!$A$2:$A$3000,0))="","",INDEX(EXTRATO!$C$2:$C$3000,MATCH($A2421,EXTRATO!$A$2:$A$3000,0))))</f>
        <v/>
      </c>
      <c r="C2421" s="86" t="str">
        <f t="shared" si="62"/>
        <v/>
      </c>
      <c r="D2421" s="81"/>
      <c r="E2421" s="79"/>
      <c r="F2421" s="80" t="str">
        <f>IF(A2421="","",SUMIF(EXTRATO!$A$2:$A$3000,$A2421,EXTRATO!$J$2:$J$3000)+SUMIF(EXTRATO!$A$2:$A$3000,$A2421,EXTRATO!$K$2:$K$3000)+SUMIF(EXTRATO!$A$2:$A$3000,$A2421,EXTRATO!$L$2:$L$3000)+SUMIF(EXTRATO!$A$2:$A$3000,$A2421,EXTRATO!$M$2:$M$3000))</f>
        <v/>
      </c>
      <c r="G2421" s="81" t="str">
        <f>IF(A2421="","",IF(INDEX(EXTRATO!$G$2:$G$3000,MATCH($A2421,EXTRATO!$A$2:$A$3000,0))="","",INDEX(EXTRATO!$G$2:$G$3000,MATCH($A2421,EXTRATO!$A$2:$A$3000,0))))</f>
        <v/>
      </c>
      <c r="H2421" s="86" t="str">
        <f>IF(A2421="","",IF(INDEX(EXTRATO!$F$2:$F$3000,MATCH($A2421,EXTRATO!$A$2:$A$3000,0))="","",INDEX(EXTRATO!$F$2:$F$3000,MATCH($A2421,EXTRATO!$A$2:$A$3000,0))))</f>
        <v/>
      </c>
      <c r="I2421" s="88" t="str">
        <f>IF(A2421="","",IF(INDEX(EXTRATO!$H$2:$H$3000,MATCH($A2421,EXTRATO!$A$2:$A$3000,0))="","",INDEX(EXTRATO!$H$2:$H$3000,MATCH($A2421,EXTRATO!$A$2:$A$3000,0))))</f>
        <v/>
      </c>
      <c r="J2421" s="86" t="str">
        <f t="shared" si="63"/>
        <v/>
      </c>
      <c r="K2421" s="86" t="str">
        <f>IF(AND(A2421="",D2421="",E2421="",F2421=""),"",IF(D2421="","SEM CATEGORIA",IF(E2421="","SEM SUBCATEGORIA",IF(COUNTIFS(CADASTROS!$L$7:$L$93,D2421,CADASTROS!$D$7:$D$93,E2421)=0,"INCOMPATÍVEL","OK"))))</f>
        <v/>
      </c>
    </row>
    <row r="2422" spans="1:11" ht="30" hidden="1" customHeight="1" x14ac:dyDescent="0.25">
      <c r="A2422" s="86" t="str">
        <f>IF(COUNTIF(EXTRATO!$A$2:$A$3000,"BAN-02279")=0,"","BAN-02279")</f>
        <v/>
      </c>
      <c r="B2422" s="85" t="str">
        <f>IF(A2422="","",IF(INDEX(EXTRATO!$C$2:$C$3000,MATCH($A2422,EXTRATO!$A$2:$A$3000,0))="","",INDEX(EXTRATO!$C$2:$C$3000,MATCH($A2422,EXTRATO!$A$2:$A$3000,0))))</f>
        <v/>
      </c>
      <c r="C2422" s="86" t="str">
        <f t="shared" si="62"/>
        <v/>
      </c>
      <c r="D2422" s="81"/>
      <c r="E2422" s="79"/>
      <c r="F2422" s="80" t="str">
        <f>IF(A2422="","",SUMIF(EXTRATO!$A$2:$A$3000,$A2422,EXTRATO!$J$2:$J$3000)+SUMIF(EXTRATO!$A$2:$A$3000,$A2422,EXTRATO!$K$2:$K$3000)+SUMIF(EXTRATO!$A$2:$A$3000,$A2422,EXTRATO!$L$2:$L$3000)+SUMIF(EXTRATO!$A$2:$A$3000,$A2422,EXTRATO!$M$2:$M$3000))</f>
        <v/>
      </c>
      <c r="G2422" s="81" t="str">
        <f>IF(A2422="","",IF(INDEX(EXTRATO!$G$2:$G$3000,MATCH($A2422,EXTRATO!$A$2:$A$3000,0))="","",INDEX(EXTRATO!$G$2:$G$3000,MATCH($A2422,EXTRATO!$A$2:$A$3000,0))))</f>
        <v/>
      </c>
      <c r="H2422" s="86" t="str">
        <f>IF(A2422="","",IF(INDEX(EXTRATO!$F$2:$F$3000,MATCH($A2422,EXTRATO!$A$2:$A$3000,0))="","",INDEX(EXTRATO!$F$2:$F$3000,MATCH($A2422,EXTRATO!$A$2:$A$3000,0))))</f>
        <v/>
      </c>
      <c r="I2422" s="88" t="str">
        <f>IF(A2422="","",IF(INDEX(EXTRATO!$H$2:$H$3000,MATCH($A2422,EXTRATO!$A$2:$A$3000,0))="","",INDEX(EXTRATO!$H$2:$H$3000,MATCH($A2422,EXTRATO!$A$2:$A$3000,0))))</f>
        <v/>
      </c>
      <c r="J2422" s="86" t="str">
        <f t="shared" si="63"/>
        <v/>
      </c>
      <c r="K2422" s="86" t="str">
        <f>IF(AND(A2422="",D2422="",E2422="",F2422=""),"",IF(D2422="","SEM CATEGORIA",IF(E2422="","SEM SUBCATEGORIA",IF(COUNTIFS(CADASTROS!$L$7:$L$93,D2422,CADASTROS!$D$7:$D$93,E2422)=0,"INCOMPATÍVEL","OK"))))</f>
        <v/>
      </c>
    </row>
    <row r="2423" spans="1:11" ht="30" hidden="1" customHeight="1" x14ac:dyDescent="0.25">
      <c r="A2423" s="86" t="str">
        <f>IF(COUNTIF(EXTRATO!$A$2:$A$3000,"BAN-02280")=0,"","BAN-02280")</f>
        <v/>
      </c>
      <c r="B2423" s="85" t="str">
        <f>IF(A2423="","",IF(INDEX(EXTRATO!$C$2:$C$3000,MATCH($A2423,EXTRATO!$A$2:$A$3000,0))="","",INDEX(EXTRATO!$C$2:$C$3000,MATCH($A2423,EXTRATO!$A$2:$A$3000,0))))</f>
        <v/>
      </c>
      <c r="C2423" s="86" t="str">
        <f t="shared" si="62"/>
        <v/>
      </c>
      <c r="D2423" s="81"/>
      <c r="E2423" s="79"/>
      <c r="F2423" s="80" t="str">
        <f>IF(A2423="","",SUMIF(EXTRATO!$A$2:$A$3000,$A2423,EXTRATO!$J$2:$J$3000)+SUMIF(EXTRATO!$A$2:$A$3000,$A2423,EXTRATO!$K$2:$K$3000)+SUMIF(EXTRATO!$A$2:$A$3000,$A2423,EXTRATO!$L$2:$L$3000)+SUMIF(EXTRATO!$A$2:$A$3000,$A2423,EXTRATO!$M$2:$M$3000))</f>
        <v/>
      </c>
      <c r="G2423" s="81" t="str">
        <f>IF(A2423="","",IF(INDEX(EXTRATO!$G$2:$G$3000,MATCH($A2423,EXTRATO!$A$2:$A$3000,0))="","",INDEX(EXTRATO!$G$2:$G$3000,MATCH($A2423,EXTRATO!$A$2:$A$3000,0))))</f>
        <v/>
      </c>
      <c r="H2423" s="86" t="str">
        <f>IF(A2423="","",IF(INDEX(EXTRATO!$F$2:$F$3000,MATCH($A2423,EXTRATO!$A$2:$A$3000,0))="","",INDEX(EXTRATO!$F$2:$F$3000,MATCH($A2423,EXTRATO!$A$2:$A$3000,0))))</f>
        <v/>
      </c>
      <c r="I2423" s="88" t="str">
        <f>IF(A2423="","",IF(INDEX(EXTRATO!$H$2:$H$3000,MATCH($A2423,EXTRATO!$A$2:$A$3000,0))="","",INDEX(EXTRATO!$H$2:$H$3000,MATCH($A2423,EXTRATO!$A$2:$A$3000,0))))</f>
        <v/>
      </c>
      <c r="J2423" s="86" t="str">
        <f t="shared" si="63"/>
        <v/>
      </c>
      <c r="K2423" s="86" t="str">
        <f>IF(AND(A2423="",D2423="",E2423="",F2423=""),"",IF(D2423="","SEM CATEGORIA",IF(E2423="","SEM SUBCATEGORIA",IF(COUNTIFS(CADASTROS!$L$7:$L$93,D2423,CADASTROS!$D$7:$D$93,E2423)=0,"INCOMPATÍVEL","OK"))))</f>
        <v/>
      </c>
    </row>
    <row r="2424" spans="1:11" ht="30" hidden="1" customHeight="1" x14ac:dyDescent="0.25">
      <c r="A2424" s="86" t="str">
        <f>IF(COUNTIF(EXTRATO!$A$2:$A$3000,"BAN-02281")=0,"","BAN-02281")</f>
        <v/>
      </c>
      <c r="B2424" s="85" t="str">
        <f>IF(A2424="","",IF(INDEX(EXTRATO!$C$2:$C$3000,MATCH($A2424,EXTRATO!$A$2:$A$3000,0))="","",INDEX(EXTRATO!$C$2:$C$3000,MATCH($A2424,EXTRATO!$A$2:$A$3000,0))))</f>
        <v/>
      </c>
      <c r="C2424" s="86" t="str">
        <f t="shared" si="62"/>
        <v/>
      </c>
      <c r="D2424" s="81"/>
      <c r="E2424" s="79"/>
      <c r="F2424" s="80" t="str">
        <f>IF(A2424="","",SUMIF(EXTRATO!$A$2:$A$3000,$A2424,EXTRATO!$J$2:$J$3000)+SUMIF(EXTRATO!$A$2:$A$3000,$A2424,EXTRATO!$K$2:$K$3000)+SUMIF(EXTRATO!$A$2:$A$3000,$A2424,EXTRATO!$L$2:$L$3000)+SUMIF(EXTRATO!$A$2:$A$3000,$A2424,EXTRATO!$M$2:$M$3000))</f>
        <v/>
      </c>
      <c r="G2424" s="81" t="str">
        <f>IF(A2424="","",IF(INDEX(EXTRATO!$G$2:$G$3000,MATCH($A2424,EXTRATO!$A$2:$A$3000,0))="","",INDEX(EXTRATO!$G$2:$G$3000,MATCH($A2424,EXTRATO!$A$2:$A$3000,0))))</f>
        <v/>
      </c>
      <c r="H2424" s="86" t="str">
        <f>IF(A2424="","",IF(INDEX(EXTRATO!$F$2:$F$3000,MATCH($A2424,EXTRATO!$A$2:$A$3000,0))="","",INDEX(EXTRATO!$F$2:$F$3000,MATCH($A2424,EXTRATO!$A$2:$A$3000,0))))</f>
        <v/>
      </c>
      <c r="I2424" s="88" t="str">
        <f>IF(A2424="","",IF(INDEX(EXTRATO!$H$2:$H$3000,MATCH($A2424,EXTRATO!$A$2:$A$3000,0))="","",INDEX(EXTRATO!$H$2:$H$3000,MATCH($A2424,EXTRATO!$A$2:$A$3000,0))))</f>
        <v/>
      </c>
      <c r="J2424" s="86" t="str">
        <f t="shared" si="63"/>
        <v/>
      </c>
      <c r="K2424" s="86" t="str">
        <f>IF(AND(A2424="",D2424="",E2424="",F2424=""),"",IF(D2424="","SEM CATEGORIA",IF(E2424="","SEM SUBCATEGORIA",IF(COUNTIFS(CADASTROS!$L$7:$L$93,D2424,CADASTROS!$D$7:$D$93,E2424)=0,"INCOMPATÍVEL","OK"))))</f>
        <v/>
      </c>
    </row>
    <row r="2425" spans="1:11" ht="30" hidden="1" customHeight="1" x14ac:dyDescent="0.25">
      <c r="A2425" s="86" t="str">
        <f>IF(COUNTIF(EXTRATO!$A$2:$A$3000,"BAN-02282")=0,"","BAN-02282")</f>
        <v/>
      </c>
      <c r="B2425" s="85" t="str">
        <f>IF(A2425="","",IF(INDEX(EXTRATO!$C$2:$C$3000,MATCH($A2425,EXTRATO!$A$2:$A$3000,0))="","",INDEX(EXTRATO!$C$2:$C$3000,MATCH($A2425,EXTRATO!$A$2:$A$3000,0))))</f>
        <v/>
      </c>
      <c r="C2425" s="86" t="str">
        <f t="shared" si="62"/>
        <v/>
      </c>
      <c r="D2425" s="81"/>
      <c r="E2425" s="79"/>
      <c r="F2425" s="80" t="str">
        <f>IF(A2425="","",SUMIF(EXTRATO!$A$2:$A$3000,$A2425,EXTRATO!$J$2:$J$3000)+SUMIF(EXTRATO!$A$2:$A$3000,$A2425,EXTRATO!$K$2:$K$3000)+SUMIF(EXTRATO!$A$2:$A$3000,$A2425,EXTRATO!$L$2:$L$3000)+SUMIF(EXTRATO!$A$2:$A$3000,$A2425,EXTRATO!$M$2:$M$3000))</f>
        <v/>
      </c>
      <c r="G2425" s="81" t="str">
        <f>IF(A2425="","",IF(INDEX(EXTRATO!$G$2:$G$3000,MATCH($A2425,EXTRATO!$A$2:$A$3000,0))="","",INDEX(EXTRATO!$G$2:$G$3000,MATCH($A2425,EXTRATO!$A$2:$A$3000,0))))</f>
        <v/>
      </c>
      <c r="H2425" s="86" t="str">
        <f>IF(A2425="","",IF(INDEX(EXTRATO!$F$2:$F$3000,MATCH($A2425,EXTRATO!$A$2:$A$3000,0))="","",INDEX(EXTRATO!$F$2:$F$3000,MATCH($A2425,EXTRATO!$A$2:$A$3000,0))))</f>
        <v/>
      </c>
      <c r="I2425" s="88" t="str">
        <f>IF(A2425="","",IF(INDEX(EXTRATO!$H$2:$H$3000,MATCH($A2425,EXTRATO!$A$2:$A$3000,0))="","",INDEX(EXTRATO!$H$2:$H$3000,MATCH($A2425,EXTRATO!$A$2:$A$3000,0))))</f>
        <v/>
      </c>
      <c r="J2425" s="86" t="str">
        <f t="shared" si="63"/>
        <v/>
      </c>
      <c r="K2425" s="86" t="str">
        <f>IF(AND(A2425="",D2425="",E2425="",F2425=""),"",IF(D2425="","SEM CATEGORIA",IF(E2425="","SEM SUBCATEGORIA",IF(COUNTIFS(CADASTROS!$L$7:$L$93,D2425,CADASTROS!$D$7:$D$93,E2425)=0,"INCOMPATÍVEL","OK"))))</f>
        <v/>
      </c>
    </row>
    <row r="2426" spans="1:11" ht="30" hidden="1" customHeight="1" x14ac:dyDescent="0.25">
      <c r="A2426" s="86" t="str">
        <f>IF(COUNTIF(EXTRATO!$A$2:$A$3000,"BAN-02283")=0,"","BAN-02283")</f>
        <v/>
      </c>
      <c r="B2426" s="85" t="str">
        <f>IF(A2426="","",IF(INDEX(EXTRATO!$C$2:$C$3000,MATCH($A2426,EXTRATO!$A$2:$A$3000,0))="","",INDEX(EXTRATO!$C$2:$C$3000,MATCH($A2426,EXTRATO!$A$2:$A$3000,0))))</f>
        <v/>
      </c>
      <c r="C2426" s="86" t="str">
        <f t="shared" si="62"/>
        <v/>
      </c>
      <c r="D2426" s="81"/>
      <c r="E2426" s="79"/>
      <c r="F2426" s="80" t="str">
        <f>IF(A2426="","",SUMIF(EXTRATO!$A$2:$A$3000,$A2426,EXTRATO!$J$2:$J$3000)+SUMIF(EXTRATO!$A$2:$A$3000,$A2426,EXTRATO!$K$2:$K$3000)+SUMIF(EXTRATO!$A$2:$A$3000,$A2426,EXTRATO!$L$2:$L$3000)+SUMIF(EXTRATO!$A$2:$A$3000,$A2426,EXTRATO!$M$2:$M$3000))</f>
        <v/>
      </c>
      <c r="G2426" s="81" t="str">
        <f>IF(A2426="","",IF(INDEX(EXTRATO!$G$2:$G$3000,MATCH($A2426,EXTRATO!$A$2:$A$3000,0))="","",INDEX(EXTRATO!$G$2:$G$3000,MATCH($A2426,EXTRATO!$A$2:$A$3000,0))))</f>
        <v/>
      </c>
      <c r="H2426" s="86" t="str">
        <f>IF(A2426="","",IF(INDEX(EXTRATO!$F$2:$F$3000,MATCH($A2426,EXTRATO!$A$2:$A$3000,0))="","",INDEX(EXTRATO!$F$2:$F$3000,MATCH($A2426,EXTRATO!$A$2:$A$3000,0))))</f>
        <v/>
      </c>
      <c r="I2426" s="88" t="str">
        <f>IF(A2426="","",IF(INDEX(EXTRATO!$H$2:$H$3000,MATCH($A2426,EXTRATO!$A$2:$A$3000,0))="","",INDEX(EXTRATO!$H$2:$H$3000,MATCH($A2426,EXTRATO!$A$2:$A$3000,0))))</f>
        <v/>
      </c>
      <c r="J2426" s="86" t="str">
        <f t="shared" si="63"/>
        <v/>
      </c>
      <c r="K2426" s="86" t="str">
        <f>IF(AND(A2426="",D2426="",E2426="",F2426=""),"",IF(D2426="","SEM CATEGORIA",IF(E2426="","SEM SUBCATEGORIA",IF(COUNTIFS(CADASTROS!$L$7:$L$93,D2426,CADASTROS!$D$7:$D$93,E2426)=0,"INCOMPATÍVEL","OK"))))</f>
        <v/>
      </c>
    </row>
    <row r="2427" spans="1:11" ht="30" hidden="1" customHeight="1" x14ac:dyDescent="0.25">
      <c r="A2427" s="86" t="str">
        <f>IF(COUNTIF(EXTRATO!$A$2:$A$3000,"BAN-02284")=0,"","BAN-02284")</f>
        <v/>
      </c>
      <c r="B2427" s="85" t="str">
        <f>IF(A2427="","",IF(INDEX(EXTRATO!$C$2:$C$3000,MATCH($A2427,EXTRATO!$A$2:$A$3000,0))="","",INDEX(EXTRATO!$C$2:$C$3000,MATCH($A2427,EXTRATO!$A$2:$A$3000,0))))</f>
        <v/>
      </c>
      <c r="C2427" s="86" t="str">
        <f t="shared" si="62"/>
        <v/>
      </c>
      <c r="D2427" s="81"/>
      <c r="E2427" s="79"/>
      <c r="F2427" s="80" t="str">
        <f>IF(A2427="","",SUMIF(EXTRATO!$A$2:$A$3000,$A2427,EXTRATO!$J$2:$J$3000)+SUMIF(EXTRATO!$A$2:$A$3000,$A2427,EXTRATO!$K$2:$K$3000)+SUMIF(EXTRATO!$A$2:$A$3000,$A2427,EXTRATO!$L$2:$L$3000)+SUMIF(EXTRATO!$A$2:$A$3000,$A2427,EXTRATO!$M$2:$M$3000))</f>
        <v/>
      </c>
      <c r="G2427" s="81" t="str">
        <f>IF(A2427="","",IF(INDEX(EXTRATO!$G$2:$G$3000,MATCH($A2427,EXTRATO!$A$2:$A$3000,0))="","",INDEX(EXTRATO!$G$2:$G$3000,MATCH($A2427,EXTRATO!$A$2:$A$3000,0))))</f>
        <v/>
      </c>
      <c r="H2427" s="86" t="str">
        <f>IF(A2427="","",IF(INDEX(EXTRATO!$F$2:$F$3000,MATCH($A2427,EXTRATO!$A$2:$A$3000,0))="","",INDEX(EXTRATO!$F$2:$F$3000,MATCH($A2427,EXTRATO!$A$2:$A$3000,0))))</f>
        <v/>
      </c>
      <c r="I2427" s="88" t="str">
        <f>IF(A2427="","",IF(INDEX(EXTRATO!$H$2:$H$3000,MATCH($A2427,EXTRATO!$A$2:$A$3000,0))="","",INDEX(EXTRATO!$H$2:$H$3000,MATCH($A2427,EXTRATO!$A$2:$A$3000,0))))</f>
        <v/>
      </c>
      <c r="J2427" s="86" t="str">
        <f t="shared" si="63"/>
        <v/>
      </c>
      <c r="K2427" s="86" t="str">
        <f>IF(AND(A2427="",D2427="",E2427="",F2427=""),"",IF(D2427="","SEM CATEGORIA",IF(E2427="","SEM SUBCATEGORIA",IF(COUNTIFS(CADASTROS!$L$7:$L$93,D2427,CADASTROS!$D$7:$D$93,E2427)=0,"INCOMPATÍVEL","OK"))))</f>
        <v/>
      </c>
    </row>
    <row r="2428" spans="1:11" ht="30" hidden="1" customHeight="1" x14ac:dyDescent="0.25">
      <c r="A2428" s="86" t="str">
        <f>IF(COUNTIF(EXTRATO!$A$2:$A$3000,"BAN-02285")=0,"","BAN-02285")</f>
        <v/>
      </c>
      <c r="B2428" s="85" t="str">
        <f>IF(A2428="","",IF(INDEX(EXTRATO!$C$2:$C$3000,MATCH($A2428,EXTRATO!$A$2:$A$3000,0))="","",INDEX(EXTRATO!$C$2:$C$3000,MATCH($A2428,EXTRATO!$A$2:$A$3000,0))))</f>
        <v/>
      </c>
      <c r="C2428" s="86" t="str">
        <f t="shared" si="62"/>
        <v/>
      </c>
      <c r="D2428" s="81"/>
      <c r="E2428" s="79"/>
      <c r="F2428" s="80" t="str">
        <f>IF(A2428="","",SUMIF(EXTRATO!$A$2:$A$3000,$A2428,EXTRATO!$J$2:$J$3000)+SUMIF(EXTRATO!$A$2:$A$3000,$A2428,EXTRATO!$K$2:$K$3000)+SUMIF(EXTRATO!$A$2:$A$3000,$A2428,EXTRATO!$L$2:$L$3000)+SUMIF(EXTRATO!$A$2:$A$3000,$A2428,EXTRATO!$M$2:$M$3000))</f>
        <v/>
      </c>
      <c r="G2428" s="81" t="str">
        <f>IF(A2428="","",IF(INDEX(EXTRATO!$G$2:$G$3000,MATCH($A2428,EXTRATO!$A$2:$A$3000,0))="","",INDEX(EXTRATO!$G$2:$G$3000,MATCH($A2428,EXTRATO!$A$2:$A$3000,0))))</f>
        <v/>
      </c>
      <c r="H2428" s="86" t="str">
        <f>IF(A2428="","",IF(INDEX(EXTRATO!$F$2:$F$3000,MATCH($A2428,EXTRATO!$A$2:$A$3000,0))="","",INDEX(EXTRATO!$F$2:$F$3000,MATCH($A2428,EXTRATO!$A$2:$A$3000,0))))</f>
        <v/>
      </c>
      <c r="I2428" s="88" t="str">
        <f>IF(A2428="","",IF(INDEX(EXTRATO!$H$2:$H$3000,MATCH($A2428,EXTRATO!$A$2:$A$3000,0))="","",INDEX(EXTRATO!$H$2:$H$3000,MATCH($A2428,EXTRATO!$A$2:$A$3000,0))))</f>
        <v/>
      </c>
      <c r="J2428" s="86" t="str">
        <f t="shared" si="63"/>
        <v/>
      </c>
      <c r="K2428" s="86" t="str">
        <f>IF(AND(A2428="",D2428="",E2428="",F2428=""),"",IF(D2428="","SEM CATEGORIA",IF(E2428="","SEM SUBCATEGORIA",IF(COUNTIFS(CADASTROS!$L$7:$L$93,D2428,CADASTROS!$D$7:$D$93,E2428)=0,"INCOMPATÍVEL","OK"))))</f>
        <v/>
      </c>
    </row>
    <row r="2429" spans="1:11" ht="30" hidden="1" customHeight="1" x14ac:dyDescent="0.25">
      <c r="A2429" s="86" t="str">
        <f>IF(COUNTIF(EXTRATO!$A$2:$A$3000,"BAN-02286")=0,"","BAN-02286")</f>
        <v/>
      </c>
      <c r="B2429" s="85" t="str">
        <f>IF(A2429="","",IF(INDEX(EXTRATO!$C$2:$C$3000,MATCH($A2429,EXTRATO!$A$2:$A$3000,0))="","",INDEX(EXTRATO!$C$2:$C$3000,MATCH($A2429,EXTRATO!$A$2:$A$3000,0))))</f>
        <v/>
      </c>
      <c r="C2429" s="86" t="str">
        <f t="shared" si="62"/>
        <v/>
      </c>
      <c r="D2429" s="81"/>
      <c r="E2429" s="79"/>
      <c r="F2429" s="80" t="str">
        <f>IF(A2429="","",SUMIF(EXTRATO!$A$2:$A$3000,$A2429,EXTRATO!$J$2:$J$3000)+SUMIF(EXTRATO!$A$2:$A$3000,$A2429,EXTRATO!$K$2:$K$3000)+SUMIF(EXTRATO!$A$2:$A$3000,$A2429,EXTRATO!$L$2:$L$3000)+SUMIF(EXTRATO!$A$2:$A$3000,$A2429,EXTRATO!$M$2:$M$3000))</f>
        <v/>
      </c>
      <c r="G2429" s="81" t="str">
        <f>IF(A2429="","",IF(INDEX(EXTRATO!$G$2:$G$3000,MATCH($A2429,EXTRATO!$A$2:$A$3000,0))="","",INDEX(EXTRATO!$G$2:$G$3000,MATCH($A2429,EXTRATO!$A$2:$A$3000,0))))</f>
        <v/>
      </c>
      <c r="H2429" s="86" t="str">
        <f>IF(A2429="","",IF(INDEX(EXTRATO!$F$2:$F$3000,MATCH($A2429,EXTRATO!$A$2:$A$3000,0))="","",INDEX(EXTRATO!$F$2:$F$3000,MATCH($A2429,EXTRATO!$A$2:$A$3000,0))))</f>
        <v/>
      </c>
      <c r="I2429" s="88" t="str">
        <f>IF(A2429="","",IF(INDEX(EXTRATO!$H$2:$H$3000,MATCH($A2429,EXTRATO!$A$2:$A$3000,0))="","",INDEX(EXTRATO!$H$2:$H$3000,MATCH($A2429,EXTRATO!$A$2:$A$3000,0))))</f>
        <v/>
      </c>
      <c r="J2429" s="86" t="str">
        <f t="shared" si="63"/>
        <v/>
      </c>
      <c r="K2429" s="86" t="str">
        <f>IF(AND(A2429="",D2429="",E2429="",F2429=""),"",IF(D2429="","SEM CATEGORIA",IF(E2429="","SEM SUBCATEGORIA",IF(COUNTIFS(CADASTROS!$L$7:$L$93,D2429,CADASTROS!$D$7:$D$93,E2429)=0,"INCOMPATÍVEL","OK"))))</f>
        <v/>
      </c>
    </row>
    <row r="2430" spans="1:11" ht="30" hidden="1" customHeight="1" x14ac:dyDescent="0.25">
      <c r="A2430" s="86" t="str">
        <f>IF(COUNTIF(EXTRATO!$A$2:$A$3000,"BAN-02287")=0,"","BAN-02287")</f>
        <v/>
      </c>
      <c r="B2430" s="85" t="str">
        <f>IF(A2430="","",IF(INDEX(EXTRATO!$C$2:$C$3000,MATCH($A2430,EXTRATO!$A$2:$A$3000,0))="","",INDEX(EXTRATO!$C$2:$C$3000,MATCH($A2430,EXTRATO!$A$2:$A$3000,0))))</f>
        <v/>
      </c>
      <c r="C2430" s="86" t="str">
        <f t="shared" si="62"/>
        <v/>
      </c>
      <c r="D2430" s="81"/>
      <c r="E2430" s="79"/>
      <c r="F2430" s="80" t="str">
        <f>IF(A2430="","",SUMIF(EXTRATO!$A$2:$A$3000,$A2430,EXTRATO!$J$2:$J$3000)+SUMIF(EXTRATO!$A$2:$A$3000,$A2430,EXTRATO!$K$2:$K$3000)+SUMIF(EXTRATO!$A$2:$A$3000,$A2430,EXTRATO!$L$2:$L$3000)+SUMIF(EXTRATO!$A$2:$A$3000,$A2430,EXTRATO!$M$2:$M$3000))</f>
        <v/>
      </c>
      <c r="G2430" s="81" t="str">
        <f>IF(A2430="","",IF(INDEX(EXTRATO!$G$2:$G$3000,MATCH($A2430,EXTRATO!$A$2:$A$3000,0))="","",INDEX(EXTRATO!$G$2:$G$3000,MATCH($A2430,EXTRATO!$A$2:$A$3000,0))))</f>
        <v/>
      </c>
      <c r="H2430" s="86" t="str">
        <f>IF(A2430="","",IF(INDEX(EXTRATO!$F$2:$F$3000,MATCH($A2430,EXTRATO!$A$2:$A$3000,0))="","",INDEX(EXTRATO!$F$2:$F$3000,MATCH($A2430,EXTRATO!$A$2:$A$3000,0))))</f>
        <v/>
      </c>
      <c r="I2430" s="88" t="str">
        <f>IF(A2430="","",IF(INDEX(EXTRATO!$H$2:$H$3000,MATCH($A2430,EXTRATO!$A$2:$A$3000,0))="","",INDEX(EXTRATO!$H$2:$H$3000,MATCH($A2430,EXTRATO!$A$2:$A$3000,0))))</f>
        <v/>
      </c>
      <c r="J2430" s="86" t="str">
        <f t="shared" si="63"/>
        <v/>
      </c>
      <c r="K2430" s="86" t="str">
        <f>IF(AND(A2430="",D2430="",E2430="",F2430=""),"",IF(D2430="","SEM CATEGORIA",IF(E2430="","SEM SUBCATEGORIA",IF(COUNTIFS(CADASTROS!$L$7:$L$93,D2430,CADASTROS!$D$7:$D$93,E2430)=0,"INCOMPATÍVEL","OK"))))</f>
        <v/>
      </c>
    </row>
    <row r="2431" spans="1:11" ht="30" hidden="1" customHeight="1" x14ac:dyDescent="0.25">
      <c r="A2431" s="86" t="str">
        <f>IF(COUNTIF(EXTRATO!$A$2:$A$3000,"BAN-02288")=0,"","BAN-02288")</f>
        <v/>
      </c>
      <c r="B2431" s="85" t="str">
        <f>IF(A2431="","",IF(INDEX(EXTRATO!$C$2:$C$3000,MATCH($A2431,EXTRATO!$A$2:$A$3000,0))="","",INDEX(EXTRATO!$C$2:$C$3000,MATCH($A2431,EXTRATO!$A$2:$A$3000,0))))</f>
        <v/>
      </c>
      <c r="C2431" s="86" t="str">
        <f t="shared" si="62"/>
        <v/>
      </c>
      <c r="D2431" s="81"/>
      <c r="E2431" s="79"/>
      <c r="F2431" s="80" t="str">
        <f>IF(A2431="","",SUMIF(EXTRATO!$A$2:$A$3000,$A2431,EXTRATO!$J$2:$J$3000)+SUMIF(EXTRATO!$A$2:$A$3000,$A2431,EXTRATO!$K$2:$K$3000)+SUMIF(EXTRATO!$A$2:$A$3000,$A2431,EXTRATO!$L$2:$L$3000)+SUMIF(EXTRATO!$A$2:$A$3000,$A2431,EXTRATO!$M$2:$M$3000))</f>
        <v/>
      </c>
      <c r="G2431" s="81" t="str">
        <f>IF(A2431="","",IF(INDEX(EXTRATO!$G$2:$G$3000,MATCH($A2431,EXTRATO!$A$2:$A$3000,0))="","",INDEX(EXTRATO!$G$2:$G$3000,MATCH($A2431,EXTRATO!$A$2:$A$3000,0))))</f>
        <v/>
      </c>
      <c r="H2431" s="86" t="str">
        <f>IF(A2431="","",IF(INDEX(EXTRATO!$F$2:$F$3000,MATCH($A2431,EXTRATO!$A$2:$A$3000,0))="","",INDEX(EXTRATO!$F$2:$F$3000,MATCH($A2431,EXTRATO!$A$2:$A$3000,0))))</f>
        <v/>
      </c>
      <c r="I2431" s="88" t="str">
        <f>IF(A2431="","",IF(INDEX(EXTRATO!$H$2:$H$3000,MATCH($A2431,EXTRATO!$A$2:$A$3000,0))="","",INDEX(EXTRATO!$H$2:$H$3000,MATCH($A2431,EXTRATO!$A$2:$A$3000,0))))</f>
        <v/>
      </c>
      <c r="J2431" s="86" t="str">
        <f t="shared" si="63"/>
        <v/>
      </c>
      <c r="K2431" s="86" t="str">
        <f>IF(AND(A2431="",D2431="",E2431="",F2431=""),"",IF(D2431="","SEM CATEGORIA",IF(E2431="","SEM SUBCATEGORIA",IF(COUNTIFS(CADASTROS!$L$7:$L$93,D2431,CADASTROS!$D$7:$D$93,E2431)=0,"INCOMPATÍVEL","OK"))))</f>
        <v/>
      </c>
    </row>
    <row r="2432" spans="1:11" ht="30" hidden="1" customHeight="1" x14ac:dyDescent="0.25">
      <c r="A2432" s="86" t="str">
        <f>IF(COUNTIF(EXTRATO!$A$2:$A$3000,"BAN-02289")=0,"","BAN-02289")</f>
        <v/>
      </c>
      <c r="B2432" s="85" t="str">
        <f>IF(A2432="","",IF(INDEX(EXTRATO!$C$2:$C$3000,MATCH($A2432,EXTRATO!$A$2:$A$3000,0))="","",INDEX(EXTRATO!$C$2:$C$3000,MATCH($A2432,EXTRATO!$A$2:$A$3000,0))))</f>
        <v/>
      </c>
      <c r="C2432" s="86" t="str">
        <f t="shared" si="62"/>
        <v/>
      </c>
      <c r="D2432" s="81"/>
      <c r="E2432" s="79"/>
      <c r="F2432" s="80" t="str">
        <f>IF(A2432="","",SUMIF(EXTRATO!$A$2:$A$3000,$A2432,EXTRATO!$J$2:$J$3000)+SUMIF(EXTRATO!$A$2:$A$3000,$A2432,EXTRATO!$K$2:$K$3000)+SUMIF(EXTRATO!$A$2:$A$3000,$A2432,EXTRATO!$L$2:$L$3000)+SUMIF(EXTRATO!$A$2:$A$3000,$A2432,EXTRATO!$M$2:$M$3000))</f>
        <v/>
      </c>
      <c r="G2432" s="81" t="str">
        <f>IF(A2432="","",IF(INDEX(EXTRATO!$G$2:$G$3000,MATCH($A2432,EXTRATO!$A$2:$A$3000,0))="","",INDEX(EXTRATO!$G$2:$G$3000,MATCH($A2432,EXTRATO!$A$2:$A$3000,0))))</f>
        <v/>
      </c>
      <c r="H2432" s="86" t="str">
        <f>IF(A2432="","",IF(INDEX(EXTRATO!$F$2:$F$3000,MATCH($A2432,EXTRATO!$A$2:$A$3000,0))="","",INDEX(EXTRATO!$F$2:$F$3000,MATCH($A2432,EXTRATO!$A$2:$A$3000,0))))</f>
        <v/>
      </c>
      <c r="I2432" s="88" t="str">
        <f>IF(A2432="","",IF(INDEX(EXTRATO!$H$2:$H$3000,MATCH($A2432,EXTRATO!$A$2:$A$3000,0))="","",INDEX(EXTRATO!$H$2:$H$3000,MATCH($A2432,EXTRATO!$A$2:$A$3000,0))))</f>
        <v/>
      </c>
      <c r="J2432" s="86" t="str">
        <f t="shared" si="63"/>
        <v/>
      </c>
      <c r="K2432" s="86" t="str">
        <f>IF(AND(A2432="",D2432="",E2432="",F2432=""),"",IF(D2432="","SEM CATEGORIA",IF(E2432="","SEM SUBCATEGORIA",IF(COUNTIFS(CADASTROS!$L$7:$L$93,D2432,CADASTROS!$D$7:$D$93,E2432)=0,"INCOMPATÍVEL","OK"))))</f>
        <v/>
      </c>
    </row>
    <row r="2433" spans="1:11" ht="30" hidden="1" customHeight="1" x14ac:dyDescent="0.25">
      <c r="A2433" s="86" t="str">
        <f>IF(COUNTIF(EXTRATO!$A$2:$A$3000,"BAN-02290")=0,"","BAN-02290")</f>
        <v/>
      </c>
      <c r="B2433" s="85" t="str">
        <f>IF(A2433="","",IF(INDEX(EXTRATO!$C$2:$C$3000,MATCH($A2433,EXTRATO!$A$2:$A$3000,0))="","",INDEX(EXTRATO!$C$2:$C$3000,MATCH($A2433,EXTRATO!$A$2:$A$3000,0))))</f>
        <v/>
      </c>
      <c r="C2433" s="86" t="str">
        <f t="shared" si="62"/>
        <v/>
      </c>
      <c r="D2433" s="81"/>
      <c r="E2433" s="79"/>
      <c r="F2433" s="80" t="str">
        <f>IF(A2433="","",SUMIF(EXTRATO!$A$2:$A$3000,$A2433,EXTRATO!$J$2:$J$3000)+SUMIF(EXTRATO!$A$2:$A$3000,$A2433,EXTRATO!$K$2:$K$3000)+SUMIF(EXTRATO!$A$2:$A$3000,$A2433,EXTRATO!$L$2:$L$3000)+SUMIF(EXTRATO!$A$2:$A$3000,$A2433,EXTRATO!$M$2:$M$3000))</f>
        <v/>
      </c>
      <c r="G2433" s="81" t="str">
        <f>IF(A2433="","",IF(INDEX(EXTRATO!$G$2:$G$3000,MATCH($A2433,EXTRATO!$A$2:$A$3000,0))="","",INDEX(EXTRATO!$G$2:$G$3000,MATCH($A2433,EXTRATO!$A$2:$A$3000,0))))</f>
        <v/>
      </c>
      <c r="H2433" s="86" t="str">
        <f>IF(A2433="","",IF(INDEX(EXTRATO!$F$2:$F$3000,MATCH($A2433,EXTRATO!$A$2:$A$3000,0))="","",INDEX(EXTRATO!$F$2:$F$3000,MATCH($A2433,EXTRATO!$A$2:$A$3000,0))))</f>
        <v/>
      </c>
      <c r="I2433" s="88" t="str">
        <f>IF(A2433="","",IF(INDEX(EXTRATO!$H$2:$H$3000,MATCH($A2433,EXTRATO!$A$2:$A$3000,0))="","",INDEX(EXTRATO!$H$2:$H$3000,MATCH($A2433,EXTRATO!$A$2:$A$3000,0))))</f>
        <v/>
      </c>
      <c r="J2433" s="86" t="str">
        <f t="shared" si="63"/>
        <v/>
      </c>
      <c r="K2433" s="86" t="str">
        <f>IF(AND(A2433="",D2433="",E2433="",F2433=""),"",IF(D2433="","SEM CATEGORIA",IF(E2433="","SEM SUBCATEGORIA",IF(COUNTIFS(CADASTROS!$L$7:$L$93,D2433,CADASTROS!$D$7:$D$93,E2433)=0,"INCOMPATÍVEL","OK"))))</f>
        <v/>
      </c>
    </row>
    <row r="2434" spans="1:11" ht="30" hidden="1" customHeight="1" x14ac:dyDescent="0.25">
      <c r="A2434" s="86" t="str">
        <f>IF(COUNTIF(EXTRATO!$A$2:$A$3000,"BAN-02291")=0,"","BAN-02291")</f>
        <v/>
      </c>
      <c r="B2434" s="85" t="str">
        <f>IF(A2434="","",IF(INDEX(EXTRATO!$C$2:$C$3000,MATCH($A2434,EXTRATO!$A$2:$A$3000,0))="","",INDEX(EXTRATO!$C$2:$C$3000,MATCH($A2434,EXTRATO!$A$2:$A$3000,0))))</f>
        <v/>
      </c>
      <c r="C2434" s="86" t="str">
        <f t="shared" si="62"/>
        <v/>
      </c>
      <c r="D2434" s="81"/>
      <c r="E2434" s="79"/>
      <c r="F2434" s="80" t="str">
        <f>IF(A2434="","",SUMIF(EXTRATO!$A$2:$A$3000,$A2434,EXTRATO!$J$2:$J$3000)+SUMIF(EXTRATO!$A$2:$A$3000,$A2434,EXTRATO!$K$2:$K$3000)+SUMIF(EXTRATO!$A$2:$A$3000,$A2434,EXTRATO!$L$2:$L$3000)+SUMIF(EXTRATO!$A$2:$A$3000,$A2434,EXTRATO!$M$2:$M$3000))</f>
        <v/>
      </c>
      <c r="G2434" s="81" t="str">
        <f>IF(A2434="","",IF(INDEX(EXTRATO!$G$2:$G$3000,MATCH($A2434,EXTRATO!$A$2:$A$3000,0))="","",INDEX(EXTRATO!$G$2:$G$3000,MATCH($A2434,EXTRATO!$A$2:$A$3000,0))))</f>
        <v/>
      </c>
      <c r="H2434" s="86" t="str">
        <f>IF(A2434="","",IF(INDEX(EXTRATO!$F$2:$F$3000,MATCH($A2434,EXTRATO!$A$2:$A$3000,0))="","",INDEX(EXTRATO!$F$2:$F$3000,MATCH($A2434,EXTRATO!$A$2:$A$3000,0))))</f>
        <v/>
      </c>
      <c r="I2434" s="88" t="str">
        <f>IF(A2434="","",IF(INDEX(EXTRATO!$H$2:$H$3000,MATCH($A2434,EXTRATO!$A$2:$A$3000,0))="","",INDEX(EXTRATO!$H$2:$H$3000,MATCH($A2434,EXTRATO!$A$2:$A$3000,0))))</f>
        <v/>
      </c>
      <c r="J2434" s="86" t="str">
        <f t="shared" si="63"/>
        <v/>
      </c>
      <c r="K2434" s="86" t="str">
        <f>IF(AND(A2434="",D2434="",E2434="",F2434=""),"",IF(D2434="","SEM CATEGORIA",IF(E2434="","SEM SUBCATEGORIA",IF(COUNTIFS(CADASTROS!$L$7:$L$93,D2434,CADASTROS!$D$7:$D$93,E2434)=0,"INCOMPATÍVEL","OK"))))</f>
        <v/>
      </c>
    </row>
    <row r="2435" spans="1:11" ht="30" hidden="1" customHeight="1" x14ac:dyDescent="0.25">
      <c r="A2435" s="86" t="str">
        <f>IF(COUNTIF(EXTRATO!$A$2:$A$3000,"BAN-02292")=0,"","BAN-02292")</f>
        <v/>
      </c>
      <c r="B2435" s="85" t="str">
        <f>IF(A2435="","",IF(INDEX(EXTRATO!$C$2:$C$3000,MATCH($A2435,EXTRATO!$A$2:$A$3000,0))="","",INDEX(EXTRATO!$C$2:$C$3000,MATCH($A2435,EXTRATO!$A$2:$A$3000,0))))</f>
        <v/>
      </c>
      <c r="C2435" s="86" t="str">
        <f t="shared" si="62"/>
        <v/>
      </c>
      <c r="D2435" s="81"/>
      <c r="E2435" s="79"/>
      <c r="F2435" s="80" t="str">
        <f>IF(A2435="","",SUMIF(EXTRATO!$A$2:$A$3000,$A2435,EXTRATO!$J$2:$J$3000)+SUMIF(EXTRATO!$A$2:$A$3000,$A2435,EXTRATO!$K$2:$K$3000)+SUMIF(EXTRATO!$A$2:$A$3000,$A2435,EXTRATO!$L$2:$L$3000)+SUMIF(EXTRATO!$A$2:$A$3000,$A2435,EXTRATO!$M$2:$M$3000))</f>
        <v/>
      </c>
      <c r="G2435" s="81" t="str">
        <f>IF(A2435="","",IF(INDEX(EXTRATO!$G$2:$G$3000,MATCH($A2435,EXTRATO!$A$2:$A$3000,0))="","",INDEX(EXTRATO!$G$2:$G$3000,MATCH($A2435,EXTRATO!$A$2:$A$3000,0))))</f>
        <v/>
      </c>
      <c r="H2435" s="86" t="str">
        <f>IF(A2435="","",IF(INDEX(EXTRATO!$F$2:$F$3000,MATCH($A2435,EXTRATO!$A$2:$A$3000,0))="","",INDEX(EXTRATO!$F$2:$F$3000,MATCH($A2435,EXTRATO!$A$2:$A$3000,0))))</f>
        <v/>
      </c>
      <c r="I2435" s="88" t="str">
        <f>IF(A2435="","",IF(INDEX(EXTRATO!$H$2:$H$3000,MATCH($A2435,EXTRATO!$A$2:$A$3000,0))="","",INDEX(EXTRATO!$H$2:$H$3000,MATCH($A2435,EXTRATO!$A$2:$A$3000,0))))</f>
        <v/>
      </c>
      <c r="J2435" s="86" t="str">
        <f t="shared" si="63"/>
        <v/>
      </c>
      <c r="K2435" s="86" t="str">
        <f>IF(AND(A2435="",D2435="",E2435="",F2435=""),"",IF(D2435="","SEM CATEGORIA",IF(E2435="","SEM SUBCATEGORIA",IF(COUNTIFS(CADASTROS!$L$7:$L$93,D2435,CADASTROS!$D$7:$D$93,E2435)=0,"INCOMPATÍVEL","OK"))))</f>
        <v/>
      </c>
    </row>
    <row r="2436" spans="1:11" ht="30" hidden="1" customHeight="1" x14ac:dyDescent="0.25">
      <c r="A2436" s="86" t="str">
        <f>IF(COUNTIF(EXTRATO!$A$2:$A$3000,"BAN-02293")=0,"","BAN-02293")</f>
        <v/>
      </c>
      <c r="B2436" s="85" t="str">
        <f>IF(A2436="","",IF(INDEX(EXTRATO!$C$2:$C$3000,MATCH($A2436,EXTRATO!$A$2:$A$3000,0))="","",INDEX(EXTRATO!$C$2:$C$3000,MATCH($A2436,EXTRATO!$A$2:$A$3000,0))))</f>
        <v/>
      </c>
      <c r="C2436" s="86" t="str">
        <f t="shared" si="62"/>
        <v/>
      </c>
      <c r="D2436" s="81"/>
      <c r="E2436" s="79"/>
      <c r="F2436" s="80" t="str">
        <f>IF(A2436="","",SUMIF(EXTRATO!$A$2:$A$3000,$A2436,EXTRATO!$J$2:$J$3000)+SUMIF(EXTRATO!$A$2:$A$3000,$A2436,EXTRATO!$K$2:$K$3000)+SUMIF(EXTRATO!$A$2:$A$3000,$A2436,EXTRATO!$L$2:$L$3000)+SUMIF(EXTRATO!$A$2:$A$3000,$A2436,EXTRATO!$M$2:$M$3000))</f>
        <v/>
      </c>
      <c r="G2436" s="81" t="str">
        <f>IF(A2436="","",IF(INDEX(EXTRATO!$G$2:$G$3000,MATCH($A2436,EXTRATO!$A$2:$A$3000,0))="","",INDEX(EXTRATO!$G$2:$G$3000,MATCH($A2436,EXTRATO!$A$2:$A$3000,0))))</f>
        <v/>
      </c>
      <c r="H2436" s="86" t="str">
        <f>IF(A2436="","",IF(INDEX(EXTRATO!$F$2:$F$3000,MATCH($A2436,EXTRATO!$A$2:$A$3000,0))="","",INDEX(EXTRATO!$F$2:$F$3000,MATCH($A2436,EXTRATO!$A$2:$A$3000,0))))</f>
        <v/>
      </c>
      <c r="I2436" s="88" t="str">
        <f>IF(A2436="","",IF(INDEX(EXTRATO!$H$2:$H$3000,MATCH($A2436,EXTRATO!$A$2:$A$3000,0))="","",INDEX(EXTRATO!$H$2:$H$3000,MATCH($A2436,EXTRATO!$A$2:$A$3000,0))))</f>
        <v/>
      </c>
      <c r="J2436" s="86" t="str">
        <f t="shared" si="63"/>
        <v/>
      </c>
      <c r="K2436" s="86" t="str">
        <f>IF(AND(A2436="",D2436="",E2436="",F2436=""),"",IF(D2436="","SEM CATEGORIA",IF(E2436="","SEM SUBCATEGORIA",IF(COUNTIFS(CADASTROS!$L$7:$L$93,D2436,CADASTROS!$D$7:$D$93,E2436)=0,"INCOMPATÍVEL","OK"))))</f>
        <v/>
      </c>
    </row>
    <row r="2437" spans="1:11" ht="30" hidden="1" customHeight="1" x14ac:dyDescent="0.25">
      <c r="A2437" s="86" t="str">
        <f>IF(COUNTIF(EXTRATO!$A$2:$A$3000,"BAN-02294")=0,"","BAN-02294")</f>
        <v/>
      </c>
      <c r="B2437" s="85" t="str">
        <f>IF(A2437="","",IF(INDEX(EXTRATO!$C$2:$C$3000,MATCH($A2437,EXTRATO!$A$2:$A$3000,0))="","",INDEX(EXTRATO!$C$2:$C$3000,MATCH($A2437,EXTRATO!$A$2:$A$3000,0))))</f>
        <v/>
      </c>
      <c r="C2437" s="86" t="str">
        <f t="shared" si="62"/>
        <v/>
      </c>
      <c r="D2437" s="81"/>
      <c r="E2437" s="79"/>
      <c r="F2437" s="80" t="str">
        <f>IF(A2437="","",SUMIF(EXTRATO!$A$2:$A$3000,$A2437,EXTRATO!$J$2:$J$3000)+SUMIF(EXTRATO!$A$2:$A$3000,$A2437,EXTRATO!$K$2:$K$3000)+SUMIF(EXTRATO!$A$2:$A$3000,$A2437,EXTRATO!$L$2:$L$3000)+SUMIF(EXTRATO!$A$2:$A$3000,$A2437,EXTRATO!$M$2:$M$3000))</f>
        <v/>
      </c>
      <c r="G2437" s="81" t="str">
        <f>IF(A2437="","",IF(INDEX(EXTRATO!$G$2:$G$3000,MATCH($A2437,EXTRATO!$A$2:$A$3000,0))="","",INDEX(EXTRATO!$G$2:$G$3000,MATCH($A2437,EXTRATO!$A$2:$A$3000,0))))</f>
        <v/>
      </c>
      <c r="H2437" s="86" t="str">
        <f>IF(A2437="","",IF(INDEX(EXTRATO!$F$2:$F$3000,MATCH($A2437,EXTRATO!$A$2:$A$3000,0))="","",INDEX(EXTRATO!$F$2:$F$3000,MATCH($A2437,EXTRATO!$A$2:$A$3000,0))))</f>
        <v/>
      </c>
      <c r="I2437" s="88" t="str">
        <f>IF(A2437="","",IF(INDEX(EXTRATO!$H$2:$H$3000,MATCH($A2437,EXTRATO!$A$2:$A$3000,0))="","",INDEX(EXTRATO!$H$2:$H$3000,MATCH($A2437,EXTRATO!$A$2:$A$3000,0))))</f>
        <v/>
      </c>
      <c r="J2437" s="86" t="str">
        <f t="shared" si="63"/>
        <v/>
      </c>
      <c r="K2437" s="86" t="str">
        <f>IF(AND(A2437="",D2437="",E2437="",F2437=""),"",IF(D2437="","SEM CATEGORIA",IF(E2437="","SEM SUBCATEGORIA",IF(COUNTIFS(CADASTROS!$L$7:$L$93,D2437,CADASTROS!$D$7:$D$93,E2437)=0,"INCOMPATÍVEL","OK"))))</f>
        <v/>
      </c>
    </row>
    <row r="2438" spans="1:11" ht="30" hidden="1" customHeight="1" x14ac:dyDescent="0.25">
      <c r="A2438" s="86" t="str">
        <f>IF(COUNTIF(EXTRATO!$A$2:$A$3000,"BAN-02295")=0,"","BAN-02295")</f>
        <v/>
      </c>
      <c r="B2438" s="85" t="str">
        <f>IF(A2438="","",IF(INDEX(EXTRATO!$C$2:$C$3000,MATCH($A2438,EXTRATO!$A$2:$A$3000,0))="","",INDEX(EXTRATO!$C$2:$C$3000,MATCH($A2438,EXTRATO!$A$2:$A$3000,0))))</f>
        <v/>
      </c>
      <c r="C2438" s="86" t="str">
        <f t="shared" si="62"/>
        <v/>
      </c>
      <c r="D2438" s="81"/>
      <c r="E2438" s="79"/>
      <c r="F2438" s="80" t="str">
        <f>IF(A2438="","",SUMIF(EXTRATO!$A$2:$A$3000,$A2438,EXTRATO!$J$2:$J$3000)+SUMIF(EXTRATO!$A$2:$A$3000,$A2438,EXTRATO!$K$2:$K$3000)+SUMIF(EXTRATO!$A$2:$A$3000,$A2438,EXTRATO!$L$2:$L$3000)+SUMIF(EXTRATO!$A$2:$A$3000,$A2438,EXTRATO!$M$2:$M$3000))</f>
        <v/>
      </c>
      <c r="G2438" s="81" t="str">
        <f>IF(A2438="","",IF(INDEX(EXTRATO!$G$2:$G$3000,MATCH($A2438,EXTRATO!$A$2:$A$3000,0))="","",INDEX(EXTRATO!$G$2:$G$3000,MATCH($A2438,EXTRATO!$A$2:$A$3000,0))))</f>
        <v/>
      </c>
      <c r="H2438" s="86" t="str">
        <f>IF(A2438="","",IF(INDEX(EXTRATO!$F$2:$F$3000,MATCH($A2438,EXTRATO!$A$2:$A$3000,0))="","",INDEX(EXTRATO!$F$2:$F$3000,MATCH($A2438,EXTRATO!$A$2:$A$3000,0))))</f>
        <v/>
      </c>
      <c r="I2438" s="88" t="str">
        <f>IF(A2438="","",IF(INDEX(EXTRATO!$H$2:$H$3000,MATCH($A2438,EXTRATO!$A$2:$A$3000,0))="","",INDEX(EXTRATO!$H$2:$H$3000,MATCH($A2438,EXTRATO!$A$2:$A$3000,0))))</f>
        <v/>
      </c>
      <c r="J2438" s="86" t="str">
        <f t="shared" si="63"/>
        <v/>
      </c>
      <c r="K2438" s="86" t="str">
        <f>IF(AND(A2438="",D2438="",E2438="",F2438=""),"",IF(D2438="","SEM CATEGORIA",IF(E2438="","SEM SUBCATEGORIA",IF(COUNTIFS(CADASTROS!$L$7:$L$93,D2438,CADASTROS!$D$7:$D$93,E2438)=0,"INCOMPATÍVEL","OK"))))</f>
        <v/>
      </c>
    </row>
    <row r="2439" spans="1:11" ht="30" hidden="1" customHeight="1" x14ac:dyDescent="0.25">
      <c r="A2439" s="86" t="str">
        <f>IF(COUNTIF(EXTRATO!$A$2:$A$3000,"BAN-02296")=0,"","BAN-02296")</f>
        <v/>
      </c>
      <c r="B2439" s="85" t="str">
        <f>IF(A2439="","",IF(INDEX(EXTRATO!$C$2:$C$3000,MATCH($A2439,EXTRATO!$A$2:$A$3000,0))="","",INDEX(EXTRATO!$C$2:$C$3000,MATCH($A2439,EXTRATO!$A$2:$A$3000,0))))</f>
        <v/>
      </c>
      <c r="C2439" s="86" t="str">
        <f t="shared" si="62"/>
        <v/>
      </c>
      <c r="D2439" s="81"/>
      <c r="E2439" s="79"/>
      <c r="F2439" s="80" t="str">
        <f>IF(A2439="","",SUMIF(EXTRATO!$A$2:$A$3000,$A2439,EXTRATO!$J$2:$J$3000)+SUMIF(EXTRATO!$A$2:$A$3000,$A2439,EXTRATO!$K$2:$K$3000)+SUMIF(EXTRATO!$A$2:$A$3000,$A2439,EXTRATO!$L$2:$L$3000)+SUMIF(EXTRATO!$A$2:$A$3000,$A2439,EXTRATO!$M$2:$M$3000))</f>
        <v/>
      </c>
      <c r="G2439" s="81" t="str">
        <f>IF(A2439="","",IF(INDEX(EXTRATO!$G$2:$G$3000,MATCH($A2439,EXTRATO!$A$2:$A$3000,0))="","",INDEX(EXTRATO!$G$2:$G$3000,MATCH($A2439,EXTRATO!$A$2:$A$3000,0))))</f>
        <v/>
      </c>
      <c r="H2439" s="86" t="str">
        <f>IF(A2439="","",IF(INDEX(EXTRATO!$F$2:$F$3000,MATCH($A2439,EXTRATO!$A$2:$A$3000,0))="","",INDEX(EXTRATO!$F$2:$F$3000,MATCH($A2439,EXTRATO!$A$2:$A$3000,0))))</f>
        <v/>
      </c>
      <c r="I2439" s="88" t="str">
        <f>IF(A2439="","",IF(INDEX(EXTRATO!$H$2:$H$3000,MATCH($A2439,EXTRATO!$A$2:$A$3000,0))="","",INDEX(EXTRATO!$H$2:$H$3000,MATCH($A2439,EXTRATO!$A$2:$A$3000,0))))</f>
        <v/>
      </c>
      <c r="J2439" s="86" t="str">
        <f t="shared" si="63"/>
        <v/>
      </c>
      <c r="K2439" s="86" t="str">
        <f>IF(AND(A2439="",D2439="",E2439="",F2439=""),"",IF(D2439="","SEM CATEGORIA",IF(E2439="","SEM SUBCATEGORIA",IF(COUNTIFS(CADASTROS!$L$7:$L$93,D2439,CADASTROS!$D$7:$D$93,E2439)=0,"INCOMPATÍVEL","OK"))))</f>
        <v/>
      </c>
    </row>
    <row r="2440" spans="1:11" ht="30" hidden="1" customHeight="1" x14ac:dyDescent="0.25">
      <c r="A2440" s="86" t="str">
        <f>IF(COUNTIF(EXTRATO!$A$2:$A$3000,"BAN-02297")=0,"","BAN-02297")</f>
        <v/>
      </c>
      <c r="B2440" s="85" t="str">
        <f>IF(A2440="","",IF(INDEX(EXTRATO!$C$2:$C$3000,MATCH($A2440,EXTRATO!$A$2:$A$3000,0))="","",INDEX(EXTRATO!$C$2:$C$3000,MATCH($A2440,EXTRATO!$A$2:$A$3000,0))))</f>
        <v/>
      </c>
      <c r="C2440" s="86" t="str">
        <f t="shared" si="62"/>
        <v/>
      </c>
      <c r="D2440" s="81"/>
      <c r="E2440" s="79"/>
      <c r="F2440" s="80" t="str">
        <f>IF(A2440="","",SUMIF(EXTRATO!$A$2:$A$3000,$A2440,EXTRATO!$J$2:$J$3000)+SUMIF(EXTRATO!$A$2:$A$3000,$A2440,EXTRATO!$K$2:$K$3000)+SUMIF(EXTRATO!$A$2:$A$3000,$A2440,EXTRATO!$L$2:$L$3000)+SUMIF(EXTRATO!$A$2:$A$3000,$A2440,EXTRATO!$M$2:$M$3000))</f>
        <v/>
      </c>
      <c r="G2440" s="81" t="str">
        <f>IF(A2440="","",IF(INDEX(EXTRATO!$G$2:$G$3000,MATCH($A2440,EXTRATO!$A$2:$A$3000,0))="","",INDEX(EXTRATO!$G$2:$G$3000,MATCH($A2440,EXTRATO!$A$2:$A$3000,0))))</f>
        <v/>
      </c>
      <c r="H2440" s="86" t="str">
        <f>IF(A2440="","",IF(INDEX(EXTRATO!$F$2:$F$3000,MATCH($A2440,EXTRATO!$A$2:$A$3000,0))="","",INDEX(EXTRATO!$F$2:$F$3000,MATCH($A2440,EXTRATO!$A$2:$A$3000,0))))</f>
        <v/>
      </c>
      <c r="I2440" s="88" t="str">
        <f>IF(A2440="","",IF(INDEX(EXTRATO!$H$2:$H$3000,MATCH($A2440,EXTRATO!$A$2:$A$3000,0))="","",INDEX(EXTRATO!$H$2:$H$3000,MATCH($A2440,EXTRATO!$A$2:$A$3000,0))))</f>
        <v/>
      </c>
      <c r="J2440" s="86" t="str">
        <f t="shared" si="63"/>
        <v/>
      </c>
      <c r="K2440" s="86" t="str">
        <f>IF(AND(A2440="",D2440="",E2440="",F2440=""),"",IF(D2440="","SEM CATEGORIA",IF(E2440="","SEM SUBCATEGORIA",IF(COUNTIFS(CADASTROS!$L$7:$L$93,D2440,CADASTROS!$D$7:$D$93,E2440)=0,"INCOMPATÍVEL","OK"))))</f>
        <v/>
      </c>
    </row>
    <row r="2441" spans="1:11" ht="30" hidden="1" customHeight="1" x14ac:dyDescent="0.25">
      <c r="A2441" s="86" t="str">
        <f>IF(COUNTIF(EXTRATO!$A$2:$A$3000,"BAN-02298")=0,"","BAN-02298")</f>
        <v/>
      </c>
      <c r="B2441" s="85" t="str">
        <f>IF(A2441="","",IF(INDEX(EXTRATO!$C$2:$C$3000,MATCH($A2441,EXTRATO!$A$2:$A$3000,0))="","",INDEX(EXTRATO!$C$2:$C$3000,MATCH($A2441,EXTRATO!$A$2:$A$3000,0))))</f>
        <v/>
      </c>
      <c r="C2441" s="86" t="str">
        <f t="shared" si="62"/>
        <v/>
      </c>
      <c r="D2441" s="81"/>
      <c r="E2441" s="79"/>
      <c r="F2441" s="80" t="str">
        <f>IF(A2441="","",SUMIF(EXTRATO!$A$2:$A$3000,$A2441,EXTRATO!$J$2:$J$3000)+SUMIF(EXTRATO!$A$2:$A$3000,$A2441,EXTRATO!$K$2:$K$3000)+SUMIF(EXTRATO!$A$2:$A$3000,$A2441,EXTRATO!$L$2:$L$3000)+SUMIF(EXTRATO!$A$2:$A$3000,$A2441,EXTRATO!$M$2:$M$3000))</f>
        <v/>
      </c>
      <c r="G2441" s="81" t="str">
        <f>IF(A2441="","",IF(INDEX(EXTRATO!$G$2:$G$3000,MATCH($A2441,EXTRATO!$A$2:$A$3000,0))="","",INDEX(EXTRATO!$G$2:$G$3000,MATCH($A2441,EXTRATO!$A$2:$A$3000,0))))</f>
        <v/>
      </c>
      <c r="H2441" s="86" t="str">
        <f>IF(A2441="","",IF(INDEX(EXTRATO!$F$2:$F$3000,MATCH($A2441,EXTRATO!$A$2:$A$3000,0))="","",INDEX(EXTRATO!$F$2:$F$3000,MATCH($A2441,EXTRATO!$A$2:$A$3000,0))))</f>
        <v/>
      </c>
      <c r="I2441" s="88" t="str">
        <f>IF(A2441="","",IF(INDEX(EXTRATO!$H$2:$H$3000,MATCH($A2441,EXTRATO!$A$2:$A$3000,0))="","",INDEX(EXTRATO!$H$2:$H$3000,MATCH($A2441,EXTRATO!$A$2:$A$3000,0))))</f>
        <v/>
      </c>
      <c r="J2441" s="86" t="str">
        <f t="shared" si="63"/>
        <v/>
      </c>
      <c r="K2441" s="86" t="str">
        <f>IF(AND(A2441="",D2441="",E2441="",F2441=""),"",IF(D2441="","SEM CATEGORIA",IF(E2441="","SEM SUBCATEGORIA",IF(COUNTIFS(CADASTROS!$L$7:$L$93,D2441,CADASTROS!$D$7:$D$93,E2441)=0,"INCOMPATÍVEL","OK"))))</f>
        <v/>
      </c>
    </row>
    <row r="2442" spans="1:11" ht="30" hidden="1" customHeight="1" x14ac:dyDescent="0.25">
      <c r="A2442" s="86" t="str">
        <f>IF(COUNTIF(EXTRATO!$A$2:$A$3000,"BAN-02299")=0,"","BAN-02299")</f>
        <v/>
      </c>
      <c r="B2442" s="85" t="str">
        <f>IF(A2442="","",IF(INDEX(EXTRATO!$C$2:$C$3000,MATCH($A2442,EXTRATO!$A$2:$A$3000,0))="","",INDEX(EXTRATO!$C$2:$C$3000,MATCH($A2442,EXTRATO!$A$2:$A$3000,0))))</f>
        <v/>
      </c>
      <c r="C2442" s="86" t="str">
        <f t="shared" si="62"/>
        <v/>
      </c>
      <c r="D2442" s="81"/>
      <c r="E2442" s="79"/>
      <c r="F2442" s="80" t="str">
        <f>IF(A2442="","",SUMIF(EXTRATO!$A$2:$A$3000,$A2442,EXTRATO!$J$2:$J$3000)+SUMIF(EXTRATO!$A$2:$A$3000,$A2442,EXTRATO!$K$2:$K$3000)+SUMIF(EXTRATO!$A$2:$A$3000,$A2442,EXTRATO!$L$2:$L$3000)+SUMIF(EXTRATO!$A$2:$A$3000,$A2442,EXTRATO!$M$2:$M$3000))</f>
        <v/>
      </c>
      <c r="G2442" s="81" t="str">
        <f>IF(A2442="","",IF(INDEX(EXTRATO!$G$2:$G$3000,MATCH($A2442,EXTRATO!$A$2:$A$3000,0))="","",INDEX(EXTRATO!$G$2:$G$3000,MATCH($A2442,EXTRATO!$A$2:$A$3000,0))))</f>
        <v/>
      </c>
      <c r="H2442" s="86" t="str">
        <f>IF(A2442="","",IF(INDEX(EXTRATO!$F$2:$F$3000,MATCH($A2442,EXTRATO!$A$2:$A$3000,0))="","",INDEX(EXTRATO!$F$2:$F$3000,MATCH($A2442,EXTRATO!$A$2:$A$3000,0))))</f>
        <v/>
      </c>
      <c r="I2442" s="88" t="str">
        <f>IF(A2442="","",IF(INDEX(EXTRATO!$H$2:$H$3000,MATCH($A2442,EXTRATO!$A$2:$A$3000,0))="","",INDEX(EXTRATO!$H$2:$H$3000,MATCH($A2442,EXTRATO!$A$2:$A$3000,0))))</f>
        <v/>
      </c>
      <c r="J2442" s="86" t="str">
        <f t="shared" si="63"/>
        <v/>
      </c>
      <c r="K2442" s="86" t="str">
        <f>IF(AND(A2442="",D2442="",E2442="",F2442=""),"",IF(D2442="","SEM CATEGORIA",IF(E2442="","SEM SUBCATEGORIA",IF(COUNTIFS(CADASTROS!$L$7:$L$93,D2442,CADASTROS!$D$7:$D$93,E2442)=0,"INCOMPATÍVEL","OK"))))</f>
        <v/>
      </c>
    </row>
    <row r="2443" spans="1:11" ht="30" hidden="1" customHeight="1" x14ac:dyDescent="0.25">
      <c r="A2443" s="86" t="str">
        <f>IF(COUNTIF(EXTRATO!$A$2:$A$3000,"BAN-02300")=0,"","BAN-02300")</f>
        <v/>
      </c>
      <c r="B2443" s="85" t="str">
        <f>IF(A2443="","",IF(INDEX(EXTRATO!$C$2:$C$3000,MATCH($A2443,EXTRATO!$A$2:$A$3000,0))="","",INDEX(EXTRATO!$C$2:$C$3000,MATCH($A2443,EXTRATO!$A$2:$A$3000,0))))</f>
        <v/>
      </c>
      <c r="C2443" s="86" t="str">
        <f t="shared" si="62"/>
        <v/>
      </c>
      <c r="D2443" s="81"/>
      <c r="E2443" s="79"/>
      <c r="F2443" s="80" t="str">
        <f>IF(A2443="","",SUMIF(EXTRATO!$A$2:$A$3000,$A2443,EXTRATO!$J$2:$J$3000)+SUMIF(EXTRATO!$A$2:$A$3000,$A2443,EXTRATO!$K$2:$K$3000)+SUMIF(EXTRATO!$A$2:$A$3000,$A2443,EXTRATO!$L$2:$L$3000)+SUMIF(EXTRATO!$A$2:$A$3000,$A2443,EXTRATO!$M$2:$M$3000))</f>
        <v/>
      </c>
      <c r="G2443" s="81" t="str">
        <f>IF(A2443="","",IF(INDEX(EXTRATO!$G$2:$G$3000,MATCH($A2443,EXTRATO!$A$2:$A$3000,0))="","",INDEX(EXTRATO!$G$2:$G$3000,MATCH($A2443,EXTRATO!$A$2:$A$3000,0))))</f>
        <v/>
      </c>
      <c r="H2443" s="86" t="str">
        <f>IF(A2443="","",IF(INDEX(EXTRATO!$F$2:$F$3000,MATCH($A2443,EXTRATO!$A$2:$A$3000,0))="","",INDEX(EXTRATO!$F$2:$F$3000,MATCH($A2443,EXTRATO!$A$2:$A$3000,0))))</f>
        <v/>
      </c>
      <c r="I2443" s="88" t="str">
        <f>IF(A2443="","",IF(INDEX(EXTRATO!$H$2:$H$3000,MATCH($A2443,EXTRATO!$A$2:$A$3000,0))="","",INDEX(EXTRATO!$H$2:$H$3000,MATCH($A2443,EXTRATO!$A$2:$A$3000,0))))</f>
        <v/>
      </c>
      <c r="J2443" s="86" t="str">
        <f t="shared" si="63"/>
        <v/>
      </c>
      <c r="K2443" s="86" t="str">
        <f>IF(AND(A2443="",D2443="",E2443="",F2443=""),"",IF(D2443="","SEM CATEGORIA",IF(E2443="","SEM SUBCATEGORIA",IF(COUNTIFS(CADASTROS!$L$7:$L$93,D2443,CADASTROS!$D$7:$D$93,E2443)=0,"INCOMPATÍVEL","OK"))))</f>
        <v/>
      </c>
    </row>
    <row r="2444" spans="1:11" ht="30" hidden="1" customHeight="1" x14ac:dyDescent="0.25">
      <c r="A2444" s="86" t="str">
        <f>IF(COUNTIF(EXTRATO!$A$2:$A$3000,"BAN-02301")=0,"","BAN-02301")</f>
        <v/>
      </c>
      <c r="B2444" s="85" t="str">
        <f>IF(A2444="","",IF(INDEX(EXTRATO!$C$2:$C$3000,MATCH($A2444,EXTRATO!$A$2:$A$3000,0))="","",INDEX(EXTRATO!$C$2:$C$3000,MATCH($A2444,EXTRATO!$A$2:$A$3000,0))))</f>
        <v/>
      </c>
      <c r="C2444" s="86" t="str">
        <f t="shared" si="62"/>
        <v/>
      </c>
      <c r="D2444" s="81"/>
      <c r="E2444" s="79"/>
      <c r="F2444" s="80" t="str">
        <f>IF(A2444="","",SUMIF(EXTRATO!$A$2:$A$3000,$A2444,EXTRATO!$J$2:$J$3000)+SUMIF(EXTRATO!$A$2:$A$3000,$A2444,EXTRATO!$K$2:$K$3000)+SUMIF(EXTRATO!$A$2:$A$3000,$A2444,EXTRATO!$L$2:$L$3000)+SUMIF(EXTRATO!$A$2:$A$3000,$A2444,EXTRATO!$M$2:$M$3000))</f>
        <v/>
      </c>
      <c r="G2444" s="81" t="str">
        <f>IF(A2444="","",IF(INDEX(EXTRATO!$G$2:$G$3000,MATCH($A2444,EXTRATO!$A$2:$A$3000,0))="","",INDEX(EXTRATO!$G$2:$G$3000,MATCH($A2444,EXTRATO!$A$2:$A$3000,0))))</f>
        <v/>
      </c>
      <c r="H2444" s="86" t="str">
        <f>IF(A2444="","",IF(INDEX(EXTRATO!$F$2:$F$3000,MATCH($A2444,EXTRATO!$A$2:$A$3000,0))="","",INDEX(EXTRATO!$F$2:$F$3000,MATCH($A2444,EXTRATO!$A$2:$A$3000,0))))</f>
        <v/>
      </c>
      <c r="I2444" s="88" t="str">
        <f>IF(A2444="","",IF(INDEX(EXTRATO!$H$2:$H$3000,MATCH($A2444,EXTRATO!$A$2:$A$3000,0))="","",INDEX(EXTRATO!$H$2:$H$3000,MATCH($A2444,EXTRATO!$A$2:$A$3000,0))))</f>
        <v/>
      </c>
      <c r="J2444" s="86" t="str">
        <f t="shared" si="63"/>
        <v/>
      </c>
      <c r="K2444" s="86" t="str">
        <f>IF(AND(A2444="",D2444="",E2444="",F2444=""),"",IF(D2444="","SEM CATEGORIA",IF(E2444="","SEM SUBCATEGORIA",IF(COUNTIFS(CADASTROS!$L$7:$L$93,D2444,CADASTROS!$D$7:$D$93,E2444)=0,"INCOMPATÍVEL","OK"))))</f>
        <v/>
      </c>
    </row>
    <row r="2445" spans="1:11" ht="30" hidden="1" customHeight="1" x14ac:dyDescent="0.25">
      <c r="A2445" s="86" t="str">
        <f>IF(COUNTIF(EXTRATO!$A$2:$A$3000,"BAN-02302")=0,"","BAN-02302")</f>
        <v/>
      </c>
      <c r="B2445" s="85" t="str">
        <f>IF(A2445="","",IF(INDEX(EXTRATO!$C$2:$C$3000,MATCH($A2445,EXTRATO!$A$2:$A$3000,0))="","",INDEX(EXTRATO!$C$2:$C$3000,MATCH($A2445,EXTRATO!$A$2:$A$3000,0))))</f>
        <v/>
      </c>
      <c r="C2445" s="86" t="str">
        <f t="shared" si="62"/>
        <v/>
      </c>
      <c r="D2445" s="81"/>
      <c r="E2445" s="79"/>
      <c r="F2445" s="80" t="str">
        <f>IF(A2445="","",SUMIF(EXTRATO!$A$2:$A$3000,$A2445,EXTRATO!$J$2:$J$3000)+SUMIF(EXTRATO!$A$2:$A$3000,$A2445,EXTRATO!$K$2:$K$3000)+SUMIF(EXTRATO!$A$2:$A$3000,$A2445,EXTRATO!$L$2:$L$3000)+SUMIF(EXTRATO!$A$2:$A$3000,$A2445,EXTRATO!$M$2:$M$3000))</f>
        <v/>
      </c>
      <c r="G2445" s="81" t="str">
        <f>IF(A2445="","",IF(INDEX(EXTRATO!$G$2:$G$3000,MATCH($A2445,EXTRATO!$A$2:$A$3000,0))="","",INDEX(EXTRATO!$G$2:$G$3000,MATCH($A2445,EXTRATO!$A$2:$A$3000,0))))</f>
        <v/>
      </c>
      <c r="H2445" s="86" t="str">
        <f>IF(A2445="","",IF(INDEX(EXTRATO!$F$2:$F$3000,MATCH($A2445,EXTRATO!$A$2:$A$3000,0))="","",INDEX(EXTRATO!$F$2:$F$3000,MATCH($A2445,EXTRATO!$A$2:$A$3000,0))))</f>
        <v/>
      </c>
      <c r="I2445" s="88" t="str">
        <f>IF(A2445="","",IF(INDEX(EXTRATO!$H$2:$H$3000,MATCH($A2445,EXTRATO!$A$2:$A$3000,0))="","",INDEX(EXTRATO!$H$2:$H$3000,MATCH($A2445,EXTRATO!$A$2:$A$3000,0))))</f>
        <v/>
      </c>
      <c r="J2445" s="86" t="str">
        <f t="shared" si="63"/>
        <v/>
      </c>
      <c r="K2445" s="86" t="str">
        <f>IF(AND(A2445="",D2445="",E2445="",F2445=""),"",IF(D2445="","SEM CATEGORIA",IF(E2445="","SEM SUBCATEGORIA",IF(COUNTIFS(CADASTROS!$L$7:$L$93,D2445,CADASTROS!$D$7:$D$93,E2445)=0,"INCOMPATÍVEL","OK"))))</f>
        <v/>
      </c>
    </row>
    <row r="2446" spans="1:11" ht="30" hidden="1" customHeight="1" x14ac:dyDescent="0.25">
      <c r="A2446" s="86" t="str">
        <f>IF(COUNTIF(EXTRATO!$A$2:$A$3000,"BAN-02303")=0,"","BAN-02303")</f>
        <v/>
      </c>
      <c r="B2446" s="85" t="str">
        <f>IF(A2446="","",IF(INDEX(EXTRATO!$C$2:$C$3000,MATCH($A2446,EXTRATO!$A$2:$A$3000,0))="","",INDEX(EXTRATO!$C$2:$C$3000,MATCH($A2446,EXTRATO!$A$2:$A$3000,0))))</f>
        <v/>
      </c>
      <c r="C2446" s="86" t="str">
        <f t="shared" si="62"/>
        <v/>
      </c>
      <c r="D2446" s="81"/>
      <c r="E2446" s="79"/>
      <c r="F2446" s="80" t="str">
        <f>IF(A2446="","",SUMIF(EXTRATO!$A$2:$A$3000,$A2446,EXTRATO!$J$2:$J$3000)+SUMIF(EXTRATO!$A$2:$A$3000,$A2446,EXTRATO!$K$2:$K$3000)+SUMIF(EXTRATO!$A$2:$A$3000,$A2446,EXTRATO!$L$2:$L$3000)+SUMIF(EXTRATO!$A$2:$A$3000,$A2446,EXTRATO!$M$2:$M$3000))</f>
        <v/>
      </c>
      <c r="G2446" s="81" t="str">
        <f>IF(A2446="","",IF(INDEX(EXTRATO!$G$2:$G$3000,MATCH($A2446,EXTRATO!$A$2:$A$3000,0))="","",INDEX(EXTRATO!$G$2:$G$3000,MATCH($A2446,EXTRATO!$A$2:$A$3000,0))))</f>
        <v/>
      </c>
      <c r="H2446" s="86" t="str">
        <f>IF(A2446="","",IF(INDEX(EXTRATO!$F$2:$F$3000,MATCH($A2446,EXTRATO!$A$2:$A$3000,0))="","",INDEX(EXTRATO!$F$2:$F$3000,MATCH($A2446,EXTRATO!$A$2:$A$3000,0))))</f>
        <v/>
      </c>
      <c r="I2446" s="88" t="str">
        <f>IF(A2446="","",IF(INDEX(EXTRATO!$H$2:$H$3000,MATCH($A2446,EXTRATO!$A$2:$A$3000,0))="","",INDEX(EXTRATO!$H$2:$H$3000,MATCH($A2446,EXTRATO!$A$2:$A$3000,0))))</f>
        <v/>
      </c>
      <c r="J2446" s="86" t="str">
        <f t="shared" si="63"/>
        <v/>
      </c>
      <c r="K2446" s="86" t="str">
        <f>IF(AND(A2446="",D2446="",E2446="",F2446=""),"",IF(D2446="","SEM CATEGORIA",IF(E2446="","SEM SUBCATEGORIA",IF(COUNTIFS(CADASTROS!$L$7:$L$93,D2446,CADASTROS!$D$7:$D$93,E2446)=0,"INCOMPATÍVEL","OK"))))</f>
        <v/>
      </c>
    </row>
    <row r="2447" spans="1:11" ht="30" hidden="1" customHeight="1" x14ac:dyDescent="0.25">
      <c r="A2447" s="86" t="str">
        <f>IF(COUNTIF(EXTRATO!$A$2:$A$3000,"BAN-02304")=0,"","BAN-02304")</f>
        <v/>
      </c>
      <c r="B2447" s="85" t="str">
        <f>IF(A2447="","",IF(INDEX(EXTRATO!$C$2:$C$3000,MATCH($A2447,EXTRATO!$A$2:$A$3000,0))="","",INDEX(EXTRATO!$C$2:$C$3000,MATCH($A2447,EXTRATO!$A$2:$A$3000,0))))</f>
        <v/>
      </c>
      <c r="C2447" s="86" t="str">
        <f t="shared" si="62"/>
        <v/>
      </c>
      <c r="D2447" s="81"/>
      <c r="E2447" s="79"/>
      <c r="F2447" s="80" t="str">
        <f>IF(A2447="","",SUMIF(EXTRATO!$A$2:$A$3000,$A2447,EXTRATO!$J$2:$J$3000)+SUMIF(EXTRATO!$A$2:$A$3000,$A2447,EXTRATO!$K$2:$K$3000)+SUMIF(EXTRATO!$A$2:$A$3000,$A2447,EXTRATO!$L$2:$L$3000)+SUMIF(EXTRATO!$A$2:$A$3000,$A2447,EXTRATO!$M$2:$M$3000))</f>
        <v/>
      </c>
      <c r="G2447" s="81" t="str">
        <f>IF(A2447="","",IF(INDEX(EXTRATO!$G$2:$G$3000,MATCH($A2447,EXTRATO!$A$2:$A$3000,0))="","",INDEX(EXTRATO!$G$2:$G$3000,MATCH($A2447,EXTRATO!$A$2:$A$3000,0))))</f>
        <v/>
      </c>
      <c r="H2447" s="86" t="str">
        <f>IF(A2447="","",IF(INDEX(EXTRATO!$F$2:$F$3000,MATCH($A2447,EXTRATO!$A$2:$A$3000,0))="","",INDEX(EXTRATO!$F$2:$F$3000,MATCH($A2447,EXTRATO!$A$2:$A$3000,0))))</f>
        <v/>
      </c>
      <c r="I2447" s="88" t="str">
        <f>IF(A2447="","",IF(INDEX(EXTRATO!$H$2:$H$3000,MATCH($A2447,EXTRATO!$A$2:$A$3000,0))="","",INDEX(EXTRATO!$H$2:$H$3000,MATCH($A2447,EXTRATO!$A$2:$A$3000,0))))</f>
        <v/>
      </c>
      <c r="J2447" s="86" t="str">
        <f t="shared" si="63"/>
        <v/>
      </c>
      <c r="K2447" s="86" t="str">
        <f>IF(AND(A2447="",D2447="",E2447="",F2447=""),"",IF(D2447="","SEM CATEGORIA",IF(E2447="","SEM SUBCATEGORIA",IF(COUNTIFS(CADASTROS!$L$7:$L$93,D2447,CADASTROS!$D$7:$D$93,E2447)=0,"INCOMPATÍVEL","OK"))))</f>
        <v/>
      </c>
    </row>
    <row r="2448" spans="1:11" ht="30" hidden="1" customHeight="1" x14ac:dyDescent="0.25">
      <c r="A2448" s="86" t="str">
        <f>IF(COUNTIF(EXTRATO!$A$2:$A$3000,"BAN-02305")=0,"","BAN-02305")</f>
        <v/>
      </c>
      <c r="B2448" s="85" t="str">
        <f>IF(A2448="","",IF(INDEX(EXTRATO!$C$2:$C$3000,MATCH($A2448,EXTRATO!$A$2:$A$3000,0))="","",INDEX(EXTRATO!$C$2:$C$3000,MATCH($A2448,EXTRATO!$A$2:$A$3000,0))))</f>
        <v/>
      </c>
      <c r="C2448" s="86" t="str">
        <f t="shared" si="62"/>
        <v/>
      </c>
      <c r="D2448" s="81"/>
      <c r="E2448" s="79"/>
      <c r="F2448" s="80" t="str">
        <f>IF(A2448="","",SUMIF(EXTRATO!$A$2:$A$3000,$A2448,EXTRATO!$J$2:$J$3000)+SUMIF(EXTRATO!$A$2:$A$3000,$A2448,EXTRATO!$K$2:$K$3000)+SUMIF(EXTRATO!$A$2:$A$3000,$A2448,EXTRATO!$L$2:$L$3000)+SUMIF(EXTRATO!$A$2:$A$3000,$A2448,EXTRATO!$M$2:$M$3000))</f>
        <v/>
      </c>
      <c r="G2448" s="81" t="str">
        <f>IF(A2448="","",IF(INDEX(EXTRATO!$G$2:$G$3000,MATCH($A2448,EXTRATO!$A$2:$A$3000,0))="","",INDEX(EXTRATO!$G$2:$G$3000,MATCH($A2448,EXTRATO!$A$2:$A$3000,0))))</f>
        <v/>
      </c>
      <c r="H2448" s="86" t="str">
        <f>IF(A2448="","",IF(INDEX(EXTRATO!$F$2:$F$3000,MATCH($A2448,EXTRATO!$A$2:$A$3000,0))="","",INDEX(EXTRATO!$F$2:$F$3000,MATCH($A2448,EXTRATO!$A$2:$A$3000,0))))</f>
        <v/>
      </c>
      <c r="I2448" s="88" t="str">
        <f>IF(A2448="","",IF(INDEX(EXTRATO!$H$2:$H$3000,MATCH($A2448,EXTRATO!$A$2:$A$3000,0))="","",INDEX(EXTRATO!$H$2:$H$3000,MATCH($A2448,EXTRATO!$A$2:$A$3000,0))))</f>
        <v/>
      </c>
      <c r="J2448" s="86" t="str">
        <f t="shared" si="63"/>
        <v/>
      </c>
      <c r="K2448" s="86" t="str">
        <f>IF(AND(A2448="",D2448="",E2448="",F2448=""),"",IF(D2448="","SEM CATEGORIA",IF(E2448="","SEM SUBCATEGORIA",IF(COUNTIFS(CADASTROS!$L$7:$L$93,D2448,CADASTROS!$D$7:$D$93,E2448)=0,"INCOMPATÍVEL","OK"))))</f>
        <v/>
      </c>
    </row>
    <row r="2449" spans="1:11" ht="30" hidden="1" customHeight="1" x14ac:dyDescent="0.25">
      <c r="A2449" s="86" t="str">
        <f>IF(COUNTIF(EXTRATO!$A$2:$A$3000,"BAN-02306")=0,"","BAN-02306")</f>
        <v/>
      </c>
      <c r="B2449" s="85" t="str">
        <f>IF(A2449="","",IF(INDEX(EXTRATO!$C$2:$C$3000,MATCH($A2449,EXTRATO!$A$2:$A$3000,0))="","",INDEX(EXTRATO!$C$2:$C$3000,MATCH($A2449,EXTRATO!$A$2:$A$3000,0))))</f>
        <v/>
      </c>
      <c r="C2449" s="86" t="str">
        <f t="shared" si="62"/>
        <v/>
      </c>
      <c r="D2449" s="81"/>
      <c r="E2449" s="79"/>
      <c r="F2449" s="80" t="str">
        <f>IF(A2449="","",SUMIF(EXTRATO!$A$2:$A$3000,$A2449,EXTRATO!$J$2:$J$3000)+SUMIF(EXTRATO!$A$2:$A$3000,$A2449,EXTRATO!$K$2:$K$3000)+SUMIF(EXTRATO!$A$2:$A$3000,$A2449,EXTRATO!$L$2:$L$3000)+SUMIF(EXTRATO!$A$2:$A$3000,$A2449,EXTRATO!$M$2:$M$3000))</f>
        <v/>
      </c>
      <c r="G2449" s="81" t="str">
        <f>IF(A2449="","",IF(INDEX(EXTRATO!$G$2:$G$3000,MATCH($A2449,EXTRATO!$A$2:$A$3000,0))="","",INDEX(EXTRATO!$G$2:$G$3000,MATCH($A2449,EXTRATO!$A$2:$A$3000,0))))</f>
        <v/>
      </c>
      <c r="H2449" s="86" t="str">
        <f>IF(A2449="","",IF(INDEX(EXTRATO!$F$2:$F$3000,MATCH($A2449,EXTRATO!$A$2:$A$3000,0))="","",INDEX(EXTRATO!$F$2:$F$3000,MATCH($A2449,EXTRATO!$A$2:$A$3000,0))))</f>
        <v/>
      </c>
      <c r="I2449" s="88" t="str">
        <f>IF(A2449="","",IF(INDEX(EXTRATO!$H$2:$H$3000,MATCH($A2449,EXTRATO!$A$2:$A$3000,0))="","",INDEX(EXTRATO!$H$2:$H$3000,MATCH($A2449,EXTRATO!$A$2:$A$3000,0))))</f>
        <v/>
      </c>
      <c r="J2449" s="86" t="str">
        <f t="shared" si="63"/>
        <v/>
      </c>
      <c r="K2449" s="86" t="str">
        <f>IF(AND(A2449="",D2449="",E2449="",F2449=""),"",IF(D2449="","SEM CATEGORIA",IF(E2449="","SEM SUBCATEGORIA",IF(COUNTIFS(CADASTROS!$L$7:$L$93,D2449,CADASTROS!$D$7:$D$93,E2449)=0,"INCOMPATÍVEL","OK"))))</f>
        <v/>
      </c>
    </row>
    <row r="2450" spans="1:11" ht="30" hidden="1" customHeight="1" x14ac:dyDescent="0.25">
      <c r="A2450" s="86" t="str">
        <f>IF(COUNTIF(EXTRATO!$A$2:$A$3000,"BAN-02307")=0,"","BAN-02307")</f>
        <v/>
      </c>
      <c r="B2450" s="85" t="str">
        <f>IF(A2450="","",IF(INDEX(EXTRATO!$C$2:$C$3000,MATCH($A2450,EXTRATO!$A$2:$A$3000,0))="","",INDEX(EXTRATO!$C$2:$C$3000,MATCH($A2450,EXTRATO!$A$2:$A$3000,0))))</f>
        <v/>
      </c>
      <c r="C2450" s="86" t="str">
        <f t="shared" si="62"/>
        <v/>
      </c>
      <c r="D2450" s="81"/>
      <c r="E2450" s="79"/>
      <c r="F2450" s="80" t="str">
        <f>IF(A2450="","",SUMIF(EXTRATO!$A$2:$A$3000,$A2450,EXTRATO!$J$2:$J$3000)+SUMIF(EXTRATO!$A$2:$A$3000,$A2450,EXTRATO!$K$2:$K$3000)+SUMIF(EXTRATO!$A$2:$A$3000,$A2450,EXTRATO!$L$2:$L$3000)+SUMIF(EXTRATO!$A$2:$A$3000,$A2450,EXTRATO!$M$2:$M$3000))</f>
        <v/>
      </c>
      <c r="G2450" s="81" t="str">
        <f>IF(A2450="","",IF(INDEX(EXTRATO!$G$2:$G$3000,MATCH($A2450,EXTRATO!$A$2:$A$3000,0))="","",INDEX(EXTRATO!$G$2:$G$3000,MATCH($A2450,EXTRATO!$A$2:$A$3000,0))))</f>
        <v/>
      </c>
      <c r="H2450" s="86" t="str">
        <f>IF(A2450="","",IF(INDEX(EXTRATO!$F$2:$F$3000,MATCH($A2450,EXTRATO!$A$2:$A$3000,0))="","",INDEX(EXTRATO!$F$2:$F$3000,MATCH($A2450,EXTRATO!$A$2:$A$3000,0))))</f>
        <v/>
      </c>
      <c r="I2450" s="88" t="str">
        <f>IF(A2450="","",IF(INDEX(EXTRATO!$H$2:$H$3000,MATCH($A2450,EXTRATO!$A$2:$A$3000,0))="","",INDEX(EXTRATO!$H$2:$H$3000,MATCH($A2450,EXTRATO!$A$2:$A$3000,0))))</f>
        <v/>
      </c>
      <c r="J2450" s="86" t="str">
        <f t="shared" si="63"/>
        <v/>
      </c>
      <c r="K2450" s="86" t="str">
        <f>IF(AND(A2450="",D2450="",E2450="",F2450=""),"",IF(D2450="","SEM CATEGORIA",IF(E2450="","SEM SUBCATEGORIA",IF(COUNTIFS(CADASTROS!$L$7:$L$93,D2450,CADASTROS!$D$7:$D$93,E2450)=0,"INCOMPATÍVEL","OK"))))</f>
        <v/>
      </c>
    </row>
    <row r="2451" spans="1:11" ht="30" hidden="1" customHeight="1" x14ac:dyDescent="0.25">
      <c r="A2451" s="86" t="str">
        <f>IF(COUNTIF(EXTRATO!$A$2:$A$3000,"BAN-02308")=0,"","BAN-02308")</f>
        <v/>
      </c>
      <c r="B2451" s="85" t="str">
        <f>IF(A2451="","",IF(INDEX(EXTRATO!$C$2:$C$3000,MATCH($A2451,EXTRATO!$A$2:$A$3000,0))="","",INDEX(EXTRATO!$C$2:$C$3000,MATCH($A2451,EXTRATO!$A$2:$A$3000,0))))</f>
        <v/>
      </c>
      <c r="C2451" s="86" t="str">
        <f t="shared" si="62"/>
        <v/>
      </c>
      <c r="D2451" s="81"/>
      <c r="E2451" s="79"/>
      <c r="F2451" s="80" t="str">
        <f>IF(A2451="","",SUMIF(EXTRATO!$A$2:$A$3000,$A2451,EXTRATO!$J$2:$J$3000)+SUMIF(EXTRATO!$A$2:$A$3000,$A2451,EXTRATO!$K$2:$K$3000)+SUMIF(EXTRATO!$A$2:$A$3000,$A2451,EXTRATO!$L$2:$L$3000)+SUMIF(EXTRATO!$A$2:$A$3000,$A2451,EXTRATO!$M$2:$M$3000))</f>
        <v/>
      </c>
      <c r="G2451" s="81" t="str">
        <f>IF(A2451="","",IF(INDEX(EXTRATO!$G$2:$G$3000,MATCH($A2451,EXTRATO!$A$2:$A$3000,0))="","",INDEX(EXTRATO!$G$2:$G$3000,MATCH($A2451,EXTRATO!$A$2:$A$3000,0))))</f>
        <v/>
      </c>
      <c r="H2451" s="86" t="str">
        <f>IF(A2451="","",IF(INDEX(EXTRATO!$F$2:$F$3000,MATCH($A2451,EXTRATO!$A$2:$A$3000,0))="","",INDEX(EXTRATO!$F$2:$F$3000,MATCH($A2451,EXTRATO!$A$2:$A$3000,0))))</f>
        <v/>
      </c>
      <c r="I2451" s="88" t="str">
        <f>IF(A2451="","",IF(INDEX(EXTRATO!$H$2:$H$3000,MATCH($A2451,EXTRATO!$A$2:$A$3000,0))="","",INDEX(EXTRATO!$H$2:$H$3000,MATCH($A2451,EXTRATO!$A$2:$A$3000,0))))</f>
        <v/>
      </c>
      <c r="J2451" s="86" t="str">
        <f t="shared" si="63"/>
        <v/>
      </c>
      <c r="K2451" s="86" t="str">
        <f>IF(AND(A2451="",D2451="",E2451="",F2451=""),"",IF(D2451="","SEM CATEGORIA",IF(E2451="","SEM SUBCATEGORIA",IF(COUNTIFS(CADASTROS!$L$7:$L$93,D2451,CADASTROS!$D$7:$D$93,E2451)=0,"INCOMPATÍVEL","OK"))))</f>
        <v/>
      </c>
    </row>
    <row r="2452" spans="1:11" ht="30" hidden="1" customHeight="1" x14ac:dyDescent="0.25">
      <c r="A2452" s="86" t="str">
        <f>IF(COUNTIF(EXTRATO!$A$2:$A$3000,"BAN-02309")=0,"","BAN-02309")</f>
        <v/>
      </c>
      <c r="B2452" s="85" t="str">
        <f>IF(A2452="","",IF(INDEX(EXTRATO!$C$2:$C$3000,MATCH($A2452,EXTRATO!$A$2:$A$3000,0))="","",INDEX(EXTRATO!$C$2:$C$3000,MATCH($A2452,EXTRATO!$A$2:$A$3000,0))))</f>
        <v/>
      </c>
      <c r="C2452" s="86" t="str">
        <f t="shared" si="62"/>
        <v/>
      </c>
      <c r="D2452" s="81"/>
      <c r="E2452" s="79"/>
      <c r="F2452" s="80" t="str">
        <f>IF(A2452="","",SUMIF(EXTRATO!$A$2:$A$3000,$A2452,EXTRATO!$J$2:$J$3000)+SUMIF(EXTRATO!$A$2:$A$3000,$A2452,EXTRATO!$K$2:$K$3000)+SUMIF(EXTRATO!$A$2:$A$3000,$A2452,EXTRATO!$L$2:$L$3000)+SUMIF(EXTRATO!$A$2:$A$3000,$A2452,EXTRATO!$M$2:$M$3000))</f>
        <v/>
      </c>
      <c r="G2452" s="81" t="str">
        <f>IF(A2452="","",IF(INDEX(EXTRATO!$G$2:$G$3000,MATCH($A2452,EXTRATO!$A$2:$A$3000,0))="","",INDEX(EXTRATO!$G$2:$G$3000,MATCH($A2452,EXTRATO!$A$2:$A$3000,0))))</f>
        <v/>
      </c>
      <c r="H2452" s="86" t="str">
        <f>IF(A2452="","",IF(INDEX(EXTRATO!$F$2:$F$3000,MATCH($A2452,EXTRATO!$A$2:$A$3000,0))="","",INDEX(EXTRATO!$F$2:$F$3000,MATCH($A2452,EXTRATO!$A$2:$A$3000,0))))</f>
        <v/>
      </c>
      <c r="I2452" s="88" t="str">
        <f>IF(A2452="","",IF(INDEX(EXTRATO!$H$2:$H$3000,MATCH($A2452,EXTRATO!$A$2:$A$3000,0))="","",INDEX(EXTRATO!$H$2:$H$3000,MATCH($A2452,EXTRATO!$A$2:$A$3000,0))))</f>
        <v/>
      </c>
      <c r="J2452" s="86" t="str">
        <f t="shared" si="63"/>
        <v/>
      </c>
      <c r="K2452" s="86" t="str">
        <f>IF(AND(A2452="",D2452="",E2452="",F2452=""),"",IF(D2452="","SEM CATEGORIA",IF(E2452="","SEM SUBCATEGORIA",IF(COUNTIFS(CADASTROS!$L$7:$L$93,D2452,CADASTROS!$D$7:$D$93,E2452)=0,"INCOMPATÍVEL","OK"))))</f>
        <v/>
      </c>
    </row>
    <row r="2453" spans="1:11" ht="30" hidden="1" customHeight="1" x14ac:dyDescent="0.25">
      <c r="A2453" s="86" t="str">
        <f>IF(COUNTIF(EXTRATO!$A$2:$A$3000,"BAN-02310")=0,"","BAN-02310")</f>
        <v/>
      </c>
      <c r="B2453" s="85" t="str">
        <f>IF(A2453="","",IF(INDEX(EXTRATO!$C$2:$C$3000,MATCH($A2453,EXTRATO!$A$2:$A$3000,0))="","",INDEX(EXTRATO!$C$2:$C$3000,MATCH($A2453,EXTRATO!$A$2:$A$3000,0))))</f>
        <v/>
      </c>
      <c r="C2453" s="86" t="str">
        <f t="shared" ref="C2453:C2516" si="64">IF(B2453="","",MONTH(B2453))</f>
        <v/>
      </c>
      <c r="D2453" s="81"/>
      <c r="E2453" s="79"/>
      <c r="F2453" s="80" t="str">
        <f>IF(A2453="","",SUMIF(EXTRATO!$A$2:$A$3000,$A2453,EXTRATO!$J$2:$J$3000)+SUMIF(EXTRATO!$A$2:$A$3000,$A2453,EXTRATO!$K$2:$K$3000)+SUMIF(EXTRATO!$A$2:$A$3000,$A2453,EXTRATO!$L$2:$L$3000)+SUMIF(EXTRATO!$A$2:$A$3000,$A2453,EXTRATO!$M$2:$M$3000))</f>
        <v/>
      </c>
      <c r="G2453" s="81" t="str">
        <f>IF(A2453="","",IF(INDEX(EXTRATO!$G$2:$G$3000,MATCH($A2453,EXTRATO!$A$2:$A$3000,0))="","",INDEX(EXTRATO!$G$2:$G$3000,MATCH($A2453,EXTRATO!$A$2:$A$3000,0))))</f>
        <v/>
      </c>
      <c r="H2453" s="86" t="str">
        <f>IF(A2453="","",IF(INDEX(EXTRATO!$F$2:$F$3000,MATCH($A2453,EXTRATO!$A$2:$A$3000,0))="","",INDEX(EXTRATO!$F$2:$F$3000,MATCH($A2453,EXTRATO!$A$2:$A$3000,0))))</f>
        <v/>
      </c>
      <c r="I2453" s="88" t="str">
        <f>IF(A2453="","",IF(INDEX(EXTRATO!$H$2:$H$3000,MATCH($A2453,EXTRATO!$A$2:$A$3000,0))="","",INDEX(EXTRATO!$H$2:$H$3000,MATCH($A2453,EXTRATO!$A$2:$A$3000,0))))</f>
        <v/>
      </c>
      <c r="J2453" s="86" t="str">
        <f t="shared" si="63"/>
        <v/>
      </c>
      <c r="K2453" s="86" t="str">
        <f>IF(AND(A2453="",D2453="",E2453="",F2453=""),"",IF(D2453="","SEM CATEGORIA",IF(E2453="","SEM SUBCATEGORIA",IF(COUNTIFS(CADASTROS!$L$7:$L$93,D2453,CADASTROS!$D$7:$D$93,E2453)=0,"INCOMPATÍVEL","OK"))))</f>
        <v/>
      </c>
    </row>
    <row r="2454" spans="1:11" ht="30" hidden="1" customHeight="1" x14ac:dyDescent="0.25">
      <c r="A2454" s="86" t="str">
        <f>IF(COUNTIF(EXTRATO!$A$2:$A$3000,"BAN-02311")=0,"","BAN-02311")</f>
        <v/>
      </c>
      <c r="B2454" s="85" t="str">
        <f>IF(A2454="","",IF(INDEX(EXTRATO!$C$2:$C$3000,MATCH($A2454,EXTRATO!$A$2:$A$3000,0))="","",INDEX(EXTRATO!$C$2:$C$3000,MATCH($A2454,EXTRATO!$A$2:$A$3000,0))))</f>
        <v/>
      </c>
      <c r="C2454" s="86" t="str">
        <f t="shared" si="64"/>
        <v/>
      </c>
      <c r="D2454" s="81"/>
      <c r="E2454" s="79"/>
      <c r="F2454" s="80" t="str">
        <f>IF(A2454="","",SUMIF(EXTRATO!$A$2:$A$3000,$A2454,EXTRATO!$J$2:$J$3000)+SUMIF(EXTRATO!$A$2:$A$3000,$A2454,EXTRATO!$K$2:$K$3000)+SUMIF(EXTRATO!$A$2:$A$3000,$A2454,EXTRATO!$L$2:$L$3000)+SUMIF(EXTRATO!$A$2:$A$3000,$A2454,EXTRATO!$M$2:$M$3000))</f>
        <v/>
      </c>
      <c r="G2454" s="81" t="str">
        <f>IF(A2454="","",IF(INDEX(EXTRATO!$G$2:$G$3000,MATCH($A2454,EXTRATO!$A$2:$A$3000,0))="","",INDEX(EXTRATO!$G$2:$G$3000,MATCH($A2454,EXTRATO!$A$2:$A$3000,0))))</f>
        <v/>
      </c>
      <c r="H2454" s="86" t="str">
        <f>IF(A2454="","",IF(INDEX(EXTRATO!$F$2:$F$3000,MATCH($A2454,EXTRATO!$A$2:$A$3000,0))="","",INDEX(EXTRATO!$F$2:$F$3000,MATCH($A2454,EXTRATO!$A$2:$A$3000,0))))</f>
        <v/>
      </c>
      <c r="I2454" s="88" t="str">
        <f>IF(A2454="","",IF(INDEX(EXTRATO!$H$2:$H$3000,MATCH($A2454,EXTRATO!$A$2:$A$3000,0))="","",INDEX(EXTRATO!$H$2:$H$3000,MATCH($A2454,EXTRATO!$A$2:$A$3000,0))))</f>
        <v/>
      </c>
      <c r="J2454" s="86" t="str">
        <f t="shared" si="63"/>
        <v/>
      </c>
      <c r="K2454" s="86" t="str">
        <f>IF(AND(A2454="",D2454="",E2454="",F2454=""),"",IF(D2454="","SEM CATEGORIA",IF(E2454="","SEM SUBCATEGORIA",IF(COUNTIFS(CADASTROS!$L$7:$L$93,D2454,CADASTROS!$D$7:$D$93,E2454)=0,"INCOMPATÍVEL","OK"))))</f>
        <v/>
      </c>
    </row>
    <row r="2455" spans="1:11" ht="30" hidden="1" customHeight="1" x14ac:dyDescent="0.25">
      <c r="A2455" s="86" t="str">
        <f>IF(COUNTIF(EXTRATO!$A$2:$A$3000,"BAN-02312")=0,"","BAN-02312")</f>
        <v/>
      </c>
      <c r="B2455" s="85" t="str">
        <f>IF(A2455="","",IF(INDEX(EXTRATO!$C$2:$C$3000,MATCH($A2455,EXTRATO!$A$2:$A$3000,0))="","",INDEX(EXTRATO!$C$2:$C$3000,MATCH($A2455,EXTRATO!$A$2:$A$3000,0))))</f>
        <v/>
      </c>
      <c r="C2455" s="86" t="str">
        <f t="shared" si="64"/>
        <v/>
      </c>
      <c r="D2455" s="81"/>
      <c r="E2455" s="79"/>
      <c r="F2455" s="80" t="str">
        <f>IF(A2455="","",SUMIF(EXTRATO!$A$2:$A$3000,$A2455,EXTRATO!$J$2:$J$3000)+SUMIF(EXTRATO!$A$2:$A$3000,$A2455,EXTRATO!$K$2:$K$3000)+SUMIF(EXTRATO!$A$2:$A$3000,$A2455,EXTRATO!$L$2:$L$3000)+SUMIF(EXTRATO!$A$2:$A$3000,$A2455,EXTRATO!$M$2:$M$3000))</f>
        <v/>
      </c>
      <c r="G2455" s="81" t="str">
        <f>IF(A2455="","",IF(INDEX(EXTRATO!$G$2:$G$3000,MATCH($A2455,EXTRATO!$A$2:$A$3000,0))="","",INDEX(EXTRATO!$G$2:$G$3000,MATCH($A2455,EXTRATO!$A$2:$A$3000,0))))</f>
        <v/>
      </c>
      <c r="H2455" s="86" t="str">
        <f>IF(A2455="","",IF(INDEX(EXTRATO!$F$2:$F$3000,MATCH($A2455,EXTRATO!$A$2:$A$3000,0))="","",INDEX(EXTRATO!$F$2:$F$3000,MATCH($A2455,EXTRATO!$A$2:$A$3000,0))))</f>
        <v/>
      </c>
      <c r="I2455" s="88" t="str">
        <f>IF(A2455="","",IF(INDEX(EXTRATO!$H$2:$H$3000,MATCH($A2455,EXTRATO!$A$2:$A$3000,0))="","",INDEX(EXTRATO!$H$2:$H$3000,MATCH($A2455,EXTRATO!$A$2:$A$3000,0))))</f>
        <v/>
      </c>
      <c r="J2455" s="86" t="str">
        <f t="shared" si="63"/>
        <v/>
      </c>
      <c r="K2455" s="86" t="str">
        <f>IF(AND(A2455="",D2455="",E2455="",F2455=""),"",IF(D2455="","SEM CATEGORIA",IF(E2455="","SEM SUBCATEGORIA",IF(COUNTIFS(CADASTROS!$L$7:$L$93,D2455,CADASTROS!$D$7:$D$93,E2455)=0,"INCOMPATÍVEL","OK"))))</f>
        <v/>
      </c>
    </row>
    <row r="2456" spans="1:11" ht="30" hidden="1" customHeight="1" x14ac:dyDescent="0.25">
      <c r="A2456" s="86" t="str">
        <f>IF(COUNTIF(EXTRATO!$A$2:$A$3000,"BAN-02313")=0,"","BAN-02313")</f>
        <v/>
      </c>
      <c r="B2456" s="85" t="str">
        <f>IF(A2456="","",IF(INDEX(EXTRATO!$C$2:$C$3000,MATCH($A2456,EXTRATO!$A$2:$A$3000,0))="","",INDEX(EXTRATO!$C$2:$C$3000,MATCH($A2456,EXTRATO!$A$2:$A$3000,0))))</f>
        <v/>
      </c>
      <c r="C2456" s="86" t="str">
        <f t="shared" si="64"/>
        <v/>
      </c>
      <c r="D2456" s="81"/>
      <c r="E2456" s="79"/>
      <c r="F2456" s="80" t="str">
        <f>IF(A2456="","",SUMIF(EXTRATO!$A$2:$A$3000,$A2456,EXTRATO!$J$2:$J$3000)+SUMIF(EXTRATO!$A$2:$A$3000,$A2456,EXTRATO!$K$2:$K$3000)+SUMIF(EXTRATO!$A$2:$A$3000,$A2456,EXTRATO!$L$2:$L$3000)+SUMIF(EXTRATO!$A$2:$A$3000,$A2456,EXTRATO!$M$2:$M$3000))</f>
        <v/>
      </c>
      <c r="G2456" s="81" t="str">
        <f>IF(A2456="","",IF(INDEX(EXTRATO!$G$2:$G$3000,MATCH($A2456,EXTRATO!$A$2:$A$3000,0))="","",INDEX(EXTRATO!$G$2:$G$3000,MATCH($A2456,EXTRATO!$A$2:$A$3000,0))))</f>
        <v/>
      </c>
      <c r="H2456" s="86" t="str">
        <f>IF(A2456="","",IF(INDEX(EXTRATO!$F$2:$F$3000,MATCH($A2456,EXTRATO!$A$2:$A$3000,0))="","",INDEX(EXTRATO!$F$2:$F$3000,MATCH($A2456,EXTRATO!$A$2:$A$3000,0))))</f>
        <v/>
      </c>
      <c r="I2456" s="88" t="str">
        <f>IF(A2456="","",IF(INDEX(EXTRATO!$H$2:$H$3000,MATCH($A2456,EXTRATO!$A$2:$A$3000,0))="","",INDEX(EXTRATO!$H$2:$H$3000,MATCH($A2456,EXTRATO!$A$2:$A$3000,0))))</f>
        <v/>
      </c>
      <c r="J2456" s="86" t="str">
        <f t="shared" si="63"/>
        <v/>
      </c>
      <c r="K2456" s="86" t="str">
        <f>IF(AND(A2456="",D2456="",E2456="",F2456=""),"",IF(D2456="","SEM CATEGORIA",IF(E2456="","SEM SUBCATEGORIA",IF(COUNTIFS(CADASTROS!$L$7:$L$93,D2456,CADASTROS!$D$7:$D$93,E2456)=0,"INCOMPATÍVEL","OK"))))</f>
        <v/>
      </c>
    </row>
    <row r="2457" spans="1:11" ht="30" hidden="1" customHeight="1" x14ac:dyDescent="0.25">
      <c r="A2457" s="86" t="str">
        <f>IF(COUNTIF(EXTRATO!$A$2:$A$3000,"BAN-02314")=0,"","BAN-02314")</f>
        <v/>
      </c>
      <c r="B2457" s="85" t="str">
        <f>IF(A2457="","",IF(INDEX(EXTRATO!$C$2:$C$3000,MATCH($A2457,EXTRATO!$A$2:$A$3000,0))="","",INDEX(EXTRATO!$C$2:$C$3000,MATCH($A2457,EXTRATO!$A$2:$A$3000,0))))</f>
        <v/>
      </c>
      <c r="C2457" s="86" t="str">
        <f t="shared" si="64"/>
        <v/>
      </c>
      <c r="D2457" s="81"/>
      <c r="E2457" s="79"/>
      <c r="F2457" s="80" t="str">
        <f>IF(A2457="","",SUMIF(EXTRATO!$A$2:$A$3000,$A2457,EXTRATO!$J$2:$J$3000)+SUMIF(EXTRATO!$A$2:$A$3000,$A2457,EXTRATO!$K$2:$K$3000)+SUMIF(EXTRATO!$A$2:$A$3000,$A2457,EXTRATO!$L$2:$L$3000)+SUMIF(EXTRATO!$A$2:$A$3000,$A2457,EXTRATO!$M$2:$M$3000))</f>
        <v/>
      </c>
      <c r="G2457" s="81" t="str">
        <f>IF(A2457="","",IF(INDEX(EXTRATO!$G$2:$G$3000,MATCH($A2457,EXTRATO!$A$2:$A$3000,0))="","",INDEX(EXTRATO!$G$2:$G$3000,MATCH($A2457,EXTRATO!$A$2:$A$3000,0))))</f>
        <v/>
      </c>
      <c r="H2457" s="86" t="str">
        <f>IF(A2457="","",IF(INDEX(EXTRATO!$F$2:$F$3000,MATCH($A2457,EXTRATO!$A$2:$A$3000,0))="","",INDEX(EXTRATO!$F$2:$F$3000,MATCH($A2457,EXTRATO!$A$2:$A$3000,0))))</f>
        <v/>
      </c>
      <c r="I2457" s="88" t="str">
        <f>IF(A2457="","",IF(INDEX(EXTRATO!$H$2:$H$3000,MATCH($A2457,EXTRATO!$A$2:$A$3000,0))="","",INDEX(EXTRATO!$H$2:$H$3000,MATCH($A2457,EXTRATO!$A$2:$A$3000,0))))</f>
        <v/>
      </c>
      <c r="J2457" s="86" t="str">
        <f t="shared" si="63"/>
        <v/>
      </c>
      <c r="K2457" s="86" t="str">
        <f>IF(AND(A2457="",D2457="",E2457="",F2457=""),"",IF(D2457="","SEM CATEGORIA",IF(E2457="","SEM SUBCATEGORIA",IF(COUNTIFS(CADASTROS!$L$7:$L$93,D2457,CADASTROS!$D$7:$D$93,E2457)=0,"INCOMPATÍVEL","OK"))))</f>
        <v/>
      </c>
    </row>
    <row r="2458" spans="1:11" ht="30" hidden="1" customHeight="1" x14ac:dyDescent="0.25">
      <c r="A2458" s="86" t="str">
        <f>IF(COUNTIF(EXTRATO!$A$2:$A$3000,"BAN-02315")=0,"","BAN-02315")</f>
        <v/>
      </c>
      <c r="B2458" s="85" t="str">
        <f>IF(A2458="","",IF(INDEX(EXTRATO!$C$2:$C$3000,MATCH($A2458,EXTRATO!$A$2:$A$3000,0))="","",INDEX(EXTRATO!$C$2:$C$3000,MATCH($A2458,EXTRATO!$A$2:$A$3000,0))))</f>
        <v/>
      </c>
      <c r="C2458" s="86" t="str">
        <f t="shared" si="64"/>
        <v/>
      </c>
      <c r="D2458" s="81"/>
      <c r="E2458" s="79"/>
      <c r="F2458" s="80" t="str">
        <f>IF(A2458="","",SUMIF(EXTRATO!$A$2:$A$3000,$A2458,EXTRATO!$J$2:$J$3000)+SUMIF(EXTRATO!$A$2:$A$3000,$A2458,EXTRATO!$K$2:$K$3000)+SUMIF(EXTRATO!$A$2:$A$3000,$A2458,EXTRATO!$L$2:$L$3000)+SUMIF(EXTRATO!$A$2:$A$3000,$A2458,EXTRATO!$M$2:$M$3000))</f>
        <v/>
      </c>
      <c r="G2458" s="81" t="str">
        <f>IF(A2458="","",IF(INDEX(EXTRATO!$G$2:$G$3000,MATCH($A2458,EXTRATO!$A$2:$A$3000,0))="","",INDEX(EXTRATO!$G$2:$G$3000,MATCH($A2458,EXTRATO!$A$2:$A$3000,0))))</f>
        <v/>
      </c>
      <c r="H2458" s="86" t="str">
        <f>IF(A2458="","",IF(INDEX(EXTRATO!$F$2:$F$3000,MATCH($A2458,EXTRATO!$A$2:$A$3000,0))="","",INDEX(EXTRATO!$F$2:$F$3000,MATCH($A2458,EXTRATO!$A$2:$A$3000,0))))</f>
        <v/>
      </c>
      <c r="I2458" s="88" t="str">
        <f>IF(A2458="","",IF(INDEX(EXTRATO!$H$2:$H$3000,MATCH($A2458,EXTRATO!$A$2:$A$3000,0))="","",INDEX(EXTRATO!$H$2:$H$3000,MATCH($A2458,EXTRATO!$A$2:$A$3000,0))))</f>
        <v/>
      </c>
      <c r="J2458" s="86" t="str">
        <f t="shared" si="63"/>
        <v/>
      </c>
      <c r="K2458" s="86" t="str">
        <f>IF(AND(A2458="",D2458="",E2458="",F2458=""),"",IF(D2458="","SEM CATEGORIA",IF(E2458="","SEM SUBCATEGORIA",IF(COUNTIFS(CADASTROS!$L$7:$L$93,D2458,CADASTROS!$D$7:$D$93,E2458)=0,"INCOMPATÍVEL","OK"))))</f>
        <v/>
      </c>
    </row>
    <row r="2459" spans="1:11" ht="30" hidden="1" customHeight="1" x14ac:dyDescent="0.25">
      <c r="A2459" s="86" t="str">
        <f>IF(COUNTIF(EXTRATO!$A$2:$A$3000,"BAN-02316")=0,"","BAN-02316")</f>
        <v/>
      </c>
      <c r="B2459" s="85" t="str">
        <f>IF(A2459="","",IF(INDEX(EXTRATO!$C$2:$C$3000,MATCH($A2459,EXTRATO!$A$2:$A$3000,0))="","",INDEX(EXTRATO!$C$2:$C$3000,MATCH($A2459,EXTRATO!$A$2:$A$3000,0))))</f>
        <v/>
      </c>
      <c r="C2459" s="86" t="str">
        <f t="shared" si="64"/>
        <v/>
      </c>
      <c r="D2459" s="81"/>
      <c r="E2459" s="79"/>
      <c r="F2459" s="80" t="str">
        <f>IF(A2459="","",SUMIF(EXTRATO!$A$2:$A$3000,$A2459,EXTRATO!$J$2:$J$3000)+SUMIF(EXTRATO!$A$2:$A$3000,$A2459,EXTRATO!$K$2:$K$3000)+SUMIF(EXTRATO!$A$2:$A$3000,$A2459,EXTRATO!$L$2:$L$3000)+SUMIF(EXTRATO!$A$2:$A$3000,$A2459,EXTRATO!$M$2:$M$3000))</f>
        <v/>
      </c>
      <c r="G2459" s="81" t="str">
        <f>IF(A2459="","",IF(INDEX(EXTRATO!$G$2:$G$3000,MATCH($A2459,EXTRATO!$A$2:$A$3000,0))="","",INDEX(EXTRATO!$G$2:$G$3000,MATCH($A2459,EXTRATO!$A$2:$A$3000,0))))</f>
        <v/>
      </c>
      <c r="H2459" s="86" t="str">
        <f>IF(A2459="","",IF(INDEX(EXTRATO!$F$2:$F$3000,MATCH($A2459,EXTRATO!$A$2:$A$3000,0))="","",INDEX(EXTRATO!$F$2:$F$3000,MATCH($A2459,EXTRATO!$A$2:$A$3000,0))))</f>
        <v/>
      </c>
      <c r="I2459" s="88" t="str">
        <f>IF(A2459="","",IF(INDEX(EXTRATO!$H$2:$H$3000,MATCH($A2459,EXTRATO!$A$2:$A$3000,0))="","",INDEX(EXTRATO!$H$2:$H$3000,MATCH($A2459,EXTRATO!$A$2:$A$3000,0))))</f>
        <v/>
      </c>
      <c r="J2459" s="86" t="str">
        <f t="shared" si="63"/>
        <v/>
      </c>
      <c r="K2459" s="86" t="str">
        <f>IF(AND(A2459="",D2459="",E2459="",F2459=""),"",IF(D2459="","SEM CATEGORIA",IF(E2459="","SEM SUBCATEGORIA",IF(COUNTIFS(CADASTROS!$L$7:$L$93,D2459,CADASTROS!$D$7:$D$93,E2459)=0,"INCOMPATÍVEL","OK"))))</f>
        <v/>
      </c>
    </row>
    <row r="2460" spans="1:11" ht="30" hidden="1" customHeight="1" x14ac:dyDescent="0.25">
      <c r="A2460" s="86" t="str">
        <f>IF(COUNTIF(EXTRATO!$A$2:$A$3000,"BAN-02317")=0,"","BAN-02317")</f>
        <v/>
      </c>
      <c r="B2460" s="85" t="str">
        <f>IF(A2460="","",IF(INDEX(EXTRATO!$C$2:$C$3000,MATCH($A2460,EXTRATO!$A$2:$A$3000,0))="","",INDEX(EXTRATO!$C$2:$C$3000,MATCH($A2460,EXTRATO!$A$2:$A$3000,0))))</f>
        <v/>
      </c>
      <c r="C2460" s="86" t="str">
        <f t="shared" si="64"/>
        <v/>
      </c>
      <c r="D2460" s="81"/>
      <c r="E2460" s="79"/>
      <c r="F2460" s="80" t="str">
        <f>IF(A2460="","",SUMIF(EXTRATO!$A$2:$A$3000,$A2460,EXTRATO!$J$2:$J$3000)+SUMIF(EXTRATO!$A$2:$A$3000,$A2460,EXTRATO!$K$2:$K$3000)+SUMIF(EXTRATO!$A$2:$A$3000,$A2460,EXTRATO!$L$2:$L$3000)+SUMIF(EXTRATO!$A$2:$A$3000,$A2460,EXTRATO!$M$2:$M$3000))</f>
        <v/>
      </c>
      <c r="G2460" s="81" t="str">
        <f>IF(A2460="","",IF(INDEX(EXTRATO!$G$2:$G$3000,MATCH($A2460,EXTRATO!$A$2:$A$3000,0))="","",INDEX(EXTRATO!$G$2:$G$3000,MATCH($A2460,EXTRATO!$A$2:$A$3000,0))))</f>
        <v/>
      </c>
      <c r="H2460" s="86" t="str">
        <f>IF(A2460="","",IF(INDEX(EXTRATO!$F$2:$F$3000,MATCH($A2460,EXTRATO!$A$2:$A$3000,0))="","",INDEX(EXTRATO!$F$2:$F$3000,MATCH($A2460,EXTRATO!$A$2:$A$3000,0))))</f>
        <v/>
      </c>
      <c r="I2460" s="88" t="str">
        <f>IF(A2460="","",IF(INDEX(EXTRATO!$H$2:$H$3000,MATCH($A2460,EXTRATO!$A$2:$A$3000,0))="","",INDEX(EXTRATO!$H$2:$H$3000,MATCH($A2460,EXTRATO!$A$2:$A$3000,0))))</f>
        <v/>
      </c>
      <c r="J2460" s="86" t="str">
        <f t="shared" si="63"/>
        <v/>
      </c>
      <c r="K2460" s="86" t="str">
        <f>IF(AND(A2460="",D2460="",E2460="",F2460=""),"",IF(D2460="","SEM CATEGORIA",IF(E2460="","SEM SUBCATEGORIA",IF(COUNTIFS(CADASTROS!$L$7:$L$93,D2460,CADASTROS!$D$7:$D$93,E2460)=0,"INCOMPATÍVEL","OK"))))</f>
        <v/>
      </c>
    </row>
    <row r="2461" spans="1:11" ht="30" hidden="1" customHeight="1" x14ac:dyDescent="0.25">
      <c r="A2461" s="86" t="str">
        <f>IF(COUNTIF(EXTRATO!$A$2:$A$3000,"BAN-02318")=0,"","BAN-02318")</f>
        <v/>
      </c>
      <c r="B2461" s="85" t="str">
        <f>IF(A2461="","",IF(INDEX(EXTRATO!$C$2:$C$3000,MATCH($A2461,EXTRATO!$A$2:$A$3000,0))="","",INDEX(EXTRATO!$C$2:$C$3000,MATCH($A2461,EXTRATO!$A$2:$A$3000,0))))</f>
        <v/>
      </c>
      <c r="C2461" s="86" t="str">
        <f t="shared" si="64"/>
        <v/>
      </c>
      <c r="D2461" s="81"/>
      <c r="E2461" s="79"/>
      <c r="F2461" s="80" t="str">
        <f>IF(A2461="","",SUMIF(EXTRATO!$A$2:$A$3000,$A2461,EXTRATO!$J$2:$J$3000)+SUMIF(EXTRATO!$A$2:$A$3000,$A2461,EXTRATO!$K$2:$K$3000)+SUMIF(EXTRATO!$A$2:$A$3000,$A2461,EXTRATO!$L$2:$L$3000)+SUMIF(EXTRATO!$A$2:$A$3000,$A2461,EXTRATO!$M$2:$M$3000))</f>
        <v/>
      </c>
      <c r="G2461" s="81" t="str">
        <f>IF(A2461="","",IF(INDEX(EXTRATO!$G$2:$G$3000,MATCH($A2461,EXTRATO!$A$2:$A$3000,0))="","",INDEX(EXTRATO!$G$2:$G$3000,MATCH($A2461,EXTRATO!$A$2:$A$3000,0))))</f>
        <v/>
      </c>
      <c r="H2461" s="86" t="str">
        <f>IF(A2461="","",IF(INDEX(EXTRATO!$F$2:$F$3000,MATCH($A2461,EXTRATO!$A$2:$A$3000,0))="","",INDEX(EXTRATO!$F$2:$F$3000,MATCH($A2461,EXTRATO!$A$2:$A$3000,0))))</f>
        <v/>
      </c>
      <c r="I2461" s="88" t="str">
        <f>IF(A2461="","",IF(INDEX(EXTRATO!$H$2:$H$3000,MATCH($A2461,EXTRATO!$A$2:$A$3000,0))="","",INDEX(EXTRATO!$H$2:$H$3000,MATCH($A2461,EXTRATO!$A$2:$A$3000,0))))</f>
        <v/>
      </c>
      <c r="J2461" s="86" t="str">
        <f t="shared" si="63"/>
        <v/>
      </c>
      <c r="K2461" s="86" t="str">
        <f>IF(AND(A2461="",D2461="",E2461="",F2461=""),"",IF(D2461="","SEM CATEGORIA",IF(E2461="","SEM SUBCATEGORIA",IF(COUNTIFS(CADASTROS!$L$7:$L$93,D2461,CADASTROS!$D$7:$D$93,E2461)=0,"INCOMPATÍVEL","OK"))))</f>
        <v/>
      </c>
    </row>
    <row r="2462" spans="1:11" ht="30" hidden="1" customHeight="1" x14ac:dyDescent="0.25">
      <c r="A2462" s="86" t="str">
        <f>IF(COUNTIF(EXTRATO!$A$2:$A$3000,"BAN-02319")=0,"","BAN-02319")</f>
        <v/>
      </c>
      <c r="B2462" s="85" t="str">
        <f>IF(A2462="","",IF(INDEX(EXTRATO!$C$2:$C$3000,MATCH($A2462,EXTRATO!$A$2:$A$3000,0))="","",INDEX(EXTRATO!$C$2:$C$3000,MATCH($A2462,EXTRATO!$A$2:$A$3000,0))))</f>
        <v/>
      </c>
      <c r="C2462" s="86" t="str">
        <f t="shared" si="64"/>
        <v/>
      </c>
      <c r="D2462" s="81"/>
      <c r="E2462" s="79"/>
      <c r="F2462" s="80" t="str">
        <f>IF(A2462="","",SUMIF(EXTRATO!$A$2:$A$3000,$A2462,EXTRATO!$J$2:$J$3000)+SUMIF(EXTRATO!$A$2:$A$3000,$A2462,EXTRATO!$K$2:$K$3000)+SUMIF(EXTRATO!$A$2:$A$3000,$A2462,EXTRATO!$L$2:$L$3000)+SUMIF(EXTRATO!$A$2:$A$3000,$A2462,EXTRATO!$M$2:$M$3000))</f>
        <v/>
      </c>
      <c r="G2462" s="81" t="str">
        <f>IF(A2462="","",IF(INDEX(EXTRATO!$G$2:$G$3000,MATCH($A2462,EXTRATO!$A$2:$A$3000,0))="","",INDEX(EXTRATO!$G$2:$G$3000,MATCH($A2462,EXTRATO!$A$2:$A$3000,0))))</f>
        <v/>
      </c>
      <c r="H2462" s="86" t="str">
        <f>IF(A2462="","",IF(INDEX(EXTRATO!$F$2:$F$3000,MATCH($A2462,EXTRATO!$A$2:$A$3000,0))="","",INDEX(EXTRATO!$F$2:$F$3000,MATCH($A2462,EXTRATO!$A$2:$A$3000,0))))</f>
        <v/>
      </c>
      <c r="I2462" s="88" t="str">
        <f>IF(A2462="","",IF(INDEX(EXTRATO!$H$2:$H$3000,MATCH($A2462,EXTRATO!$A$2:$A$3000,0))="","",INDEX(EXTRATO!$H$2:$H$3000,MATCH($A2462,EXTRATO!$A$2:$A$3000,0))))</f>
        <v/>
      </c>
      <c r="J2462" s="86" t="str">
        <f t="shared" si="63"/>
        <v/>
      </c>
      <c r="K2462" s="86" t="str">
        <f>IF(AND(A2462="",D2462="",E2462="",F2462=""),"",IF(D2462="","SEM CATEGORIA",IF(E2462="","SEM SUBCATEGORIA",IF(COUNTIFS(CADASTROS!$L$7:$L$93,D2462,CADASTROS!$D$7:$D$93,E2462)=0,"INCOMPATÍVEL","OK"))))</f>
        <v/>
      </c>
    </row>
    <row r="2463" spans="1:11" ht="30" hidden="1" customHeight="1" x14ac:dyDescent="0.25">
      <c r="A2463" s="86" t="str">
        <f>IF(COUNTIF(EXTRATO!$A$2:$A$3000,"BAN-02320")=0,"","BAN-02320")</f>
        <v/>
      </c>
      <c r="B2463" s="85" t="str">
        <f>IF(A2463="","",IF(INDEX(EXTRATO!$C$2:$C$3000,MATCH($A2463,EXTRATO!$A$2:$A$3000,0))="","",INDEX(EXTRATO!$C$2:$C$3000,MATCH($A2463,EXTRATO!$A$2:$A$3000,0))))</f>
        <v/>
      </c>
      <c r="C2463" s="86" t="str">
        <f t="shared" si="64"/>
        <v/>
      </c>
      <c r="D2463" s="81"/>
      <c r="E2463" s="79"/>
      <c r="F2463" s="80" t="str">
        <f>IF(A2463="","",SUMIF(EXTRATO!$A$2:$A$3000,$A2463,EXTRATO!$J$2:$J$3000)+SUMIF(EXTRATO!$A$2:$A$3000,$A2463,EXTRATO!$K$2:$K$3000)+SUMIF(EXTRATO!$A$2:$A$3000,$A2463,EXTRATO!$L$2:$L$3000)+SUMIF(EXTRATO!$A$2:$A$3000,$A2463,EXTRATO!$M$2:$M$3000))</f>
        <v/>
      </c>
      <c r="G2463" s="81" t="str">
        <f>IF(A2463="","",IF(INDEX(EXTRATO!$G$2:$G$3000,MATCH($A2463,EXTRATO!$A$2:$A$3000,0))="","",INDEX(EXTRATO!$G$2:$G$3000,MATCH($A2463,EXTRATO!$A$2:$A$3000,0))))</f>
        <v/>
      </c>
      <c r="H2463" s="86" t="str">
        <f>IF(A2463="","",IF(INDEX(EXTRATO!$F$2:$F$3000,MATCH($A2463,EXTRATO!$A$2:$A$3000,0))="","",INDEX(EXTRATO!$F$2:$F$3000,MATCH($A2463,EXTRATO!$A$2:$A$3000,0))))</f>
        <v/>
      </c>
      <c r="I2463" s="88" t="str">
        <f>IF(A2463="","",IF(INDEX(EXTRATO!$H$2:$H$3000,MATCH($A2463,EXTRATO!$A$2:$A$3000,0))="","",INDEX(EXTRATO!$H$2:$H$3000,MATCH($A2463,EXTRATO!$A$2:$A$3000,0))))</f>
        <v/>
      </c>
      <c r="J2463" s="86" t="str">
        <f t="shared" si="63"/>
        <v/>
      </c>
      <c r="K2463" s="86" t="str">
        <f>IF(AND(A2463="",D2463="",E2463="",F2463=""),"",IF(D2463="","SEM CATEGORIA",IF(E2463="","SEM SUBCATEGORIA",IF(COUNTIFS(CADASTROS!$L$7:$L$93,D2463,CADASTROS!$D$7:$D$93,E2463)=0,"INCOMPATÍVEL","OK"))))</f>
        <v/>
      </c>
    </row>
    <row r="2464" spans="1:11" ht="30" hidden="1" customHeight="1" x14ac:dyDescent="0.25">
      <c r="A2464" s="86" t="str">
        <f>IF(COUNTIF(EXTRATO!$A$2:$A$3000,"BAN-02321")=0,"","BAN-02321")</f>
        <v/>
      </c>
      <c r="B2464" s="85" t="str">
        <f>IF(A2464="","",IF(INDEX(EXTRATO!$C$2:$C$3000,MATCH($A2464,EXTRATO!$A$2:$A$3000,0))="","",INDEX(EXTRATO!$C$2:$C$3000,MATCH($A2464,EXTRATO!$A$2:$A$3000,0))))</f>
        <v/>
      </c>
      <c r="C2464" s="86" t="str">
        <f t="shared" si="64"/>
        <v/>
      </c>
      <c r="D2464" s="81"/>
      <c r="E2464" s="79"/>
      <c r="F2464" s="80" t="str">
        <f>IF(A2464="","",SUMIF(EXTRATO!$A$2:$A$3000,$A2464,EXTRATO!$J$2:$J$3000)+SUMIF(EXTRATO!$A$2:$A$3000,$A2464,EXTRATO!$K$2:$K$3000)+SUMIF(EXTRATO!$A$2:$A$3000,$A2464,EXTRATO!$L$2:$L$3000)+SUMIF(EXTRATO!$A$2:$A$3000,$A2464,EXTRATO!$M$2:$M$3000))</f>
        <v/>
      </c>
      <c r="G2464" s="81" t="str">
        <f>IF(A2464="","",IF(INDEX(EXTRATO!$G$2:$G$3000,MATCH($A2464,EXTRATO!$A$2:$A$3000,0))="","",INDEX(EXTRATO!$G$2:$G$3000,MATCH($A2464,EXTRATO!$A$2:$A$3000,0))))</f>
        <v/>
      </c>
      <c r="H2464" s="86" t="str">
        <f>IF(A2464="","",IF(INDEX(EXTRATO!$F$2:$F$3000,MATCH($A2464,EXTRATO!$A$2:$A$3000,0))="","",INDEX(EXTRATO!$F$2:$F$3000,MATCH($A2464,EXTRATO!$A$2:$A$3000,0))))</f>
        <v/>
      </c>
      <c r="I2464" s="88" t="str">
        <f>IF(A2464="","",IF(INDEX(EXTRATO!$H$2:$H$3000,MATCH($A2464,EXTRATO!$A$2:$A$3000,0))="","",INDEX(EXTRATO!$H$2:$H$3000,MATCH($A2464,EXTRATO!$A$2:$A$3000,0))))</f>
        <v/>
      </c>
      <c r="J2464" s="86" t="str">
        <f t="shared" si="63"/>
        <v/>
      </c>
      <c r="K2464" s="86" t="str">
        <f>IF(AND(A2464="",D2464="",E2464="",F2464=""),"",IF(D2464="","SEM CATEGORIA",IF(E2464="","SEM SUBCATEGORIA",IF(COUNTIFS(CADASTROS!$L$7:$L$93,D2464,CADASTROS!$D$7:$D$93,E2464)=0,"INCOMPATÍVEL","OK"))))</f>
        <v/>
      </c>
    </row>
    <row r="2465" spans="1:11" ht="30" hidden="1" customHeight="1" x14ac:dyDescent="0.25">
      <c r="A2465" s="86" t="str">
        <f>IF(COUNTIF(EXTRATO!$A$2:$A$3000,"BAN-02322")=0,"","BAN-02322")</f>
        <v/>
      </c>
      <c r="B2465" s="85" t="str">
        <f>IF(A2465="","",IF(INDEX(EXTRATO!$C$2:$C$3000,MATCH($A2465,EXTRATO!$A$2:$A$3000,0))="","",INDEX(EXTRATO!$C$2:$C$3000,MATCH($A2465,EXTRATO!$A$2:$A$3000,0))))</f>
        <v/>
      </c>
      <c r="C2465" s="86" t="str">
        <f t="shared" si="64"/>
        <v/>
      </c>
      <c r="D2465" s="81"/>
      <c r="E2465" s="79"/>
      <c r="F2465" s="80" t="str">
        <f>IF(A2465="","",SUMIF(EXTRATO!$A$2:$A$3000,$A2465,EXTRATO!$J$2:$J$3000)+SUMIF(EXTRATO!$A$2:$A$3000,$A2465,EXTRATO!$K$2:$K$3000)+SUMIF(EXTRATO!$A$2:$A$3000,$A2465,EXTRATO!$L$2:$L$3000)+SUMIF(EXTRATO!$A$2:$A$3000,$A2465,EXTRATO!$M$2:$M$3000))</f>
        <v/>
      </c>
      <c r="G2465" s="81" t="str">
        <f>IF(A2465="","",IF(INDEX(EXTRATO!$G$2:$G$3000,MATCH($A2465,EXTRATO!$A$2:$A$3000,0))="","",INDEX(EXTRATO!$G$2:$G$3000,MATCH($A2465,EXTRATO!$A$2:$A$3000,0))))</f>
        <v/>
      </c>
      <c r="H2465" s="86" t="str">
        <f>IF(A2465="","",IF(INDEX(EXTRATO!$F$2:$F$3000,MATCH($A2465,EXTRATO!$A$2:$A$3000,0))="","",INDEX(EXTRATO!$F$2:$F$3000,MATCH($A2465,EXTRATO!$A$2:$A$3000,0))))</f>
        <v/>
      </c>
      <c r="I2465" s="88" t="str">
        <f>IF(A2465="","",IF(INDEX(EXTRATO!$H$2:$H$3000,MATCH($A2465,EXTRATO!$A$2:$A$3000,0))="","",INDEX(EXTRATO!$H$2:$H$3000,MATCH($A2465,EXTRATO!$A$2:$A$3000,0))))</f>
        <v/>
      </c>
      <c r="J2465" s="86" t="str">
        <f t="shared" si="63"/>
        <v/>
      </c>
      <c r="K2465" s="86" t="str">
        <f>IF(AND(A2465="",D2465="",E2465="",F2465=""),"",IF(D2465="","SEM CATEGORIA",IF(E2465="","SEM SUBCATEGORIA",IF(COUNTIFS(CADASTROS!$L$7:$L$93,D2465,CADASTROS!$D$7:$D$93,E2465)=0,"INCOMPATÍVEL","OK"))))</f>
        <v/>
      </c>
    </row>
    <row r="2466" spans="1:11" ht="30" hidden="1" customHeight="1" x14ac:dyDescent="0.25">
      <c r="A2466" s="86" t="str">
        <f>IF(COUNTIF(EXTRATO!$A$2:$A$3000,"BAN-02323")=0,"","BAN-02323")</f>
        <v/>
      </c>
      <c r="B2466" s="85" t="str">
        <f>IF(A2466="","",IF(INDEX(EXTRATO!$C$2:$C$3000,MATCH($A2466,EXTRATO!$A$2:$A$3000,0))="","",INDEX(EXTRATO!$C$2:$C$3000,MATCH($A2466,EXTRATO!$A$2:$A$3000,0))))</f>
        <v/>
      </c>
      <c r="C2466" s="86" t="str">
        <f t="shared" si="64"/>
        <v/>
      </c>
      <c r="D2466" s="81"/>
      <c r="E2466" s="79"/>
      <c r="F2466" s="80" t="str">
        <f>IF(A2466="","",SUMIF(EXTRATO!$A$2:$A$3000,$A2466,EXTRATO!$J$2:$J$3000)+SUMIF(EXTRATO!$A$2:$A$3000,$A2466,EXTRATO!$K$2:$K$3000)+SUMIF(EXTRATO!$A$2:$A$3000,$A2466,EXTRATO!$L$2:$L$3000)+SUMIF(EXTRATO!$A$2:$A$3000,$A2466,EXTRATO!$M$2:$M$3000))</f>
        <v/>
      </c>
      <c r="G2466" s="81" t="str">
        <f>IF(A2466="","",IF(INDEX(EXTRATO!$G$2:$G$3000,MATCH($A2466,EXTRATO!$A$2:$A$3000,0))="","",INDEX(EXTRATO!$G$2:$G$3000,MATCH($A2466,EXTRATO!$A$2:$A$3000,0))))</f>
        <v/>
      </c>
      <c r="H2466" s="86" t="str">
        <f>IF(A2466="","",IF(INDEX(EXTRATO!$F$2:$F$3000,MATCH($A2466,EXTRATO!$A$2:$A$3000,0))="","",INDEX(EXTRATO!$F$2:$F$3000,MATCH($A2466,EXTRATO!$A$2:$A$3000,0))))</f>
        <v/>
      </c>
      <c r="I2466" s="88" t="str">
        <f>IF(A2466="","",IF(INDEX(EXTRATO!$H$2:$H$3000,MATCH($A2466,EXTRATO!$A$2:$A$3000,0))="","",INDEX(EXTRATO!$H$2:$H$3000,MATCH($A2466,EXTRATO!$A$2:$A$3000,0))))</f>
        <v/>
      </c>
      <c r="J2466" s="86" t="str">
        <f t="shared" si="63"/>
        <v/>
      </c>
      <c r="K2466" s="86" t="str">
        <f>IF(AND(A2466="",D2466="",E2466="",F2466=""),"",IF(D2466="","SEM CATEGORIA",IF(E2466="","SEM SUBCATEGORIA",IF(COUNTIFS(CADASTROS!$L$7:$L$93,D2466,CADASTROS!$D$7:$D$93,E2466)=0,"INCOMPATÍVEL","OK"))))</f>
        <v/>
      </c>
    </row>
    <row r="2467" spans="1:11" ht="30" hidden="1" customHeight="1" x14ac:dyDescent="0.25">
      <c r="A2467" s="86" t="str">
        <f>IF(COUNTIF(EXTRATO!$A$2:$A$3000,"BAN-02324")=0,"","BAN-02324")</f>
        <v/>
      </c>
      <c r="B2467" s="85" t="str">
        <f>IF(A2467="","",IF(INDEX(EXTRATO!$C$2:$C$3000,MATCH($A2467,EXTRATO!$A$2:$A$3000,0))="","",INDEX(EXTRATO!$C$2:$C$3000,MATCH($A2467,EXTRATO!$A$2:$A$3000,0))))</f>
        <v/>
      </c>
      <c r="C2467" s="86" t="str">
        <f t="shared" si="64"/>
        <v/>
      </c>
      <c r="D2467" s="81"/>
      <c r="E2467" s="79"/>
      <c r="F2467" s="80" t="str">
        <f>IF(A2467="","",SUMIF(EXTRATO!$A$2:$A$3000,$A2467,EXTRATO!$J$2:$J$3000)+SUMIF(EXTRATO!$A$2:$A$3000,$A2467,EXTRATO!$K$2:$K$3000)+SUMIF(EXTRATO!$A$2:$A$3000,$A2467,EXTRATO!$L$2:$L$3000)+SUMIF(EXTRATO!$A$2:$A$3000,$A2467,EXTRATO!$M$2:$M$3000))</f>
        <v/>
      </c>
      <c r="G2467" s="81" t="str">
        <f>IF(A2467="","",IF(INDEX(EXTRATO!$G$2:$G$3000,MATCH($A2467,EXTRATO!$A$2:$A$3000,0))="","",INDEX(EXTRATO!$G$2:$G$3000,MATCH($A2467,EXTRATO!$A$2:$A$3000,0))))</f>
        <v/>
      </c>
      <c r="H2467" s="86" t="str">
        <f>IF(A2467="","",IF(INDEX(EXTRATO!$F$2:$F$3000,MATCH($A2467,EXTRATO!$A$2:$A$3000,0))="","",INDEX(EXTRATO!$F$2:$F$3000,MATCH($A2467,EXTRATO!$A$2:$A$3000,0))))</f>
        <v/>
      </c>
      <c r="I2467" s="88" t="str">
        <f>IF(A2467="","",IF(INDEX(EXTRATO!$H$2:$H$3000,MATCH($A2467,EXTRATO!$A$2:$A$3000,0))="","",INDEX(EXTRATO!$H$2:$H$3000,MATCH($A2467,EXTRATO!$A$2:$A$3000,0))))</f>
        <v/>
      </c>
      <c r="J2467" s="86" t="str">
        <f t="shared" si="63"/>
        <v/>
      </c>
      <c r="K2467" s="86" t="str">
        <f>IF(AND(A2467="",D2467="",E2467="",F2467=""),"",IF(D2467="","SEM CATEGORIA",IF(E2467="","SEM SUBCATEGORIA",IF(COUNTIFS(CADASTROS!$L$7:$L$93,D2467,CADASTROS!$D$7:$D$93,E2467)=0,"INCOMPATÍVEL","OK"))))</f>
        <v/>
      </c>
    </row>
    <row r="2468" spans="1:11" ht="30" hidden="1" customHeight="1" x14ac:dyDescent="0.25">
      <c r="A2468" s="86" t="str">
        <f>IF(COUNTIF(EXTRATO!$A$2:$A$3000,"BAN-02325")=0,"","BAN-02325")</f>
        <v/>
      </c>
      <c r="B2468" s="85" t="str">
        <f>IF(A2468="","",IF(INDEX(EXTRATO!$C$2:$C$3000,MATCH($A2468,EXTRATO!$A$2:$A$3000,0))="","",INDEX(EXTRATO!$C$2:$C$3000,MATCH($A2468,EXTRATO!$A$2:$A$3000,0))))</f>
        <v/>
      </c>
      <c r="C2468" s="86" t="str">
        <f t="shared" si="64"/>
        <v/>
      </c>
      <c r="D2468" s="81"/>
      <c r="E2468" s="79"/>
      <c r="F2468" s="80" t="str">
        <f>IF(A2468="","",SUMIF(EXTRATO!$A$2:$A$3000,$A2468,EXTRATO!$J$2:$J$3000)+SUMIF(EXTRATO!$A$2:$A$3000,$A2468,EXTRATO!$K$2:$K$3000)+SUMIF(EXTRATO!$A$2:$A$3000,$A2468,EXTRATO!$L$2:$L$3000)+SUMIF(EXTRATO!$A$2:$A$3000,$A2468,EXTRATO!$M$2:$M$3000))</f>
        <v/>
      </c>
      <c r="G2468" s="81" t="str">
        <f>IF(A2468="","",IF(INDEX(EXTRATO!$G$2:$G$3000,MATCH($A2468,EXTRATO!$A$2:$A$3000,0))="","",INDEX(EXTRATO!$G$2:$G$3000,MATCH($A2468,EXTRATO!$A$2:$A$3000,0))))</f>
        <v/>
      </c>
      <c r="H2468" s="86" t="str">
        <f>IF(A2468="","",IF(INDEX(EXTRATO!$F$2:$F$3000,MATCH($A2468,EXTRATO!$A$2:$A$3000,0))="","",INDEX(EXTRATO!$F$2:$F$3000,MATCH($A2468,EXTRATO!$A$2:$A$3000,0))))</f>
        <v/>
      </c>
      <c r="I2468" s="88" t="str">
        <f>IF(A2468="","",IF(INDEX(EXTRATO!$H$2:$H$3000,MATCH($A2468,EXTRATO!$A$2:$A$3000,0))="","",INDEX(EXTRATO!$H$2:$H$3000,MATCH($A2468,EXTRATO!$A$2:$A$3000,0))))</f>
        <v/>
      </c>
      <c r="J2468" s="86" t="str">
        <f t="shared" si="63"/>
        <v/>
      </c>
      <c r="K2468" s="86" t="str">
        <f>IF(AND(A2468="",D2468="",E2468="",F2468=""),"",IF(D2468="","SEM CATEGORIA",IF(E2468="","SEM SUBCATEGORIA",IF(COUNTIFS(CADASTROS!$L$7:$L$93,D2468,CADASTROS!$D$7:$D$93,E2468)=0,"INCOMPATÍVEL","OK"))))</f>
        <v/>
      </c>
    </row>
    <row r="2469" spans="1:11" ht="30" hidden="1" customHeight="1" x14ac:dyDescent="0.25">
      <c r="A2469" s="86" t="str">
        <f>IF(COUNTIF(EXTRATO!$A$2:$A$3000,"BAN-02326")=0,"","BAN-02326")</f>
        <v/>
      </c>
      <c r="B2469" s="85" t="str">
        <f>IF(A2469="","",IF(INDEX(EXTRATO!$C$2:$C$3000,MATCH($A2469,EXTRATO!$A$2:$A$3000,0))="","",INDEX(EXTRATO!$C$2:$C$3000,MATCH($A2469,EXTRATO!$A$2:$A$3000,0))))</f>
        <v/>
      </c>
      <c r="C2469" s="86" t="str">
        <f t="shared" si="64"/>
        <v/>
      </c>
      <c r="D2469" s="81"/>
      <c r="E2469" s="79"/>
      <c r="F2469" s="80" t="str">
        <f>IF(A2469="","",SUMIF(EXTRATO!$A$2:$A$3000,$A2469,EXTRATO!$J$2:$J$3000)+SUMIF(EXTRATO!$A$2:$A$3000,$A2469,EXTRATO!$K$2:$K$3000)+SUMIF(EXTRATO!$A$2:$A$3000,$A2469,EXTRATO!$L$2:$L$3000)+SUMIF(EXTRATO!$A$2:$A$3000,$A2469,EXTRATO!$M$2:$M$3000))</f>
        <v/>
      </c>
      <c r="G2469" s="81" t="str">
        <f>IF(A2469="","",IF(INDEX(EXTRATO!$G$2:$G$3000,MATCH($A2469,EXTRATO!$A$2:$A$3000,0))="","",INDEX(EXTRATO!$G$2:$G$3000,MATCH($A2469,EXTRATO!$A$2:$A$3000,0))))</f>
        <v/>
      </c>
      <c r="H2469" s="86" t="str">
        <f>IF(A2469="","",IF(INDEX(EXTRATO!$F$2:$F$3000,MATCH($A2469,EXTRATO!$A$2:$A$3000,0))="","",INDEX(EXTRATO!$F$2:$F$3000,MATCH($A2469,EXTRATO!$A$2:$A$3000,0))))</f>
        <v/>
      </c>
      <c r="I2469" s="88" t="str">
        <f>IF(A2469="","",IF(INDEX(EXTRATO!$H$2:$H$3000,MATCH($A2469,EXTRATO!$A$2:$A$3000,0))="","",INDEX(EXTRATO!$H$2:$H$3000,MATCH($A2469,EXTRATO!$A$2:$A$3000,0))))</f>
        <v/>
      </c>
      <c r="J2469" s="86" t="str">
        <f t="shared" si="63"/>
        <v/>
      </c>
      <c r="K2469" s="86" t="str">
        <f>IF(AND(A2469="",D2469="",E2469="",F2469=""),"",IF(D2469="","SEM CATEGORIA",IF(E2469="","SEM SUBCATEGORIA",IF(COUNTIFS(CADASTROS!$L$7:$L$93,D2469,CADASTROS!$D$7:$D$93,E2469)=0,"INCOMPATÍVEL","OK"))))</f>
        <v/>
      </c>
    </row>
    <row r="2470" spans="1:11" ht="30" hidden="1" customHeight="1" x14ac:dyDescent="0.25">
      <c r="A2470" s="86" t="str">
        <f>IF(COUNTIF(EXTRATO!$A$2:$A$3000,"BAN-02327")=0,"","BAN-02327")</f>
        <v/>
      </c>
      <c r="B2470" s="85" t="str">
        <f>IF(A2470="","",IF(INDEX(EXTRATO!$C$2:$C$3000,MATCH($A2470,EXTRATO!$A$2:$A$3000,0))="","",INDEX(EXTRATO!$C$2:$C$3000,MATCH($A2470,EXTRATO!$A$2:$A$3000,0))))</f>
        <v/>
      </c>
      <c r="C2470" s="86" t="str">
        <f t="shared" si="64"/>
        <v/>
      </c>
      <c r="D2470" s="81"/>
      <c r="E2470" s="79"/>
      <c r="F2470" s="80" t="str">
        <f>IF(A2470="","",SUMIF(EXTRATO!$A$2:$A$3000,$A2470,EXTRATO!$J$2:$J$3000)+SUMIF(EXTRATO!$A$2:$A$3000,$A2470,EXTRATO!$K$2:$K$3000)+SUMIF(EXTRATO!$A$2:$A$3000,$A2470,EXTRATO!$L$2:$L$3000)+SUMIF(EXTRATO!$A$2:$A$3000,$A2470,EXTRATO!$M$2:$M$3000))</f>
        <v/>
      </c>
      <c r="G2470" s="81" t="str">
        <f>IF(A2470="","",IF(INDEX(EXTRATO!$G$2:$G$3000,MATCH($A2470,EXTRATO!$A$2:$A$3000,0))="","",INDEX(EXTRATO!$G$2:$G$3000,MATCH($A2470,EXTRATO!$A$2:$A$3000,0))))</f>
        <v/>
      </c>
      <c r="H2470" s="86" t="str">
        <f>IF(A2470="","",IF(INDEX(EXTRATO!$F$2:$F$3000,MATCH($A2470,EXTRATO!$A$2:$A$3000,0))="","",INDEX(EXTRATO!$F$2:$F$3000,MATCH($A2470,EXTRATO!$A$2:$A$3000,0))))</f>
        <v/>
      </c>
      <c r="I2470" s="88" t="str">
        <f>IF(A2470="","",IF(INDEX(EXTRATO!$H$2:$H$3000,MATCH($A2470,EXTRATO!$A$2:$A$3000,0))="","",INDEX(EXTRATO!$H$2:$H$3000,MATCH($A2470,EXTRATO!$A$2:$A$3000,0))))</f>
        <v/>
      </c>
      <c r="J2470" s="86" t="str">
        <f t="shared" si="63"/>
        <v/>
      </c>
      <c r="K2470" s="86" t="str">
        <f>IF(AND(A2470="",D2470="",E2470="",F2470=""),"",IF(D2470="","SEM CATEGORIA",IF(E2470="","SEM SUBCATEGORIA",IF(COUNTIFS(CADASTROS!$L$7:$L$93,D2470,CADASTROS!$D$7:$D$93,E2470)=0,"INCOMPATÍVEL","OK"))))</f>
        <v/>
      </c>
    </row>
    <row r="2471" spans="1:11" ht="30" hidden="1" customHeight="1" x14ac:dyDescent="0.25">
      <c r="A2471" s="86" t="str">
        <f>IF(COUNTIF(EXTRATO!$A$2:$A$3000,"BAN-02328")=0,"","BAN-02328")</f>
        <v/>
      </c>
      <c r="B2471" s="85" t="str">
        <f>IF(A2471="","",IF(INDEX(EXTRATO!$C$2:$C$3000,MATCH($A2471,EXTRATO!$A$2:$A$3000,0))="","",INDEX(EXTRATO!$C$2:$C$3000,MATCH($A2471,EXTRATO!$A$2:$A$3000,0))))</f>
        <v/>
      </c>
      <c r="C2471" s="86" t="str">
        <f t="shared" si="64"/>
        <v/>
      </c>
      <c r="D2471" s="81"/>
      <c r="E2471" s="79"/>
      <c r="F2471" s="80" t="str">
        <f>IF(A2471="","",SUMIF(EXTRATO!$A$2:$A$3000,$A2471,EXTRATO!$J$2:$J$3000)+SUMIF(EXTRATO!$A$2:$A$3000,$A2471,EXTRATO!$K$2:$K$3000)+SUMIF(EXTRATO!$A$2:$A$3000,$A2471,EXTRATO!$L$2:$L$3000)+SUMIF(EXTRATO!$A$2:$A$3000,$A2471,EXTRATO!$M$2:$M$3000))</f>
        <v/>
      </c>
      <c r="G2471" s="81" t="str">
        <f>IF(A2471="","",IF(INDEX(EXTRATO!$G$2:$G$3000,MATCH($A2471,EXTRATO!$A$2:$A$3000,0))="","",INDEX(EXTRATO!$G$2:$G$3000,MATCH($A2471,EXTRATO!$A$2:$A$3000,0))))</f>
        <v/>
      </c>
      <c r="H2471" s="86" t="str">
        <f>IF(A2471="","",IF(INDEX(EXTRATO!$F$2:$F$3000,MATCH($A2471,EXTRATO!$A$2:$A$3000,0))="","",INDEX(EXTRATO!$F$2:$F$3000,MATCH($A2471,EXTRATO!$A$2:$A$3000,0))))</f>
        <v/>
      </c>
      <c r="I2471" s="88" t="str">
        <f>IF(A2471="","",IF(INDEX(EXTRATO!$H$2:$H$3000,MATCH($A2471,EXTRATO!$A$2:$A$3000,0))="","",INDEX(EXTRATO!$H$2:$H$3000,MATCH($A2471,EXTRATO!$A$2:$A$3000,0))))</f>
        <v/>
      </c>
      <c r="J2471" s="86" t="str">
        <f t="shared" si="63"/>
        <v/>
      </c>
      <c r="K2471" s="86" t="str">
        <f>IF(AND(A2471="",D2471="",E2471="",F2471=""),"",IF(D2471="","SEM CATEGORIA",IF(E2471="","SEM SUBCATEGORIA",IF(COUNTIFS(CADASTROS!$L$7:$L$93,D2471,CADASTROS!$D$7:$D$93,E2471)=0,"INCOMPATÍVEL","OK"))))</f>
        <v/>
      </c>
    </row>
    <row r="2472" spans="1:11" ht="30" hidden="1" customHeight="1" x14ac:dyDescent="0.25">
      <c r="A2472" s="86" t="str">
        <f>IF(COUNTIF(EXTRATO!$A$2:$A$3000,"BAN-02329")=0,"","BAN-02329")</f>
        <v/>
      </c>
      <c r="B2472" s="85" t="str">
        <f>IF(A2472="","",IF(INDEX(EXTRATO!$C$2:$C$3000,MATCH($A2472,EXTRATO!$A$2:$A$3000,0))="","",INDEX(EXTRATO!$C$2:$C$3000,MATCH($A2472,EXTRATO!$A$2:$A$3000,0))))</f>
        <v/>
      </c>
      <c r="C2472" s="86" t="str">
        <f t="shared" si="64"/>
        <v/>
      </c>
      <c r="D2472" s="81"/>
      <c r="E2472" s="79"/>
      <c r="F2472" s="80" t="str">
        <f>IF(A2472="","",SUMIF(EXTRATO!$A$2:$A$3000,$A2472,EXTRATO!$J$2:$J$3000)+SUMIF(EXTRATO!$A$2:$A$3000,$A2472,EXTRATO!$K$2:$K$3000)+SUMIF(EXTRATO!$A$2:$A$3000,$A2472,EXTRATO!$L$2:$L$3000)+SUMIF(EXTRATO!$A$2:$A$3000,$A2472,EXTRATO!$M$2:$M$3000))</f>
        <v/>
      </c>
      <c r="G2472" s="81" t="str">
        <f>IF(A2472="","",IF(INDEX(EXTRATO!$G$2:$G$3000,MATCH($A2472,EXTRATO!$A$2:$A$3000,0))="","",INDEX(EXTRATO!$G$2:$G$3000,MATCH($A2472,EXTRATO!$A$2:$A$3000,0))))</f>
        <v/>
      </c>
      <c r="H2472" s="86" t="str">
        <f>IF(A2472="","",IF(INDEX(EXTRATO!$F$2:$F$3000,MATCH($A2472,EXTRATO!$A$2:$A$3000,0))="","",INDEX(EXTRATO!$F$2:$F$3000,MATCH($A2472,EXTRATO!$A$2:$A$3000,0))))</f>
        <v/>
      </c>
      <c r="I2472" s="88" t="str">
        <f>IF(A2472="","",IF(INDEX(EXTRATO!$H$2:$H$3000,MATCH($A2472,EXTRATO!$A$2:$A$3000,0))="","",INDEX(EXTRATO!$H$2:$H$3000,MATCH($A2472,EXTRATO!$A$2:$A$3000,0))))</f>
        <v/>
      </c>
      <c r="J2472" s="86" t="str">
        <f t="shared" si="63"/>
        <v/>
      </c>
      <c r="K2472" s="86" t="str">
        <f>IF(AND(A2472="",D2472="",E2472="",F2472=""),"",IF(D2472="","SEM CATEGORIA",IF(E2472="","SEM SUBCATEGORIA",IF(COUNTIFS(CADASTROS!$L$7:$L$93,D2472,CADASTROS!$D$7:$D$93,E2472)=0,"INCOMPATÍVEL","OK"))))</f>
        <v/>
      </c>
    </row>
    <row r="2473" spans="1:11" ht="30" hidden="1" customHeight="1" x14ac:dyDescent="0.25">
      <c r="A2473" s="86" t="str">
        <f>IF(COUNTIF(EXTRATO!$A$2:$A$3000,"BAN-02330")=0,"","BAN-02330")</f>
        <v/>
      </c>
      <c r="B2473" s="85" t="str">
        <f>IF(A2473="","",IF(INDEX(EXTRATO!$C$2:$C$3000,MATCH($A2473,EXTRATO!$A$2:$A$3000,0))="","",INDEX(EXTRATO!$C$2:$C$3000,MATCH($A2473,EXTRATO!$A$2:$A$3000,0))))</f>
        <v/>
      </c>
      <c r="C2473" s="86" t="str">
        <f t="shared" si="64"/>
        <v/>
      </c>
      <c r="D2473" s="81"/>
      <c r="E2473" s="79"/>
      <c r="F2473" s="80" t="str">
        <f>IF(A2473="","",SUMIF(EXTRATO!$A$2:$A$3000,$A2473,EXTRATO!$J$2:$J$3000)+SUMIF(EXTRATO!$A$2:$A$3000,$A2473,EXTRATO!$K$2:$K$3000)+SUMIF(EXTRATO!$A$2:$A$3000,$A2473,EXTRATO!$L$2:$L$3000)+SUMIF(EXTRATO!$A$2:$A$3000,$A2473,EXTRATO!$M$2:$M$3000))</f>
        <v/>
      </c>
      <c r="G2473" s="81" t="str">
        <f>IF(A2473="","",IF(INDEX(EXTRATO!$G$2:$G$3000,MATCH($A2473,EXTRATO!$A$2:$A$3000,0))="","",INDEX(EXTRATO!$G$2:$G$3000,MATCH($A2473,EXTRATO!$A$2:$A$3000,0))))</f>
        <v/>
      </c>
      <c r="H2473" s="86" t="str">
        <f>IF(A2473="","",IF(INDEX(EXTRATO!$F$2:$F$3000,MATCH($A2473,EXTRATO!$A$2:$A$3000,0))="","",INDEX(EXTRATO!$F$2:$F$3000,MATCH($A2473,EXTRATO!$A$2:$A$3000,0))))</f>
        <v/>
      </c>
      <c r="I2473" s="88" t="str">
        <f>IF(A2473="","",IF(INDEX(EXTRATO!$H$2:$H$3000,MATCH($A2473,EXTRATO!$A$2:$A$3000,0))="","",INDEX(EXTRATO!$H$2:$H$3000,MATCH($A2473,EXTRATO!$A$2:$A$3000,0))))</f>
        <v/>
      </c>
      <c r="J2473" s="86" t="str">
        <f t="shared" si="63"/>
        <v/>
      </c>
      <c r="K2473" s="86" t="str">
        <f>IF(AND(A2473="",D2473="",E2473="",F2473=""),"",IF(D2473="","SEM CATEGORIA",IF(E2473="","SEM SUBCATEGORIA",IF(COUNTIFS(CADASTROS!$L$7:$L$93,D2473,CADASTROS!$D$7:$D$93,E2473)=0,"INCOMPATÍVEL","OK"))))</f>
        <v/>
      </c>
    </row>
    <row r="2474" spans="1:11" ht="30" hidden="1" customHeight="1" x14ac:dyDescent="0.25">
      <c r="A2474" s="86" t="str">
        <f>IF(COUNTIF(EXTRATO!$A$2:$A$3000,"BAN-02331")=0,"","BAN-02331")</f>
        <v/>
      </c>
      <c r="B2474" s="85" t="str">
        <f>IF(A2474="","",IF(INDEX(EXTRATO!$C$2:$C$3000,MATCH($A2474,EXTRATO!$A$2:$A$3000,0))="","",INDEX(EXTRATO!$C$2:$C$3000,MATCH($A2474,EXTRATO!$A$2:$A$3000,0))))</f>
        <v/>
      </c>
      <c r="C2474" s="86" t="str">
        <f t="shared" si="64"/>
        <v/>
      </c>
      <c r="D2474" s="81"/>
      <c r="E2474" s="79"/>
      <c r="F2474" s="80" t="str">
        <f>IF(A2474="","",SUMIF(EXTRATO!$A$2:$A$3000,$A2474,EXTRATO!$J$2:$J$3000)+SUMIF(EXTRATO!$A$2:$A$3000,$A2474,EXTRATO!$K$2:$K$3000)+SUMIF(EXTRATO!$A$2:$A$3000,$A2474,EXTRATO!$L$2:$L$3000)+SUMIF(EXTRATO!$A$2:$A$3000,$A2474,EXTRATO!$M$2:$M$3000))</f>
        <v/>
      </c>
      <c r="G2474" s="81" t="str">
        <f>IF(A2474="","",IF(INDEX(EXTRATO!$G$2:$G$3000,MATCH($A2474,EXTRATO!$A$2:$A$3000,0))="","",INDEX(EXTRATO!$G$2:$G$3000,MATCH($A2474,EXTRATO!$A$2:$A$3000,0))))</f>
        <v/>
      </c>
      <c r="H2474" s="86" t="str">
        <f>IF(A2474="","",IF(INDEX(EXTRATO!$F$2:$F$3000,MATCH($A2474,EXTRATO!$A$2:$A$3000,0))="","",INDEX(EXTRATO!$F$2:$F$3000,MATCH($A2474,EXTRATO!$A$2:$A$3000,0))))</f>
        <v/>
      </c>
      <c r="I2474" s="88" t="str">
        <f>IF(A2474="","",IF(INDEX(EXTRATO!$H$2:$H$3000,MATCH($A2474,EXTRATO!$A$2:$A$3000,0))="","",INDEX(EXTRATO!$H$2:$H$3000,MATCH($A2474,EXTRATO!$A$2:$A$3000,0))))</f>
        <v/>
      </c>
      <c r="J2474" s="86" t="str">
        <f t="shared" si="63"/>
        <v/>
      </c>
      <c r="K2474" s="86" t="str">
        <f>IF(AND(A2474="",D2474="",E2474="",F2474=""),"",IF(D2474="","SEM CATEGORIA",IF(E2474="","SEM SUBCATEGORIA",IF(COUNTIFS(CADASTROS!$L$7:$L$93,D2474,CADASTROS!$D$7:$D$93,E2474)=0,"INCOMPATÍVEL","OK"))))</f>
        <v/>
      </c>
    </row>
    <row r="2475" spans="1:11" ht="30" hidden="1" customHeight="1" x14ac:dyDescent="0.25">
      <c r="A2475" s="86" t="str">
        <f>IF(COUNTIF(EXTRATO!$A$2:$A$3000,"BAN-02332")=0,"","BAN-02332")</f>
        <v/>
      </c>
      <c r="B2475" s="85" t="str">
        <f>IF(A2475="","",IF(INDEX(EXTRATO!$C$2:$C$3000,MATCH($A2475,EXTRATO!$A$2:$A$3000,0))="","",INDEX(EXTRATO!$C$2:$C$3000,MATCH($A2475,EXTRATO!$A$2:$A$3000,0))))</f>
        <v/>
      </c>
      <c r="C2475" s="86" t="str">
        <f t="shared" si="64"/>
        <v/>
      </c>
      <c r="D2475" s="81"/>
      <c r="E2475" s="79"/>
      <c r="F2475" s="80" t="str">
        <f>IF(A2475="","",SUMIF(EXTRATO!$A$2:$A$3000,$A2475,EXTRATO!$J$2:$J$3000)+SUMIF(EXTRATO!$A$2:$A$3000,$A2475,EXTRATO!$K$2:$K$3000)+SUMIF(EXTRATO!$A$2:$A$3000,$A2475,EXTRATO!$L$2:$L$3000)+SUMIF(EXTRATO!$A$2:$A$3000,$A2475,EXTRATO!$M$2:$M$3000))</f>
        <v/>
      </c>
      <c r="G2475" s="81" t="str">
        <f>IF(A2475="","",IF(INDEX(EXTRATO!$G$2:$G$3000,MATCH($A2475,EXTRATO!$A$2:$A$3000,0))="","",INDEX(EXTRATO!$G$2:$G$3000,MATCH($A2475,EXTRATO!$A$2:$A$3000,0))))</f>
        <v/>
      </c>
      <c r="H2475" s="86" t="str">
        <f>IF(A2475="","",IF(INDEX(EXTRATO!$F$2:$F$3000,MATCH($A2475,EXTRATO!$A$2:$A$3000,0))="","",INDEX(EXTRATO!$F$2:$F$3000,MATCH($A2475,EXTRATO!$A$2:$A$3000,0))))</f>
        <v/>
      </c>
      <c r="I2475" s="88" t="str">
        <f>IF(A2475="","",IF(INDEX(EXTRATO!$H$2:$H$3000,MATCH($A2475,EXTRATO!$A$2:$A$3000,0))="","",INDEX(EXTRATO!$H$2:$H$3000,MATCH($A2475,EXTRATO!$A$2:$A$3000,0))))</f>
        <v/>
      </c>
      <c r="J2475" s="86" t="str">
        <f t="shared" si="63"/>
        <v/>
      </c>
      <c r="K2475" s="86" t="str">
        <f>IF(AND(A2475="",D2475="",E2475="",F2475=""),"",IF(D2475="","SEM CATEGORIA",IF(E2475="","SEM SUBCATEGORIA",IF(COUNTIFS(CADASTROS!$L$7:$L$93,D2475,CADASTROS!$D$7:$D$93,E2475)=0,"INCOMPATÍVEL","OK"))))</f>
        <v/>
      </c>
    </row>
    <row r="2476" spans="1:11" ht="30" hidden="1" customHeight="1" x14ac:dyDescent="0.25">
      <c r="A2476" s="86" t="str">
        <f>IF(COUNTIF(EXTRATO!$A$2:$A$3000,"BAN-02333")=0,"","BAN-02333")</f>
        <v/>
      </c>
      <c r="B2476" s="85" t="str">
        <f>IF(A2476="","",IF(INDEX(EXTRATO!$C$2:$C$3000,MATCH($A2476,EXTRATO!$A$2:$A$3000,0))="","",INDEX(EXTRATO!$C$2:$C$3000,MATCH($A2476,EXTRATO!$A$2:$A$3000,0))))</f>
        <v/>
      </c>
      <c r="C2476" s="86" t="str">
        <f t="shared" si="64"/>
        <v/>
      </c>
      <c r="D2476" s="81"/>
      <c r="E2476" s="79"/>
      <c r="F2476" s="80" t="str">
        <f>IF(A2476="","",SUMIF(EXTRATO!$A$2:$A$3000,$A2476,EXTRATO!$J$2:$J$3000)+SUMIF(EXTRATO!$A$2:$A$3000,$A2476,EXTRATO!$K$2:$K$3000)+SUMIF(EXTRATO!$A$2:$A$3000,$A2476,EXTRATO!$L$2:$L$3000)+SUMIF(EXTRATO!$A$2:$A$3000,$A2476,EXTRATO!$M$2:$M$3000))</f>
        <v/>
      </c>
      <c r="G2476" s="81" t="str">
        <f>IF(A2476="","",IF(INDEX(EXTRATO!$G$2:$G$3000,MATCH($A2476,EXTRATO!$A$2:$A$3000,0))="","",INDEX(EXTRATO!$G$2:$G$3000,MATCH($A2476,EXTRATO!$A$2:$A$3000,0))))</f>
        <v/>
      </c>
      <c r="H2476" s="86" t="str">
        <f>IF(A2476="","",IF(INDEX(EXTRATO!$F$2:$F$3000,MATCH($A2476,EXTRATO!$A$2:$A$3000,0))="","",INDEX(EXTRATO!$F$2:$F$3000,MATCH($A2476,EXTRATO!$A$2:$A$3000,0))))</f>
        <v/>
      </c>
      <c r="I2476" s="88" t="str">
        <f>IF(A2476="","",IF(INDEX(EXTRATO!$H$2:$H$3000,MATCH($A2476,EXTRATO!$A$2:$A$3000,0))="","",INDEX(EXTRATO!$H$2:$H$3000,MATCH($A2476,EXTRATO!$A$2:$A$3000,0))))</f>
        <v/>
      </c>
      <c r="J2476" s="86" t="str">
        <f t="shared" ref="J2476:J2539" si="65">IF(A2476="","",IF(K2476="OK","MANUAL","PENDENTE"))</f>
        <v/>
      </c>
      <c r="K2476" s="86" t="str">
        <f>IF(AND(A2476="",D2476="",E2476="",F2476=""),"",IF(D2476="","SEM CATEGORIA",IF(E2476="","SEM SUBCATEGORIA",IF(COUNTIFS(CADASTROS!$L$7:$L$93,D2476,CADASTROS!$D$7:$D$93,E2476)=0,"INCOMPATÍVEL","OK"))))</f>
        <v/>
      </c>
    </row>
    <row r="2477" spans="1:11" ht="30" hidden="1" customHeight="1" x14ac:dyDescent="0.25">
      <c r="A2477" s="86" t="str">
        <f>IF(COUNTIF(EXTRATO!$A$2:$A$3000,"BAN-02334")=0,"","BAN-02334")</f>
        <v/>
      </c>
      <c r="B2477" s="85" t="str">
        <f>IF(A2477="","",IF(INDEX(EXTRATO!$C$2:$C$3000,MATCH($A2477,EXTRATO!$A$2:$A$3000,0))="","",INDEX(EXTRATO!$C$2:$C$3000,MATCH($A2477,EXTRATO!$A$2:$A$3000,0))))</f>
        <v/>
      </c>
      <c r="C2477" s="86" t="str">
        <f t="shared" si="64"/>
        <v/>
      </c>
      <c r="D2477" s="81"/>
      <c r="E2477" s="79"/>
      <c r="F2477" s="80" t="str">
        <f>IF(A2477="","",SUMIF(EXTRATO!$A$2:$A$3000,$A2477,EXTRATO!$J$2:$J$3000)+SUMIF(EXTRATO!$A$2:$A$3000,$A2477,EXTRATO!$K$2:$K$3000)+SUMIF(EXTRATO!$A$2:$A$3000,$A2477,EXTRATO!$L$2:$L$3000)+SUMIF(EXTRATO!$A$2:$A$3000,$A2477,EXTRATO!$M$2:$M$3000))</f>
        <v/>
      </c>
      <c r="G2477" s="81" t="str">
        <f>IF(A2477="","",IF(INDEX(EXTRATO!$G$2:$G$3000,MATCH($A2477,EXTRATO!$A$2:$A$3000,0))="","",INDEX(EXTRATO!$G$2:$G$3000,MATCH($A2477,EXTRATO!$A$2:$A$3000,0))))</f>
        <v/>
      </c>
      <c r="H2477" s="86" t="str">
        <f>IF(A2477="","",IF(INDEX(EXTRATO!$F$2:$F$3000,MATCH($A2477,EXTRATO!$A$2:$A$3000,0))="","",INDEX(EXTRATO!$F$2:$F$3000,MATCH($A2477,EXTRATO!$A$2:$A$3000,0))))</f>
        <v/>
      </c>
      <c r="I2477" s="88" t="str">
        <f>IF(A2477="","",IF(INDEX(EXTRATO!$H$2:$H$3000,MATCH($A2477,EXTRATO!$A$2:$A$3000,0))="","",INDEX(EXTRATO!$H$2:$H$3000,MATCH($A2477,EXTRATO!$A$2:$A$3000,0))))</f>
        <v/>
      </c>
      <c r="J2477" s="86" t="str">
        <f t="shared" si="65"/>
        <v/>
      </c>
      <c r="K2477" s="86" t="str">
        <f>IF(AND(A2477="",D2477="",E2477="",F2477=""),"",IF(D2477="","SEM CATEGORIA",IF(E2477="","SEM SUBCATEGORIA",IF(COUNTIFS(CADASTROS!$L$7:$L$93,D2477,CADASTROS!$D$7:$D$93,E2477)=0,"INCOMPATÍVEL","OK"))))</f>
        <v/>
      </c>
    </row>
    <row r="2478" spans="1:11" ht="30" hidden="1" customHeight="1" x14ac:dyDescent="0.25">
      <c r="A2478" s="86" t="str">
        <f>IF(COUNTIF(EXTRATO!$A$2:$A$3000,"BAN-02335")=0,"","BAN-02335")</f>
        <v/>
      </c>
      <c r="B2478" s="85" t="str">
        <f>IF(A2478="","",IF(INDEX(EXTRATO!$C$2:$C$3000,MATCH($A2478,EXTRATO!$A$2:$A$3000,0))="","",INDEX(EXTRATO!$C$2:$C$3000,MATCH($A2478,EXTRATO!$A$2:$A$3000,0))))</f>
        <v/>
      </c>
      <c r="C2478" s="86" t="str">
        <f t="shared" si="64"/>
        <v/>
      </c>
      <c r="D2478" s="81"/>
      <c r="E2478" s="79"/>
      <c r="F2478" s="80" t="str">
        <f>IF(A2478="","",SUMIF(EXTRATO!$A$2:$A$3000,$A2478,EXTRATO!$J$2:$J$3000)+SUMIF(EXTRATO!$A$2:$A$3000,$A2478,EXTRATO!$K$2:$K$3000)+SUMIF(EXTRATO!$A$2:$A$3000,$A2478,EXTRATO!$L$2:$L$3000)+SUMIF(EXTRATO!$A$2:$A$3000,$A2478,EXTRATO!$M$2:$M$3000))</f>
        <v/>
      </c>
      <c r="G2478" s="81" t="str">
        <f>IF(A2478="","",IF(INDEX(EXTRATO!$G$2:$G$3000,MATCH($A2478,EXTRATO!$A$2:$A$3000,0))="","",INDEX(EXTRATO!$G$2:$G$3000,MATCH($A2478,EXTRATO!$A$2:$A$3000,0))))</f>
        <v/>
      </c>
      <c r="H2478" s="86" t="str">
        <f>IF(A2478="","",IF(INDEX(EXTRATO!$F$2:$F$3000,MATCH($A2478,EXTRATO!$A$2:$A$3000,0))="","",INDEX(EXTRATO!$F$2:$F$3000,MATCH($A2478,EXTRATO!$A$2:$A$3000,0))))</f>
        <v/>
      </c>
      <c r="I2478" s="88" t="str">
        <f>IF(A2478="","",IF(INDEX(EXTRATO!$H$2:$H$3000,MATCH($A2478,EXTRATO!$A$2:$A$3000,0))="","",INDEX(EXTRATO!$H$2:$H$3000,MATCH($A2478,EXTRATO!$A$2:$A$3000,0))))</f>
        <v/>
      </c>
      <c r="J2478" s="86" t="str">
        <f t="shared" si="65"/>
        <v/>
      </c>
      <c r="K2478" s="86" t="str">
        <f>IF(AND(A2478="",D2478="",E2478="",F2478=""),"",IF(D2478="","SEM CATEGORIA",IF(E2478="","SEM SUBCATEGORIA",IF(COUNTIFS(CADASTROS!$L$7:$L$93,D2478,CADASTROS!$D$7:$D$93,E2478)=0,"INCOMPATÍVEL","OK"))))</f>
        <v/>
      </c>
    </row>
    <row r="2479" spans="1:11" ht="30" hidden="1" customHeight="1" x14ac:dyDescent="0.25">
      <c r="A2479" s="86" t="str">
        <f>IF(COUNTIF(EXTRATO!$A$2:$A$3000,"BAN-02336")=0,"","BAN-02336")</f>
        <v/>
      </c>
      <c r="B2479" s="85" t="str">
        <f>IF(A2479="","",IF(INDEX(EXTRATO!$C$2:$C$3000,MATCH($A2479,EXTRATO!$A$2:$A$3000,0))="","",INDEX(EXTRATO!$C$2:$C$3000,MATCH($A2479,EXTRATO!$A$2:$A$3000,0))))</f>
        <v/>
      </c>
      <c r="C2479" s="86" t="str">
        <f t="shared" si="64"/>
        <v/>
      </c>
      <c r="D2479" s="81"/>
      <c r="E2479" s="79"/>
      <c r="F2479" s="80" t="str">
        <f>IF(A2479="","",SUMIF(EXTRATO!$A$2:$A$3000,$A2479,EXTRATO!$J$2:$J$3000)+SUMIF(EXTRATO!$A$2:$A$3000,$A2479,EXTRATO!$K$2:$K$3000)+SUMIF(EXTRATO!$A$2:$A$3000,$A2479,EXTRATO!$L$2:$L$3000)+SUMIF(EXTRATO!$A$2:$A$3000,$A2479,EXTRATO!$M$2:$M$3000))</f>
        <v/>
      </c>
      <c r="G2479" s="81" t="str">
        <f>IF(A2479="","",IF(INDEX(EXTRATO!$G$2:$G$3000,MATCH($A2479,EXTRATO!$A$2:$A$3000,0))="","",INDEX(EXTRATO!$G$2:$G$3000,MATCH($A2479,EXTRATO!$A$2:$A$3000,0))))</f>
        <v/>
      </c>
      <c r="H2479" s="86" t="str">
        <f>IF(A2479="","",IF(INDEX(EXTRATO!$F$2:$F$3000,MATCH($A2479,EXTRATO!$A$2:$A$3000,0))="","",INDEX(EXTRATO!$F$2:$F$3000,MATCH($A2479,EXTRATO!$A$2:$A$3000,0))))</f>
        <v/>
      </c>
      <c r="I2479" s="88" t="str">
        <f>IF(A2479="","",IF(INDEX(EXTRATO!$H$2:$H$3000,MATCH($A2479,EXTRATO!$A$2:$A$3000,0))="","",INDEX(EXTRATO!$H$2:$H$3000,MATCH($A2479,EXTRATO!$A$2:$A$3000,0))))</f>
        <v/>
      </c>
      <c r="J2479" s="86" t="str">
        <f t="shared" si="65"/>
        <v/>
      </c>
      <c r="K2479" s="86" t="str">
        <f>IF(AND(A2479="",D2479="",E2479="",F2479=""),"",IF(D2479="","SEM CATEGORIA",IF(E2479="","SEM SUBCATEGORIA",IF(COUNTIFS(CADASTROS!$L$7:$L$93,D2479,CADASTROS!$D$7:$D$93,E2479)=0,"INCOMPATÍVEL","OK"))))</f>
        <v/>
      </c>
    </row>
    <row r="2480" spans="1:11" ht="30" hidden="1" customHeight="1" x14ac:dyDescent="0.25">
      <c r="A2480" s="86" t="str">
        <f>IF(COUNTIF(EXTRATO!$A$2:$A$3000,"BAN-02337")=0,"","BAN-02337")</f>
        <v/>
      </c>
      <c r="B2480" s="85" t="str">
        <f>IF(A2480="","",IF(INDEX(EXTRATO!$C$2:$C$3000,MATCH($A2480,EXTRATO!$A$2:$A$3000,0))="","",INDEX(EXTRATO!$C$2:$C$3000,MATCH($A2480,EXTRATO!$A$2:$A$3000,0))))</f>
        <v/>
      </c>
      <c r="C2480" s="86" t="str">
        <f t="shared" si="64"/>
        <v/>
      </c>
      <c r="D2480" s="81"/>
      <c r="E2480" s="79"/>
      <c r="F2480" s="80" t="str">
        <f>IF(A2480="","",SUMIF(EXTRATO!$A$2:$A$3000,$A2480,EXTRATO!$J$2:$J$3000)+SUMIF(EXTRATO!$A$2:$A$3000,$A2480,EXTRATO!$K$2:$K$3000)+SUMIF(EXTRATO!$A$2:$A$3000,$A2480,EXTRATO!$L$2:$L$3000)+SUMIF(EXTRATO!$A$2:$A$3000,$A2480,EXTRATO!$M$2:$M$3000))</f>
        <v/>
      </c>
      <c r="G2480" s="81" t="str">
        <f>IF(A2480="","",IF(INDEX(EXTRATO!$G$2:$G$3000,MATCH($A2480,EXTRATO!$A$2:$A$3000,0))="","",INDEX(EXTRATO!$G$2:$G$3000,MATCH($A2480,EXTRATO!$A$2:$A$3000,0))))</f>
        <v/>
      </c>
      <c r="H2480" s="86" t="str">
        <f>IF(A2480="","",IF(INDEX(EXTRATO!$F$2:$F$3000,MATCH($A2480,EXTRATO!$A$2:$A$3000,0))="","",INDEX(EXTRATO!$F$2:$F$3000,MATCH($A2480,EXTRATO!$A$2:$A$3000,0))))</f>
        <v/>
      </c>
      <c r="I2480" s="88" t="str">
        <f>IF(A2480="","",IF(INDEX(EXTRATO!$H$2:$H$3000,MATCH($A2480,EXTRATO!$A$2:$A$3000,0))="","",INDEX(EXTRATO!$H$2:$H$3000,MATCH($A2480,EXTRATO!$A$2:$A$3000,0))))</f>
        <v/>
      </c>
      <c r="J2480" s="86" t="str">
        <f t="shared" si="65"/>
        <v/>
      </c>
      <c r="K2480" s="86" t="str">
        <f>IF(AND(A2480="",D2480="",E2480="",F2480=""),"",IF(D2480="","SEM CATEGORIA",IF(E2480="","SEM SUBCATEGORIA",IF(COUNTIFS(CADASTROS!$L$7:$L$93,D2480,CADASTROS!$D$7:$D$93,E2480)=0,"INCOMPATÍVEL","OK"))))</f>
        <v/>
      </c>
    </row>
    <row r="2481" spans="1:11" ht="30" hidden="1" customHeight="1" x14ac:dyDescent="0.25">
      <c r="A2481" s="86" t="str">
        <f>IF(COUNTIF(EXTRATO!$A$2:$A$3000,"BAN-02338")=0,"","BAN-02338")</f>
        <v/>
      </c>
      <c r="B2481" s="85" t="str">
        <f>IF(A2481="","",IF(INDEX(EXTRATO!$C$2:$C$3000,MATCH($A2481,EXTRATO!$A$2:$A$3000,0))="","",INDEX(EXTRATO!$C$2:$C$3000,MATCH($A2481,EXTRATO!$A$2:$A$3000,0))))</f>
        <v/>
      </c>
      <c r="C2481" s="86" t="str">
        <f t="shared" si="64"/>
        <v/>
      </c>
      <c r="D2481" s="81"/>
      <c r="E2481" s="79"/>
      <c r="F2481" s="80" t="str">
        <f>IF(A2481="","",SUMIF(EXTRATO!$A$2:$A$3000,$A2481,EXTRATO!$J$2:$J$3000)+SUMIF(EXTRATO!$A$2:$A$3000,$A2481,EXTRATO!$K$2:$K$3000)+SUMIF(EXTRATO!$A$2:$A$3000,$A2481,EXTRATO!$L$2:$L$3000)+SUMIF(EXTRATO!$A$2:$A$3000,$A2481,EXTRATO!$M$2:$M$3000))</f>
        <v/>
      </c>
      <c r="G2481" s="81" t="str">
        <f>IF(A2481="","",IF(INDEX(EXTRATO!$G$2:$G$3000,MATCH($A2481,EXTRATO!$A$2:$A$3000,0))="","",INDEX(EXTRATO!$G$2:$G$3000,MATCH($A2481,EXTRATO!$A$2:$A$3000,0))))</f>
        <v/>
      </c>
      <c r="H2481" s="86" t="str">
        <f>IF(A2481="","",IF(INDEX(EXTRATO!$F$2:$F$3000,MATCH($A2481,EXTRATO!$A$2:$A$3000,0))="","",INDEX(EXTRATO!$F$2:$F$3000,MATCH($A2481,EXTRATO!$A$2:$A$3000,0))))</f>
        <v/>
      </c>
      <c r="I2481" s="88" t="str">
        <f>IF(A2481="","",IF(INDEX(EXTRATO!$H$2:$H$3000,MATCH($A2481,EXTRATO!$A$2:$A$3000,0))="","",INDEX(EXTRATO!$H$2:$H$3000,MATCH($A2481,EXTRATO!$A$2:$A$3000,0))))</f>
        <v/>
      </c>
      <c r="J2481" s="86" t="str">
        <f t="shared" si="65"/>
        <v/>
      </c>
      <c r="K2481" s="86" t="str">
        <f>IF(AND(A2481="",D2481="",E2481="",F2481=""),"",IF(D2481="","SEM CATEGORIA",IF(E2481="","SEM SUBCATEGORIA",IF(COUNTIFS(CADASTROS!$L$7:$L$93,D2481,CADASTROS!$D$7:$D$93,E2481)=0,"INCOMPATÍVEL","OK"))))</f>
        <v/>
      </c>
    </row>
    <row r="2482" spans="1:11" ht="30" hidden="1" customHeight="1" x14ac:dyDescent="0.25">
      <c r="A2482" s="86" t="str">
        <f>IF(COUNTIF(EXTRATO!$A$2:$A$3000,"BAN-02339")=0,"","BAN-02339")</f>
        <v/>
      </c>
      <c r="B2482" s="85" t="str">
        <f>IF(A2482="","",IF(INDEX(EXTRATO!$C$2:$C$3000,MATCH($A2482,EXTRATO!$A$2:$A$3000,0))="","",INDEX(EXTRATO!$C$2:$C$3000,MATCH($A2482,EXTRATO!$A$2:$A$3000,0))))</f>
        <v/>
      </c>
      <c r="C2482" s="86" t="str">
        <f t="shared" si="64"/>
        <v/>
      </c>
      <c r="D2482" s="81"/>
      <c r="E2482" s="79"/>
      <c r="F2482" s="80" t="str">
        <f>IF(A2482="","",SUMIF(EXTRATO!$A$2:$A$3000,$A2482,EXTRATO!$J$2:$J$3000)+SUMIF(EXTRATO!$A$2:$A$3000,$A2482,EXTRATO!$K$2:$K$3000)+SUMIF(EXTRATO!$A$2:$A$3000,$A2482,EXTRATO!$L$2:$L$3000)+SUMIF(EXTRATO!$A$2:$A$3000,$A2482,EXTRATO!$M$2:$M$3000))</f>
        <v/>
      </c>
      <c r="G2482" s="81" t="str">
        <f>IF(A2482="","",IF(INDEX(EXTRATO!$G$2:$G$3000,MATCH($A2482,EXTRATO!$A$2:$A$3000,0))="","",INDEX(EXTRATO!$G$2:$G$3000,MATCH($A2482,EXTRATO!$A$2:$A$3000,0))))</f>
        <v/>
      </c>
      <c r="H2482" s="86" t="str">
        <f>IF(A2482="","",IF(INDEX(EXTRATO!$F$2:$F$3000,MATCH($A2482,EXTRATO!$A$2:$A$3000,0))="","",INDEX(EXTRATO!$F$2:$F$3000,MATCH($A2482,EXTRATO!$A$2:$A$3000,0))))</f>
        <v/>
      </c>
      <c r="I2482" s="88" t="str">
        <f>IF(A2482="","",IF(INDEX(EXTRATO!$H$2:$H$3000,MATCH($A2482,EXTRATO!$A$2:$A$3000,0))="","",INDEX(EXTRATO!$H$2:$H$3000,MATCH($A2482,EXTRATO!$A$2:$A$3000,0))))</f>
        <v/>
      </c>
      <c r="J2482" s="86" t="str">
        <f t="shared" si="65"/>
        <v/>
      </c>
      <c r="K2482" s="86" t="str">
        <f>IF(AND(A2482="",D2482="",E2482="",F2482=""),"",IF(D2482="","SEM CATEGORIA",IF(E2482="","SEM SUBCATEGORIA",IF(COUNTIFS(CADASTROS!$L$7:$L$93,D2482,CADASTROS!$D$7:$D$93,E2482)=0,"INCOMPATÍVEL","OK"))))</f>
        <v/>
      </c>
    </row>
    <row r="2483" spans="1:11" ht="30" hidden="1" customHeight="1" x14ac:dyDescent="0.25">
      <c r="A2483" s="86" t="str">
        <f>IF(COUNTIF(EXTRATO!$A$2:$A$3000,"BAN-02340")=0,"","BAN-02340")</f>
        <v/>
      </c>
      <c r="B2483" s="85" t="str">
        <f>IF(A2483="","",IF(INDEX(EXTRATO!$C$2:$C$3000,MATCH($A2483,EXTRATO!$A$2:$A$3000,0))="","",INDEX(EXTRATO!$C$2:$C$3000,MATCH($A2483,EXTRATO!$A$2:$A$3000,0))))</f>
        <v/>
      </c>
      <c r="C2483" s="86" t="str">
        <f t="shared" si="64"/>
        <v/>
      </c>
      <c r="D2483" s="81"/>
      <c r="E2483" s="79"/>
      <c r="F2483" s="80" t="str">
        <f>IF(A2483="","",SUMIF(EXTRATO!$A$2:$A$3000,$A2483,EXTRATO!$J$2:$J$3000)+SUMIF(EXTRATO!$A$2:$A$3000,$A2483,EXTRATO!$K$2:$K$3000)+SUMIF(EXTRATO!$A$2:$A$3000,$A2483,EXTRATO!$L$2:$L$3000)+SUMIF(EXTRATO!$A$2:$A$3000,$A2483,EXTRATO!$M$2:$M$3000))</f>
        <v/>
      </c>
      <c r="G2483" s="81" t="str">
        <f>IF(A2483="","",IF(INDEX(EXTRATO!$G$2:$G$3000,MATCH($A2483,EXTRATO!$A$2:$A$3000,0))="","",INDEX(EXTRATO!$G$2:$G$3000,MATCH($A2483,EXTRATO!$A$2:$A$3000,0))))</f>
        <v/>
      </c>
      <c r="H2483" s="86" t="str">
        <f>IF(A2483="","",IF(INDEX(EXTRATO!$F$2:$F$3000,MATCH($A2483,EXTRATO!$A$2:$A$3000,0))="","",INDEX(EXTRATO!$F$2:$F$3000,MATCH($A2483,EXTRATO!$A$2:$A$3000,0))))</f>
        <v/>
      </c>
      <c r="I2483" s="88" t="str">
        <f>IF(A2483="","",IF(INDEX(EXTRATO!$H$2:$H$3000,MATCH($A2483,EXTRATO!$A$2:$A$3000,0))="","",INDEX(EXTRATO!$H$2:$H$3000,MATCH($A2483,EXTRATO!$A$2:$A$3000,0))))</f>
        <v/>
      </c>
      <c r="J2483" s="86" t="str">
        <f t="shared" si="65"/>
        <v/>
      </c>
      <c r="K2483" s="86" t="str">
        <f>IF(AND(A2483="",D2483="",E2483="",F2483=""),"",IF(D2483="","SEM CATEGORIA",IF(E2483="","SEM SUBCATEGORIA",IF(COUNTIFS(CADASTROS!$L$7:$L$93,D2483,CADASTROS!$D$7:$D$93,E2483)=0,"INCOMPATÍVEL","OK"))))</f>
        <v/>
      </c>
    </row>
    <row r="2484" spans="1:11" ht="30" hidden="1" customHeight="1" x14ac:dyDescent="0.25">
      <c r="A2484" s="86" t="str">
        <f>IF(COUNTIF(EXTRATO!$A$2:$A$3000,"BAN-02341")=0,"","BAN-02341")</f>
        <v/>
      </c>
      <c r="B2484" s="85" t="str">
        <f>IF(A2484="","",IF(INDEX(EXTRATO!$C$2:$C$3000,MATCH($A2484,EXTRATO!$A$2:$A$3000,0))="","",INDEX(EXTRATO!$C$2:$C$3000,MATCH($A2484,EXTRATO!$A$2:$A$3000,0))))</f>
        <v/>
      </c>
      <c r="C2484" s="86" t="str">
        <f t="shared" si="64"/>
        <v/>
      </c>
      <c r="D2484" s="81"/>
      <c r="E2484" s="79"/>
      <c r="F2484" s="80" t="str">
        <f>IF(A2484="","",SUMIF(EXTRATO!$A$2:$A$3000,$A2484,EXTRATO!$J$2:$J$3000)+SUMIF(EXTRATO!$A$2:$A$3000,$A2484,EXTRATO!$K$2:$K$3000)+SUMIF(EXTRATO!$A$2:$A$3000,$A2484,EXTRATO!$L$2:$L$3000)+SUMIF(EXTRATO!$A$2:$A$3000,$A2484,EXTRATO!$M$2:$M$3000))</f>
        <v/>
      </c>
      <c r="G2484" s="81" t="str">
        <f>IF(A2484="","",IF(INDEX(EXTRATO!$G$2:$G$3000,MATCH($A2484,EXTRATO!$A$2:$A$3000,0))="","",INDEX(EXTRATO!$G$2:$G$3000,MATCH($A2484,EXTRATO!$A$2:$A$3000,0))))</f>
        <v/>
      </c>
      <c r="H2484" s="86" t="str">
        <f>IF(A2484="","",IF(INDEX(EXTRATO!$F$2:$F$3000,MATCH($A2484,EXTRATO!$A$2:$A$3000,0))="","",INDEX(EXTRATO!$F$2:$F$3000,MATCH($A2484,EXTRATO!$A$2:$A$3000,0))))</f>
        <v/>
      </c>
      <c r="I2484" s="88" t="str">
        <f>IF(A2484="","",IF(INDEX(EXTRATO!$H$2:$H$3000,MATCH($A2484,EXTRATO!$A$2:$A$3000,0))="","",INDEX(EXTRATO!$H$2:$H$3000,MATCH($A2484,EXTRATO!$A$2:$A$3000,0))))</f>
        <v/>
      </c>
      <c r="J2484" s="86" t="str">
        <f t="shared" si="65"/>
        <v/>
      </c>
      <c r="K2484" s="86" t="str">
        <f>IF(AND(A2484="",D2484="",E2484="",F2484=""),"",IF(D2484="","SEM CATEGORIA",IF(E2484="","SEM SUBCATEGORIA",IF(COUNTIFS(CADASTROS!$L$7:$L$93,D2484,CADASTROS!$D$7:$D$93,E2484)=0,"INCOMPATÍVEL","OK"))))</f>
        <v/>
      </c>
    </row>
    <row r="2485" spans="1:11" ht="30" hidden="1" customHeight="1" x14ac:dyDescent="0.25">
      <c r="A2485" s="86" t="str">
        <f>IF(COUNTIF(EXTRATO!$A$2:$A$3000,"BAN-02342")=0,"","BAN-02342")</f>
        <v/>
      </c>
      <c r="B2485" s="85" t="str">
        <f>IF(A2485="","",IF(INDEX(EXTRATO!$C$2:$C$3000,MATCH($A2485,EXTRATO!$A$2:$A$3000,0))="","",INDEX(EXTRATO!$C$2:$C$3000,MATCH($A2485,EXTRATO!$A$2:$A$3000,0))))</f>
        <v/>
      </c>
      <c r="C2485" s="86" t="str">
        <f t="shared" si="64"/>
        <v/>
      </c>
      <c r="D2485" s="81"/>
      <c r="E2485" s="79"/>
      <c r="F2485" s="80" t="str">
        <f>IF(A2485="","",SUMIF(EXTRATO!$A$2:$A$3000,$A2485,EXTRATO!$J$2:$J$3000)+SUMIF(EXTRATO!$A$2:$A$3000,$A2485,EXTRATO!$K$2:$K$3000)+SUMIF(EXTRATO!$A$2:$A$3000,$A2485,EXTRATO!$L$2:$L$3000)+SUMIF(EXTRATO!$A$2:$A$3000,$A2485,EXTRATO!$M$2:$M$3000))</f>
        <v/>
      </c>
      <c r="G2485" s="81" t="str">
        <f>IF(A2485="","",IF(INDEX(EXTRATO!$G$2:$G$3000,MATCH($A2485,EXTRATO!$A$2:$A$3000,0))="","",INDEX(EXTRATO!$G$2:$G$3000,MATCH($A2485,EXTRATO!$A$2:$A$3000,0))))</f>
        <v/>
      </c>
      <c r="H2485" s="86" t="str">
        <f>IF(A2485="","",IF(INDEX(EXTRATO!$F$2:$F$3000,MATCH($A2485,EXTRATO!$A$2:$A$3000,0))="","",INDEX(EXTRATO!$F$2:$F$3000,MATCH($A2485,EXTRATO!$A$2:$A$3000,0))))</f>
        <v/>
      </c>
      <c r="I2485" s="88" t="str">
        <f>IF(A2485="","",IF(INDEX(EXTRATO!$H$2:$H$3000,MATCH($A2485,EXTRATO!$A$2:$A$3000,0))="","",INDEX(EXTRATO!$H$2:$H$3000,MATCH($A2485,EXTRATO!$A$2:$A$3000,0))))</f>
        <v/>
      </c>
      <c r="J2485" s="86" t="str">
        <f t="shared" si="65"/>
        <v/>
      </c>
      <c r="K2485" s="86" t="str">
        <f>IF(AND(A2485="",D2485="",E2485="",F2485=""),"",IF(D2485="","SEM CATEGORIA",IF(E2485="","SEM SUBCATEGORIA",IF(COUNTIFS(CADASTROS!$L$7:$L$93,D2485,CADASTROS!$D$7:$D$93,E2485)=0,"INCOMPATÍVEL","OK"))))</f>
        <v/>
      </c>
    </row>
    <row r="2486" spans="1:11" ht="30" hidden="1" customHeight="1" x14ac:dyDescent="0.25">
      <c r="A2486" s="86" t="str">
        <f>IF(COUNTIF(EXTRATO!$A$2:$A$3000,"BAN-02343")=0,"","BAN-02343")</f>
        <v/>
      </c>
      <c r="B2486" s="85" t="str">
        <f>IF(A2486="","",IF(INDEX(EXTRATO!$C$2:$C$3000,MATCH($A2486,EXTRATO!$A$2:$A$3000,0))="","",INDEX(EXTRATO!$C$2:$C$3000,MATCH($A2486,EXTRATO!$A$2:$A$3000,0))))</f>
        <v/>
      </c>
      <c r="C2486" s="86" t="str">
        <f t="shared" si="64"/>
        <v/>
      </c>
      <c r="D2486" s="81"/>
      <c r="E2486" s="79"/>
      <c r="F2486" s="80" t="str">
        <f>IF(A2486="","",SUMIF(EXTRATO!$A$2:$A$3000,$A2486,EXTRATO!$J$2:$J$3000)+SUMIF(EXTRATO!$A$2:$A$3000,$A2486,EXTRATO!$K$2:$K$3000)+SUMIF(EXTRATO!$A$2:$A$3000,$A2486,EXTRATO!$L$2:$L$3000)+SUMIF(EXTRATO!$A$2:$A$3000,$A2486,EXTRATO!$M$2:$M$3000))</f>
        <v/>
      </c>
      <c r="G2486" s="81" t="str">
        <f>IF(A2486="","",IF(INDEX(EXTRATO!$G$2:$G$3000,MATCH($A2486,EXTRATO!$A$2:$A$3000,0))="","",INDEX(EXTRATO!$G$2:$G$3000,MATCH($A2486,EXTRATO!$A$2:$A$3000,0))))</f>
        <v/>
      </c>
      <c r="H2486" s="86" t="str">
        <f>IF(A2486="","",IF(INDEX(EXTRATO!$F$2:$F$3000,MATCH($A2486,EXTRATO!$A$2:$A$3000,0))="","",INDEX(EXTRATO!$F$2:$F$3000,MATCH($A2486,EXTRATO!$A$2:$A$3000,0))))</f>
        <v/>
      </c>
      <c r="I2486" s="88" t="str">
        <f>IF(A2486="","",IF(INDEX(EXTRATO!$H$2:$H$3000,MATCH($A2486,EXTRATO!$A$2:$A$3000,0))="","",INDEX(EXTRATO!$H$2:$H$3000,MATCH($A2486,EXTRATO!$A$2:$A$3000,0))))</f>
        <v/>
      </c>
      <c r="J2486" s="86" t="str">
        <f t="shared" si="65"/>
        <v/>
      </c>
      <c r="K2486" s="86" t="str">
        <f>IF(AND(A2486="",D2486="",E2486="",F2486=""),"",IF(D2486="","SEM CATEGORIA",IF(E2486="","SEM SUBCATEGORIA",IF(COUNTIFS(CADASTROS!$L$7:$L$93,D2486,CADASTROS!$D$7:$D$93,E2486)=0,"INCOMPATÍVEL","OK"))))</f>
        <v/>
      </c>
    </row>
    <row r="2487" spans="1:11" ht="30" hidden="1" customHeight="1" x14ac:dyDescent="0.25">
      <c r="A2487" s="86" t="str">
        <f>IF(COUNTIF(EXTRATO!$A$2:$A$3000,"BAN-02344")=0,"","BAN-02344")</f>
        <v/>
      </c>
      <c r="B2487" s="85" t="str">
        <f>IF(A2487="","",IF(INDEX(EXTRATO!$C$2:$C$3000,MATCH($A2487,EXTRATO!$A$2:$A$3000,0))="","",INDEX(EXTRATO!$C$2:$C$3000,MATCH($A2487,EXTRATO!$A$2:$A$3000,0))))</f>
        <v/>
      </c>
      <c r="C2487" s="86" t="str">
        <f t="shared" si="64"/>
        <v/>
      </c>
      <c r="D2487" s="81"/>
      <c r="E2487" s="79"/>
      <c r="F2487" s="80" t="str">
        <f>IF(A2487="","",SUMIF(EXTRATO!$A$2:$A$3000,$A2487,EXTRATO!$J$2:$J$3000)+SUMIF(EXTRATO!$A$2:$A$3000,$A2487,EXTRATO!$K$2:$K$3000)+SUMIF(EXTRATO!$A$2:$A$3000,$A2487,EXTRATO!$L$2:$L$3000)+SUMIF(EXTRATO!$A$2:$A$3000,$A2487,EXTRATO!$M$2:$M$3000))</f>
        <v/>
      </c>
      <c r="G2487" s="81" t="str">
        <f>IF(A2487="","",IF(INDEX(EXTRATO!$G$2:$G$3000,MATCH($A2487,EXTRATO!$A$2:$A$3000,0))="","",INDEX(EXTRATO!$G$2:$G$3000,MATCH($A2487,EXTRATO!$A$2:$A$3000,0))))</f>
        <v/>
      </c>
      <c r="H2487" s="86" t="str">
        <f>IF(A2487="","",IF(INDEX(EXTRATO!$F$2:$F$3000,MATCH($A2487,EXTRATO!$A$2:$A$3000,0))="","",INDEX(EXTRATO!$F$2:$F$3000,MATCH($A2487,EXTRATO!$A$2:$A$3000,0))))</f>
        <v/>
      </c>
      <c r="I2487" s="88" t="str">
        <f>IF(A2487="","",IF(INDEX(EXTRATO!$H$2:$H$3000,MATCH($A2487,EXTRATO!$A$2:$A$3000,0))="","",INDEX(EXTRATO!$H$2:$H$3000,MATCH($A2487,EXTRATO!$A$2:$A$3000,0))))</f>
        <v/>
      </c>
      <c r="J2487" s="86" t="str">
        <f t="shared" si="65"/>
        <v/>
      </c>
      <c r="K2487" s="86" t="str">
        <f>IF(AND(A2487="",D2487="",E2487="",F2487=""),"",IF(D2487="","SEM CATEGORIA",IF(E2487="","SEM SUBCATEGORIA",IF(COUNTIFS(CADASTROS!$L$7:$L$93,D2487,CADASTROS!$D$7:$D$93,E2487)=0,"INCOMPATÍVEL","OK"))))</f>
        <v/>
      </c>
    </row>
    <row r="2488" spans="1:11" ht="30" hidden="1" customHeight="1" x14ac:dyDescent="0.25">
      <c r="A2488" s="86" t="str">
        <f>IF(COUNTIF(EXTRATO!$A$2:$A$3000,"BAN-02345")=0,"","BAN-02345")</f>
        <v/>
      </c>
      <c r="B2488" s="85" t="str">
        <f>IF(A2488="","",IF(INDEX(EXTRATO!$C$2:$C$3000,MATCH($A2488,EXTRATO!$A$2:$A$3000,0))="","",INDEX(EXTRATO!$C$2:$C$3000,MATCH($A2488,EXTRATO!$A$2:$A$3000,0))))</f>
        <v/>
      </c>
      <c r="C2488" s="86" t="str">
        <f t="shared" si="64"/>
        <v/>
      </c>
      <c r="D2488" s="81"/>
      <c r="E2488" s="79"/>
      <c r="F2488" s="80" t="str">
        <f>IF(A2488="","",SUMIF(EXTRATO!$A$2:$A$3000,$A2488,EXTRATO!$J$2:$J$3000)+SUMIF(EXTRATO!$A$2:$A$3000,$A2488,EXTRATO!$K$2:$K$3000)+SUMIF(EXTRATO!$A$2:$A$3000,$A2488,EXTRATO!$L$2:$L$3000)+SUMIF(EXTRATO!$A$2:$A$3000,$A2488,EXTRATO!$M$2:$M$3000))</f>
        <v/>
      </c>
      <c r="G2488" s="81" t="str">
        <f>IF(A2488="","",IF(INDEX(EXTRATO!$G$2:$G$3000,MATCH($A2488,EXTRATO!$A$2:$A$3000,0))="","",INDEX(EXTRATO!$G$2:$G$3000,MATCH($A2488,EXTRATO!$A$2:$A$3000,0))))</f>
        <v/>
      </c>
      <c r="H2488" s="86" t="str">
        <f>IF(A2488="","",IF(INDEX(EXTRATO!$F$2:$F$3000,MATCH($A2488,EXTRATO!$A$2:$A$3000,0))="","",INDEX(EXTRATO!$F$2:$F$3000,MATCH($A2488,EXTRATO!$A$2:$A$3000,0))))</f>
        <v/>
      </c>
      <c r="I2488" s="88" t="str">
        <f>IF(A2488="","",IF(INDEX(EXTRATO!$H$2:$H$3000,MATCH($A2488,EXTRATO!$A$2:$A$3000,0))="","",INDEX(EXTRATO!$H$2:$H$3000,MATCH($A2488,EXTRATO!$A$2:$A$3000,0))))</f>
        <v/>
      </c>
      <c r="J2488" s="86" t="str">
        <f t="shared" si="65"/>
        <v/>
      </c>
      <c r="K2488" s="86" t="str">
        <f>IF(AND(A2488="",D2488="",E2488="",F2488=""),"",IF(D2488="","SEM CATEGORIA",IF(E2488="","SEM SUBCATEGORIA",IF(COUNTIFS(CADASTROS!$L$7:$L$93,D2488,CADASTROS!$D$7:$D$93,E2488)=0,"INCOMPATÍVEL","OK"))))</f>
        <v/>
      </c>
    </row>
    <row r="2489" spans="1:11" ht="30" hidden="1" customHeight="1" x14ac:dyDescent="0.25">
      <c r="A2489" s="86" t="str">
        <f>IF(COUNTIF(EXTRATO!$A$2:$A$3000,"BAN-02346")=0,"","BAN-02346")</f>
        <v/>
      </c>
      <c r="B2489" s="85" t="str">
        <f>IF(A2489="","",IF(INDEX(EXTRATO!$C$2:$C$3000,MATCH($A2489,EXTRATO!$A$2:$A$3000,0))="","",INDEX(EXTRATO!$C$2:$C$3000,MATCH($A2489,EXTRATO!$A$2:$A$3000,0))))</f>
        <v/>
      </c>
      <c r="C2489" s="86" t="str">
        <f t="shared" si="64"/>
        <v/>
      </c>
      <c r="D2489" s="81"/>
      <c r="E2489" s="79"/>
      <c r="F2489" s="80" t="str">
        <f>IF(A2489="","",SUMIF(EXTRATO!$A$2:$A$3000,$A2489,EXTRATO!$J$2:$J$3000)+SUMIF(EXTRATO!$A$2:$A$3000,$A2489,EXTRATO!$K$2:$K$3000)+SUMIF(EXTRATO!$A$2:$A$3000,$A2489,EXTRATO!$L$2:$L$3000)+SUMIF(EXTRATO!$A$2:$A$3000,$A2489,EXTRATO!$M$2:$M$3000))</f>
        <v/>
      </c>
      <c r="G2489" s="81" t="str">
        <f>IF(A2489="","",IF(INDEX(EXTRATO!$G$2:$G$3000,MATCH($A2489,EXTRATO!$A$2:$A$3000,0))="","",INDEX(EXTRATO!$G$2:$G$3000,MATCH($A2489,EXTRATO!$A$2:$A$3000,0))))</f>
        <v/>
      </c>
      <c r="H2489" s="86" t="str">
        <f>IF(A2489="","",IF(INDEX(EXTRATO!$F$2:$F$3000,MATCH($A2489,EXTRATO!$A$2:$A$3000,0))="","",INDEX(EXTRATO!$F$2:$F$3000,MATCH($A2489,EXTRATO!$A$2:$A$3000,0))))</f>
        <v/>
      </c>
      <c r="I2489" s="88" t="str">
        <f>IF(A2489="","",IF(INDEX(EXTRATO!$H$2:$H$3000,MATCH($A2489,EXTRATO!$A$2:$A$3000,0))="","",INDEX(EXTRATO!$H$2:$H$3000,MATCH($A2489,EXTRATO!$A$2:$A$3000,0))))</f>
        <v/>
      </c>
      <c r="J2489" s="86" t="str">
        <f t="shared" si="65"/>
        <v/>
      </c>
      <c r="K2489" s="86" t="str">
        <f>IF(AND(A2489="",D2489="",E2489="",F2489=""),"",IF(D2489="","SEM CATEGORIA",IF(E2489="","SEM SUBCATEGORIA",IF(COUNTIFS(CADASTROS!$L$7:$L$93,D2489,CADASTROS!$D$7:$D$93,E2489)=0,"INCOMPATÍVEL","OK"))))</f>
        <v/>
      </c>
    </row>
    <row r="2490" spans="1:11" ht="30" hidden="1" customHeight="1" x14ac:dyDescent="0.25">
      <c r="A2490" s="86" t="str">
        <f>IF(COUNTIF(EXTRATO!$A$2:$A$3000,"BAN-02347")=0,"","BAN-02347")</f>
        <v/>
      </c>
      <c r="B2490" s="85" t="str">
        <f>IF(A2490="","",IF(INDEX(EXTRATO!$C$2:$C$3000,MATCH($A2490,EXTRATO!$A$2:$A$3000,0))="","",INDEX(EXTRATO!$C$2:$C$3000,MATCH($A2490,EXTRATO!$A$2:$A$3000,0))))</f>
        <v/>
      </c>
      <c r="C2490" s="86" t="str">
        <f t="shared" si="64"/>
        <v/>
      </c>
      <c r="D2490" s="81"/>
      <c r="E2490" s="79"/>
      <c r="F2490" s="80" t="str">
        <f>IF(A2490="","",SUMIF(EXTRATO!$A$2:$A$3000,$A2490,EXTRATO!$J$2:$J$3000)+SUMIF(EXTRATO!$A$2:$A$3000,$A2490,EXTRATO!$K$2:$K$3000)+SUMIF(EXTRATO!$A$2:$A$3000,$A2490,EXTRATO!$L$2:$L$3000)+SUMIF(EXTRATO!$A$2:$A$3000,$A2490,EXTRATO!$M$2:$M$3000))</f>
        <v/>
      </c>
      <c r="G2490" s="81" t="str">
        <f>IF(A2490="","",IF(INDEX(EXTRATO!$G$2:$G$3000,MATCH($A2490,EXTRATO!$A$2:$A$3000,0))="","",INDEX(EXTRATO!$G$2:$G$3000,MATCH($A2490,EXTRATO!$A$2:$A$3000,0))))</f>
        <v/>
      </c>
      <c r="H2490" s="86" t="str">
        <f>IF(A2490="","",IF(INDEX(EXTRATO!$F$2:$F$3000,MATCH($A2490,EXTRATO!$A$2:$A$3000,0))="","",INDEX(EXTRATO!$F$2:$F$3000,MATCH($A2490,EXTRATO!$A$2:$A$3000,0))))</f>
        <v/>
      </c>
      <c r="I2490" s="88" t="str">
        <f>IF(A2490="","",IF(INDEX(EXTRATO!$H$2:$H$3000,MATCH($A2490,EXTRATO!$A$2:$A$3000,0))="","",INDEX(EXTRATO!$H$2:$H$3000,MATCH($A2490,EXTRATO!$A$2:$A$3000,0))))</f>
        <v/>
      </c>
      <c r="J2490" s="86" t="str">
        <f t="shared" si="65"/>
        <v/>
      </c>
      <c r="K2490" s="86" t="str">
        <f>IF(AND(A2490="",D2490="",E2490="",F2490=""),"",IF(D2490="","SEM CATEGORIA",IF(E2490="","SEM SUBCATEGORIA",IF(COUNTIFS(CADASTROS!$L$7:$L$93,D2490,CADASTROS!$D$7:$D$93,E2490)=0,"INCOMPATÍVEL","OK"))))</f>
        <v/>
      </c>
    </row>
    <row r="2491" spans="1:11" ht="30" hidden="1" customHeight="1" x14ac:dyDescent="0.25">
      <c r="A2491" s="86" t="str">
        <f>IF(COUNTIF(EXTRATO!$A$2:$A$3000,"BAN-02348")=0,"","BAN-02348")</f>
        <v/>
      </c>
      <c r="B2491" s="85" t="str">
        <f>IF(A2491="","",IF(INDEX(EXTRATO!$C$2:$C$3000,MATCH($A2491,EXTRATO!$A$2:$A$3000,0))="","",INDEX(EXTRATO!$C$2:$C$3000,MATCH($A2491,EXTRATO!$A$2:$A$3000,0))))</f>
        <v/>
      </c>
      <c r="C2491" s="86" t="str">
        <f t="shared" si="64"/>
        <v/>
      </c>
      <c r="D2491" s="81"/>
      <c r="E2491" s="79"/>
      <c r="F2491" s="80" t="str">
        <f>IF(A2491="","",SUMIF(EXTRATO!$A$2:$A$3000,$A2491,EXTRATO!$J$2:$J$3000)+SUMIF(EXTRATO!$A$2:$A$3000,$A2491,EXTRATO!$K$2:$K$3000)+SUMIF(EXTRATO!$A$2:$A$3000,$A2491,EXTRATO!$L$2:$L$3000)+SUMIF(EXTRATO!$A$2:$A$3000,$A2491,EXTRATO!$M$2:$M$3000))</f>
        <v/>
      </c>
      <c r="G2491" s="81" t="str">
        <f>IF(A2491="","",IF(INDEX(EXTRATO!$G$2:$G$3000,MATCH($A2491,EXTRATO!$A$2:$A$3000,0))="","",INDEX(EXTRATO!$G$2:$G$3000,MATCH($A2491,EXTRATO!$A$2:$A$3000,0))))</f>
        <v/>
      </c>
      <c r="H2491" s="86" t="str">
        <f>IF(A2491="","",IF(INDEX(EXTRATO!$F$2:$F$3000,MATCH($A2491,EXTRATO!$A$2:$A$3000,0))="","",INDEX(EXTRATO!$F$2:$F$3000,MATCH($A2491,EXTRATO!$A$2:$A$3000,0))))</f>
        <v/>
      </c>
      <c r="I2491" s="88" t="str">
        <f>IF(A2491="","",IF(INDEX(EXTRATO!$H$2:$H$3000,MATCH($A2491,EXTRATO!$A$2:$A$3000,0))="","",INDEX(EXTRATO!$H$2:$H$3000,MATCH($A2491,EXTRATO!$A$2:$A$3000,0))))</f>
        <v/>
      </c>
      <c r="J2491" s="86" t="str">
        <f t="shared" si="65"/>
        <v/>
      </c>
      <c r="K2491" s="86" t="str">
        <f>IF(AND(A2491="",D2491="",E2491="",F2491=""),"",IF(D2491="","SEM CATEGORIA",IF(E2491="","SEM SUBCATEGORIA",IF(COUNTIFS(CADASTROS!$L$7:$L$93,D2491,CADASTROS!$D$7:$D$93,E2491)=0,"INCOMPATÍVEL","OK"))))</f>
        <v/>
      </c>
    </row>
    <row r="2492" spans="1:11" ht="30" hidden="1" customHeight="1" x14ac:dyDescent="0.25">
      <c r="A2492" s="86" t="str">
        <f>IF(COUNTIF(EXTRATO!$A$2:$A$3000,"BAN-02349")=0,"","BAN-02349")</f>
        <v/>
      </c>
      <c r="B2492" s="85" t="str">
        <f>IF(A2492="","",IF(INDEX(EXTRATO!$C$2:$C$3000,MATCH($A2492,EXTRATO!$A$2:$A$3000,0))="","",INDEX(EXTRATO!$C$2:$C$3000,MATCH($A2492,EXTRATO!$A$2:$A$3000,0))))</f>
        <v/>
      </c>
      <c r="C2492" s="86" t="str">
        <f t="shared" si="64"/>
        <v/>
      </c>
      <c r="D2492" s="81"/>
      <c r="E2492" s="79"/>
      <c r="F2492" s="80" t="str">
        <f>IF(A2492="","",SUMIF(EXTRATO!$A$2:$A$3000,$A2492,EXTRATO!$J$2:$J$3000)+SUMIF(EXTRATO!$A$2:$A$3000,$A2492,EXTRATO!$K$2:$K$3000)+SUMIF(EXTRATO!$A$2:$A$3000,$A2492,EXTRATO!$L$2:$L$3000)+SUMIF(EXTRATO!$A$2:$A$3000,$A2492,EXTRATO!$M$2:$M$3000))</f>
        <v/>
      </c>
      <c r="G2492" s="81" t="str">
        <f>IF(A2492="","",IF(INDEX(EXTRATO!$G$2:$G$3000,MATCH($A2492,EXTRATO!$A$2:$A$3000,0))="","",INDEX(EXTRATO!$G$2:$G$3000,MATCH($A2492,EXTRATO!$A$2:$A$3000,0))))</f>
        <v/>
      </c>
      <c r="H2492" s="86" t="str">
        <f>IF(A2492="","",IF(INDEX(EXTRATO!$F$2:$F$3000,MATCH($A2492,EXTRATO!$A$2:$A$3000,0))="","",INDEX(EXTRATO!$F$2:$F$3000,MATCH($A2492,EXTRATO!$A$2:$A$3000,0))))</f>
        <v/>
      </c>
      <c r="I2492" s="88" t="str">
        <f>IF(A2492="","",IF(INDEX(EXTRATO!$H$2:$H$3000,MATCH($A2492,EXTRATO!$A$2:$A$3000,0))="","",INDEX(EXTRATO!$H$2:$H$3000,MATCH($A2492,EXTRATO!$A$2:$A$3000,0))))</f>
        <v/>
      </c>
      <c r="J2492" s="86" t="str">
        <f t="shared" si="65"/>
        <v/>
      </c>
      <c r="K2492" s="86" t="str">
        <f>IF(AND(A2492="",D2492="",E2492="",F2492=""),"",IF(D2492="","SEM CATEGORIA",IF(E2492="","SEM SUBCATEGORIA",IF(COUNTIFS(CADASTROS!$L$7:$L$93,D2492,CADASTROS!$D$7:$D$93,E2492)=0,"INCOMPATÍVEL","OK"))))</f>
        <v/>
      </c>
    </row>
    <row r="2493" spans="1:11" ht="30" hidden="1" customHeight="1" x14ac:dyDescent="0.25">
      <c r="A2493" s="86" t="str">
        <f>IF(COUNTIF(EXTRATO!$A$2:$A$3000,"BAN-02350")=0,"","BAN-02350")</f>
        <v/>
      </c>
      <c r="B2493" s="85" t="str">
        <f>IF(A2493="","",IF(INDEX(EXTRATO!$C$2:$C$3000,MATCH($A2493,EXTRATO!$A$2:$A$3000,0))="","",INDEX(EXTRATO!$C$2:$C$3000,MATCH($A2493,EXTRATO!$A$2:$A$3000,0))))</f>
        <v/>
      </c>
      <c r="C2493" s="86" t="str">
        <f t="shared" si="64"/>
        <v/>
      </c>
      <c r="D2493" s="81"/>
      <c r="E2493" s="79"/>
      <c r="F2493" s="80" t="str">
        <f>IF(A2493="","",SUMIF(EXTRATO!$A$2:$A$3000,$A2493,EXTRATO!$J$2:$J$3000)+SUMIF(EXTRATO!$A$2:$A$3000,$A2493,EXTRATO!$K$2:$K$3000)+SUMIF(EXTRATO!$A$2:$A$3000,$A2493,EXTRATO!$L$2:$L$3000)+SUMIF(EXTRATO!$A$2:$A$3000,$A2493,EXTRATO!$M$2:$M$3000))</f>
        <v/>
      </c>
      <c r="G2493" s="81" t="str">
        <f>IF(A2493="","",IF(INDEX(EXTRATO!$G$2:$G$3000,MATCH($A2493,EXTRATO!$A$2:$A$3000,0))="","",INDEX(EXTRATO!$G$2:$G$3000,MATCH($A2493,EXTRATO!$A$2:$A$3000,0))))</f>
        <v/>
      </c>
      <c r="H2493" s="86" t="str">
        <f>IF(A2493="","",IF(INDEX(EXTRATO!$F$2:$F$3000,MATCH($A2493,EXTRATO!$A$2:$A$3000,0))="","",INDEX(EXTRATO!$F$2:$F$3000,MATCH($A2493,EXTRATO!$A$2:$A$3000,0))))</f>
        <v/>
      </c>
      <c r="I2493" s="88" t="str">
        <f>IF(A2493="","",IF(INDEX(EXTRATO!$H$2:$H$3000,MATCH($A2493,EXTRATO!$A$2:$A$3000,0))="","",INDEX(EXTRATO!$H$2:$H$3000,MATCH($A2493,EXTRATO!$A$2:$A$3000,0))))</f>
        <v/>
      </c>
      <c r="J2493" s="86" t="str">
        <f t="shared" si="65"/>
        <v/>
      </c>
      <c r="K2493" s="86" t="str">
        <f>IF(AND(A2493="",D2493="",E2493="",F2493=""),"",IF(D2493="","SEM CATEGORIA",IF(E2493="","SEM SUBCATEGORIA",IF(COUNTIFS(CADASTROS!$L$7:$L$93,D2493,CADASTROS!$D$7:$D$93,E2493)=0,"INCOMPATÍVEL","OK"))))</f>
        <v/>
      </c>
    </row>
    <row r="2494" spans="1:11" ht="30" hidden="1" customHeight="1" x14ac:dyDescent="0.25">
      <c r="A2494" s="86" t="str">
        <f>IF(COUNTIF(EXTRATO!$A$2:$A$3000,"BAN-02351")=0,"","BAN-02351")</f>
        <v/>
      </c>
      <c r="B2494" s="85" t="str">
        <f>IF(A2494="","",IF(INDEX(EXTRATO!$C$2:$C$3000,MATCH($A2494,EXTRATO!$A$2:$A$3000,0))="","",INDEX(EXTRATO!$C$2:$C$3000,MATCH($A2494,EXTRATO!$A$2:$A$3000,0))))</f>
        <v/>
      </c>
      <c r="C2494" s="86" t="str">
        <f t="shared" si="64"/>
        <v/>
      </c>
      <c r="D2494" s="81"/>
      <c r="E2494" s="79"/>
      <c r="F2494" s="80" t="str">
        <f>IF(A2494="","",SUMIF(EXTRATO!$A$2:$A$3000,$A2494,EXTRATO!$J$2:$J$3000)+SUMIF(EXTRATO!$A$2:$A$3000,$A2494,EXTRATO!$K$2:$K$3000)+SUMIF(EXTRATO!$A$2:$A$3000,$A2494,EXTRATO!$L$2:$L$3000)+SUMIF(EXTRATO!$A$2:$A$3000,$A2494,EXTRATO!$M$2:$M$3000))</f>
        <v/>
      </c>
      <c r="G2494" s="81" t="str">
        <f>IF(A2494="","",IF(INDEX(EXTRATO!$G$2:$G$3000,MATCH($A2494,EXTRATO!$A$2:$A$3000,0))="","",INDEX(EXTRATO!$G$2:$G$3000,MATCH($A2494,EXTRATO!$A$2:$A$3000,0))))</f>
        <v/>
      </c>
      <c r="H2494" s="86" t="str">
        <f>IF(A2494="","",IF(INDEX(EXTRATO!$F$2:$F$3000,MATCH($A2494,EXTRATO!$A$2:$A$3000,0))="","",INDEX(EXTRATO!$F$2:$F$3000,MATCH($A2494,EXTRATO!$A$2:$A$3000,0))))</f>
        <v/>
      </c>
      <c r="I2494" s="88" t="str">
        <f>IF(A2494="","",IF(INDEX(EXTRATO!$H$2:$H$3000,MATCH($A2494,EXTRATO!$A$2:$A$3000,0))="","",INDEX(EXTRATO!$H$2:$H$3000,MATCH($A2494,EXTRATO!$A$2:$A$3000,0))))</f>
        <v/>
      </c>
      <c r="J2494" s="86" t="str">
        <f t="shared" si="65"/>
        <v/>
      </c>
      <c r="K2494" s="86" t="str">
        <f>IF(AND(A2494="",D2494="",E2494="",F2494=""),"",IF(D2494="","SEM CATEGORIA",IF(E2494="","SEM SUBCATEGORIA",IF(COUNTIFS(CADASTROS!$L$7:$L$93,D2494,CADASTROS!$D$7:$D$93,E2494)=0,"INCOMPATÍVEL","OK"))))</f>
        <v/>
      </c>
    </row>
    <row r="2495" spans="1:11" ht="30" hidden="1" customHeight="1" x14ac:dyDescent="0.25">
      <c r="A2495" s="86" t="str">
        <f>IF(COUNTIF(EXTRATO!$A$2:$A$3000,"BAN-02352")=0,"","BAN-02352")</f>
        <v/>
      </c>
      <c r="B2495" s="85" t="str">
        <f>IF(A2495="","",IF(INDEX(EXTRATO!$C$2:$C$3000,MATCH($A2495,EXTRATO!$A$2:$A$3000,0))="","",INDEX(EXTRATO!$C$2:$C$3000,MATCH($A2495,EXTRATO!$A$2:$A$3000,0))))</f>
        <v/>
      </c>
      <c r="C2495" s="86" t="str">
        <f t="shared" si="64"/>
        <v/>
      </c>
      <c r="D2495" s="81"/>
      <c r="E2495" s="79"/>
      <c r="F2495" s="80" t="str">
        <f>IF(A2495="","",SUMIF(EXTRATO!$A$2:$A$3000,$A2495,EXTRATO!$J$2:$J$3000)+SUMIF(EXTRATO!$A$2:$A$3000,$A2495,EXTRATO!$K$2:$K$3000)+SUMIF(EXTRATO!$A$2:$A$3000,$A2495,EXTRATO!$L$2:$L$3000)+SUMIF(EXTRATO!$A$2:$A$3000,$A2495,EXTRATO!$M$2:$M$3000))</f>
        <v/>
      </c>
      <c r="G2495" s="81" t="str">
        <f>IF(A2495="","",IF(INDEX(EXTRATO!$G$2:$G$3000,MATCH($A2495,EXTRATO!$A$2:$A$3000,0))="","",INDEX(EXTRATO!$G$2:$G$3000,MATCH($A2495,EXTRATO!$A$2:$A$3000,0))))</f>
        <v/>
      </c>
      <c r="H2495" s="86" t="str">
        <f>IF(A2495="","",IF(INDEX(EXTRATO!$F$2:$F$3000,MATCH($A2495,EXTRATO!$A$2:$A$3000,0))="","",INDEX(EXTRATO!$F$2:$F$3000,MATCH($A2495,EXTRATO!$A$2:$A$3000,0))))</f>
        <v/>
      </c>
      <c r="I2495" s="88" t="str">
        <f>IF(A2495="","",IF(INDEX(EXTRATO!$H$2:$H$3000,MATCH($A2495,EXTRATO!$A$2:$A$3000,0))="","",INDEX(EXTRATO!$H$2:$H$3000,MATCH($A2495,EXTRATO!$A$2:$A$3000,0))))</f>
        <v/>
      </c>
      <c r="J2495" s="86" t="str">
        <f t="shared" si="65"/>
        <v/>
      </c>
      <c r="K2495" s="86" t="str">
        <f>IF(AND(A2495="",D2495="",E2495="",F2495=""),"",IF(D2495="","SEM CATEGORIA",IF(E2495="","SEM SUBCATEGORIA",IF(COUNTIFS(CADASTROS!$L$7:$L$93,D2495,CADASTROS!$D$7:$D$93,E2495)=0,"INCOMPATÍVEL","OK"))))</f>
        <v/>
      </c>
    </row>
    <row r="2496" spans="1:11" ht="30" hidden="1" customHeight="1" x14ac:dyDescent="0.25">
      <c r="A2496" s="86" t="str">
        <f>IF(COUNTIF(EXTRATO!$A$2:$A$3000,"BAN-02353")=0,"","BAN-02353")</f>
        <v/>
      </c>
      <c r="B2496" s="85" t="str">
        <f>IF(A2496="","",IF(INDEX(EXTRATO!$C$2:$C$3000,MATCH($A2496,EXTRATO!$A$2:$A$3000,0))="","",INDEX(EXTRATO!$C$2:$C$3000,MATCH($A2496,EXTRATO!$A$2:$A$3000,0))))</f>
        <v/>
      </c>
      <c r="C2496" s="86" t="str">
        <f t="shared" si="64"/>
        <v/>
      </c>
      <c r="D2496" s="81"/>
      <c r="E2496" s="79"/>
      <c r="F2496" s="80" t="str">
        <f>IF(A2496="","",SUMIF(EXTRATO!$A$2:$A$3000,$A2496,EXTRATO!$J$2:$J$3000)+SUMIF(EXTRATO!$A$2:$A$3000,$A2496,EXTRATO!$K$2:$K$3000)+SUMIF(EXTRATO!$A$2:$A$3000,$A2496,EXTRATO!$L$2:$L$3000)+SUMIF(EXTRATO!$A$2:$A$3000,$A2496,EXTRATO!$M$2:$M$3000))</f>
        <v/>
      </c>
      <c r="G2496" s="81" t="str">
        <f>IF(A2496="","",IF(INDEX(EXTRATO!$G$2:$G$3000,MATCH($A2496,EXTRATO!$A$2:$A$3000,0))="","",INDEX(EXTRATO!$G$2:$G$3000,MATCH($A2496,EXTRATO!$A$2:$A$3000,0))))</f>
        <v/>
      </c>
      <c r="H2496" s="86" t="str">
        <f>IF(A2496="","",IF(INDEX(EXTRATO!$F$2:$F$3000,MATCH($A2496,EXTRATO!$A$2:$A$3000,0))="","",INDEX(EXTRATO!$F$2:$F$3000,MATCH($A2496,EXTRATO!$A$2:$A$3000,0))))</f>
        <v/>
      </c>
      <c r="I2496" s="88" t="str">
        <f>IF(A2496="","",IF(INDEX(EXTRATO!$H$2:$H$3000,MATCH($A2496,EXTRATO!$A$2:$A$3000,0))="","",INDEX(EXTRATO!$H$2:$H$3000,MATCH($A2496,EXTRATO!$A$2:$A$3000,0))))</f>
        <v/>
      </c>
      <c r="J2496" s="86" t="str">
        <f t="shared" si="65"/>
        <v/>
      </c>
      <c r="K2496" s="86" t="str">
        <f>IF(AND(A2496="",D2496="",E2496="",F2496=""),"",IF(D2496="","SEM CATEGORIA",IF(E2496="","SEM SUBCATEGORIA",IF(COUNTIFS(CADASTROS!$L$7:$L$93,D2496,CADASTROS!$D$7:$D$93,E2496)=0,"INCOMPATÍVEL","OK"))))</f>
        <v/>
      </c>
    </row>
    <row r="2497" spans="1:11" ht="30" hidden="1" customHeight="1" x14ac:dyDescent="0.25">
      <c r="A2497" s="86" t="str">
        <f>IF(COUNTIF(EXTRATO!$A$2:$A$3000,"BAN-02354")=0,"","BAN-02354")</f>
        <v/>
      </c>
      <c r="B2497" s="85" t="str">
        <f>IF(A2497="","",IF(INDEX(EXTRATO!$C$2:$C$3000,MATCH($A2497,EXTRATO!$A$2:$A$3000,0))="","",INDEX(EXTRATO!$C$2:$C$3000,MATCH($A2497,EXTRATO!$A$2:$A$3000,0))))</f>
        <v/>
      </c>
      <c r="C2497" s="86" t="str">
        <f t="shared" si="64"/>
        <v/>
      </c>
      <c r="D2497" s="81"/>
      <c r="E2497" s="79"/>
      <c r="F2497" s="80" t="str">
        <f>IF(A2497="","",SUMIF(EXTRATO!$A$2:$A$3000,$A2497,EXTRATO!$J$2:$J$3000)+SUMIF(EXTRATO!$A$2:$A$3000,$A2497,EXTRATO!$K$2:$K$3000)+SUMIF(EXTRATO!$A$2:$A$3000,$A2497,EXTRATO!$L$2:$L$3000)+SUMIF(EXTRATO!$A$2:$A$3000,$A2497,EXTRATO!$M$2:$M$3000))</f>
        <v/>
      </c>
      <c r="G2497" s="81" t="str">
        <f>IF(A2497="","",IF(INDEX(EXTRATO!$G$2:$G$3000,MATCH($A2497,EXTRATO!$A$2:$A$3000,0))="","",INDEX(EXTRATO!$G$2:$G$3000,MATCH($A2497,EXTRATO!$A$2:$A$3000,0))))</f>
        <v/>
      </c>
      <c r="H2497" s="86" t="str">
        <f>IF(A2497="","",IF(INDEX(EXTRATO!$F$2:$F$3000,MATCH($A2497,EXTRATO!$A$2:$A$3000,0))="","",INDEX(EXTRATO!$F$2:$F$3000,MATCH($A2497,EXTRATO!$A$2:$A$3000,0))))</f>
        <v/>
      </c>
      <c r="I2497" s="88" t="str">
        <f>IF(A2497="","",IF(INDEX(EXTRATO!$H$2:$H$3000,MATCH($A2497,EXTRATO!$A$2:$A$3000,0))="","",INDEX(EXTRATO!$H$2:$H$3000,MATCH($A2497,EXTRATO!$A$2:$A$3000,0))))</f>
        <v/>
      </c>
      <c r="J2497" s="86" t="str">
        <f t="shared" si="65"/>
        <v/>
      </c>
      <c r="K2497" s="86" t="str">
        <f>IF(AND(A2497="",D2497="",E2497="",F2497=""),"",IF(D2497="","SEM CATEGORIA",IF(E2497="","SEM SUBCATEGORIA",IF(COUNTIFS(CADASTROS!$L$7:$L$93,D2497,CADASTROS!$D$7:$D$93,E2497)=0,"INCOMPATÍVEL","OK"))))</f>
        <v/>
      </c>
    </row>
    <row r="2498" spans="1:11" ht="30" hidden="1" customHeight="1" x14ac:dyDescent="0.25">
      <c r="A2498" s="86" t="str">
        <f>IF(COUNTIF(EXTRATO!$A$2:$A$3000,"BAN-02355")=0,"","BAN-02355")</f>
        <v/>
      </c>
      <c r="B2498" s="85" t="str">
        <f>IF(A2498="","",IF(INDEX(EXTRATO!$C$2:$C$3000,MATCH($A2498,EXTRATO!$A$2:$A$3000,0))="","",INDEX(EXTRATO!$C$2:$C$3000,MATCH($A2498,EXTRATO!$A$2:$A$3000,0))))</f>
        <v/>
      </c>
      <c r="C2498" s="86" t="str">
        <f t="shared" si="64"/>
        <v/>
      </c>
      <c r="D2498" s="81"/>
      <c r="E2498" s="79"/>
      <c r="F2498" s="80" t="str">
        <f>IF(A2498="","",SUMIF(EXTRATO!$A$2:$A$3000,$A2498,EXTRATO!$J$2:$J$3000)+SUMIF(EXTRATO!$A$2:$A$3000,$A2498,EXTRATO!$K$2:$K$3000)+SUMIF(EXTRATO!$A$2:$A$3000,$A2498,EXTRATO!$L$2:$L$3000)+SUMIF(EXTRATO!$A$2:$A$3000,$A2498,EXTRATO!$M$2:$M$3000))</f>
        <v/>
      </c>
      <c r="G2498" s="81" t="str">
        <f>IF(A2498="","",IF(INDEX(EXTRATO!$G$2:$G$3000,MATCH($A2498,EXTRATO!$A$2:$A$3000,0))="","",INDEX(EXTRATO!$G$2:$G$3000,MATCH($A2498,EXTRATO!$A$2:$A$3000,0))))</f>
        <v/>
      </c>
      <c r="H2498" s="86" t="str">
        <f>IF(A2498="","",IF(INDEX(EXTRATO!$F$2:$F$3000,MATCH($A2498,EXTRATO!$A$2:$A$3000,0))="","",INDEX(EXTRATO!$F$2:$F$3000,MATCH($A2498,EXTRATO!$A$2:$A$3000,0))))</f>
        <v/>
      </c>
      <c r="I2498" s="88" t="str">
        <f>IF(A2498="","",IF(INDEX(EXTRATO!$H$2:$H$3000,MATCH($A2498,EXTRATO!$A$2:$A$3000,0))="","",INDEX(EXTRATO!$H$2:$H$3000,MATCH($A2498,EXTRATO!$A$2:$A$3000,0))))</f>
        <v/>
      </c>
      <c r="J2498" s="86" t="str">
        <f t="shared" si="65"/>
        <v/>
      </c>
      <c r="K2498" s="86" t="str">
        <f>IF(AND(A2498="",D2498="",E2498="",F2498=""),"",IF(D2498="","SEM CATEGORIA",IF(E2498="","SEM SUBCATEGORIA",IF(COUNTIFS(CADASTROS!$L$7:$L$93,D2498,CADASTROS!$D$7:$D$93,E2498)=0,"INCOMPATÍVEL","OK"))))</f>
        <v/>
      </c>
    </row>
    <row r="2499" spans="1:11" ht="30" hidden="1" customHeight="1" x14ac:dyDescent="0.25">
      <c r="A2499" s="86" t="str">
        <f>IF(COUNTIF(EXTRATO!$A$2:$A$3000,"BAN-02356")=0,"","BAN-02356")</f>
        <v/>
      </c>
      <c r="B2499" s="85" t="str">
        <f>IF(A2499="","",IF(INDEX(EXTRATO!$C$2:$C$3000,MATCH($A2499,EXTRATO!$A$2:$A$3000,0))="","",INDEX(EXTRATO!$C$2:$C$3000,MATCH($A2499,EXTRATO!$A$2:$A$3000,0))))</f>
        <v/>
      </c>
      <c r="C2499" s="86" t="str">
        <f t="shared" si="64"/>
        <v/>
      </c>
      <c r="D2499" s="81"/>
      <c r="E2499" s="79"/>
      <c r="F2499" s="80" t="str">
        <f>IF(A2499="","",SUMIF(EXTRATO!$A$2:$A$3000,$A2499,EXTRATO!$J$2:$J$3000)+SUMIF(EXTRATO!$A$2:$A$3000,$A2499,EXTRATO!$K$2:$K$3000)+SUMIF(EXTRATO!$A$2:$A$3000,$A2499,EXTRATO!$L$2:$L$3000)+SUMIF(EXTRATO!$A$2:$A$3000,$A2499,EXTRATO!$M$2:$M$3000))</f>
        <v/>
      </c>
      <c r="G2499" s="81" t="str">
        <f>IF(A2499="","",IF(INDEX(EXTRATO!$G$2:$G$3000,MATCH($A2499,EXTRATO!$A$2:$A$3000,0))="","",INDEX(EXTRATO!$G$2:$G$3000,MATCH($A2499,EXTRATO!$A$2:$A$3000,0))))</f>
        <v/>
      </c>
      <c r="H2499" s="86" t="str">
        <f>IF(A2499="","",IF(INDEX(EXTRATO!$F$2:$F$3000,MATCH($A2499,EXTRATO!$A$2:$A$3000,0))="","",INDEX(EXTRATO!$F$2:$F$3000,MATCH($A2499,EXTRATO!$A$2:$A$3000,0))))</f>
        <v/>
      </c>
      <c r="I2499" s="88" t="str">
        <f>IF(A2499="","",IF(INDEX(EXTRATO!$H$2:$H$3000,MATCH($A2499,EXTRATO!$A$2:$A$3000,0))="","",INDEX(EXTRATO!$H$2:$H$3000,MATCH($A2499,EXTRATO!$A$2:$A$3000,0))))</f>
        <v/>
      </c>
      <c r="J2499" s="86" t="str">
        <f t="shared" si="65"/>
        <v/>
      </c>
      <c r="K2499" s="86" t="str">
        <f>IF(AND(A2499="",D2499="",E2499="",F2499=""),"",IF(D2499="","SEM CATEGORIA",IF(E2499="","SEM SUBCATEGORIA",IF(COUNTIFS(CADASTROS!$L$7:$L$93,D2499,CADASTROS!$D$7:$D$93,E2499)=0,"INCOMPATÍVEL","OK"))))</f>
        <v/>
      </c>
    </row>
    <row r="2500" spans="1:11" ht="30" hidden="1" customHeight="1" x14ac:dyDescent="0.25">
      <c r="A2500" s="86" t="str">
        <f>IF(COUNTIF(EXTRATO!$A$2:$A$3000,"BAN-02357")=0,"","BAN-02357")</f>
        <v/>
      </c>
      <c r="B2500" s="85" t="str">
        <f>IF(A2500="","",IF(INDEX(EXTRATO!$C$2:$C$3000,MATCH($A2500,EXTRATO!$A$2:$A$3000,0))="","",INDEX(EXTRATO!$C$2:$C$3000,MATCH($A2500,EXTRATO!$A$2:$A$3000,0))))</f>
        <v/>
      </c>
      <c r="C2500" s="86" t="str">
        <f t="shared" si="64"/>
        <v/>
      </c>
      <c r="D2500" s="81"/>
      <c r="E2500" s="79"/>
      <c r="F2500" s="80" t="str">
        <f>IF(A2500="","",SUMIF(EXTRATO!$A$2:$A$3000,$A2500,EXTRATO!$J$2:$J$3000)+SUMIF(EXTRATO!$A$2:$A$3000,$A2500,EXTRATO!$K$2:$K$3000)+SUMIF(EXTRATO!$A$2:$A$3000,$A2500,EXTRATO!$L$2:$L$3000)+SUMIF(EXTRATO!$A$2:$A$3000,$A2500,EXTRATO!$M$2:$M$3000))</f>
        <v/>
      </c>
      <c r="G2500" s="81" t="str">
        <f>IF(A2500="","",IF(INDEX(EXTRATO!$G$2:$G$3000,MATCH($A2500,EXTRATO!$A$2:$A$3000,0))="","",INDEX(EXTRATO!$G$2:$G$3000,MATCH($A2500,EXTRATO!$A$2:$A$3000,0))))</f>
        <v/>
      </c>
      <c r="H2500" s="86" t="str">
        <f>IF(A2500="","",IF(INDEX(EXTRATO!$F$2:$F$3000,MATCH($A2500,EXTRATO!$A$2:$A$3000,0))="","",INDEX(EXTRATO!$F$2:$F$3000,MATCH($A2500,EXTRATO!$A$2:$A$3000,0))))</f>
        <v/>
      </c>
      <c r="I2500" s="88" t="str">
        <f>IF(A2500="","",IF(INDEX(EXTRATO!$H$2:$H$3000,MATCH($A2500,EXTRATO!$A$2:$A$3000,0))="","",INDEX(EXTRATO!$H$2:$H$3000,MATCH($A2500,EXTRATO!$A$2:$A$3000,0))))</f>
        <v/>
      </c>
      <c r="J2500" s="86" t="str">
        <f t="shared" si="65"/>
        <v/>
      </c>
      <c r="K2500" s="86" t="str">
        <f>IF(AND(A2500="",D2500="",E2500="",F2500=""),"",IF(D2500="","SEM CATEGORIA",IF(E2500="","SEM SUBCATEGORIA",IF(COUNTIFS(CADASTROS!$L$7:$L$93,D2500,CADASTROS!$D$7:$D$93,E2500)=0,"INCOMPATÍVEL","OK"))))</f>
        <v/>
      </c>
    </row>
    <row r="2501" spans="1:11" ht="30" hidden="1" customHeight="1" x14ac:dyDescent="0.25">
      <c r="A2501" s="86" t="str">
        <f>IF(COUNTIF(EXTRATO!$A$2:$A$3000,"BAN-02358")=0,"","BAN-02358")</f>
        <v/>
      </c>
      <c r="B2501" s="85" t="str">
        <f>IF(A2501="","",IF(INDEX(EXTRATO!$C$2:$C$3000,MATCH($A2501,EXTRATO!$A$2:$A$3000,0))="","",INDEX(EXTRATO!$C$2:$C$3000,MATCH($A2501,EXTRATO!$A$2:$A$3000,0))))</f>
        <v/>
      </c>
      <c r="C2501" s="86" t="str">
        <f t="shared" si="64"/>
        <v/>
      </c>
      <c r="D2501" s="81"/>
      <c r="E2501" s="79"/>
      <c r="F2501" s="80" t="str">
        <f>IF(A2501="","",SUMIF(EXTRATO!$A$2:$A$3000,$A2501,EXTRATO!$J$2:$J$3000)+SUMIF(EXTRATO!$A$2:$A$3000,$A2501,EXTRATO!$K$2:$K$3000)+SUMIF(EXTRATO!$A$2:$A$3000,$A2501,EXTRATO!$L$2:$L$3000)+SUMIF(EXTRATO!$A$2:$A$3000,$A2501,EXTRATO!$M$2:$M$3000))</f>
        <v/>
      </c>
      <c r="G2501" s="81" t="str">
        <f>IF(A2501="","",IF(INDEX(EXTRATO!$G$2:$G$3000,MATCH($A2501,EXTRATO!$A$2:$A$3000,0))="","",INDEX(EXTRATO!$G$2:$G$3000,MATCH($A2501,EXTRATO!$A$2:$A$3000,0))))</f>
        <v/>
      </c>
      <c r="H2501" s="86" t="str">
        <f>IF(A2501="","",IF(INDEX(EXTRATO!$F$2:$F$3000,MATCH($A2501,EXTRATO!$A$2:$A$3000,0))="","",INDEX(EXTRATO!$F$2:$F$3000,MATCH($A2501,EXTRATO!$A$2:$A$3000,0))))</f>
        <v/>
      </c>
      <c r="I2501" s="88" t="str">
        <f>IF(A2501="","",IF(INDEX(EXTRATO!$H$2:$H$3000,MATCH($A2501,EXTRATO!$A$2:$A$3000,0))="","",INDEX(EXTRATO!$H$2:$H$3000,MATCH($A2501,EXTRATO!$A$2:$A$3000,0))))</f>
        <v/>
      </c>
      <c r="J2501" s="86" t="str">
        <f t="shared" si="65"/>
        <v/>
      </c>
      <c r="K2501" s="86" t="str">
        <f>IF(AND(A2501="",D2501="",E2501="",F2501=""),"",IF(D2501="","SEM CATEGORIA",IF(E2501="","SEM SUBCATEGORIA",IF(COUNTIFS(CADASTROS!$L$7:$L$93,D2501,CADASTROS!$D$7:$D$93,E2501)=0,"INCOMPATÍVEL","OK"))))</f>
        <v/>
      </c>
    </row>
    <row r="2502" spans="1:11" ht="30" hidden="1" customHeight="1" x14ac:dyDescent="0.25">
      <c r="A2502" s="86" t="str">
        <f>IF(COUNTIF(EXTRATO!$A$2:$A$3000,"BAN-02359")=0,"","BAN-02359")</f>
        <v/>
      </c>
      <c r="B2502" s="85" t="str">
        <f>IF(A2502="","",IF(INDEX(EXTRATO!$C$2:$C$3000,MATCH($A2502,EXTRATO!$A$2:$A$3000,0))="","",INDEX(EXTRATO!$C$2:$C$3000,MATCH($A2502,EXTRATO!$A$2:$A$3000,0))))</f>
        <v/>
      </c>
      <c r="C2502" s="86" t="str">
        <f t="shared" si="64"/>
        <v/>
      </c>
      <c r="D2502" s="81"/>
      <c r="E2502" s="79"/>
      <c r="F2502" s="80" t="str">
        <f>IF(A2502="","",SUMIF(EXTRATO!$A$2:$A$3000,$A2502,EXTRATO!$J$2:$J$3000)+SUMIF(EXTRATO!$A$2:$A$3000,$A2502,EXTRATO!$K$2:$K$3000)+SUMIF(EXTRATO!$A$2:$A$3000,$A2502,EXTRATO!$L$2:$L$3000)+SUMIF(EXTRATO!$A$2:$A$3000,$A2502,EXTRATO!$M$2:$M$3000))</f>
        <v/>
      </c>
      <c r="G2502" s="81" t="str">
        <f>IF(A2502="","",IF(INDEX(EXTRATO!$G$2:$G$3000,MATCH($A2502,EXTRATO!$A$2:$A$3000,0))="","",INDEX(EXTRATO!$G$2:$G$3000,MATCH($A2502,EXTRATO!$A$2:$A$3000,0))))</f>
        <v/>
      </c>
      <c r="H2502" s="86" t="str">
        <f>IF(A2502="","",IF(INDEX(EXTRATO!$F$2:$F$3000,MATCH($A2502,EXTRATO!$A$2:$A$3000,0))="","",INDEX(EXTRATO!$F$2:$F$3000,MATCH($A2502,EXTRATO!$A$2:$A$3000,0))))</f>
        <v/>
      </c>
      <c r="I2502" s="88" t="str">
        <f>IF(A2502="","",IF(INDEX(EXTRATO!$H$2:$H$3000,MATCH($A2502,EXTRATO!$A$2:$A$3000,0))="","",INDEX(EXTRATO!$H$2:$H$3000,MATCH($A2502,EXTRATO!$A$2:$A$3000,0))))</f>
        <v/>
      </c>
      <c r="J2502" s="86" t="str">
        <f t="shared" si="65"/>
        <v/>
      </c>
      <c r="K2502" s="86" t="str">
        <f>IF(AND(A2502="",D2502="",E2502="",F2502=""),"",IF(D2502="","SEM CATEGORIA",IF(E2502="","SEM SUBCATEGORIA",IF(COUNTIFS(CADASTROS!$L$7:$L$93,D2502,CADASTROS!$D$7:$D$93,E2502)=0,"INCOMPATÍVEL","OK"))))</f>
        <v/>
      </c>
    </row>
    <row r="2503" spans="1:11" ht="30" hidden="1" customHeight="1" x14ac:dyDescent="0.25">
      <c r="A2503" s="86" t="str">
        <f>IF(COUNTIF(EXTRATO!$A$2:$A$3000,"BAN-02360")=0,"","BAN-02360")</f>
        <v/>
      </c>
      <c r="B2503" s="85" t="str">
        <f>IF(A2503="","",IF(INDEX(EXTRATO!$C$2:$C$3000,MATCH($A2503,EXTRATO!$A$2:$A$3000,0))="","",INDEX(EXTRATO!$C$2:$C$3000,MATCH($A2503,EXTRATO!$A$2:$A$3000,0))))</f>
        <v/>
      </c>
      <c r="C2503" s="86" t="str">
        <f t="shared" si="64"/>
        <v/>
      </c>
      <c r="D2503" s="81"/>
      <c r="E2503" s="79"/>
      <c r="F2503" s="80" t="str">
        <f>IF(A2503="","",SUMIF(EXTRATO!$A$2:$A$3000,$A2503,EXTRATO!$J$2:$J$3000)+SUMIF(EXTRATO!$A$2:$A$3000,$A2503,EXTRATO!$K$2:$K$3000)+SUMIF(EXTRATO!$A$2:$A$3000,$A2503,EXTRATO!$L$2:$L$3000)+SUMIF(EXTRATO!$A$2:$A$3000,$A2503,EXTRATO!$M$2:$M$3000))</f>
        <v/>
      </c>
      <c r="G2503" s="81" t="str">
        <f>IF(A2503="","",IF(INDEX(EXTRATO!$G$2:$G$3000,MATCH($A2503,EXTRATO!$A$2:$A$3000,0))="","",INDEX(EXTRATO!$G$2:$G$3000,MATCH($A2503,EXTRATO!$A$2:$A$3000,0))))</f>
        <v/>
      </c>
      <c r="H2503" s="86" t="str">
        <f>IF(A2503="","",IF(INDEX(EXTRATO!$F$2:$F$3000,MATCH($A2503,EXTRATO!$A$2:$A$3000,0))="","",INDEX(EXTRATO!$F$2:$F$3000,MATCH($A2503,EXTRATO!$A$2:$A$3000,0))))</f>
        <v/>
      </c>
      <c r="I2503" s="88" t="str">
        <f>IF(A2503="","",IF(INDEX(EXTRATO!$H$2:$H$3000,MATCH($A2503,EXTRATO!$A$2:$A$3000,0))="","",INDEX(EXTRATO!$H$2:$H$3000,MATCH($A2503,EXTRATO!$A$2:$A$3000,0))))</f>
        <v/>
      </c>
      <c r="J2503" s="86" t="str">
        <f t="shared" si="65"/>
        <v/>
      </c>
      <c r="K2503" s="86" t="str">
        <f>IF(AND(A2503="",D2503="",E2503="",F2503=""),"",IF(D2503="","SEM CATEGORIA",IF(E2503="","SEM SUBCATEGORIA",IF(COUNTIFS(CADASTROS!$L$7:$L$93,D2503,CADASTROS!$D$7:$D$93,E2503)=0,"INCOMPATÍVEL","OK"))))</f>
        <v/>
      </c>
    </row>
    <row r="2504" spans="1:11" ht="30" hidden="1" customHeight="1" x14ac:dyDescent="0.25">
      <c r="A2504" s="86" t="str">
        <f>IF(COUNTIF(EXTRATO!$A$2:$A$3000,"BAN-02361")=0,"","BAN-02361")</f>
        <v/>
      </c>
      <c r="B2504" s="85" t="str">
        <f>IF(A2504="","",IF(INDEX(EXTRATO!$C$2:$C$3000,MATCH($A2504,EXTRATO!$A$2:$A$3000,0))="","",INDEX(EXTRATO!$C$2:$C$3000,MATCH($A2504,EXTRATO!$A$2:$A$3000,0))))</f>
        <v/>
      </c>
      <c r="C2504" s="86" t="str">
        <f t="shared" si="64"/>
        <v/>
      </c>
      <c r="D2504" s="81"/>
      <c r="E2504" s="79"/>
      <c r="F2504" s="80" t="str">
        <f>IF(A2504="","",SUMIF(EXTRATO!$A$2:$A$3000,$A2504,EXTRATO!$J$2:$J$3000)+SUMIF(EXTRATO!$A$2:$A$3000,$A2504,EXTRATO!$K$2:$K$3000)+SUMIF(EXTRATO!$A$2:$A$3000,$A2504,EXTRATO!$L$2:$L$3000)+SUMIF(EXTRATO!$A$2:$A$3000,$A2504,EXTRATO!$M$2:$M$3000))</f>
        <v/>
      </c>
      <c r="G2504" s="81" t="str">
        <f>IF(A2504="","",IF(INDEX(EXTRATO!$G$2:$G$3000,MATCH($A2504,EXTRATO!$A$2:$A$3000,0))="","",INDEX(EXTRATO!$G$2:$G$3000,MATCH($A2504,EXTRATO!$A$2:$A$3000,0))))</f>
        <v/>
      </c>
      <c r="H2504" s="86" t="str">
        <f>IF(A2504="","",IF(INDEX(EXTRATO!$F$2:$F$3000,MATCH($A2504,EXTRATO!$A$2:$A$3000,0))="","",INDEX(EXTRATO!$F$2:$F$3000,MATCH($A2504,EXTRATO!$A$2:$A$3000,0))))</f>
        <v/>
      </c>
      <c r="I2504" s="88" t="str">
        <f>IF(A2504="","",IF(INDEX(EXTRATO!$H$2:$H$3000,MATCH($A2504,EXTRATO!$A$2:$A$3000,0))="","",INDEX(EXTRATO!$H$2:$H$3000,MATCH($A2504,EXTRATO!$A$2:$A$3000,0))))</f>
        <v/>
      </c>
      <c r="J2504" s="86" t="str">
        <f t="shared" si="65"/>
        <v/>
      </c>
      <c r="K2504" s="86" t="str">
        <f>IF(AND(A2504="",D2504="",E2504="",F2504=""),"",IF(D2504="","SEM CATEGORIA",IF(E2504="","SEM SUBCATEGORIA",IF(COUNTIFS(CADASTROS!$L$7:$L$93,D2504,CADASTROS!$D$7:$D$93,E2504)=0,"INCOMPATÍVEL","OK"))))</f>
        <v/>
      </c>
    </row>
    <row r="2505" spans="1:11" ht="30" hidden="1" customHeight="1" x14ac:dyDescent="0.25">
      <c r="A2505" s="86" t="str">
        <f>IF(COUNTIF(EXTRATO!$A$2:$A$3000,"BAN-02362")=0,"","BAN-02362")</f>
        <v/>
      </c>
      <c r="B2505" s="85" t="str">
        <f>IF(A2505="","",IF(INDEX(EXTRATO!$C$2:$C$3000,MATCH($A2505,EXTRATO!$A$2:$A$3000,0))="","",INDEX(EXTRATO!$C$2:$C$3000,MATCH($A2505,EXTRATO!$A$2:$A$3000,0))))</f>
        <v/>
      </c>
      <c r="C2505" s="86" t="str">
        <f t="shared" si="64"/>
        <v/>
      </c>
      <c r="D2505" s="81"/>
      <c r="E2505" s="79"/>
      <c r="F2505" s="80" t="str">
        <f>IF(A2505="","",SUMIF(EXTRATO!$A$2:$A$3000,$A2505,EXTRATO!$J$2:$J$3000)+SUMIF(EXTRATO!$A$2:$A$3000,$A2505,EXTRATO!$K$2:$K$3000)+SUMIF(EXTRATO!$A$2:$A$3000,$A2505,EXTRATO!$L$2:$L$3000)+SUMIF(EXTRATO!$A$2:$A$3000,$A2505,EXTRATO!$M$2:$M$3000))</f>
        <v/>
      </c>
      <c r="G2505" s="81" t="str">
        <f>IF(A2505="","",IF(INDEX(EXTRATO!$G$2:$G$3000,MATCH($A2505,EXTRATO!$A$2:$A$3000,0))="","",INDEX(EXTRATO!$G$2:$G$3000,MATCH($A2505,EXTRATO!$A$2:$A$3000,0))))</f>
        <v/>
      </c>
      <c r="H2505" s="86" t="str">
        <f>IF(A2505="","",IF(INDEX(EXTRATO!$F$2:$F$3000,MATCH($A2505,EXTRATO!$A$2:$A$3000,0))="","",INDEX(EXTRATO!$F$2:$F$3000,MATCH($A2505,EXTRATO!$A$2:$A$3000,0))))</f>
        <v/>
      </c>
      <c r="I2505" s="88" t="str">
        <f>IF(A2505="","",IF(INDEX(EXTRATO!$H$2:$H$3000,MATCH($A2505,EXTRATO!$A$2:$A$3000,0))="","",INDEX(EXTRATO!$H$2:$H$3000,MATCH($A2505,EXTRATO!$A$2:$A$3000,0))))</f>
        <v/>
      </c>
      <c r="J2505" s="86" t="str">
        <f t="shared" si="65"/>
        <v/>
      </c>
      <c r="K2505" s="86" t="str">
        <f>IF(AND(A2505="",D2505="",E2505="",F2505=""),"",IF(D2505="","SEM CATEGORIA",IF(E2505="","SEM SUBCATEGORIA",IF(COUNTIFS(CADASTROS!$L$7:$L$93,D2505,CADASTROS!$D$7:$D$93,E2505)=0,"INCOMPATÍVEL","OK"))))</f>
        <v/>
      </c>
    </row>
    <row r="2506" spans="1:11" ht="30" hidden="1" customHeight="1" x14ac:dyDescent="0.25">
      <c r="A2506" s="86" t="str">
        <f>IF(COUNTIF(EXTRATO!$A$2:$A$3000,"BAN-02363")=0,"","BAN-02363")</f>
        <v/>
      </c>
      <c r="B2506" s="85" t="str">
        <f>IF(A2506="","",IF(INDEX(EXTRATO!$C$2:$C$3000,MATCH($A2506,EXTRATO!$A$2:$A$3000,0))="","",INDEX(EXTRATO!$C$2:$C$3000,MATCH($A2506,EXTRATO!$A$2:$A$3000,0))))</f>
        <v/>
      </c>
      <c r="C2506" s="86" t="str">
        <f t="shared" si="64"/>
        <v/>
      </c>
      <c r="D2506" s="81"/>
      <c r="E2506" s="79"/>
      <c r="F2506" s="80" t="str">
        <f>IF(A2506="","",SUMIF(EXTRATO!$A$2:$A$3000,$A2506,EXTRATO!$J$2:$J$3000)+SUMIF(EXTRATO!$A$2:$A$3000,$A2506,EXTRATO!$K$2:$K$3000)+SUMIF(EXTRATO!$A$2:$A$3000,$A2506,EXTRATO!$L$2:$L$3000)+SUMIF(EXTRATO!$A$2:$A$3000,$A2506,EXTRATO!$M$2:$M$3000))</f>
        <v/>
      </c>
      <c r="G2506" s="81" t="str">
        <f>IF(A2506="","",IF(INDEX(EXTRATO!$G$2:$G$3000,MATCH($A2506,EXTRATO!$A$2:$A$3000,0))="","",INDEX(EXTRATO!$G$2:$G$3000,MATCH($A2506,EXTRATO!$A$2:$A$3000,0))))</f>
        <v/>
      </c>
      <c r="H2506" s="86" t="str">
        <f>IF(A2506="","",IF(INDEX(EXTRATO!$F$2:$F$3000,MATCH($A2506,EXTRATO!$A$2:$A$3000,0))="","",INDEX(EXTRATO!$F$2:$F$3000,MATCH($A2506,EXTRATO!$A$2:$A$3000,0))))</f>
        <v/>
      </c>
      <c r="I2506" s="88" t="str">
        <f>IF(A2506="","",IF(INDEX(EXTRATO!$H$2:$H$3000,MATCH($A2506,EXTRATO!$A$2:$A$3000,0))="","",INDEX(EXTRATO!$H$2:$H$3000,MATCH($A2506,EXTRATO!$A$2:$A$3000,0))))</f>
        <v/>
      </c>
      <c r="J2506" s="86" t="str">
        <f t="shared" si="65"/>
        <v/>
      </c>
      <c r="K2506" s="86" t="str">
        <f>IF(AND(A2506="",D2506="",E2506="",F2506=""),"",IF(D2506="","SEM CATEGORIA",IF(E2506="","SEM SUBCATEGORIA",IF(COUNTIFS(CADASTROS!$L$7:$L$93,D2506,CADASTROS!$D$7:$D$93,E2506)=0,"INCOMPATÍVEL","OK"))))</f>
        <v/>
      </c>
    </row>
    <row r="2507" spans="1:11" ht="30" hidden="1" customHeight="1" x14ac:dyDescent="0.25">
      <c r="A2507" s="86" t="str">
        <f>IF(COUNTIF(EXTRATO!$A$2:$A$3000,"BAN-02364")=0,"","BAN-02364")</f>
        <v/>
      </c>
      <c r="B2507" s="85" t="str">
        <f>IF(A2507="","",IF(INDEX(EXTRATO!$C$2:$C$3000,MATCH($A2507,EXTRATO!$A$2:$A$3000,0))="","",INDEX(EXTRATO!$C$2:$C$3000,MATCH($A2507,EXTRATO!$A$2:$A$3000,0))))</f>
        <v/>
      </c>
      <c r="C2507" s="86" t="str">
        <f t="shared" si="64"/>
        <v/>
      </c>
      <c r="D2507" s="81"/>
      <c r="E2507" s="79"/>
      <c r="F2507" s="80" t="str">
        <f>IF(A2507="","",SUMIF(EXTRATO!$A$2:$A$3000,$A2507,EXTRATO!$J$2:$J$3000)+SUMIF(EXTRATO!$A$2:$A$3000,$A2507,EXTRATO!$K$2:$K$3000)+SUMIF(EXTRATO!$A$2:$A$3000,$A2507,EXTRATO!$L$2:$L$3000)+SUMIF(EXTRATO!$A$2:$A$3000,$A2507,EXTRATO!$M$2:$M$3000))</f>
        <v/>
      </c>
      <c r="G2507" s="81" t="str">
        <f>IF(A2507="","",IF(INDEX(EXTRATO!$G$2:$G$3000,MATCH($A2507,EXTRATO!$A$2:$A$3000,0))="","",INDEX(EXTRATO!$G$2:$G$3000,MATCH($A2507,EXTRATO!$A$2:$A$3000,0))))</f>
        <v/>
      </c>
      <c r="H2507" s="86" t="str">
        <f>IF(A2507="","",IF(INDEX(EXTRATO!$F$2:$F$3000,MATCH($A2507,EXTRATO!$A$2:$A$3000,0))="","",INDEX(EXTRATO!$F$2:$F$3000,MATCH($A2507,EXTRATO!$A$2:$A$3000,0))))</f>
        <v/>
      </c>
      <c r="I2507" s="88" t="str">
        <f>IF(A2507="","",IF(INDEX(EXTRATO!$H$2:$H$3000,MATCH($A2507,EXTRATO!$A$2:$A$3000,0))="","",INDEX(EXTRATO!$H$2:$H$3000,MATCH($A2507,EXTRATO!$A$2:$A$3000,0))))</f>
        <v/>
      </c>
      <c r="J2507" s="86" t="str">
        <f t="shared" si="65"/>
        <v/>
      </c>
      <c r="K2507" s="86" t="str">
        <f>IF(AND(A2507="",D2507="",E2507="",F2507=""),"",IF(D2507="","SEM CATEGORIA",IF(E2507="","SEM SUBCATEGORIA",IF(COUNTIFS(CADASTROS!$L$7:$L$93,D2507,CADASTROS!$D$7:$D$93,E2507)=0,"INCOMPATÍVEL","OK"))))</f>
        <v/>
      </c>
    </row>
    <row r="2508" spans="1:11" ht="30" hidden="1" customHeight="1" x14ac:dyDescent="0.25">
      <c r="A2508" s="86" t="str">
        <f>IF(COUNTIF(EXTRATO!$A$2:$A$3000,"BAN-02365")=0,"","BAN-02365")</f>
        <v/>
      </c>
      <c r="B2508" s="85" t="str">
        <f>IF(A2508="","",IF(INDEX(EXTRATO!$C$2:$C$3000,MATCH($A2508,EXTRATO!$A$2:$A$3000,0))="","",INDEX(EXTRATO!$C$2:$C$3000,MATCH($A2508,EXTRATO!$A$2:$A$3000,0))))</f>
        <v/>
      </c>
      <c r="C2508" s="86" t="str">
        <f t="shared" si="64"/>
        <v/>
      </c>
      <c r="D2508" s="81"/>
      <c r="E2508" s="79"/>
      <c r="F2508" s="80" t="str">
        <f>IF(A2508="","",SUMIF(EXTRATO!$A$2:$A$3000,$A2508,EXTRATO!$J$2:$J$3000)+SUMIF(EXTRATO!$A$2:$A$3000,$A2508,EXTRATO!$K$2:$K$3000)+SUMIF(EXTRATO!$A$2:$A$3000,$A2508,EXTRATO!$L$2:$L$3000)+SUMIF(EXTRATO!$A$2:$A$3000,$A2508,EXTRATO!$M$2:$M$3000))</f>
        <v/>
      </c>
      <c r="G2508" s="81" t="str">
        <f>IF(A2508="","",IF(INDEX(EXTRATO!$G$2:$G$3000,MATCH($A2508,EXTRATO!$A$2:$A$3000,0))="","",INDEX(EXTRATO!$G$2:$G$3000,MATCH($A2508,EXTRATO!$A$2:$A$3000,0))))</f>
        <v/>
      </c>
      <c r="H2508" s="86" t="str">
        <f>IF(A2508="","",IF(INDEX(EXTRATO!$F$2:$F$3000,MATCH($A2508,EXTRATO!$A$2:$A$3000,0))="","",INDEX(EXTRATO!$F$2:$F$3000,MATCH($A2508,EXTRATO!$A$2:$A$3000,0))))</f>
        <v/>
      </c>
      <c r="I2508" s="88" t="str">
        <f>IF(A2508="","",IF(INDEX(EXTRATO!$H$2:$H$3000,MATCH($A2508,EXTRATO!$A$2:$A$3000,0))="","",INDEX(EXTRATO!$H$2:$H$3000,MATCH($A2508,EXTRATO!$A$2:$A$3000,0))))</f>
        <v/>
      </c>
      <c r="J2508" s="86" t="str">
        <f t="shared" si="65"/>
        <v/>
      </c>
      <c r="K2508" s="86" t="str">
        <f>IF(AND(A2508="",D2508="",E2508="",F2508=""),"",IF(D2508="","SEM CATEGORIA",IF(E2508="","SEM SUBCATEGORIA",IF(COUNTIFS(CADASTROS!$L$7:$L$93,D2508,CADASTROS!$D$7:$D$93,E2508)=0,"INCOMPATÍVEL","OK"))))</f>
        <v/>
      </c>
    </row>
    <row r="2509" spans="1:11" ht="30" hidden="1" customHeight="1" x14ac:dyDescent="0.25">
      <c r="A2509" s="86" t="str">
        <f>IF(COUNTIF(EXTRATO!$A$2:$A$3000,"BAN-02366")=0,"","BAN-02366")</f>
        <v/>
      </c>
      <c r="B2509" s="85" t="str">
        <f>IF(A2509="","",IF(INDEX(EXTRATO!$C$2:$C$3000,MATCH($A2509,EXTRATO!$A$2:$A$3000,0))="","",INDEX(EXTRATO!$C$2:$C$3000,MATCH($A2509,EXTRATO!$A$2:$A$3000,0))))</f>
        <v/>
      </c>
      <c r="C2509" s="86" t="str">
        <f t="shared" si="64"/>
        <v/>
      </c>
      <c r="D2509" s="81"/>
      <c r="E2509" s="79"/>
      <c r="F2509" s="80" t="str">
        <f>IF(A2509="","",SUMIF(EXTRATO!$A$2:$A$3000,$A2509,EXTRATO!$J$2:$J$3000)+SUMIF(EXTRATO!$A$2:$A$3000,$A2509,EXTRATO!$K$2:$K$3000)+SUMIF(EXTRATO!$A$2:$A$3000,$A2509,EXTRATO!$L$2:$L$3000)+SUMIF(EXTRATO!$A$2:$A$3000,$A2509,EXTRATO!$M$2:$M$3000))</f>
        <v/>
      </c>
      <c r="G2509" s="81" t="str">
        <f>IF(A2509="","",IF(INDEX(EXTRATO!$G$2:$G$3000,MATCH($A2509,EXTRATO!$A$2:$A$3000,0))="","",INDEX(EXTRATO!$G$2:$G$3000,MATCH($A2509,EXTRATO!$A$2:$A$3000,0))))</f>
        <v/>
      </c>
      <c r="H2509" s="86" t="str">
        <f>IF(A2509="","",IF(INDEX(EXTRATO!$F$2:$F$3000,MATCH($A2509,EXTRATO!$A$2:$A$3000,0))="","",INDEX(EXTRATO!$F$2:$F$3000,MATCH($A2509,EXTRATO!$A$2:$A$3000,0))))</f>
        <v/>
      </c>
      <c r="I2509" s="88" t="str">
        <f>IF(A2509="","",IF(INDEX(EXTRATO!$H$2:$H$3000,MATCH($A2509,EXTRATO!$A$2:$A$3000,0))="","",INDEX(EXTRATO!$H$2:$H$3000,MATCH($A2509,EXTRATO!$A$2:$A$3000,0))))</f>
        <v/>
      </c>
      <c r="J2509" s="86" t="str">
        <f t="shared" si="65"/>
        <v/>
      </c>
      <c r="K2509" s="86" t="str">
        <f>IF(AND(A2509="",D2509="",E2509="",F2509=""),"",IF(D2509="","SEM CATEGORIA",IF(E2509="","SEM SUBCATEGORIA",IF(COUNTIFS(CADASTROS!$L$7:$L$93,D2509,CADASTROS!$D$7:$D$93,E2509)=0,"INCOMPATÍVEL","OK"))))</f>
        <v/>
      </c>
    </row>
    <row r="2510" spans="1:11" ht="30" hidden="1" customHeight="1" x14ac:dyDescent="0.25">
      <c r="A2510" s="86" t="str">
        <f>IF(COUNTIF(EXTRATO!$A$2:$A$3000,"BAN-02367")=0,"","BAN-02367")</f>
        <v/>
      </c>
      <c r="B2510" s="85" t="str">
        <f>IF(A2510="","",IF(INDEX(EXTRATO!$C$2:$C$3000,MATCH($A2510,EXTRATO!$A$2:$A$3000,0))="","",INDEX(EXTRATO!$C$2:$C$3000,MATCH($A2510,EXTRATO!$A$2:$A$3000,0))))</f>
        <v/>
      </c>
      <c r="C2510" s="86" t="str">
        <f t="shared" si="64"/>
        <v/>
      </c>
      <c r="D2510" s="81"/>
      <c r="E2510" s="79"/>
      <c r="F2510" s="80" t="str">
        <f>IF(A2510="","",SUMIF(EXTRATO!$A$2:$A$3000,$A2510,EXTRATO!$J$2:$J$3000)+SUMIF(EXTRATO!$A$2:$A$3000,$A2510,EXTRATO!$K$2:$K$3000)+SUMIF(EXTRATO!$A$2:$A$3000,$A2510,EXTRATO!$L$2:$L$3000)+SUMIF(EXTRATO!$A$2:$A$3000,$A2510,EXTRATO!$M$2:$M$3000))</f>
        <v/>
      </c>
      <c r="G2510" s="81" t="str">
        <f>IF(A2510="","",IF(INDEX(EXTRATO!$G$2:$G$3000,MATCH($A2510,EXTRATO!$A$2:$A$3000,0))="","",INDEX(EXTRATO!$G$2:$G$3000,MATCH($A2510,EXTRATO!$A$2:$A$3000,0))))</f>
        <v/>
      </c>
      <c r="H2510" s="86" t="str">
        <f>IF(A2510="","",IF(INDEX(EXTRATO!$F$2:$F$3000,MATCH($A2510,EXTRATO!$A$2:$A$3000,0))="","",INDEX(EXTRATO!$F$2:$F$3000,MATCH($A2510,EXTRATO!$A$2:$A$3000,0))))</f>
        <v/>
      </c>
      <c r="I2510" s="88" t="str">
        <f>IF(A2510="","",IF(INDEX(EXTRATO!$H$2:$H$3000,MATCH($A2510,EXTRATO!$A$2:$A$3000,0))="","",INDEX(EXTRATO!$H$2:$H$3000,MATCH($A2510,EXTRATO!$A$2:$A$3000,0))))</f>
        <v/>
      </c>
      <c r="J2510" s="86" t="str">
        <f t="shared" si="65"/>
        <v/>
      </c>
      <c r="K2510" s="86" t="str">
        <f>IF(AND(A2510="",D2510="",E2510="",F2510=""),"",IF(D2510="","SEM CATEGORIA",IF(E2510="","SEM SUBCATEGORIA",IF(COUNTIFS(CADASTROS!$L$7:$L$93,D2510,CADASTROS!$D$7:$D$93,E2510)=0,"INCOMPATÍVEL","OK"))))</f>
        <v/>
      </c>
    </row>
    <row r="2511" spans="1:11" ht="30" hidden="1" customHeight="1" x14ac:dyDescent="0.25">
      <c r="A2511" s="86" t="str">
        <f>IF(COUNTIF(EXTRATO!$A$2:$A$3000,"BAN-02368")=0,"","BAN-02368")</f>
        <v/>
      </c>
      <c r="B2511" s="85" t="str">
        <f>IF(A2511="","",IF(INDEX(EXTRATO!$C$2:$C$3000,MATCH($A2511,EXTRATO!$A$2:$A$3000,0))="","",INDEX(EXTRATO!$C$2:$C$3000,MATCH($A2511,EXTRATO!$A$2:$A$3000,0))))</f>
        <v/>
      </c>
      <c r="C2511" s="86" t="str">
        <f t="shared" si="64"/>
        <v/>
      </c>
      <c r="D2511" s="81"/>
      <c r="E2511" s="79"/>
      <c r="F2511" s="80" t="str">
        <f>IF(A2511="","",SUMIF(EXTRATO!$A$2:$A$3000,$A2511,EXTRATO!$J$2:$J$3000)+SUMIF(EXTRATO!$A$2:$A$3000,$A2511,EXTRATO!$K$2:$K$3000)+SUMIF(EXTRATO!$A$2:$A$3000,$A2511,EXTRATO!$L$2:$L$3000)+SUMIF(EXTRATO!$A$2:$A$3000,$A2511,EXTRATO!$M$2:$M$3000))</f>
        <v/>
      </c>
      <c r="G2511" s="81" t="str">
        <f>IF(A2511="","",IF(INDEX(EXTRATO!$G$2:$G$3000,MATCH($A2511,EXTRATO!$A$2:$A$3000,0))="","",INDEX(EXTRATO!$G$2:$G$3000,MATCH($A2511,EXTRATO!$A$2:$A$3000,0))))</f>
        <v/>
      </c>
      <c r="H2511" s="86" t="str">
        <f>IF(A2511="","",IF(INDEX(EXTRATO!$F$2:$F$3000,MATCH($A2511,EXTRATO!$A$2:$A$3000,0))="","",INDEX(EXTRATO!$F$2:$F$3000,MATCH($A2511,EXTRATO!$A$2:$A$3000,0))))</f>
        <v/>
      </c>
      <c r="I2511" s="88" t="str">
        <f>IF(A2511="","",IF(INDEX(EXTRATO!$H$2:$H$3000,MATCH($A2511,EXTRATO!$A$2:$A$3000,0))="","",INDEX(EXTRATO!$H$2:$H$3000,MATCH($A2511,EXTRATO!$A$2:$A$3000,0))))</f>
        <v/>
      </c>
      <c r="J2511" s="86" t="str">
        <f t="shared" si="65"/>
        <v/>
      </c>
      <c r="K2511" s="86" t="str">
        <f>IF(AND(A2511="",D2511="",E2511="",F2511=""),"",IF(D2511="","SEM CATEGORIA",IF(E2511="","SEM SUBCATEGORIA",IF(COUNTIFS(CADASTROS!$L$7:$L$93,D2511,CADASTROS!$D$7:$D$93,E2511)=0,"INCOMPATÍVEL","OK"))))</f>
        <v/>
      </c>
    </row>
    <row r="2512" spans="1:11" ht="30" hidden="1" customHeight="1" x14ac:dyDescent="0.25">
      <c r="A2512" s="86" t="str">
        <f>IF(COUNTIF(EXTRATO!$A$2:$A$3000,"BAN-02369")=0,"","BAN-02369")</f>
        <v/>
      </c>
      <c r="B2512" s="85" t="str">
        <f>IF(A2512="","",IF(INDEX(EXTRATO!$C$2:$C$3000,MATCH($A2512,EXTRATO!$A$2:$A$3000,0))="","",INDEX(EXTRATO!$C$2:$C$3000,MATCH($A2512,EXTRATO!$A$2:$A$3000,0))))</f>
        <v/>
      </c>
      <c r="C2512" s="86" t="str">
        <f t="shared" si="64"/>
        <v/>
      </c>
      <c r="D2512" s="81"/>
      <c r="E2512" s="79"/>
      <c r="F2512" s="80" t="str">
        <f>IF(A2512="","",SUMIF(EXTRATO!$A$2:$A$3000,$A2512,EXTRATO!$J$2:$J$3000)+SUMIF(EXTRATO!$A$2:$A$3000,$A2512,EXTRATO!$K$2:$K$3000)+SUMIF(EXTRATO!$A$2:$A$3000,$A2512,EXTRATO!$L$2:$L$3000)+SUMIF(EXTRATO!$A$2:$A$3000,$A2512,EXTRATO!$M$2:$M$3000))</f>
        <v/>
      </c>
      <c r="G2512" s="81" t="str">
        <f>IF(A2512="","",IF(INDEX(EXTRATO!$G$2:$G$3000,MATCH($A2512,EXTRATO!$A$2:$A$3000,0))="","",INDEX(EXTRATO!$G$2:$G$3000,MATCH($A2512,EXTRATO!$A$2:$A$3000,0))))</f>
        <v/>
      </c>
      <c r="H2512" s="86" t="str">
        <f>IF(A2512="","",IF(INDEX(EXTRATO!$F$2:$F$3000,MATCH($A2512,EXTRATO!$A$2:$A$3000,0))="","",INDEX(EXTRATO!$F$2:$F$3000,MATCH($A2512,EXTRATO!$A$2:$A$3000,0))))</f>
        <v/>
      </c>
      <c r="I2512" s="88" t="str">
        <f>IF(A2512="","",IF(INDEX(EXTRATO!$H$2:$H$3000,MATCH($A2512,EXTRATO!$A$2:$A$3000,0))="","",INDEX(EXTRATO!$H$2:$H$3000,MATCH($A2512,EXTRATO!$A$2:$A$3000,0))))</f>
        <v/>
      </c>
      <c r="J2512" s="86" t="str">
        <f t="shared" si="65"/>
        <v/>
      </c>
      <c r="K2512" s="86" t="str">
        <f>IF(AND(A2512="",D2512="",E2512="",F2512=""),"",IF(D2512="","SEM CATEGORIA",IF(E2512="","SEM SUBCATEGORIA",IF(COUNTIFS(CADASTROS!$L$7:$L$93,D2512,CADASTROS!$D$7:$D$93,E2512)=0,"INCOMPATÍVEL","OK"))))</f>
        <v/>
      </c>
    </row>
    <row r="2513" spans="1:11" ht="30" hidden="1" customHeight="1" x14ac:dyDescent="0.25">
      <c r="A2513" s="86" t="str">
        <f>IF(COUNTIF(EXTRATO!$A$2:$A$3000,"BAN-02370")=0,"","BAN-02370")</f>
        <v/>
      </c>
      <c r="B2513" s="85" t="str">
        <f>IF(A2513="","",IF(INDEX(EXTRATO!$C$2:$C$3000,MATCH($A2513,EXTRATO!$A$2:$A$3000,0))="","",INDEX(EXTRATO!$C$2:$C$3000,MATCH($A2513,EXTRATO!$A$2:$A$3000,0))))</f>
        <v/>
      </c>
      <c r="C2513" s="86" t="str">
        <f t="shared" si="64"/>
        <v/>
      </c>
      <c r="D2513" s="81"/>
      <c r="E2513" s="79"/>
      <c r="F2513" s="80" t="str">
        <f>IF(A2513="","",SUMIF(EXTRATO!$A$2:$A$3000,$A2513,EXTRATO!$J$2:$J$3000)+SUMIF(EXTRATO!$A$2:$A$3000,$A2513,EXTRATO!$K$2:$K$3000)+SUMIF(EXTRATO!$A$2:$A$3000,$A2513,EXTRATO!$L$2:$L$3000)+SUMIF(EXTRATO!$A$2:$A$3000,$A2513,EXTRATO!$M$2:$M$3000))</f>
        <v/>
      </c>
      <c r="G2513" s="81" t="str">
        <f>IF(A2513="","",IF(INDEX(EXTRATO!$G$2:$G$3000,MATCH($A2513,EXTRATO!$A$2:$A$3000,0))="","",INDEX(EXTRATO!$G$2:$G$3000,MATCH($A2513,EXTRATO!$A$2:$A$3000,0))))</f>
        <v/>
      </c>
      <c r="H2513" s="86" t="str">
        <f>IF(A2513="","",IF(INDEX(EXTRATO!$F$2:$F$3000,MATCH($A2513,EXTRATO!$A$2:$A$3000,0))="","",INDEX(EXTRATO!$F$2:$F$3000,MATCH($A2513,EXTRATO!$A$2:$A$3000,0))))</f>
        <v/>
      </c>
      <c r="I2513" s="88" t="str">
        <f>IF(A2513="","",IF(INDEX(EXTRATO!$H$2:$H$3000,MATCH($A2513,EXTRATO!$A$2:$A$3000,0))="","",INDEX(EXTRATO!$H$2:$H$3000,MATCH($A2513,EXTRATO!$A$2:$A$3000,0))))</f>
        <v/>
      </c>
      <c r="J2513" s="86" t="str">
        <f t="shared" si="65"/>
        <v/>
      </c>
      <c r="K2513" s="86" t="str">
        <f>IF(AND(A2513="",D2513="",E2513="",F2513=""),"",IF(D2513="","SEM CATEGORIA",IF(E2513="","SEM SUBCATEGORIA",IF(COUNTIFS(CADASTROS!$L$7:$L$93,D2513,CADASTROS!$D$7:$D$93,E2513)=0,"INCOMPATÍVEL","OK"))))</f>
        <v/>
      </c>
    </row>
    <row r="2514" spans="1:11" ht="30" hidden="1" customHeight="1" x14ac:dyDescent="0.25">
      <c r="A2514" s="86" t="str">
        <f>IF(COUNTIF(EXTRATO!$A$2:$A$3000,"BAN-02371")=0,"","BAN-02371")</f>
        <v/>
      </c>
      <c r="B2514" s="85" t="str">
        <f>IF(A2514="","",IF(INDEX(EXTRATO!$C$2:$C$3000,MATCH($A2514,EXTRATO!$A$2:$A$3000,0))="","",INDEX(EXTRATO!$C$2:$C$3000,MATCH($A2514,EXTRATO!$A$2:$A$3000,0))))</f>
        <v/>
      </c>
      <c r="C2514" s="86" t="str">
        <f t="shared" si="64"/>
        <v/>
      </c>
      <c r="D2514" s="81"/>
      <c r="E2514" s="79"/>
      <c r="F2514" s="80" t="str">
        <f>IF(A2514="","",SUMIF(EXTRATO!$A$2:$A$3000,$A2514,EXTRATO!$J$2:$J$3000)+SUMIF(EXTRATO!$A$2:$A$3000,$A2514,EXTRATO!$K$2:$K$3000)+SUMIF(EXTRATO!$A$2:$A$3000,$A2514,EXTRATO!$L$2:$L$3000)+SUMIF(EXTRATO!$A$2:$A$3000,$A2514,EXTRATO!$M$2:$M$3000))</f>
        <v/>
      </c>
      <c r="G2514" s="81" t="str">
        <f>IF(A2514="","",IF(INDEX(EXTRATO!$G$2:$G$3000,MATCH($A2514,EXTRATO!$A$2:$A$3000,0))="","",INDEX(EXTRATO!$G$2:$G$3000,MATCH($A2514,EXTRATO!$A$2:$A$3000,0))))</f>
        <v/>
      </c>
      <c r="H2514" s="86" t="str">
        <f>IF(A2514="","",IF(INDEX(EXTRATO!$F$2:$F$3000,MATCH($A2514,EXTRATO!$A$2:$A$3000,0))="","",INDEX(EXTRATO!$F$2:$F$3000,MATCH($A2514,EXTRATO!$A$2:$A$3000,0))))</f>
        <v/>
      </c>
      <c r="I2514" s="88" t="str">
        <f>IF(A2514="","",IF(INDEX(EXTRATO!$H$2:$H$3000,MATCH($A2514,EXTRATO!$A$2:$A$3000,0))="","",INDEX(EXTRATO!$H$2:$H$3000,MATCH($A2514,EXTRATO!$A$2:$A$3000,0))))</f>
        <v/>
      </c>
      <c r="J2514" s="86" t="str">
        <f t="shared" si="65"/>
        <v/>
      </c>
      <c r="K2514" s="86" t="str">
        <f>IF(AND(A2514="",D2514="",E2514="",F2514=""),"",IF(D2514="","SEM CATEGORIA",IF(E2514="","SEM SUBCATEGORIA",IF(COUNTIFS(CADASTROS!$L$7:$L$93,D2514,CADASTROS!$D$7:$D$93,E2514)=0,"INCOMPATÍVEL","OK"))))</f>
        <v/>
      </c>
    </row>
    <row r="2515" spans="1:11" ht="30" hidden="1" customHeight="1" x14ac:dyDescent="0.25">
      <c r="A2515" s="86" t="str">
        <f>IF(COUNTIF(EXTRATO!$A$2:$A$3000,"BAN-02372")=0,"","BAN-02372")</f>
        <v/>
      </c>
      <c r="B2515" s="85" t="str">
        <f>IF(A2515="","",IF(INDEX(EXTRATO!$C$2:$C$3000,MATCH($A2515,EXTRATO!$A$2:$A$3000,0))="","",INDEX(EXTRATO!$C$2:$C$3000,MATCH($A2515,EXTRATO!$A$2:$A$3000,0))))</f>
        <v/>
      </c>
      <c r="C2515" s="86" t="str">
        <f t="shared" si="64"/>
        <v/>
      </c>
      <c r="D2515" s="81"/>
      <c r="E2515" s="79"/>
      <c r="F2515" s="80" t="str">
        <f>IF(A2515="","",SUMIF(EXTRATO!$A$2:$A$3000,$A2515,EXTRATO!$J$2:$J$3000)+SUMIF(EXTRATO!$A$2:$A$3000,$A2515,EXTRATO!$K$2:$K$3000)+SUMIF(EXTRATO!$A$2:$A$3000,$A2515,EXTRATO!$L$2:$L$3000)+SUMIF(EXTRATO!$A$2:$A$3000,$A2515,EXTRATO!$M$2:$M$3000))</f>
        <v/>
      </c>
      <c r="G2515" s="81" t="str">
        <f>IF(A2515="","",IF(INDEX(EXTRATO!$G$2:$G$3000,MATCH($A2515,EXTRATO!$A$2:$A$3000,0))="","",INDEX(EXTRATO!$G$2:$G$3000,MATCH($A2515,EXTRATO!$A$2:$A$3000,0))))</f>
        <v/>
      </c>
      <c r="H2515" s="86" t="str">
        <f>IF(A2515="","",IF(INDEX(EXTRATO!$F$2:$F$3000,MATCH($A2515,EXTRATO!$A$2:$A$3000,0))="","",INDEX(EXTRATO!$F$2:$F$3000,MATCH($A2515,EXTRATO!$A$2:$A$3000,0))))</f>
        <v/>
      </c>
      <c r="I2515" s="88" t="str">
        <f>IF(A2515="","",IF(INDEX(EXTRATO!$H$2:$H$3000,MATCH($A2515,EXTRATO!$A$2:$A$3000,0))="","",INDEX(EXTRATO!$H$2:$H$3000,MATCH($A2515,EXTRATO!$A$2:$A$3000,0))))</f>
        <v/>
      </c>
      <c r="J2515" s="86" t="str">
        <f t="shared" si="65"/>
        <v/>
      </c>
      <c r="K2515" s="86" t="str">
        <f>IF(AND(A2515="",D2515="",E2515="",F2515=""),"",IF(D2515="","SEM CATEGORIA",IF(E2515="","SEM SUBCATEGORIA",IF(COUNTIFS(CADASTROS!$L$7:$L$93,D2515,CADASTROS!$D$7:$D$93,E2515)=0,"INCOMPATÍVEL","OK"))))</f>
        <v/>
      </c>
    </row>
    <row r="2516" spans="1:11" ht="30" hidden="1" customHeight="1" x14ac:dyDescent="0.25">
      <c r="A2516" s="86" t="str">
        <f>IF(COUNTIF(EXTRATO!$A$2:$A$3000,"BAN-02373")=0,"","BAN-02373")</f>
        <v/>
      </c>
      <c r="B2516" s="85" t="str">
        <f>IF(A2516="","",IF(INDEX(EXTRATO!$C$2:$C$3000,MATCH($A2516,EXTRATO!$A$2:$A$3000,0))="","",INDEX(EXTRATO!$C$2:$C$3000,MATCH($A2516,EXTRATO!$A$2:$A$3000,0))))</f>
        <v/>
      </c>
      <c r="C2516" s="86" t="str">
        <f t="shared" si="64"/>
        <v/>
      </c>
      <c r="D2516" s="81"/>
      <c r="E2516" s="79"/>
      <c r="F2516" s="80" t="str">
        <f>IF(A2516="","",SUMIF(EXTRATO!$A$2:$A$3000,$A2516,EXTRATO!$J$2:$J$3000)+SUMIF(EXTRATO!$A$2:$A$3000,$A2516,EXTRATO!$K$2:$K$3000)+SUMIF(EXTRATO!$A$2:$A$3000,$A2516,EXTRATO!$L$2:$L$3000)+SUMIF(EXTRATO!$A$2:$A$3000,$A2516,EXTRATO!$M$2:$M$3000))</f>
        <v/>
      </c>
      <c r="G2516" s="81" t="str">
        <f>IF(A2516="","",IF(INDEX(EXTRATO!$G$2:$G$3000,MATCH($A2516,EXTRATO!$A$2:$A$3000,0))="","",INDEX(EXTRATO!$G$2:$G$3000,MATCH($A2516,EXTRATO!$A$2:$A$3000,0))))</f>
        <v/>
      </c>
      <c r="H2516" s="86" t="str">
        <f>IF(A2516="","",IF(INDEX(EXTRATO!$F$2:$F$3000,MATCH($A2516,EXTRATO!$A$2:$A$3000,0))="","",INDEX(EXTRATO!$F$2:$F$3000,MATCH($A2516,EXTRATO!$A$2:$A$3000,0))))</f>
        <v/>
      </c>
      <c r="I2516" s="88" t="str">
        <f>IF(A2516="","",IF(INDEX(EXTRATO!$H$2:$H$3000,MATCH($A2516,EXTRATO!$A$2:$A$3000,0))="","",INDEX(EXTRATO!$H$2:$H$3000,MATCH($A2516,EXTRATO!$A$2:$A$3000,0))))</f>
        <v/>
      </c>
      <c r="J2516" s="86" t="str">
        <f t="shared" si="65"/>
        <v/>
      </c>
      <c r="K2516" s="86" t="str">
        <f>IF(AND(A2516="",D2516="",E2516="",F2516=""),"",IF(D2516="","SEM CATEGORIA",IF(E2516="","SEM SUBCATEGORIA",IF(COUNTIFS(CADASTROS!$L$7:$L$93,D2516,CADASTROS!$D$7:$D$93,E2516)=0,"INCOMPATÍVEL","OK"))))</f>
        <v/>
      </c>
    </row>
    <row r="2517" spans="1:11" ht="30" hidden="1" customHeight="1" x14ac:dyDescent="0.25">
      <c r="A2517" s="86" t="str">
        <f>IF(COUNTIF(EXTRATO!$A$2:$A$3000,"BAN-02374")=0,"","BAN-02374")</f>
        <v/>
      </c>
      <c r="B2517" s="85" t="str">
        <f>IF(A2517="","",IF(INDEX(EXTRATO!$C$2:$C$3000,MATCH($A2517,EXTRATO!$A$2:$A$3000,0))="","",INDEX(EXTRATO!$C$2:$C$3000,MATCH($A2517,EXTRATO!$A$2:$A$3000,0))))</f>
        <v/>
      </c>
      <c r="C2517" s="86" t="str">
        <f t="shared" ref="C2517:C2580" si="66">IF(B2517="","",MONTH(B2517))</f>
        <v/>
      </c>
      <c r="D2517" s="81"/>
      <c r="E2517" s="79"/>
      <c r="F2517" s="80" t="str">
        <f>IF(A2517="","",SUMIF(EXTRATO!$A$2:$A$3000,$A2517,EXTRATO!$J$2:$J$3000)+SUMIF(EXTRATO!$A$2:$A$3000,$A2517,EXTRATO!$K$2:$K$3000)+SUMIF(EXTRATO!$A$2:$A$3000,$A2517,EXTRATO!$L$2:$L$3000)+SUMIF(EXTRATO!$A$2:$A$3000,$A2517,EXTRATO!$M$2:$M$3000))</f>
        <v/>
      </c>
      <c r="G2517" s="81" t="str">
        <f>IF(A2517="","",IF(INDEX(EXTRATO!$G$2:$G$3000,MATCH($A2517,EXTRATO!$A$2:$A$3000,0))="","",INDEX(EXTRATO!$G$2:$G$3000,MATCH($A2517,EXTRATO!$A$2:$A$3000,0))))</f>
        <v/>
      </c>
      <c r="H2517" s="86" t="str">
        <f>IF(A2517="","",IF(INDEX(EXTRATO!$F$2:$F$3000,MATCH($A2517,EXTRATO!$A$2:$A$3000,0))="","",INDEX(EXTRATO!$F$2:$F$3000,MATCH($A2517,EXTRATO!$A$2:$A$3000,0))))</f>
        <v/>
      </c>
      <c r="I2517" s="88" t="str">
        <f>IF(A2517="","",IF(INDEX(EXTRATO!$H$2:$H$3000,MATCH($A2517,EXTRATO!$A$2:$A$3000,0))="","",INDEX(EXTRATO!$H$2:$H$3000,MATCH($A2517,EXTRATO!$A$2:$A$3000,0))))</f>
        <v/>
      </c>
      <c r="J2517" s="86" t="str">
        <f t="shared" si="65"/>
        <v/>
      </c>
      <c r="K2517" s="86" t="str">
        <f>IF(AND(A2517="",D2517="",E2517="",F2517=""),"",IF(D2517="","SEM CATEGORIA",IF(E2517="","SEM SUBCATEGORIA",IF(COUNTIFS(CADASTROS!$L$7:$L$93,D2517,CADASTROS!$D$7:$D$93,E2517)=0,"INCOMPATÍVEL","OK"))))</f>
        <v/>
      </c>
    </row>
    <row r="2518" spans="1:11" ht="30" hidden="1" customHeight="1" x14ac:dyDescent="0.25">
      <c r="A2518" s="86" t="str">
        <f>IF(COUNTIF(EXTRATO!$A$2:$A$3000,"BAN-02375")=0,"","BAN-02375")</f>
        <v/>
      </c>
      <c r="B2518" s="85" t="str">
        <f>IF(A2518="","",IF(INDEX(EXTRATO!$C$2:$C$3000,MATCH($A2518,EXTRATO!$A$2:$A$3000,0))="","",INDEX(EXTRATO!$C$2:$C$3000,MATCH($A2518,EXTRATO!$A$2:$A$3000,0))))</f>
        <v/>
      </c>
      <c r="C2518" s="86" t="str">
        <f t="shared" si="66"/>
        <v/>
      </c>
      <c r="D2518" s="81"/>
      <c r="E2518" s="79"/>
      <c r="F2518" s="80" t="str">
        <f>IF(A2518="","",SUMIF(EXTRATO!$A$2:$A$3000,$A2518,EXTRATO!$J$2:$J$3000)+SUMIF(EXTRATO!$A$2:$A$3000,$A2518,EXTRATO!$K$2:$K$3000)+SUMIF(EXTRATO!$A$2:$A$3000,$A2518,EXTRATO!$L$2:$L$3000)+SUMIF(EXTRATO!$A$2:$A$3000,$A2518,EXTRATO!$M$2:$M$3000))</f>
        <v/>
      </c>
      <c r="G2518" s="81" t="str">
        <f>IF(A2518="","",IF(INDEX(EXTRATO!$G$2:$G$3000,MATCH($A2518,EXTRATO!$A$2:$A$3000,0))="","",INDEX(EXTRATO!$G$2:$G$3000,MATCH($A2518,EXTRATO!$A$2:$A$3000,0))))</f>
        <v/>
      </c>
      <c r="H2518" s="86" t="str">
        <f>IF(A2518="","",IF(INDEX(EXTRATO!$F$2:$F$3000,MATCH($A2518,EXTRATO!$A$2:$A$3000,0))="","",INDEX(EXTRATO!$F$2:$F$3000,MATCH($A2518,EXTRATO!$A$2:$A$3000,0))))</f>
        <v/>
      </c>
      <c r="I2518" s="88" t="str">
        <f>IF(A2518="","",IF(INDEX(EXTRATO!$H$2:$H$3000,MATCH($A2518,EXTRATO!$A$2:$A$3000,0))="","",INDEX(EXTRATO!$H$2:$H$3000,MATCH($A2518,EXTRATO!$A$2:$A$3000,0))))</f>
        <v/>
      </c>
      <c r="J2518" s="86" t="str">
        <f t="shared" si="65"/>
        <v/>
      </c>
      <c r="K2518" s="86" t="str">
        <f>IF(AND(A2518="",D2518="",E2518="",F2518=""),"",IF(D2518="","SEM CATEGORIA",IF(E2518="","SEM SUBCATEGORIA",IF(COUNTIFS(CADASTROS!$L$7:$L$93,D2518,CADASTROS!$D$7:$D$93,E2518)=0,"INCOMPATÍVEL","OK"))))</f>
        <v/>
      </c>
    </row>
    <row r="2519" spans="1:11" ht="30" hidden="1" customHeight="1" x14ac:dyDescent="0.25">
      <c r="A2519" s="86" t="str">
        <f>IF(COUNTIF(EXTRATO!$A$2:$A$3000,"BAN-02376")=0,"","BAN-02376")</f>
        <v/>
      </c>
      <c r="B2519" s="85" t="str">
        <f>IF(A2519="","",IF(INDEX(EXTRATO!$C$2:$C$3000,MATCH($A2519,EXTRATO!$A$2:$A$3000,0))="","",INDEX(EXTRATO!$C$2:$C$3000,MATCH($A2519,EXTRATO!$A$2:$A$3000,0))))</f>
        <v/>
      </c>
      <c r="C2519" s="86" t="str">
        <f t="shared" si="66"/>
        <v/>
      </c>
      <c r="D2519" s="81"/>
      <c r="E2519" s="79"/>
      <c r="F2519" s="80" t="str">
        <f>IF(A2519="","",SUMIF(EXTRATO!$A$2:$A$3000,$A2519,EXTRATO!$J$2:$J$3000)+SUMIF(EXTRATO!$A$2:$A$3000,$A2519,EXTRATO!$K$2:$K$3000)+SUMIF(EXTRATO!$A$2:$A$3000,$A2519,EXTRATO!$L$2:$L$3000)+SUMIF(EXTRATO!$A$2:$A$3000,$A2519,EXTRATO!$M$2:$M$3000))</f>
        <v/>
      </c>
      <c r="G2519" s="81" t="str">
        <f>IF(A2519="","",IF(INDEX(EXTRATO!$G$2:$G$3000,MATCH($A2519,EXTRATO!$A$2:$A$3000,0))="","",INDEX(EXTRATO!$G$2:$G$3000,MATCH($A2519,EXTRATO!$A$2:$A$3000,0))))</f>
        <v/>
      </c>
      <c r="H2519" s="86" t="str">
        <f>IF(A2519="","",IF(INDEX(EXTRATO!$F$2:$F$3000,MATCH($A2519,EXTRATO!$A$2:$A$3000,0))="","",INDEX(EXTRATO!$F$2:$F$3000,MATCH($A2519,EXTRATO!$A$2:$A$3000,0))))</f>
        <v/>
      </c>
      <c r="I2519" s="88" t="str">
        <f>IF(A2519="","",IF(INDEX(EXTRATO!$H$2:$H$3000,MATCH($A2519,EXTRATO!$A$2:$A$3000,0))="","",INDEX(EXTRATO!$H$2:$H$3000,MATCH($A2519,EXTRATO!$A$2:$A$3000,0))))</f>
        <v/>
      </c>
      <c r="J2519" s="86" t="str">
        <f t="shared" si="65"/>
        <v/>
      </c>
      <c r="K2519" s="86" t="str">
        <f>IF(AND(A2519="",D2519="",E2519="",F2519=""),"",IF(D2519="","SEM CATEGORIA",IF(E2519="","SEM SUBCATEGORIA",IF(COUNTIFS(CADASTROS!$L$7:$L$93,D2519,CADASTROS!$D$7:$D$93,E2519)=0,"INCOMPATÍVEL","OK"))))</f>
        <v/>
      </c>
    </row>
    <row r="2520" spans="1:11" ht="30" hidden="1" customHeight="1" x14ac:dyDescent="0.25">
      <c r="A2520" s="86" t="str">
        <f>IF(COUNTIF(EXTRATO!$A$2:$A$3000,"BAN-02377")=0,"","BAN-02377")</f>
        <v/>
      </c>
      <c r="B2520" s="85" t="str">
        <f>IF(A2520="","",IF(INDEX(EXTRATO!$C$2:$C$3000,MATCH($A2520,EXTRATO!$A$2:$A$3000,0))="","",INDEX(EXTRATO!$C$2:$C$3000,MATCH($A2520,EXTRATO!$A$2:$A$3000,0))))</f>
        <v/>
      </c>
      <c r="C2520" s="86" t="str">
        <f t="shared" si="66"/>
        <v/>
      </c>
      <c r="D2520" s="81"/>
      <c r="E2520" s="79"/>
      <c r="F2520" s="80" t="str">
        <f>IF(A2520="","",SUMIF(EXTRATO!$A$2:$A$3000,$A2520,EXTRATO!$J$2:$J$3000)+SUMIF(EXTRATO!$A$2:$A$3000,$A2520,EXTRATO!$K$2:$K$3000)+SUMIF(EXTRATO!$A$2:$A$3000,$A2520,EXTRATO!$L$2:$L$3000)+SUMIF(EXTRATO!$A$2:$A$3000,$A2520,EXTRATO!$M$2:$M$3000))</f>
        <v/>
      </c>
      <c r="G2520" s="81" t="str">
        <f>IF(A2520="","",IF(INDEX(EXTRATO!$G$2:$G$3000,MATCH($A2520,EXTRATO!$A$2:$A$3000,0))="","",INDEX(EXTRATO!$G$2:$G$3000,MATCH($A2520,EXTRATO!$A$2:$A$3000,0))))</f>
        <v/>
      </c>
      <c r="H2520" s="86" t="str">
        <f>IF(A2520="","",IF(INDEX(EXTRATO!$F$2:$F$3000,MATCH($A2520,EXTRATO!$A$2:$A$3000,0))="","",INDEX(EXTRATO!$F$2:$F$3000,MATCH($A2520,EXTRATO!$A$2:$A$3000,0))))</f>
        <v/>
      </c>
      <c r="I2520" s="88" t="str">
        <f>IF(A2520="","",IF(INDEX(EXTRATO!$H$2:$H$3000,MATCH($A2520,EXTRATO!$A$2:$A$3000,0))="","",INDEX(EXTRATO!$H$2:$H$3000,MATCH($A2520,EXTRATO!$A$2:$A$3000,0))))</f>
        <v/>
      </c>
      <c r="J2520" s="86" t="str">
        <f t="shared" si="65"/>
        <v/>
      </c>
      <c r="K2520" s="86" t="str">
        <f>IF(AND(A2520="",D2520="",E2520="",F2520=""),"",IF(D2520="","SEM CATEGORIA",IF(E2520="","SEM SUBCATEGORIA",IF(COUNTIFS(CADASTROS!$L$7:$L$93,D2520,CADASTROS!$D$7:$D$93,E2520)=0,"INCOMPATÍVEL","OK"))))</f>
        <v/>
      </c>
    </row>
    <row r="2521" spans="1:11" ht="30" hidden="1" customHeight="1" x14ac:dyDescent="0.25">
      <c r="A2521" s="86" t="str">
        <f>IF(COUNTIF(EXTRATO!$A$2:$A$3000,"BAN-02378")=0,"","BAN-02378")</f>
        <v/>
      </c>
      <c r="B2521" s="85" t="str">
        <f>IF(A2521="","",IF(INDEX(EXTRATO!$C$2:$C$3000,MATCH($A2521,EXTRATO!$A$2:$A$3000,0))="","",INDEX(EXTRATO!$C$2:$C$3000,MATCH($A2521,EXTRATO!$A$2:$A$3000,0))))</f>
        <v/>
      </c>
      <c r="C2521" s="86" t="str">
        <f t="shared" si="66"/>
        <v/>
      </c>
      <c r="D2521" s="81"/>
      <c r="E2521" s="79"/>
      <c r="F2521" s="80" t="str">
        <f>IF(A2521="","",SUMIF(EXTRATO!$A$2:$A$3000,$A2521,EXTRATO!$J$2:$J$3000)+SUMIF(EXTRATO!$A$2:$A$3000,$A2521,EXTRATO!$K$2:$K$3000)+SUMIF(EXTRATO!$A$2:$A$3000,$A2521,EXTRATO!$L$2:$L$3000)+SUMIF(EXTRATO!$A$2:$A$3000,$A2521,EXTRATO!$M$2:$M$3000))</f>
        <v/>
      </c>
      <c r="G2521" s="81" t="str">
        <f>IF(A2521="","",IF(INDEX(EXTRATO!$G$2:$G$3000,MATCH($A2521,EXTRATO!$A$2:$A$3000,0))="","",INDEX(EXTRATO!$G$2:$G$3000,MATCH($A2521,EXTRATO!$A$2:$A$3000,0))))</f>
        <v/>
      </c>
      <c r="H2521" s="86" t="str">
        <f>IF(A2521="","",IF(INDEX(EXTRATO!$F$2:$F$3000,MATCH($A2521,EXTRATO!$A$2:$A$3000,0))="","",INDEX(EXTRATO!$F$2:$F$3000,MATCH($A2521,EXTRATO!$A$2:$A$3000,0))))</f>
        <v/>
      </c>
      <c r="I2521" s="88" t="str">
        <f>IF(A2521="","",IF(INDEX(EXTRATO!$H$2:$H$3000,MATCH($A2521,EXTRATO!$A$2:$A$3000,0))="","",INDEX(EXTRATO!$H$2:$H$3000,MATCH($A2521,EXTRATO!$A$2:$A$3000,0))))</f>
        <v/>
      </c>
      <c r="J2521" s="86" t="str">
        <f t="shared" si="65"/>
        <v/>
      </c>
      <c r="K2521" s="86" t="str">
        <f>IF(AND(A2521="",D2521="",E2521="",F2521=""),"",IF(D2521="","SEM CATEGORIA",IF(E2521="","SEM SUBCATEGORIA",IF(COUNTIFS(CADASTROS!$L$7:$L$93,D2521,CADASTROS!$D$7:$D$93,E2521)=0,"INCOMPATÍVEL","OK"))))</f>
        <v/>
      </c>
    </row>
    <row r="2522" spans="1:11" ht="30" hidden="1" customHeight="1" x14ac:dyDescent="0.25">
      <c r="A2522" s="86" t="str">
        <f>IF(COUNTIF(EXTRATO!$A$2:$A$3000,"BAN-02379")=0,"","BAN-02379")</f>
        <v/>
      </c>
      <c r="B2522" s="85" t="str">
        <f>IF(A2522="","",IF(INDEX(EXTRATO!$C$2:$C$3000,MATCH($A2522,EXTRATO!$A$2:$A$3000,0))="","",INDEX(EXTRATO!$C$2:$C$3000,MATCH($A2522,EXTRATO!$A$2:$A$3000,0))))</f>
        <v/>
      </c>
      <c r="C2522" s="86" t="str">
        <f t="shared" si="66"/>
        <v/>
      </c>
      <c r="D2522" s="81"/>
      <c r="E2522" s="79"/>
      <c r="F2522" s="80" t="str">
        <f>IF(A2522="","",SUMIF(EXTRATO!$A$2:$A$3000,$A2522,EXTRATO!$J$2:$J$3000)+SUMIF(EXTRATO!$A$2:$A$3000,$A2522,EXTRATO!$K$2:$K$3000)+SUMIF(EXTRATO!$A$2:$A$3000,$A2522,EXTRATO!$L$2:$L$3000)+SUMIF(EXTRATO!$A$2:$A$3000,$A2522,EXTRATO!$M$2:$M$3000))</f>
        <v/>
      </c>
      <c r="G2522" s="81" t="str">
        <f>IF(A2522="","",IF(INDEX(EXTRATO!$G$2:$G$3000,MATCH($A2522,EXTRATO!$A$2:$A$3000,0))="","",INDEX(EXTRATO!$G$2:$G$3000,MATCH($A2522,EXTRATO!$A$2:$A$3000,0))))</f>
        <v/>
      </c>
      <c r="H2522" s="86" t="str">
        <f>IF(A2522="","",IF(INDEX(EXTRATO!$F$2:$F$3000,MATCH($A2522,EXTRATO!$A$2:$A$3000,0))="","",INDEX(EXTRATO!$F$2:$F$3000,MATCH($A2522,EXTRATO!$A$2:$A$3000,0))))</f>
        <v/>
      </c>
      <c r="I2522" s="88" t="str">
        <f>IF(A2522="","",IF(INDEX(EXTRATO!$H$2:$H$3000,MATCH($A2522,EXTRATO!$A$2:$A$3000,0))="","",INDEX(EXTRATO!$H$2:$H$3000,MATCH($A2522,EXTRATO!$A$2:$A$3000,0))))</f>
        <v/>
      </c>
      <c r="J2522" s="86" t="str">
        <f t="shared" si="65"/>
        <v/>
      </c>
      <c r="K2522" s="86" t="str">
        <f>IF(AND(A2522="",D2522="",E2522="",F2522=""),"",IF(D2522="","SEM CATEGORIA",IF(E2522="","SEM SUBCATEGORIA",IF(COUNTIFS(CADASTROS!$L$7:$L$93,D2522,CADASTROS!$D$7:$D$93,E2522)=0,"INCOMPATÍVEL","OK"))))</f>
        <v/>
      </c>
    </row>
    <row r="2523" spans="1:11" ht="30" hidden="1" customHeight="1" x14ac:dyDescent="0.25">
      <c r="A2523" s="86" t="str">
        <f>IF(COUNTIF(EXTRATO!$A$2:$A$3000,"BAN-02380")=0,"","BAN-02380")</f>
        <v/>
      </c>
      <c r="B2523" s="85" t="str">
        <f>IF(A2523="","",IF(INDEX(EXTRATO!$C$2:$C$3000,MATCH($A2523,EXTRATO!$A$2:$A$3000,0))="","",INDEX(EXTRATO!$C$2:$C$3000,MATCH($A2523,EXTRATO!$A$2:$A$3000,0))))</f>
        <v/>
      </c>
      <c r="C2523" s="86" t="str">
        <f t="shared" si="66"/>
        <v/>
      </c>
      <c r="D2523" s="81"/>
      <c r="E2523" s="79"/>
      <c r="F2523" s="80" t="str">
        <f>IF(A2523="","",SUMIF(EXTRATO!$A$2:$A$3000,$A2523,EXTRATO!$J$2:$J$3000)+SUMIF(EXTRATO!$A$2:$A$3000,$A2523,EXTRATO!$K$2:$K$3000)+SUMIF(EXTRATO!$A$2:$A$3000,$A2523,EXTRATO!$L$2:$L$3000)+SUMIF(EXTRATO!$A$2:$A$3000,$A2523,EXTRATO!$M$2:$M$3000))</f>
        <v/>
      </c>
      <c r="G2523" s="81" t="str">
        <f>IF(A2523="","",IF(INDEX(EXTRATO!$G$2:$G$3000,MATCH($A2523,EXTRATO!$A$2:$A$3000,0))="","",INDEX(EXTRATO!$G$2:$G$3000,MATCH($A2523,EXTRATO!$A$2:$A$3000,0))))</f>
        <v/>
      </c>
      <c r="H2523" s="86" t="str">
        <f>IF(A2523="","",IF(INDEX(EXTRATO!$F$2:$F$3000,MATCH($A2523,EXTRATO!$A$2:$A$3000,0))="","",INDEX(EXTRATO!$F$2:$F$3000,MATCH($A2523,EXTRATO!$A$2:$A$3000,0))))</f>
        <v/>
      </c>
      <c r="I2523" s="88" t="str">
        <f>IF(A2523="","",IF(INDEX(EXTRATO!$H$2:$H$3000,MATCH($A2523,EXTRATO!$A$2:$A$3000,0))="","",INDEX(EXTRATO!$H$2:$H$3000,MATCH($A2523,EXTRATO!$A$2:$A$3000,0))))</f>
        <v/>
      </c>
      <c r="J2523" s="86" t="str">
        <f t="shared" si="65"/>
        <v/>
      </c>
      <c r="K2523" s="86" t="str">
        <f>IF(AND(A2523="",D2523="",E2523="",F2523=""),"",IF(D2523="","SEM CATEGORIA",IF(E2523="","SEM SUBCATEGORIA",IF(COUNTIFS(CADASTROS!$L$7:$L$93,D2523,CADASTROS!$D$7:$D$93,E2523)=0,"INCOMPATÍVEL","OK"))))</f>
        <v/>
      </c>
    </row>
    <row r="2524" spans="1:11" ht="30" hidden="1" customHeight="1" x14ac:dyDescent="0.25">
      <c r="A2524" s="86" t="str">
        <f>IF(COUNTIF(EXTRATO!$A$2:$A$3000,"BAN-02381")=0,"","BAN-02381")</f>
        <v/>
      </c>
      <c r="B2524" s="85" t="str">
        <f>IF(A2524="","",IF(INDEX(EXTRATO!$C$2:$C$3000,MATCH($A2524,EXTRATO!$A$2:$A$3000,0))="","",INDEX(EXTRATO!$C$2:$C$3000,MATCH($A2524,EXTRATO!$A$2:$A$3000,0))))</f>
        <v/>
      </c>
      <c r="C2524" s="86" t="str">
        <f t="shared" si="66"/>
        <v/>
      </c>
      <c r="D2524" s="81"/>
      <c r="E2524" s="79"/>
      <c r="F2524" s="80" t="str">
        <f>IF(A2524="","",SUMIF(EXTRATO!$A$2:$A$3000,$A2524,EXTRATO!$J$2:$J$3000)+SUMIF(EXTRATO!$A$2:$A$3000,$A2524,EXTRATO!$K$2:$K$3000)+SUMIF(EXTRATO!$A$2:$A$3000,$A2524,EXTRATO!$L$2:$L$3000)+SUMIF(EXTRATO!$A$2:$A$3000,$A2524,EXTRATO!$M$2:$M$3000))</f>
        <v/>
      </c>
      <c r="G2524" s="81" t="str">
        <f>IF(A2524="","",IF(INDEX(EXTRATO!$G$2:$G$3000,MATCH($A2524,EXTRATO!$A$2:$A$3000,0))="","",INDEX(EXTRATO!$G$2:$G$3000,MATCH($A2524,EXTRATO!$A$2:$A$3000,0))))</f>
        <v/>
      </c>
      <c r="H2524" s="86" t="str">
        <f>IF(A2524="","",IF(INDEX(EXTRATO!$F$2:$F$3000,MATCH($A2524,EXTRATO!$A$2:$A$3000,0))="","",INDEX(EXTRATO!$F$2:$F$3000,MATCH($A2524,EXTRATO!$A$2:$A$3000,0))))</f>
        <v/>
      </c>
      <c r="I2524" s="88" t="str">
        <f>IF(A2524="","",IF(INDEX(EXTRATO!$H$2:$H$3000,MATCH($A2524,EXTRATO!$A$2:$A$3000,0))="","",INDEX(EXTRATO!$H$2:$H$3000,MATCH($A2524,EXTRATO!$A$2:$A$3000,0))))</f>
        <v/>
      </c>
      <c r="J2524" s="86" t="str">
        <f t="shared" si="65"/>
        <v/>
      </c>
      <c r="K2524" s="86" t="str">
        <f>IF(AND(A2524="",D2524="",E2524="",F2524=""),"",IF(D2524="","SEM CATEGORIA",IF(E2524="","SEM SUBCATEGORIA",IF(COUNTIFS(CADASTROS!$L$7:$L$93,D2524,CADASTROS!$D$7:$D$93,E2524)=0,"INCOMPATÍVEL","OK"))))</f>
        <v/>
      </c>
    </row>
    <row r="2525" spans="1:11" ht="30" hidden="1" customHeight="1" x14ac:dyDescent="0.25">
      <c r="A2525" s="86" t="str">
        <f>IF(COUNTIF(EXTRATO!$A$2:$A$3000,"BAN-02382")=0,"","BAN-02382")</f>
        <v/>
      </c>
      <c r="B2525" s="85" t="str">
        <f>IF(A2525="","",IF(INDEX(EXTRATO!$C$2:$C$3000,MATCH($A2525,EXTRATO!$A$2:$A$3000,0))="","",INDEX(EXTRATO!$C$2:$C$3000,MATCH($A2525,EXTRATO!$A$2:$A$3000,0))))</f>
        <v/>
      </c>
      <c r="C2525" s="86" t="str">
        <f t="shared" si="66"/>
        <v/>
      </c>
      <c r="D2525" s="81"/>
      <c r="E2525" s="79"/>
      <c r="F2525" s="80" t="str">
        <f>IF(A2525="","",SUMIF(EXTRATO!$A$2:$A$3000,$A2525,EXTRATO!$J$2:$J$3000)+SUMIF(EXTRATO!$A$2:$A$3000,$A2525,EXTRATO!$K$2:$K$3000)+SUMIF(EXTRATO!$A$2:$A$3000,$A2525,EXTRATO!$L$2:$L$3000)+SUMIF(EXTRATO!$A$2:$A$3000,$A2525,EXTRATO!$M$2:$M$3000))</f>
        <v/>
      </c>
      <c r="G2525" s="81" t="str">
        <f>IF(A2525="","",IF(INDEX(EXTRATO!$G$2:$G$3000,MATCH($A2525,EXTRATO!$A$2:$A$3000,0))="","",INDEX(EXTRATO!$G$2:$G$3000,MATCH($A2525,EXTRATO!$A$2:$A$3000,0))))</f>
        <v/>
      </c>
      <c r="H2525" s="86" t="str">
        <f>IF(A2525="","",IF(INDEX(EXTRATO!$F$2:$F$3000,MATCH($A2525,EXTRATO!$A$2:$A$3000,0))="","",INDEX(EXTRATO!$F$2:$F$3000,MATCH($A2525,EXTRATO!$A$2:$A$3000,0))))</f>
        <v/>
      </c>
      <c r="I2525" s="88" t="str">
        <f>IF(A2525="","",IF(INDEX(EXTRATO!$H$2:$H$3000,MATCH($A2525,EXTRATO!$A$2:$A$3000,0))="","",INDEX(EXTRATO!$H$2:$H$3000,MATCH($A2525,EXTRATO!$A$2:$A$3000,0))))</f>
        <v/>
      </c>
      <c r="J2525" s="86" t="str">
        <f t="shared" si="65"/>
        <v/>
      </c>
      <c r="K2525" s="86" t="str">
        <f>IF(AND(A2525="",D2525="",E2525="",F2525=""),"",IF(D2525="","SEM CATEGORIA",IF(E2525="","SEM SUBCATEGORIA",IF(COUNTIFS(CADASTROS!$L$7:$L$93,D2525,CADASTROS!$D$7:$D$93,E2525)=0,"INCOMPATÍVEL","OK"))))</f>
        <v/>
      </c>
    </row>
    <row r="2526" spans="1:11" ht="30" hidden="1" customHeight="1" x14ac:dyDescent="0.25">
      <c r="A2526" s="86" t="str">
        <f>IF(COUNTIF(EXTRATO!$A$2:$A$3000,"BAN-02383")=0,"","BAN-02383")</f>
        <v/>
      </c>
      <c r="B2526" s="85" t="str">
        <f>IF(A2526="","",IF(INDEX(EXTRATO!$C$2:$C$3000,MATCH($A2526,EXTRATO!$A$2:$A$3000,0))="","",INDEX(EXTRATO!$C$2:$C$3000,MATCH($A2526,EXTRATO!$A$2:$A$3000,0))))</f>
        <v/>
      </c>
      <c r="C2526" s="86" t="str">
        <f t="shared" si="66"/>
        <v/>
      </c>
      <c r="D2526" s="81"/>
      <c r="E2526" s="79"/>
      <c r="F2526" s="80" t="str">
        <f>IF(A2526="","",SUMIF(EXTRATO!$A$2:$A$3000,$A2526,EXTRATO!$J$2:$J$3000)+SUMIF(EXTRATO!$A$2:$A$3000,$A2526,EXTRATO!$K$2:$K$3000)+SUMIF(EXTRATO!$A$2:$A$3000,$A2526,EXTRATO!$L$2:$L$3000)+SUMIF(EXTRATO!$A$2:$A$3000,$A2526,EXTRATO!$M$2:$M$3000))</f>
        <v/>
      </c>
      <c r="G2526" s="81" t="str">
        <f>IF(A2526="","",IF(INDEX(EXTRATO!$G$2:$G$3000,MATCH($A2526,EXTRATO!$A$2:$A$3000,0))="","",INDEX(EXTRATO!$G$2:$G$3000,MATCH($A2526,EXTRATO!$A$2:$A$3000,0))))</f>
        <v/>
      </c>
      <c r="H2526" s="86" t="str">
        <f>IF(A2526="","",IF(INDEX(EXTRATO!$F$2:$F$3000,MATCH($A2526,EXTRATO!$A$2:$A$3000,0))="","",INDEX(EXTRATO!$F$2:$F$3000,MATCH($A2526,EXTRATO!$A$2:$A$3000,0))))</f>
        <v/>
      </c>
      <c r="I2526" s="88" t="str">
        <f>IF(A2526="","",IF(INDEX(EXTRATO!$H$2:$H$3000,MATCH($A2526,EXTRATO!$A$2:$A$3000,0))="","",INDEX(EXTRATO!$H$2:$H$3000,MATCH($A2526,EXTRATO!$A$2:$A$3000,0))))</f>
        <v/>
      </c>
      <c r="J2526" s="86" t="str">
        <f t="shared" si="65"/>
        <v/>
      </c>
      <c r="K2526" s="86" t="str">
        <f>IF(AND(A2526="",D2526="",E2526="",F2526=""),"",IF(D2526="","SEM CATEGORIA",IF(E2526="","SEM SUBCATEGORIA",IF(COUNTIFS(CADASTROS!$L$7:$L$93,D2526,CADASTROS!$D$7:$D$93,E2526)=0,"INCOMPATÍVEL","OK"))))</f>
        <v/>
      </c>
    </row>
    <row r="2527" spans="1:11" ht="30" hidden="1" customHeight="1" x14ac:dyDescent="0.25">
      <c r="A2527" s="86" t="str">
        <f>IF(COUNTIF(EXTRATO!$A$2:$A$3000,"BAN-02384")=0,"","BAN-02384")</f>
        <v/>
      </c>
      <c r="B2527" s="85" t="str">
        <f>IF(A2527="","",IF(INDEX(EXTRATO!$C$2:$C$3000,MATCH($A2527,EXTRATO!$A$2:$A$3000,0))="","",INDEX(EXTRATO!$C$2:$C$3000,MATCH($A2527,EXTRATO!$A$2:$A$3000,0))))</f>
        <v/>
      </c>
      <c r="C2527" s="86" t="str">
        <f t="shared" si="66"/>
        <v/>
      </c>
      <c r="D2527" s="81"/>
      <c r="E2527" s="79"/>
      <c r="F2527" s="80" t="str">
        <f>IF(A2527="","",SUMIF(EXTRATO!$A$2:$A$3000,$A2527,EXTRATO!$J$2:$J$3000)+SUMIF(EXTRATO!$A$2:$A$3000,$A2527,EXTRATO!$K$2:$K$3000)+SUMIF(EXTRATO!$A$2:$A$3000,$A2527,EXTRATO!$L$2:$L$3000)+SUMIF(EXTRATO!$A$2:$A$3000,$A2527,EXTRATO!$M$2:$M$3000))</f>
        <v/>
      </c>
      <c r="G2527" s="81" t="str">
        <f>IF(A2527="","",IF(INDEX(EXTRATO!$G$2:$G$3000,MATCH($A2527,EXTRATO!$A$2:$A$3000,0))="","",INDEX(EXTRATO!$G$2:$G$3000,MATCH($A2527,EXTRATO!$A$2:$A$3000,0))))</f>
        <v/>
      </c>
      <c r="H2527" s="86" t="str">
        <f>IF(A2527="","",IF(INDEX(EXTRATO!$F$2:$F$3000,MATCH($A2527,EXTRATO!$A$2:$A$3000,0))="","",INDEX(EXTRATO!$F$2:$F$3000,MATCH($A2527,EXTRATO!$A$2:$A$3000,0))))</f>
        <v/>
      </c>
      <c r="I2527" s="88" t="str">
        <f>IF(A2527="","",IF(INDEX(EXTRATO!$H$2:$H$3000,MATCH($A2527,EXTRATO!$A$2:$A$3000,0))="","",INDEX(EXTRATO!$H$2:$H$3000,MATCH($A2527,EXTRATO!$A$2:$A$3000,0))))</f>
        <v/>
      </c>
      <c r="J2527" s="86" t="str">
        <f t="shared" si="65"/>
        <v/>
      </c>
      <c r="K2527" s="86" t="str">
        <f>IF(AND(A2527="",D2527="",E2527="",F2527=""),"",IF(D2527="","SEM CATEGORIA",IF(E2527="","SEM SUBCATEGORIA",IF(COUNTIFS(CADASTROS!$L$7:$L$93,D2527,CADASTROS!$D$7:$D$93,E2527)=0,"INCOMPATÍVEL","OK"))))</f>
        <v/>
      </c>
    </row>
    <row r="2528" spans="1:11" ht="30" hidden="1" customHeight="1" x14ac:dyDescent="0.25">
      <c r="A2528" s="86" t="str">
        <f>IF(COUNTIF(EXTRATO!$A$2:$A$3000,"BAN-02385")=0,"","BAN-02385")</f>
        <v/>
      </c>
      <c r="B2528" s="85" t="str">
        <f>IF(A2528="","",IF(INDEX(EXTRATO!$C$2:$C$3000,MATCH($A2528,EXTRATO!$A$2:$A$3000,0))="","",INDEX(EXTRATO!$C$2:$C$3000,MATCH($A2528,EXTRATO!$A$2:$A$3000,0))))</f>
        <v/>
      </c>
      <c r="C2528" s="86" t="str">
        <f t="shared" si="66"/>
        <v/>
      </c>
      <c r="D2528" s="81"/>
      <c r="E2528" s="79"/>
      <c r="F2528" s="80" t="str">
        <f>IF(A2528="","",SUMIF(EXTRATO!$A$2:$A$3000,$A2528,EXTRATO!$J$2:$J$3000)+SUMIF(EXTRATO!$A$2:$A$3000,$A2528,EXTRATO!$K$2:$K$3000)+SUMIF(EXTRATO!$A$2:$A$3000,$A2528,EXTRATO!$L$2:$L$3000)+SUMIF(EXTRATO!$A$2:$A$3000,$A2528,EXTRATO!$M$2:$M$3000))</f>
        <v/>
      </c>
      <c r="G2528" s="81" t="str">
        <f>IF(A2528="","",IF(INDEX(EXTRATO!$G$2:$G$3000,MATCH($A2528,EXTRATO!$A$2:$A$3000,0))="","",INDEX(EXTRATO!$G$2:$G$3000,MATCH($A2528,EXTRATO!$A$2:$A$3000,0))))</f>
        <v/>
      </c>
      <c r="H2528" s="86" t="str">
        <f>IF(A2528="","",IF(INDEX(EXTRATO!$F$2:$F$3000,MATCH($A2528,EXTRATO!$A$2:$A$3000,0))="","",INDEX(EXTRATO!$F$2:$F$3000,MATCH($A2528,EXTRATO!$A$2:$A$3000,0))))</f>
        <v/>
      </c>
      <c r="I2528" s="88" t="str">
        <f>IF(A2528="","",IF(INDEX(EXTRATO!$H$2:$H$3000,MATCH($A2528,EXTRATO!$A$2:$A$3000,0))="","",INDEX(EXTRATO!$H$2:$H$3000,MATCH($A2528,EXTRATO!$A$2:$A$3000,0))))</f>
        <v/>
      </c>
      <c r="J2528" s="86" t="str">
        <f t="shared" si="65"/>
        <v/>
      </c>
      <c r="K2528" s="86" t="str">
        <f>IF(AND(A2528="",D2528="",E2528="",F2528=""),"",IF(D2528="","SEM CATEGORIA",IF(E2528="","SEM SUBCATEGORIA",IF(COUNTIFS(CADASTROS!$L$7:$L$93,D2528,CADASTROS!$D$7:$D$93,E2528)=0,"INCOMPATÍVEL","OK"))))</f>
        <v/>
      </c>
    </row>
    <row r="2529" spans="1:11" ht="30" hidden="1" customHeight="1" x14ac:dyDescent="0.25">
      <c r="A2529" s="86" t="str">
        <f>IF(COUNTIF(EXTRATO!$A$2:$A$3000,"BAN-02386")=0,"","BAN-02386")</f>
        <v/>
      </c>
      <c r="B2529" s="85" t="str">
        <f>IF(A2529="","",IF(INDEX(EXTRATO!$C$2:$C$3000,MATCH($A2529,EXTRATO!$A$2:$A$3000,0))="","",INDEX(EXTRATO!$C$2:$C$3000,MATCH($A2529,EXTRATO!$A$2:$A$3000,0))))</f>
        <v/>
      </c>
      <c r="C2529" s="86" t="str">
        <f t="shared" si="66"/>
        <v/>
      </c>
      <c r="D2529" s="81"/>
      <c r="E2529" s="79"/>
      <c r="F2529" s="80" t="str">
        <f>IF(A2529="","",SUMIF(EXTRATO!$A$2:$A$3000,$A2529,EXTRATO!$J$2:$J$3000)+SUMIF(EXTRATO!$A$2:$A$3000,$A2529,EXTRATO!$K$2:$K$3000)+SUMIF(EXTRATO!$A$2:$A$3000,$A2529,EXTRATO!$L$2:$L$3000)+SUMIF(EXTRATO!$A$2:$A$3000,$A2529,EXTRATO!$M$2:$M$3000))</f>
        <v/>
      </c>
      <c r="G2529" s="81" t="str">
        <f>IF(A2529="","",IF(INDEX(EXTRATO!$G$2:$G$3000,MATCH($A2529,EXTRATO!$A$2:$A$3000,0))="","",INDEX(EXTRATO!$G$2:$G$3000,MATCH($A2529,EXTRATO!$A$2:$A$3000,0))))</f>
        <v/>
      </c>
      <c r="H2529" s="86" t="str">
        <f>IF(A2529="","",IF(INDEX(EXTRATO!$F$2:$F$3000,MATCH($A2529,EXTRATO!$A$2:$A$3000,0))="","",INDEX(EXTRATO!$F$2:$F$3000,MATCH($A2529,EXTRATO!$A$2:$A$3000,0))))</f>
        <v/>
      </c>
      <c r="I2529" s="88" t="str">
        <f>IF(A2529="","",IF(INDEX(EXTRATO!$H$2:$H$3000,MATCH($A2529,EXTRATO!$A$2:$A$3000,0))="","",INDEX(EXTRATO!$H$2:$H$3000,MATCH($A2529,EXTRATO!$A$2:$A$3000,0))))</f>
        <v/>
      </c>
      <c r="J2529" s="86" t="str">
        <f t="shared" si="65"/>
        <v/>
      </c>
      <c r="K2529" s="86" t="str">
        <f>IF(AND(A2529="",D2529="",E2529="",F2529=""),"",IF(D2529="","SEM CATEGORIA",IF(E2529="","SEM SUBCATEGORIA",IF(COUNTIFS(CADASTROS!$L$7:$L$93,D2529,CADASTROS!$D$7:$D$93,E2529)=0,"INCOMPATÍVEL","OK"))))</f>
        <v/>
      </c>
    </row>
    <row r="2530" spans="1:11" ht="30" hidden="1" customHeight="1" x14ac:dyDescent="0.25">
      <c r="A2530" s="86" t="str">
        <f>IF(COUNTIF(EXTRATO!$A$2:$A$3000,"BAN-02387")=0,"","BAN-02387")</f>
        <v/>
      </c>
      <c r="B2530" s="85" t="str">
        <f>IF(A2530="","",IF(INDEX(EXTRATO!$C$2:$C$3000,MATCH($A2530,EXTRATO!$A$2:$A$3000,0))="","",INDEX(EXTRATO!$C$2:$C$3000,MATCH($A2530,EXTRATO!$A$2:$A$3000,0))))</f>
        <v/>
      </c>
      <c r="C2530" s="86" t="str">
        <f t="shared" si="66"/>
        <v/>
      </c>
      <c r="D2530" s="81"/>
      <c r="E2530" s="79"/>
      <c r="F2530" s="80" t="str">
        <f>IF(A2530="","",SUMIF(EXTRATO!$A$2:$A$3000,$A2530,EXTRATO!$J$2:$J$3000)+SUMIF(EXTRATO!$A$2:$A$3000,$A2530,EXTRATO!$K$2:$K$3000)+SUMIF(EXTRATO!$A$2:$A$3000,$A2530,EXTRATO!$L$2:$L$3000)+SUMIF(EXTRATO!$A$2:$A$3000,$A2530,EXTRATO!$M$2:$M$3000))</f>
        <v/>
      </c>
      <c r="G2530" s="81" t="str">
        <f>IF(A2530="","",IF(INDEX(EXTRATO!$G$2:$G$3000,MATCH($A2530,EXTRATO!$A$2:$A$3000,0))="","",INDEX(EXTRATO!$G$2:$G$3000,MATCH($A2530,EXTRATO!$A$2:$A$3000,0))))</f>
        <v/>
      </c>
      <c r="H2530" s="86" t="str">
        <f>IF(A2530="","",IF(INDEX(EXTRATO!$F$2:$F$3000,MATCH($A2530,EXTRATO!$A$2:$A$3000,0))="","",INDEX(EXTRATO!$F$2:$F$3000,MATCH($A2530,EXTRATO!$A$2:$A$3000,0))))</f>
        <v/>
      </c>
      <c r="I2530" s="88" t="str">
        <f>IF(A2530="","",IF(INDEX(EXTRATO!$H$2:$H$3000,MATCH($A2530,EXTRATO!$A$2:$A$3000,0))="","",INDEX(EXTRATO!$H$2:$H$3000,MATCH($A2530,EXTRATO!$A$2:$A$3000,0))))</f>
        <v/>
      </c>
      <c r="J2530" s="86" t="str">
        <f t="shared" si="65"/>
        <v/>
      </c>
      <c r="K2530" s="86" t="str">
        <f>IF(AND(A2530="",D2530="",E2530="",F2530=""),"",IF(D2530="","SEM CATEGORIA",IF(E2530="","SEM SUBCATEGORIA",IF(COUNTIFS(CADASTROS!$L$7:$L$93,D2530,CADASTROS!$D$7:$D$93,E2530)=0,"INCOMPATÍVEL","OK"))))</f>
        <v/>
      </c>
    </row>
    <row r="2531" spans="1:11" ht="30" hidden="1" customHeight="1" x14ac:dyDescent="0.25">
      <c r="A2531" s="86" t="str">
        <f>IF(COUNTIF(EXTRATO!$A$2:$A$3000,"BAN-02388")=0,"","BAN-02388")</f>
        <v/>
      </c>
      <c r="B2531" s="85" t="str">
        <f>IF(A2531="","",IF(INDEX(EXTRATO!$C$2:$C$3000,MATCH($A2531,EXTRATO!$A$2:$A$3000,0))="","",INDEX(EXTRATO!$C$2:$C$3000,MATCH($A2531,EXTRATO!$A$2:$A$3000,0))))</f>
        <v/>
      </c>
      <c r="C2531" s="86" t="str">
        <f t="shared" si="66"/>
        <v/>
      </c>
      <c r="D2531" s="81"/>
      <c r="E2531" s="79"/>
      <c r="F2531" s="80" t="str">
        <f>IF(A2531="","",SUMIF(EXTRATO!$A$2:$A$3000,$A2531,EXTRATO!$J$2:$J$3000)+SUMIF(EXTRATO!$A$2:$A$3000,$A2531,EXTRATO!$K$2:$K$3000)+SUMIF(EXTRATO!$A$2:$A$3000,$A2531,EXTRATO!$L$2:$L$3000)+SUMIF(EXTRATO!$A$2:$A$3000,$A2531,EXTRATO!$M$2:$M$3000))</f>
        <v/>
      </c>
      <c r="G2531" s="81" t="str">
        <f>IF(A2531="","",IF(INDEX(EXTRATO!$G$2:$G$3000,MATCH($A2531,EXTRATO!$A$2:$A$3000,0))="","",INDEX(EXTRATO!$G$2:$G$3000,MATCH($A2531,EXTRATO!$A$2:$A$3000,0))))</f>
        <v/>
      </c>
      <c r="H2531" s="86" t="str">
        <f>IF(A2531="","",IF(INDEX(EXTRATO!$F$2:$F$3000,MATCH($A2531,EXTRATO!$A$2:$A$3000,0))="","",INDEX(EXTRATO!$F$2:$F$3000,MATCH($A2531,EXTRATO!$A$2:$A$3000,0))))</f>
        <v/>
      </c>
      <c r="I2531" s="88" t="str">
        <f>IF(A2531="","",IF(INDEX(EXTRATO!$H$2:$H$3000,MATCH($A2531,EXTRATO!$A$2:$A$3000,0))="","",INDEX(EXTRATO!$H$2:$H$3000,MATCH($A2531,EXTRATO!$A$2:$A$3000,0))))</f>
        <v/>
      </c>
      <c r="J2531" s="86" t="str">
        <f t="shared" si="65"/>
        <v/>
      </c>
      <c r="K2531" s="86" t="str">
        <f>IF(AND(A2531="",D2531="",E2531="",F2531=""),"",IF(D2531="","SEM CATEGORIA",IF(E2531="","SEM SUBCATEGORIA",IF(COUNTIFS(CADASTROS!$L$7:$L$93,D2531,CADASTROS!$D$7:$D$93,E2531)=0,"INCOMPATÍVEL","OK"))))</f>
        <v/>
      </c>
    </row>
    <row r="2532" spans="1:11" ht="30" hidden="1" customHeight="1" x14ac:dyDescent="0.25">
      <c r="A2532" s="86" t="str">
        <f>IF(COUNTIF(EXTRATO!$A$2:$A$3000,"BAN-02389")=0,"","BAN-02389")</f>
        <v/>
      </c>
      <c r="B2532" s="85" t="str">
        <f>IF(A2532="","",IF(INDEX(EXTRATO!$C$2:$C$3000,MATCH($A2532,EXTRATO!$A$2:$A$3000,0))="","",INDEX(EXTRATO!$C$2:$C$3000,MATCH($A2532,EXTRATO!$A$2:$A$3000,0))))</f>
        <v/>
      </c>
      <c r="C2532" s="86" t="str">
        <f t="shared" si="66"/>
        <v/>
      </c>
      <c r="D2532" s="81"/>
      <c r="E2532" s="79"/>
      <c r="F2532" s="80" t="str">
        <f>IF(A2532="","",SUMIF(EXTRATO!$A$2:$A$3000,$A2532,EXTRATO!$J$2:$J$3000)+SUMIF(EXTRATO!$A$2:$A$3000,$A2532,EXTRATO!$K$2:$K$3000)+SUMIF(EXTRATO!$A$2:$A$3000,$A2532,EXTRATO!$L$2:$L$3000)+SUMIF(EXTRATO!$A$2:$A$3000,$A2532,EXTRATO!$M$2:$M$3000))</f>
        <v/>
      </c>
      <c r="G2532" s="81" t="str">
        <f>IF(A2532="","",IF(INDEX(EXTRATO!$G$2:$G$3000,MATCH($A2532,EXTRATO!$A$2:$A$3000,0))="","",INDEX(EXTRATO!$G$2:$G$3000,MATCH($A2532,EXTRATO!$A$2:$A$3000,0))))</f>
        <v/>
      </c>
      <c r="H2532" s="86" t="str">
        <f>IF(A2532="","",IF(INDEX(EXTRATO!$F$2:$F$3000,MATCH($A2532,EXTRATO!$A$2:$A$3000,0))="","",INDEX(EXTRATO!$F$2:$F$3000,MATCH($A2532,EXTRATO!$A$2:$A$3000,0))))</f>
        <v/>
      </c>
      <c r="I2532" s="88" t="str">
        <f>IF(A2532="","",IF(INDEX(EXTRATO!$H$2:$H$3000,MATCH($A2532,EXTRATO!$A$2:$A$3000,0))="","",INDEX(EXTRATO!$H$2:$H$3000,MATCH($A2532,EXTRATO!$A$2:$A$3000,0))))</f>
        <v/>
      </c>
      <c r="J2532" s="86" t="str">
        <f t="shared" si="65"/>
        <v/>
      </c>
      <c r="K2532" s="86" t="str">
        <f>IF(AND(A2532="",D2532="",E2532="",F2532=""),"",IF(D2532="","SEM CATEGORIA",IF(E2532="","SEM SUBCATEGORIA",IF(COUNTIFS(CADASTROS!$L$7:$L$93,D2532,CADASTROS!$D$7:$D$93,E2532)=0,"INCOMPATÍVEL","OK"))))</f>
        <v/>
      </c>
    </row>
    <row r="2533" spans="1:11" ht="30" hidden="1" customHeight="1" x14ac:dyDescent="0.25">
      <c r="A2533" s="86" t="str">
        <f>IF(COUNTIF(EXTRATO!$A$2:$A$3000,"BAN-02390")=0,"","BAN-02390")</f>
        <v/>
      </c>
      <c r="B2533" s="85" t="str">
        <f>IF(A2533="","",IF(INDEX(EXTRATO!$C$2:$C$3000,MATCH($A2533,EXTRATO!$A$2:$A$3000,0))="","",INDEX(EXTRATO!$C$2:$C$3000,MATCH($A2533,EXTRATO!$A$2:$A$3000,0))))</f>
        <v/>
      </c>
      <c r="C2533" s="86" t="str">
        <f t="shared" si="66"/>
        <v/>
      </c>
      <c r="D2533" s="81"/>
      <c r="E2533" s="79"/>
      <c r="F2533" s="80" t="str">
        <f>IF(A2533="","",SUMIF(EXTRATO!$A$2:$A$3000,$A2533,EXTRATO!$J$2:$J$3000)+SUMIF(EXTRATO!$A$2:$A$3000,$A2533,EXTRATO!$K$2:$K$3000)+SUMIF(EXTRATO!$A$2:$A$3000,$A2533,EXTRATO!$L$2:$L$3000)+SUMIF(EXTRATO!$A$2:$A$3000,$A2533,EXTRATO!$M$2:$M$3000))</f>
        <v/>
      </c>
      <c r="G2533" s="81" t="str">
        <f>IF(A2533="","",IF(INDEX(EXTRATO!$G$2:$G$3000,MATCH($A2533,EXTRATO!$A$2:$A$3000,0))="","",INDEX(EXTRATO!$G$2:$G$3000,MATCH($A2533,EXTRATO!$A$2:$A$3000,0))))</f>
        <v/>
      </c>
      <c r="H2533" s="86" t="str">
        <f>IF(A2533="","",IF(INDEX(EXTRATO!$F$2:$F$3000,MATCH($A2533,EXTRATO!$A$2:$A$3000,0))="","",INDEX(EXTRATO!$F$2:$F$3000,MATCH($A2533,EXTRATO!$A$2:$A$3000,0))))</f>
        <v/>
      </c>
      <c r="I2533" s="88" t="str">
        <f>IF(A2533="","",IF(INDEX(EXTRATO!$H$2:$H$3000,MATCH($A2533,EXTRATO!$A$2:$A$3000,0))="","",INDEX(EXTRATO!$H$2:$H$3000,MATCH($A2533,EXTRATO!$A$2:$A$3000,0))))</f>
        <v/>
      </c>
      <c r="J2533" s="86" t="str">
        <f t="shared" si="65"/>
        <v/>
      </c>
      <c r="K2533" s="86" t="str">
        <f>IF(AND(A2533="",D2533="",E2533="",F2533=""),"",IF(D2533="","SEM CATEGORIA",IF(E2533="","SEM SUBCATEGORIA",IF(COUNTIFS(CADASTROS!$L$7:$L$93,D2533,CADASTROS!$D$7:$D$93,E2533)=0,"INCOMPATÍVEL","OK"))))</f>
        <v/>
      </c>
    </row>
    <row r="2534" spans="1:11" ht="30" hidden="1" customHeight="1" x14ac:dyDescent="0.25">
      <c r="A2534" s="86" t="str">
        <f>IF(COUNTIF(EXTRATO!$A$2:$A$3000,"BAN-02391")=0,"","BAN-02391")</f>
        <v/>
      </c>
      <c r="B2534" s="85" t="str">
        <f>IF(A2534="","",IF(INDEX(EXTRATO!$C$2:$C$3000,MATCH($A2534,EXTRATO!$A$2:$A$3000,0))="","",INDEX(EXTRATO!$C$2:$C$3000,MATCH($A2534,EXTRATO!$A$2:$A$3000,0))))</f>
        <v/>
      </c>
      <c r="C2534" s="86" t="str">
        <f t="shared" si="66"/>
        <v/>
      </c>
      <c r="D2534" s="81"/>
      <c r="E2534" s="79"/>
      <c r="F2534" s="80" t="str">
        <f>IF(A2534="","",SUMIF(EXTRATO!$A$2:$A$3000,$A2534,EXTRATO!$J$2:$J$3000)+SUMIF(EXTRATO!$A$2:$A$3000,$A2534,EXTRATO!$K$2:$K$3000)+SUMIF(EXTRATO!$A$2:$A$3000,$A2534,EXTRATO!$L$2:$L$3000)+SUMIF(EXTRATO!$A$2:$A$3000,$A2534,EXTRATO!$M$2:$M$3000))</f>
        <v/>
      </c>
      <c r="G2534" s="81" t="str">
        <f>IF(A2534="","",IF(INDEX(EXTRATO!$G$2:$G$3000,MATCH($A2534,EXTRATO!$A$2:$A$3000,0))="","",INDEX(EXTRATO!$G$2:$G$3000,MATCH($A2534,EXTRATO!$A$2:$A$3000,0))))</f>
        <v/>
      </c>
      <c r="H2534" s="86" t="str">
        <f>IF(A2534="","",IF(INDEX(EXTRATO!$F$2:$F$3000,MATCH($A2534,EXTRATO!$A$2:$A$3000,0))="","",INDEX(EXTRATO!$F$2:$F$3000,MATCH($A2534,EXTRATO!$A$2:$A$3000,0))))</f>
        <v/>
      </c>
      <c r="I2534" s="88" t="str">
        <f>IF(A2534="","",IF(INDEX(EXTRATO!$H$2:$H$3000,MATCH($A2534,EXTRATO!$A$2:$A$3000,0))="","",INDEX(EXTRATO!$H$2:$H$3000,MATCH($A2534,EXTRATO!$A$2:$A$3000,0))))</f>
        <v/>
      </c>
      <c r="J2534" s="86" t="str">
        <f t="shared" si="65"/>
        <v/>
      </c>
      <c r="K2534" s="86" t="str">
        <f>IF(AND(A2534="",D2534="",E2534="",F2534=""),"",IF(D2534="","SEM CATEGORIA",IF(E2534="","SEM SUBCATEGORIA",IF(COUNTIFS(CADASTROS!$L$7:$L$93,D2534,CADASTROS!$D$7:$D$93,E2534)=0,"INCOMPATÍVEL","OK"))))</f>
        <v/>
      </c>
    </row>
    <row r="2535" spans="1:11" ht="30" hidden="1" customHeight="1" x14ac:dyDescent="0.25">
      <c r="A2535" s="86" t="str">
        <f>IF(COUNTIF(EXTRATO!$A$2:$A$3000,"BAN-02392")=0,"","BAN-02392")</f>
        <v/>
      </c>
      <c r="B2535" s="85" t="str">
        <f>IF(A2535="","",IF(INDEX(EXTRATO!$C$2:$C$3000,MATCH($A2535,EXTRATO!$A$2:$A$3000,0))="","",INDEX(EXTRATO!$C$2:$C$3000,MATCH($A2535,EXTRATO!$A$2:$A$3000,0))))</f>
        <v/>
      </c>
      <c r="C2535" s="86" t="str">
        <f t="shared" si="66"/>
        <v/>
      </c>
      <c r="D2535" s="81"/>
      <c r="E2535" s="79"/>
      <c r="F2535" s="80" t="str">
        <f>IF(A2535="","",SUMIF(EXTRATO!$A$2:$A$3000,$A2535,EXTRATO!$J$2:$J$3000)+SUMIF(EXTRATO!$A$2:$A$3000,$A2535,EXTRATO!$K$2:$K$3000)+SUMIF(EXTRATO!$A$2:$A$3000,$A2535,EXTRATO!$L$2:$L$3000)+SUMIF(EXTRATO!$A$2:$A$3000,$A2535,EXTRATO!$M$2:$M$3000))</f>
        <v/>
      </c>
      <c r="G2535" s="81" t="str">
        <f>IF(A2535="","",IF(INDEX(EXTRATO!$G$2:$G$3000,MATCH($A2535,EXTRATO!$A$2:$A$3000,0))="","",INDEX(EXTRATO!$G$2:$G$3000,MATCH($A2535,EXTRATO!$A$2:$A$3000,0))))</f>
        <v/>
      </c>
      <c r="H2535" s="86" t="str">
        <f>IF(A2535="","",IF(INDEX(EXTRATO!$F$2:$F$3000,MATCH($A2535,EXTRATO!$A$2:$A$3000,0))="","",INDEX(EXTRATO!$F$2:$F$3000,MATCH($A2535,EXTRATO!$A$2:$A$3000,0))))</f>
        <v/>
      </c>
      <c r="I2535" s="88" t="str">
        <f>IF(A2535="","",IF(INDEX(EXTRATO!$H$2:$H$3000,MATCH($A2535,EXTRATO!$A$2:$A$3000,0))="","",INDEX(EXTRATO!$H$2:$H$3000,MATCH($A2535,EXTRATO!$A$2:$A$3000,0))))</f>
        <v/>
      </c>
      <c r="J2535" s="86" t="str">
        <f t="shared" si="65"/>
        <v/>
      </c>
      <c r="K2535" s="86" t="str">
        <f>IF(AND(A2535="",D2535="",E2535="",F2535=""),"",IF(D2535="","SEM CATEGORIA",IF(E2535="","SEM SUBCATEGORIA",IF(COUNTIFS(CADASTROS!$L$7:$L$93,D2535,CADASTROS!$D$7:$D$93,E2535)=0,"INCOMPATÍVEL","OK"))))</f>
        <v/>
      </c>
    </row>
    <row r="2536" spans="1:11" ht="30" hidden="1" customHeight="1" x14ac:dyDescent="0.25">
      <c r="A2536" s="86" t="str">
        <f>IF(COUNTIF(EXTRATO!$A$2:$A$3000,"BAN-02393")=0,"","BAN-02393")</f>
        <v/>
      </c>
      <c r="B2536" s="85" t="str">
        <f>IF(A2536="","",IF(INDEX(EXTRATO!$C$2:$C$3000,MATCH($A2536,EXTRATO!$A$2:$A$3000,0))="","",INDEX(EXTRATO!$C$2:$C$3000,MATCH($A2536,EXTRATO!$A$2:$A$3000,0))))</f>
        <v/>
      </c>
      <c r="C2536" s="86" t="str">
        <f t="shared" si="66"/>
        <v/>
      </c>
      <c r="D2536" s="81"/>
      <c r="E2536" s="79"/>
      <c r="F2536" s="80" t="str">
        <f>IF(A2536="","",SUMIF(EXTRATO!$A$2:$A$3000,$A2536,EXTRATO!$J$2:$J$3000)+SUMIF(EXTRATO!$A$2:$A$3000,$A2536,EXTRATO!$K$2:$K$3000)+SUMIF(EXTRATO!$A$2:$A$3000,$A2536,EXTRATO!$L$2:$L$3000)+SUMIF(EXTRATO!$A$2:$A$3000,$A2536,EXTRATO!$M$2:$M$3000))</f>
        <v/>
      </c>
      <c r="G2536" s="81" t="str">
        <f>IF(A2536="","",IF(INDEX(EXTRATO!$G$2:$G$3000,MATCH($A2536,EXTRATO!$A$2:$A$3000,0))="","",INDEX(EXTRATO!$G$2:$G$3000,MATCH($A2536,EXTRATO!$A$2:$A$3000,0))))</f>
        <v/>
      </c>
      <c r="H2536" s="86" t="str">
        <f>IF(A2536="","",IF(INDEX(EXTRATO!$F$2:$F$3000,MATCH($A2536,EXTRATO!$A$2:$A$3000,0))="","",INDEX(EXTRATO!$F$2:$F$3000,MATCH($A2536,EXTRATO!$A$2:$A$3000,0))))</f>
        <v/>
      </c>
      <c r="I2536" s="88" t="str">
        <f>IF(A2536="","",IF(INDEX(EXTRATO!$H$2:$H$3000,MATCH($A2536,EXTRATO!$A$2:$A$3000,0))="","",INDEX(EXTRATO!$H$2:$H$3000,MATCH($A2536,EXTRATO!$A$2:$A$3000,0))))</f>
        <v/>
      </c>
      <c r="J2536" s="86" t="str">
        <f t="shared" si="65"/>
        <v/>
      </c>
      <c r="K2536" s="86" t="str">
        <f>IF(AND(A2536="",D2536="",E2536="",F2536=""),"",IF(D2536="","SEM CATEGORIA",IF(E2536="","SEM SUBCATEGORIA",IF(COUNTIFS(CADASTROS!$L$7:$L$93,D2536,CADASTROS!$D$7:$D$93,E2536)=0,"INCOMPATÍVEL","OK"))))</f>
        <v/>
      </c>
    </row>
    <row r="2537" spans="1:11" ht="30" hidden="1" customHeight="1" x14ac:dyDescent="0.25">
      <c r="A2537" s="86" t="str">
        <f>IF(COUNTIF(EXTRATO!$A$2:$A$3000,"BAN-02394")=0,"","BAN-02394")</f>
        <v/>
      </c>
      <c r="B2537" s="85" t="str">
        <f>IF(A2537="","",IF(INDEX(EXTRATO!$C$2:$C$3000,MATCH($A2537,EXTRATO!$A$2:$A$3000,0))="","",INDEX(EXTRATO!$C$2:$C$3000,MATCH($A2537,EXTRATO!$A$2:$A$3000,0))))</f>
        <v/>
      </c>
      <c r="C2537" s="86" t="str">
        <f t="shared" si="66"/>
        <v/>
      </c>
      <c r="D2537" s="81"/>
      <c r="E2537" s="79"/>
      <c r="F2537" s="80" t="str">
        <f>IF(A2537="","",SUMIF(EXTRATO!$A$2:$A$3000,$A2537,EXTRATO!$J$2:$J$3000)+SUMIF(EXTRATO!$A$2:$A$3000,$A2537,EXTRATO!$K$2:$K$3000)+SUMIF(EXTRATO!$A$2:$A$3000,$A2537,EXTRATO!$L$2:$L$3000)+SUMIF(EXTRATO!$A$2:$A$3000,$A2537,EXTRATO!$M$2:$M$3000))</f>
        <v/>
      </c>
      <c r="G2537" s="81" t="str">
        <f>IF(A2537="","",IF(INDEX(EXTRATO!$G$2:$G$3000,MATCH($A2537,EXTRATO!$A$2:$A$3000,0))="","",INDEX(EXTRATO!$G$2:$G$3000,MATCH($A2537,EXTRATO!$A$2:$A$3000,0))))</f>
        <v/>
      </c>
      <c r="H2537" s="86" t="str">
        <f>IF(A2537="","",IF(INDEX(EXTRATO!$F$2:$F$3000,MATCH($A2537,EXTRATO!$A$2:$A$3000,0))="","",INDEX(EXTRATO!$F$2:$F$3000,MATCH($A2537,EXTRATO!$A$2:$A$3000,0))))</f>
        <v/>
      </c>
      <c r="I2537" s="88" t="str">
        <f>IF(A2537="","",IF(INDEX(EXTRATO!$H$2:$H$3000,MATCH($A2537,EXTRATO!$A$2:$A$3000,0))="","",INDEX(EXTRATO!$H$2:$H$3000,MATCH($A2537,EXTRATO!$A$2:$A$3000,0))))</f>
        <v/>
      </c>
      <c r="J2537" s="86" t="str">
        <f t="shared" si="65"/>
        <v/>
      </c>
      <c r="K2537" s="86" t="str">
        <f>IF(AND(A2537="",D2537="",E2537="",F2537=""),"",IF(D2537="","SEM CATEGORIA",IF(E2537="","SEM SUBCATEGORIA",IF(COUNTIFS(CADASTROS!$L$7:$L$93,D2537,CADASTROS!$D$7:$D$93,E2537)=0,"INCOMPATÍVEL","OK"))))</f>
        <v/>
      </c>
    </row>
    <row r="2538" spans="1:11" ht="30" hidden="1" customHeight="1" x14ac:dyDescent="0.25">
      <c r="A2538" s="86" t="str">
        <f>IF(COUNTIF(EXTRATO!$A$2:$A$3000,"BAN-02395")=0,"","BAN-02395")</f>
        <v/>
      </c>
      <c r="B2538" s="85" t="str">
        <f>IF(A2538="","",IF(INDEX(EXTRATO!$C$2:$C$3000,MATCH($A2538,EXTRATO!$A$2:$A$3000,0))="","",INDEX(EXTRATO!$C$2:$C$3000,MATCH($A2538,EXTRATO!$A$2:$A$3000,0))))</f>
        <v/>
      </c>
      <c r="C2538" s="86" t="str">
        <f t="shared" si="66"/>
        <v/>
      </c>
      <c r="D2538" s="81"/>
      <c r="E2538" s="79"/>
      <c r="F2538" s="80" t="str">
        <f>IF(A2538="","",SUMIF(EXTRATO!$A$2:$A$3000,$A2538,EXTRATO!$J$2:$J$3000)+SUMIF(EXTRATO!$A$2:$A$3000,$A2538,EXTRATO!$K$2:$K$3000)+SUMIF(EXTRATO!$A$2:$A$3000,$A2538,EXTRATO!$L$2:$L$3000)+SUMIF(EXTRATO!$A$2:$A$3000,$A2538,EXTRATO!$M$2:$M$3000))</f>
        <v/>
      </c>
      <c r="G2538" s="81" t="str">
        <f>IF(A2538="","",IF(INDEX(EXTRATO!$G$2:$G$3000,MATCH($A2538,EXTRATO!$A$2:$A$3000,0))="","",INDEX(EXTRATO!$G$2:$G$3000,MATCH($A2538,EXTRATO!$A$2:$A$3000,0))))</f>
        <v/>
      </c>
      <c r="H2538" s="86" t="str">
        <f>IF(A2538="","",IF(INDEX(EXTRATO!$F$2:$F$3000,MATCH($A2538,EXTRATO!$A$2:$A$3000,0))="","",INDEX(EXTRATO!$F$2:$F$3000,MATCH($A2538,EXTRATO!$A$2:$A$3000,0))))</f>
        <v/>
      </c>
      <c r="I2538" s="88" t="str">
        <f>IF(A2538="","",IF(INDEX(EXTRATO!$H$2:$H$3000,MATCH($A2538,EXTRATO!$A$2:$A$3000,0))="","",INDEX(EXTRATO!$H$2:$H$3000,MATCH($A2538,EXTRATO!$A$2:$A$3000,0))))</f>
        <v/>
      </c>
      <c r="J2538" s="86" t="str">
        <f t="shared" si="65"/>
        <v/>
      </c>
      <c r="K2538" s="86" t="str">
        <f>IF(AND(A2538="",D2538="",E2538="",F2538=""),"",IF(D2538="","SEM CATEGORIA",IF(E2538="","SEM SUBCATEGORIA",IF(COUNTIFS(CADASTROS!$L$7:$L$93,D2538,CADASTROS!$D$7:$D$93,E2538)=0,"INCOMPATÍVEL","OK"))))</f>
        <v/>
      </c>
    </row>
    <row r="2539" spans="1:11" ht="30" hidden="1" customHeight="1" x14ac:dyDescent="0.25">
      <c r="A2539" s="86" t="str">
        <f>IF(COUNTIF(EXTRATO!$A$2:$A$3000,"BAN-02396")=0,"","BAN-02396")</f>
        <v/>
      </c>
      <c r="B2539" s="85" t="str">
        <f>IF(A2539="","",IF(INDEX(EXTRATO!$C$2:$C$3000,MATCH($A2539,EXTRATO!$A$2:$A$3000,0))="","",INDEX(EXTRATO!$C$2:$C$3000,MATCH($A2539,EXTRATO!$A$2:$A$3000,0))))</f>
        <v/>
      </c>
      <c r="C2539" s="86" t="str">
        <f t="shared" si="66"/>
        <v/>
      </c>
      <c r="D2539" s="81"/>
      <c r="E2539" s="79"/>
      <c r="F2539" s="80" t="str">
        <f>IF(A2539="","",SUMIF(EXTRATO!$A$2:$A$3000,$A2539,EXTRATO!$J$2:$J$3000)+SUMIF(EXTRATO!$A$2:$A$3000,$A2539,EXTRATO!$K$2:$K$3000)+SUMIF(EXTRATO!$A$2:$A$3000,$A2539,EXTRATO!$L$2:$L$3000)+SUMIF(EXTRATO!$A$2:$A$3000,$A2539,EXTRATO!$M$2:$M$3000))</f>
        <v/>
      </c>
      <c r="G2539" s="81" t="str">
        <f>IF(A2539="","",IF(INDEX(EXTRATO!$G$2:$G$3000,MATCH($A2539,EXTRATO!$A$2:$A$3000,0))="","",INDEX(EXTRATO!$G$2:$G$3000,MATCH($A2539,EXTRATO!$A$2:$A$3000,0))))</f>
        <v/>
      </c>
      <c r="H2539" s="86" t="str">
        <f>IF(A2539="","",IF(INDEX(EXTRATO!$F$2:$F$3000,MATCH($A2539,EXTRATO!$A$2:$A$3000,0))="","",INDEX(EXTRATO!$F$2:$F$3000,MATCH($A2539,EXTRATO!$A$2:$A$3000,0))))</f>
        <v/>
      </c>
      <c r="I2539" s="88" t="str">
        <f>IF(A2539="","",IF(INDEX(EXTRATO!$H$2:$H$3000,MATCH($A2539,EXTRATO!$A$2:$A$3000,0))="","",INDEX(EXTRATO!$H$2:$H$3000,MATCH($A2539,EXTRATO!$A$2:$A$3000,0))))</f>
        <v/>
      </c>
      <c r="J2539" s="86" t="str">
        <f t="shared" si="65"/>
        <v/>
      </c>
      <c r="K2539" s="86" t="str">
        <f>IF(AND(A2539="",D2539="",E2539="",F2539=""),"",IF(D2539="","SEM CATEGORIA",IF(E2539="","SEM SUBCATEGORIA",IF(COUNTIFS(CADASTROS!$L$7:$L$93,D2539,CADASTROS!$D$7:$D$93,E2539)=0,"INCOMPATÍVEL","OK"))))</f>
        <v/>
      </c>
    </row>
    <row r="2540" spans="1:11" ht="30" hidden="1" customHeight="1" x14ac:dyDescent="0.25">
      <c r="A2540" s="86" t="str">
        <f>IF(COUNTIF(EXTRATO!$A$2:$A$3000,"BAN-02397")=0,"","BAN-02397")</f>
        <v/>
      </c>
      <c r="B2540" s="85" t="str">
        <f>IF(A2540="","",IF(INDEX(EXTRATO!$C$2:$C$3000,MATCH($A2540,EXTRATO!$A$2:$A$3000,0))="","",INDEX(EXTRATO!$C$2:$C$3000,MATCH($A2540,EXTRATO!$A$2:$A$3000,0))))</f>
        <v/>
      </c>
      <c r="C2540" s="86" t="str">
        <f t="shared" si="66"/>
        <v/>
      </c>
      <c r="D2540" s="81"/>
      <c r="E2540" s="79"/>
      <c r="F2540" s="80" t="str">
        <f>IF(A2540="","",SUMIF(EXTRATO!$A$2:$A$3000,$A2540,EXTRATO!$J$2:$J$3000)+SUMIF(EXTRATO!$A$2:$A$3000,$A2540,EXTRATO!$K$2:$K$3000)+SUMIF(EXTRATO!$A$2:$A$3000,$A2540,EXTRATO!$L$2:$L$3000)+SUMIF(EXTRATO!$A$2:$A$3000,$A2540,EXTRATO!$M$2:$M$3000))</f>
        <v/>
      </c>
      <c r="G2540" s="81" t="str">
        <f>IF(A2540="","",IF(INDEX(EXTRATO!$G$2:$G$3000,MATCH($A2540,EXTRATO!$A$2:$A$3000,0))="","",INDEX(EXTRATO!$G$2:$G$3000,MATCH($A2540,EXTRATO!$A$2:$A$3000,0))))</f>
        <v/>
      </c>
      <c r="H2540" s="86" t="str">
        <f>IF(A2540="","",IF(INDEX(EXTRATO!$F$2:$F$3000,MATCH($A2540,EXTRATO!$A$2:$A$3000,0))="","",INDEX(EXTRATO!$F$2:$F$3000,MATCH($A2540,EXTRATO!$A$2:$A$3000,0))))</f>
        <v/>
      </c>
      <c r="I2540" s="88" t="str">
        <f>IF(A2540="","",IF(INDEX(EXTRATO!$H$2:$H$3000,MATCH($A2540,EXTRATO!$A$2:$A$3000,0))="","",INDEX(EXTRATO!$H$2:$H$3000,MATCH($A2540,EXTRATO!$A$2:$A$3000,0))))</f>
        <v/>
      </c>
      <c r="J2540" s="86" t="str">
        <f t="shared" ref="J2540:J2603" si="67">IF(A2540="","",IF(K2540="OK","MANUAL","PENDENTE"))</f>
        <v/>
      </c>
      <c r="K2540" s="86" t="str">
        <f>IF(AND(A2540="",D2540="",E2540="",F2540=""),"",IF(D2540="","SEM CATEGORIA",IF(E2540="","SEM SUBCATEGORIA",IF(COUNTIFS(CADASTROS!$L$7:$L$93,D2540,CADASTROS!$D$7:$D$93,E2540)=0,"INCOMPATÍVEL","OK"))))</f>
        <v/>
      </c>
    </row>
    <row r="2541" spans="1:11" ht="30" hidden="1" customHeight="1" x14ac:dyDescent="0.25">
      <c r="A2541" s="86" t="str">
        <f>IF(COUNTIF(EXTRATO!$A$2:$A$3000,"BAN-02398")=0,"","BAN-02398")</f>
        <v/>
      </c>
      <c r="B2541" s="85" t="str">
        <f>IF(A2541="","",IF(INDEX(EXTRATO!$C$2:$C$3000,MATCH($A2541,EXTRATO!$A$2:$A$3000,0))="","",INDEX(EXTRATO!$C$2:$C$3000,MATCH($A2541,EXTRATO!$A$2:$A$3000,0))))</f>
        <v/>
      </c>
      <c r="C2541" s="86" t="str">
        <f t="shared" si="66"/>
        <v/>
      </c>
      <c r="D2541" s="81"/>
      <c r="E2541" s="79"/>
      <c r="F2541" s="80" t="str">
        <f>IF(A2541="","",SUMIF(EXTRATO!$A$2:$A$3000,$A2541,EXTRATO!$J$2:$J$3000)+SUMIF(EXTRATO!$A$2:$A$3000,$A2541,EXTRATO!$K$2:$K$3000)+SUMIF(EXTRATO!$A$2:$A$3000,$A2541,EXTRATO!$L$2:$L$3000)+SUMIF(EXTRATO!$A$2:$A$3000,$A2541,EXTRATO!$M$2:$M$3000))</f>
        <v/>
      </c>
      <c r="G2541" s="81" t="str">
        <f>IF(A2541="","",IF(INDEX(EXTRATO!$G$2:$G$3000,MATCH($A2541,EXTRATO!$A$2:$A$3000,0))="","",INDEX(EXTRATO!$G$2:$G$3000,MATCH($A2541,EXTRATO!$A$2:$A$3000,0))))</f>
        <v/>
      </c>
      <c r="H2541" s="86" t="str">
        <f>IF(A2541="","",IF(INDEX(EXTRATO!$F$2:$F$3000,MATCH($A2541,EXTRATO!$A$2:$A$3000,0))="","",INDEX(EXTRATO!$F$2:$F$3000,MATCH($A2541,EXTRATO!$A$2:$A$3000,0))))</f>
        <v/>
      </c>
      <c r="I2541" s="88" t="str">
        <f>IF(A2541="","",IF(INDEX(EXTRATO!$H$2:$H$3000,MATCH($A2541,EXTRATO!$A$2:$A$3000,0))="","",INDEX(EXTRATO!$H$2:$H$3000,MATCH($A2541,EXTRATO!$A$2:$A$3000,0))))</f>
        <v/>
      </c>
      <c r="J2541" s="86" t="str">
        <f t="shared" si="67"/>
        <v/>
      </c>
      <c r="K2541" s="86" t="str">
        <f>IF(AND(A2541="",D2541="",E2541="",F2541=""),"",IF(D2541="","SEM CATEGORIA",IF(E2541="","SEM SUBCATEGORIA",IF(COUNTIFS(CADASTROS!$L$7:$L$93,D2541,CADASTROS!$D$7:$D$93,E2541)=0,"INCOMPATÍVEL","OK"))))</f>
        <v/>
      </c>
    </row>
    <row r="2542" spans="1:11" ht="30" hidden="1" customHeight="1" x14ac:dyDescent="0.25">
      <c r="A2542" s="86" t="str">
        <f>IF(COUNTIF(EXTRATO!$A$2:$A$3000,"BAN-02399")=0,"","BAN-02399")</f>
        <v/>
      </c>
      <c r="B2542" s="85" t="str">
        <f>IF(A2542="","",IF(INDEX(EXTRATO!$C$2:$C$3000,MATCH($A2542,EXTRATO!$A$2:$A$3000,0))="","",INDEX(EXTRATO!$C$2:$C$3000,MATCH($A2542,EXTRATO!$A$2:$A$3000,0))))</f>
        <v/>
      </c>
      <c r="C2542" s="86" t="str">
        <f t="shared" si="66"/>
        <v/>
      </c>
      <c r="D2542" s="81"/>
      <c r="E2542" s="79"/>
      <c r="F2542" s="80" t="str">
        <f>IF(A2542="","",SUMIF(EXTRATO!$A$2:$A$3000,$A2542,EXTRATO!$J$2:$J$3000)+SUMIF(EXTRATO!$A$2:$A$3000,$A2542,EXTRATO!$K$2:$K$3000)+SUMIF(EXTRATO!$A$2:$A$3000,$A2542,EXTRATO!$L$2:$L$3000)+SUMIF(EXTRATO!$A$2:$A$3000,$A2542,EXTRATO!$M$2:$M$3000))</f>
        <v/>
      </c>
      <c r="G2542" s="81" t="str">
        <f>IF(A2542="","",IF(INDEX(EXTRATO!$G$2:$G$3000,MATCH($A2542,EXTRATO!$A$2:$A$3000,0))="","",INDEX(EXTRATO!$G$2:$G$3000,MATCH($A2542,EXTRATO!$A$2:$A$3000,0))))</f>
        <v/>
      </c>
      <c r="H2542" s="86" t="str">
        <f>IF(A2542="","",IF(INDEX(EXTRATO!$F$2:$F$3000,MATCH($A2542,EXTRATO!$A$2:$A$3000,0))="","",INDEX(EXTRATO!$F$2:$F$3000,MATCH($A2542,EXTRATO!$A$2:$A$3000,0))))</f>
        <v/>
      </c>
      <c r="I2542" s="88" t="str">
        <f>IF(A2542="","",IF(INDEX(EXTRATO!$H$2:$H$3000,MATCH($A2542,EXTRATO!$A$2:$A$3000,0))="","",INDEX(EXTRATO!$H$2:$H$3000,MATCH($A2542,EXTRATO!$A$2:$A$3000,0))))</f>
        <v/>
      </c>
      <c r="J2542" s="86" t="str">
        <f t="shared" si="67"/>
        <v/>
      </c>
      <c r="K2542" s="86" t="str">
        <f>IF(AND(A2542="",D2542="",E2542="",F2542=""),"",IF(D2542="","SEM CATEGORIA",IF(E2542="","SEM SUBCATEGORIA",IF(COUNTIFS(CADASTROS!$L$7:$L$93,D2542,CADASTROS!$D$7:$D$93,E2542)=0,"INCOMPATÍVEL","OK"))))</f>
        <v/>
      </c>
    </row>
    <row r="2543" spans="1:11" ht="30" hidden="1" customHeight="1" x14ac:dyDescent="0.25">
      <c r="A2543" s="86" t="str">
        <f>IF(COUNTIF(EXTRATO!$A$2:$A$3000,"BAN-02400")=0,"","BAN-02400")</f>
        <v/>
      </c>
      <c r="B2543" s="85" t="str">
        <f>IF(A2543="","",IF(INDEX(EXTRATO!$C$2:$C$3000,MATCH($A2543,EXTRATO!$A$2:$A$3000,0))="","",INDEX(EXTRATO!$C$2:$C$3000,MATCH($A2543,EXTRATO!$A$2:$A$3000,0))))</f>
        <v/>
      </c>
      <c r="C2543" s="86" t="str">
        <f t="shared" si="66"/>
        <v/>
      </c>
      <c r="D2543" s="81"/>
      <c r="E2543" s="79"/>
      <c r="F2543" s="80" t="str">
        <f>IF(A2543="","",SUMIF(EXTRATO!$A$2:$A$3000,$A2543,EXTRATO!$J$2:$J$3000)+SUMIF(EXTRATO!$A$2:$A$3000,$A2543,EXTRATO!$K$2:$K$3000)+SUMIF(EXTRATO!$A$2:$A$3000,$A2543,EXTRATO!$L$2:$L$3000)+SUMIF(EXTRATO!$A$2:$A$3000,$A2543,EXTRATO!$M$2:$M$3000))</f>
        <v/>
      </c>
      <c r="G2543" s="81" t="str">
        <f>IF(A2543="","",IF(INDEX(EXTRATO!$G$2:$G$3000,MATCH($A2543,EXTRATO!$A$2:$A$3000,0))="","",INDEX(EXTRATO!$G$2:$G$3000,MATCH($A2543,EXTRATO!$A$2:$A$3000,0))))</f>
        <v/>
      </c>
      <c r="H2543" s="86" t="str">
        <f>IF(A2543="","",IF(INDEX(EXTRATO!$F$2:$F$3000,MATCH($A2543,EXTRATO!$A$2:$A$3000,0))="","",INDEX(EXTRATO!$F$2:$F$3000,MATCH($A2543,EXTRATO!$A$2:$A$3000,0))))</f>
        <v/>
      </c>
      <c r="I2543" s="88" t="str">
        <f>IF(A2543="","",IF(INDEX(EXTRATO!$H$2:$H$3000,MATCH($A2543,EXTRATO!$A$2:$A$3000,0))="","",INDEX(EXTRATO!$H$2:$H$3000,MATCH($A2543,EXTRATO!$A$2:$A$3000,0))))</f>
        <v/>
      </c>
      <c r="J2543" s="86" t="str">
        <f t="shared" si="67"/>
        <v/>
      </c>
      <c r="K2543" s="86" t="str">
        <f>IF(AND(A2543="",D2543="",E2543="",F2543=""),"",IF(D2543="","SEM CATEGORIA",IF(E2543="","SEM SUBCATEGORIA",IF(COUNTIFS(CADASTROS!$L$7:$L$93,D2543,CADASTROS!$D$7:$D$93,E2543)=0,"INCOMPATÍVEL","OK"))))</f>
        <v/>
      </c>
    </row>
    <row r="2544" spans="1:11" ht="30" hidden="1" customHeight="1" x14ac:dyDescent="0.25">
      <c r="A2544" s="86" t="str">
        <f>IF(COUNTIF(EXTRATO!$A$2:$A$3000,"BAN-02401")=0,"","BAN-02401")</f>
        <v/>
      </c>
      <c r="B2544" s="85" t="str">
        <f>IF(A2544="","",IF(INDEX(EXTRATO!$C$2:$C$3000,MATCH($A2544,EXTRATO!$A$2:$A$3000,0))="","",INDEX(EXTRATO!$C$2:$C$3000,MATCH($A2544,EXTRATO!$A$2:$A$3000,0))))</f>
        <v/>
      </c>
      <c r="C2544" s="86" t="str">
        <f t="shared" si="66"/>
        <v/>
      </c>
      <c r="D2544" s="81"/>
      <c r="E2544" s="79"/>
      <c r="F2544" s="80" t="str">
        <f>IF(A2544="","",SUMIF(EXTRATO!$A$2:$A$3000,$A2544,EXTRATO!$J$2:$J$3000)+SUMIF(EXTRATO!$A$2:$A$3000,$A2544,EXTRATO!$K$2:$K$3000)+SUMIF(EXTRATO!$A$2:$A$3000,$A2544,EXTRATO!$L$2:$L$3000)+SUMIF(EXTRATO!$A$2:$A$3000,$A2544,EXTRATO!$M$2:$M$3000))</f>
        <v/>
      </c>
      <c r="G2544" s="81" t="str">
        <f>IF(A2544="","",IF(INDEX(EXTRATO!$G$2:$G$3000,MATCH($A2544,EXTRATO!$A$2:$A$3000,0))="","",INDEX(EXTRATO!$G$2:$G$3000,MATCH($A2544,EXTRATO!$A$2:$A$3000,0))))</f>
        <v/>
      </c>
      <c r="H2544" s="86" t="str">
        <f>IF(A2544="","",IF(INDEX(EXTRATO!$F$2:$F$3000,MATCH($A2544,EXTRATO!$A$2:$A$3000,0))="","",INDEX(EXTRATO!$F$2:$F$3000,MATCH($A2544,EXTRATO!$A$2:$A$3000,0))))</f>
        <v/>
      </c>
      <c r="I2544" s="88" t="str">
        <f>IF(A2544="","",IF(INDEX(EXTRATO!$H$2:$H$3000,MATCH($A2544,EXTRATO!$A$2:$A$3000,0))="","",INDEX(EXTRATO!$H$2:$H$3000,MATCH($A2544,EXTRATO!$A$2:$A$3000,0))))</f>
        <v/>
      </c>
      <c r="J2544" s="86" t="str">
        <f t="shared" si="67"/>
        <v/>
      </c>
      <c r="K2544" s="86" t="str">
        <f>IF(AND(A2544="",D2544="",E2544="",F2544=""),"",IF(D2544="","SEM CATEGORIA",IF(E2544="","SEM SUBCATEGORIA",IF(COUNTIFS(CADASTROS!$L$7:$L$93,D2544,CADASTROS!$D$7:$D$93,E2544)=0,"INCOMPATÍVEL","OK"))))</f>
        <v/>
      </c>
    </row>
    <row r="2545" spans="1:11" ht="30" hidden="1" customHeight="1" x14ac:dyDescent="0.25">
      <c r="A2545" s="86" t="str">
        <f>IF(COUNTIF(EXTRATO!$A$2:$A$3000,"BAN-02402")=0,"","BAN-02402")</f>
        <v/>
      </c>
      <c r="B2545" s="85" t="str">
        <f>IF(A2545="","",IF(INDEX(EXTRATO!$C$2:$C$3000,MATCH($A2545,EXTRATO!$A$2:$A$3000,0))="","",INDEX(EXTRATO!$C$2:$C$3000,MATCH($A2545,EXTRATO!$A$2:$A$3000,0))))</f>
        <v/>
      </c>
      <c r="C2545" s="86" t="str">
        <f t="shared" si="66"/>
        <v/>
      </c>
      <c r="D2545" s="81"/>
      <c r="E2545" s="79"/>
      <c r="F2545" s="80" t="str">
        <f>IF(A2545="","",SUMIF(EXTRATO!$A$2:$A$3000,$A2545,EXTRATO!$J$2:$J$3000)+SUMIF(EXTRATO!$A$2:$A$3000,$A2545,EXTRATO!$K$2:$K$3000)+SUMIF(EXTRATO!$A$2:$A$3000,$A2545,EXTRATO!$L$2:$L$3000)+SUMIF(EXTRATO!$A$2:$A$3000,$A2545,EXTRATO!$M$2:$M$3000))</f>
        <v/>
      </c>
      <c r="G2545" s="81" t="str">
        <f>IF(A2545="","",IF(INDEX(EXTRATO!$G$2:$G$3000,MATCH($A2545,EXTRATO!$A$2:$A$3000,0))="","",INDEX(EXTRATO!$G$2:$G$3000,MATCH($A2545,EXTRATO!$A$2:$A$3000,0))))</f>
        <v/>
      </c>
      <c r="H2545" s="86" t="str">
        <f>IF(A2545="","",IF(INDEX(EXTRATO!$F$2:$F$3000,MATCH($A2545,EXTRATO!$A$2:$A$3000,0))="","",INDEX(EXTRATO!$F$2:$F$3000,MATCH($A2545,EXTRATO!$A$2:$A$3000,0))))</f>
        <v/>
      </c>
      <c r="I2545" s="88" t="str">
        <f>IF(A2545="","",IF(INDEX(EXTRATO!$H$2:$H$3000,MATCH($A2545,EXTRATO!$A$2:$A$3000,0))="","",INDEX(EXTRATO!$H$2:$H$3000,MATCH($A2545,EXTRATO!$A$2:$A$3000,0))))</f>
        <v/>
      </c>
      <c r="J2545" s="86" t="str">
        <f t="shared" si="67"/>
        <v/>
      </c>
      <c r="K2545" s="86" t="str">
        <f>IF(AND(A2545="",D2545="",E2545="",F2545=""),"",IF(D2545="","SEM CATEGORIA",IF(E2545="","SEM SUBCATEGORIA",IF(COUNTIFS(CADASTROS!$L$7:$L$93,D2545,CADASTROS!$D$7:$D$93,E2545)=0,"INCOMPATÍVEL","OK"))))</f>
        <v/>
      </c>
    </row>
    <row r="2546" spans="1:11" ht="30" hidden="1" customHeight="1" x14ac:dyDescent="0.25">
      <c r="A2546" s="86" t="str">
        <f>IF(COUNTIF(EXTRATO!$A$2:$A$3000,"BAN-02403")=0,"","BAN-02403")</f>
        <v/>
      </c>
      <c r="B2546" s="85" t="str">
        <f>IF(A2546="","",IF(INDEX(EXTRATO!$C$2:$C$3000,MATCH($A2546,EXTRATO!$A$2:$A$3000,0))="","",INDEX(EXTRATO!$C$2:$C$3000,MATCH($A2546,EXTRATO!$A$2:$A$3000,0))))</f>
        <v/>
      </c>
      <c r="C2546" s="86" t="str">
        <f t="shared" si="66"/>
        <v/>
      </c>
      <c r="D2546" s="81"/>
      <c r="E2546" s="79"/>
      <c r="F2546" s="80" t="str">
        <f>IF(A2546="","",SUMIF(EXTRATO!$A$2:$A$3000,$A2546,EXTRATO!$J$2:$J$3000)+SUMIF(EXTRATO!$A$2:$A$3000,$A2546,EXTRATO!$K$2:$K$3000)+SUMIF(EXTRATO!$A$2:$A$3000,$A2546,EXTRATO!$L$2:$L$3000)+SUMIF(EXTRATO!$A$2:$A$3000,$A2546,EXTRATO!$M$2:$M$3000))</f>
        <v/>
      </c>
      <c r="G2546" s="81" t="str">
        <f>IF(A2546="","",IF(INDEX(EXTRATO!$G$2:$G$3000,MATCH($A2546,EXTRATO!$A$2:$A$3000,0))="","",INDEX(EXTRATO!$G$2:$G$3000,MATCH($A2546,EXTRATO!$A$2:$A$3000,0))))</f>
        <v/>
      </c>
      <c r="H2546" s="86" t="str">
        <f>IF(A2546="","",IF(INDEX(EXTRATO!$F$2:$F$3000,MATCH($A2546,EXTRATO!$A$2:$A$3000,0))="","",INDEX(EXTRATO!$F$2:$F$3000,MATCH($A2546,EXTRATO!$A$2:$A$3000,0))))</f>
        <v/>
      </c>
      <c r="I2546" s="88" t="str">
        <f>IF(A2546="","",IF(INDEX(EXTRATO!$H$2:$H$3000,MATCH($A2546,EXTRATO!$A$2:$A$3000,0))="","",INDEX(EXTRATO!$H$2:$H$3000,MATCH($A2546,EXTRATO!$A$2:$A$3000,0))))</f>
        <v/>
      </c>
      <c r="J2546" s="86" t="str">
        <f t="shared" si="67"/>
        <v/>
      </c>
      <c r="K2546" s="86" t="str">
        <f>IF(AND(A2546="",D2546="",E2546="",F2546=""),"",IF(D2546="","SEM CATEGORIA",IF(E2546="","SEM SUBCATEGORIA",IF(COUNTIFS(CADASTROS!$L$7:$L$93,D2546,CADASTROS!$D$7:$D$93,E2546)=0,"INCOMPATÍVEL","OK"))))</f>
        <v/>
      </c>
    </row>
    <row r="2547" spans="1:11" ht="30" hidden="1" customHeight="1" x14ac:dyDescent="0.25">
      <c r="A2547" s="86" t="str">
        <f>IF(COUNTIF(EXTRATO!$A$2:$A$3000,"BAN-02404")=0,"","BAN-02404")</f>
        <v/>
      </c>
      <c r="B2547" s="85" t="str">
        <f>IF(A2547="","",IF(INDEX(EXTRATO!$C$2:$C$3000,MATCH($A2547,EXTRATO!$A$2:$A$3000,0))="","",INDEX(EXTRATO!$C$2:$C$3000,MATCH($A2547,EXTRATO!$A$2:$A$3000,0))))</f>
        <v/>
      </c>
      <c r="C2547" s="86" t="str">
        <f t="shared" si="66"/>
        <v/>
      </c>
      <c r="D2547" s="81"/>
      <c r="E2547" s="79"/>
      <c r="F2547" s="80" t="str">
        <f>IF(A2547="","",SUMIF(EXTRATO!$A$2:$A$3000,$A2547,EXTRATO!$J$2:$J$3000)+SUMIF(EXTRATO!$A$2:$A$3000,$A2547,EXTRATO!$K$2:$K$3000)+SUMIF(EXTRATO!$A$2:$A$3000,$A2547,EXTRATO!$L$2:$L$3000)+SUMIF(EXTRATO!$A$2:$A$3000,$A2547,EXTRATO!$M$2:$M$3000))</f>
        <v/>
      </c>
      <c r="G2547" s="81" t="str">
        <f>IF(A2547="","",IF(INDEX(EXTRATO!$G$2:$G$3000,MATCH($A2547,EXTRATO!$A$2:$A$3000,0))="","",INDEX(EXTRATO!$G$2:$G$3000,MATCH($A2547,EXTRATO!$A$2:$A$3000,0))))</f>
        <v/>
      </c>
      <c r="H2547" s="86" t="str">
        <f>IF(A2547="","",IF(INDEX(EXTRATO!$F$2:$F$3000,MATCH($A2547,EXTRATO!$A$2:$A$3000,0))="","",INDEX(EXTRATO!$F$2:$F$3000,MATCH($A2547,EXTRATO!$A$2:$A$3000,0))))</f>
        <v/>
      </c>
      <c r="I2547" s="88" t="str">
        <f>IF(A2547="","",IF(INDEX(EXTRATO!$H$2:$H$3000,MATCH($A2547,EXTRATO!$A$2:$A$3000,0))="","",INDEX(EXTRATO!$H$2:$H$3000,MATCH($A2547,EXTRATO!$A$2:$A$3000,0))))</f>
        <v/>
      </c>
      <c r="J2547" s="86" t="str">
        <f t="shared" si="67"/>
        <v/>
      </c>
      <c r="K2547" s="86" t="str">
        <f>IF(AND(A2547="",D2547="",E2547="",F2547=""),"",IF(D2547="","SEM CATEGORIA",IF(E2547="","SEM SUBCATEGORIA",IF(COUNTIFS(CADASTROS!$L$7:$L$93,D2547,CADASTROS!$D$7:$D$93,E2547)=0,"INCOMPATÍVEL","OK"))))</f>
        <v/>
      </c>
    </row>
    <row r="2548" spans="1:11" ht="30" hidden="1" customHeight="1" x14ac:dyDescent="0.25">
      <c r="A2548" s="86" t="str">
        <f>IF(COUNTIF(EXTRATO!$A$2:$A$3000,"BAN-02405")=0,"","BAN-02405")</f>
        <v/>
      </c>
      <c r="B2548" s="85" t="str">
        <f>IF(A2548="","",IF(INDEX(EXTRATO!$C$2:$C$3000,MATCH($A2548,EXTRATO!$A$2:$A$3000,0))="","",INDEX(EXTRATO!$C$2:$C$3000,MATCH($A2548,EXTRATO!$A$2:$A$3000,0))))</f>
        <v/>
      </c>
      <c r="C2548" s="86" t="str">
        <f t="shared" si="66"/>
        <v/>
      </c>
      <c r="D2548" s="81"/>
      <c r="E2548" s="79"/>
      <c r="F2548" s="80" t="str">
        <f>IF(A2548="","",SUMIF(EXTRATO!$A$2:$A$3000,$A2548,EXTRATO!$J$2:$J$3000)+SUMIF(EXTRATO!$A$2:$A$3000,$A2548,EXTRATO!$K$2:$K$3000)+SUMIF(EXTRATO!$A$2:$A$3000,$A2548,EXTRATO!$L$2:$L$3000)+SUMIF(EXTRATO!$A$2:$A$3000,$A2548,EXTRATO!$M$2:$M$3000))</f>
        <v/>
      </c>
      <c r="G2548" s="81" t="str">
        <f>IF(A2548="","",IF(INDEX(EXTRATO!$G$2:$G$3000,MATCH($A2548,EXTRATO!$A$2:$A$3000,0))="","",INDEX(EXTRATO!$G$2:$G$3000,MATCH($A2548,EXTRATO!$A$2:$A$3000,0))))</f>
        <v/>
      </c>
      <c r="H2548" s="86" t="str">
        <f>IF(A2548="","",IF(INDEX(EXTRATO!$F$2:$F$3000,MATCH($A2548,EXTRATO!$A$2:$A$3000,0))="","",INDEX(EXTRATO!$F$2:$F$3000,MATCH($A2548,EXTRATO!$A$2:$A$3000,0))))</f>
        <v/>
      </c>
      <c r="I2548" s="88" t="str">
        <f>IF(A2548="","",IF(INDEX(EXTRATO!$H$2:$H$3000,MATCH($A2548,EXTRATO!$A$2:$A$3000,0))="","",INDEX(EXTRATO!$H$2:$H$3000,MATCH($A2548,EXTRATO!$A$2:$A$3000,0))))</f>
        <v/>
      </c>
      <c r="J2548" s="86" t="str">
        <f t="shared" si="67"/>
        <v/>
      </c>
      <c r="K2548" s="86" t="str">
        <f>IF(AND(A2548="",D2548="",E2548="",F2548=""),"",IF(D2548="","SEM CATEGORIA",IF(E2548="","SEM SUBCATEGORIA",IF(COUNTIFS(CADASTROS!$L$7:$L$93,D2548,CADASTROS!$D$7:$D$93,E2548)=0,"INCOMPATÍVEL","OK"))))</f>
        <v/>
      </c>
    </row>
    <row r="2549" spans="1:11" ht="30" hidden="1" customHeight="1" x14ac:dyDescent="0.25">
      <c r="A2549" s="86" t="str">
        <f>IF(COUNTIF(EXTRATO!$A$2:$A$3000,"BAN-02406")=0,"","BAN-02406")</f>
        <v/>
      </c>
      <c r="B2549" s="85" t="str">
        <f>IF(A2549="","",IF(INDEX(EXTRATO!$C$2:$C$3000,MATCH($A2549,EXTRATO!$A$2:$A$3000,0))="","",INDEX(EXTRATO!$C$2:$C$3000,MATCH($A2549,EXTRATO!$A$2:$A$3000,0))))</f>
        <v/>
      </c>
      <c r="C2549" s="86" t="str">
        <f t="shared" si="66"/>
        <v/>
      </c>
      <c r="D2549" s="81"/>
      <c r="E2549" s="79"/>
      <c r="F2549" s="80" t="str">
        <f>IF(A2549="","",SUMIF(EXTRATO!$A$2:$A$3000,$A2549,EXTRATO!$J$2:$J$3000)+SUMIF(EXTRATO!$A$2:$A$3000,$A2549,EXTRATO!$K$2:$K$3000)+SUMIF(EXTRATO!$A$2:$A$3000,$A2549,EXTRATO!$L$2:$L$3000)+SUMIF(EXTRATO!$A$2:$A$3000,$A2549,EXTRATO!$M$2:$M$3000))</f>
        <v/>
      </c>
      <c r="G2549" s="81" t="str">
        <f>IF(A2549="","",IF(INDEX(EXTRATO!$G$2:$G$3000,MATCH($A2549,EXTRATO!$A$2:$A$3000,0))="","",INDEX(EXTRATO!$G$2:$G$3000,MATCH($A2549,EXTRATO!$A$2:$A$3000,0))))</f>
        <v/>
      </c>
      <c r="H2549" s="86" t="str">
        <f>IF(A2549="","",IF(INDEX(EXTRATO!$F$2:$F$3000,MATCH($A2549,EXTRATO!$A$2:$A$3000,0))="","",INDEX(EXTRATO!$F$2:$F$3000,MATCH($A2549,EXTRATO!$A$2:$A$3000,0))))</f>
        <v/>
      </c>
      <c r="I2549" s="88" t="str">
        <f>IF(A2549="","",IF(INDEX(EXTRATO!$H$2:$H$3000,MATCH($A2549,EXTRATO!$A$2:$A$3000,0))="","",INDEX(EXTRATO!$H$2:$H$3000,MATCH($A2549,EXTRATO!$A$2:$A$3000,0))))</f>
        <v/>
      </c>
      <c r="J2549" s="86" t="str">
        <f t="shared" si="67"/>
        <v/>
      </c>
      <c r="K2549" s="86" t="str">
        <f>IF(AND(A2549="",D2549="",E2549="",F2549=""),"",IF(D2549="","SEM CATEGORIA",IF(E2549="","SEM SUBCATEGORIA",IF(COUNTIFS(CADASTROS!$L$7:$L$93,D2549,CADASTROS!$D$7:$D$93,E2549)=0,"INCOMPATÍVEL","OK"))))</f>
        <v/>
      </c>
    </row>
    <row r="2550" spans="1:11" ht="30" hidden="1" customHeight="1" x14ac:dyDescent="0.25">
      <c r="A2550" s="86" t="str">
        <f>IF(COUNTIF(EXTRATO!$A$2:$A$3000,"BAN-02407")=0,"","BAN-02407")</f>
        <v/>
      </c>
      <c r="B2550" s="85" t="str">
        <f>IF(A2550="","",IF(INDEX(EXTRATO!$C$2:$C$3000,MATCH($A2550,EXTRATO!$A$2:$A$3000,0))="","",INDEX(EXTRATO!$C$2:$C$3000,MATCH($A2550,EXTRATO!$A$2:$A$3000,0))))</f>
        <v/>
      </c>
      <c r="C2550" s="86" t="str">
        <f t="shared" si="66"/>
        <v/>
      </c>
      <c r="D2550" s="81"/>
      <c r="E2550" s="79"/>
      <c r="F2550" s="80" t="str">
        <f>IF(A2550="","",SUMIF(EXTRATO!$A$2:$A$3000,$A2550,EXTRATO!$J$2:$J$3000)+SUMIF(EXTRATO!$A$2:$A$3000,$A2550,EXTRATO!$K$2:$K$3000)+SUMIF(EXTRATO!$A$2:$A$3000,$A2550,EXTRATO!$L$2:$L$3000)+SUMIF(EXTRATO!$A$2:$A$3000,$A2550,EXTRATO!$M$2:$M$3000))</f>
        <v/>
      </c>
      <c r="G2550" s="81" t="str">
        <f>IF(A2550="","",IF(INDEX(EXTRATO!$G$2:$G$3000,MATCH($A2550,EXTRATO!$A$2:$A$3000,0))="","",INDEX(EXTRATO!$G$2:$G$3000,MATCH($A2550,EXTRATO!$A$2:$A$3000,0))))</f>
        <v/>
      </c>
      <c r="H2550" s="86" t="str">
        <f>IF(A2550="","",IF(INDEX(EXTRATO!$F$2:$F$3000,MATCH($A2550,EXTRATO!$A$2:$A$3000,0))="","",INDEX(EXTRATO!$F$2:$F$3000,MATCH($A2550,EXTRATO!$A$2:$A$3000,0))))</f>
        <v/>
      </c>
      <c r="I2550" s="88" t="str">
        <f>IF(A2550="","",IF(INDEX(EXTRATO!$H$2:$H$3000,MATCH($A2550,EXTRATO!$A$2:$A$3000,0))="","",INDEX(EXTRATO!$H$2:$H$3000,MATCH($A2550,EXTRATO!$A$2:$A$3000,0))))</f>
        <v/>
      </c>
      <c r="J2550" s="86" t="str">
        <f t="shared" si="67"/>
        <v/>
      </c>
      <c r="K2550" s="86" t="str">
        <f>IF(AND(A2550="",D2550="",E2550="",F2550=""),"",IF(D2550="","SEM CATEGORIA",IF(E2550="","SEM SUBCATEGORIA",IF(COUNTIFS(CADASTROS!$L$7:$L$93,D2550,CADASTROS!$D$7:$D$93,E2550)=0,"INCOMPATÍVEL","OK"))))</f>
        <v/>
      </c>
    </row>
    <row r="2551" spans="1:11" ht="30" hidden="1" customHeight="1" x14ac:dyDescent="0.25">
      <c r="A2551" s="86" t="str">
        <f>IF(COUNTIF(EXTRATO!$A$2:$A$3000,"BAN-02408")=0,"","BAN-02408")</f>
        <v/>
      </c>
      <c r="B2551" s="85" t="str">
        <f>IF(A2551="","",IF(INDEX(EXTRATO!$C$2:$C$3000,MATCH($A2551,EXTRATO!$A$2:$A$3000,0))="","",INDEX(EXTRATO!$C$2:$C$3000,MATCH($A2551,EXTRATO!$A$2:$A$3000,0))))</f>
        <v/>
      </c>
      <c r="C2551" s="86" t="str">
        <f t="shared" si="66"/>
        <v/>
      </c>
      <c r="D2551" s="81"/>
      <c r="E2551" s="79"/>
      <c r="F2551" s="80" t="str">
        <f>IF(A2551="","",SUMIF(EXTRATO!$A$2:$A$3000,$A2551,EXTRATO!$J$2:$J$3000)+SUMIF(EXTRATO!$A$2:$A$3000,$A2551,EXTRATO!$K$2:$K$3000)+SUMIF(EXTRATO!$A$2:$A$3000,$A2551,EXTRATO!$L$2:$L$3000)+SUMIF(EXTRATO!$A$2:$A$3000,$A2551,EXTRATO!$M$2:$M$3000))</f>
        <v/>
      </c>
      <c r="G2551" s="81" t="str">
        <f>IF(A2551="","",IF(INDEX(EXTRATO!$G$2:$G$3000,MATCH($A2551,EXTRATO!$A$2:$A$3000,0))="","",INDEX(EXTRATO!$G$2:$G$3000,MATCH($A2551,EXTRATO!$A$2:$A$3000,0))))</f>
        <v/>
      </c>
      <c r="H2551" s="86" t="str">
        <f>IF(A2551="","",IF(INDEX(EXTRATO!$F$2:$F$3000,MATCH($A2551,EXTRATO!$A$2:$A$3000,0))="","",INDEX(EXTRATO!$F$2:$F$3000,MATCH($A2551,EXTRATO!$A$2:$A$3000,0))))</f>
        <v/>
      </c>
      <c r="I2551" s="88" t="str">
        <f>IF(A2551="","",IF(INDEX(EXTRATO!$H$2:$H$3000,MATCH($A2551,EXTRATO!$A$2:$A$3000,0))="","",INDEX(EXTRATO!$H$2:$H$3000,MATCH($A2551,EXTRATO!$A$2:$A$3000,0))))</f>
        <v/>
      </c>
      <c r="J2551" s="86" t="str">
        <f t="shared" si="67"/>
        <v/>
      </c>
      <c r="K2551" s="86" t="str">
        <f>IF(AND(A2551="",D2551="",E2551="",F2551=""),"",IF(D2551="","SEM CATEGORIA",IF(E2551="","SEM SUBCATEGORIA",IF(COUNTIFS(CADASTROS!$L$7:$L$93,D2551,CADASTROS!$D$7:$D$93,E2551)=0,"INCOMPATÍVEL","OK"))))</f>
        <v/>
      </c>
    </row>
    <row r="2552" spans="1:11" ht="30" hidden="1" customHeight="1" x14ac:dyDescent="0.25">
      <c r="A2552" s="86" t="str">
        <f>IF(COUNTIF(EXTRATO!$A$2:$A$3000,"BAN-02409")=0,"","BAN-02409")</f>
        <v/>
      </c>
      <c r="B2552" s="85" t="str">
        <f>IF(A2552="","",IF(INDEX(EXTRATO!$C$2:$C$3000,MATCH($A2552,EXTRATO!$A$2:$A$3000,0))="","",INDEX(EXTRATO!$C$2:$C$3000,MATCH($A2552,EXTRATO!$A$2:$A$3000,0))))</f>
        <v/>
      </c>
      <c r="C2552" s="86" t="str">
        <f t="shared" si="66"/>
        <v/>
      </c>
      <c r="D2552" s="81"/>
      <c r="E2552" s="79"/>
      <c r="F2552" s="80" t="str">
        <f>IF(A2552="","",SUMIF(EXTRATO!$A$2:$A$3000,$A2552,EXTRATO!$J$2:$J$3000)+SUMIF(EXTRATO!$A$2:$A$3000,$A2552,EXTRATO!$K$2:$K$3000)+SUMIF(EXTRATO!$A$2:$A$3000,$A2552,EXTRATO!$L$2:$L$3000)+SUMIF(EXTRATO!$A$2:$A$3000,$A2552,EXTRATO!$M$2:$M$3000))</f>
        <v/>
      </c>
      <c r="G2552" s="81" t="str">
        <f>IF(A2552="","",IF(INDEX(EXTRATO!$G$2:$G$3000,MATCH($A2552,EXTRATO!$A$2:$A$3000,0))="","",INDEX(EXTRATO!$G$2:$G$3000,MATCH($A2552,EXTRATO!$A$2:$A$3000,0))))</f>
        <v/>
      </c>
      <c r="H2552" s="86" t="str">
        <f>IF(A2552="","",IF(INDEX(EXTRATO!$F$2:$F$3000,MATCH($A2552,EXTRATO!$A$2:$A$3000,0))="","",INDEX(EXTRATO!$F$2:$F$3000,MATCH($A2552,EXTRATO!$A$2:$A$3000,0))))</f>
        <v/>
      </c>
      <c r="I2552" s="88" t="str">
        <f>IF(A2552="","",IF(INDEX(EXTRATO!$H$2:$H$3000,MATCH($A2552,EXTRATO!$A$2:$A$3000,0))="","",INDEX(EXTRATO!$H$2:$H$3000,MATCH($A2552,EXTRATO!$A$2:$A$3000,0))))</f>
        <v/>
      </c>
      <c r="J2552" s="86" t="str">
        <f t="shared" si="67"/>
        <v/>
      </c>
      <c r="K2552" s="86" t="str">
        <f>IF(AND(A2552="",D2552="",E2552="",F2552=""),"",IF(D2552="","SEM CATEGORIA",IF(E2552="","SEM SUBCATEGORIA",IF(COUNTIFS(CADASTROS!$L$7:$L$93,D2552,CADASTROS!$D$7:$D$93,E2552)=0,"INCOMPATÍVEL","OK"))))</f>
        <v/>
      </c>
    </row>
    <row r="2553" spans="1:11" ht="30" hidden="1" customHeight="1" x14ac:dyDescent="0.25">
      <c r="A2553" s="86" t="str">
        <f>IF(COUNTIF(EXTRATO!$A$2:$A$3000,"BAN-02410")=0,"","BAN-02410")</f>
        <v/>
      </c>
      <c r="B2553" s="85" t="str">
        <f>IF(A2553="","",IF(INDEX(EXTRATO!$C$2:$C$3000,MATCH($A2553,EXTRATO!$A$2:$A$3000,0))="","",INDEX(EXTRATO!$C$2:$C$3000,MATCH($A2553,EXTRATO!$A$2:$A$3000,0))))</f>
        <v/>
      </c>
      <c r="C2553" s="86" t="str">
        <f t="shared" si="66"/>
        <v/>
      </c>
      <c r="D2553" s="81"/>
      <c r="E2553" s="79"/>
      <c r="F2553" s="80" t="str">
        <f>IF(A2553="","",SUMIF(EXTRATO!$A$2:$A$3000,$A2553,EXTRATO!$J$2:$J$3000)+SUMIF(EXTRATO!$A$2:$A$3000,$A2553,EXTRATO!$K$2:$K$3000)+SUMIF(EXTRATO!$A$2:$A$3000,$A2553,EXTRATO!$L$2:$L$3000)+SUMIF(EXTRATO!$A$2:$A$3000,$A2553,EXTRATO!$M$2:$M$3000))</f>
        <v/>
      </c>
      <c r="G2553" s="81" t="str">
        <f>IF(A2553="","",IF(INDEX(EXTRATO!$G$2:$G$3000,MATCH($A2553,EXTRATO!$A$2:$A$3000,0))="","",INDEX(EXTRATO!$G$2:$G$3000,MATCH($A2553,EXTRATO!$A$2:$A$3000,0))))</f>
        <v/>
      </c>
      <c r="H2553" s="86" t="str">
        <f>IF(A2553="","",IF(INDEX(EXTRATO!$F$2:$F$3000,MATCH($A2553,EXTRATO!$A$2:$A$3000,0))="","",INDEX(EXTRATO!$F$2:$F$3000,MATCH($A2553,EXTRATO!$A$2:$A$3000,0))))</f>
        <v/>
      </c>
      <c r="I2553" s="88" t="str">
        <f>IF(A2553="","",IF(INDEX(EXTRATO!$H$2:$H$3000,MATCH($A2553,EXTRATO!$A$2:$A$3000,0))="","",INDEX(EXTRATO!$H$2:$H$3000,MATCH($A2553,EXTRATO!$A$2:$A$3000,0))))</f>
        <v/>
      </c>
      <c r="J2553" s="86" t="str">
        <f t="shared" si="67"/>
        <v/>
      </c>
      <c r="K2553" s="86" t="str">
        <f>IF(AND(A2553="",D2553="",E2553="",F2553=""),"",IF(D2553="","SEM CATEGORIA",IF(E2553="","SEM SUBCATEGORIA",IF(COUNTIFS(CADASTROS!$L$7:$L$93,D2553,CADASTROS!$D$7:$D$93,E2553)=0,"INCOMPATÍVEL","OK"))))</f>
        <v/>
      </c>
    </row>
    <row r="2554" spans="1:11" ht="30" hidden="1" customHeight="1" x14ac:dyDescent="0.25">
      <c r="A2554" s="86" t="str">
        <f>IF(COUNTIF(EXTRATO!$A$2:$A$3000,"BAN-02411")=0,"","BAN-02411")</f>
        <v/>
      </c>
      <c r="B2554" s="85" t="str">
        <f>IF(A2554="","",IF(INDEX(EXTRATO!$C$2:$C$3000,MATCH($A2554,EXTRATO!$A$2:$A$3000,0))="","",INDEX(EXTRATO!$C$2:$C$3000,MATCH($A2554,EXTRATO!$A$2:$A$3000,0))))</f>
        <v/>
      </c>
      <c r="C2554" s="86" t="str">
        <f t="shared" si="66"/>
        <v/>
      </c>
      <c r="D2554" s="81"/>
      <c r="E2554" s="79"/>
      <c r="F2554" s="80" t="str">
        <f>IF(A2554="","",SUMIF(EXTRATO!$A$2:$A$3000,$A2554,EXTRATO!$J$2:$J$3000)+SUMIF(EXTRATO!$A$2:$A$3000,$A2554,EXTRATO!$K$2:$K$3000)+SUMIF(EXTRATO!$A$2:$A$3000,$A2554,EXTRATO!$L$2:$L$3000)+SUMIF(EXTRATO!$A$2:$A$3000,$A2554,EXTRATO!$M$2:$M$3000))</f>
        <v/>
      </c>
      <c r="G2554" s="81" t="str">
        <f>IF(A2554="","",IF(INDEX(EXTRATO!$G$2:$G$3000,MATCH($A2554,EXTRATO!$A$2:$A$3000,0))="","",INDEX(EXTRATO!$G$2:$G$3000,MATCH($A2554,EXTRATO!$A$2:$A$3000,0))))</f>
        <v/>
      </c>
      <c r="H2554" s="86" t="str">
        <f>IF(A2554="","",IF(INDEX(EXTRATO!$F$2:$F$3000,MATCH($A2554,EXTRATO!$A$2:$A$3000,0))="","",INDEX(EXTRATO!$F$2:$F$3000,MATCH($A2554,EXTRATO!$A$2:$A$3000,0))))</f>
        <v/>
      </c>
      <c r="I2554" s="88" t="str">
        <f>IF(A2554="","",IF(INDEX(EXTRATO!$H$2:$H$3000,MATCH($A2554,EXTRATO!$A$2:$A$3000,0))="","",INDEX(EXTRATO!$H$2:$H$3000,MATCH($A2554,EXTRATO!$A$2:$A$3000,0))))</f>
        <v/>
      </c>
      <c r="J2554" s="86" t="str">
        <f t="shared" si="67"/>
        <v/>
      </c>
      <c r="K2554" s="86" t="str">
        <f>IF(AND(A2554="",D2554="",E2554="",F2554=""),"",IF(D2554="","SEM CATEGORIA",IF(E2554="","SEM SUBCATEGORIA",IF(COUNTIFS(CADASTROS!$L$7:$L$93,D2554,CADASTROS!$D$7:$D$93,E2554)=0,"INCOMPATÍVEL","OK"))))</f>
        <v/>
      </c>
    </row>
    <row r="2555" spans="1:11" ht="30" hidden="1" customHeight="1" x14ac:dyDescent="0.25">
      <c r="A2555" s="86" t="str">
        <f>IF(COUNTIF(EXTRATO!$A$2:$A$3000,"BAN-02412")=0,"","BAN-02412")</f>
        <v/>
      </c>
      <c r="B2555" s="85" t="str">
        <f>IF(A2555="","",IF(INDEX(EXTRATO!$C$2:$C$3000,MATCH($A2555,EXTRATO!$A$2:$A$3000,0))="","",INDEX(EXTRATO!$C$2:$C$3000,MATCH($A2555,EXTRATO!$A$2:$A$3000,0))))</f>
        <v/>
      </c>
      <c r="C2555" s="86" t="str">
        <f t="shared" si="66"/>
        <v/>
      </c>
      <c r="D2555" s="81"/>
      <c r="E2555" s="79"/>
      <c r="F2555" s="80" t="str">
        <f>IF(A2555="","",SUMIF(EXTRATO!$A$2:$A$3000,$A2555,EXTRATO!$J$2:$J$3000)+SUMIF(EXTRATO!$A$2:$A$3000,$A2555,EXTRATO!$K$2:$K$3000)+SUMIF(EXTRATO!$A$2:$A$3000,$A2555,EXTRATO!$L$2:$L$3000)+SUMIF(EXTRATO!$A$2:$A$3000,$A2555,EXTRATO!$M$2:$M$3000))</f>
        <v/>
      </c>
      <c r="G2555" s="81" t="str">
        <f>IF(A2555="","",IF(INDEX(EXTRATO!$G$2:$G$3000,MATCH($A2555,EXTRATO!$A$2:$A$3000,0))="","",INDEX(EXTRATO!$G$2:$G$3000,MATCH($A2555,EXTRATO!$A$2:$A$3000,0))))</f>
        <v/>
      </c>
      <c r="H2555" s="86" t="str">
        <f>IF(A2555="","",IF(INDEX(EXTRATO!$F$2:$F$3000,MATCH($A2555,EXTRATO!$A$2:$A$3000,0))="","",INDEX(EXTRATO!$F$2:$F$3000,MATCH($A2555,EXTRATO!$A$2:$A$3000,0))))</f>
        <v/>
      </c>
      <c r="I2555" s="88" t="str">
        <f>IF(A2555="","",IF(INDEX(EXTRATO!$H$2:$H$3000,MATCH($A2555,EXTRATO!$A$2:$A$3000,0))="","",INDEX(EXTRATO!$H$2:$H$3000,MATCH($A2555,EXTRATO!$A$2:$A$3000,0))))</f>
        <v/>
      </c>
      <c r="J2555" s="86" t="str">
        <f t="shared" si="67"/>
        <v/>
      </c>
      <c r="K2555" s="86" t="str">
        <f>IF(AND(A2555="",D2555="",E2555="",F2555=""),"",IF(D2555="","SEM CATEGORIA",IF(E2555="","SEM SUBCATEGORIA",IF(COUNTIFS(CADASTROS!$L$7:$L$93,D2555,CADASTROS!$D$7:$D$93,E2555)=0,"INCOMPATÍVEL","OK"))))</f>
        <v/>
      </c>
    </row>
    <row r="2556" spans="1:11" ht="30" hidden="1" customHeight="1" x14ac:dyDescent="0.25">
      <c r="A2556" s="86" t="str">
        <f>IF(COUNTIF(EXTRATO!$A$2:$A$3000,"BAN-02413")=0,"","BAN-02413")</f>
        <v/>
      </c>
      <c r="B2556" s="85" t="str">
        <f>IF(A2556="","",IF(INDEX(EXTRATO!$C$2:$C$3000,MATCH($A2556,EXTRATO!$A$2:$A$3000,0))="","",INDEX(EXTRATO!$C$2:$C$3000,MATCH($A2556,EXTRATO!$A$2:$A$3000,0))))</f>
        <v/>
      </c>
      <c r="C2556" s="86" t="str">
        <f t="shared" si="66"/>
        <v/>
      </c>
      <c r="D2556" s="81"/>
      <c r="E2556" s="79"/>
      <c r="F2556" s="80" t="str">
        <f>IF(A2556="","",SUMIF(EXTRATO!$A$2:$A$3000,$A2556,EXTRATO!$J$2:$J$3000)+SUMIF(EXTRATO!$A$2:$A$3000,$A2556,EXTRATO!$K$2:$K$3000)+SUMIF(EXTRATO!$A$2:$A$3000,$A2556,EXTRATO!$L$2:$L$3000)+SUMIF(EXTRATO!$A$2:$A$3000,$A2556,EXTRATO!$M$2:$M$3000))</f>
        <v/>
      </c>
      <c r="G2556" s="81" t="str">
        <f>IF(A2556="","",IF(INDEX(EXTRATO!$G$2:$G$3000,MATCH($A2556,EXTRATO!$A$2:$A$3000,0))="","",INDEX(EXTRATO!$G$2:$G$3000,MATCH($A2556,EXTRATO!$A$2:$A$3000,0))))</f>
        <v/>
      </c>
      <c r="H2556" s="86" t="str">
        <f>IF(A2556="","",IF(INDEX(EXTRATO!$F$2:$F$3000,MATCH($A2556,EXTRATO!$A$2:$A$3000,0))="","",INDEX(EXTRATO!$F$2:$F$3000,MATCH($A2556,EXTRATO!$A$2:$A$3000,0))))</f>
        <v/>
      </c>
      <c r="I2556" s="88" t="str">
        <f>IF(A2556="","",IF(INDEX(EXTRATO!$H$2:$H$3000,MATCH($A2556,EXTRATO!$A$2:$A$3000,0))="","",INDEX(EXTRATO!$H$2:$H$3000,MATCH($A2556,EXTRATO!$A$2:$A$3000,0))))</f>
        <v/>
      </c>
      <c r="J2556" s="86" t="str">
        <f t="shared" si="67"/>
        <v/>
      </c>
      <c r="K2556" s="86" t="str">
        <f>IF(AND(A2556="",D2556="",E2556="",F2556=""),"",IF(D2556="","SEM CATEGORIA",IF(E2556="","SEM SUBCATEGORIA",IF(COUNTIFS(CADASTROS!$L$7:$L$93,D2556,CADASTROS!$D$7:$D$93,E2556)=0,"INCOMPATÍVEL","OK"))))</f>
        <v/>
      </c>
    </row>
    <row r="2557" spans="1:11" ht="30" hidden="1" customHeight="1" x14ac:dyDescent="0.25">
      <c r="A2557" s="86" t="str">
        <f>IF(COUNTIF(EXTRATO!$A$2:$A$3000,"BAN-02414")=0,"","BAN-02414")</f>
        <v/>
      </c>
      <c r="B2557" s="85" t="str">
        <f>IF(A2557="","",IF(INDEX(EXTRATO!$C$2:$C$3000,MATCH($A2557,EXTRATO!$A$2:$A$3000,0))="","",INDEX(EXTRATO!$C$2:$C$3000,MATCH($A2557,EXTRATO!$A$2:$A$3000,0))))</f>
        <v/>
      </c>
      <c r="C2557" s="86" t="str">
        <f t="shared" si="66"/>
        <v/>
      </c>
      <c r="D2557" s="81"/>
      <c r="E2557" s="79"/>
      <c r="F2557" s="80" t="str">
        <f>IF(A2557="","",SUMIF(EXTRATO!$A$2:$A$3000,$A2557,EXTRATO!$J$2:$J$3000)+SUMIF(EXTRATO!$A$2:$A$3000,$A2557,EXTRATO!$K$2:$K$3000)+SUMIF(EXTRATO!$A$2:$A$3000,$A2557,EXTRATO!$L$2:$L$3000)+SUMIF(EXTRATO!$A$2:$A$3000,$A2557,EXTRATO!$M$2:$M$3000))</f>
        <v/>
      </c>
      <c r="G2557" s="81" t="str">
        <f>IF(A2557="","",IF(INDEX(EXTRATO!$G$2:$G$3000,MATCH($A2557,EXTRATO!$A$2:$A$3000,0))="","",INDEX(EXTRATO!$G$2:$G$3000,MATCH($A2557,EXTRATO!$A$2:$A$3000,0))))</f>
        <v/>
      </c>
      <c r="H2557" s="86" t="str">
        <f>IF(A2557="","",IF(INDEX(EXTRATO!$F$2:$F$3000,MATCH($A2557,EXTRATO!$A$2:$A$3000,0))="","",INDEX(EXTRATO!$F$2:$F$3000,MATCH($A2557,EXTRATO!$A$2:$A$3000,0))))</f>
        <v/>
      </c>
      <c r="I2557" s="88" t="str">
        <f>IF(A2557="","",IF(INDEX(EXTRATO!$H$2:$H$3000,MATCH($A2557,EXTRATO!$A$2:$A$3000,0))="","",INDEX(EXTRATO!$H$2:$H$3000,MATCH($A2557,EXTRATO!$A$2:$A$3000,0))))</f>
        <v/>
      </c>
      <c r="J2557" s="86" t="str">
        <f t="shared" si="67"/>
        <v/>
      </c>
      <c r="K2557" s="86" t="str">
        <f>IF(AND(A2557="",D2557="",E2557="",F2557=""),"",IF(D2557="","SEM CATEGORIA",IF(E2557="","SEM SUBCATEGORIA",IF(COUNTIFS(CADASTROS!$L$7:$L$93,D2557,CADASTROS!$D$7:$D$93,E2557)=0,"INCOMPATÍVEL","OK"))))</f>
        <v/>
      </c>
    </row>
    <row r="2558" spans="1:11" ht="30" hidden="1" customHeight="1" x14ac:dyDescent="0.25">
      <c r="A2558" s="86" t="str">
        <f>IF(COUNTIF(EXTRATO!$A$2:$A$3000,"BAN-02415")=0,"","BAN-02415")</f>
        <v/>
      </c>
      <c r="B2558" s="85" t="str">
        <f>IF(A2558="","",IF(INDEX(EXTRATO!$C$2:$C$3000,MATCH($A2558,EXTRATO!$A$2:$A$3000,0))="","",INDEX(EXTRATO!$C$2:$C$3000,MATCH($A2558,EXTRATO!$A$2:$A$3000,0))))</f>
        <v/>
      </c>
      <c r="C2558" s="86" t="str">
        <f t="shared" si="66"/>
        <v/>
      </c>
      <c r="D2558" s="81"/>
      <c r="E2558" s="79"/>
      <c r="F2558" s="80" t="str">
        <f>IF(A2558="","",SUMIF(EXTRATO!$A$2:$A$3000,$A2558,EXTRATO!$J$2:$J$3000)+SUMIF(EXTRATO!$A$2:$A$3000,$A2558,EXTRATO!$K$2:$K$3000)+SUMIF(EXTRATO!$A$2:$A$3000,$A2558,EXTRATO!$L$2:$L$3000)+SUMIF(EXTRATO!$A$2:$A$3000,$A2558,EXTRATO!$M$2:$M$3000))</f>
        <v/>
      </c>
      <c r="G2558" s="81" t="str">
        <f>IF(A2558="","",IF(INDEX(EXTRATO!$G$2:$G$3000,MATCH($A2558,EXTRATO!$A$2:$A$3000,0))="","",INDEX(EXTRATO!$G$2:$G$3000,MATCH($A2558,EXTRATO!$A$2:$A$3000,0))))</f>
        <v/>
      </c>
      <c r="H2558" s="86" t="str">
        <f>IF(A2558="","",IF(INDEX(EXTRATO!$F$2:$F$3000,MATCH($A2558,EXTRATO!$A$2:$A$3000,0))="","",INDEX(EXTRATO!$F$2:$F$3000,MATCH($A2558,EXTRATO!$A$2:$A$3000,0))))</f>
        <v/>
      </c>
      <c r="I2558" s="88" t="str">
        <f>IF(A2558="","",IF(INDEX(EXTRATO!$H$2:$H$3000,MATCH($A2558,EXTRATO!$A$2:$A$3000,0))="","",INDEX(EXTRATO!$H$2:$H$3000,MATCH($A2558,EXTRATO!$A$2:$A$3000,0))))</f>
        <v/>
      </c>
      <c r="J2558" s="86" t="str">
        <f t="shared" si="67"/>
        <v/>
      </c>
      <c r="K2558" s="86" t="str">
        <f>IF(AND(A2558="",D2558="",E2558="",F2558=""),"",IF(D2558="","SEM CATEGORIA",IF(E2558="","SEM SUBCATEGORIA",IF(COUNTIFS(CADASTROS!$L$7:$L$93,D2558,CADASTROS!$D$7:$D$93,E2558)=0,"INCOMPATÍVEL","OK"))))</f>
        <v/>
      </c>
    </row>
    <row r="2559" spans="1:11" ht="30" hidden="1" customHeight="1" x14ac:dyDescent="0.25">
      <c r="A2559" s="86" t="str">
        <f>IF(COUNTIF(EXTRATO!$A$2:$A$3000,"BAN-02416")=0,"","BAN-02416")</f>
        <v/>
      </c>
      <c r="B2559" s="85" t="str">
        <f>IF(A2559="","",IF(INDEX(EXTRATO!$C$2:$C$3000,MATCH($A2559,EXTRATO!$A$2:$A$3000,0))="","",INDEX(EXTRATO!$C$2:$C$3000,MATCH($A2559,EXTRATO!$A$2:$A$3000,0))))</f>
        <v/>
      </c>
      <c r="C2559" s="86" t="str">
        <f t="shared" si="66"/>
        <v/>
      </c>
      <c r="D2559" s="81"/>
      <c r="E2559" s="79"/>
      <c r="F2559" s="80" t="str">
        <f>IF(A2559="","",SUMIF(EXTRATO!$A$2:$A$3000,$A2559,EXTRATO!$J$2:$J$3000)+SUMIF(EXTRATO!$A$2:$A$3000,$A2559,EXTRATO!$K$2:$K$3000)+SUMIF(EXTRATO!$A$2:$A$3000,$A2559,EXTRATO!$L$2:$L$3000)+SUMIF(EXTRATO!$A$2:$A$3000,$A2559,EXTRATO!$M$2:$M$3000))</f>
        <v/>
      </c>
      <c r="G2559" s="81" t="str">
        <f>IF(A2559="","",IF(INDEX(EXTRATO!$G$2:$G$3000,MATCH($A2559,EXTRATO!$A$2:$A$3000,0))="","",INDEX(EXTRATO!$G$2:$G$3000,MATCH($A2559,EXTRATO!$A$2:$A$3000,0))))</f>
        <v/>
      </c>
      <c r="H2559" s="86" t="str">
        <f>IF(A2559="","",IF(INDEX(EXTRATO!$F$2:$F$3000,MATCH($A2559,EXTRATO!$A$2:$A$3000,0))="","",INDEX(EXTRATO!$F$2:$F$3000,MATCH($A2559,EXTRATO!$A$2:$A$3000,0))))</f>
        <v/>
      </c>
      <c r="I2559" s="88" t="str">
        <f>IF(A2559="","",IF(INDEX(EXTRATO!$H$2:$H$3000,MATCH($A2559,EXTRATO!$A$2:$A$3000,0))="","",INDEX(EXTRATO!$H$2:$H$3000,MATCH($A2559,EXTRATO!$A$2:$A$3000,0))))</f>
        <v/>
      </c>
      <c r="J2559" s="86" t="str">
        <f t="shared" si="67"/>
        <v/>
      </c>
      <c r="K2559" s="86" t="str">
        <f>IF(AND(A2559="",D2559="",E2559="",F2559=""),"",IF(D2559="","SEM CATEGORIA",IF(E2559="","SEM SUBCATEGORIA",IF(COUNTIFS(CADASTROS!$L$7:$L$93,D2559,CADASTROS!$D$7:$D$93,E2559)=0,"INCOMPATÍVEL","OK"))))</f>
        <v/>
      </c>
    </row>
    <row r="2560" spans="1:11" ht="30" hidden="1" customHeight="1" x14ac:dyDescent="0.25">
      <c r="A2560" s="86" t="str">
        <f>IF(COUNTIF(EXTRATO!$A$2:$A$3000,"BAN-02417")=0,"","BAN-02417")</f>
        <v/>
      </c>
      <c r="B2560" s="85" t="str">
        <f>IF(A2560="","",IF(INDEX(EXTRATO!$C$2:$C$3000,MATCH($A2560,EXTRATO!$A$2:$A$3000,0))="","",INDEX(EXTRATO!$C$2:$C$3000,MATCH($A2560,EXTRATO!$A$2:$A$3000,0))))</f>
        <v/>
      </c>
      <c r="C2560" s="86" t="str">
        <f t="shared" si="66"/>
        <v/>
      </c>
      <c r="D2560" s="81"/>
      <c r="E2560" s="79"/>
      <c r="F2560" s="80" t="str">
        <f>IF(A2560="","",SUMIF(EXTRATO!$A$2:$A$3000,$A2560,EXTRATO!$J$2:$J$3000)+SUMIF(EXTRATO!$A$2:$A$3000,$A2560,EXTRATO!$K$2:$K$3000)+SUMIF(EXTRATO!$A$2:$A$3000,$A2560,EXTRATO!$L$2:$L$3000)+SUMIF(EXTRATO!$A$2:$A$3000,$A2560,EXTRATO!$M$2:$M$3000))</f>
        <v/>
      </c>
      <c r="G2560" s="81" t="str">
        <f>IF(A2560="","",IF(INDEX(EXTRATO!$G$2:$G$3000,MATCH($A2560,EXTRATO!$A$2:$A$3000,0))="","",INDEX(EXTRATO!$G$2:$G$3000,MATCH($A2560,EXTRATO!$A$2:$A$3000,0))))</f>
        <v/>
      </c>
      <c r="H2560" s="86" t="str">
        <f>IF(A2560="","",IF(INDEX(EXTRATO!$F$2:$F$3000,MATCH($A2560,EXTRATO!$A$2:$A$3000,0))="","",INDEX(EXTRATO!$F$2:$F$3000,MATCH($A2560,EXTRATO!$A$2:$A$3000,0))))</f>
        <v/>
      </c>
      <c r="I2560" s="88" t="str">
        <f>IF(A2560="","",IF(INDEX(EXTRATO!$H$2:$H$3000,MATCH($A2560,EXTRATO!$A$2:$A$3000,0))="","",INDEX(EXTRATO!$H$2:$H$3000,MATCH($A2560,EXTRATO!$A$2:$A$3000,0))))</f>
        <v/>
      </c>
      <c r="J2560" s="86" t="str">
        <f t="shared" si="67"/>
        <v/>
      </c>
      <c r="K2560" s="86" t="str">
        <f>IF(AND(A2560="",D2560="",E2560="",F2560=""),"",IF(D2560="","SEM CATEGORIA",IF(E2560="","SEM SUBCATEGORIA",IF(COUNTIFS(CADASTROS!$L$7:$L$93,D2560,CADASTROS!$D$7:$D$93,E2560)=0,"INCOMPATÍVEL","OK"))))</f>
        <v/>
      </c>
    </row>
    <row r="2561" spans="1:11" ht="30" hidden="1" customHeight="1" x14ac:dyDescent="0.25">
      <c r="A2561" s="86" t="str">
        <f>IF(COUNTIF(EXTRATO!$A$2:$A$3000,"BAN-02418")=0,"","BAN-02418")</f>
        <v/>
      </c>
      <c r="B2561" s="85" t="str">
        <f>IF(A2561="","",IF(INDEX(EXTRATO!$C$2:$C$3000,MATCH($A2561,EXTRATO!$A$2:$A$3000,0))="","",INDEX(EXTRATO!$C$2:$C$3000,MATCH($A2561,EXTRATO!$A$2:$A$3000,0))))</f>
        <v/>
      </c>
      <c r="C2561" s="86" t="str">
        <f t="shared" si="66"/>
        <v/>
      </c>
      <c r="D2561" s="81"/>
      <c r="E2561" s="79"/>
      <c r="F2561" s="80" t="str">
        <f>IF(A2561="","",SUMIF(EXTRATO!$A$2:$A$3000,$A2561,EXTRATO!$J$2:$J$3000)+SUMIF(EXTRATO!$A$2:$A$3000,$A2561,EXTRATO!$K$2:$K$3000)+SUMIF(EXTRATO!$A$2:$A$3000,$A2561,EXTRATO!$L$2:$L$3000)+SUMIF(EXTRATO!$A$2:$A$3000,$A2561,EXTRATO!$M$2:$M$3000))</f>
        <v/>
      </c>
      <c r="G2561" s="81" t="str">
        <f>IF(A2561="","",IF(INDEX(EXTRATO!$G$2:$G$3000,MATCH($A2561,EXTRATO!$A$2:$A$3000,0))="","",INDEX(EXTRATO!$G$2:$G$3000,MATCH($A2561,EXTRATO!$A$2:$A$3000,0))))</f>
        <v/>
      </c>
      <c r="H2561" s="86" t="str">
        <f>IF(A2561="","",IF(INDEX(EXTRATO!$F$2:$F$3000,MATCH($A2561,EXTRATO!$A$2:$A$3000,0))="","",INDEX(EXTRATO!$F$2:$F$3000,MATCH($A2561,EXTRATO!$A$2:$A$3000,0))))</f>
        <v/>
      </c>
      <c r="I2561" s="88" t="str">
        <f>IF(A2561="","",IF(INDEX(EXTRATO!$H$2:$H$3000,MATCH($A2561,EXTRATO!$A$2:$A$3000,0))="","",INDEX(EXTRATO!$H$2:$H$3000,MATCH($A2561,EXTRATO!$A$2:$A$3000,0))))</f>
        <v/>
      </c>
      <c r="J2561" s="86" t="str">
        <f t="shared" si="67"/>
        <v/>
      </c>
      <c r="K2561" s="86" t="str">
        <f>IF(AND(A2561="",D2561="",E2561="",F2561=""),"",IF(D2561="","SEM CATEGORIA",IF(E2561="","SEM SUBCATEGORIA",IF(COUNTIFS(CADASTROS!$L$7:$L$93,D2561,CADASTROS!$D$7:$D$93,E2561)=0,"INCOMPATÍVEL","OK"))))</f>
        <v/>
      </c>
    </row>
    <row r="2562" spans="1:11" ht="30" hidden="1" customHeight="1" x14ac:dyDescent="0.25">
      <c r="A2562" s="86" t="str">
        <f>IF(COUNTIF(EXTRATO!$A$2:$A$3000,"BAN-02419")=0,"","BAN-02419")</f>
        <v/>
      </c>
      <c r="B2562" s="85" t="str">
        <f>IF(A2562="","",IF(INDEX(EXTRATO!$C$2:$C$3000,MATCH($A2562,EXTRATO!$A$2:$A$3000,0))="","",INDEX(EXTRATO!$C$2:$C$3000,MATCH($A2562,EXTRATO!$A$2:$A$3000,0))))</f>
        <v/>
      </c>
      <c r="C2562" s="86" t="str">
        <f t="shared" si="66"/>
        <v/>
      </c>
      <c r="D2562" s="81"/>
      <c r="E2562" s="79"/>
      <c r="F2562" s="80" t="str">
        <f>IF(A2562="","",SUMIF(EXTRATO!$A$2:$A$3000,$A2562,EXTRATO!$J$2:$J$3000)+SUMIF(EXTRATO!$A$2:$A$3000,$A2562,EXTRATO!$K$2:$K$3000)+SUMIF(EXTRATO!$A$2:$A$3000,$A2562,EXTRATO!$L$2:$L$3000)+SUMIF(EXTRATO!$A$2:$A$3000,$A2562,EXTRATO!$M$2:$M$3000))</f>
        <v/>
      </c>
      <c r="G2562" s="81" t="str">
        <f>IF(A2562="","",IF(INDEX(EXTRATO!$G$2:$G$3000,MATCH($A2562,EXTRATO!$A$2:$A$3000,0))="","",INDEX(EXTRATO!$G$2:$G$3000,MATCH($A2562,EXTRATO!$A$2:$A$3000,0))))</f>
        <v/>
      </c>
      <c r="H2562" s="86" t="str">
        <f>IF(A2562="","",IF(INDEX(EXTRATO!$F$2:$F$3000,MATCH($A2562,EXTRATO!$A$2:$A$3000,0))="","",INDEX(EXTRATO!$F$2:$F$3000,MATCH($A2562,EXTRATO!$A$2:$A$3000,0))))</f>
        <v/>
      </c>
      <c r="I2562" s="88" t="str">
        <f>IF(A2562="","",IF(INDEX(EXTRATO!$H$2:$H$3000,MATCH($A2562,EXTRATO!$A$2:$A$3000,0))="","",INDEX(EXTRATO!$H$2:$H$3000,MATCH($A2562,EXTRATO!$A$2:$A$3000,0))))</f>
        <v/>
      </c>
      <c r="J2562" s="86" t="str">
        <f t="shared" si="67"/>
        <v/>
      </c>
      <c r="K2562" s="86" t="str">
        <f>IF(AND(A2562="",D2562="",E2562="",F2562=""),"",IF(D2562="","SEM CATEGORIA",IF(E2562="","SEM SUBCATEGORIA",IF(COUNTIFS(CADASTROS!$L$7:$L$93,D2562,CADASTROS!$D$7:$D$93,E2562)=0,"INCOMPATÍVEL","OK"))))</f>
        <v/>
      </c>
    </row>
    <row r="2563" spans="1:11" ht="30" hidden="1" customHeight="1" x14ac:dyDescent="0.25">
      <c r="A2563" s="86" t="str">
        <f>IF(COUNTIF(EXTRATO!$A$2:$A$3000,"BAN-02420")=0,"","BAN-02420")</f>
        <v/>
      </c>
      <c r="B2563" s="85" t="str">
        <f>IF(A2563="","",IF(INDEX(EXTRATO!$C$2:$C$3000,MATCH($A2563,EXTRATO!$A$2:$A$3000,0))="","",INDEX(EXTRATO!$C$2:$C$3000,MATCH($A2563,EXTRATO!$A$2:$A$3000,0))))</f>
        <v/>
      </c>
      <c r="C2563" s="86" t="str">
        <f t="shared" si="66"/>
        <v/>
      </c>
      <c r="D2563" s="81"/>
      <c r="E2563" s="79"/>
      <c r="F2563" s="80" t="str">
        <f>IF(A2563="","",SUMIF(EXTRATO!$A$2:$A$3000,$A2563,EXTRATO!$J$2:$J$3000)+SUMIF(EXTRATO!$A$2:$A$3000,$A2563,EXTRATO!$K$2:$K$3000)+SUMIF(EXTRATO!$A$2:$A$3000,$A2563,EXTRATO!$L$2:$L$3000)+SUMIF(EXTRATO!$A$2:$A$3000,$A2563,EXTRATO!$M$2:$M$3000))</f>
        <v/>
      </c>
      <c r="G2563" s="81" t="str">
        <f>IF(A2563="","",IF(INDEX(EXTRATO!$G$2:$G$3000,MATCH($A2563,EXTRATO!$A$2:$A$3000,0))="","",INDEX(EXTRATO!$G$2:$G$3000,MATCH($A2563,EXTRATO!$A$2:$A$3000,0))))</f>
        <v/>
      </c>
      <c r="H2563" s="86" t="str">
        <f>IF(A2563="","",IF(INDEX(EXTRATO!$F$2:$F$3000,MATCH($A2563,EXTRATO!$A$2:$A$3000,0))="","",INDEX(EXTRATO!$F$2:$F$3000,MATCH($A2563,EXTRATO!$A$2:$A$3000,0))))</f>
        <v/>
      </c>
      <c r="I2563" s="88" t="str">
        <f>IF(A2563="","",IF(INDEX(EXTRATO!$H$2:$H$3000,MATCH($A2563,EXTRATO!$A$2:$A$3000,0))="","",INDEX(EXTRATO!$H$2:$H$3000,MATCH($A2563,EXTRATO!$A$2:$A$3000,0))))</f>
        <v/>
      </c>
      <c r="J2563" s="86" t="str">
        <f t="shared" si="67"/>
        <v/>
      </c>
      <c r="K2563" s="86" t="str">
        <f>IF(AND(A2563="",D2563="",E2563="",F2563=""),"",IF(D2563="","SEM CATEGORIA",IF(E2563="","SEM SUBCATEGORIA",IF(COUNTIFS(CADASTROS!$L$7:$L$93,D2563,CADASTROS!$D$7:$D$93,E2563)=0,"INCOMPATÍVEL","OK"))))</f>
        <v/>
      </c>
    </row>
    <row r="2564" spans="1:11" ht="30" hidden="1" customHeight="1" x14ac:dyDescent="0.25">
      <c r="A2564" s="86" t="str">
        <f>IF(COUNTIF(EXTRATO!$A$2:$A$3000,"BAN-02421")=0,"","BAN-02421")</f>
        <v/>
      </c>
      <c r="B2564" s="85" t="str">
        <f>IF(A2564="","",IF(INDEX(EXTRATO!$C$2:$C$3000,MATCH($A2564,EXTRATO!$A$2:$A$3000,0))="","",INDEX(EXTRATO!$C$2:$C$3000,MATCH($A2564,EXTRATO!$A$2:$A$3000,0))))</f>
        <v/>
      </c>
      <c r="C2564" s="86" t="str">
        <f t="shared" si="66"/>
        <v/>
      </c>
      <c r="D2564" s="81"/>
      <c r="E2564" s="79"/>
      <c r="F2564" s="80" t="str">
        <f>IF(A2564="","",SUMIF(EXTRATO!$A$2:$A$3000,$A2564,EXTRATO!$J$2:$J$3000)+SUMIF(EXTRATO!$A$2:$A$3000,$A2564,EXTRATO!$K$2:$K$3000)+SUMIF(EXTRATO!$A$2:$A$3000,$A2564,EXTRATO!$L$2:$L$3000)+SUMIF(EXTRATO!$A$2:$A$3000,$A2564,EXTRATO!$M$2:$M$3000))</f>
        <v/>
      </c>
      <c r="G2564" s="81" t="str">
        <f>IF(A2564="","",IF(INDEX(EXTRATO!$G$2:$G$3000,MATCH($A2564,EXTRATO!$A$2:$A$3000,0))="","",INDEX(EXTRATO!$G$2:$G$3000,MATCH($A2564,EXTRATO!$A$2:$A$3000,0))))</f>
        <v/>
      </c>
      <c r="H2564" s="86" t="str">
        <f>IF(A2564="","",IF(INDEX(EXTRATO!$F$2:$F$3000,MATCH($A2564,EXTRATO!$A$2:$A$3000,0))="","",INDEX(EXTRATO!$F$2:$F$3000,MATCH($A2564,EXTRATO!$A$2:$A$3000,0))))</f>
        <v/>
      </c>
      <c r="I2564" s="88" t="str">
        <f>IF(A2564="","",IF(INDEX(EXTRATO!$H$2:$H$3000,MATCH($A2564,EXTRATO!$A$2:$A$3000,0))="","",INDEX(EXTRATO!$H$2:$H$3000,MATCH($A2564,EXTRATO!$A$2:$A$3000,0))))</f>
        <v/>
      </c>
      <c r="J2564" s="86" t="str">
        <f t="shared" si="67"/>
        <v/>
      </c>
      <c r="K2564" s="86" t="str">
        <f>IF(AND(A2564="",D2564="",E2564="",F2564=""),"",IF(D2564="","SEM CATEGORIA",IF(E2564="","SEM SUBCATEGORIA",IF(COUNTIFS(CADASTROS!$L$7:$L$93,D2564,CADASTROS!$D$7:$D$93,E2564)=0,"INCOMPATÍVEL","OK"))))</f>
        <v/>
      </c>
    </row>
    <row r="2565" spans="1:11" ht="30" hidden="1" customHeight="1" x14ac:dyDescent="0.25">
      <c r="A2565" s="86" t="str">
        <f>IF(COUNTIF(EXTRATO!$A$2:$A$3000,"BAN-02422")=0,"","BAN-02422")</f>
        <v/>
      </c>
      <c r="B2565" s="85" t="str">
        <f>IF(A2565="","",IF(INDEX(EXTRATO!$C$2:$C$3000,MATCH($A2565,EXTRATO!$A$2:$A$3000,0))="","",INDEX(EXTRATO!$C$2:$C$3000,MATCH($A2565,EXTRATO!$A$2:$A$3000,0))))</f>
        <v/>
      </c>
      <c r="C2565" s="86" t="str">
        <f t="shared" si="66"/>
        <v/>
      </c>
      <c r="D2565" s="81"/>
      <c r="E2565" s="79"/>
      <c r="F2565" s="80" t="str">
        <f>IF(A2565="","",SUMIF(EXTRATO!$A$2:$A$3000,$A2565,EXTRATO!$J$2:$J$3000)+SUMIF(EXTRATO!$A$2:$A$3000,$A2565,EXTRATO!$K$2:$K$3000)+SUMIF(EXTRATO!$A$2:$A$3000,$A2565,EXTRATO!$L$2:$L$3000)+SUMIF(EXTRATO!$A$2:$A$3000,$A2565,EXTRATO!$M$2:$M$3000))</f>
        <v/>
      </c>
      <c r="G2565" s="81" t="str">
        <f>IF(A2565="","",IF(INDEX(EXTRATO!$G$2:$G$3000,MATCH($A2565,EXTRATO!$A$2:$A$3000,0))="","",INDEX(EXTRATO!$G$2:$G$3000,MATCH($A2565,EXTRATO!$A$2:$A$3000,0))))</f>
        <v/>
      </c>
      <c r="H2565" s="86" t="str">
        <f>IF(A2565="","",IF(INDEX(EXTRATO!$F$2:$F$3000,MATCH($A2565,EXTRATO!$A$2:$A$3000,0))="","",INDEX(EXTRATO!$F$2:$F$3000,MATCH($A2565,EXTRATO!$A$2:$A$3000,0))))</f>
        <v/>
      </c>
      <c r="I2565" s="88" t="str">
        <f>IF(A2565="","",IF(INDEX(EXTRATO!$H$2:$H$3000,MATCH($A2565,EXTRATO!$A$2:$A$3000,0))="","",INDEX(EXTRATO!$H$2:$H$3000,MATCH($A2565,EXTRATO!$A$2:$A$3000,0))))</f>
        <v/>
      </c>
      <c r="J2565" s="86" t="str">
        <f t="shared" si="67"/>
        <v/>
      </c>
      <c r="K2565" s="86" t="str">
        <f>IF(AND(A2565="",D2565="",E2565="",F2565=""),"",IF(D2565="","SEM CATEGORIA",IF(E2565="","SEM SUBCATEGORIA",IF(COUNTIFS(CADASTROS!$L$7:$L$93,D2565,CADASTROS!$D$7:$D$93,E2565)=0,"INCOMPATÍVEL","OK"))))</f>
        <v/>
      </c>
    </row>
    <row r="2566" spans="1:11" ht="30" hidden="1" customHeight="1" x14ac:dyDescent="0.25">
      <c r="A2566" s="86" t="str">
        <f>IF(COUNTIF(EXTRATO!$A$2:$A$3000,"BAN-02423")=0,"","BAN-02423")</f>
        <v/>
      </c>
      <c r="B2566" s="85" t="str">
        <f>IF(A2566="","",IF(INDEX(EXTRATO!$C$2:$C$3000,MATCH($A2566,EXTRATO!$A$2:$A$3000,0))="","",INDEX(EXTRATO!$C$2:$C$3000,MATCH($A2566,EXTRATO!$A$2:$A$3000,0))))</f>
        <v/>
      </c>
      <c r="C2566" s="86" t="str">
        <f t="shared" si="66"/>
        <v/>
      </c>
      <c r="D2566" s="81"/>
      <c r="E2566" s="79"/>
      <c r="F2566" s="80" t="str">
        <f>IF(A2566="","",SUMIF(EXTRATO!$A$2:$A$3000,$A2566,EXTRATO!$J$2:$J$3000)+SUMIF(EXTRATO!$A$2:$A$3000,$A2566,EXTRATO!$K$2:$K$3000)+SUMIF(EXTRATO!$A$2:$A$3000,$A2566,EXTRATO!$L$2:$L$3000)+SUMIF(EXTRATO!$A$2:$A$3000,$A2566,EXTRATO!$M$2:$M$3000))</f>
        <v/>
      </c>
      <c r="G2566" s="81" t="str">
        <f>IF(A2566="","",IF(INDEX(EXTRATO!$G$2:$G$3000,MATCH($A2566,EXTRATO!$A$2:$A$3000,0))="","",INDEX(EXTRATO!$G$2:$G$3000,MATCH($A2566,EXTRATO!$A$2:$A$3000,0))))</f>
        <v/>
      </c>
      <c r="H2566" s="86" t="str">
        <f>IF(A2566="","",IF(INDEX(EXTRATO!$F$2:$F$3000,MATCH($A2566,EXTRATO!$A$2:$A$3000,0))="","",INDEX(EXTRATO!$F$2:$F$3000,MATCH($A2566,EXTRATO!$A$2:$A$3000,0))))</f>
        <v/>
      </c>
      <c r="I2566" s="88" t="str">
        <f>IF(A2566="","",IF(INDEX(EXTRATO!$H$2:$H$3000,MATCH($A2566,EXTRATO!$A$2:$A$3000,0))="","",INDEX(EXTRATO!$H$2:$H$3000,MATCH($A2566,EXTRATO!$A$2:$A$3000,0))))</f>
        <v/>
      </c>
      <c r="J2566" s="86" t="str">
        <f t="shared" si="67"/>
        <v/>
      </c>
      <c r="K2566" s="86" t="str">
        <f>IF(AND(A2566="",D2566="",E2566="",F2566=""),"",IF(D2566="","SEM CATEGORIA",IF(E2566="","SEM SUBCATEGORIA",IF(COUNTIFS(CADASTROS!$L$7:$L$93,D2566,CADASTROS!$D$7:$D$93,E2566)=0,"INCOMPATÍVEL","OK"))))</f>
        <v/>
      </c>
    </row>
    <row r="2567" spans="1:11" ht="30" hidden="1" customHeight="1" x14ac:dyDescent="0.25">
      <c r="A2567" s="86" t="str">
        <f>IF(COUNTIF(EXTRATO!$A$2:$A$3000,"BAN-02424")=0,"","BAN-02424")</f>
        <v/>
      </c>
      <c r="B2567" s="85" t="str">
        <f>IF(A2567="","",IF(INDEX(EXTRATO!$C$2:$C$3000,MATCH($A2567,EXTRATO!$A$2:$A$3000,0))="","",INDEX(EXTRATO!$C$2:$C$3000,MATCH($A2567,EXTRATO!$A$2:$A$3000,0))))</f>
        <v/>
      </c>
      <c r="C2567" s="86" t="str">
        <f t="shared" si="66"/>
        <v/>
      </c>
      <c r="D2567" s="81"/>
      <c r="E2567" s="79"/>
      <c r="F2567" s="80" t="str">
        <f>IF(A2567="","",SUMIF(EXTRATO!$A$2:$A$3000,$A2567,EXTRATO!$J$2:$J$3000)+SUMIF(EXTRATO!$A$2:$A$3000,$A2567,EXTRATO!$K$2:$K$3000)+SUMIF(EXTRATO!$A$2:$A$3000,$A2567,EXTRATO!$L$2:$L$3000)+SUMIF(EXTRATO!$A$2:$A$3000,$A2567,EXTRATO!$M$2:$M$3000))</f>
        <v/>
      </c>
      <c r="G2567" s="81" t="str">
        <f>IF(A2567="","",IF(INDEX(EXTRATO!$G$2:$G$3000,MATCH($A2567,EXTRATO!$A$2:$A$3000,0))="","",INDEX(EXTRATO!$G$2:$G$3000,MATCH($A2567,EXTRATO!$A$2:$A$3000,0))))</f>
        <v/>
      </c>
      <c r="H2567" s="86" t="str">
        <f>IF(A2567="","",IF(INDEX(EXTRATO!$F$2:$F$3000,MATCH($A2567,EXTRATO!$A$2:$A$3000,0))="","",INDEX(EXTRATO!$F$2:$F$3000,MATCH($A2567,EXTRATO!$A$2:$A$3000,0))))</f>
        <v/>
      </c>
      <c r="I2567" s="88" t="str">
        <f>IF(A2567="","",IF(INDEX(EXTRATO!$H$2:$H$3000,MATCH($A2567,EXTRATO!$A$2:$A$3000,0))="","",INDEX(EXTRATO!$H$2:$H$3000,MATCH($A2567,EXTRATO!$A$2:$A$3000,0))))</f>
        <v/>
      </c>
      <c r="J2567" s="86" t="str">
        <f t="shared" si="67"/>
        <v/>
      </c>
      <c r="K2567" s="86" t="str">
        <f>IF(AND(A2567="",D2567="",E2567="",F2567=""),"",IF(D2567="","SEM CATEGORIA",IF(E2567="","SEM SUBCATEGORIA",IF(COUNTIFS(CADASTROS!$L$7:$L$93,D2567,CADASTROS!$D$7:$D$93,E2567)=0,"INCOMPATÍVEL","OK"))))</f>
        <v/>
      </c>
    </row>
    <row r="2568" spans="1:11" ht="30" hidden="1" customHeight="1" x14ac:dyDescent="0.25">
      <c r="A2568" s="86" t="str">
        <f>IF(COUNTIF(EXTRATO!$A$2:$A$3000,"BAN-02425")=0,"","BAN-02425")</f>
        <v/>
      </c>
      <c r="B2568" s="85" t="str">
        <f>IF(A2568="","",IF(INDEX(EXTRATO!$C$2:$C$3000,MATCH($A2568,EXTRATO!$A$2:$A$3000,0))="","",INDEX(EXTRATO!$C$2:$C$3000,MATCH($A2568,EXTRATO!$A$2:$A$3000,0))))</f>
        <v/>
      </c>
      <c r="C2568" s="86" t="str">
        <f t="shared" si="66"/>
        <v/>
      </c>
      <c r="D2568" s="81"/>
      <c r="E2568" s="79"/>
      <c r="F2568" s="80" t="str">
        <f>IF(A2568="","",SUMIF(EXTRATO!$A$2:$A$3000,$A2568,EXTRATO!$J$2:$J$3000)+SUMIF(EXTRATO!$A$2:$A$3000,$A2568,EXTRATO!$K$2:$K$3000)+SUMIF(EXTRATO!$A$2:$A$3000,$A2568,EXTRATO!$L$2:$L$3000)+SUMIF(EXTRATO!$A$2:$A$3000,$A2568,EXTRATO!$M$2:$M$3000))</f>
        <v/>
      </c>
      <c r="G2568" s="81" t="str">
        <f>IF(A2568="","",IF(INDEX(EXTRATO!$G$2:$G$3000,MATCH($A2568,EXTRATO!$A$2:$A$3000,0))="","",INDEX(EXTRATO!$G$2:$G$3000,MATCH($A2568,EXTRATO!$A$2:$A$3000,0))))</f>
        <v/>
      </c>
      <c r="H2568" s="86" t="str">
        <f>IF(A2568="","",IF(INDEX(EXTRATO!$F$2:$F$3000,MATCH($A2568,EXTRATO!$A$2:$A$3000,0))="","",INDEX(EXTRATO!$F$2:$F$3000,MATCH($A2568,EXTRATO!$A$2:$A$3000,0))))</f>
        <v/>
      </c>
      <c r="I2568" s="88" t="str">
        <f>IF(A2568="","",IF(INDEX(EXTRATO!$H$2:$H$3000,MATCH($A2568,EXTRATO!$A$2:$A$3000,0))="","",INDEX(EXTRATO!$H$2:$H$3000,MATCH($A2568,EXTRATO!$A$2:$A$3000,0))))</f>
        <v/>
      </c>
      <c r="J2568" s="86" t="str">
        <f t="shared" si="67"/>
        <v/>
      </c>
      <c r="K2568" s="86" t="str">
        <f>IF(AND(A2568="",D2568="",E2568="",F2568=""),"",IF(D2568="","SEM CATEGORIA",IF(E2568="","SEM SUBCATEGORIA",IF(COUNTIFS(CADASTROS!$L$7:$L$93,D2568,CADASTROS!$D$7:$D$93,E2568)=0,"INCOMPATÍVEL","OK"))))</f>
        <v/>
      </c>
    </row>
    <row r="2569" spans="1:11" ht="30" hidden="1" customHeight="1" x14ac:dyDescent="0.25">
      <c r="A2569" s="86" t="str">
        <f>IF(COUNTIF(EXTRATO!$A$2:$A$3000,"BAN-02426")=0,"","BAN-02426")</f>
        <v/>
      </c>
      <c r="B2569" s="85" t="str">
        <f>IF(A2569="","",IF(INDEX(EXTRATO!$C$2:$C$3000,MATCH($A2569,EXTRATO!$A$2:$A$3000,0))="","",INDEX(EXTRATO!$C$2:$C$3000,MATCH($A2569,EXTRATO!$A$2:$A$3000,0))))</f>
        <v/>
      </c>
      <c r="C2569" s="86" t="str">
        <f t="shared" si="66"/>
        <v/>
      </c>
      <c r="D2569" s="81"/>
      <c r="E2569" s="79"/>
      <c r="F2569" s="80" t="str">
        <f>IF(A2569="","",SUMIF(EXTRATO!$A$2:$A$3000,$A2569,EXTRATO!$J$2:$J$3000)+SUMIF(EXTRATO!$A$2:$A$3000,$A2569,EXTRATO!$K$2:$K$3000)+SUMIF(EXTRATO!$A$2:$A$3000,$A2569,EXTRATO!$L$2:$L$3000)+SUMIF(EXTRATO!$A$2:$A$3000,$A2569,EXTRATO!$M$2:$M$3000))</f>
        <v/>
      </c>
      <c r="G2569" s="81" t="str">
        <f>IF(A2569="","",IF(INDEX(EXTRATO!$G$2:$G$3000,MATCH($A2569,EXTRATO!$A$2:$A$3000,0))="","",INDEX(EXTRATO!$G$2:$G$3000,MATCH($A2569,EXTRATO!$A$2:$A$3000,0))))</f>
        <v/>
      </c>
      <c r="H2569" s="86" t="str">
        <f>IF(A2569="","",IF(INDEX(EXTRATO!$F$2:$F$3000,MATCH($A2569,EXTRATO!$A$2:$A$3000,0))="","",INDEX(EXTRATO!$F$2:$F$3000,MATCH($A2569,EXTRATO!$A$2:$A$3000,0))))</f>
        <v/>
      </c>
      <c r="I2569" s="88" t="str">
        <f>IF(A2569="","",IF(INDEX(EXTRATO!$H$2:$H$3000,MATCH($A2569,EXTRATO!$A$2:$A$3000,0))="","",INDEX(EXTRATO!$H$2:$H$3000,MATCH($A2569,EXTRATO!$A$2:$A$3000,0))))</f>
        <v/>
      </c>
      <c r="J2569" s="86" t="str">
        <f t="shared" si="67"/>
        <v/>
      </c>
      <c r="K2569" s="86" t="str">
        <f>IF(AND(A2569="",D2569="",E2569="",F2569=""),"",IF(D2569="","SEM CATEGORIA",IF(E2569="","SEM SUBCATEGORIA",IF(COUNTIFS(CADASTROS!$L$7:$L$93,D2569,CADASTROS!$D$7:$D$93,E2569)=0,"INCOMPATÍVEL","OK"))))</f>
        <v/>
      </c>
    </row>
    <row r="2570" spans="1:11" ht="30" hidden="1" customHeight="1" x14ac:dyDescent="0.25">
      <c r="A2570" s="86" t="str">
        <f>IF(COUNTIF(EXTRATO!$A$2:$A$3000,"BAN-02427")=0,"","BAN-02427")</f>
        <v/>
      </c>
      <c r="B2570" s="85" t="str">
        <f>IF(A2570="","",IF(INDEX(EXTRATO!$C$2:$C$3000,MATCH($A2570,EXTRATO!$A$2:$A$3000,0))="","",INDEX(EXTRATO!$C$2:$C$3000,MATCH($A2570,EXTRATO!$A$2:$A$3000,0))))</f>
        <v/>
      </c>
      <c r="C2570" s="86" t="str">
        <f t="shared" si="66"/>
        <v/>
      </c>
      <c r="D2570" s="81"/>
      <c r="E2570" s="79"/>
      <c r="F2570" s="80" t="str">
        <f>IF(A2570="","",SUMIF(EXTRATO!$A$2:$A$3000,$A2570,EXTRATO!$J$2:$J$3000)+SUMIF(EXTRATO!$A$2:$A$3000,$A2570,EXTRATO!$K$2:$K$3000)+SUMIF(EXTRATO!$A$2:$A$3000,$A2570,EXTRATO!$L$2:$L$3000)+SUMIF(EXTRATO!$A$2:$A$3000,$A2570,EXTRATO!$M$2:$M$3000))</f>
        <v/>
      </c>
      <c r="G2570" s="81" t="str">
        <f>IF(A2570="","",IF(INDEX(EXTRATO!$G$2:$G$3000,MATCH($A2570,EXTRATO!$A$2:$A$3000,0))="","",INDEX(EXTRATO!$G$2:$G$3000,MATCH($A2570,EXTRATO!$A$2:$A$3000,0))))</f>
        <v/>
      </c>
      <c r="H2570" s="86" t="str">
        <f>IF(A2570="","",IF(INDEX(EXTRATO!$F$2:$F$3000,MATCH($A2570,EXTRATO!$A$2:$A$3000,0))="","",INDEX(EXTRATO!$F$2:$F$3000,MATCH($A2570,EXTRATO!$A$2:$A$3000,0))))</f>
        <v/>
      </c>
      <c r="I2570" s="88" t="str">
        <f>IF(A2570="","",IF(INDEX(EXTRATO!$H$2:$H$3000,MATCH($A2570,EXTRATO!$A$2:$A$3000,0))="","",INDEX(EXTRATO!$H$2:$H$3000,MATCH($A2570,EXTRATO!$A$2:$A$3000,0))))</f>
        <v/>
      </c>
      <c r="J2570" s="86" t="str">
        <f t="shared" si="67"/>
        <v/>
      </c>
      <c r="K2570" s="86" t="str">
        <f>IF(AND(A2570="",D2570="",E2570="",F2570=""),"",IF(D2570="","SEM CATEGORIA",IF(E2570="","SEM SUBCATEGORIA",IF(COUNTIFS(CADASTROS!$L$7:$L$93,D2570,CADASTROS!$D$7:$D$93,E2570)=0,"INCOMPATÍVEL","OK"))))</f>
        <v/>
      </c>
    </row>
    <row r="2571" spans="1:11" ht="30" hidden="1" customHeight="1" x14ac:dyDescent="0.25">
      <c r="A2571" s="86" t="str">
        <f>IF(COUNTIF(EXTRATO!$A$2:$A$3000,"BAN-02428")=0,"","BAN-02428")</f>
        <v/>
      </c>
      <c r="B2571" s="85" t="str">
        <f>IF(A2571="","",IF(INDEX(EXTRATO!$C$2:$C$3000,MATCH($A2571,EXTRATO!$A$2:$A$3000,0))="","",INDEX(EXTRATO!$C$2:$C$3000,MATCH($A2571,EXTRATO!$A$2:$A$3000,0))))</f>
        <v/>
      </c>
      <c r="C2571" s="86" t="str">
        <f t="shared" si="66"/>
        <v/>
      </c>
      <c r="D2571" s="81"/>
      <c r="E2571" s="79"/>
      <c r="F2571" s="80" t="str">
        <f>IF(A2571="","",SUMIF(EXTRATO!$A$2:$A$3000,$A2571,EXTRATO!$J$2:$J$3000)+SUMIF(EXTRATO!$A$2:$A$3000,$A2571,EXTRATO!$K$2:$K$3000)+SUMIF(EXTRATO!$A$2:$A$3000,$A2571,EXTRATO!$L$2:$L$3000)+SUMIF(EXTRATO!$A$2:$A$3000,$A2571,EXTRATO!$M$2:$M$3000))</f>
        <v/>
      </c>
      <c r="G2571" s="81" t="str">
        <f>IF(A2571="","",IF(INDEX(EXTRATO!$G$2:$G$3000,MATCH($A2571,EXTRATO!$A$2:$A$3000,0))="","",INDEX(EXTRATO!$G$2:$G$3000,MATCH($A2571,EXTRATO!$A$2:$A$3000,0))))</f>
        <v/>
      </c>
      <c r="H2571" s="86" t="str">
        <f>IF(A2571="","",IF(INDEX(EXTRATO!$F$2:$F$3000,MATCH($A2571,EXTRATO!$A$2:$A$3000,0))="","",INDEX(EXTRATO!$F$2:$F$3000,MATCH($A2571,EXTRATO!$A$2:$A$3000,0))))</f>
        <v/>
      </c>
      <c r="I2571" s="88" t="str">
        <f>IF(A2571="","",IF(INDEX(EXTRATO!$H$2:$H$3000,MATCH($A2571,EXTRATO!$A$2:$A$3000,0))="","",INDEX(EXTRATO!$H$2:$H$3000,MATCH($A2571,EXTRATO!$A$2:$A$3000,0))))</f>
        <v/>
      </c>
      <c r="J2571" s="86" t="str">
        <f t="shared" si="67"/>
        <v/>
      </c>
      <c r="K2571" s="86" t="str">
        <f>IF(AND(A2571="",D2571="",E2571="",F2571=""),"",IF(D2571="","SEM CATEGORIA",IF(E2571="","SEM SUBCATEGORIA",IF(COUNTIFS(CADASTROS!$L$7:$L$93,D2571,CADASTROS!$D$7:$D$93,E2571)=0,"INCOMPATÍVEL","OK"))))</f>
        <v/>
      </c>
    </row>
    <row r="2572" spans="1:11" ht="30" hidden="1" customHeight="1" x14ac:dyDescent="0.25">
      <c r="A2572" s="86" t="str">
        <f>IF(COUNTIF(EXTRATO!$A$2:$A$3000,"BAN-02429")=0,"","BAN-02429")</f>
        <v/>
      </c>
      <c r="B2572" s="85" t="str">
        <f>IF(A2572="","",IF(INDEX(EXTRATO!$C$2:$C$3000,MATCH($A2572,EXTRATO!$A$2:$A$3000,0))="","",INDEX(EXTRATO!$C$2:$C$3000,MATCH($A2572,EXTRATO!$A$2:$A$3000,0))))</f>
        <v/>
      </c>
      <c r="C2572" s="86" t="str">
        <f t="shared" si="66"/>
        <v/>
      </c>
      <c r="D2572" s="81"/>
      <c r="E2572" s="79"/>
      <c r="F2572" s="80" t="str">
        <f>IF(A2572="","",SUMIF(EXTRATO!$A$2:$A$3000,$A2572,EXTRATO!$J$2:$J$3000)+SUMIF(EXTRATO!$A$2:$A$3000,$A2572,EXTRATO!$K$2:$K$3000)+SUMIF(EXTRATO!$A$2:$A$3000,$A2572,EXTRATO!$L$2:$L$3000)+SUMIF(EXTRATO!$A$2:$A$3000,$A2572,EXTRATO!$M$2:$M$3000))</f>
        <v/>
      </c>
      <c r="G2572" s="81" t="str">
        <f>IF(A2572="","",IF(INDEX(EXTRATO!$G$2:$G$3000,MATCH($A2572,EXTRATO!$A$2:$A$3000,0))="","",INDEX(EXTRATO!$G$2:$G$3000,MATCH($A2572,EXTRATO!$A$2:$A$3000,0))))</f>
        <v/>
      </c>
      <c r="H2572" s="86" t="str">
        <f>IF(A2572="","",IF(INDEX(EXTRATO!$F$2:$F$3000,MATCH($A2572,EXTRATO!$A$2:$A$3000,0))="","",INDEX(EXTRATO!$F$2:$F$3000,MATCH($A2572,EXTRATO!$A$2:$A$3000,0))))</f>
        <v/>
      </c>
      <c r="I2572" s="88" t="str">
        <f>IF(A2572="","",IF(INDEX(EXTRATO!$H$2:$H$3000,MATCH($A2572,EXTRATO!$A$2:$A$3000,0))="","",INDEX(EXTRATO!$H$2:$H$3000,MATCH($A2572,EXTRATO!$A$2:$A$3000,0))))</f>
        <v/>
      </c>
      <c r="J2572" s="86" t="str">
        <f t="shared" si="67"/>
        <v/>
      </c>
      <c r="K2572" s="86" t="str">
        <f>IF(AND(A2572="",D2572="",E2572="",F2572=""),"",IF(D2572="","SEM CATEGORIA",IF(E2572="","SEM SUBCATEGORIA",IF(COUNTIFS(CADASTROS!$L$7:$L$93,D2572,CADASTROS!$D$7:$D$93,E2572)=0,"INCOMPATÍVEL","OK"))))</f>
        <v/>
      </c>
    </row>
    <row r="2573" spans="1:11" ht="30" hidden="1" customHeight="1" x14ac:dyDescent="0.25">
      <c r="A2573" s="86" t="str">
        <f>IF(COUNTIF(EXTRATO!$A$2:$A$3000,"BAN-02430")=0,"","BAN-02430")</f>
        <v/>
      </c>
      <c r="B2573" s="85" t="str">
        <f>IF(A2573="","",IF(INDEX(EXTRATO!$C$2:$C$3000,MATCH($A2573,EXTRATO!$A$2:$A$3000,0))="","",INDEX(EXTRATO!$C$2:$C$3000,MATCH($A2573,EXTRATO!$A$2:$A$3000,0))))</f>
        <v/>
      </c>
      <c r="C2573" s="86" t="str">
        <f t="shared" si="66"/>
        <v/>
      </c>
      <c r="D2573" s="81"/>
      <c r="E2573" s="79"/>
      <c r="F2573" s="80" t="str">
        <f>IF(A2573="","",SUMIF(EXTRATO!$A$2:$A$3000,$A2573,EXTRATO!$J$2:$J$3000)+SUMIF(EXTRATO!$A$2:$A$3000,$A2573,EXTRATO!$K$2:$K$3000)+SUMIF(EXTRATO!$A$2:$A$3000,$A2573,EXTRATO!$L$2:$L$3000)+SUMIF(EXTRATO!$A$2:$A$3000,$A2573,EXTRATO!$M$2:$M$3000))</f>
        <v/>
      </c>
      <c r="G2573" s="81" t="str">
        <f>IF(A2573="","",IF(INDEX(EXTRATO!$G$2:$G$3000,MATCH($A2573,EXTRATO!$A$2:$A$3000,0))="","",INDEX(EXTRATO!$G$2:$G$3000,MATCH($A2573,EXTRATO!$A$2:$A$3000,0))))</f>
        <v/>
      </c>
      <c r="H2573" s="86" t="str">
        <f>IF(A2573="","",IF(INDEX(EXTRATO!$F$2:$F$3000,MATCH($A2573,EXTRATO!$A$2:$A$3000,0))="","",INDEX(EXTRATO!$F$2:$F$3000,MATCH($A2573,EXTRATO!$A$2:$A$3000,0))))</f>
        <v/>
      </c>
      <c r="I2573" s="88" t="str">
        <f>IF(A2573="","",IF(INDEX(EXTRATO!$H$2:$H$3000,MATCH($A2573,EXTRATO!$A$2:$A$3000,0))="","",INDEX(EXTRATO!$H$2:$H$3000,MATCH($A2573,EXTRATO!$A$2:$A$3000,0))))</f>
        <v/>
      </c>
      <c r="J2573" s="86" t="str">
        <f t="shared" si="67"/>
        <v/>
      </c>
      <c r="K2573" s="86" t="str">
        <f>IF(AND(A2573="",D2573="",E2573="",F2573=""),"",IF(D2573="","SEM CATEGORIA",IF(E2573="","SEM SUBCATEGORIA",IF(COUNTIFS(CADASTROS!$L$7:$L$93,D2573,CADASTROS!$D$7:$D$93,E2573)=0,"INCOMPATÍVEL","OK"))))</f>
        <v/>
      </c>
    </row>
    <row r="2574" spans="1:11" ht="30" hidden="1" customHeight="1" x14ac:dyDescent="0.25">
      <c r="A2574" s="86" t="str">
        <f>IF(COUNTIF(EXTRATO!$A$2:$A$3000,"BAN-02431")=0,"","BAN-02431")</f>
        <v/>
      </c>
      <c r="B2574" s="85" t="str">
        <f>IF(A2574="","",IF(INDEX(EXTRATO!$C$2:$C$3000,MATCH($A2574,EXTRATO!$A$2:$A$3000,0))="","",INDEX(EXTRATO!$C$2:$C$3000,MATCH($A2574,EXTRATO!$A$2:$A$3000,0))))</f>
        <v/>
      </c>
      <c r="C2574" s="86" t="str">
        <f t="shared" si="66"/>
        <v/>
      </c>
      <c r="D2574" s="81"/>
      <c r="E2574" s="79"/>
      <c r="F2574" s="80" t="str">
        <f>IF(A2574="","",SUMIF(EXTRATO!$A$2:$A$3000,$A2574,EXTRATO!$J$2:$J$3000)+SUMIF(EXTRATO!$A$2:$A$3000,$A2574,EXTRATO!$K$2:$K$3000)+SUMIF(EXTRATO!$A$2:$A$3000,$A2574,EXTRATO!$L$2:$L$3000)+SUMIF(EXTRATO!$A$2:$A$3000,$A2574,EXTRATO!$M$2:$M$3000))</f>
        <v/>
      </c>
      <c r="G2574" s="81" t="str">
        <f>IF(A2574="","",IF(INDEX(EXTRATO!$G$2:$G$3000,MATCH($A2574,EXTRATO!$A$2:$A$3000,0))="","",INDEX(EXTRATO!$G$2:$G$3000,MATCH($A2574,EXTRATO!$A$2:$A$3000,0))))</f>
        <v/>
      </c>
      <c r="H2574" s="86" t="str">
        <f>IF(A2574="","",IF(INDEX(EXTRATO!$F$2:$F$3000,MATCH($A2574,EXTRATO!$A$2:$A$3000,0))="","",INDEX(EXTRATO!$F$2:$F$3000,MATCH($A2574,EXTRATO!$A$2:$A$3000,0))))</f>
        <v/>
      </c>
      <c r="I2574" s="88" t="str">
        <f>IF(A2574="","",IF(INDEX(EXTRATO!$H$2:$H$3000,MATCH($A2574,EXTRATO!$A$2:$A$3000,0))="","",INDEX(EXTRATO!$H$2:$H$3000,MATCH($A2574,EXTRATO!$A$2:$A$3000,0))))</f>
        <v/>
      </c>
      <c r="J2574" s="86" t="str">
        <f t="shared" si="67"/>
        <v/>
      </c>
      <c r="K2574" s="86" t="str">
        <f>IF(AND(A2574="",D2574="",E2574="",F2574=""),"",IF(D2574="","SEM CATEGORIA",IF(E2574="","SEM SUBCATEGORIA",IF(COUNTIFS(CADASTROS!$L$7:$L$93,D2574,CADASTROS!$D$7:$D$93,E2574)=0,"INCOMPATÍVEL","OK"))))</f>
        <v/>
      </c>
    </row>
    <row r="2575" spans="1:11" ht="30" hidden="1" customHeight="1" x14ac:dyDescent="0.25">
      <c r="A2575" s="86" t="str">
        <f>IF(COUNTIF(EXTRATO!$A$2:$A$3000,"BAN-02432")=0,"","BAN-02432")</f>
        <v/>
      </c>
      <c r="B2575" s="85" t="str">
        <f>IF(A2575="","",IF(INDEX(EXTRATO!$C$2:$C$3000,MATCH($A2575,EXTRATO!$A$2:$A$3000,0))="","",INDEX(EXTRATO!$C$2:$C$3000,MATCH($A2575,EXTRATO!$A$2:$A$3000,0))))</f>
        <v/>
      </c>
      <c r="C2575" s="86" t="str">
        <f t="shared" si="66"/>
        <v/>
      </c>
      <c r="D2575" s="81"/>
      <c r="E2575" s="79"/>
      <c r="F2575" s="80" t="str">
        <f>IF(A2575="","",SUMIF(EXTRATO!$A$2:$A$3000,$A2575,EXTRATO!$J$2:$J$3000)+SUMIF(EXTRATO!$A$2:$A$3000,$A2575,EXTRATO!$K$2:$K$3000)+SUMIF(EXTRATO!$A$2:$A$3000,$A2575,EXTRATO!$L$2:$L$3000)+SUMIF(EXTRATO!$A$2:$A$3000,$A2575,EXTRATO!$M$2:$M$3000))</f>
        <v/>
      </c>
      <c r="G2575" s="81" t="str">
        <f>IF(A2575="","",IF(INDEX(EXTRATO!$G$2:$G$3000,MATCH($A2575,EXTRATO!$A$2:$A$3000,0))="","",INDEX(EXTRATO!$G$2:$G$3000,MATCH($A2575,EXTRATO!$A$2:$A$3000,0))))</f>
        <v/>
      </c>
      <c r="H2575" s="86" t="str">
        <f>IF(A2575="","",IF(INDEX(EXTRATO!$F$2:$F$3000,MATCH($A2575,EXTRATO!$A$2:$A$3000,0))="","",INDEX(EXTRATO!$F$2:$F$3000,MATCH($A2575,EXTRATO!$A$2:$A$3000,0))))</f>
        <v/>
      </c>
      <c r="I2575" s="88" t="str">
        <f>IF(A2575="","",IF(INDEX(EXTRATO!$H$2:$H$3000,MATCH($A2575,EXTRATO!$A$2:$A$3000,0))="","",INDEX(EXTRATO!$H$2:$H$3000,MATCH($A2575,EXTRATO!$A$2:$A$3000,0))))</f>
        <v/>
      </c>
      <c r="J2575" s="86" t="str">
        <f t="shared" si="67"/>
        <v/>
      </c>
      <c r="K2575" s="86" t="str">
        <f>IF(AND(A2575="",D2575="",E2575="",F2575=""),"",IF(D2575="","SEM CATEGORIA",IF(E2575="","SEM SUBCATEGORIA",IF(COUNTIFS(CADASTROS!$L$7:$L$93,D2575,CADASTROS!$D$7:$D$93,E2575)=0,"INCOMPATÍVEL","OK"))))</f>
        <v/>
      </c>
    </row>
    <row r="2576" spans="1:11" ht="30" hidden="1" customHeight="1" x14ac:dyDescent="0.25">
      <c r="A2576" s="86" t="str">
        <f>IF(COUNTIF(EXTRATO!$A$2:$A$3000,"BAN-02433")=0,"","BAN-02433")</f>
        <v/>
      </c>
      <c r="B2576" s="85" t="str">
        <f>IF(A2576="","",IF(INDEX(EXTRATO!$C$2:$C$3000,MATCH($A2576,EXTRATO!$A$2:$A$3000,0))="","",INDEX(EXTRATO!$C$2:$C$3000,MATCH($A2576,EXTRATO!$A$2:$A$3000,0))))</f>
        <v/>
      </c>
      <c r="C2576" s="86" t="str">
        <f t="shared" si="66"/>
        <v/>
      </c>
      <c r="D2576" s="81"/>
      <c r="E2576" s="79"/>
      <c r="F2576" s="80" t="str">
        <f>IF(A2576="","",SUMIF(EXTRATO!$A$2:$A$3000,$A2576,EXTRATO!$J$2:$J$3000)+SUMIF(EXTRATO!$A$2:$A$3000,$A2576,EXTRATO!$K$2:$K$3000)+SUMIF(EXTRATO!$A$2:$A$3000,$A2576,EXTRATO!$L$2:$L$3000)+SUMIF(EXTRATO!$A$2:$A$3000,$A2576,EXTRATO!$M$2:$M$3000))</f>
        <v/>
      </c>
      <c r="G2576" s="81" t="str">
        <f>IF(A2576="","",IF(INDEX(EXTRATO!$G$2:$G$3000,MATCH($A2576,EXTRATO!$A$2:$A$3000,0))="","",INDEX(EXTRATO!$G$2:$G$3000,MATCH($A2576,EXTRATO!$A$2:$A$3000,0))))</f>
        <v/>
      </c>
      <c r="H2576" s="86" t="str">
        <f>IF(A2576="","",IF(INDEX(EXTRATO!$F$2:$F$3000,MATCH($A2576,EXTRATO!$A$2:$A$3000,0))="","",INDEX(EXTRATO!$F$2:$F$3000,MATCH($A2576,EXTRATO!$A$2:$A$3000,0))))</f>
        <v/>
      </c>
      <c r="I2576" s="88" t="str">
        <f>IF(A2576="","",IF(INDEX(EXTRATO!$H$2:$H$3000,MATCH($A2576,EXTRATO!$A$2:$A$3000,0))="","",INDEX(EXTRATO!$H$2:$H$3000,MATCH($A2576,EXTRATO!$A$2:$A$3000,0))))</f>
        <v/>
      </c>
      <c r="J2576" s="86" t="str">
        <f t="shared" si="67"/>
        <v/>
      </c>
      <c r="K2576" s="86" t="str">
        <f>IF(AND(A2576="",D2576="",E2576="",F2576=""),"",IF(D2576="","SEM CATEGORIA",IF(E2576="","SEM SUBCATEGORIA",IF(COUNTIFS(CADASTROS!$L$7:$L$93,D2576,CADASTROS!$D$7:$D$93,E2576)=0,"INCOMPATÍVEL","OK"))))</f>
        <v/>
      </c>
    </row>
    <row r="2577" spans="1:11" ht="30" hidden="1" customHeight="1" x14ac:dyDescent="0.25">
      <c r="A2577" s="86" t="str">
        <f>IF(COUNTIF(EXTRATO!$A$2:$A$3000,"BAN-02434")=0,"","BAN-02434")</f>
        <v/>
      </c>
      <c r="B2577" s="85" t="str">
        <f>IF(A2577="","",IF(INDEX(EXTRATO!$C$2:$C$3000,MATCH($A2577,EXTRATO!$A$2:$A$3000,0))="","",INDEX(EXTRATO!$C$2:$C$3000,MATCH($A2577,EXTRATO!$A$2:$A$3000,0))))</f>
        <v/>
      </c>
      <c r="C2577" s="86" t="str">
        <f t="shared" si="66"/>
        <v/>
      </c>
      <c r="D2577" s="81"/>
      <c r="E2577" s="79"/>
      <c r="F2577" s="80" t="str">
        <f>IF(A2577="","",SUMIF(EXTRATO!$A$2:$A$3000,$A2577,EXTRATO!$J$2:$J$3000)+SUMIF(EXTRATO!$A$2:$A$3000,$A2577,EXTRATO!$K$2:$K$3000)+SUMIF(EXTRATO!$A$2:$A$3000,$A2577,EXTRATO!$L$2:$L$3000)+SUMIF(EXTRATO!$A$2:$A$3000,$A2577,EXTRATO!$M$2:$M$3000))</f>
        <v/>
      </c>
      <c r="G2577" s="81" t="str">
        <f>IF(A2577="","",IF(INDEX(EXTRATO!$G$2:$G$3000,MATCH($A2577,EXTRATO!$A$2:$A$3000,0))="","",INDEX(EXTRATO!$G$2:$G$3000,MATCH($A2577,EXTRATO!$A$2:$A$3000,0))))</f>
        <v/>
      </c>
      <c r="H2577" s="86" t="str">
        <f>IF(A2577="","",IF(INDEX(EXTRATO!$F$2:$F$3000,MATCH($A2577,EXTRATO!$A$2:$A$3000,0))="","",INDEX(EXTRATO!$F$2:$F$3000,MATCH($A2577,EXTRATO!$A$2:$A$3000,0))))</f>
        <v/>
      </c>
      <c r="I2577" s="88" t="str">
        <f>IF(A2577="","",IF(INDEX(EXTRATO!$H$2:$H$3000,MATCH($A2577,EXTRATO!$A$2:$A$3000,0))="","",INDEX(EXTRATO!$H$2:$H$3000,MATCH($A2577,EXTRATO!$A$2:$A$3000,0))))</f>
        <v/>
      </c>
      <c r="J2577" s="86" t="str">
        <f t="shared" si="67"/>
        <v/>
      </c>
      <c r="K2577" s="86" t="str">
        <f>IF(AND(A2577="",D2577="",E2577="",F2577=""),"",IF(D2577="","SEM CATEGORIA",IF(E2577="","SEM SUBCATEGORIA",IF(COUNTIFS(CADASTROS!$L$7:$L$93,D2577,CADASTROS!$D$7:$D$93,E2577)=0,"INCOMPATÍVEL","OK"))))</f>
        <v/>
      </c>
    </row>
    <row r="2578" spans="1:11" ht="30" hidden="1" customHeight="1" x14ac:dyDescent="0.25">
      <c r="A2578" s="86" t="str">
        <f>IF(COUNTIF(EXTRATO!$A$2:$A$3000,"BAN-02435")=0,"","BAN-02435")</f>
        <v/>
      </c>
      <c r="B2578" s="85" t="str">
        <f>IF(A2578="","",IF(INDEX(EXTRATO!$C$2:$C$3000,MATCH($A2578,EXTRATO!$A$2:$A$3000,0))="","",INDEX(EXTRATO!$C$2:$C$3000,MATCH($A2578,EXTRATO!$A$2:$A$3000,0))))</f>
        <v/>
      </c>
      <c r="C2578" s="86" t="str">
        <f t="shared" si="66"/>
        <v/>
      </c>
      <c r="D2578" s="81"/>
      <c r="E2578" s="79"/>
      <c r="F2578" s="80" t="str">
        <f>IF(A2578="","",SUMIF(EXTRATO!$A$2:$A$3000,$A2578,EXTRATO!$J$2:$J$3000)+SUMIF(EXTRATO!$A$2:$A$3000,$A2578,EXTRATO!$K$2:$K$3000)+SUMIF(EXTRATO!$A$2:$A$3000,$A2578,EXTRATO!$L$2:$L$3000)+SUMIF(EXTRATO!$A$2:$A$3000,$A2578,EXTRATO!$M$2:$M$3000))</f>
        <v/>
      </c>
      <c r="G2578" s="81" t="str">
        <f>IF(A2578="","",IF(INDEX(EXTRATO!$G$2:$G$3000,MATCH($A2578,EXTRATO!$A$2:$A$3000,0))="","",INDEX(EXTRATO!$G$2:$G$3000,MATCH($A2578,EXTRATO!$A$2:$A$3000,0))))</f>
        <v/>
      </c>
      <c r="H2578" s="86" t="str">
        <f>IF(A2578="","",IF(INDEX(EXTRATO!$F$2:$F$3000,MATCH($A2578,EXTRATO!$A$2:$A$3000,0))="","",INDEX(EXTRATO!$F$2:$F$3000,MATCH($A2578,EXTRATO!$A$2:$A$3000,0))))</f>
        <v/>
      </c>
      <c r="I2578" s="88" t="str">
        <f>IF(A2578="","",IF(INDEX(EXTRATO!$H$2:$H$3000,MATCH($A2578,EXTRATO!$A$2:$A$3000,0))="","",INDEX(EXTRATO!$H$2:$H$3000,MATCH($A2578,EXTRATO!$A$2:$A$3000,0))))</f>
        <v/>
      </c>
      <c r="J2578" s="86" t="str">
        <f t="shared" si="67"/>
        <v/>
      </c>
      <c r="K2578" s="86" t="str">
        <f>IF(AND(A2578="",D2578="",E2578="",F2578=""),"",IF(D2578="","SEM CATEGORIA",IF(E2578="","SEM SUBCATEGORIA",IF(COUNTIFS(CADASTROS!$L$7:$L$93,D2578,CADASTROS!$D$7:$D$93,E2578)=0,"INCOMPATÍVEL","OK"))))</f>
        <v/>
      </c>
    </row>
    <row r="2579" spans="1:11" ht="30" hidden="1" customHeight="1" x14ac:dyDescent="0.25">
      <c r="A2579" s="86" t="str">
        <f>IF(COUNTIF(EXTRATO!$A$2:$A$3000,"BAN-02436")=0,"","BAN-02436")</f>
        <v/>
      </c>
      <c r="B2579" s="85" t="str">
        <f>IF(A2579="","",IF(INDEX(EXTRATO!$C$2:$C$3000,MATCH($A2579,EXTRATO!$A$2:$A$3000,0))="","",INDEX(EXTRATO!$C$2:$C$3000,MATCH($A2579,EXTRATO!$A$2:$A$3000,0))))</f>
        <v/>
      </c>
      <c r="C2579" s="86" t="str">
        <f t="shared" si="66"/>
        <v/>
      </c>
      <c r="D2579" s="81"/>
      <c r="E2579" s="79"/>
      <c r="F2579" s="80" t="str">
        <f>IF(A2579="","",SUMIF(EXTRATO!$A$2:$A$3000,$A2579,EXTRATO!$J$2:$J$3000)+SUMIF(EXTRATO!$A$2:$A$3000,$A2579,EXTRATO!$K$2:$K$3000)+SUMIF(EXTRATO!$A$2:$A$3000,$A2579,EXTRATO!$L$2:$L$3000)+SUMIF(EXTRATO!$A$2:$A$3000,$A2579,EXTRATO!$M$2:$M$3000))</f>
        <v/>
      </c>
      <c r="G2579" s="81" t="str">
        <f>IF(A2579="","",IF(INDEX(EXTRATO!$G$2:$G$3000,MATCH($A2579,EXTRATO!$A$2:$A$3000,0))="","",INDEX(EXTRATO!$G$2:$G$3000,MATCH($A2579,EXTRATO!$A$2:$A$3000,0))))</f>
        <v/>
      </c>
      <c r="H2579" s="86" t="str">
        <f>IF(A2579="","",IF(INDEX(EXTRATO!$F$2:$F$3000,MATCH($A2579,EXTRATO!$A$2:$A$3000,0))="","",INDEX(EXTRATO!$F$2:$F$3000,MATCH($A2579,EXTRATO!$A$2:$A$3000,0))))</f>
        <v/>
      </c>
      <c r="I2579" s="88" t="str">
        <f>IF(A2579="","",IF(INDEX(EXTRATO!$H$2:$H$3000,MATCH($A2579,EXTRATO!$A$2:$A$3000,0))="","",INDEX(EXTRATO!$H$2:$H$3000,MATCH($A2579,EXTRATO!$A$2:$A$3000,0))))</f>
        <v/>
      </c>
      <c r="J2579" s="86" t="str">
        <f t="shared" si="67"/>
        <v/>
      </c>
      <c r="K2579" s="86" t="str">
        <f>IF(AND(A2579="",D2579="",E2579="",F2579=""),"",IF(D2579="","SEM CATEGORIA",IF(E2579="","SEM SUBCATEGORIA",IF(COUNTIFS(CADASTROS!$L$7:$L$93,D2579,CADASTROS!$D$7:$D$93,E2579)=0,"INCOMPATÍVEL","OK"))))</f>
        <v/>
      </c>
    </row>
    <row r="2580" spans="1:11" ht="30" hidden="1" customHeight="1" x14ac:dyDescent="0.25">
      <c r="A2580" s="86" t="str">
        <f>IF(COUNTIF(EXTRATO!$A$2:$A$3000,"BAN-02437")=0,"","BAN-02437")</f>
        <v/>
      </c>
      <c r="B2580" s="85" t="str">
        <f>IF(A2580="","",IF(INDEX(EXTRATO!$C$2:$C$3000,MATCH($A2580,EXTRATO!$A$2:$A$3000,0))="","",INDEX(EXTRATO!$C$2:$C$3000,MATCH($A2580,EXTRATO!$A$2:$A$3000,0))))</f>
        <v/>
      </c>
      <c r="C2580" s="86" t="str">
        <f t="shared" si="66"/>
        <v/>
      </c>
      <c r="D2580" s="81"/>
      <c r="E2580" s="79"/>
      <c r="F2580" s="80" t="str">
        <f>IF(A2580="","",SUMIF(EXTRATO!$A$2:$A$3000,$A2580,EXTRATO!$J$2:$J$3000)+SUMIF(EXTRATO!$A$2:$A$3000,$A2580,EXTRATO!$K$2:$K$3000)+SUMIF(EXTRATO!$A$2:$A$3000,$A2580,EXTRATO!$L$2:$L$3000)+SUMIF(EXTRATO!$A$2:$A$3000,$A2580,EXTRATO!$M$2:$M$3000))</f>
        <v/>
      </c>
      <c r="G2580" s="81" t="str">
        <f>IF(A2580="","",IF(INDEX(EXTRATO!$G$2:$G$3000,MATCH($A2580,EXTRATO!$A$2:$A$3000,0))="","",INDEX(EXTRATO!$G$2:$G$3000,MATCH($A2580,EXTRATO!$A$2:$A$3000,0))))</f>
        <v/>
      </c>
      <c r="H2580" s="86" t="str">
        <f>IF(A2580="","",IF(INDEX(EXTRATO!$F$2:$F$3000,MATCH($A2580,EXTRATO!$A$2:$A$3000,0))="","",INDEX(EXTRATO!$F$2:$F$3000,MATCH($A2580,EXTRATO!$A$2:$A$3000,0))))</f>
        <v/>
      </c>
      <c r="I2580" s="88" t="str">
        <f>IF(A2580="","",IF(INDEX(EXTRATO!$H$2:$H$3000,MATCH($A2580,EXTRATO!$A$2:$A$3000,0))="","",INDEX(EXTRATO!$H$2:$H$3000,MATCH($A2580,EXTRATO!$A$2:$A$3000,0))))</f>
        <v/>
      </c>
      <c r="J2580" s="86" t="str">
        <f t="shared" si="67"/>
        <v/>
      </c>
      <c r="K2580" s="86" t="str">
        <f>IF(AND(A2580="",D2580="",E2580="",F2580=""),"",IF(D2580="","SEM CATEGORIA",IF(E2580="","SEM SUBCATEGORIA",IF(COUNTIFS(CADASTROS!$L$7:$L$93,D2580,CADASTROS!$D$7:$D$93,E2580)=0,"INCOMPATÍVEL","OK"))))</f>
        <v/>
      </c>
    </row>
    <row r="2581" spans="1:11" ht="30" hidden="1" customHeight="1" x14ac:dyDescent="0.25">
      <c r="A2581" s="86" t="str">
        <f>IF(COUNTIF(EXTRATO!$A$2:$A$3000,"BAN-02438")=0,"","BAN-02438")</f>
        <v/>
      </c>
      <c r="B2581" s="85" t="str">
        <f>IF(A2581="","",IF(INDEX(EXTRATO!$C$2:$C$3000,MATCH($A2581,EXTRATO!$A$2:$A$3000,0))="","",INDEX(EXTRATO!$C$2:$C$3000,MATCH($A2581,EXTRATO!$A$2:$A$3000,0))))</f>
        <v/>
      </c>
      <c r="C2581" s="86" t="str">
        <f t="shared" ref="C2581:C2644" si="68">IF(B2581="","",MONTH(B2581))</f>
        <v/>
      </c>
      <c r="D2581" s="81"/>
      <c r="E2581" s="79"/>
      <c r="F2581" s="80" t="str">
        <f>IF(A2581="","",SUMIF(EXTRATO!$A$2:$A$3000,$A2581,EXTRATO!$J$2:$J$3000)+SUMIF(EXTRATO!$A$2:$A$3000,$A2581,EXTRATO!$K$2:$K$3000)+SUMIF(EXTRATO!$A$2:$A$3000,$A2581,EXTRATO!$L$2:$L$3000)+SUMIF(EXTRATO!$A$2:$A$3000,$A2581,EXTRATO!$M$2:$M$3000))</f>
        <v/>
      </c>
      <c r="G2581" s="81" t="str">
        <f>IF(A2581="","",IF(INDEX(EXTRATO!$G$2:$G$3000,MATCH($A2581,EXTRATO!$A$2:$A$3000,0))="","",INDEX(EXTRATO!$G$2:$G$3000,MATCH($A2581,EXTRATO!$A$2:$A$3000,0))))</f>
        <v/>
      </c>
      <c r="H2581" s="86" t="str">
        <f>IF(A2581="","",IF(INDEX(EXTRATO!$F$2:$F$3000,MATCH($A2581,EXTRATO!$A$2:$A$3000,0))="","",INDEX(EXTRATO!$F$2:$F$3000,MATCH($A2581,EXTRATO!$A$2:$A$3000,0))))</f>
        <v/>
      </c>
      <c r="I2581" s="88" t="str">
        <f>IF(A2581="","",IF(INDEX(EXTRATO!$H$2:$H$3000,MATCH($A2581,EXTRATO!$A$2:$A$3000,0))="","",INDEX(EXTRATO!$H$2:$H$3000,MATCH($A2581,EXTRATO!$A$2:$A$3000,0))))</f>
        <v/>
      </c>
      <c r="J2581" s="86" t="str">
        <f t="shared" si="67"/>
        <v/>
      </c>
      <c r="K2581" s="86" t="str">
        <f>IF(AND(A2581="",D2581="",E2581="",F2581=""),"",IF(D2581="","SEM CATEGORIA",IF(E2581="","SEM SUBCATEGORIA",IF(COUNTIFS(CADASTROS!$L$7:$L$93,D2581,CADASTROS!$D$7:$D$93,E2581)=0,"INCOMPATÍVEL","OK"))))</f>
        <v/>
      </c>
    </row>
    <row r="2582" spans="1:11" ht="30" hidden="1" customHeight="1" x14ac:dyDescent="0.25">
      <c r="A2582" s="86" t="str">
        <f>IF(COUNTIF(EXTRATO!$A$2:$A$3000,"BAN-02439")=0,"","BAN-02439")</f>
        <v/>
      </c>
      <c r="B2582" s="85" t="str">
        <f>IF(A2582="","",IF(INDEX(EXTRATO!$C$2:$C$3000,MATCH($A2582,EXTRATO!$A$2:$A$3000,0))="","",INDEX(EXTRATO!$C$2:$C$3000,MATCH($A2582,EXTRATO!$A$2:$A$3000,0))))</f>
        <v/>
      </c>
      <c r="C2582" s="86" t="str">
        <f t="shared" si="68"/>
        <v/>
      </c>
      <c r="D2582" s="81"/>
      <c r="E2582" s="79"/>
      <c r="F2582" s="80" t="str">
        <f>IF(A2582="","",SUMIF(EXTRATO!$A$2:$A$3000,$A2582,EXTRATO!$J$2:$J$3000)+SUMIF(EXTRATO!$A$2:$A$3000,$A2582,EXTRATO!$K$2:$K$3000)+SUMIF(EXTRATO!$A$2:$A$3000,$A2582,EXTRATO!$L$2:$L$3000)+SUMIF(EXTRATO!$A$2:$A$3000,$A2582,EXTRATO!$M$2:$M$3000))</f>
        <v/>
      </c>
      <c r="G2582" s="81" t="str">
        <f>IF(A2582="","",IF(INDEX(EXTRATO!$G$2:$G$3000,MATCH($A2582,EXTRATO!$A$2:$A$3000,0))="","",INDEX(EXTRATO!$G$2:$G$3000,MATCH($A2582,EXTRATO!$A$2:$A$3000,0))))</f>
        <v/>
      </c>
      <c r="H2582" s="86" t="str">
        <f>IF(A2582="","",IF(INDEX(EXTRATO!$F$2:$F$3000,MATCH($A2582,EXTRATO!$A$2:$A$3000,0))="","",INDEX(EXTRATO!$F$2:$F$3000,MATCH($A2582,EXTRATO!$A$2:$A$3000,0))))</f>
        <v/>
      </c>
      <c r="I2582" s="88" t="str">
        <f>IF(A2582="","",IF(INDEX(EXTRATO!$H$2:$H$3000,MATCH($A2582,EXTRATO!$A$2:$A$3000,0))="","",INDEX(EXTRATO!$H$2:$H$3000,MATCH($A2582,EXTRATO!$A$2:$A$3000,0))))</f>
        <v/>
      </c>
      <c r="J2582" s="86" t="str">
        <f t="shared" si="67"/>
        <v/>
      </c>
      <c r="K2582" s="86" t="str">
        <f>IF(AND(A2582="",D2582="",E2582="",F2582=""),"",IF(D2582="","SEM CATEGORIA",IF(E2582="","SEM SUBCATEGORIA",IF(COUNTIFS(CADASTROS!$L$7:$L$93,D2582,CADASTROS!$D$7:$D$93,E2582)=0,"INCOMPATÍVEL","OK"))))</f>
        <v/>
      </c>
    </row>
    <row r="2583" spans="1:11" ht="30" hidden="1" customHeight="1" x14ac:dyDescent="0.25">
      <c r="A2583" s="86" t="str">
        <f>IF(COUNTIF(EXTRATO!$A$2:$A$3000,"BAN-02440")=0,"","BAN-02440")</f>
        <v/>
      </c>
      <c r="B2583" s="85" t="str">
        <f>IF(A2583="","",IF(INDEX(EXTRATO!$C$2:$C$3000,MATCH($A2583,EXTRATO!$A$2:$A$3000,0))="","",INDEX(EXTRATO!$C$2:$C$3000,MATCH($A2583,EXTRATO!$A$2:$A$3000,0))))</f>
        <v/>
      </c>
      <c r="C2583" s="86" t="str">
        <f t="shared" si="68"/>
        <v/>
      </c>
      <c r="D2583" s="81"/>
      <c r="E2583" s="79"/>
      <c r="F2583" s="80" t="str">
        <f>IF(A2583="","",SUMIF(EXTRATO!$A$2:$A$3000,$A2583,EXTRATO!$J$2:$J$3000)+SUMIF(EXTRATO!$A$2:$A$3000,$A2583,EXTRATO!$K$2:$K$3000)+SUMIF(EXTRATO!$A$2:$A$3000,$A2583,EXTRATO!$L$2:$L$3000)+SUMIF(EXTRATO!$A$2:$A$3000,$A2583,EXTRATO!$M$2:$M$3000))</f>
        <v/>
      </c>
      <c r="G2583" s="81" t="str">
        <f>IF(A2583="","",IF(INDEX(EXTRATO!$G$2:$G$3000,MATCH($A2583,EXTRATO!$A$2:$A$3000,0))="","",INDEX(EXTRATO!$G$2:$G$3000,MATCH($A2583,EXTRATO!$A$2:$A$3000,0))))</f>
        <v/>
      </c>
      <c r="H2583" s="86" t="str">
        <f>IF(A2583="","",IF(INDEX(EXTRATO!$F$2:$F$3000,MATCH($A2583,EXTRATO!$A$2:$A$3000,0))="","",INDEX(EXTRATO!$F$2:$F$3000,MATCH($A2583,EXTRATO!$A$2:$A$3000,0))))</f>
        <v/>
      </c>
      <c r="I2583" s="88" t="str">
        <f>IF(A2583="","",IF(INDEX(EXTRATO!$H$2:$H$3000,MATCH($A2583,EXTRATO!$A$2:$A$3000,0))="","",INDEX(EXTRATO!$H$2:$H$3000,MATCH($A2583,EXTRATO!$A$2:$A$3000,0))))</f>
        <v/>
      </c>
      <c r="J2583" s="86" t="str">
        <f t="shared" si="67"/>
        <v/>
      </c>
      <c r="K2583" s="86" t="str">
        <f>IF(AND(A2583="",D2583="",E2583="",F2583=""),"",IF(D2583="","SEM CATEGORIA",IF(E2583="","SEM SUBCATEGORIA",IF(COUNTIFS(CADASTROS!$L$7:$L$93,D2583,CADASTROS!$D$7:$D$93,E2583)=0,"INCOMPATÍVEL","OK"))))</f>
        <v/>
      </c>
    </row>
    <row r="2584" spans="1:11" ht="30" hidden="1" customHeight="1" x14ac:dyDescent="0.25">
      <c r="A2584" s="86" t="str">
        <f>IF(COUNTIF(EXTRATO!$A$2:$A$3000,"BAN-02441")=0,"","BAN-02441")</f>
        <v/>
      </c>
      <c r="B2584" s="85" t="str">
        <f>IF(A2584="","",IF(INDEX(EXTRATO!$C$2:$C$3000,MATCH($A2584,EXTRATO!$A$2:$A$3000,0))="","",INDEX(EXTRATO!$C$2:$C$3000,MATCH($A2584,EXTRATO!$A$2:$A$3000,0))))</f>
        <v/>
      </c>
      <c r="C2584" s="86" t="str">
        <f t="shared" si="68"/>
        <v/>
      </c>
      <c r="D2584" s="81"/>
      <c r="E2584" s="79"/>
      <c r="F2584" s="80" t="str">
        <f>IF(A2584="","",SUMIF(EXTRATO!$A$2:$A$3000,$A2584,EXTRATO!$J$2:$J$3000)+SUMIF(EXTRATO!$A$2:$A$3000,$A2584,EXTRATO!$K$2:$K$3000)+SUMIF(EXTRATO!$A$2:$A$3000,$A2584,EXTRATO!$L$2:$L$3000)+SUMIF(EXTRATO!$A$2:$A$3000,$A2584,EXTRATO!$M$2:$M$3000))</f>
        <v/>
      </c>
      <c r="G2584" s="81" t="str">
        <f>IF(A2584="","",IF(INDEX(EXTRATO!$G$2:$G$3000,MATCH($A2584,EXTRATO!$A$2:$A$3000,0))="","",INDEX(EXTRATO!$G$2:$G$3000,MATCH($A2584,EXTRATO!$A$2:$A$3000,0))))</f>
        <v/>
      </c>
      <c r="H2584" s="86" t="str">
        <f>IF(A2584="","",IF(INDEX(EXTRATO!$F$2:$F$3000,MATCH($A2584,EXTRATO!$A$2:$A$3000,0))="","",INDEX(EXTRATO!$F$2:$F$3000,MATCH($A2584,EXTRATO!$A$2:$A$3000,0))))</f>
        <v/>
      </c>
      <c r="I2584" s="88" t="str">
        <f>IF(A2584="","",IF(INDEX(EXTRATO!$H$2:$H$3000,MATCH($A2584,EXTRATO!$A$2:$A$3000,0))="","",INDEX(EXTRATO!$H$2:$H$3000,MATCH($A2584,EXTRATO!$A$2:$A$3000,0))))</f>
        <v/>
      </c>
      <c r="J2584" s="86" t="str">
        <f t="shared" si="67"/>
        <v/>
      </c>
      <c r="K2584" s="86" t="str">
        <f>IF(AND(A2584="",D2584="",E2584="",F2584=""),"",IF(D2584="","SEM CATEGORIA",IF(E2584="","SEM SUBCATEGORIA",IF(COUNTIFS(CADASTROS!$L$7:$L$93,D2584,CADASTROS!$D$7:$D$93,E2584)=0,"INCOMPATÍVEL","OK"))))</f>
        <v/>
      </c>
    </row>
    <row r="2585" spans="1:11" ht="30" hidden="1" customHeight="1" x14ac:dyDescent="0.25">
      <c r="A2585" s="86" t="str">
        <f>IF(COUNTIF(EXTRATO!$A$2:$A$3000,"BAN-02442")=0,"","BAN-02442")</f>
        <v/>
      </c>
      <c r="B2585" s="85" t="str">
        <f>IF(A2585="","",IF(INDEX(EXTRATO!$C$2:$C$3000,MATCH($A2585,EXTRATO!$A$2:$A$3000,0))="","",INDEX(EXTRATO!$C$2:$C$3000,MATCH($A2585,EXTRATO!$A$2:$A$3000,0))))</f>
        <v/>
      </c>
      <c r="C2585" s="86" t="str">
        <f t="shared" si="68"/>
        <v/>
      </c>
      <c r="D2585" s="81"/>
      <c r="E2585" s="79"/>
      <c r="F2585" s="80" t="str">
        <f>IF(A2585="","",SUMIF(EXTRATO!$A$2:$A$3000,$A2585,EXTRATO!$J$2:$J$3000)+SUMIF(EXTRATO!$A$2:$A$3000,$A2585,EXTRATO!$K$2:$K$3000)+SUMIF(EXTRATO!$A$2:$A$3000,$A2585,EXTRATO!$L$2:$L$3000)+SUMIF(EXTRATO!$A$2:$A$3000,$A2585,EXTRATO!$M$2:$M$3000))</f>
        <v/>
      </c>
      <c r="G2585" s="81" t="str">
        <f>IF(A2585="","",IF(INDEX(EXTRATO!$G$2:$G$3000,MATCH($A2585,EXTRATO!$A$2:$A$3000,0))="","",INDEX(EXTRATO!$G$2:$G$3000,MATCH($A2585,EXTRATO!$A$2:$A$3000,0))))</f>
        <v/>
      </c>
      <c r="H2585" s="86" t="str">
        <f>IF(A2585="","",IF(INDEX(EXTRATO!$F$2:$F$3000,MATCH($A2585,EXTRATO!$A$2:$A$3000,0))="","",INDEX(EXTRATO!$F$2:$F$3000,MATCH($A2585,EXTRATO!$A$2:$A$3000,0))))</f>
        <v/>
      </c>
      <c r="I2585" s="88" t="str">
        <f>IF(A2585="","",IF(INDEX(EXTRATO!$H$2:$H$3000,MATCH($A2585,EXTRATO!$A$2:$A$3000,0))="","",INDEX(EXTRATO!$H$2:$H$3000,MATCH($A2585,EXTRATO!$A$2:$A$3000,0))))</f>
        <v/>
      </c>
      <c r="J2585" s="86" t="str">
        <f t="shared" si="67"/>
        <v/>
      </c>
      <c r="K2585" s="86" t="str">
        <f>IF(AND(A2585="",D2585="",E2585="",F2585=""),"",IF(D2585="","SEM CATEGORIA",IF(E2585="","SEM SUBCATEGORIA",IF(COUNTIFS(CADASTROS!$L$7:$L$93,D2585,CADASTROS!$D$7:$D$93,E2585)=0,"INCOMPATÍVEL","OK"))))</f>
        <v/>
      </c>
    </row>
    <row r="2586" spans="1:11" ht="30" hidden="1" customHeight="1" x14ac:dyDescent="0.25">
      <c r="A2586" s="86" t="str">
        <f>IF(COUNTIF(EXTRATO!$A$2:$A$3000,"BAN-02443")=0,"","BAN-02443")</f>
        <v/>
      </c>
      <c r="B2586" s="85" t="str">
        <f>IF(A2586="","",IF(INDEX(EXTRATO!$C$2:$C$3000,MATCH($A2586,EXTRATO!$A$2:$A$3000,0))="","",INDEX(EXTRATO!$C$2:$C$3000,MATCH($A2586,EXTRATO!$A$2:$A$3000,0))))</f>
        <v/>
      </c>
      <c r="C2586" s="86" t="str">
        <f t="shared" si="68"/>
        <v/>
      </c>
      <c r="D2586" s="81"/>
      <c r="E2586" s="79"/>
      <c r="F2586" s="80" t="str">
        <f>IF(A2586="","",SUMIF(EXTRATO!$A$2:$A$3000,$A2586,EXTRATO!$J$2:$J$3000)+SUMIF(EXTRATO!$A$2:$A$3000,$A2586,EXTRATO!$K$2:$K$3000)+SUMIF(EXTRATO!$A$2:$A$3000,$A2586,EXTRATO!$L$2:$L$3000)+SUMIF(EXTRATO!$A$2:$A$3000,$A2586,EXTRATO!$M$2:$M$3000))</f>
        <v/>
      </c>
      <c r="G2586" s="81" t="str">
        <f>IF(A2586="","",IF(INDEX(EXTRATO!$G$2:$G$3000,MATCH($A2586,EXTRATO!$A$2:$A$3000,0))="","",INDEX(EXTRATO!$G$2:$G$3000,MATCH($A2586,EXTRATO!$A$2:$A$3000,0))))</f>
        <v/>
      </c>
      <c r="H2586" s="86" t="str">
        <f>IF(A2586="","",IF(INDEX(EXTRATO!$F$2:$F$3000,MATCH($A2586,EXTRATO!$A$2:$A$3000,0))="","",INDEX(EXTRATO!$F$2:$F$3000,MATCH($A2586,EXTRATO!$A$2:$A$3000,0))))</f>
        <v/>
      </c>
      <c r="I2586" s="88" t="str">
        <f>IF(A2586="","",IF(INDEX(EXTRATO!$H$2:$H$3000,MATCH($A2586,EXTRATO!$A$2:$A$3000,0))="","",INDEX(EXTRATO!$H$2:$H$3000,MATCH($A2586,EXTRATO!$A$2:$A$3000,0))))</f>
        <v/>
      </c>
      <c r="J2586" s="86" t="str">
        <f t="shared" si="67"/>
        <v/>
      </c>
      <c r="K2586" s="86" t="str">
        <f>IF(AND(A2586="",D2586="",E2586="",F2586=""),"",IF(D2586="","SEM CATEGORIA",IF(E2586="","SEM SUBCATEGORIA",IF(COUNTIFS(CADASTROS!$L$7:$L$93,D2586,CADASTROS!$D$7:$D$93,E2586)=0,"INCOMPATÍVEL","OK"))))</f>
        <v/>
      </c>
    </row>
    <row r="2587" spans="1:11" ht="30" hidden="1" customHeight="1" x14ac:dyDescent="0.25">
      <c r="A2587" s="86" t="str">
        <f>IF(COUNTIF(EXTRATO!$A$2:$A$3000,"BAN-02444")=0,"","BAN-02444")</f>
        <v/>
      </c>
      <c r="B2587" s="85" t="str">
        <f>IF(A2587="","",IF(INDEX(EXTRATO!$C$2:$C$3000,MATCH($A2587,EXTRATO!$A$2:$A$3000,0))="","",INDEX(EXTRATO!$C$2:$C$3000,MATCH($A2587,EXTRATO!$A$2:$A$3000,0))))</f>
        <v/>
      </c>
      <c r="C2587" s="86" t="str">
        <f t="shared" si="68"/>
        <v/>
      </c>
      <c r="D2587" s="81"/>
      <c r="E2587" s="79"/>
      <c r="F2587" s="80" t="str">
        <f>IF(A2587="","",SUMIF(EXTRATO!$A$2:$A$3000,$A2587,EXTRATO!$J$2:$J$3000)+SUMIF(EXTRATO!$A$2:$A$3000,$A2587,EXTRATO!$K$2:$K$3000)+SUMIF(EXTRATO!$A$2:$A$3000,$A2587,EXTRATO!$L$2:$L$3000)+SUMIF(EXTRATO!$A$2:$A$3000,$A2587,EXTRATO!$M$2:$M$3000))</f>
        <v/>
      </c>
      <c r="G2587" s="81" t="str">
        <f>IF(A2587="","",IF(INDEX(EXTRATO!$G$2:$G$3000,MATCH($A2587,EXTRATO!$A$2:$A$3000,0))="","",INDEX(EXTRATO!$G$2:$G$3000,MATCH($A2587,EXTRATO!$A$2:$A$3000,0))))</f>
        <v/>
      </c>
      <c r="H2587" s="86" t="str">
        <f>IF(A2587="","",IF(INDEX(EXTRATO!$F$2:$F$3000,MATCH($A2587,EXTRATO!$A$2:$A$3000,0))="","",INDEX(EXTRATO!$F$2:$F$3000,MATCH($A2587,EXTRATO!$A$2:$A$3000,0))))</f>
        <v/>
      </c>
      <c r="I2587" s="88" t="str">
        <f>IF(A2587="","",IF(INDEX(EXTRATO!$H$2:$H$3000,MATCH($A2587,EXTRATO!$A$2:$A$3000,0))="","",INDEX(EXTRATO!$H$2:$H$3000,MATCH($A2587,EXTRATO!$A$2:$A$3000,0))))</f>
        <v/>
      </c>
      <c r="J2587" s="86" t="str">
        <f t="shared" si="67"/>
        <v/>
      </c>
      <c r="K2587" s="86" t="str">
        <f>IF(AND(A2587="",D2587="",E2587="",F2587=""),"",IF(D2587="","SEM CATEGORIA",IF(E2587="","SEM SUBCATEGORIA",IF(COUNTIFS(CADASTROS!$L$7:$L$93,D2587,CADASTROS!$D$7:$D$93,E2587)=0,"INCOMPATÍVEL","OK"))))</f>
        <v/>
      </c>
    </row>
    <row r="2588" spans="1:11" ht="30" hidden="1" customHeight="1" x14ac:dyDescent="0.25">
      <c r="A2588" s="86" t="str">
        <f>IF(COUNTIF(EXTRATO!$A$2:$A$3000,"BAN-02445")=0,"","BAN-02445")</f>
        <v/>
      </c>
      <c r="B2588" s="85" t="str">
        <f>IF(A2588="","",IF(INDEX(EXTRATO!$C$2:$C$3000,MATCH($A2588,EXTRATO!$A$2:$A$3000,0))="","",INDEX(EXTRATO!$C$2:$C$3000,MATCH($A2588,EXTRATO!$A$2:$A$3000,0))))</f>
        <v/>
      </c>
      <c r="C2588" s="86" t="str">
        <f t="shared" si="68"/>
        <v/>
      </c>
      <c r="D2588" s="81"/>
      <c r="E2588" s="79"/>
      <c r="F2588" s="80" t="str">
        <f>IF(A2588="","",SUMIF(EXTRATO!$A$2:$A$3000,$A2588,EXTRATO!$J$2:$J$3000)+SUMIF(EXTRATO!$A$2:$A$3000,$A2588,EXTRATO!$K$2:$K$3000)+SUMIF(EXTRATO!$A$2:$A$3000,$A2588,EXTRATO!$L$2:$L$3000)+SUMIF(EXTRATO!$A$2:$A$3000,$A2588,EXTRATO!$M$2:$M$3000))</f>
        <v/>
      </c>
      <c r="G2588" s="81" t="str">
        <f>IF(A2588="","",IF(INDEX(EXTRATO!$G$2:$G$3000,MATCH($A2588,EXTRATO!$A$2:$A$3000,0))="","",INDEX(EXTRATO!$G$2:$G$3000,MATCH($A2588,EXTRATO!$A$2:$A$3000,0))))</f>
        <v/>
      </c>
      <c r="H2588" s="86" t="str">
        <f>IF(A2588="","",IF(INDEX(EXTRATO!$F$2:$F$3000,MATCH($A2588,EXTRATO!$A$2:$A$3000,0))="","",INDEX(EXTRATO!$F$2:$F$3000,MATCH($A2588,EXTRATO!$A$2:$A$3000,0))))</f>
        <v/>
      </c>
      <c r="I2588" s="88" t="str">
        <f>IF(A2588="","",IF(INDEX(EXTRATO!$H$2:$H$3000,MATCH($A2588,EXTRATO!$A$2:$A$3000,0))="","",INDEX(EXTRATO!$H$2:$H$3000,MATCH($A2588,EXTRATO!$A$2:$A$3000,0))))</f>
        <v/>
      </c>
      <c r="J2588" s="86" t="str">
        <f t="shared" si="67"/>
        <v/>
      </c>
      <c r="K2588" s="86" t="str">
        <f>IF(AND(A2588="",D2588="",E2588="",F2588=""),"",IF(D2588="","SEM CATEGORIA",IF(E2588="","SEM SUBCATEGORIA",IF(COUNTIFS(CADASTROS!$L$7:$L$93,D2588,CADASTROS!$D$7:$D$93,E2588)=0,"INCOMPATÍVEL","OK"))))</f>
        <v/>
      </c>
    </row>
    <row r="2589" spans="1:11" ht="30" hidden="1" customHeight="1" x14ac:dyDescent="0.25">
      <c r="A2589" s="86" t="str">
        <f>IF(COUNTIF(EXTRATO!$A$2:$A$3000,"BAN-02446")=0,"","BAN-02446")</f>
        <v/>
      </c>
      <c r="B2589" s="85" t="str">
        <f>IF(A2589="","",IF(INDEX(EXTRATO!$C$2:$C$3000,MATCH($A2589,EXTRATO!$A$2:$A$3000,0))="","",INDEX(EXTRATO!$C$2:$C$3000,MATCH($A2589,EXTRATO!$A$2:$A$3000,0))))</f>
        <v/>
      </c>
      <c r="C2589" s="86" t="str">
        <f t="shared" si="68"/>
        <v/>
      </c>
      <c r="D2589" s="81"/>
      <c r="E2589" s="79"/>
      <c r="F2589" s="80" t="str">
        <f>IF(A2589="","",SUMIF(EXTRATO!$A$2:$A$3000,$A2589,EXTRATO!$J$2:$J$3000)+SUMIF(EXTRATO!$A$2:$A$3000,$A2589,EXTRATO!$K$2:$K$3000)+SUMIF(EXTRATO!$A$2:$A$3000,$A2589,EXTRATO!$L$2:$L$3000)+SUMIF(EXTRATO!$A$2:$A$3000,$A2589,EXTRATO!$M$2:$M$3000))</f>
        <v/>
      </c>
      <c r="G2589" s="81" t="str">
        <f>IF(A2589="","",IF(INDEX(EXTRATO!$G$2:$G$3000,MATCH($A2589,EXTRATO!$A$2:$A$3000,0))="","",INDEX(EXTRATO!$G$2:$G$3000,MATCH($A2589,EXTRATO!$A$2:$A$3000,0))))</f>
        <v/>
      </c>
      <c r="H2589" s="86" t="str">
        <f>IF(A2589="","",IF(INDEX(EXTRATO!$F$2:$F$3000,MATCH($A2589,EXTRATO!$A$2:$A$3000,0))="","",INDEX(EXTRATO!$F$2:$F$3000,MATCH($A2589,EXTRATO!$A$2:$A$3000,0))))</f>
        <v/>
      </c>
      <c r="I2589" s="88" t="str">
        <f>IF(A2589="","",IF(INDEX(EXTRATO!$H$2:$H$3000,MATCH($A2589,EXTRATO!$A$2:$A$3000,0))="","",INDEX(EXTRATO!$H$2:$H$3000,MATCH($A2589,EXTRATO!$A$2:$A$3000,0))))</f>
        <v/>
      </c>
      <c r="J2589" s="86" t="str">
        <f t="shared" si="67"/>
        <v/>
      </c>
      <c r="K2589" s="86" t="str">
        <f>IF(AND(A2589="",D2589="",E2589="",F2589=""),"",IF(D2589="","SEM CATEGORIA",IF(E2589="","SEM SUBCATEGORIA",IF(COUNTIFS(CADASTROS!$L$7:$L$93,D2589,CADASTROS!$D$7:$D$93,E2589)=0,"INCOMPATÍVEL","OK"))))</f>
        <v/>
      </c>
    </row>
    <row r="2590" spans="1:11" ht="30" hidden="1" customHeight="1" x14ac:dyDescent="0.25">
      <c r="A2590" s="86" t="str">
        <f>IF(COUNTIF(EXTRATO!$A$2:$A$3000,"BAN-02447")=0,"","BAN-02447")</f>
        <v/>
      </c>
      <c r="B2590" s="85" t="str">
        <f>IF(A2590="","",IF(INDEX(EXTRATO!$C$2:$C$3000,MATCH($A2590,EXTRATO!$A$2:$A$3000,0))="","",INDEX(EXTRATO!$C$2:$C$3000,MATCH($A2590,EXTRATO!$A$2:$A$3000,0))))</f>
        <v/>
      </c>
      <c r="C2590" s="86" t="str">
        <f t="shared" si="68"/>
        <v/>
      </c>
      <c r="D2590" s="81"/>
      <c r="E2590" s="79"/>
      <c r="F2590" s="80" t="str">
        <f>IF(A2590="","",SUMIF(EXTRATO!$A$2:$A$3000,$A2590,EXTRATO!$J$2:$J$3000)+SUMIF(EXTRATO!$A$2:$A$3000,$A2590,EXTRATO!$K$2:$K$3000)+SUMIF(EXTRATO!$A$2:$A$3000,$A2590,EXTRATO!$L$2:$L$3000)+SUMIF(EXTRATO!$A$2:$A$3000,$A2590,EXTRATO!$M$2:$M$3000))</f>
        <v/>
      </c>
      <c r="G2590" s="81" t="str">
        <f>IF(A2590="","",IF(INDEX(EXTRATO!$G$2:$G$3000,MATCH($A2590,EXTRATO!$A$2:$A$3000,0))="","",INDEX(EXTRATO!$G$2:$G$3000,MATCH($A2590,EXTRATO!$A$2:$A$3000,0))))</f>
        <v/>
      </c>
      <c r="H2590" s="86" t="str">
        <f>IF(A2590="","",IF(INDEX(EXTRATO!$F$2:$F$3000,MATCH($A2590,EXTRATO!$A$2:$A$3000,0))="","",INDEX(EXTRATO!$F$2:$F$3000,MATCH($A2590,EXTRATO!$A$2:$A$3000,0))))</f>
        <v/>
      </c>
      <c r="I2590" s="88" t="str">
        <f>IF(A2590="","",IF(INDEX(EXTRATO!$H$2:$H$3000,MATCH($A2590,EXTRATO!$A$2:$A$3000,0))="","",INDEX(EXTRATO!$H$2:$H$3000,MATCH($A2590,EXTRATO!$A$2:$A$3000,0))))</f>
        <v/>
      </c>
      <c r="J2590" s="86" t="str">
        <f t="shared" si="67"/>
        <v/>
      </c>
      <c r="K2590" s="86" t="str">
        <f>IF(AND(A2590="",D2590="",E2590="",F2590=""),"",IF(D2590="","SEM CATEGORIA",IF(E2590="","SEM SUBCATEGORIA",IF(COUNTIFS(CADASTROS!$L$7:$L$93,D2590,CADASTROS!$D$7:$D$93,E2590)=0,"INCOMPATÍVEL","OK"))))</f>
        <v/>
      </c>
    </row>
    <row r="2591" spans="1:11" ht="30" hidden="1" customHeight="1" x14ac:dyDescent="0.25">
      <c r="A2591" s="86" t="str">
        <f>IF(COUNTIF(EXTRATO!$A$2:$A$3000,"BAN-02448")=0,"","BAN-02448")</f>
        <v/>
      </c>
      <c r="B2591" s="85" t="str">
        <f>IF(A2591="","",IF(INDEX(EXTRATO!$C$2:$C$3000,MATCH($A2591,EXTRATO!$A$2:$A$3000,0))="","",INDEX(EXTRATO!$C$2:$C$3000,MATCH($A2591,EXTRATO!$A$2:$A$3000,0))))</f>
        <v/>
      </c>
      <c r="C2591" s="86" t="str">
        <f t="shared" si="68"/>
        <v/>
      </c>
      <c r="D2591" s="81"/>
      <c r="E2591" s="79"/>
      <c r="F2591" s="80" t="str">
        <f>IF(A2591="","",SUMIF(EXTRATO!$A$2:$A$3000,$A2591,EXTRATO!$J$2:$J$3000)+SUMIF(EXTRATO!$A$2:$A$3000,$A2591,EXTRATO!$K$2:$K$3000)+SUMIF(EXTRATO!$A$2:$A$3000,$A2591,EXTRATO!$L$2:$L$3000)+SUMIF(EXTRATO!$A$2:$A$3000,$A2591,EXTRATO!$M$2:$M$3000))</f>
        <v/>
      </c>
      <c r="G2591" s="81" t="str">
        <f>IF(A2591="","",IF(INDEX(EXTRATO!$G$2:$G$3000,MATCH($A2591,EXTRATO!$A$2:$A$3000,0))="","",INDEX(EXTRATO!$G$2:$G$3000,MATCH($A2591,EXTRATO!$A$2:$A$3000,0))))</f>
        <v/>
      </c>
      <c r="H2591" s="86" t="str">
        <f>IF(A2591="","",IF(INDEX(EXTRATO!$F$2:$F$3000,MATCH($A2591,EXTRATO!$A$2:$A$3000,0))="","",INDEX(EXTRATO!$F$2:$F$3000,MATCH($A2591,EXTRATO!$A$2:$A$3000,0))))</f>
        <v/>
      </c>
      <c r="I2591" s="88" t="str">
        <f>IF(A2591="","",IF(INDEX(EXTRATO!$H$2:$H$3000,MATCH($A2591,EXTRATO!$A$2:$A$3000,0))="","",INDEX(EXTRATO!$H$2:$H$3000,MATCH($A2591,EXTRATO!$A$2:$A$3000,0))))</f>
        <v/>
      </c>
      <c r="J2591" s="86" t="str">
        <f t="shared" si="67"/>
        <v/>
      </c>
      <c r="K2591" s="86" t="str">
        <f>IF(AND(A2591="",D2591="",E2591="",F2591=""),"",IF(D2591="","SEM CATEGORIA",IF(E2591="","SEM SUBCATEGORIA",IF(COUNTIFS(CADASTROS!$L$7:$L$93,D2591,CADASTROS!$D$7:$D$93,E2591)=0,"INCOMPATÍVEL","OK"))))</f>
        <v/>
      </c>
    </row>
    <row r="2592" spans="1:11" ht="30" hidden="1" customHeight="1" x14ac:dyDescent="0.25">
      <c r="A2592" s="86" t="str">
        <f>IF(COUNTIF(EXTRATO!$A$2:$A$3000,"BAN-02449")=0,"","BAN-02449")</f>
        <v/>
      </c>
      <c r="B2592" s="85" t="str">
        <f>IF(A2592="","",IF(INDEX(EXTRATO!$C$2:$C$3000,MATCH($A2592,EXTRATO!$A$2:$A$3000,0))="","",INDEX(EXTRATO!$C$2:$C$3000,MATCH($A2592,EXTRATO!$A$2:$A$3000,0))))</f>
        <v/>
      </c>
      <c r="C2592" s="86" t="str">
        <f t="shared" si="68"/>
        <v/>
      </c>
      <c r="D2592" s="81"/>
      <c r="E2592" s="79"/>
      <c r="F2592" s="80" t="str">
        <f>IF(A2592="","",SUMIF(EXTRATO!$A$2:$A$3000,$A2592,EXTRATO!$J$2:$J$3000)+SUMIF(EXTRATO!$A$2:$A$3000,$A2592,EXTRATO!$K$2:$K$3000)+SUMIF(EXTRATO!$A$2:$A$3000,$A2592,EXTRATO!$L$2:$L$3000)+SUMIF(EXTRATO!$A$2:$A$3000,$A2592,EXTRATO!$M$2:$M$3000))</f>
        <v/>
      </c>
      <c r="G2592" s="81" t="str">
        <f>IF(A2592="","",IF(INDEX(EXTRATO!$G$2:$G$3000,MATCH($A2592,EXTRATO!$A$2:$A$3000,0))="","",INDEX(EXTRATO!$G$2:$G$3000,MATCH($A2592,EXTRATO!$A$2:$A$3000,0))))</f>
        <v/>
      </c>
      <c r="H2592" s="86" t="str">
        <f>IF(A2592="","",IF(INDEX(EXTRATO!$F$2:$F$3000,MATCH($A2592,EXTRATO!$A$2:$A$3000,0))="","",INDEX(EXTRATO!$F$2:$F$3000,MATCH($A2592,EXTRATO!$A$2:$A$3000,0))))</f>
        <v/>
      </c>
      <c r="I2592" s="88" t="str">
        <f>IF(A2592="","",IF(INDEX(EXTRATO!$H$2:$H$3000,MATCH($A2592,EXTRATO!$A$2:$A$3000,0))="","",INDEX(EXTRATO!$H$2:$H$3000,MATCH($A2592,EXTRATO!$A$2:$A$3000,0))))</f>
        <v/>
      </c>
      <c r="J2592" s="86" t="str">
        <f t="shared" si="67"/>
        <v/>
      </c>
      <c r="K2592" s="86" t="str">
        <f>IF(AND(A2592="",D2592="",E2592="",F2592=""),"",IF(D2592="","SEM CATEGORIA",IF(E2592="","SEM SUBCATEGORIA",IF(COUNTIFS(CADASTROS!$L$7:$L$93,D2592,CADASTROS!$D$7:$D$93,E2592)=0,"INCOMPATÍVEL","OK"))))</f>
        <v/>
      </c>
    </row>
    <row r="2593" spans="1:11" ht="30" hidden="1" customHeight="1" x14ac:dyDescent="0.25">
      <c r="A2593" s="86" t="str">
        <f>IF(COUNTIF(EXTRATO!$A$2:$A$3000,"BAN-02450")=0,"","BAN-02450")</f>
        <v/>
      </c>
      <c r="B2593" s="85" t="str">
        <f>IF(A2593="","",IF(INDEX(EXTRATO!$C$2:$C$3000,MATCH($A2593,EXTRATO!$A$2:$A$3000,0))="","",INDEX(EXTRATO!$C$2:$C$3000,MATCH($A2593,EXTRATO!$A$2:$A$3000,0))))</f>
        <v/>
      </c>
      <c r="C2593" s="86" t="str">
        <f t="shared" si="68"/>
        <v/>
      </c>
      <c r="D2593" s="81"/>
      <c r="E2593" s="79"/>
      <c r="F2593" s="80" t="str">
        <f>IF(A2593="","",SUMIF(EXTRATO!$A$2:$A$3000,$A2593,EXTRATO!$J$2:$J$3000)+SUMIF(EXTRATO!$A$2:$A$3000,$A2593,EXTRATO!$K$2:$K$3000)+SUMIF(EXTRATO!$A$2:$A$3000,$A2593,EXTRATO!$L$2:$L$3000)+SUMIF(EXTRATO!$A$2:$A$3000,$A2593,EXTRATO!$M$2:$M$3000))</f>
        <v/>
      </c>
      <c r="G2593" s="81" t="str">
        <f>IF(A2593="","",IF(INDEX(EXTRATO!$G$2:$G$3000,MATCH($A2593,EXTRATO!$A$2:$A$3000,0))="","",INDEX(EXTRATO!$G$2:$G$3000,MATCH($A2593,EXTRATO!$A$2:$A$3000,0))))</f>
        <v/>
      </c>
      <c r="H2593" s="86" t="str">
        <f>IF(A2593="","",IF(INDEX(EXTRATO!$F$2:$F$3000,MATCH($A2593,EXTRATO!$A$2:$A$3000,0))="","",INDEX(EXTRATO!$F$2:$F$3000,MATCH($A2593,EXTRATO!$A$2:$A$3000,0))))</f>
        <v/>
      </c>
      <c r="I2593" s="88" t="str">
        <f>IF(A2593="","",IF(INDEX(EXTRATO!$H$2:$H$3000,MATCH($A2593,EXTRATO!$A$2:$A$3000,0))="","",INDEX(EXTRATO!$H$2:$H$3000,MATCH($A2593,EXTRATO!$A$2:$A$3000,0))))</f>
        <v/>
      </c>
      <c r="J2593" s="86" t="str">
        <f t="shared" si="67"/>
        <v/>
      </c>
      <c r="K2593" s="86" t="str">
        <f>IF(AND(A2593="",D2593="",E2593="",F2593=""),"",IF(D2593="","SEM CATEGORIA",IF(E2593="","SEM SUBCATEGORIA",IF(COUNTIFS(CADASTROS!$L$7:$L$93,D2593,CADASTROS!$D$7:$D$93,E2593)=0,"INCOMPATÍVEL","OK"))))</f>
        <v/>
      </c>
    </row>
    <row r="2594" spans="1:11" ht="30" hidden="1" customHeight="1" x14ac:dyDescent="0.25">
      <c r="A2594" s="86" t="str">
        <f>IF(COUNTIF(EXTRATO!$A$2:$A$3000,"BAN-02451")=0,"","BAN-02451")</f>
        <v/>
      </c>
      <c r="B2594" s="85" t="str">
        <f>IF(A2594="","",IF(INDEX(EXTRATO!$C$2:$C$3000,MATCH($A2594,EXTRATO!$A$2:$A$3000,0))="","",INDEX(EXTRATO!$C$2:$C$3000,MATCH($A2594,EXTRATO!$A$2:$A$3000,0))))</f>
        <v/>
      </c>
      <c r="C2594" s="86" t="str">
        <f t="shared" si="68"/>
        <v/>
      </c>
      <c r="D2594" s="81"/>
      <c r="E2594" s="79"/>
      <c r="F2594" s="80" t="str">
        <f>IF(A2594="","",SUMIF(EXTRATO!$A$2:$A$3000,$A2594,EXTRATO!$J$2:$J$3000)+SUMIF(EXTRATO!$A$2:$A$3000,$A2594,EXTRATO!$K$2:$K$3000)+SUMIF(EXTRATO!$A$2:$A$3000,$A2594,EXTRATO!$L$2:$L$3000)+SUMIF(EXTRATO!$A$2:$A$3000,$A2594,EXTRATO!$M$2:$M$3000))</f>
        <v/>
      </c>
      <c r="G2594" s="81" t="str">
        <f>IF(A2594="","",IF(INDEX(EXTRATO!$G$2:$G$3000,MATCH($A2594,EXTRATO!$A$2:$A$3000,0))="","",INDEX(EXTRATO!$G$2:$G$3000,MATCH($A2594,EXTRATO!$A$2:$A$3000,0))))</f>
        <v/>
      </c>
      <c r="H2594" s="86" t="str">
        <f>IF(A2594="","",IF(INDEX(EXTRATO!$F$2:$F$3000,MATCH($A2594,EXTRATO!$A$2:$A$3000,0))="","",INDEX(EXTRATO!$F$2:$F$3000,MATCH($A2594,EXTRATO!$A$2:$A$3000,0))))</f>
        <v/>
      </c>
      <c r="I2594" s="88" t="str">
        <f>IF(A2594="","",IF(INDEX(EXTRATO!$H$2:$H$3000,MATCH($A2594,EXTRATO!$A$2:$A$3000,0))="","",INDEX(EXTRATO!$H$2:$H$3000,MATCH($A2594,EXTRATO!$A$2:$A$3000,0))))</f>
        <v/>
      </c>
      <c r="J2594" s="86" t="str">
        <f t="shared" si="67"/>
        <v/>
      </c>
      <c r="K2594" s="86" t="str">
        <f>IF(AND(A2594="",D2594="",E2594="",F2594=""),"",IF(D2594="","SEM CATEGORIA",IF(E2594="","SEM SUBCATEGORIA",IF(COUNTIFS(CADASTROS!$L$7:$L$93,D2594,CADASTROS!$D$7:$D$93,E2594)=0,"INCOMPATÍVEL","OK"))))</f>
        <v/>
      </c>
    </row>
    <row r="2595" spans="1:11" ht="30" hidden="1" customHeight="1" x14ac:dyDescent="0.25">
      <c r="A2595" s="86" t="str">
        <f>IF(COUNTIF(EXTRATO!$A$2:$A$3000,"BAN-02452")=0,"","BAN-02452")</f>
        <v/>
      </c>
      <c r="B2595" s="85" t="str">
        <f>IF(A2595="","",IF(INDEX(EXTRATO!$C$2:$C$3000,MATCH($A2595,EXTRATO!$A$2:$A$3000,0))="","",INDEX(EXTRATO!$C$2:$C$3000,MATCH($A2595,EXTRATO!$A$2:$A$3000,0))))</f>
        <v/>
      </c>
      <c r="C2595" s="86" t="str">
        <f t="shared" si="68"/>
        <v/>
      </c>
      <c r="D2595" s="81"/>
      <c r="E2595" s="79"/>
      <c r="F2595" s="80" t="str">
        <f>IF(A2595="","",SUMIF(EXTRATO!$A$2:$A$3000,$A2595,EXTRATO!$J$2:$J$3000)+SUMIF(EXTRATO!$A$2:$A$3000,$A2595,EXTRATO!$K$2:$K$3000)+SUMIF(EXTRATO!$A$2:$A$3000,$A2595,EXTRATO!$L$2:$L$3000)+SUMIF(EXTRATO!$A$2:$A$3000,$A2595,EXTRATO!$M$2:$M$3000))</f>
        <v/>
      </c>
      <c r="G2595" s="81" t="str">
        <f>IF(A2595="","",IF(INDEX(EXTRATO!$G$2:$G$3000,MATCH($A2595,EXTRATO!$A$2:$A$3000,0))="","",INDEX(EXTRATO!$G$2:$G$3000,MATCH($A2595,EXTRATO!$A$2:$A$3000,0))))</f>
        <v/>
      </c>
      <c r="H2595" s="86" t="str">
        <f>IF(A2595="","",IF(INDEX(EXTRATO!$F$2:$F$3000,MATCH($A2595,EXTRATO!$A$2:$A$3000,0))="","",INDEX(EXTRATO!$F$2:$F$3000,MATCH($A2595,EXTRATO!$A$2:$A$3000,0))))</f>
        <v/>
      </c>
      <c r="I2595" s="88" t="str">
        <f>IF(A2595="","",IF(INDEX(EXTRATO!$H$2:$H$3000,MATCH($A2595,EXTRATO!$A$2:$A$3000,0))="","",INDEX(EXTRATO!$H$2:$H$3000,MATCH($A2595,EXTRATO!$A$2:$A$3000,0))))</f>
        <v/>
      </c>
      <c r="J2595" s="86" t="str">
        <f t="shared" si="67"/>
        <v/>
      </c>
      <c r="K2595" s="86" t="str">
        <f>IF(AND(A2595="",D2595="",E2595="",F2595=""),"",IF(D2595="","SEM CATEGORIA",IF(E2595="","SEM SUBCATEGORIA",IF(COUNTIFS(CADASTROS!$L$7:$L$93,D2595,CADASTROS!$D$7:$D$93,E2595)=0,"INCOMPATÍVEL","OK"))))</f>
        <v/>
      </c>
    </row>
    <row r="2596" spans="1:11" ht="30" hidden="1" customHeight="1" x14ac:dyDescent="0.25">
      <c r="A2596" s="86" t="str">
        <f>IF(COUNTIF(EXTRATO!$A$2:$A$3000,"BAN-02453")=0,"","BAN-02453")</f>
        <v/>
      </c>
      <c r="B2596" s="85" t="str">
        <f>IF(A2596="","",IF(INDEX(EXTRATO!$C$2:$C$3000,MATCH($A2596,EXTRATO!$A$2:$A$3000,0))="","",INDEX(EXTRATO!$C$2:$C$3000,MATCH($A2596,EXTRATO!$A$2:$A$3000,0))))</f>
        <v/>
      </c>
      <c r="C2596" s="86" t="str">
        <f t="shared" si="68"/>
        <v/>
      </c>
      <c r="D2596" s="81"/>
      <c r="E2596" s="79"/>
      <c r="F2596" s="80" t="str">
        <f>IF(A2596="","",SUMIF(EXTRATO!$A$2:$A$3000,$A2596,EXTRATO!$J$2:$J$3000)+SUMIF(EXTRATO!$A$2:$A$3000,$A2596,EXTRATO!$K$2:$K$3000)+SUMIF(EXTRATO!$A$2:$A$3000,$A2596,EXTRATO!$L$2:$L$3000)+SUMIF(EXTRATO!$A$2:$A$3000,$A2596,EXTRATO!$M$2:$M$3000))</f>
        <v/>
      </c>
      <c r="G2596" s="81" t="str">
        <f>IF(A2596="","",IF(INDEX(EXTRATO!$G$2:$G$3000,MATCH($A2596,EXTRATO!$A$2:$A$3000,0))="","",INDEX(EXTRATO!$G$2:$G$3000,MATCH($A2596,EXTRATO!$A$2:$A$3000,0))))</f>
        <v/>
      </c>
      <c r="H2596" s="86" t="str">
        <f>IF(A2596="","",IF(INDEX(EXTRATO!$F$2:$F$3000,MATCH($A2596,EXTRATO!$A$2:$A$3000,0))="","",INDEX(EXTRATO!$F$2:$F$3000,MATCH($A2596,EXTRATO!$A$2:$A$3000,0))))</f>
        <v/>
      </c>
      <c r="I2596" s="88" t="str">
        <f>IF(A2596="","",IF(INDEX(EXTRATO!$H$2:$H$3000,MATCH($A2596,EXTRATO!$A$2:$A$3000,0))="","",INDEX(EXTRATO!$H$2:$H$3000,MATCH($A2596,EXTRATO!$A$2:$A$3000,0))))</f>
        <v/>
      </c>
      <c r="J2596" s="86" t="str">
        <f t="shared" si="67"/>
        <v/>
      </c>
      <c r="K2596" s="86" t="str">
        <f>IF(AND(A2596="",D2596="",E2596="",F2596=""),"",IF(D2596="","SEM CATEGORIA",IF(E2596="","SEM SUBCATEGORIA",IF(COUNTIFS(CADASTROS!$L$7:$L$93,D2596,CADASTROS!$D$7:$D$93,E2596)=0,"INCOMPATÍVEL","OK"))))</f>
        <v/>
      </c>
    </row>
    <row r="2597" spans="1:11" ht="30" hidden="1" customHeight="1" x14ac:dyDescent="0.25">
      <c r="A2597" s="86" t="str">
        <f>IF(COUNTIF(EXTRATO!$A$2:$A$3000,"BAN-02454")=0,"","BAN-02454")</f>
        <v/>
      </c>
      <c r="B2597" s="85" t="str">
        <f>IF(A2597="","",IF(INDEX(EXTRATO!$C$2:$C$3000,MATCH($A2597,EXTRATO!$A$2:$A$3000,0))="","",INDEX(EXTRATO!$C$2:$C$3000,MATCH($A2597,EXTRATO!$A$2:$A$3000,0))))</f>
        <v/>
      </c>
      <c r="C2597" s="86" t="str">
        <f t="shared" si="68"/>
        <v/>
      </c>
      <c r="D2597" s="81"/>
      <c r="E2597" s="79"/>
      <c r="F2597" s="80" t="str">
        <f>IF(A2597="","",SUMIF(EXTRATO!$A$2:$A$3000,$A2597,EXTRATO!$J$2:$J$3000)+SUMIF(EXTRATO!$A$2:$A$3000,$A2597,EXTRATO!$K$2:$K$3000)+SUMIF(EXTRATO!$A$2:$A$3000,$A2597,EXTRATO!$L$2:$L$3000)+SUMIF(EXTRATO!$A$2:$A$3000,$A2597,EXTRATO!$M$2:$M$3000))</f>
        <v/>
      </c>
      <c r="G2597" s="81" t="str">
        <f>IF(A2597="","",IF(INDEX(EXTRATO!$G$2:$G$3000,MATCH($A2597,EXTRATO!$A$2:$A$3000,0))="","",INDEX(EXTRATO!$G$2:$G$3000,MATCH($A2597,EXTRATO!$A$2:$A$3000,0))))</f>
        <v/>
      </c>
      <c r="H2597" s="86" t="str">
        <f>IF(A2597="","",IF(INDEX(EXTRATO!$F$2:$F$3000,MATCH($A2597,EXTRATO!$A$2:$A$3000,0))="","",INDEX(EXTRATO!$F$2:$F$3000,MATCH($A2597,EXTRATO!$A$2:$A$3000,0))))</f>
        <v/>
      </c>
      <c r="I2597" s="88" t="str">
        <f>IF(A2597="","",IF(INDEX(EXTRATO!$H$2:$H$3000,MATCH($A2597,EXTRATO!$A$2:$A$3000,0))="","",INDEX(EXTRATO!$H$2:$H$3000,MATCH($A2597,EXTRATO!$A$2:$A$3000,0))))</f>
        <v/>
      </c>
      <c r="J2597" s="86" t="str">
        <f t="shared" si="67"/>
        <v/>
      </c>
      <c r="K2597" s="86" t="str">
        <f>IF(AND(A2597="",D2597="",E2597="",F2597=""),"",IF(D2597="","SEM CATEGORIA",IF(E2597="","SEM SUBCATEGORIA",IF(COUNTIFS(CADASTROS!$L$7:$L$93,D2597,CADASTROS!$D$7:$D$93,E2597)=0,"INCOMPATÍVEL","OK"))))</f>
        <v/>
      </c>
    </row>
    <row r="2598" spans="1:11" ht="30" hidden="1" customHeight="1" x14ac:dyDescent="0.25">
      <c r="A2598" s="86" t="str">
        <f>IF(COUNTIF(EXTRATO!$A$2:$A$3000,"BAN-02455")=0,"","BAN-02455")</f>
        <v/>
      </c>
      <c r="B2598" s="85" t="str">
        <f>IF(A2598="","",IF(INDEX(EXTRATO!$C$2:$C$3000,MATCH($A2598,EXTRATO!$A$2:$A$3000,0))="","",INDEX(EXTRATO!$C$2:$C$3000,MATCH($A2598,EXTRATO!$A$2:$A$3000,0))))</f>
        <v/>
      </c>
      <c r="C2598" s="86" t="str">
        <f t="shared" si="68"/>
        <v/>
      </c>
      <c r="D2598" s="81"/>
      <c r="E2598" s="79"/>
      <c r="F2598" s="80" t="str">
        <f>IF(A2598="","",SUMIF(EXTRATO!$A$2:$A$3000,$A2598,EXTRATO!$J$2:$J$3000)+SUMIF(EXTRATO!$A$2:$A$3000,$A2598,EXTRATO!$K$2:$K$3000)+SUMIF(EXTRATO!$A$2:$A$3000,$A2598,EXTRATO!$L$2:$L$3000)+SUMIF(EXTRATO!$A$2:$A$3000,$A2598,EXTRATO!$M$2:$M$3000))</f>
        <v/>
      </c>
      <c r="G2598" s="81" t="str">
        <f>IF(A2598="","",IF(INDEX(EXTRATO!$G$2:$G$3000,MATCH($A2598,EXTRATO!$A$2:$A$3000,0))="","",INDEX(EXTRATO!$G$2:$G$3000,MATCH($A2598,EXTRATO!$A$2:$A$3000,0))))</f>
        <v/>
      </c>
      <c r="H2598" s="86" t="str">
        <f>IF(A2598="","",IF(INDEX(EXTRATO!$F$2:$F$3000,MATCH($A2598,EXTRATO!$A$2:$A$3000,0))="","",INDEX(EXTRATO!$F$2:$F$3000,MATCH($A2598,EXTRATO!$A$2:$A$3000,0))))</f>
        <v/>
      </c>
      <c r="I2598" s="88" t="str">
        <f>IF(A2598="","",IF(INDEX(EXTRATO!$H$2:$H$3000,MATCH($A2598,EXTRATO!$A$2:$A$3000,0))="","",INDEX(EXTRATO!$H$2:$H$3000,MATCH($A2598,EXTRATO!$A$2:$A$3000,0))))</f>
        <v/>
      </c>
      <c r="J2598" s="86" t="str">
        <f t="shared" si="67"/>
        <v/>
      </c>
      <c r="K2598" s="86" t="str">
        <f>IF(AND(A2598="",D2598="",E2598="",F2598=""),"",IF(D2598="","SEM CATEGORIA",IF(E2598="","SEM SUBCATEGORIA",IF(COUNTIFS(CADASTROS!$L$7:$L$93,D2598,CADASTROS!$D$7:$D$93,E2598)=0,"INCOMPATÍVEL","OK"))))</f>
        <v/>
      </c>
    </row>
    <row r="2599" spans="1:11" ht="30" hidden="1" customHeight="1" x14ac:dyDescent="0.25">
      <c r="A2599" s="86" t="str">
        <f>IF(COUNTIF(EXTRATO!$A$2:$A$3000,"BAN-02456")=0,"","BAN-02456")</f>
        <v/>
      </c>
      <c r="B2599" s="85" t="str">
        <f>IF(A2599="","",IF(INDEX(EXTRATO!$C$2:$C$3000,MATCH($A2599,EXTRATO!$A$2:$A$3000,0))="","",INDEX(EXTRATO!$C$2:$C$3000,MATCH($A2599,EXTRATO!$A$2:$A$3000,0))))</f>
        <v/>
      </c>
      <c r="C2599" s="86" t="str">
        <f t="shared" si="68"/>
        <v/>
      </c>
      <c r="D2599" s="81"/>
      <c r="E2599" s="79"/>
      <c r="F2599" s="80" t="str">
        <f>IF(A2599="","",SUMIF(EXTRATO!$A$2:$A$3000,$A2599,EXTRATO!$J$2:$J$3000)+SUMIF(EXTRATO!$A$2:$A$3000,$A2599,EXTRATO!$K$2:$K$3000)+SUMIF(EXTRATO!$A$2:$A$3000,$A2599,EXTRATO!$L$2:$L$3000)+SUMIF(EXTRATO!$A$2:$A$3000,$A2599,EXTRATO!$M$2:$M$3000))</f>
        <v/>
      </c>
      <c r="G2599" s="81" t="str">
        <f>IF(A2599="","",IF(INDEX(EXTRATO!$G$2:$G$3000,MATCH($A2599,EXTRATO!$A$2:$A$3000,0))="","",INDEX(EXTRATO!$G$2:$G$3000,MATCH($A2599,EXTRATO!$A$2:$A$3000,0))))</f>
        <v/>
      </c>
      <c r="H2599" s="86" t="str">
        <f>IF(A2599="","",IF(INDEX(EXTRATO!$F$2:$F$3000,MATCH($A2599,EXTRATO!$A$2:$A$3000,0))="","",INDEX(EXTRATO!$F$2:$F$3000,MATCH($A2599,EXTRATO!$A$2:$A$3000,0))))</f>
        <v/>
      </c>
      <c r="I2599" s="88" t="str">
        <f>IF(A2599="","",IF(INDEX(EXTRATO!$H$2:$H$3000,MATCH($A2599,EXTRATO!$A$2:$A$3000,0))="","",INDEX(EXTRATO!$H$2:$H$3000,MATCH($A2599,EXTRATO!$A$2:$A$3000,0))))</f>
        <v/>
      </c>
      <c r="J2599" s="86" t="str">
        <f t="shared" si="67"/>
        <v/>
      </c>
      <c r="K2599" s="86" t="str">
        <f>IF(AND(A2599="",D2599="",E2599="",F2599=""),"",IF(D2599="","SEM CATEGORIA",IF(E2599="","SEM SUBCATEGORIA",IF(COUNTIFS(CADASTROS!$L$7:$L$93,D2599,CADASTROS!$D$7:$D$93,E2599)=0,"INCOMPATÍVEL","OK"))))</f>
        <v/>
      </c>
    </row>
    <row r="2600" spans="1:11" ht="30" hidden="1" customHeight="1" x14ac:dyDescent="0.25">
      <c r="A2600" s="86" t="str">
        <f>IF(COUNTIF(EXTRATO!$A$2:$A$3000,"BAN-02457")=0,"","BAN-02457")</f>
        <v/>
      </c>
      <c r="B2600" s="85" t="str">
        <f>IF(A2600="","",IF(INDEX(EXTRATO!$C$2:$C$3000,MATCH($A2600,EXTRATO!$A$2:$A$3000,0))="","",INDEX(EXTRATO!$C$2:$C$3000,MATCH($A2600,EXTRATO!$A$2:$A$3000,0))))</f>
        <v/>
      </c>
      <c r="C2600" s="86" t="str">
        <f t="shared" si="68"/>
        <v/>
      </c>
      <c r="D2600" s="81"/>
      <c r="E2600" s="79"/>
      <c r="F2600" s="80" t="str">
        <f>IF(A2600="","",SUMIF(EXTRATO!$A$2:$A$3000,$A2600,EXTRATO!$J$2:$J$3000)+SUMIF(EXTRATO!$A$2:$A$3000,$A2600,EXTRATO!$K$2:$K$3000)+SUMIF(EXTRATO!$A$2:$A$3000,$A2600,EXTRATO!$L$2:$L$3000)+SUMIF(EXTRATO!$A$2:$A$3000,$A2600,EXTRATO!$M$2:$M$3000))</f>
        <v/>
      </c>
      <c r="G2600" s="81" t="str">
        <f>IF(A2600="","",IF(INDEX(EXTRATO!$G$2:$G$3000,MATCH($A2600,EXTRATO!$A$2:$A$3000,0))="","",INDEX(EXTRATO!$G$2:$G$3000,MATCH($A2600,EXTRATO!$A$2:$A$3000,0))))</f>
        <v/>
      </c>
      <c r="H2600" s="86" t="str">
        <f>IF(A2600="","",IF(INDEX(EXTRATO!$F$2:$F$3000,MATCH($A2600,EXTRATO!$A$2:$A$3000,0))="","",INDEX(EXTRATO!$F$2:$F$3000,MATCH($A2600,EXTRATO!$A$2:$A$3000,0))))</f>
        <v/>
      </c>
      <c r="I2600" s="88" t="str">
        <f>IF(A2600="","",IF(INDEX(EXTRATO!$H$2:$H$3000,MATCH($A2600,EXTRATO!$A$2:$A$3000,0))="","",INDEX(EXTRATO!$H$2:$H$3000,MATCH($A2600,EXTRATO!$A$2:$A$3000,0))))</f>
        <v/>
      </c>
      <c r="J2600" s="86" t="str">
        <f t="shared" si="67"/>
        <v/>
      </c>
      <c r="K2600" s="86" t="str">
        <f>IF(AND(A2600="",D2600="",E2600="",F2600=""),"",IF(D2600="","SEM CATEGORIA",IF(E2600="","SEM SUBCATEGORIA",IF(COUNTIFS(CADASTROS!$L$7:$L$93,D2600,CADASTROS!$D$7:$D$93,E2600)=0,"INCOMPATÍVEL","OK"))))</f>
        <v/>
      </c>
    </row>
    <row r="2601" spans="1:11" ht="30" hidden="1" customHeight="1" x14ac:dyDescent="0.25">
      <c r="A2601" s="86" t="str">
        <f>IF(COUNTIF(EXTRATO!$A$2:$A$3000,"BAN-02458")=0,"","BAN-02458")</f>
        <v/>
      </c>
      <c r="B2601" s="85" t="str">
        <f>IF(A2601="","",IF(INDEX(EXTRATO!$C$2:$C$3000,MATCH($A2601,EXTRATO!$A$2:$A$3000,0))="","",INDEX(EXTRATO!$C$2:$C$3000,MATCH($A2601,EXTRATO!$A$2:$A$3000,0))))</f>
        <v/>
      </c>
      <c r="C2601" s="86" t="str">
        <f t="shared" si="68"/>
        <v/>
      </c>
      <c r="D2601" s="81"/>
      <c r="E2601" s="79"/>
      <c r="F2601" s="80" t="str">
        <f>IF(A2601="","",SUMIF(EXTRATO!$A$2:$A$3000,$A2601,EXTRATO!$J$2:$J$3000)+SUMIF(EXTRATO!$A$2:$A$3000,$A2601,EXTRATO!$K$2:$K$3000)+SUMIF(EXTRATO!$A$2:$A$3000,$A2601,EXTRATO!$L$2:$L$3000)+SUMIF(EXTRATO!$A$2:$A$3000,$A2601,EXTRATO!$M$2:$M$3000))</f>
        <v/>
      </c>
      <c r="G2601" s="81" t="str">
        <f>IF(A2601="","",IF(INDEX(EXTRATO!$G$2:$G$3000,MATCH($A2601,EXTRATO!$A$2:$A$3000,0))="","",INDEX(EXTRATO!$G$2:$G$3000,MATCH($A2601,EXTRATO!$A$2:$A$3000,0))))</f>
        <v/>
      </c>
      <c r="H2601" s="86" t="str">
        <f>IF(A2601="","",IF(INDEX(EXTRATO!$F$2:$F$3000,MATCH($A2601,EXTRATO!$A$2:$A$3000,0))="","",INDEX(EXTRATO!$F$2:$F$3000,MATCH($A2601,EXTRATO!$A$2:$A$3000,0))))</f>
        <v/>
      </c>
      <c r="I2601" s="88" t="str">
        <f>IF(A2601="","",IF(INDEX(EXTRATO!$H$2:$H$3000,MATCH($A2601,EXTRATO!$A$2:$A$3000,0))="","",INDEX(EXTRATO!$H$2:$H$3000,MATCH($A2601,EXTRATO!$A$2:$A$3000,0))))</f>
        <v/>
      </c>
      <c r="J2601" s="86" t="str">
        <f t="shared" si="67"/>
        <v/>
      </c>
      <c r="K2601" s="86" t="str">
        <f>IF(AND(A2601="",D2601="",E2601="",F2601=""),"",IF(D2601="","SEM CATEGORIA",IF(E2601="","SEM SUBCATEGORIA",IF(COUNTIFS(CADASTROS!$L$7:$L$93,D2601,CADASTROS!$D$7:$D$93,E2601)=0,"INCOMPATÍVEL","OK"))))</f>
        <v/>
      </c>
    </row>
    <row r="2602" spans="1:11" ht="30" hidden="1" customHeight="1" x14ac:dyDescent="0.25">
      <c r="A2602" s="86" t="str">
        <f>IF(COUNTIF(EXTRATO!$A$2:$A$3000,"BAN-02459")=0,"","BAN-02459")</f>
        <v/>
      </c>
      <c r="B2602" s="85" t="str">
        <f>IF(A2602="","",IF(INDEX(EXTRATO!$C$2:$C$3000,MATCH($A2602,EXTRATO!$A$2:$A$3000,0))="","",INDEX(EXTRATO!$C$2:$C$3000,MATCH($A2602,EXTRATO!$A$2:$A$3000,0))))</f>
        <v/>
      </c>
      <c r="C2602" s="86" t="str">
        <f t="shared" si="68"/>
        <v/>
      </c>
      <c r="D2602" s="81"/>
      <c r="E2602" s="79"/>
      <c r="F2602" s="80" t="str">
        <f>IF(A2602="","",SUMIF(EXTRATO!$A$2:$A$3000,$A2602,EXTRATO!$J$2:$J$3000)+SUMIF(EXTRATO!$A$2:$A$3000,$A2602,EXTRATO!$K$2:$K$3000)+SUMIF(EXTRATO!$A$2:$A$3000,$A2602,EXTRATO!$L$2:$L$3000)+SUMIF(EXTRATO!$A$2:$A$3000,$A2602,EXTRATO!$M$2:$M$3000))</f>
        <v/>
      </c>
      <c r="G2602" s="81" t="str">
        <f>IF(A2602="","",IF(INDEX(EXTRATO!$G$2:$G$3000,MATCH($A2602,EXTRATO!$A$2:$A$3000,0))="","",INDEX(EXTRATO!$G$2:$G$3000,MATCH($A2602,EXTRATO!$A$2:$A$3000,0))))</f>
        <v/>
      </c>
      <c r="H2602" s="86" t="str">
        <f>IF(A2602="","",IF(INDEX(EXTRATO!$F$2:$F$3000,MATCH($A2602,EXTRATO!$A$2:$A$3000,0))="","",INDEX(EXTRATO!$F$2:$F$3000,MATCH($A2602,EXTRATO!$A$2:$A$3000,0))))</f>
        <v/>
      </c>
      <c r="I2602" s="88" t="str">
        <f>IF(A2602="","",IF(INDEX(EXTRATO!$H$2:$H$3000,MATCH($A2602,EXTRATO!$A$2:$A$3000,0))="","",INDEX(EXTRATO!$H$2:$H$3000,MATCH($A2602,EXTRATO!$A$2:$A$3000,0))))</f>
        <v/>
      </c>
      <c r="J2602" s="86" t="str">
        <f t="shared" si="67"/>
        <v/>
      </c>
      <c r="K2602" s="86" t="str">
        <f>IF(AND(A2602="",D2602="",E2602="",F2602=""),"",IF(D2602="","SEM CATEGORIA",IF(E2602="","SEM SUBCATEGORIA",IF(COUNTIFS(CADASTROS!$L$7:$L$93,D2602,CADASTROS!$D$7:$D$93,E2602)=0,"INCOMPATÍVEL","OK"))))</f>
        <v/>
      </c>
    </row>
    <row r="2603" spans="1:11" ht="30" hidden="1" customHeight="1" x14ac:dyDescent="0.25">
      <c r="A2603" s="86" t="str">
        <f>IF(COUNTIF(EXTRATO!$A$2:$A$3000,"BAN-02460")=0,"","BAN-02460")</f>
        <v/>
      </c>
      <c r="B2603" s="85" t="str">
        <f>IF(A2603="","",IF(INDEX(EXTRATO!$C$2:$C$3000,MATCH($A2603,EXTRATO!$A$2:$A$3000,0))="","",INDEX(EXTRATO!$C$2:$C$3000,MATCH($A2603,EXTRATO!$A$2:$A$3000,0))))</f>
        <v/>
      </c>
      <c r="C2603" s="86" t="str">
        <f t="shared" si="68"/>
        <v/>
      </c>
      <c r="D2603" s="81"/>
      <c r="E2603" s="79"/>
      <c r="F2603" s="80" t="str">
        <f>IF(A2603="","",SUMIF(EXTRATO!$A$2:$A$3000,$A2603,EXTRATO!$J$2:$J$3000)+SUMIF(EXTRATO!$A$2:$A$3000,$A2603,EXTRATO!$K$2:$K$3000)+SUMIF(EXTRATO!$A$2:$A$3000,$A2603,EXTRATO!$L$2:$L$3000)+SUMIF(EXTRATO!$A$2:$A$3000,$A2603,EXTRATO!$M$2:$M$3000))</f>
        <v/>
      </c>
      <c r="G2603" s="81" t="str">
        <f>IF(A2603="","",IF(INDEX(EXTRATO!$G$2:$G$3000,MATCH($A2603,EXTRATO!$A$2:$A$3000,0))="","",INDEX(EXTRATO!$G$2:$G$3000,MATCH($A2603,EXTRATO!$A$2:$A$3000,0))))</f>
        <v/>
      </c>
      <c r="H2603" s="86" t="str">
        <f>IF(A2603="","",IF(INDEX(EXTRATO!$F$2:$F$3000,MATCH($A2603,EXTRATO!$A$2:$A$3000,0))="","",INDEX(EXTRATO!$F$2:$F$3000,MATCH($A2603,EXTRATO!$A$2:$A$3000,0))))</f>
        <v/>
      </c>
      <c r="I2603" s="88" t="str">
        <f>IF(A2603="","",IF(INDEX(EXTRATO!$H$2:$H$3000,MATCH($A2603,EXTRATO!$A$2:$A$3000,0))="","",INDEX(EXTRATO!$H$2:$H$3000,MATCH($A2603,EXTRATO!$A$2:$A$3000,0))))</f>
        <v/>
      </c>
      <c r="J2603" s="86" t="str">
        <f t="shared" si="67"/>
        <v/>
      </c>
      <c r="K2603" s="86" t="str">
        <f>IF(AND(A2603="",D2603="",E2603="",F2603=""),"",IF(D2603="","SEM CATEGORIA",IF(E2603="","SEM SUBCATEGORIA",IF(COUNTIFS(CADASTROS!$L$7:$L$93,D2603,CADASTROS!$D$7:$D$93,E2603)=0,"INCOMPATÍVEL","OK"))))</f>
        <v/>
      </c>
    </row>
    <row r="2604" spans="1:11" ht="30" hidden="1" customHeight="1" x14ac:dyDescent="0.25">
      <c r="A2604" s="86" t="str">
        <f>IF(COUNTIF(EXTRATO!$A$2:$A$3000,"BAN-02461")=0,"","BAN-02461")</f>
        <v/>
      </c>
      <c r="B2604" s="85" t="str">
        <f>IF(A2604="","",IF(INDEX(EXTRATO!$C$2:$C$3000,MATCH($A2604,EXTRATO!$A$2:$A$3000,0))="","",INDEX(EXTRATO!$C$2:$C$3000,MATCH($A2604,EXTRATO!$A$2:$A$3000,0))))</f>
        <v/>
      </c>
      <c r="C2604" s="86" t="str">
        <f t="shared" si="68"/>
        <v/>
      </c>
      <c r="D2604" s="81"/>
      <c r="E2604" s="79"/>
      <c r="F2604" s="80" t="str">
        <f>IF(A2604="","",SUMIF(EXTRATO!$A$2:$A$3000,$A2604,EXTRATO!$J$2:$J$3000)+SUMIF(EXTRATO!$A$2:$A$3000,$A2604,EXTRATO!$K$2:$K$3000)+SUMIF(EXTRATO!$A$2:$A$3000,$A2604,EXTRATO!$L$2:$L$3000)+SUMIF(EXTRATO!$A$2:$A$3000,$A2604,EXTRATO!$M$2:$M$3000))</f>
        <v/>
      </c>
      <c r="G2604" s="81" t="str">
        <f>IF(A2604="","",IF(INDEX(EXTRATO!$G$2:$G$3000,MATCH($A2604,EXTRATO!$A$2:$A$3000,0))="","",INDEX(EXTRATO!$G$2:$G$3000,MATCH($A2604,EXTRATO!$A$2:$A$3000,0))))</f>
        <v/>
      </c>
      <c r="H2604" s="86" t="str">
        <f>IF(A2604="","",IF(INDEX(EXTRATO!$F$2:$F$3000,MATCH($A2604,EXTRATO!$A$2:$A$3000,0))="","",INDEX(EXTRATO!$F$2:$F$3000,MATCH($A2604,EXTRATO!$A$2:$A$3000,0))))</f>
        <v/>
      </c>
      <c r="I2604" s="88" t="str">
        <f>IF(A2604="","",IF(INDEX(EXTRATO!$H$2:$H$3000,MATCH($A2604,EXTRATO!$A$2:$A$3000,0))="","",INDEX(EXTRATO!$H$2:$H$3000,MATCH($A2604,EXTRATO!$A$2:$A$3000,0))))</f>
        <v/>
      </c>
      <c r="J2604" s="86" t="str">
        <f t="shared" ref="J2604:J2667" si="69">IF(A2604="","",IF(K2604="OK","MANUAL","PENDENTE"))</f>
        <v/>
      </c>
      <c r="K2604" s="86" t="str">
        <f>IF(AND(A2604="",D2604="",E2604="",F2604=""),"",IF(D2604="","SEM CATEGORIA",IF(E2604="","SEM SUBCATEGORIA",IF(COUNTIFS(CADASTROS!$L$7:$L$93,D2604,CADASTROS!$D$7:$D$93,E2604)=0,"INCOMPATÍVEL","OK"))))</f>
        <v/>
      </c>
    </row>
    <row r="2605" spans="1:11" ht="30" hidden="1" customHeight="1" x14ac:dyDescent="0.25">
      <c r="A2605" s="86" t="str">
        <f>IF(COUNTIF(EXTRATO!$A$2:$A$3000,"BAN-02462")=0,"","BAN-02462")</f>
        <v/>
      </c>
      <c r="B2605" s="85" t="str">
        <f>IF(A2605="","",IF(INDEX(EXTRATO!$C$2:$C$3000,MATCH($A2605,EXTRATO!$A$2:$A$3000,0))="","",INDEX(EXTRATO!$C$2:$C$3000,MATCH($A2605,EXTRATO!$A$2:$A$3000,0))))</f>
        <v/>
      </c>
      <c r="C2605" s="86" t="str">
        <f t="shared" si="68"/>
        <v/>
      </c>
      <c r="D2605" s="81"/>
      <c r="E2605" s="79"/>
      <c r="F2605" s="80" t="str">
        <f>IF(A2605="","",SUMIF(EXTRATO!$A$2:$A$3000,$A2605,EXTRATO!$J$2:$J$3000)+SUMIF(EXTRATO!$A$2:$A$3000,$A2605,EXTRATO!$K$2:$K$3000)+SUMIF(EXTRATO!$A$2:$A$3000,$A2605,EXTRATO!$L$2:$L$3000)+SUMIF(EXTRATO!$A$2:$A$3000,$A2605,EXTRATO!$M$2:$M$3000))</f>
        <v/>
      </c>
      <c r="G2605" s="81" t="str">
        <f>IF(A2605="","",IF(INDEX(EXTRATO!$G$2:$G$3000,MATCH($A2605,EXTRATO!$A$2:$A$3000,0))="","",INDEX(EXTRATO!$G$2:$G$3000,MATCH($A2605,EXTRATO!$A$2:$A$3000,0))))</f>
        <v/>
      </c>
      <c r="H2605" s="86" t="str">
        <f>IF(A2605="","",IF(INDEX(EXTRATO!$F$2:$F$3000,MATCH($A2605,EXTRATO!$A$2:$A$3000,0))="","",INDEX(EXTRATO!$F$2:$F$3000,MATCH($A2605,EXTRATO!$A$2:$A$3000,0))))</f>
        <v/>
      </c>
      <c r="I2605" s="88" t="str">
        <f>IF(A2605="","",IF(INDEX(EXTRATO!$H$2:$H$3000,MATCH($A2605,EXTRATO!$A$2:$A$3000,0))="","",INDEX(EXTRATO!$H$2:$H$3000,MATCH($A2605,EXTRATO!$A$2:$A$3000,0))))</f>
        <v/>
      </c>
      <c r="J2605" s="86" t="str">
        <f t="shared" si="69"/>
        <v/>
      </c>
      <c r="K2605" s="86" t="str">
        <f>IF(AND(A2605="",D2605="",E2605="",F2605=""),"",IF(D2605="","SEM CATEGORIA",IF(E2605="","SEM SUBCATEGORIA",IF(COUNTIFS(CADASTROS!$L$7:$L$93,D2605,CADASTROS!$D$7:$D$93,E2605)=0,"INCOMPATÍVEL","OK"))))</f>
        <v/>
      </c>
    </row>
    <row r="2606" spans="1:11" ht="30" hidden="1" customHeight="1" x14ac:dyDescent="0.25">
      <c r="A2606" s="86" t="str">
        <f>IF(COUNTIF(EXTRATO!$A$2:$A$3000,"BAN-02463")=0,"","BAN-02463")</f>
        <v/>
      </c>
      <c r="B2606" s="85" t="str">
        <f>IF(A2606="","",IF(INDEX(EXTRATO!$C$2:$C$3000,MATCH($A2606,EXTRATO!$A$2:$A$3000,0))="","",INDEX(EXTRATO!$C$2:$C$3000,MATCH($A2606,EXTRATO!$A$2:$A$3000,0))))</f>
        <v/>
      </c>
      <c r="C2606" s="86" t="str">
        <f t="shared" si="68"/>
        <v/>
      </c>
      <c r="D2606" s="81"/>
      <c r="E2606" s="79"/>
      <c r="F2606" s="80" t="str">
        <f>IF(A2606="","",SUMIF(EXTRATO!$A$2:$A$3000,$A2606,EXTRATO!$J$2:$J$3000)+SUMIF(EXTRATO!$A$2:$A$3000,$A2606,EXTRATO!$K$2:$K$3000)+SUMIF(EXTRATO!$A$2:$A$3000,$A2606,EXTRATO!$L$2:$L$3000)+SUMIF(EXTRATO!$A$2:$A$3000,$A2606,EXTRATO!$M$2:$M$3000))</f>
        <v/>
      </c>
      <c r="G2606" s="81" t="str">
        <f>IF(A2606="","",IF(INDEX(EXTRATO!$G$2:$G$3000,MATCH($A2606,EXTRATO!$A$2:$A$3000,0))="","",INDEX(EXTRATO!$G$2:$G$3000,MATCH($A2606,EXTRATO!$A$2:$A$3000,0))))</f>
        <v/>
      </c>
      <c r="H2606" s="86" t="str">
        <f>IF(A2606="","",IF(INDEX(EXTRATO!$F$2:$F$3000,MATCH($A2606,EXTRATO!$A$2:$A$3000,0))="","",INDEX(EXTRATO!$F$2:$F$3000,MATCH($A2606,EXTRATO!$A$2:$A$3000,0))))</f>
        <v/>
      </c>
      <c r="I2606" s="88" t="str">
        <f>IF(A2606="","",IF(INDEX(EXTRATO!$H$2:$H$3000,MATCH($A2606,EXTRATO!$A$2:$A$3000,0))="","",INDEX(EXTRATO!$H$2:$H$3000,MATCH($A2606,EXTRATO!$A$2:$A$3000,0))))</f>
        <v/>
      </c>
      <c r="J2606" s="86" t="str">
        <f t="shared" si="69"/>
        <v/>
      </c>
      <c r="K2606" s="86" t="str">
        <f>IF(AND(A2606="",D2606="",E2606="",F2606=""),"",IF(D2606="","SEM CATEGORIA",IF(E2606="","SEM SUBCATEGORIA",IF(COUNTIFS(CADASTROS!$L$7:$L$93,D2606,CADASTROS!$D$7:$D$93,E2606)=0,"INCOMPATÍVEL","OK"))))</f>
        <v/>
      </c>
    </row>
    <row r="2607" spans="1:11" ht="30" hidden="1" customHeight="1" x14ac:dyDescent="0.25">
      <c r="A2607" s="86" t="str">
        <f>IF(COUNTIF(EXTRATO!$A$2:$A$3000,"BAN-02464")=0,"","BAN-02464")</f>
        <v/>
      </c>
      <c r="B2607" s="85" t="str">
        <f>IF(A2607="","",IF(INDEX(EXTRATO!$C$2:$C$3000,MATCH($A2607,EXTRATO!$A$2:$A$3000,0))="","",INDEX(EXTRATO!$C$2:$C$3000,MATCH($A2607,EXTRATO!$A$2:$A$3000,0))))</f>
        <v/>
      </c>
      <c r="C2607" s="86" t="str">
        <f t="shared" si="68"/>
        <v/>
      </c>
      <c r="D2607" s="81"/>
      <c r="E2607" s="79"/>
      <c r="F2607" s="80" t="str">
        <f>IF(A2607="","",SUMIF(EXTRATO!$A$2:$A$3000,$A2607,EXTRATO!$J$2:$J$3000)+SUMIF(EXTRATO!$A$2:$A$3000,$A2607,EXTRATO!$K$2:$K$3000)+SUMIF(EXTRATO!$A$2:$A$3000,$A2607,EXTRATO!$L$2:$L$3000)+SUMIF(EXTRATO!$A$2:$A$3000,$A2607,EXTRATO!$M$2:$M$3000))</f>
        <v/>
      </c>
      <c r="G2607" s="81" t="str">
        <f>IF(A2607="","",IF(INDEX(EXTRATO!$G$2:$G$3000,MATCH($A2607,EXTRATO!$A$2:$A$3000,0))="","",INDEX(EXTRATO!$G$2:$G$3000,MATCH($A2607,EXTRATO!$A$2:$A$3000,0))))</f>
        <v/>
      </c>
      <c r="H2607" s="86" t="str">
        <f>IF(A2607="","",IF(INDEX(EXTRATO!$F$2:$F$3000,MATCH($A2607,EXTRATO!$A$2:$A$3000,0))="","",INDEX(EXTRATO!$F$2:$F$3000,MATCH($A2607,EXTRATO!$A$2:$A$3000,0))))</f>
        <v/>
      </c>
      <c r="I2607" s="88" t="str">
        <f>IF(A2607="","",IF(INDEX(EXTRATO!$H$2:$H$3000,MATCH($A2607,EXTRATO!$A$2:$A$3000,0))="","",INDEX(EXTRATO!$H$2:$H$3000,MATCH($A2607,EXTRATO!$A$2:$A$3000,0))))</f>
        <v/>
      </c>
      <c r="J2607" s="86" t="str">
        <f t="shared" si="69"/>
        <v/>
      </c>
      <c r="K2607" s="86" t="str">
        <f>IF(AND(A2607="",D2607="",E2607="",F2607=""),"",IF(D2607="","SEM CATEGORIA",IF(E2607="","SEM SUBCATEGORIA",IF(COUNTIFS(CADASTROS!$L$7:$L$93,D2607,CADASTROS!$D$7:$D$93,E2607)=0,"INCOMPATÍVEL","OK"))))</f>
        <v/>
      </c>
    </row>
    <row r="2608" spans="1:11" ht="30" hidden="1" customHeight="1" x14ac:dyDescent="0.25">
      <c r="A2608" s="86" t="str">
        <f>IF(COUNTIF(EXTRATO!$A$2:$A$3000,"BAN-02465")=0,"","BAN-02465")</f>
        <v/>
      </c>
      <c r="B2608" s="85" t="str">
        <f>IF(A2608="","",IF(INDEX(EXTRATO!$C$2:$C$3000,MATCH($A2608,EXTRATO!$A$2:$A$3000,0))="","",INDEX(EXTRATO!$C$2:$C$3000,MATCH($A2608,EXTRATO!$A$2:$A$3000,0))))</f>
        <v/>
      </c>
      <c r="C2608" s="86" t="str">
        <f t="shared" si="68"/>
        <v/>
      </c>
      <c r="D2608" s="81"/>
      <c r="E2608" s="79"/>
      <c r="F2608" s="80" t="str">
        <f>IF(A2608="","",SUMIF(EXTRATO!$A$2:$A$3000,$A2608,EXTRATO!$J$2:$J$3000)+SUMIF(EXTRATO!$A$2:$A$3000,$A2608,EXTRATO!$K$2:$K$3000)+SUMIF(EXTRATO!$A$2:$A$3000,$A2608,EXTRATO!$L$2:$L$3000)+SUMIF(EXTRATO!$A$2:$A$3000,$A2608,EXTRATO!$M$2:$M$3000))</f>
        <v/>
      </c>
      <c r="G2608" s="81" t="str">
        <f>IF(A2608="","",IF(INDEX(EXTRATO!$G$2:$G$3000,MATCH($A2608,EXTRATO!$A$2:$A$3000,0))="","",INDEX(EXTRATO!$G$2:$G$3000,MATCH($A2608,EXTRATO!$A$2:$A$3000,0))))</f>
        <v/>
      </c>
      <c r="H2608" s="86" t="str">
        <f>IF(A2608="","",IF(INDEX(EXTRATO!$F$2:$F$3000,MATCH($A2608,EXTRATO!$A$2:$A$3000,0))="","",INDEX(EXTRATO!$F$2:$F$3000,MATCH($A2608,EXTRATO!$A$2:$A$3000,0))))</f>
        <v/>
      </c>
      <c r="I2608" s="88" t="str">
        <f>IF(A2608="","",IF(INDEX(EXTRATO!$H$2:$H$3000,MATCH($A2608,EXTRATO!$A$2:$A$3000,0))="","",INDEX(EXTRATO!$H$2:$H$3000,MATCH($A2608,EXTRATO!$A$2:$A$3000,0))))</f>
        <v/>
      </c>
      <c r="J2608" s="86" t="str">
        <f t="shared" si="69"/>
        <v/>
      </c>
      <c r="K2608" s="86" t="str">
        <f>IF(AND(A2608="",D2608="",E2608="",F2608=""),"",IF(D2608="","SEM CATEGORIA",IF(E2608="","SEM SUBCATEGORIA",IF(COUNTIFS(CADASTROS!$L$7:$L$93,D2608,CADASTROS!$D$7:$D$93,E2608)=0,"INCOMPATÍVEL","OK"))))</f>
        <v/>
      </c>
    </row>
    <row r="2609" spans="1:11" ht="30" hidden="1" customHeight="1" x14ac:dyDescent="0.25">
      <c r="A2609" s="86" t="str">
        <f>IF(COUNTIF(EXTRATO!$A$2:$A$3000,"BAN-02466")=0,"","BAN-02466")</f>
        <v/>
      </c>
      <c r="B2609" s="85" t="str">
        <f>IF(A2609="","",IF(INDEX(EXTRATO!$C$2:$C$3000,MATCH($A2609,EXTRATO!$A$2:$A$3000,0))="","",INDEX(EXTRATO!$C$2:$C$3000,MATCH($A2609,EXTRATO!$A$2:$A$3000,0))))</f>
        <v/>
      </c>
      <c r="C2609" s="86" t="str">
        <f t="shared" si="68"/>
        <v/>
      </c>
      <c r="D2609" s="81"/>
      <c r="E2609" s="79"/>
      <c r="F2609" s="80" t="str">
        <f>IF(A2609="","",SUMIF(EXTRATO!$A$2:$A$3000,$A2609,EXTRATO!$J$2:$J$3000)+SUMIF(EXTRATO!$A$2:$A$3000,$A2609,EXTRATO!$K$2:$K$3000)+SUMIF(EXTRATO!$A$2:$A$3000,$A2609,EXTRATO!$L$2:$L$3000)+SUMIF(EXTRATO!$A$2:$A$3000,$A2609,EXTRATO!$M$2:$M$3000))</f>
        <v/>
      </c>
      <c r="G2609" s="81" t="str">
        <f>IF(A2609="","",IF(INDEX(EXTRATO!$G$2:$G$3000,MATCH($A2609,EXTRATO!$A$2:$A$3000,0))="","",INDEX(EXTRATO!$G$2:$G$3000,MATCH($A2609,EXTRATO!$A$2:$A$3000,0))))</f>
        <v/>
      </c>
      <c r="H2609" s="86" t="str">
        <f>IF(A2609="","",IF(INDEX(EXTRATO!$F$2:$F$3000,MATCH($A2609,EXTRATO!$A$2:$A$3000,0))="","",INDEX(EXTRATO!$F$2:$F$3000,MATCH($A2609,EXTRATO!$A$2:$A$3000,0))))</f>
        <v/>
      </c>
      <c r="I2609" s="88" t="str">
        <f>IF(A2609="","",IF(INDEX(EXTRATO!$H$2:$H$3000,MATCH($A2609,EXTRATO!$A$2:$A$3000,0))="","",INDEX(EXTRATO!$H$2:$H$3000,MATCH($A2609,EXTRATO!$A$2:$A$3000,0))))</f>
        <v/>
      </c>
      <c r="J2609" s="86" t="str">
        <f t="shared" si="69"/>
        <v/>
      </c>
      <c r="K2609" s="86" t="str">
        <f>IF(AND(A2609="",D2609="",E2609="",F2609=""),"",IF(D2609="","SEM CATEGORIA",IF(E2609="","SEM SUBCATEGORIA",IF(COUNTIFS(CADASTROS!$L$7:$L$93,D2609,CADASTROS!$D$7:$D$93,E2609)=0,"INCOMPATÍVEL","OK"))))</f>
        <v/>
      </c>
    </row>
    <row r="2610" spans="1:11" ht="30" hidden="1" customHeight="1" x14ac:dyDescent="0.25">
      <c r="A2610" s="86" t="str">
        <f>IF(COUNTIF(EXTRATO!$A$2:$A$3000,"BAN-02467")=0,"","BAN-02467")</f>
        <v/>
      </c>
      <c r="B2610" s="85" t="str">
        <f>IF(A2610="","",IF(INDEX(EXTRATO!$C$2:$C$3000,MATCH($A2610,EXTRATO!$A$2:$A$3000,0))="","",INDEX(EXTRATO!$C$2:$C$3000,MATCH($A2610,EXTRATO!$A$2:$A$3000,0))))</f>
        <v/>
      </c>
      <c r="C2610" s="86" t="str">
        <f t="shared" si="68"/>
        <v/>
      </c>
      <c r="D2610" s="81"/>
      <c r="E2610" s="79"/>
      <c r="F2610" s="80" t="str">
        <f>IF(A2610="","",SUMIF(EXTRATO!$A$2:$A$3000,$A2610,EXTRATO!$J$2:$J$3000)+SUMIF(EXTRATO!$A$2:$A$3000,$A2610,EXTRATO!$K$2:$K$3000)+SUMIF(EXTRATO!$A$2:$A$3000,$A2610,EXTRATO!$L$2:$L$3000)+SUMIF(EXTRATO!$A$2:$A$3000,$A2610,EXTRATO!$M$2:$M$3000))</f>
        <v/>
      </c>
      <c r="G2610" s="81" t="str">
        <f>IF(A2610="","",IF(INDEX(EXTRATO!$G$2:$G$3000,MATCH($A2610,EXTRATO!$A$2:$A$3000,0))="","",INDEX(EXTRATO!$G$2:$G$3000,MATCH($A2610,EXTRATO!$A$2:$A$3000,0))))</f>
        <v/>
      </c>
      <c r="H2610" s="86" t="str">
        <f>IF(A2610="","",IF(INDEX(EXTRATO!$F$2:$F$3000,MATCH($A2610,EXTRATO!$A$2:$A$3000,0))="","",INDEX(EXTRATO!$F$2:$F$3000,MATCH($A2610,EXTRATO!$A$2:$A$3000,0))))</f>
        <v/>
      </c>
      <c r="I2610" s="88" t="str">
        <f>IF(A2610="","",IF(INDEX(EXTRATO!$H$2:$H$3000,MATCH($A2610,EXTRATO!$A$2:$A$3000,0))="","",INDEX(EXTRATO!$H$2:$H$3000,MATCH($A2610,EXTRATO!$A$2:$A$3000,0))))</f>
        <v/>
      </c>
      <c r="J2610" s="86" t="str">
        <f t="shared" si="69"/>
        <v/>
      </c>
      <c r="K2610" s="86" t="str">
        <f>IF(AND(A2610="",D2610="",E2610="",F2610=""),"",IF(D2610="","SEM CATEGORIA",IF(E2610="","SEM SUBCATEGORIA",IF(COUNTIFS(CADASTROS!$L$7:$L$93,D2610,CADASTROS!$D$7:$D$93,E2610)=0,"INCOMPATÍVEL","OK"))))</f>
        <v/>
      </c>
    </row>
    <row r="2611" spans="1:11" ht="30" hidden="1" customHeight="1" x14ac:dyDescent="0.25">
      <c r="A2611" s="86" t="str">
        <f>IF(COUNTIF(EXTRATO!$A$2:$A$3000,"BAN-02468")=0,"","BAN-02468")</f>
        <v/>
      </c>
      <c r="B2611" s="85" t="str">
        <f>IF(A2611="","",IF(INDEX(EXTRATO!$C$2:$C$3000,MATCH($A2611,EXTRATO!$A$2:$A$3000,0))="","",INDEX(EXTRATO!$C$2:$C$3000,MATCH($A2611,EXTRATO!$A$2:$A$3000,0))))</f>
        <v/>
      </c>
      <c r="C2611" s="86" t="str">
        <f t="shared" si="68"/>
        <v/>
      </c>
      <c r="D2611" s="81"/>
      <c r="E2611" s="79"/>
      <c r="F2611" s="80" t="str">
        <f>IF(A2611="","",SUMIF(EXTRATO!$A$2:$A$3000,$A2611,EXTRATO!$J$2:$J$3000)+SUMIF(EXTRATO!$A$2:$A$3000,$A2611,EXTRATO!$K$2:$K$3000)+SUMIF(EXTRATO!$A$2:$A$3000,$A2611,EXTRATO!$L$2:$L$3000)+SUMIF(EXTRATO!$A$2:$A$3000,$A2611,EXTRATO!$M$2:$M$3000))</f>
        <v/>
      </c>
      <c r="G2611" s="81" t="str">
        <f>IF(A2611="","",IF(INDEX(EXTRATO!$G$2:$G$3000,MATCH($A2611,EXTRATO!$A$2:$A$3000,0))="","",INDEX(EXTRATO!$G$2:$G$3000,MATCH($A2611,EXTRATO!$A$2:$A$3000,0))))</f>
        <v/>
      </c>
      <c r="H2611" s="86" t="str">
        <f>IF(A2611="","",IF(INDEX(EXTRATO!$F$2:$F$3000,MATCH($A2611,EXTRATO!$A$2:$A$3000,0))="","",INDEX(EXTRATO!$F$2:$F$3000,MATCH($A2611,EXTRATO!$A$2:$A$3000,0))))</f>
        <v/>
      </c>
      <c r="I2611" s="88" t="str">
        <f>IF(A2611="","",IF(INDEX(EXTRATO!$H$2:$H$3000,MATCH($A2611,EXTRATO!$A$2:$A$3000,0))="","",INDEX(EXTRATO!$H$2:$H$3000,MATCH($A2611,EXTRATO!$A$2:$A$3000,0))))</f>
        <v/>
      </c>
      <c r="J2611" s="86" t="str">
        <f t="shared" si="69"/>
        <v/>
      </c>
      <c r="K2611" s="86" t="str">
        <f>IF(AND(A2611="",D2611="",E2611="",F2611=""),"",IF(D2611="","SEM CATEGORIA",IF(E2611="","SEM SUBCATEGORIA",IF(COUNTIFS(CADASTROS!$L$7:$L$93,D2611,CADASTROS!$D$7:$D$93,E2611)=0,"INCOMPATÍVEL","OK"))))</f>
        <v/>
      </c>
    </row>
    <row r="2612" spans="1:11" ht="30" hidden="1" customHeight="1" x14ac:dyDescent="0.25">
      <c r="A2612" s="86" t="str">
        <f>IF(COUNTIF(EXTRATO!$A$2:$A$3000,"BAN-02469")=0,"","BAN-02469")</f>
        <v/>
      </c>
      <c r="B2612" s="85" t="str">
        <f>IF(A2612="","",IF(INDEX(EXTRATO!$C$2:$C$3000,MATCH($A2612,EXTRATO!$A$2:$A$3000,0))="","",INDEX(EXTRATO!$C$2:$C$3000,MATCH($A2612,EXTRATO!$A$2:$A$3000,0))))</f>
        <v/>
      </c>
      <c r="C2612" s="86" t="str">
        <f t="shared" si="68"/>
        <v/>
      </c>
      <c r="D2612" s="81"/>
      <c r="E2612" s="79"/>
      <c r="F2612" s="80" t="str">
        <f>IF(A2612="","",SUMIF(EXTRATO!$A$2:$A$3000,$A2612,EXTRATO!$J$2:$J$3000)+SUMIF(EXTRATO!$A$2:$A$3000,$A2612,EXTRATO!$K$2:$K$3000)+SUMIF(EXTRATO!$A$2:$A$3000,$A2612,EXTRATO!$L$2:$L$3000)+SUMIF(EXTRATO!$A$2:$A$3000,$A2612,EXTRATO!$M$2:$M$3000))</f>
        <v/>
      </c>
      <c r="G2612" s="81" t="str">
        <f>IF(A2612="","",IF(INDEX(EXTRATO!$G$2:$G$3000,MATCH($A2612,EXTRATO!$A$2:$A$3000,0))="","",INDEX(EXTRATO!$G$2:$G$3000,MATCH($A2612,EXTRATO!$A$2:$A$3000,0))))</f>
        <v/>
      </c>
      <c r="H2612" s="86" t="str">
        <f>IF(A2612="","",IF(INDEX(EXTRATO!$F$2:$F$3000,MATCH($A2612,EXTRATO!$A$2:$A$3000,0))="","",INDEX(EXTRATO!$F$2:$F$3000,MATCH($A2612,EXTRATO!$A$2:$A$3000,0))))</f>
        <v/>
      </c>
      <c r="I2612" s="88" t="str">
        <f>IF(A2612="","",IF(INDEX(EXTRATO!$H$2:$H$3000,MATCH($A2612,EXTRATO!$A$2:$A$3000,0))="","",INDEX(EXTRATO!$H$2:$H$3000,MATCH($A2612,EXTRATO!$A$2:$A$3000,0))))</f>
        <v/>
      </c>
      <c r="J2612" s="86" t="str">
        <f t="shared" si="69"/>
        <v/>
      </c>
      <c r="K2612" s="86" t="str">
        <f>IF(AND(A2612="",D2612="",E2612="",F2612=""),"",IF(D2612="","SEM CATEGORIA",IF(E2612="","SEM SUBCATEGORIA",IF(COUNTIFS(CADASTROS!$L$7:$L$93,D2612,CADASTROS!$D$7:$D$93,E2612)=0,"INCOMPATÍVEL","OK"))))</f>
        <v/>
      </c>
    </row>
    <row r="2613" spans="1:11" ht="30" hidden="1" customHeight="1" x14ac:dyDescent="0.25">
      <c r="A2613" s="86" t="str">
        <f>IF(COUNTIF(EXTRATO!$A$2:$A$3000,"BAN-02470")=0,"","BAN-02470")</f>
        <v/>
      </c>
      <c r="B2613" s="85" t="str">
        <f>IF(A2613="","",IF(INDEX(EXTRATO!$C$2:$C$3000,MATCH($A2613,EXTRATO!$A$2:$A$3000,0))="","",INDEX(EXTRATO!$C$2:$C$3000,MATCH($A2613,EXTRATO!$A$2:$A$3000,0))))</f>
        <v/>
      </c>
      <c r="C2613" s="86" t="str">
        <f t="shared" si="68"/>
        <v/>
      </c>
      <c r="D2613" s="81"/>
      <c r="E2613" s="79"/>
      <c r="F2613" s="80" t="str">
        <f>IF(A2613="","",SUMIF(EXTRATO!$A$2:$A$3000,$A2613,EXTRATO!$J$2:$J$3000)+SUMIF(EXTRATO!$A$2:$A$3000,$A2613,EXTRATO!$K$2:$K$3000)+SUMIF(EXTRATO!$A$2:$A$3000,$A2613,EXTRATO!$L$2:$L$3000)+SUMIF(EXTRATO!$A$2:$A$3000,$A2613,EXTRATO!$M$2:$M$3000))</f>
        <v/>
      </c>
      <c r="G2613" s="81" t="str">
        <f>IF(A2613="","",IF(INDEX(EXTRATO!$G$2:$G$3000,MATCH($A2613,EXTRATO!$A$2:$A$3000,0))="","",INDEX(EXTRATO!$G$2:$G$3000,MATCH($A2613,EXTRATO!$A$2:$A$3000,0))))</f>
        <v/>
      </c>
      <c r="H2613" s="86" t="str">
        <f>IF(A2613="","",IF(INDEX(EXTRATO!$F$2:$F$3000,MATCH($A2613,EXTRATO!$A$2:$A$3000,0))="","",INDEX(EXTRATO!$F$2:$F$3000,MATCH($A2613,EXTRATO!$A$2:$A$3000,0))))</f>
        <v/>
      </c>
      <c r="I2613" s="88" t="str">
        <f>IF(A2613="","",IF(INDEX(EXTRATO!$H$2:$H$3000,MATCH($A2613,EXTRATO!$A$2:$A$3000,0))="","",INDEX(EXTRATO!$H$2:$H$3000,MATCH($A2613,EXTRATO!$A$2:$A$3000,0))))</f>
        <v/>
      </c>
      <c r="J2613" s="86" t="str">
        <f t="shared" si="69"/>
        <v/>
      </c>
      <c r="K2613" s="86" t="str">
        <f>IF(AND(A2613="",D2613="",E2613="",F2613=""),"",IF(D2613="","SEM CATEGORIA",IF(E2613="","SEM SUBCATEGORIA",IF(COUNTIFS(CADASTROS!$L$7:$L$93,D2613,CADASTROS!$D$7:$D$93,E2613)=0,"INCOMPATÍVEL","OK"))))</f>
        <v/>
      </c>
    </row>
    <row r="2614" spans="1:11" ht="30" hidden="1" customHeight="1" x14ac:dyDescent="0.25">
      <c r="A2614" s="86" t="str">
        <f>IF(COUNTIF(EXTRATO!$A$2:$A$3000,"BAN-02471")=0,"","BAN-02471")</f>
        <v/>
      </c>
      <c r="B2614" s="85" t="str">
        <f>IF(A2614="","",IF(INDEX(EXTRATO!$C$2:$C$3000,MATCH($A2614,EXTRATO!$A$2:$A$3000,0))="","",INDEX(EXTRATO!$C$2:$C$3000,MATCH($A2614,EXTRATO!$A$2:$A$3000,0))))</f>
        <v/>
      </c>
      <c r="C2614" s="86" t="str">
        <f t="shared" si="68"/>
        <v/>
      </c>
      <c r="D2614" s="81"/>
      <c r="E2614" s="79"/>
      <c r="F2614" s="80" t="str">
        <f>IF(A2614="","",SUMIF(EXTRATO!$A$2:$A$3000,$A2614,EXTRATO!$J$2:$J$3000)+SUMIF(EXTRATO!$A$2:$A$3000,$A2614,EXTRATO!$K$2:$K$3000)+SUMIF(EXTRATO!$A$2:$A$3000,$A2614,EXTRATO!$L$2:$L$3000)+SUMIF(EXTRATO!$A$2:$A$3000,$A2614,EXTRATO!$M$2:$M$3000))</f>
        <v/>
      </c>
      <c r="G2614" s="81" t="str">
        <f>IF(A2614="","",IF(INDEX(EXTRATO!$G$2:$G$3000,MATCH($A2614,EXTRATO!$A$2:$A$3000,0))="","",INDEX(EXTRATO!$G$2:$G$3000,MATCH($A2614,EXTRATO!$A$2:$A$3000,0))))</f>
        <v/>
      </c>
      <c r="H2614" s="86" t="str">
        <f>IF(A2614="","",IF(INDEX(EXTRATO!$F$2:$F$3000,MATCH($A2614,EXTRATO!$A$2:$A$3000,0))="","",INDEX(EXTRATO!$F$2:$F$3000,MATCH($A2614,EXTRATO!$A$2:$A$3000,0))))</f>
        <v/>
      </c>
      <c r="I2614" s="88" t="str">
        <f>IF(A2614="","",IF(INDEX(EXTRATO!$H$2:$H$3000,MATCH($A2614,EXTRATO!$A$2:$A$3000,0))="","",INDEX(EXTRATO!$H$2:$H$3000,MATCH($A2614,EXTRATO!$A$2:$A$3000,0))))</f>
        <v/>
      </c>
      <c r="J2614" s="86" t="str">
        <f t="shared" si="69"/>
        <v/>
      </c>
      <c r="K2614" s="86" t="str">
        <f>IF(AND(A2614="",D2614="",E2614="",F2614=""),"",IF(D2614="","SEM CATEGORIA",IF(E2614="","SEM SUBCATEGORIA",IF(COUNTIFS(CADASTROS!$L$7:$L$93,D2614,CADASTROS!$D$7:$D$93,E2614)=0,"INCOMPATÍVEL","OK"))))</f>
        <v/>
      </c>
    </row>
    <row r="2615" spans="1:11" ht="30" hidden="1" customHeight="1" x14ac:dyDescent="0.25">
      <c r="A2615" s="86" t="str">
        <f>IF(COUNTIF(EXTRATO!$A$2:$A$3000,"BAN-02472")=0,"","BAN-02472")</f>
        <v/>
      </c>
      <c r="B2615" s="85" t="str">
        <f>IF(A2615="","",IF(INDEX(EXTRATO!$C$2:$C$3000,MATCH($A2615,EXTRATO!$A$2:$A$3000,0))="","",INDEX(EXTRATO!$C$2:$C$3000,MATCH($A2615,EXTRATO!$A$2:$A$3000,0))))</f>
        <v/>
      </c>
      <c r="C2615" s="86" t="str">
        <f t="shared" si="68"/>
        <v/>
      </c>
      <c r="D2615" s="81"/>
      <c r="E2615" s="79"/>
      <c r="F2615" s="80" t="str">
        <f>IF(A2615="","",SUMIF(EXTRATO!$A$2:$A$3000,$A2615,EXTRATO!$J$2:$J$3000)+SUMIF(EXTRATO!$A$2:$A$3000,$A2615,EXTRATO!$K$2:$K$3000)+SUMIF(EXTRATO!$A$2:$A$3000,$A2615,EXTRATO!$L$2:$L$3000)+SUMIF(EXTRATO!$A$2:$A$3000,$A2615,EXTRATO!$M$2:$M$3000))</f>
        <v/>
      </c>
      <c r="G2615" s="81" t="str">
        <f>IF(A2615="","",IF(INDEX(EXTRATO!$G$2:$G$3000,MATCH($A2615,EXTRATO!$A$2:$A$3000,0))="","",INDEX(EXTRATO!$G$2:$G$3000,MATCH($A2615,EXTRATO!$A$2:$A$3000,0))))</f>
        <v/>
      </c>
      <c r="H2615" s="86" t="str">
        <f>IF(A2615="","",IF(INDEX(EXTRATO!$F$2:$F$3000,MATCH($A2615,EXTRATO!$A$2:$A$3000,0))="","",INDEX(EXTRATO!$F$2:$F$3000,MATCH($A2615,EXTRATO!$A$2:$A$3000,0))))</f>
        <v/>
      </c>
      <c r="I2615" s="88" t="str">
        <f>IF(A2615="","",IF(INDEX(EXTRATO!$H$2:$H$3000,MATCH($A2615,EXTRATO!$A$2:$A$3000,0))="","",INDEX(EXTRATO!$H$2:$H$3000,MATCH($A2615,EXTRATO!$A$2:$A$3000,0))))</f>
        <v/>
      </c>
      <c r="J2615" s="86" t="str">
        <f t="shared" si="69"/>
        <v/>
      </c>
      <c r="K2615" s="86" t="str">
        <f>IF(AND(A2615="",D2615="",E2615="",F2615=""),"",IF(D2615="","SEM CATEGORIA",IF(E2615="","SEM SUBCATEGORIA",IF(COUNTIFS(CADASTROS!$L$7:$L$93,D2615,CADASTROS!$D$7:$D$93,E2615)=0,"INCOMPATÍVEL","OK"))))</f>
        <v/>
      </c>
    </row>
    <row r="2616" spans="1:11" ht="30" hidden="1" customHeight="1" x14ac:dyDescent="0.25">
      <c r="A2616" s="86" t="str">
        <f>IF(COUNTIF(EXTRATO!$A$2:$A$3000,"BAN-02473")=0,"","BAN-02473")</f>
        <v/>
      </c>
      <c r="B2616" s="85" t="str">
        <f>IF(A2616="","",IF(INDEX(EXTRATO!$C$2:$C$3000,MATCH($A2616,EXTRATO!$A$2:$A$3000,0))="","",INDEX(EXTRATO!$C$2:$C$3000,MATCH($A2616,EXTRATO!$A$2:$A$3000,0))))</f>
        <v/>
      </c>
      <c r="C2616" s="86" t="str">
        <f t="shared" si="68"/>
        <v/>
      </c>
      <c r="D2616" s="81"/>
      <c r="E2616" s="79"/>
      <c r="F2616" s="80" t="str">
        <f>IF(A2616="","",SUMIF(EXTRATO!$A$2:$A$3000,$A2616,EXTRATO!$J$2:$J$3000)+SUMIF(EXTRATO!$A$2:$A$3000,$A2616,EXTRATO!$K$2:$K$3000)+SUMIF(EXTRATO!$A$2:$A$3000,$A2616,EXTRATO!$L$2:$L$3000)+SUMIF(EXTRATO!$A$2:$A$3000,$A2616,EXTRATO!$M$2:$M$3000))</f>
        <v/>
      </c>
      <c r="G2616" s="81" t="str">
        <f>IF(A2616="","",IF(INDEX(EXTRATO!$G$2:$G$3000,MATCH($A2616,EXTRATO!$A$2:$A$3000,0))="","",INDEX(EXTRATO!$G$2:$G$3000,MATCH($A2616,EXTRATO!$A$2:$A$3000,0))))</f>
        <v/>
      </c>
      <c r="H2616" s="86" t="str">
        <f>IF(A2616="","",IF(INDEX(EXTRATO!$F$2:$F$3000,MATCH($A2616,EXTRATO!$A$2:$A$3000,0))="","",INDEX(EXTRATO!$F$2:$F$3000,MATCH($A2616,EXTRATO!$A$2:$A$3000,0))))</f>
        <v/>
      </c>
      <c r="I2616" s="88" t="str">
        <f>IF(A2616="","",IF(INDEX(EXTRATO!$H$2:$H$3000,MATCH($A2616,EXTRATO!$A$2:$A$3000,0))="","",INDEX(EXTRATO!$H$2:$H$3000,MATCH($A2616,EXTRATO!$A$2:$A$3000,0))))</f>
        <v/>
      </c>
      <c r="J2616" s="86" t="str">
        <f t="shared" si="69"/>
        <v/>
      </c>
      <c r="K2616" s="86" t="str">
        <f>IF(AND(A2616="",D2616="",E2616="",F2616=""),"",IF(D2616="","SEM CATEGORIA",IF(E2616="","SEM SUBCATEGORIA",IF(COUNTIFS(CADASTROS!$L$7:$L$93,D2616,CADASTROS!$D$7:$D$93,E2616)=0,"INCOMPATÍVEL","OK"))))</f>
        <v/>
      </c>
    </row>
    <row r="2617" spans="1:11" ht="30" hidden="1" customHeight="1" x14ac:dyDescent="0.25">
      <c r="A2617" s="86" t="str">
        <f>IF(COUNTIF(EXTRATO!$A$2:$A$3000,"BAN-02474")=0,"","BAN-02474")</f>
        <v/>
      </c>
      <c r="B2617" s="85" t="str">
        <f>IF(A2617="","",IF(INDEX(EXTRATO!$C$2:$C$3000,MATCH($A2617,EXTRATO!$A$2:$A$3000,0))="","",INDEX(EXTRATO!$C$2:$C$3000,MATCH($A2617,EXTRATO!$A$2:$A$3000,0))))</f>
        <v/>
      </c>
      <c r="C2617" s="86" t="str">
        <f t="shared" si="68"/>
        <v/>
      </c>
      <c r="D2617" s="81"/>
      <c r="E2617" s="79"/>
      <c r="F2617" s="80" t="str">
        <f>IF(A2617="","",SUMIF(EXTRATO!$A$2:$A$3000,$A2617,EXTRATO!$J$2:$J$3000)+SUMIF(EXTRATO!$A$2:$A$3000,$A2617,EXTRATO!$K$2:$K$3000)+SUMIF(EXTRATO!$A$2:$A$3000,$A2617,EXTRATO!$L$2:$L$3000)+SUMIF(EXTRATO!$A$2:$A$3000,$A2617,EXTRATO!$M$2:$M$3000))</f>
        <v/>
      </c>
      <c r="G2617" s="81" t="str">
        <f>IF(A2617="","",IF(INDEX(EXTRATO!$G$2:$G$3000,MATCH($A2617,EXTRATO!$A$2:$A$3000,0))="","",INDEX(EXTRATO!$G$2:$G$3000,MATCH($A2617,EXTRATO!$A$2:$A$3000,0))))</f>
        <v/>
      </c>
      <c r="H2617" s="86" t="str">
        <f>IF(A2617="","",IF(INDEX(EXTRATO!$F$2:$F$3000,MATCH($A2617,EXTRATO!$A$2:$A$3000,0))="","",INDEX(EXTRATO!$F$2:$F$3000,MATCH($A2617,EXTRATO!$A$2:$A$3000,0))))</f>
        <v/>
      </c>
      <c r="I2617" s="88" t="str">
        <f>IF(A2617="","",IF(INDEX(EXTRATO!$H$2:$H$3000,MATCH($A2617,EXTRATO!$A$2:$A$3000,0))="","",INDEX(EXTRATO!$H$2:$H$3000,MATCH($A2617,EXTRATO!$A$2:$A$3000,0))))</f>
        <v/>
      </c>
      <c r="J2617" s="86" t="str">
        <f t="shared" si="69"/>
        <v/>
      </c>
      <c r="K2617" s="86" t="str">
        <f>IF(AND(A2617="",D2617="",E2617="",F2617=""),"",IF(D2617="","SEM CATEGORIA",IF(E2617="","SEM SUBCATEGORIA",IF(COUNTIFS(CADASTROS!$L$7:$L$93,D2617,CADASTROS!$D$7:$D$93,E2617)=0,"INCOMPATÍVEL","OK"))))</f>
        <v/>
      </c>
    </row>
    <row r="2618" spans="1:11" ht="30" hidden="1" customHeight="1" x14ac:dyDescent="0.25">
      <c r="A2618" s="86" t="str">
        <f>IF(COUNTIF(EXTRATO!$A$2:$A$3000,"BAN-02475")=0,"","BAN-02475")</f>
        <v/>
      </c>
      <c r="B2618" s="85" t="str">
        <f>IF(A2618="","",IF(INDEX(EXTRATO!$C$2:$C$3000,MATCH($A2618,EXTRATO!$A$2:$A$3000,0))="","",INDEX(EXTRATO!$C$2:$C$3000,MATCH($A2618,EXTRATO!$A$2:$A$3000,0))))</f>
        <v/>
      </c>
      <c r="C2618" s="86" t="str">
        <f t="shared" si="68"/>
        <v/>
      </c>
      <c r="D2618" s="81"/>
      <c r="E2618" s="79"/>
      <c r="F2618" s="80" t="str">
        <f>IF(A2618="","",SUMIF(EXTRATO!$A$2:$A$3000,$A2618,EXTRATO!$J$2:$J$3000)+SUMIF(EXTRATO!$A$2:$A$3000,$A2618,EXTRATO!$K$2:$K$3000)+SUMIF(EXTRATO!$A$2:$A$3000,$A2618,EXTRATO!$L$2:$L$3000)+SUMIF(EXTRATO!$A$2:$A$3000,$A2618,EXTRATO!$M$2:$M$3000))</f>
        <v/>
      </c>
      <c r="G2618" s="81" t="str">
        <f>IF(A2618="","",IF(INDEX(EXTRATO!$G$2:$G$3000,MATCH($A2618,EXTRATO!$A$2:$A$3000,0))="","",INDEX(EXTRATO!$G$2:$G$3000,MATCH($A2618,EXTRATO!$A$2:$A$3000,0))))</f>
        <v/>
      </c>
      <c r="H2618" s="86" t="str">
        <f>IF(A2618="","",IF(INDEX(EXTRATO!$F$2:$F$3000,MATCH($A2618,EXTRATO!$A$2:$A$3000,0))="","",INDEX(EXTRATO!$F$2:$F$3000,MATCH($A2618,EXTRATO!$A$2:$A$3000,0))))</f>
        <v/>
      </c>
      <c r="I2618" s="88" t="str">
        <f>IF(A2618="","",IF(INDEX(EXTRATO!$H$2:$H$3000,MATCH($A2618,EXTRATO!$A$2:$A$3000,0))="","",INDEX(EXTRATO!$H$2:$H$3000,MATCH($A2618,EXTRATO!$A$2:$A$3000,0))))</f>
        <v/>
      </c>
      <c r="J2618" s="86" t="str">
        <f t="shared" si="69"/>
        <v/>
      </c>
      <c r="K2618" s="86" t="str">
        <f>IF(AND(A2618="",D2618="",E2618="",F2618=""),"",IF(D2618="","SEM CATEGORIA",IF(E2618="","SEM SUBCATEGORIA",IF(COUNTIFS(CADASTROS!$L$7:$L$93,D2618,CADASTROS!$D$7:$D$93,E2618)=0,"INCOMPATÍVEL","OK"))))</f>
        <v/>
      </c>
    </row>
    <row r="2619" spans="1:11" ht="30" hidden="1" customHeight="1" x14ac:dyDescent="0.25">
      <c r="A2619" s="86" t="str">
        <f>IF(COUNTIF(EXTRATO!$A$2:$A$3000,"BAN-02476")=0,"","BAN-02476")</f>
        <v/>
      </c>
      <c r="B2619" s="85" t="str">
        <f>IF(A2619="","",IF(INDEX(EXTRATO!$C$2:$C$3000,MATCH($A2619,EXTRATO!$A$2:$A$3000,0))="","",INDEX(EXTRATO!$C$2:$C$3000,MATCH($A2619,EXTRATO!$A$2:$A$3000,0))))</f>
        <v/>
      </c>
      <c r="C2619" s="86" t="str">
        <f t="shared" si="68"/>
        <v/>
      </c>
      <c r="D2619" s="81"/>
      <c r="E2619" s="79"/>
      <c r="F2619" s="80" t="str">
        <f>IF(A2619="","",SUMIF(EXTRATO!$A$2:$A$3000,$A2619,EXTRATO!$J$2:$J$3000)+SUMIF(EXTRATO!$A$2:$A$3000,$A2619,EXTRATO!$K$2:$K$3000)+SUMIF(EXTRATO!$A$2:$A$3000,$A2619,EXTRATO!$L$2:$L$3000)+SUMIF(EXTRATO!$A$2:$A$3000,$A2619,EXTRATO!$M$2:$M$3000))</f>
        <v/>
      </c>
      <c r="G2619" s="81" t="str">
        <f>IF(A2619="","",IF(INDEX(EXTRATO!$G$2:$G$3000,MATCH($A2619,EXTRATO!$A$2:$A$3000,0))="","",INDEX(EXTRATO!$G$2:$G$3000,MATCH($A2619,EXTRATO!$A$2:$A$3000,0))))</f>
        <v/>
      </c>
      <c r="H2619" s="86" t="str">
        <f>IF(A2619="","",IF(INDEX(EXTRATO!$F$2:$F$3000,MATCH($A2619,EXTRATO!$A$2:$A$3000,0))="","",INDEX(EXTRATO!$F$2:$F$3000,MATCH($A2619,EXTRATO!$A$2:$A$3000,0))))</f>
        <v/>
      </c>
      <c r="I2619" s="88" t="str">
        <f>IF(A2619="","",IF(INDEX(EXTRATO!$H$2:$H$3000,MATCH($A2619,EXTRATO!$A$2:$A$3000,0))="","",INDEX(EXTRATO!$H$2:$H$3000,MATCH($A2619,EXTRATO!$A$2:$A$3000,0))))</f>
        <v/>
      </c>
      <c r="J2619" s="86" t="str">
        <f t="shared" si="69"/>
        <v/>
      </c>
      <c r="K2619" s="86" t="str">
        <f>IF(AND(A2619="",D2619="",E2619="",F2619=""),"",IF(D2619="","SEM CATEGORIA",IF(E2619="","SEM SUBCATEGORIA",IF(COUNTIFS(CADASTROS!$L$7:$L$93,D2619,CADASTROS!$D$7:$D$93,E2619)=0,"INCOMPATÍVEL","OK"))))</f>
        <v/>
      </c>
    </row>
    <row r="2620" spans="1:11" ht="30" hidden="1" customHeight="1" x14ac:dyDescent="0.25">
      <c r="A2620" s="86" t="str">
        <f>IF(COUNTIF(EXTRATO!$A$2:$A$3000,"BAN-02477")=0,"","BAN-02477")</f>
        <v/>
      </c>
      <c r="B2620" s="85" t="str">
        <f>IF(A2620="","",IF(INDEX(EXTRATO!$C$2:$C$3000,MATCH($A2620,EXTRATO!$A$2:$A$3000,0))="","",INDEX(EXTRATO!$C$2:$C$3000,MATCH($A2620,EXTRATO!$A$2:$A$3000,0))))</f>
        <v/>
      </c>
      <c r="C2620" s="86" t="str">
        <f t="shared" si="68"/>
        <v/>
      </c>
      <c r="D2620" s="81"/>
      <c r="E2620" s="79"/>
      <c r="F2620" s="80" t="str">
        <f>IF(A2620="","",SUMIF(EXTRATO!$A$2:$A$3000,$A2620,EXTRATO!$J$2:$J$3000)+SUMIF(EXTRATO!$A$2:$A$3000,$A2620,EXTRATO!$K$2:$K$3000)+SUMIF(EXTRATO!$A$2:$A$3000,$A2620,EXTRATO!$L$2:$L$3000)+SUMIF(EXTRATO!$A$2:$A$3000,$A2620,EXTRATO!$M$2:$M$3000))</f>
        <v/>
      </c>
      <c r="G2620" s="81" t="str">
        <f>IF(A2620="","",IF(INDEX(EXTRATO!$G$2:$G$3000,MATCH($A2620,EXTRATO!$A$2:$A$3000,0))="","",INDEX(EXTRATO!$G$2:$G$3000,MATCH($A2620,EXTRATO!$A$2:$A$3000,0))))</f>
        <v/>
      </c>
      <c r="H2620" s="86" t="str">
        <f>IF(A2620="","",IF(INDEX(EXTRATO!$F$2:$F$3000,MATCH($A2620,EXTRATO!$A$2:$A$3000,0))="","",INDEX(EXTRATO!$F$2:$F$3000,MATCH($A2620,EXTRATO!$A$2:$A$3000,0))))</f>
        <v/>
      </c>
      <c r="I2620" s="88" t="str">
        <f>IF(A2620="","",IF(INDEX(EXTRATO!$H$2:$H$3000,MATCH($A2620,EXTRATO!$A$2:$A$3000,0))="","",INDEX(EXTRATO!$H$2:$H$3000,MATCH($A2620,EXTRATO!$A$2:$A$3000,0))))</f>
        <v/>
      </c>
      <c r="J2620" s="86" t="str">
        <f t="shared" si="69"/>
        <v/>
      </c>
      <c r="K2620" s="86" t="str">
        <f>IF(AND(A2620="",D2620="",E2620="",F2620=""),"",IF(D2620="","SEM CATEGORIA",IF(E2620="","SEM SUBCATEGORIA",IF(COUNTIFS(CADASTROS!$L$7:$L$93,D2620,CADASTROS!$D$7:$D$93,E2620)=0,"INCOMPATÍVEL","OK"))))</f>
        <v/>
      </c>
    </row>
    <row r="2621" spans="1:11" ht="30" hidden="1" customHeight="1" x14ac:dyDescent="0.25">
      <c r="A2621" s="86" t="str">
        <f>IF(COUNTIF(EXTRATO!$A$2:$A$3000,"BAN-02478")=0,"","BAN-02478")</f>
        <v/>
      </c>
      <c r="B2621" s="85" t="str">
        <f>IF(A2621="","",IF(INDEX(EXTRATO!$C$2:$C$3000,MATCH($A2621,EXTRATO!$A$2:$A$3000,0))="","",INDEX(EXTRATO!$C$2:$C$3000,MATCH($A2621,EXTRATO!$A$2:$A$3000,0))))</f>
        <v/>
      </c>
      <c r="C2621" s="86" t="str">
        <f t="shared" si="68"/>
        <v/>
      </c>
      <c r="D2621" s="81"/>
      <c r="E2621" s="79"/>
      <c r="F2621" s="80" t="str">
        <f>IF(A2621="","",SUMIF(EXTRATO!$A$2:$A$3000,$A2621,EXTRATO!$J$2:$J$3000)+SUMIF(EXTRATO!$A$2:$A$3000,$A2621,EXTRATO!$K$2:$K$3000)+SUMIF(EXTRATO!$A$2:$A$3000,$A2621,EXTRATO!$L$2:$L$3000)+SUMIF(EXTRATO!$A$2:$A$3000,$A2621,EXTRATO!$M$2:$M$3000))</f>
        <v/>
      </c>
      <c r="G2621" s="81" t="str">
        <f>IF(A2621="","",IF(INDEX(EXTRATO!$G$2:$G$3000,MATCH($A2621,EXTRATO!$A$2:$A$3000,0))="","",INDEX(EXTRATO!$G$2:$G$3000,MATCH($A2621,EXTRATO!$A$2:$A$3000,0))))</f>
        <v/>
      </c>
      <c r="H2621" s="86" t="str">
        <f>IF(A2621="","",IF(INDEX(EXTRATO!$F$2:$F$3000,MATCH($A2621,EXTRATO!$A$2:$A$3000,0))="","",INDEX(EXTRATO!$F$2:$F$3000,MATCH($A2621,EXTRATO!$A$2:$A$3000,0))))</f>
        <v/>
      </c>
      <c r="I2621" s="88" t="str">
        <f>IF(A2621="","",IF(INDEX(EXTRATO!$H$2:$H$3000,MATCH($A2621,EXTRATO!$A$2:$A$3000,0))="","",INDEX(EXTRATO!$H$2:$H$3000,MATCH($A2621,EXTRATO!$A$2:$A$3000,0))))</f>
        <v/>
      </c>
      <c r="J2621" s="86" t="str">
        <f t="shared" si="69"/>
        <v/>
      </c>
      <c r="K2621" s="86" t="str">
        <f>IF(AND(A2621="",D2621="",E2621="",F2621=""),"",IF(D2621="","SEM CATEGORIA",IF(E2621="","SEM SUBCATEGORIA",IF(COUNTIFS(CADASTROS!$L$7:$L$93,D2621,CADASTROS!$D$7:$D$93,E2621)=0,"INCOMPATÍVEL","OK"))))</f>
        <v/>
      </c>
    </row>
    <row r="2622" spans="1:11" ht="30" hidden="1" customHeight="1" x14ac:dyDescent="0.25">
      <c r="A2622" s="86" t="str">
        <f>IF(COUNTIF(EXTRATO!$A$2:$A$3000,"BAN-02479")=0,"","BAN-02479")</f>
        <v/>
      </c>
      <c r="B2622" s="85" t="str">
        <f>IF(A2622="","",IF(INDEX(EXTRATO!$C$2:$C$3000,MATCH($A2622,EXTRATO!$A$2:$A$3000,0))="","",INDEX(EXTRATO!$C$2:$C$3000,MATCH($A2622,EXTRATO!$A$2:$A$3000,0))))</f>
        <v/>
      </c>
      <c r="C2622" s="86" t="str">
        <f t="shared" si="68"/>
        <v/>
      </c>
      <c r="D2622" s="81"/>
      <c r="E2622" s="79"/>
      <c r="F2622" s="80" t="str">
        <f>IF(A2622="","",SUMIF(EXTRATO!$A$2:$A$3000,$A2622,EXTRATO!$J$2:$J$3000)+SUMIF(EXTRATO!$A$2:$A$3000,$A2622,EXTRATO!$K$2:$K$3000)+SUMIF(EXTRATO!$A$2:$A$3000,$A2622,EXTRATO!$L$2:$L$3000)+SUMIF(EXTRATO!$A$2:$A$3000,$A2622,EXTRATO!$M$2:$M$3000))</f>
        <v/>
      </c>
      <c r="G2622" s="81" t="str">
        <f>IF(A2622="","",IF(INDEX(EXTRATO!$G$2:$G$3000,MATCH($A2622,EXTRATO!$A$2:$A$3000,0))="","",INDEX(EXTRATO!$G$2:$G$3000,MATCH($A2622,EXTRATO!$A$2:$A$3000,0))))</f>
        <v/>
      </c>
      <c r="H2622" s="86" t="str">
        <f>IF(A2622="","",IF(INDEX(EXTRATO!$F$2:$F$3000,MATCH($A2622,EXTRATO!$A$2:$A$3000,0))="","",INDEX(EXTRATO!$F$2:$F$3000,MATCH($A2622,EXTRATO!$A$2:$A$3000,0))))</f>
        <v/>
      </c>
      <c r="I2622" s="88" t="str">
        <f>IF(A2622="","",IF(INDEX(EXTRATO!$H$2:$H$3000,MATCH($A2622,EXTRATO!$A$2:$A$3000,0))="","",INDEX(EXTRATO!$H$2:$H$3000,MATCH($A2622,EXTRATO!$A$2:$A$3000,0))))</f>
        <v/>
      </c>
      <c r="J2622" s="86" t="str">
        <f t="shared" si="69"/>
        <v/>
      </c>
      <c r="K2622" s="86" t="str">
        <f>IF(AND(A2622="",D2622="",E2622="",F2622=""),"",IF(D2622="","SEM CATEGORIA",IF(E2622="","SEM SUBCATEGORIA",IF(COUNTIFS(CADASTROS!$L$7:$L$93,D2622,CADASTROS!$D$7:$D$93,E2622)=0,"INCOMPATÍVEL","OK"))))</f>
        <v/>
      </c>
    </row>
    <row r="2623" spans="1:11" ht="30" hidden="1" customHeight="1" x14ac:dyDescent="0.25">
      <c r="A2623" s="86" t="str">
        <f>IF(COUNTIF(EXTRATO!$A$2:$A$3000,"BAN-02480")=0,"","BAN-02480")</f>
        <v/>
      </c>
      <c r="B2623" s="85" t="str">
        <f>IF(A2623="","",IF(INDEX(EXTRATO!$C$2:$C$3000,MATCH($A2623,EXTRATO!$A$2:$A$3000,0))="","",INDEX(EXTRATO!$C$2:$C$3000,MATCH($A2623,EXTRATO!$A$2:$A$3000,0))))</f>
        <v/>
      </c>
      <c r="C2623" s="86" t="str">
        <f t="shared" si="68"/>
        <v/>
      </c>
      <c r="D2623" s="81"/>
      <c r="E2623" s="79"/>
      <c r="F2623" s="80" t="str">
        <f>IF(A2623="","",SUMIF(EXTRATO!$A$2:$A$3000,$A2623,EXTRATO!$J$2:$J$3000)+SUMIF(EXTRATO!$A$2:$A$3000,$A2623,EXTRATO!$K$2:$K$3000)+SUMIF(EXTRATO!$A$2:$A$3000,$A2623,EXTRATO!$L$2:$L$3000)+SUMIF(EXTRATO!$A$2:$A$3000,$A2623,EXTRATO!$M$2:$M$3000))</f>
        <v/>
      </c>
      <c r="G2623" s="81" t="str">
        <f>IF(A2623="","",IF(INDEX(EXTRATO!$G$2:$G$3000,MATCH($A2623,EXTRATO!$A$2:$A$3000,0))="","",INDEX(EXTRATO!$G$2:$G$3000,MATCH($A2623,EXTRATO!$A$2:$A$3000,0))))</f>
        <v/>
      </c>
      <c r="H2623" s="86" t="str">
        <f>IF(A2623="","",IF(INDEX(EXTRATO!$F$2:$F$3000,MATCH($A2623,EXTRATO!$A$2:$A$3000,0))="","",INDEX(EXTRATO!$F$2:$F$3000,MATCH($A2623,EXTRATO!$A$2:$A$3000,0))))</f>
        <v/>
      </c>
      <c r="I2623" s="88" t="str">
        <f>IF(A2623="","",IF(INDEX(EXTRATO!$H$2:$H$3000,MATCH($A2623,EXTRATO!$A$2:$A$3000,0))="","",INDEX(EXTRATO!$H$2:$H$3000,MATCH($A2623,EXTRATO!$A$2:$A$3000,0))))</f>
        <v/>
      </c>
      <c r="J2623" s="86" t="str">
        <f t="shared" si="69"/>
        <v/>
      </c>
      <c r="K2623" s="86" t="str">
        <f>IF(AND(A2623="",D2623="",E2623="",F2623=""),"",IF(D2623="","SEM CATEGORIA",IF(E2623="","SEM SUBCATEGORIA",IF(COUNTIFS(CADASTROS!$L$7:$L$93,D2623,CADASTROS!$D$7:$D$93,E2623)=0,"INCOMPATÍVEL","OK"))))</f>
        <v/>
      </c>
    </row>
    <row r="2624" spans="1:11" ht="30" hidden="1" customHeight="1" x14ac:dyDescent="0.25">
      <c r="A2624" s="86" t="str">
        <f>IF(COUNTIF(EXTRATO!$A$2:$A$3000,"BAN-02481")=0,"","BAN-02481")</f>
        <v/>
      </c>
      <c r="B2624" s="85" t="str">
        <f>IF(A2624="","",IF(INDEX(EXTRATO!$C$2:$C$3000,MATCH($A2624,EXTRATO!$A$2:$A$3000,0))="","",INDEX(EXTRATO!$C$2:$C$3000,MATCH($A2624,EXTRATO!$A$2:$A$3000,0))))</f>
        <v/>
      </c>
      <c r="C2624" s="86" t="str">
        <f t="shared" si="68"/>
        <v/>
      </c>
      <c r="D2624" s="81"/>
      <c r="E2624" s="79"/>
      <c r="F2624" s="80" t="str">
        <f>IF(A2624="","",SUMIF(EXTRATO!$A$2:$A$3000,$A2624,EXTRATO!$J$2:$J$3000)+SUMIF(EXTRATO!$A$2:$A$3000,$A2624,EXTRATO!$K$2:$K$3000)+SUMIF(EXTRATO!$A$2:$A$3000,$A2624,EXTRATO!$L$2:$L$3000)+SUMIF(EXTRATO!$A$2:$A$3000,$A2624,EXTRATO!$M$2:$M$3000))</f>
        <v/>
      </c>
      <c r="G2624" s="81" t="str">
        <f>IF(A2624="","",IF(INDEX(EXTRATO!$G$2:$G$3000,MATCH($A2624,EXTRATO!$A$2:$A$3000,0))="","",INDEX(EXTRATO!$G$2:$G$3000,MATCH($A2624,EXTRATO!$A$2:$A$3000,0))))</f>
        <v/>
      </c>
      <c r="H2624" s="86" t="str">
        <f>IF(A2624="","",IF(INDEX(EXTRATO!$F$2:$F$3000,MATCH($A2624,EXTRATO!$A$2:$A$3000,0))="","",INDEX(EXTRATO!$F$2:$F$3000,MATCH($A2624,EXTRATO!$A$2:$A$3000,0))))</f>
        <v/>
      </c>
      <c r="I2624" s="88" t="str">
        <f>IF(A2624="","",IF(INDEX(EXTRATO!$H$2:$H$3000,MATCH($A2624,EXTRATO!$A$2:$A$3000,0))="","",INDEX(EXTRATO!$H$2:$H$3000,MATCH($A2624,EXTRATO!$A$2:$A$3000,0))))</f>
        <v/>
      </c>
      <c r="J2624" s="86" t="str">
        <f t="shared" si="69"/>
        <v/>
      </c>
      <c r="K2624" s="86" t="str">
        <f>IF(AND(A2624="",D2624="",E2624="",F2624=""),"",IF(D2624="","SEM CATEGORIA",IF(E2624="","SEM SUBCATEGORIA",IF(COUNTIFS(CADASTROS!$L$7:$L$93,D2624,CADASTROS!$D$7:$D$93,E2624)=0,"INCOMPATÍVEL","OK"))))</f>
        <v/>
      </c>
    </row>
    <row r="2625" spans="1:11" ht="30" hidden="1" customHeight="1" x14ac:dyDescent="0.25">
      <c r="A2625" s="86" t="str">
        <f>IF(COUNTIF(EXTRATO!$A$2:$A$3000,"BAN-02482")=0,"","BAN-02482")</f>
        <v/>
      </c>
      <c r="B2625" s="85" t="str">
        <f>IF(A2625="","",IF(INDEX(EXTRATO!$C$2:$C$3000,MATCH($A2625,EXTRATO!$A$2:$A$3000,0))="","",INDEX(EXTRATO!$C$2:$C$3000,MATCH($A2625,EXTRATO!$A$2:$A$3000,0))))</f>
        <v/>
      </c>
      <c r="C2625" s="86" t="str">
        <f t="shared" si="68"/>
        <v/>
      </c>
      <c r="D2625" s="81"/>
      <c r="E2625" s="79"/>
      <c r="F2625" s="80" t="str">
        <f>IF(A2625="","",SUMIF(EXTRATO!$A$2:$A$3000,$A2625,EXTRATO!$J$2:$J$3000)+SUMIF(EXTRATO!$A$2:$A$3000,$A2625,EXTRATO!$K$2:$K$3000)+SUMIF(EXTRATO!$A$2:$A$3000,$A2625,EXTRATO!$L$2:$L$3000)+SUMIF(EXTRATO!$A$2:$A$3000,$A2625,EXTRATO!$M$2:$M$3000))</f>
        <v/>
      </c>
      <c r="G2625" s="81" t="str">
        <f>IF(A2625="","",IF(INDEX(EXTRATO!$G$2:$G$3000,MATCH($A2625,EXTRATO!$A$2:$A$3000,0))="","",INDEX(EXTRATO!$G$2:$G$3000,MATCH($A2625,EXTRATO!$A$2:$A$3000,0))))</f>
        <v/>
      </c>
      <c r="H2625" s="86" t="str">
        <f>IF(A2625="","",IF(INDEX(EXTRATO!$F$2:$F$3000,MATCH($A2625,EXTRATO!$A$2:$A$3000,0))="","",INDEX(EXTRATO!$F$2:$F$3000,MATCH($A2625,EXTRATO!$A$2:$A$3000,0))))</f>
        <v/>
      </c>
      <c r="I2625" s="88" t="str">
        <f>IF(A2625="","",IF(INDEX(EXTRATO!$H$2:$H$3000,MATCH($A2625,EXTRATO!$A$2:$A$3000,0))="","",INDEX(EXTRATO!$H$2:$H$3000,MATCH($A2625,EXTRATO!$A$2:$A$3000,0))))</f>
        <v/>
      </c>
      <c r="J2625" s="86" t="str">
        <f t="shared" si="69"/>
        <v/>
      </c>
      <c r="K2625" s="86" t="str">
        <f>IF(AND(A2625="",D2625="",E2625="",F2625=""),"",IF(D2625="","SEM CATEGORIA",IF(E2625="","SEM SUBCATEGORIA",IF(COUNTIFS(CADASTROS!$L$7:$L$93,D2625,CADASTROS!$D$7:$D$93,E2625)=0,"INCOMPATÍVEL","OK"))))</f>
        <v/>
      </c>
    </row>
    <row r="2626" spans="1:11" ht="30" hidden="1" customHeight="1" x14ac:dyDescent="0.25">
      <c r="A2626" s="86" t="str">
        <f>IF(COUNTIF(EXTRATO!$A$2:$A$3000,"BAN-02483")=0,"","BAN-02483")</f>
        <v/>
      </c>
      <c r="B2626" s="85" t="str">
        <f>IF(A2626="","",IF(INDEX(EXTRATO!$C$2:$C$3000,MATCH($A2626,EXTRATO!$A$2:$A$3000,0))="","",INDEX(EXTRATO!$C$2:$C$3000,MATCH($A2626,EXTRATO!$A$2:$A$3000,0))))</f>
        <v/>
      </c>
      <c r="C2626" s="86" t="str">
        <f t="shared" si="68"/>
        <v/>
      </c>
      <c r="D2626" s="81"/>
      <c r="E2626" s="79"/>
      <c r="F2626" s="80" t="str">
        <f>IF(A2626="","",SUMIF(EXTRATO!$A$2:$A$3000,$A2626,EXTRATO!$J$2:$J$3000)+SUMIF(EXTRATO!$A$2:$A$3000,$A2626,EXTRATO!$K$2:$K$3000)+SUMIF(EXTRATO!$A$2:$A$3000,$A2626,EXTRATO!$L$2:$L$3000)+SUMIF(EXTRATO!$A$2:$A$3000,$A2626,EXTRATO!$M$2:$M$3000))</f>
        <v/>
      </c>
      <c r="G2626" s="81" t="str">
        <f>IF(A2626="","",IF(INDEX(EXTRATO!$G$2:$G$3000,MATCH($A2626,EXTRATO!$A$2:$A$3000,0))="","",INDEX(EXTRATO!$G$2:$G$3000,MATCH($A2626,EXTRATO!$A$2:$A$3000,0))))</f>
        <v/>
      </c>
      <c r="H2626" s="86" t="str">
        <f>IF(A2626="","",IF(INDEX(EXTRATO!$F$2:$F$3000,MATCH($A2626,EXTRATO!$A$2:$A$3000,0))="","",INDEX(EXTRATO!$F$2:$F$3000,MATCH($A2626,EXTRATO!$A$2:$A$3000,0))))</f>
        <v/>
      </c>
      <c r="I2626" s="88" t="str">
        <f>IF(A2626="","",IF(INDEX(EXTRATO!$H$2:$H$3000,MATCH($A2626,EXTRATO!$A$2:$A$3000,0))="","",INDEX(EXTRATO!$H$2:$H$3000,MATCH($A2626,EXTRATO!$A$2:$A$3000,0))))</f>
        <v/>
      </c>
      <c r="J2626" s="86" t="str">
        <f t="shared" si="69"/>
        <v/>
      </c>
      <c r="K2626" s="86" t="str">
        <f>IF(AND(A2626="",D2626="",E2626="",F2626=""),"",IF(D2626="","SEM CATEGORIA",IF(E2626="","SEM SUBCATEGORIA",IF(COUNTIFS(CADASTROS!$L$7:$L$93,D2626,CADASTROS!$D$7:$D$93,E2626)=0,"INCOMPATÍVEL","OK"))))</f>
        <v/>
      </c>
    </row>
    <row r="2627" spans="1:11" ht="30" hidden="1" customHeight="1" x14ac:dyDescent="0.25">
      <c r="A2627" s="86" t="str">
        <f>IF(COUNTIF(EXTRATO!$A$2:$A$3000,"BAN-02484")=0,"","BAN-02484")</f>
        <v/>
      </c>
      <c r="B2627" s="85" t="str">
        <f>IF(A2627="","",IF(INDEX(EXTRATO!$C$2:$C$3000,MATCH($A2627,EXTRATO!$A$2:$A$3000,0))="","",INDEX(EXTRATO!$C$2:$C$3000,MATCH($A2627,EXTRATO!$A$2:$A$3000,0))))</f>
        <v/>
      </c>
      <c r="C2627" s="86" t="str">
        <f t="shared" si="68"/>
        <v/>
      </c>
      <c r="D2627" s="81"/>
      <c r="E2627" s="79"/>
      <c r="F2627" s="80" t="str">
        <f>IF(A2627="","",SUMIF(EXTRATO!$A$2:$A$3000,$A2627,EXTRATO!$J$2:$J$3000)+SUMIF(EXTRATO!$A$2:$A$3000,$A2627,EXTRATO!$K$2:$K$3000)+SUMIF(EXTRATO!$A$2:$A$3000,$A2627,EXTRATO!$L$2:$L$3000)+SUMIF(EXTRATO!$A$2:$A$3000,$A2627,EXTRATO!$M$2:$M$3000))</f>
        <v/>
      </c>
      <c r="G2627" s="81" t="str">
        <f>IF(A2627="","",IF(INDEX(EXTRATO!$G$2:$G$3000,MATCH($A2627,EXTRATO!$A$2:$A$3000,0))="","",INDEX(EXTRATO!$G$2:$G$3000,MATCH($A2627,EXTRATO!$A$2:$A$3000,0))))</f>
        <v/>
      </c>
      <c r="H2627" s="86" t="str">
        <f>IF(A2627="","",IF(INDEX(EXTRATO!$F$2:$F$3000,MATCH($A2627,EXTRATO!$A$2:$A$3000,0))="","",INDEX(EXTRATO!$F$2:$F$3000,MATCH($A2627,EXTRATO!$A$2:$A$3000,0))))</f>
        <v/>
      </c>
      <c r="I2627" s="88" t="str">
        <f>IF(A2627="","",IF(INDEX(EXTRATO!$H$2:$H$3000,MATCH($A2627,EXTRATO!$A$2:$A$3000,0))="","",INDEX(EXTRATO!$H$2:$H$3000,MATCH($A2627,EXTRATO!$A$2:$A$3000,0))))</f>
        <v/>
      </c>
      <c r="J2627" s="86" t="str">
        <f t="shared" si="69"/>
        <v/>
      </c>
      <c r="K2627" s="86" t="str">
        <f>IF(AND(A2627="",D2627="",E2627="",F2627=""),"",IF(D2627="","SEM CATEGORIA",IF(E2627="","SEM SUBCATEGORIA",IF(COUNTIFS(CADASTROS!$L$7:$L$93,D2627,CADASTROS!$D$7:$D$93,E2627)=0,"INCOMPATÍVEL","OK"))))</f>
        <v/>
      </c>
    </row>
    <row r="2628" spans="1:11" ht="30" hidden="1" customHeight="1" x14ac:dyDescent="0.25">
      <c r="A2628" s="86" t="str">
        <f>IF(COUNTIF(EXTRATO!$A$2:$A$3000,"BAN-02485")=0,"","BAN-02485")</f>
        <v/>
      </c>
      <c r="B2628" s="85" t="str">
        <f>IF(A2628="","",IF(INDEX(EXTRATO!$C$2:$C$3000,MATCH($A2628,EXTRATO!$A$2:$A$3000,0))="","",INDEX(EXTRATO!$C$2:$C$3000,MATCH($A2628,EXTRATO!$A$2:$A$3000,0))))</f>
        <v/>
      </c>
      <c r="C2628" s="86" t="str">
        <f t="shared" si="68"/>
        <v/>
      </c>
      <c r="D2628" s="81"/>
      <c r="E2628" s="79"/>
      <c r="F2628" s="80" t="str">
        <f>IF(A2628="","",SUMIF(EXTRATO!$A$2:$A$3000,$A2628,EXTRATO!$J$2:$J$3000)+SUMIF(EXTRATO!$A$2:$A$3000,$A2628,EXTRATO!$K$2:$K$3000)+SUMIF(EXTRATO!$A$2:$A$3000,$A2628,EXTRATO!$L$2:$L$3000)+SUMIF(EXTRATO!$A$2:$A$3000,$A2628,EXTRATO!$M$2:$M$3000))</f>
        <v/>
      </c>
      <c r="G2628" s="81" t="str">
        <f>IF(A2628="","",IF(INDEX(EXTRATO!$G$2:$G$3000,MATCH($A2628,EXTRATO!$A$2:$A$3000,0))="","",INDEX(EXTRATO!$G$2:$G$3000,MATCH($A2628,EXTRATO!$A$2:$A$3000,0))))</f>
        <v/>
      </c>
      <c r="H2628" s="86" t="str">
        <f>IF(A2628="","",IF(INDEX(EXTRATO!$F$2:$F$3000,MATCH($A2628,EXTRATO!$A$2:$A$3000,0))="","",INDEX(EXTRATO!$F$2:$F$3000,MATCH($A2628,EXTRATO!$A$2:$A$3000,0))))</f>
        <v/>
      </c>
      <c r="I2628" s="88" t="str">
        <f>IF(A2628="","",IF(INDEX(EXTRATO!$H$2:$H$3000,MATCH($A2628,EXTRATO!$A$2:$A$3000,0))="","",INDEX(EXTRATO!$H$2:$H$3000,MATCH($A2628,EXTRATO!$A$2:$A$3000,0))))</f>
        <v/>
      </c>
      <c r="J2628" s="86" t="str">
        <f t="shared" si="69"/>
        <v/>
      </c>
      <c r="K2628" s="86" t="str">
        <f>IF(AND(A2628="",D2628="",E2628="",F2628=""),"",IF(D2628="","SEM CATEGORIA",IF(E2628="","SEM SUBCATEGORIA",IF(COUNTIFS(CADASTROS!$L$7:$L$93,D2628,CADASTROS!$D$7:$D$93,E2628)=0,"INCOMPATÍVEL","OK"))))</f>
        <v/>
      </c>
    </row>
    <row r="2629" spans="1:11" ht="30" hidden="1" customHeight="1" x14ac:dyDescent="0.25">
      <c r="A2629" s="86" t="str">
        <f>IF(COUNTIF(EXTRATO!$A$2:$A$3000,"BAN-02486")=0,"","BAN-02486")</f>
        <v/>
      </c>
      <c r="B2629" s="85" t="str">
        <f>IF(A2629="","",IF(INDEX(EXTRATO!$C$2:$C$3000,MATCH($A2629,EXTRATO!$A$2:$A$3000,0))="","",INDEX(EXTRATO!$C$2:$C$3000,MATCH($A2629,EXTRATO!$A$2:$A$3000,0))))</f>
        <v/>
      </c>
      <c r="C2629" s="86" t="str">
        <f t="shared" si="68"/>
        <v/>
      </c>
      <c r="D2629" s="81"/>
      <c r="E2629" s="79"/>
      <c r="F2629" s="80" t="str">
        <f>IF(A2629="","",SUMIF(EXTRATO!$A$2:$A$3000,$A2629,EXTRATO!$J$2:$J$3000)+SUMIF(EXTRATO!$A$2:$A$3000,$A2629,EXTRATO!$K$2:$K$3000)+SUMIF(EXTRATO!$A$2:$A$3000,$A2629,EXTRATO!$L$2:$L$3000)+SUMIF(EXTRATO!$A$2:$A$3000,$A2629,EXTRATO!$M$2:$M$3000))</f>
        <v/>
      </c>
      <c r="G2629" s="81" t="str">
        <f>IF(A2629="","",IF(INDEX(EXTRATO!$G$2:$G$3000,MATCH($A2629,EXTRATO!$A$2:$A$3000,0))="","",INDEX(EXTRATO!$G$2:$G$3000,MATCH($A2629,EXTRATO!$A$2:$A$3000,0))))</f>
        <v/>
      </c>
      <c r="H2629" s="86" t="str">
        <f>IF(A2629="","",IF(INDEX(EXTRATO!$F$2:$F$3000,MATCH($A2629,EXTRATO!$A$2:$A$3000,0))="","",INDEX(EXTRATO!$F$2:$F$3000,MATCH($A2629,EXTRATO!$A$2:$A$3000,0))))</f>
        <v/>
      </c>
      <c r="I2629" s="88" t="str">
        <f>IF(A2629="","",IF(INDEX(EXTRATO!$H$2:$H$3000,MATCH($A2629,EXTRATO!$A$2:$A$3000,0))="","",INDEX(EXTRATO!$H$2:$H$3000,MATCH($A2629,EXTRATO!$A$2:$A$3000,0))))</f>
        <v/>
      </c>
      <c r="J2629" s="86" t="str">
        <f t="shared" si="69"/>
        <v/>
      </c>
      <c r="K2629" s="86" t="str">
        <f>IF(AND(A2629="",D2629="",E2629="",F2629=""),"",IF(D2629="","SEM CATEGORIA",IF(E2629="","SEM SUBCATEGORIA",IF(COUNTIFS(CADASTROS!$L$7:$L$93,D2629,CADASTROS!$D$7:$D$93,E2629)=0,"INCOMPATÍVEL","OK"))))</f>
        <v/>
      </c>
    </row>
    <row r="2630" spans="1:11" ht="30" hidden="1" customHeight="1" x14ac:dyDescent="0.25">
      <c r="A2630" s="86" t="str">
        <f>IF(COUNTIF(EXTRATO!$A$2:$A$3000,"BAN-02487")=0,"","BAN-02487")</f>
        <v/>
      </c>
      <c r="B2630" s="85" t="str">
        <f>IF(A2630="","",IF(INDEX(EXTRATO!$C$2:$C$3000,MATCH($A2630,EXTRATO!$A$2:$A$3000,0))="","",INDEX(EXTRATO!$C$2:$C$3000,MATCH($A2630,EXTRATO!$A$2:$A$3000,0))))</f>
        <v/>
      </c>
      <c r="C2630" s="86" t="str">
        <f t="shared" si="68"/>
        <v/>
      </c>
      <c r="D2630" s="81"/>
      <c r="E2630" s="79"/>
      <c r="F2630" s="80" t="str">
        <f>IF(A2630="","",SUMIF(EXTRATO!$A$2:$A$3000,$A2630,EXTRATO!$J$2:$J$3000)+SUMIF(EXTRATO!$A$2:$A$3000,$A2630,EXTRATO!$K$2:$K$3000)+SUMIF(EXTRATO!$A$2:$A$3000,$A2630,EXTRATO!$L$2:$L$3000)+SUMIF(EXTRATO!$A$2:$A$3000,$A2630,EXTRATO!$M$2:$M$3000))</f>
        <v/>
      </c>
      <c r="G2630" s="81" t="str">
        <f>IF(A2630="","",IF(INDEX(EXTRATO!$G$2:$G$3000,MATCH($A2630,EXTRATO!$A$2:$A$3000,0))="","",INDEX(EXTRATO!$G$2:$G$3000,MATCH($A2630,EXTRATO!$A$2:$A$3000,0))))</f>
        <v/>
      </c>
      <c r="H2630" s="86" t="str">
        <f>IF(A2630="","",IF(INDEX(EXTRATO!$F$2:$F$3000,MATCH($A2630,EXTRATO!$A$2:$A$3000,0))="","",INDEX(EXTRATO!$F$2:$F$3000,MATCH($A2630,EXTRATO!$A$2:$A$3000,0))))</f>
        <v/>
      </c>
      <c r="I2630" s="88" t="str">
        <f>IF(A2630="","",IF(INDEX(EXTRATO!$H$2:$H$3000,MATCH($A2630,EXTRATO!$A$2:$A$3000,0))="","",INDEX(EXTRATO!$H$2:$H$3000,MATCH($A2630,EXTRATO!$A$2:$A$3000,0))))</f>
        <v/>
      </c>
      <c r="J2630" s="86" t="str">
        <f t="shared" si="69"/>
        <v/>
      </c>
      <c r="K2630" s="86" t="str">
        <f>IF(AND(A2630="",D2630="",E2630="",F2630=""),"",IF(D2630="","SEM CATEGORIA",IF(E2630="","SEM SUBCATEGORIA",IF(COUNTIFS(CADASTROS!$L$7:$L$93,D2630,CADASTROS!$D$7:$D$93,E2630)=0,"INCOMPATÍVEL","OK"))))</f>
        <v/>
      </c>
    </row>
    <row r="2631" spans="1:11" ht="30" hidden="1" customHeight="1" x14ac:dyDescent="0.25">
      <c r="A2631" s="86" t="str">
        <f>IF(COUNTIF(EXTRATO!$A$2:$A$3000,"BAN-02488")=0,"","BAN-02488")</f>
        <v/>
      </c>
      <c r="B2631" s="85" t="str">
        <f>IF(A2631="","",IF(INDEX(EXTRATO!$C$2:$C$3000,MATCH($A2631,EXTRATO!$A$2:$A$3000,0))="","",INDEX(EXTRATO!$C$2:$C$3000,MATCH($A2631,EXTRATO!$A$2:$A$3000,0))))</f>
        <v/>
      </c>
      <c r="C2631" s="86" t="str">
        <f t="shared" si="68"/>
        <v/>
      </c>
      <c r="D2631" s="81"/>
      <c r="E2631" s="79"/>
      <c r="F2631" s="80" t="str">
        <f>IF(A2631="","",SUMIF(EXTRATO!$A$2:$A$3000,$A2631,EXTRATO!$J$2:$J$3000)+SUMIF(EXTRATO!$A$2:$A$3000,$A2631,EXTRATO!$K$2:$K$3000)+SUMIF(EXTRATO!$A$2:$A$3000,$A2631,EXTRATO!$L$2:$L$3000)+SUMIF(EXTRATO!$A$2:$A$3000,$A2631,EXTRATO!$M$2:$M$3000))</f>
        <v/>
      </c>
      <c r="G2631" s="81" t="str">
        <f>IF(A2631="","",IF(INDEX(EXTRATO!$G$2:$G$3000,MATCH($A2631,EXTRATO!$A$2:$A$3000,0))="","",INDEX(EXTRATO!$G$2:$G$3000,MATCH($A2631,EXTRATO!$A$2:$A$3000,0))))</f>
        <v/>
      </c>
      <c r="H2631" s="86" t="str">
        <f>IF(A2631="","",IF(INDEX(EXTRATO!$F$2:$F$3000,MATCH($A2631,EXTRATO!$A$2:$A$3000,0))="","",INDEX(EXTRATO!$F$2:$F$3000,MATCH($A2631,EXTRATO!$A$2:$A$3000,0))))</f>
        <v/>
      </c>
      <c r="I2631" s="88" t="str">
        <f>IF(A2631="","",IF(INDEX(EXTRATO!$H$2:$H$3000,MATCH($A2631,EXTRATO!$A$2:$A$3000,0))="","",INDEX(EXTRATO!$H$2:$H$3000,MATCH($A2631,EXTRATO!$A$2:$A$3000,0))))</f>
        <v/>
      </c>
      <c r="J2631" s="86" t="str">
        <f t="shared" si="69"/>
        <v/>
      </c>
      <c r="K2631" s="86" t="str">
        <f>IF(AND(A2631="",D2631="",E2631="",F2631=""),"",IF(D2631="","SEM CATEGORIA",IF(E2631="","SEM SUBCATEGORIA",IF(COUNTIFS(CADASTROS!$L$7:$L$93,D2631,CADASTROS!$D$7:$D$93,E2631)=0,"INCOMPATÍVEL","OK"))))</f>
        <v/>
      </c>
    </row>
    <row r="2632" spans="1:11" ht="30" hidden="1" customHeight="1" x14ac:dyDescent="0.25">
      <c r="A2632" s="86" t="str">
        <f>IF(COUNTIF(EXTRATO!$A$2:$A$3000,"BAN-02489")=0,"","BAN-02489")</f>
        <v/>
      </c>
      <c r="B2632" s="85" t="str">
        <f>IF(A2632="","",IF(INDEX(EXTRATO!$C$2:$C$3000,MATCH($A2632,EXTRATO!$A$2:$A$3000,0))="","",INDEX(EXTRATO!$C$2:$C$3000,MATCH($A2632,EXTRATO!$A$2:$A$3000,0))))</f>
        <v/>
      </c>
      <c r="C2632" s="86" t="str">
        <f t="shared" si="68"/>
        <v/>
      </c>
      <c r="D2632" s="81"/>
      <c r="E2632" s="79"/>
      <c r="F2632" s="80" t="str">
        <f>IF(A2632="","",SUMIF(EXTRATO!$A$2:$A$3000,$A2632,EXTRATO!$J$2:$J$3000)+SUMIF(EXTRATO!$A$2:$A$3000,$A2632,EXTRATO!$K$2:$K$3000)+SUMIF(EXTRATO!$A$2:$A$3000,$A2632,EXTRATO!$L$2:$L$3000)+SUMIF(EXTRATO!$A$2:$A$3000,$A2632,EXTRATO!$M$2:$M$3000))</f>
        <v/>
      </c>
      <c r="G2632" s="81" t="str">
        <f>IF(A2632="","",IF(INDEX(EXTRATO!$G$2:$G$3000,MATCH($A2632,EXTRATO!$A$2:$A$3000,0))="","",INDEX(EXTRATO!$G$2:$G$3000,MATCH($A2632,EXTRATO!$A$2:$A$3000,0))))</f>
        <v/>
      </c>
      <c r="H2632" s="86" t="str">
        <f>IF(A2632="","",IF(INDEX(EXTRATO!$F$2:$F$3000,MATCH($A2632,EXTRATO!$A$2:$A$3000,0))="","",INDEX(EXTRATO!$F$2:$F$3000,MATCH($A2632,EXTRATO!$A$2:$A$3000,0))))</f>
        <v/>
      </c>
      <c r="I2632" s="88" t="str">
        <f>IF(A2632="","",IF(INDEX(EXTRATO!$H$2:$H$3000,MATCH($A2632,EXTRATO!$A$2:$A$3000,0))="","",INDEX(EXTRATO!$H$2:$H$3000,MATCH($A2632,EXTRATO!$A$2:$A$3000,0))))</f>
        <v/>
      </c>
      <c r="J2632" s="86" t="str">
        <f t="shared" si="69"/>
        <v/>
      </c>
      <c r="K2632" s="86" t="str">
        <f>IF(AND(A2632="",D2632="",E2632="",F2632=""),"",IF(D2632="","SEM CATEGORIA",IF(E2632="","SEM SUBCATEGORIA",IF(COUNTIFS(CADASTROS!$L$7:$L$93,D2632,CADASTROS!$D$7:$D$93,E2632)=0,"INCOMPATÍVEL","OK"))))</f>
        <v/>
      </c>
    </row>
    <row r="2633" spans="1:11" ht="30" hidden="1" customHeight="1" x14ac:dyDescent="0.25">
      <c r="A2633" s="86" t="str">
        <f>IF(COUNTIF(EXTRATO!$A$2:$A$3000,"BAN-02490")=0,"","BAN-02490")</f>
        <v/>
      </c>
      <c r="B2633" s="85" t="str">
        <f>IF(A2633="","",IF(INDEX(EXTRATO!$C$2:$C$3000,MATCH($A2633,EXTRATO!$A$2:$A$3000,0))="","",INDEX(EXTRATO!$C$2:$C$3000,MATCH($A2633,EXTRATO!$A$2:$A$3000,0))))</f>
        <v/>
      </c>
      <c r="C2633" s="86" t="str">
        <f t="shared" si="68"/>
        <v/>
      </c>
      <c r="D2633" s="81"/>
      <c r="E2633" s="79"/>
      <c r="F2633" s="80" t="str">
        <f>IF(A2633="","",SUMIF(EXTRATO!$A$2:$A$3000,$A2633,EXTRATO!$J$2:$J$3000)+SUMIF(EXTRATO!$A$2:$A$3000,$A2633,EXTRATO!$K$2:$K$3000)+SUMIF(EXTRATO!$A$2:$A$3000,$A2633,EXTRATO!$L$2:$L$3000)+SUMIF(EXTRATO!$A$2:$A$3000,$A2633,EXTRATO!$M$2:$M$3000))</f>
        <v/>
      </c>
      <c r="G2633" s="81" t="str">
        <f>IF(A2633="","",IF(INDEX(EXTRATO!$G$2:$G$3000,MATCH($A2633,EXTRATO!$A$2:$A$3000,0))="","",INDEX(EXTRATO!$G$2:$G$3000,MATCH($A2633,EXTRATO!$A$2:$A$3000,0))))</f>
        <v/>
      </c>
      <c r="H2633" s="86" t="str">
        <f>IF(A2633="","",IF(INDEX(EXTRATO!$F$2:$F$3000,MATCH($A2633,EXTRATO!$A$2:$A$3000,0))="","",INDEX(EXTRATO!$F$2:$F$3000,MATCH($A2633,EXTRATO!$A$2:$A$3000,0))))</f>
        <v/>
      </c>
      <c r="I2633" s="88" t="str">
        <f>IF(A2633="","",IF(INDEX(EXTRATO!$H$2:$H$3000,MATCH($A2633,EXTRATO!$A$2:$A$3000,0))="","",INDEX(EXTRATO!$H$2:$H$3000,MATCH($A2633,EXTRATO!$A$2:$A$3000,0))))</f>
        <v/>
      </c>
      <c r="J2633" s="86" t="str">
        <f t="shared" si="69"/>
        <v/>
      </c>
      <c r="K2633" s="86" t="str">
        <f>IF(AND(A2633="",D2633="",E2633="",F2633=""),"",IF(D2633="","SEM CATEGORIA",IF(E2633="","SEM SUBCATEGORIA",IF(COUNTIFS(CADASTROS!$L$7:$L$93,D2633,CADASTROS!$D$7:$D$93,E2633)=0,"INCOMPATÍVEL","OK"))))</f>
        <v/>
      </c>
    </row>
    <row r="2634" spans="1:11" ht="30" hidden="1" customHeight="1" x14ac:dyDescent="0.25">
      <c r="A2634" s="86" t="str">
        <f>IF(COUNTIF(EXTRATO!$A$2:$A$3000,"BAN-02491")=0,"","BAN-02491")</f>
        <v/>
      </c>
      <c r="B2634" s="85" t="str">
        <f>IF(A2634="","",IF(INDEX(EXTRATO!$C$2:$C$3000,MATCH($A2634,EXTRATO!$A$2:$A$3000,0))="","",INDEX(EXTRATO!$C$2:$C$3000,MATCH($A2634,EXTRATO!$A$2:$A$3000,0))))</f>
        <v/>
      </c>
      <c r="C2634" s="86" t="str">
        <f t="shared" si="68"/>
        <v/>
      </c>
      <c r="D2634" s="81"/>
      <c r="E2634" s="79"/>
      <c r="F2634" s="80" t="str">
        <f>IF(A2634="","",SUMIF(EXTRATO!$A$2:$A$3000,$A2634,EXTRATO!$J$2:$J$3000)+SUMIF(EXTRATO!$A$2:$A$3000,$A2634,EXTRATO!$K$2:$K$3000)+SUMIF(EXTRATO!$A$2:$A$3000,$A2634,EXTRATO!$L$2:$L$3000)+SUMIF(EXTRATO!$A$2:$A$3000,$A2634,EXTRATO!$M$2:$M$3000))</f>
        <v/>
      </c>
      <c r="G2634" s="81" t="str">
        <f>IF(A2634="","",IF(INDEX(EXTRATO!$G$2:$G$3000,MATCH($A2634,EXTRATO!$A$2:$A$3000,0))="","",INDEX(EXTRATO!$G$2:$G$3000,MATCH($A2634,EXTRATO!$A$2:$A$3000,0))))</f>
        <v/>
      </c>
      <c r="H2634" s="86" t="str">
        <f>IF(A2634="","",IF(INDEX(EXTRATO!$F$2:$F$3000,MATCH($A2634,EXTRATO!$A$2:$A$3000,0))="","",INDEX(EXTRATO!$F$2:$F$3000,MATCH($A2634,EXTRATO!$A$2:$A$3000,0))))</f>
        <v/>
      </c>
      <c r="I2634" s="88" t="str">
        <f>IF(A2634="","",IF(INDEX(EXTRATO!$H$2:$H$3000,MATCH($A2634,EXTRATO!$A$2:$A$3000,0))="","",INDEX(EXTRATO!$H$2:$H$3000,MATCH($A2634,EXTRATO!$A$2:$A$3000,0))))</f>
        <v/>
      </c>
      <c r="J2634" s="86" t="str">
        <f t="shared" si="69"/>
        <v/>
      </c>
      <c r="K2634" s="86" t="str">
        <f>IF(AND(A2634="",D2634="",E2634="",F2634=""),"",IF(D2634="","SEM CATEGORIA",IF(E2634="","SEM SUBCATEGORIA",IF(COUNTIFS(CADASTROS!$L$7:$L$93,D2634,CADASTROS!$D$7:$D$93,E2634)=0,"INCOMPATÍVEL","OK"))))</f>
        <v/>
      </c>
    </row>
    <row r="2635" spans="1:11" ht="30" hidden="1" customHeight="1" x14ac:dyDescent="0.25">
      <c r="A2635" s="86" t="str">
        <f>IF(COUNTIF(EXTRATO!$A$2:$A$3000,"BAN-02492")=0,"","BAN-02492")</f>
        <v/>
      </c>
      <c r="B2635" s="85" t="str">
        <f>IF(A2635="","",IF(INDEX(EXTRATO!$C$2:$C$3000,MATCH($A2635,EXTRATO!$A$2:$A$3000,0))="","",INDEX(EXTRATO!$C$2:$C$3000,MATCH($A2635,EXTRATO!$A$2:$A$3000,0))))</f>
        <v/>
      </c>
      <c r="C2635" s="86" t="str">
        <f t="shared" si="68"/>
        <v/>
      </c>
      <c r="D2635" s="81"/>
      <c r="E2635" s="79"/>
      <c r="F2635" s="80" t="str">
        <f>IF(A2635="","",SUMIF(EXTRATO!$A$2:$A$3000,$A2635,EXTRATO!$J$2:$J$3000)+SUMIF(EXTRATO!$A$2:$A$3000,$A2635,EXTRATO!$K$2:$K$3000)+SUMIF(EXTRATO!$A$2:$A$3000,$A2635,EXTRATO!$L$2:$L$3000)+SUMIF(EXTRATO!$A$2:$A$3000,$A2635,EXTRATO!$M$2:$M$3000))</f>
        <v/>
      </c>
      <c r="G2635" s="81" t="str">
        <f>IF(A2635="","",IF(INDEX(EXTRATO!$G$2:$G$3000,MATCH($A2635,EXTRATO!$A$2:$A$3000,0))="","",INDEX(EXTRATO!$G$2:$G$3000,MATCH($A2635,EXTRATO!$A$2:$A$3000,0))))</f>
        <v/>
      </c>
      <c r="H2635" s="86" t="str">
        <f>IF(A2635="","",IF(INDEX(EXTRATO!$F$2:$F$3000,MATCH($A2635,EXTRATO!$A$2:$A$3000,0))="","",INDEX(EXTRATO!$F$2:$F$3000,MATCH($A2635,EXTRATO!$A$2:$A$3000,0))))</f>
        <v/>
      </c>
      <c r="I2635" s="88" t="str">
        <f>IF(A2635="","",IF(INDEX(EXTRATO!$H$2:$H$3000,MATCH($A2635,EXTRATO!$A$2:$A$3000,0))="","",INDEX(EXTRATO!$H$2:$H$3000,MATCH($A2635,EXTRATO!$A$2:$A$3000,0))))</f>
        <v/>
      </c>
      <c r="J2635" s="86" t="str">
        <f t="shared" si="69"/>
        <v/>
      </c>
      <c r="K2635" s="86" t="str">
        <f>IF(AND(A2635="",D2635="",E2635="",F2635=""),"",IF(D2635="","SEM CATEGORIA",IF(E2635="","SEM SUBCATEGORIA",IF(COUNTIFS(CADASTROS!$L$7:$L$93,D2635,CADASTROS!$D$7:$D$93,E2635)=0,"INCOMPATÍVEL","OK"))))</f>
        <v/>
      </c>
    </row>
    <row r="2636" spans="1:11" ht="30" hidden="1" customHeight="1" x14ac:dyDescent="0.25">
      <c r="A2636" s="86" t="str">
        <f>IF(COUNTIF(EXTRATO!$A$2:$A$3000,"BAN-02493")=0,"","BAN-02493")</f>
        <v/>
      </c>
      <c r="B2636" s="85" t="str">
        <f>IF(A2636="","",IF(INDEX(EXTRATO!$C$2:$C$3000,MATCH($A2636,EXTRATO!$A$2:$A$3000,0))="","",INDEX(EXTRATO!$C$2:$C$3000,MATCH($A2636,EXTRATO!$A$2:$A$3000,0))))</f>
        <v/>
      </c>
      <c r="C2636" s="86" t="str">
        <f t="shared" si="68"/>
        <v/>
      </c>
      <c r="D2636" s="81"/>
      <c r="E2636" s="79"/>
      <c r="F2636" s="80" t="str">
        <f>IF(A2636="","",SUMIF(EXTRATO!$A$2:$A$3000,$A2636,EXTRATO!$J$2:$J$3000)+SUMIF(EXTRATO!$A$2:$A$3000,$A2636,EXTRATO!$K$2:$K$3000)+SUMIF(EXTRATO!$A$2:$A$3000,$A2636,EXTRATO!$L$2:$L$3000)+SUMIF(EXTRATO!$A$2:$A$3000,$A2636,EXTRATO!$M$2:$M$3000))</f>
        <v/>
      </c>
      <c r="G2636" s="81" t="str">
        <f>IF(A2636="","",IF(INDEX(EXTRATO!$G$2:$G$3000,MATCH($A2636,EXTRATO!$A$2:$A$3000,0))="","",INDEX(EXTRATO!$G$2:$G$3000,MATCH($A2636,EXTRATO!$A$2:$A$3000,0))))</f>
        <v/>
      </c>
      <c r="H2636" s="86" t="str">
        <f>IF(A2636="","",IF(INDEX(EXTRATO!$F$2:$F$3000,MATCH($A2636,EXTRATO!$A$2:$A$3000,0))="","",INDEX(EXTRATO!$F$2:$F$3000,MATCH($A2636,EXTRATO!$A$2:$A$3000,0))))</f>
        <v/>
      </c>
      <c r="I2636" s="88" t="str">
        <f>IF(A2636="","",IF(INDEX(EXTRATO!$H$2:$H$3000,MATCH($A2636,EXTRATO!$A$2:$A$3000,0))="","",INDEX(EXTRATO!$H$2:$H$3000,MATCH($A2636,EXTRATO!$A$2:$A$3000,0))))</f>
        <v/>
      </c>
      <c r="J2636" s="86" t="str">
        <f t="shared" si="69"/>
        <v/>
      </c>
      <c r="K2636" s="86" t="str">
        <f>IF(AND(A2636="",D2636="",E2636="",F2636=""),"",IF(D2636="","SEM CATEGORIA",IF(E2636="","SEM SUBCATEGORIA",IF(COUNTIFS(CADASTROS!$L$7:$L$93,D2636,CADASTROS!$D$7:$D$93,E2636)=0,"INCOMPATÍVEL","OK"))))</f>
        <v/>
      </c>
    </row>
    <row r="2637" spans="1:11" ht="30" hidden="1" customHeight="1" x14ac:dyDescent="0.25">
      <c r="A2637" s="86" t="str">
        <f>IF(COUNTIF(EXTRATO!$A$2:$A$3000,"BAN-02494")=0,"","BAN-02494")</f>
        <v/>
      </c>
      <c r="B2637" s="85" t="str">
        <f>IF(A2637="","",IF(INDEX(EXTRATO!$C$2:$C$3000,MATCH($A2637,EXTRATO!$A$2:$A$3000,0))="","",INDEX(EXTRATO!$C$2:$C$3000,MATCH($A2637,EXTRATO!$A$2:$A$3000,0))))</f>
        <v/>
      </c>
      <c r="C2637" s="86" t="str">
        <f t="shared" si="68"/>
        <v/>
      </c>
      <c r="D2637" s="81"/>
      <c r="E2637" s="79"/>
      <c r="F2637" s="80" t="str">
        <f>IF(A2637="","",SUMIF(EXTRATO!$A$2:$A$3000,$A2637,EXTRATO!$J$2:$J$3000)+SUMIF(EXTRATO!$A$2:$A$3000,$A2637,EXTRATO!$K$2:$K$3000)+SUMIF(EXTRATO!$A$2:$A$3000,$A2637,EXTRATO!$L$2:$L$3000)+SUMIF(EXTRATO!$A$2:$A$3000,$A2637,EXTRATO!$M$2:$M$3000))</f>
        <v/>
      </c>
      <c r="G2637" s="81" t="str">
        <f>IF(A2637="","",IF(INDEX(EXTRATO!$G$2:$G$3000,MATCH($A2637,EXTRATO!$A$2:$A$3000,0))="","",INDEX(EXTRATO!$G$2:$G$3000,MATCH($A2637,EXTRATO!$A$2:$A$3000,0))))</f>
        <v/>
      </c>
      <c r="H2637" s="86" t="str">
        <f>IF(A2637="","",IF(INDEX(EXTRATO!$F$2:$F$3000,MATCH($A2637,EXTRATO!$A$2:$A$3000,0))="","",INDEX(EXTRATO!$F$2:$F$3000,MATCH($A2637,EXTRATO!$A$2:$A$3000,0))))</f>
        <v/>
      </c>
      <c r="I2637" s="88" t="str">
        <f>IF(A2637="","",IF(INDEX(EXTRATO!$H$2:$H$3000,MATCH($A2637,EXTRATO!$A$2:$A$3000,0))="","",INDEX(EXTRATO!$H$2:$H$3000,MATCH($A2637,EXTRATO!$A$2:$A$3000,0))))</f>
        <v/>
      </c>
      <c r="J2637" s="86" t="str">
        <f t="shared" si="69"/>
        <v/>
      </c>
      <c r="K2637" s="86" t="str">
        <f>IF(AND(A2637="",D2637="",E2637="",F2637=""),"",IF(D2637="","SEM CATEGORIA",IF(E2637="","SEM SUBCATEGORIA",IF(COUNTIFS(CADASTROS!$L$7:$L$93,D2637,CADASTROS!$D$7:$D$93,E2637)=0,"INCOMPATÍVEL","OK"))))</f>
        <v/>
      </c>
    </row>
    <row r="2638" spans="1:11" ht="30" hidden="1" customHeight="1" x14ac:dyDescent="0.25">
      <c r="A2638" s="86" t="str">
        <f>IF(COUNTIF(EXTRATO!$A$2:$A$3000,"BAN-02495")=0,"","BAN-02495")</f>
        <v/>
      </c>
      <c r="B2638" s="85" t="str">
        <f>IF(A2638="","",IF(INDEX(EXTRATO!$C$2:$C$3000,MATCH($A2638,EXTRATO!$A$2:$A$3000,0))="","",INDEX(EXTRATO!$C$2:$C$3000,MATCH($A2638,EXTRATO!$A$2:$A$3000,0))))</f>
        <v/>
      </c>
      <c r="C2638" s="86" t="str">
        <f t="shared" si="68"/>
        <v/>
      </c>
      <c r="D2638" s="81"/>
      <c r="E2638" s="79"/>
      <c r="F2638" s="80" t="str">
        <f>IF(A2638="","",SUMIF(EXTRATO!$A$2:$A$3000,$A2638,EXTRATO!$J$2:$J$3000)+SUMIF(EXTRATO!$A$2:$A$3000,$A2638,EXTRATO!$K$2:$K$3000)+SUMIF(EXTRATO!$A$2:$A$3000,$A2638,EXTRATO!$L$2:$L$3000)+SUMIF(EXTRATO!$A$2:$A$3000,$A2638,EXTRATO!$M$2:$M$3000))</f>
        <v/>
      </c>
      <c r="G2638" s="81" t="str">
        <f>IF(A2638="","",IF(INDEX(EXTRATO!$G$2:$G$3000,MATCH($A2638,EXTRATO!$A$2:$A$3000,0))="","",INDEX(EXTRATO!$G$2:$G$3000,MATCH($A2638,EXTRATO!$A$2:$A$3000,0))))</f>
        <v/>
      </c>
      <c r="H2638" s="86" t="str">
        <f>IF(A2638="","",IF(INDEX(EXTRATO!$F$2:$F$3000,MATCH($A2638,EXTRATO!$A$2:$A$3000,0))="","",INDEX(EXTRATO!$F$2:$F$3000,MATCH($A2638,EXTRATO!$A$2:$A$3000,0))))</f>
        <v/>
      </c>
      <c r="I2638" s="88" t="str">
        <f>IF(A2638="","",IF(INDEX(EXTRATO!$H$2:$H$3000,MATCH($A2638,EXTRATO!$A$2:$A$3000,0))="","",INDEX(EXTRATO!$H$2:$H$3000,MATCH($A2638,EXTRATO!$A$2:$A$3000,0))))</f>
        <v/>
      </c>
      <c r="J2638" s="86" t="str">
        <f t="shared" si="69"/>
        <v/>
      </c>
      <c r="K2638" s="86" t="str">
        <f>IF(AND(A2638="",D2638="",E2638="",F2638=""),"",IF(D2638="","SEM CATEGORIA",IF(E2638="","SEM SUBCATEGORIA",IF(COUNTIFS(CADASTROS!$L$7:$L$93,D2638,CADASTROS!$D$7:$D$93,E2638)=0,"INCOMPATÍVEL","OK"))))</f>
        <v/>
      </c>
    </row>
    <row r="2639" spans="1:11" ht="30" hidden="1" customHeight="1" x14ac:dyDescent="0.25">
      <c r="A2639" s="86" t="str">
        <f>IF(COUNTIF(EXTRATO!$A$2:$A$3000,"BAN-02496")=0,"","BAN-02496")</f>
        <v/>
      </c>
      <c r="B2639" s="85" t="str">
        <f>IF(A2639="","",IF(INDEX(EXTRATO!$C$2:$C$3000,MATCH($A2639,EXTRATO!$A$2:$A$3000,0))="","",INDEX(EXTRATO!$C$2:$C$3000,MATCH($A2639,EXTRATO!$A$2:$A$3000,0))))</f>
        <v/>
      </c>
      <c r="C2639" s="86" t="str">
        <f t="shared" si="68"/>
        <v/>
      </c>
      <c r="D2639" s="81"/>
      <c r="E2639" s="79"/>
      <c r="F2639" s="80" t="str">
        <f>IF(A2639="","",SUMIF(EXTRATO!$A$2:$A$3000,$A2639,EXTRATO!$J$2:$J$3000)+SUMIF(EXTRATO!$A$2:$A$3000,$A2639,EXTRATO!$K$2:$K$3000)+SUMIF(EXTRATO!$A$2:$A$3000,$A2639,EXTRATO!$L$2:$L$3000)+SUMIF(EXTRATO!$A$2:$A$3000,$A2639,EXTRATO!$M$2:$M$3000))</f>
        <v/>
      </c>
      <c r="G2639" s="81" t="str">
        <f>IF(A2639="","",IF(INDEX(EXTRATO!$G$2:$G$3000,MATCH($A2639,EXTRATO!$A$2:$A$3000,0))="","",INDEX(EXTRATO!$G$2:$G$3000,MATCH($A2639,EXTRATO!$A$2:$A$3000,0))))</f>
        <v/>
      </c>
      <c r="H2639" s="86" t="str">
        <f>IF(A2639="","",IF(INDEX(EXTRATO!$F$2:$F$3000,MATCH($A2639,EXTRATO!$A$2:$A$3000,0))="","",INDEX(EXTRATO!$F$2:$F$3000,MATCH($A2639,EXTRATO!$A$2:$A$3000,0))))</f>
        <v/>
      </c>
      <c r="I2639" s="88" t="str">
        <f>IF(A2639="","",IF(INDEX(EXTRATO!$H$2:$H$3000,MATCH($A2639,EXTRATO!$A$2:$A$3000,0))="","",INDEX(EXTRATO!$H$2:$H$3000,MATCH($A2639,EXTRATO!$A$2:$A$3000,0))))</f>
        <v/>
      </c>
      <c r="J2639" s="86" t="str">
        <f t="shared" si="69"/>
        <v/>
      </c>
      <c r="K2639" s="86" t="str">
        <f>IF(AND(A2639="",D2639="",E2639="",F2639=""),"",IF(D2639="","SEM CATEGORIA",IF(E2639="","SEM SUBCATEGORIA",IF(COUNTIFS(CADASTROS!$L$7:$L$93,D2639,CADASTROS!$D$7:$D$93,E2639)=0,"INCOMPATÍVEL","OK"))))</f>
        <v/>
      </c>
    </row>
    <row r="2640" spans="1:11" ht="30" hidden="1" customHeight="1" x14ac:dyDescent="0.25">
      <c r="A2640" s="86" t="str">
        <f>IF(COUNTIF(EXTRATO!$A$2:$A$3000,"BAN-02497")=0,"","BAN-02497")</f>
        <v/>
      </c>
      <c r="B2640" s="85" t="str">
        <f>IF(A2640="","",IF(INDEX(EXTRATO!$C$2:$C$3000,MATCH($A2640,EXTRATO!$A$2:$A$3000,0))="","",INDEX(EXTRATO!$C$2:$C$3000,MATCH($A2640,EXTRATO!$A$2:$A$3000,0))))</f>
        <v/>
      </c>
      <c r="C2640" s="86" t="str">
        <f t="shared" si="68"/>
        <v/>
      </c>
      <c r="D2640" s="81"/>
      <c r="E2640" s="79"/>
      <c r="F2640" s="80" t="str">
        <f>IF(A2640="","",SUMIF(EXTRATO!$A$2:$A$3000,$A2640,EXTRATO!$J$2:$J$3000)+SUMIF(EXTRATO!$A$2:$A$3000,$A2640,EXTRATO!$K$2:$K$3000)+SUMIF(EXTRATO!$A$2:$A$3000,$A2640,EXTRATO!$L$2:$L$3000)+SUMIF(EXTRATO!$A$2:$A$3000,$A2640,EXTRATO!$M$2:$M$3000))</f>
        <v/>
      </c>
      <c r="G2640" s="81" t="str">
        <f>IF(A2640="","",IF(INDEX(EXTRATO!$G$2:$G$3000,MATCH($A2640,EXTRATO!$A$2:$A$3000,0))="","",INDEX(EXTRATO!$G$2:$G$3000,MATCH($A2640,EXTRATO!$A$2:$A$3000,0))))</f>
        <v/>
      </c>
      <c r="H2640" s="86" t="str">
        <f>IF(A2640="","",IF(INDEX(EXTRATO!$F$2:$F$3000,MATCH($A2640,EXTRATO!$A$2:$A$3000,0))="","",INDEX(EXTRATO!$F$2:$F$3000,MATCH($A2640,EXTRATO!$A$2:$A$3000,0))))</f>
        <v/>
      </c>
      <c r="I2640" s="88" t="str">
        <f>IF(A2640="","",IF(INDEX(EXTRATO!$H$2:$H$3000,MATCH($A2640,EXTRATO!$A$2:$A$3000,0))="","",INDEX(EXTRATO!$H$2:$H$3000,MATCH($A2640,EXTRATO!$A$2:$A$3000,0))))</f>
        <v/>
      </c>
      <c r="J2640" s="86" t="str">
        <f t="shared" si="69"/>
        <v/>
      </c>
      <c r="K2640" s="86" t="str">
        <f>IF(AND(A2640="",D2640="",E2640="",F2640=""),"",IF(D2640="","SEM CATEGORIA",IF(E2640="","SEM SUBCATEGORIA",IF(COUNTIFS(CADASTROS!$L$7:$L$93,D2640,CADASTROS!$D$7:$D$93,E2640)=0,"INCOMPATÍVEL","OK"))))</f>
        <v/>
      </c>
    </row>
    <row r="2641" spans="1:11" ht="30" hidden="1" customHeight="1" x14ac:dyDescent="0.25">
      <c r="A2641" s="86" t="str">
        <f>IF(COUNTIF(EXTRATO!$A$2:$A$3000,"BAN-02498")=0,"","BAN-02498")</f>
        <v/>
      </c>
      <c r="B2641" s="85" t="str">
        <f>IF(A2641="","",IF(INDEX(EXTRATO!$C$2:$C$3000,MATCH($A2641,EXTRATO!$A$2:$A$3000,0))="","",INDEX(EXTRATO!$C$2:$C$3000,MATCH($A2641,EXTRATO!$A$2:$A$3000,0))))</f>
        <v/>
      </c>
      <c r="C2641" s="86" t="str">
        <f t="shared" si="68"/>
        <v/>
      </c>
      <c r="D2641" s="81"/>
      <c r="E2641" s="79"/>
      <c r="F2641" s="80" t="str">
        <f>IF(A2641="","",SUMIF(EXTRATO!$A$2:$A$3000,$A2641,EXTRATO!$J$2:$J$3000)+SUMIF(EXTRATO!$A$2:$A$3000,$A2641,EXTRATO!$K$2:$K$3000)+SUMIF(EXTRATO!$A$2:$A$3000,$A2641,EXTRATO!$L$2:$L$3000)+SUMIF(EXTRATO!$A$2:$A$3000,$A2641,EXTRATO!$M$2:$M$3000))</f>
        <v/>
      </c>
      <c r="G2641" s="81" t="str">
        <f>IF(A2641="","",IF(INDEX(EXTRATO!$G$2:$G$3000,MATCH($A2641,EXTRATO!$A$2:$A$3000,0))="","",INDEX(EXTRATO!$G$2:$G$3000,MATCH($A2641,EXTRATO!$A$2:$A$3000,0))))</f>
        <v/>
      </c>
      <c r="H2641" s="86" t="str">
        <f>IF(A2641="","",IF(INDEX(EXTRATO!$F$2:$F$3000,MATCH($A2641,EXTRATO!$A$2:$A$3000,0))="","",INDEX(EXTRATO!$F$2:$F$3000,MATCH($A2641,EXTRATO!$A$2:$A$3000,0))))</f>
        <v/>
      </c>
      <c r="I2641" s="88" t="str">
        <f>IF(A2641="","",IF(INDEX(EXTRATO!$H$2:$H$3000,MATCH($A2641,EXTRATO!$A$2:$A$3000,0))="","",INDEX(EXTRATO!$H$2:$H$3000,MATCH($A2641,EXTRATO!$A$2:$A$3000,0))))</f>
        <v/>
      </c>
      <c r="J2641" s="86" t="str">
        <f t="shared" si="69"/>
        <v/>
      </c>
      <c r="K2641" s="86" t="str">
        <f>IF(AND(A2641="",D2641="",E2641="",F2641=""),"",IF(D2641="","SEM CATEGORIA",IF(E2641="","SEM SUBCATEGORIA",IF(COUNTIFS(CADASTROS!$L$7:$L$93,D2641,CADASTROS!$D$7:$D$93,E2641)=0,"INCOMPATÍVEL","OK"))))</f>
        <v/>
      </c>
    </row>
    <row r="2642" spans="1:11" ht="30" hidden="1" customHeight="1" x14ac:dyDescent="0.25">
      <c r="A2642" s="86" t="str">
        <f>IF(COUNTIF(EXTRATO!$A$2:$A$3000,"BAN-02499")=0,"","BAN-02499")</f>
        <v/>
      </c>
      <c r="B2642" s="85" t="str">
        <f>IF(A2642="","",IF(INDEX(EXTRATO!$C$2:$C$3000,MATCH($A2642,EXTRATO!$A$2:$A$3000,0))="","",INDEX(EXTRATO!$C$2:$C$3000,MATCH($A2642,EXTRATO!$A$2:$A$3000,0))))</f>
        <v/>
      </c>
      <c r="C2642" s="86" t="str">
        <f t="shared" si="68"/>
        <v/>
      </c>
      <c r="D2642" s="81"/>
      <c r="E2642" s="79"/>
      <c r="F2642" s="80" t="str">
        <f>IF(A2642="","",SUMIF(EXTRATO!$A$2:$A$3000,$A2642,EXTRATO!$J$2:$J$3000)+SUMIF(EXTRATO!$A$2:$A$3000,$A2642,EXTRATO!$K$2:$K$3000)+SUMIF(EXTRATO!$A$2:$A$3000,$A2642,EXTRATO!$L$2:$L$3000)+SUMIF(EXTRATO!$A$2:$A$3000,$A2642,EXTRATO!$M$2:$M$3000))</f>
        <v/>
      </c>
      <c r="G2642" s="81" t="str">
        <f>IF(A2642="","",IF(INDEX(EXTRATO!$G$2:$G$3000,MATCH($A2642,EXTRATO!$A$2:$A$3000,0))="","",INDEX(EXTRATO!$G$2:$G$3000,MATCH($A2642,EXTRATO!$A$2:$A$3000,0))))</f>
        <v/>
      </c>
      <c r="H2642" s="86" t="str">
        <f>IF(A2642="","",IF(INDEX(EXTRATO!$F$2:$F$3000,MATCH($A2642,EXTRATO!$A$2:$A$3000,0))="","",INDEX(EXTRATO!$F$2:$F$3000,MATCH($A2642,EXTRATO!$A$2:$A$3000,0))))</f>
        <v/>
      </c>
      <c r="I2642" s="88" t="str">
        <f>IF(A2642="","",IF(INDEX(EXTRATO!$H$2:$H$3000,MATCH($A2642,EXTRATO!$A$2:$A$3000,0))="","",INDEX(EXTRATO!$H$2:$H$3000,MATCH($A2642,EXTRATO!$A$2:$A$3000,0))))</f>
        <v/>
      </c>
      <c r="J2642" s="86" t="str">
        <f t="shared" si="69"/>
        <v/>
      </c>
      <c r="K2642" s="86" t="str">
        <f>IF(AND(A2642="",D2642="",E2642="",F2642=""),"",IF(D2642="","SEM CATEGORIA",IF(E2642="","SEM SUBCATEGORIA",IF(COUNTIFS(CADASTROS!$L$7:$L$93,D2642,CADASTROS!$D$7:$D$93,E2642)=0,"INCOMPATÍVEL","OK"))))</f>
        <v/>
      </c>
    </row>
    <row r="2643" spans="1:11" ht="30" hidden="1" customHeight="1" x14ac:dyDescent="0.25">
      <c r="A2643" s="86" t="str">
        <f>IF(COUNTIF(EXTRATO!$A$2:$A$3000,"BAN-02500")=0,"","BAN-02500")</f>
        <v/>
      </c>
      <c r="B2643" s="85" t="str">
        <f>IF(A2643="","",IF(INDEX(EXTRATO!$C$2:$C$3000,MATCH($A2643,EXTRATO!$A$2:$A$3000,0))="","",INDEX(EXTRATO!$C$2:$C$3000,MATCH($A2643,EXTRATO!$A$2:$A$3000,0))))</f>
        <v/>
      </c>
      <c r="C2643" s="86" t="str">
        <f t="shared" si="68"/>
        <v/>
      </c>
      <c r="D2643" s="81"/>
      <c r="E2643" s="79"/>
      <c r="F2643" s="80" t="str">
        <f>IF(A2643="","",SUMIF(EXTRATO!$A$2:$A$3000,$A2643,EXTRATO!$J$2:$J$3000)+SUMIF(EXTRATO!$A$2:$A$3000,$A2643,EXTRATO!$K$2:$K$3000)+SUMIF(EXTRATO!$A$2:$A$3000,$A2643,EXTRATO!$L$2:$L$3000)+SUMIF(EXTRATO!$A$2:$A$3000,$A2643,EXTRATO!$M$2:$M$3000))</f>
        <v/>
      </c>
      <c r="G2643" s="81" t="str">
        <f>IF(A2643="","",IF(INDEX(EXTRATO!$G$2:$G$3000,MATCH($A2643,EXTRATO!$A$2:$A$3000,0))="","",INDEX(EXTRATO!$G$2:$G$3000,MATCH($A2643,EXTRATO!$A$2:$A$3000,0))))</f>
        <v/>
      </c>
      <c r="H2643" s="86" t="str">
        <f>IF(A2643="","",IF(INDEX(EXTRATO!$F$2:$F$3000,MATCH($A2643,EXTRATO!$A$2:$A$3000,0))="","",INDEX(EXTRATO!$F$2:$F$3000,MATCH($A2643,EXTRATO!$A$2:$A$3000,0))))</f>
        <v/>
      </c>
      <c r="I2643" s="88" t="str">
        <f>IF(A2643="","",IF(INDEX(EXTRATO!$H$2:$H$3000,MATCH($A2643,EXTRATO!$A$2:$A$3000,0))="","",INDEX(EXTRATO!$H$2:$H$3000,MATCH($A2643,EXTRATO!$A$2:$A$3000,0))))</f>
        <v/>
      </c>
      <c r="J2643" s="86" t="str">
        <f t="shared" si="69"/>
        <v/>
      </c>
      <c r="K2643" s="86" t="str">
        <f>IF(AND(A2643="",D2643="",E2643="",F2643=""),"",IF(D2643="","SEM CATEGORIA",IF(E2643="","SEM SUBCATEGORIA",IF(COUNTIFS(CADASTROS!$L$7:$L$93,D2643,CADASTROS!$D$7:$D$93,E2643)=0,"INCOMPATÍVEL","OK"))))</f>
        <v/>
      </c>
    </row>
    <row r="2644" spans="1:11" ht="30" hidden="1" customHeight="1" x14ac:dyDescent="0.25">
      <c r="A2644" s="86" t="str">
        <f>IF(COUNTIF(EXTRATO!$A$2:$A$3000,"BAN-02501")=0,"","BAN-02501")</f>
        <v/>
      </c>
      <c r="B2644" s="85" t="str">
        <f>IF(A2644="","",IF(INDEX(EXTRATO!$C$2:$C$3000,MATCH($A2644,EXTRATO!$A$2:$A$3000,0))="","",INDEX(EXTRATO!$C$2:$C$3000,MATCH($A2644,EXTRATO!$A$2:$A$3000,0))))</f>
        <v/>
      </c>
      <c r="C2644" s="86" t="str">
        <f t="shared" si="68"/>
        <v/>
      </c>
      <c r="D2644" s="81"/>
      <c r="E2644" s="79"/>
      <c r="F2644" s="80" t="str">
        <f>IF(A2644="","",SUMIF(EXTRATO!$A$2:$A$3000,$A2644,EXTRATO!$J$2:$J$3000)+SUMIF(EXTRATO!$A$2:$A$3000,$A2644,EXTRATO!$K$2:$K$3000)+SUMIF(EXTRATO!$A$2:$A$3000,$A2644,EXTRATO!$L$2:$L$3000)+SUMIF(EXTRATO!$A$2:$A$3000,$A2644,EXTRATO!$M$2:$M$3000))</f>
        <v/>
      </c>
      <c r="G2644" s="81" t="str">
        <f>IF(A2644="","",IF(INDEX(EXTRATO!$G$2:$G$3000,MATCH($A2644,EXTRATO!$A$2:$A$3000,0))="","",INDEX(EXTRATO!$G$2:$G$3000,MATCH($A2644,EXTRATO!$A$2:$A$3000,0))))</f>
        <v/>
      </c>
      <c r="H2644" s="86" t="str">
        <f>IF(A2644="","",IF(INDEX(EXTRATO!$F$2:$F$3000,MATCH($A2644,EXTRATO!$A$2:$A$3000,0))="","",INDEX(EXTRATO!$F$2:$F$3000,MATCH($A2644,EXTRATO!$A$2:$A$3000,0))))</f>
        <v/>
      </c>
      <c r="I2644" s="88" t="str">
        <f>IF(A2644="","",IF(INDEX(EXTRATO!$H$2:$H$3000,MATCH($A2644,EXTRATO!$A$2:$A$3000,0))="","",INDEX(EXTRATO!$H$2:$H$3000,MATCH($A2644,EXTRATO!$A$2:$A$3000,0))))</f>
        <v/>
      </c>
      <c r="J2644" s="86" t="str">
        <f t="shared" si="69"/>
        <v/>
      </c>
      <c r="K2644" s="86" t="str">
        <f>IF(AND(A2644="",D2644="",E2644="",F2644=""),"",IF(D2644="","SEM CATEGORIA",IF(E2644="","SEM SUBCATEGORIA",IF(COUNTIFS(CADASTROS!$L$7:$L$93,D2644,CADASTROS!$D$7:$D$93,E2644)=0,"INCOMPATÍVEL","OK"))))</f>
        <v/>
      </c>
    </row>
    <row r="2645" spans="1:11" ht="30" hidden="1" customHeight="1" x14ac:dyDescent="0.25">
      <c r="A2645" s="86" t="str">
        <f>IF(COUNTIF(EXTRATO!$A$2:$A$3000,"BAN-02502")=0,"","BAN-02502")</f>
        <v/>
      </c>
      <c r="B2645" s="85" t="str">
        <f>IF(A2645="","",IF(INDEX(EXTRATO!$C$2:$C$3000,MATCH($A2645,EXTRATO!$A$2:$A$3000,0))="","",INDEX(EXTRATO!$C$2:$C$3000,MATCH($A2645,EXTRATO!$A$2:$A$3000,0))))</f>
        <v/>
      </c>
      <c r="C2645" s="86" t="str">
        <f t="shared" ref="C2645:C2708" si="70">IF(B2645="","",MONTH(B2645))</f>
        <v/>
      </c>
      <c r="D2645" s="81"/>
      <c r="E2645" s="79"/>
      <c r="F2645" s="80" t="str">
        <f>IF(A2645="","",SUMIF(EXTRATO!$A$2:$A$3000,$A2645,EXTRATO!$J$2:$J$3000)+SUMIF(EXTRATO!$A$2:$A$3000,$A2645,EXTRATO!$K$2:$K$3000)+SUMIF(EXTRATO!$A$2:$A$3000,$A2645,EXTRATO!$L$2:$L$3000)+SUMIF(EXTRATO!$A$2:$A$3000,$A2645,EXTRATO!$M$2:$M$3000))</f>
        <v/>
      </c>
      <c r="G2645" s="81" t="str">
        <f>IF(A2645="","",IF(INDEX(EXTRATO!$G$2:$G$3000,MATCH($A2645,EXTRATO!$A$2:$A$3000,0))="","",INDEX(EXTRATO!$G$2:$G$3000,MATCH($A2645,EXTRATO!$A$2:$A$3000,0))))</f>
        <v/>
      </c>
      <c r="H2645" s="86" t="str">
        <f>IF(A2645="","",IF(INDEX(EXTRATO!$F$2:$F$3000,MATCH($A2645,EXTRATO!$A$2:$A$3000,0))="","",INDEX(EXTRATO!$F$2:$F$3000,MATCH($A2645,EXTRATO!$A$2:$A$3000,0))))</f>
        <v/>
      </c>
      <c r="I2645" s="88" t="str">
        <f>IF(A2645="","",IF(INDEX(EXTRATO!$H$2:$H$3000,MATCH($A2645,EXTRATO!$A$2:$A$3000,0))="","",INDEX(EXTRATO!$H$2:$H$3000,MATCH($A2645,EXTRATO!$A$2:$A$3000,0))))</f>
        <v/>
      </c>
      <c r="J2645" s="86" t="str">
        <f t="shared" si="69"/>
        <v/>
      </c>
      <c r="K2645" s="86" t="str">
        <f>IF(AND(A2645="",D2645="",E2645="",F2645=""),"",IF(D2645="","SEM CATEGORIA",IF(E2645="","SEM SUBCATEGORIA",IF(COUNTIFS(CADASTROS!$L$7:$L$93,D2645,CADASTROS!$D$7:$D$93,E2645)=0,"INCOMPATÍVEL","OK"))))</f>
        <v/>
      </c>
    </row>
    <row r="2646" spans="1:11" ht="30" hidden="1" customHeight="1" x14ac:dyDescent="0.25">
      <c r="A2646" s="86" t="str">
        <f>IF(COUNTIF(EXTRATO!$A$2:$A$3000,"BAN-02503")=0,"","BAN-02503")</f>
        <v/>
      </c>
      <c r="B2646" s="85" t="str">
        <f>IF(A2646="","",IF(INDEX(EXTRATO!$C$2:$C$3000,MATCH($A2646,EXTRATO!$A$2:$A$3000,0))="","",INDEX(EXTRATO!$C$2:$C$3000,MATCH($A2646,EXTRATO!$A$2:$A$3000,0))))</f>
        <v/>
      </c>
      <c r="C2646" s="86" t="str">
        <f t="shared" si="70"/>
        <v/>
      </c>
      <c r="D2646" s="81"/>
      <c r="E2646" s="79"/>
      <c r="F2646" s="80" t="str">
        <f>IF(A2646="","",SUMIF(EXTRATO!$A$2:$A$3000,$A2646,EXTRATO!$J$2:$J$3000)+SUMIF(EXTRATO!$A$2:$A$3000,$A2646,EXTRATO!$K$2:$K$3000)+SUMIF(EXTRATO!$A$2:$A$3000,$A2646,EXTRATO!$L$2:$L$3000)+SUMIF(EXTRATO!$A$2:$A$3000,$A2646,EXTRATO!$M$2:$M$3000))</f>
        <v/>
      </c>
      <c r="G2646" s="81" t="str">
        <f>IF(A2646="","",IF(INDEX(EXTRATO!$G$2:$G$3000,MATCH($A2646,EXTRATO!$A$2:$A$3000,0))="","",INDEX(EXTRATO!$G$2:$G$3000,MATCH($A2646,EXTRATO!$A$2:$A$3000,0))))</f>
        <v/>
      </c>
      <c r="H2646" s="86" t="str">
        <f>IF(A2646="","",IF(INDEX(EXTRATO!$F$2:$F$3000,MATCH($A2646,EXTRATO!$A$2:$A$3000,0))="","",INDEX(EXTRATO!$F$2:$F$3000,MATCH($A2646,EXTRATO!$A$2:$A$3000,0))))</f>
        <v/>
      </c>
      <c r="I2646" s="88" t="str">
        <f>IF(A2646="","",IF(INDEX(EXTRATO!$H$2:$H$3000,MATCH($A2646,EXTRATO!$A$2:$A$3000,0))="","",INDEX(EXTRATO!$H$2:$H$3000,MATCH($A2646,EXTRATO!$A$2:$A$3000,0))))</f>
        <v/>
      </c>
      <c r="J2646" s="86" t="str">
        <f t="shared" si="69"/>
        <v/>
      </c>
      <c r="K2646" s="86" t="str">
        <f>IF(AND(A2646="",D2646="",E2646="",F2646=""),"",IF(D2646="","SEM CATEGORIA",IF(E2646="","SEM SUBCATEGORIA",IF(COUNTIFS(CADASTROS!$L$7:$L$93,D2646,CADASTROS!$D$7:$D$93,E2646)=0,"INCOMPATÍVEL","OK"))))</f>
        <v/>
      </c>
    </row>
    <row r="2647" spans="1:11" ht="30" hidden="1" customHeight="1" x14ac:dyDescent="0.25">
      <c r="A2647" s="86" t="str">
        <f>IF(COUNTIF(EXTRATO!$A$2:$A$3000,"BAN-02504")=0,"","BAN-02504")</f>
        <v/>
      </c>
      <c r="B2647" s="85" t="str">
        <f>IF(A2647="","",IF(INDEX(EXTRATO!$C$2:$C$3000,MATCH($A2647,EXTRATO!$A$2:$A$3000,0))="","",INDEX(EXTRATO!$C$2:$C$3000,MATCH($A2647,EXTRATO!$A$2:$A$3000,0))))</f>
        <v/>
      </c>
      <c r="C2647" s="86" t="str">
        <f t="shared" si="70"/>
        <v/>
      </c>
      <c r="D2647" s="81"/>
      <c r="E2647" s="79"/>
      <c r="F2647" s="80" t="str">
        <f>IF(A2647="","",SUMIF(EXTRATO!$A$2:$A$3000,$A2647,EXTRATO!$J$2:$J$3000)+SUMIF(EXTRATO!$A$2:$A$3000,$A2647,EXTRATO!$K$2:$K$3000)+SUMIF(EXTRATO!$A$2:$A$3000,$A2647,EXTRATO!$L$2:$L$3000)+SUMIF(EXTRATO!$A$2:$A$3000,$A2647,EXTRATO!$M$2:$M$3000))</f>
        <v/>
      </c>
      <c r="G2647" s="81" t="str">
        <f>IF(A2647="","",IF(INDEX(EXTRATO!$G$2:$G$3000,MATCH($A2647,EXTRATO!$A$2:$A$3000,0))="","",INDEX(EXTRATO!$G$2:$G$3000,MATCH($A2647,EXTRATO!$A$2:$A$3000,0))))</f>
        <v/>
      </c>
      <c r="H2647" s="86" t="str">
        <f>IF(A2647="","",IF(INDEX(EXTRATO!$F$2:$F$3000,MATCH($A2647,EXTRATO!$A$2:$A$3000,0))="","",INDEX(EXTRATO!$F$2:$F$3000,MATCH($A2647,EXTRATO!$A$2:$A$3000,0))))</f>
        <v/>
      </c>
      <c r="I2647" s="88" t="str">
        <f>IF(A2647="","",IF(INDEX(EXTRATO!$H$2:$H$3000,MATCH($A2647,EXTRATO!$A$2:$A$3000,0))="","",INDEX(EXTRATO!$H$2:$H$3000,MATCH($A2647,EXTRATO!$A$2:$A$3000,0))))</f>
        <v/>
      </c>
      <c r="J2647" s="86" t="str">
        <f t="shared" si="69"/>
        <v/>
      </c>
      <c r="K2647" s="86" t="str">
        <f>IF(AND(A2647="",D2647="",E2647="",F2647=""),"",IF(D2647="","SEM CATEGORIA",IF(E2647="","SEM SUBCATEGORIA",IF(COUNTIFS(CADASTROS!$L$7:$L$93,D2647,CADASTROS!$D$7:$D$93,E2647)=0,"INCOMPATÍVEL","OK"))))</f>
        <v/>
      </c>
    </row>
    <row r="2648" spans="1:11" ht="30" hidden="1" customHeight="1" x14ac:dyDescent="0.25">
      <c r="A2648" s="86" t="str">
        <f>IF(COUNTIF(EXTRATO!$A$2:$A$3000,"BAN-02505")=0,"","BAN-02505")</f>
        <v/>
      </c>
      <c r="B2648" s="85" t="str">
        <f>IF(A2648="","",IF(INDEX(EXTRATO!$C$2:$C$3000,MATCH($A2648,EXTRATO!$A$2:$A$3000,0))="","",INDEX(EXTRATO!$C$2:$C$3000,MATCH($A2648,EXTRATO!$A$2:$A$3000,0))))</f>
        <v/>
      </c>
      <c r="C2648" s="86" t="str">
        <f t="shared" si="70"/>
        <v/>
      </c>
      <c r="D2648" s="81"/>
      <c r="E2648" s="79"/>
      <c r="F2648" s="80" t="str">
        <f>IF(A2648="","",SUMIF(EXTRATO!$A$2:$A$3000,$A2648,EXTRATO!$J$2:$J$3000)+SUMIF(EXTRATO!$A$2:$A$3000,$A2648,EXTRATO!$K$2:$K$3000)+SUMIF(EXTRATO!$A$2:$A$3000,$A2648,EXTRATO!$L$2:$L$3000)+SUMIF(EXTRATO!$A$2:$A$3000,$A2648,EXTRATO!$M$2:$M$3000))</f>
        <v/>
      </c>
      <c r="G2648" s="81" t="str">
        <f>IF(A2648="","",IF(INDEX(EXTRATO!$G$2:$G$3000,MATCH($A2648,EXTRATO!$A$2:$A$3000,0))="","",INDEX(EXTRATO!$G$2:$G$3000,MATCH($A2648,EXTRATO!$A$2:$A$3000,0))))</f>
        <v/>
      </c>
      <c r="H2648" s="86" t="str">
        <f>IF(A2648="","",IF(INDEX(EXTRATO!$F$2:$F$3000,MATCH($A2648,EXTRATO!$A$2:$A$3000,0))="","",INDEX(EXTRATO!$F$2:$F$3000,MATCH($A2648,EXTRATO!$A$2:$A$3000,0))))</f>
        <v/>
      </c>
      <c r="I2648" s="88" t="str">
        <f>IF(A2648="","",IF(INDEX(EXTRATO!$H$2:$H$3000,MATCH($A2648,EXTRATO!$A$2:$A$3000,0))="","",INDEX(EXTRATO!$H$2:$H$3000,MATCH($A2648,EXTRATO!$A$2:$A$3000,0))))</f>
        <v/>
      </c>
      <c r="J2648" s="86" t="str">
        <f t="shared" si="69"/>
        <v/>
      </c>
      <c r="K2648" s="86" t="str">
        <f>IF(AND(A2648="",D2648="",E2648="",F2648=""),"",IF(D2648="","SEM CATEGORIA",IF(E2648="","SEM SUBCATEGORIA",IF(COUNTIFS(CADASTROS!$L$7:$L$93,D2648,CADASTROS!$D$7:$D$93,E2648)=0,"INCOMPATÍVEL","OK"))))</f>
        <v/>
      </c>
    </row>
    <row r="2649" spans="1:11" ht="30" hidden="1" customHeight="1" x14ac:dyDescent="0.25">
      <c r="A2649" s="86" t="str">
        <f>IF(COUNTIF(EXTRATO!$A$2:$A$3000,"BAN-02506")=0,"","BAN-02506")</f>
        <v/>
      </c>
      <c r="B2649" s="85" t="str">
        <f>IF(A2649="","",IF(INDEX(EXTRATO!$C$2:$C$3000,MATCH($A2649,EXTRATO!$A$2:$A$3000,0))="","",INDEX(EXTRATO!$C$2:$C$3000,MATCH($A2649,EXTRATO!$A$2:$A$3000,0))))</f>
        <v/>
      </c>
      <c r="C2649" s="86" t="str">
        <f t="shared" si="70"/>
        <v/>
      </c>
      <c r="D2649" s="81"/>
      <c r="E2649" s="79"/>
      <c r="F2649" s="80" t="str">
        <f>IF(A2649="","",SUMIF(EXTRATO!$A$2:$A$3000,$A2649,EXTRATO!$J$2:$J$3000)+SUMIF(EXTRATO!$A$2:$A$3000,$A2649,EXTRATO!$K$2:$K$3000)+SUMIF(EXTRATO!$A$2:$A$3000,$A2649,EXTRATO!$L$2:$L$3000)+SUMIF(EXTRATO!$A$2:$A$3000,$A2649,EXTRATO!$M$2:$M$3000))</f>
        <v/>
      </c>
      <c r="G2649" s="81" t="str">
        <f>IF(A2649="","",IF(INDEX(EXTRATO!$G$2:$G$3000,MATCH($A2649,EXTRATO!$A$2:$A$3000,0))="","",INDEX(EXTRATO!$G$2:$G$3000,MATCH($A2649,EXTRATO!$A$2:$A$3000,0))))</f>
        <v/>
      </c>
      <c r="H2649" s="86" t="str">
        <f>IF(A2649="","",IF(INDEX(EXTRATO!$F$2:$F$3000,MATCH($A2649,EXTRATO!$A$2:$A$3000,0))="","",INDEX(EXTRATO!$F$2:$F$3000,MATCH($A2649,EXTRATO!$A$2:$A$3000,0))))</f>
        <v/>
      </c>
      <c r="I2649" s="88" t="str">
        <f>IF(A2649="","",IF(INDEX(EXTRATO!$H$2:$H$3000,MATCH($A2649,EXTRATO!$A$2:$A$3000,0))="","",INDEX(EXTRATO!$H$2:$H$3000,MATCH($A2649,EXTRATO!$A$2:$A$3000,0))))</f>
        <v/>
      </c>
      <c r="J2649" s="86" t="str">
        <f t="shared" si="69"/>
        <v/>
      </c>
      <c r="K2649" s="86" t="str">
        <f>IF(AND(A2649="",D2649="",E2649="",F2649=""),"",IF(D2649="","SEM CATEGORIA",IF(E2649="","SEM SUBCATEGORIA",IF(COUNTIFS(CADASTROS!$L$7:$L$93,D2649,CADASTROS!$D$7:$D$93,E2649)=0,"INCOMPATÍVEL","OK"))))</f>
        <v/>
      </c>
    </row>
    <row r="2650" spans="1:11" ht="30" hidden="1" customHeight="1" x14ac:dyDescent="0.25">
      <c r="A2650" s="86" t="str">
        <f>IF(COUNTIF(EXTRATO!$A$2:$A$3000,"BAN-02507")=0,"","BAN-02507")</f>
        <v/>
      </c>
      <c r="B2650" s="85" t="str">
        <f>IF(A2650="","",IF(INDEX(EXTRATO!$C$2:$C$3000,MATCH($A2650,EXTRATO!$A$2:$A$3000,0))="","",INDEX(EXTRATO!$C$2:$C$3000,MATCH($A2650,EXTRATO!$A$2:$A$3000,0))))</f>
        <v/>
      </c>
      <c r="C2650" s="86" t="str">
        <f t="shared" si="70"/>
        <v/>
      </c>
      <c r="D2650" s="81"/>
      <c r="E2650" s="79"/>
      <c r="F2650" s="80" t="str">
        <f>IF(A2650="","",SUMIF(EXTRATO!$A$2:$A$3000,$A2650,EXTRATO!$J$2:$J$3000)+SUMIF(EXTRATO!$A$2:$A$3000,$A2650,EXTRATO!$K$2:$K$3000)+SUMIF(EXTRATO!$A$2:$A$3000,$A2650,EXTRATO!$L$2:$L$3000)+SUMIF(EXTRATO!$A$2:$A$3000,$A2650,EXTRATO!$M$2:$M$3000))</f>
        <v/>
      </c>
      <c r="G2650" s="81" t="str">
        <f>IF(A2650="","",IF(INDEX(EXTRATO!$G$2:$G$3000,MATCH($A2650,EXTRATO!$A$2:$A$3000,0))="","",INDEX(EXTRATO!$G$2:$G$3000,MATCH($A2650,EXTRATO!$A$2:$A$3000,0))))</f>
        <v/>
      </c>
      <c r="H2650" s="86" t="str">
        <f>IF(A2650="","",IF(INDEX(EXTRATO!$F$2:$F$3000,MATCH($A2650,EXTRATO!$A$2:$A$3000,0))="","",INDEX(EXTRATO!$F$2:$F$3000,MATCH($A2650,EXTRATO!$A$2:$A$3000,0))))</f>
        <v/>
      </c>
      <c r="I2650" s="88" t="str">
        <f>IF(A2650="","",IF(INDEX(EXTRATO!$H$2:$H$3000,MATCH($A2650,EXTRATO!$A$2:$A$3000,0))="","",INDEX(EXTRATO!$H$2:$H$3000,MATCH($A2650,EXTRATO!$A$2:$A$3000,0))))</f>
        <v/>
      </c>
      <c r="J2650" s="86" t="str">
        <f t="shared" si="69"/>
        <v/>
      </c>
      <c r="K2650" s="86" t="str">
        <f>IF(AND(A2650="",D2650="",E2650="",F2650=""),"",IF(D2650="","SEM CATEGORIA",IF(E2650="","SEM SUBCATEGORIA",IF(COUNTIFS(CADASTROS!$L$7:$L$93,D2650,CADASTROS!$D$7:$D$93,E2650)=0,"INCOMPATÍVEL","OK"))))</f>
        <v/>
      </c>
    </row>
    <row r="2651" spans="1:11" ht="30" hidden="1" customHeight="1" x14ac:dyDescent="0.25">
      <c r="A2651" s="86" t="str">
        <f>IF(COUNTIF(EXTRATO!$A$2:$A$3000,"BAN-02508")=0,"","BAN-02508")</f>
        <v/>
      </c>
      <c r="B2651" s="85" t="str">
        <f>IF(A2651="","",IF(INDEX(EXTRATO!$C$2:$C$3000,MATCH($A2651,EXTRATO!$A$2:$A$3000,0))="","",INDEX(EXTRATO!$C$2:$C$3000,MATCH($A2651,EXTRATO!$A$2:$A$3000,0))))</f>
        <v/>
      </c>
      <c r="C2651" s="86" t="str">
        <f t="shared" si="70"/>
        <v/>
      </c>
      <c r="D2651" s="81"/>
      <c r="E2651" s="79"/>
      <c r="F2651" s="80" t="str">
        <f>IF(A2651="","",SUMIF(EXTRATO!$A$2:$A$3000,$A2651,EXTRATO!$J$2:$J$3000)+SUMIF(EXTRATO!$A$2:$A$3000,$A2651,EXTRATO!$K$2:$K$3000)+SUMIF(EXTRATO!$A$2:$A$3000,$A2651,EXTRATO!$L$2:$L$3000)+SUMIF(EXTRATO!$A$2:$A$3000,$A2651,EXTRATO!$M$2:$M$3000))</f>
        <v/>
      </c>
      <c r="G2651" s="81" t="str">
        <f>IF(A2651="","",IF(INDEX(EXTRATO!$G$2:$G$3000,MATCH($A2651,EXTRATO!$A$2:$A$3000,0))="","",INDEX(EXTRATO!$G$2:$G$3000,MATCH($A2651,EXTRATO!$A$2:$A$3000,0))))</f>
        <v/>
      </c>
      <c r="H2651" s="86" t="str">
        <f>IF(A2651="","",IF(INDEX(EXTRATO!$F$2:$F$3000,MATCH($A2651,EXTRATO!$A$2:$A$3000,0))="","",INDEX(EXTRATO!$F$2:$F$3000,MATCH($A2651,EXTRATO!$A$2:$A$3000,0))))</f>
        <v/>
      </c>
      <c r="I2651" s="88" t="str">
        <f>IF(A2651="","",IF(INDEX(EXTRATO!$H$2:$H$3000,MATCH($A2651,EXTRATO!$A$2:$A$3000,0))="","",INDEX(EXTRATO!$H$2:$H$3000,MATCH($A2651,EXTRATO!$A$2:$A$3000,0))))</f>
        <v/>
      </c>
      <c r="J2651" s="86" t="str">
        <f t="shared" si="69"/>
        <v/>
      </c>
      <c r="K2651" s="86" t="str">
        <f>IF(AND(A2651="",D2651="",E2651="",F2651=""),"",IF(D2651="","SEM CATEGORIA",IF(E2651="","SEM SUBCATEGORIA",IF(COUNTIFS(CADASTROS!$L$7:$L$93,D2651,CADASTROS!$D$7:$D$93,E2651)=0,"INCOMPATÍVEL","OK"))))</f>
        <v/>
      </c>
    </row>
    <row r="2652" spans="1:11" ht="30" hidden="1" customHeight="1" x14ac:dyDescent="0.25">
      <c r="A2652" s="86" t="str">
        <f>IF(COUNTIF(EXTRATO!$A$2:$A$3000,"BAN-02509")=0,"","BAN-02509")</f>
        <v/>
      </c>
      <c r="B2652" s="85" t="str">
        <f>IF(A2652="","",IF(INDEX(EXTRATO!$C$2:$C$3000,MATCH($A2652,EXTRATO!$A$2:$A$3000,0))="","",INDEX(EXTRATO!$C$2:$C$3000,MATCH($A2652,EXTRATO!$A$2:$A$3000,0))))</f>
        <v/>
      </c>
      <c r="C2652" s="86" t="str">
        <f t="shared" si="70"/>
        <v/>
      </c>
      <c r="D2652" s="81"/>
      <c r="E2652" s="79"/>
      <c r="F2652" s="80" t="str">
        <f>IF(A2652="","",SUMIF(EXTRATO!$A$2:$A$3000,$A2652,EXTRATO!$J$2:$J$3000)+SUMIF(EXTRATO!$A$2:$A$3000,$A2652,EXTRATO!$K$2:$K$3000)+SUMIF(EXTRATO!$A$2:$A$3000,$A2652,EXTRATO!$L$2:$L$3000)+SUMIF(EXTRATO!$A$2:$A$3000,$A2652,EXTRATO!$M$2:$M$3000))</f>
        <v/>
      </c>
      <c r="G2652" s="81" t="str">
        <f>IF(A2652="","",IF(INDEX(EXTRATO!$G$2:$G$3000,MATCH($A2652,EXTRATO!$A$2:$A$3000,0))="","",INDEX(EXTRATO!$G$2:$G$3000,MATCH($A2652,EXTRATO!$A$2:$A$3000,0))))</f>
        <v/>
      </c>
      <c r="H2652" s="86" t="str">
        <f>IF(A2652="","",IF(INDEX(EXTRATO!$F$2:$F$3000,MATCH($A2652,EXTRATO!$A$2:$A$3000,0))="","",INDEX(EXTRATO!$F$2:$F$3000,MATCH($A2652,EXTRATO!$A$2:$A$3000,0))))</f>
        <v/>
      </c>
      <c r="I2652" s="88" t="str">
        <f>IF(A2652="","",IF(INDEX(EXTRATO!$H$2:$H$3000,MATCH($A2652,EXTRATO!$A$2:$A$3000,0))="","",INDEX(EXTRATO!$H$2:$H$3000,MATCH($A2652,EXTRATO!$A$2:$A$3000,0))))</f>
        <v/>
      </c>
      <c r="J2652" s="86" t="str">
        <f t="shared" si="69"/>
        <v/>
      </c>
      <c r="K2652" s="86" t="str">
        <f>IF(AND(A2652="",D2652="",E2652="",F2652=""),"",IF(D2652="","SEM CATEGORIA",IF(E2652="","SEM SUBCATEGORIA",IF(COUNTIFS(CADASTROS!$L$7:$L$93,D2652,CADASTROS!$D$7:$D$93,E2652)=0,"INCOMPATÍVEL","OK"))))</f>
        <v/>
      </c>
    </row>
    <row r="2653" spans="1:11" ht="30" hidden="1" customHeight="1" x14ac:dyDescent="0.25">
      <c r="A2653" s="86" t="str">
        <f>IF(COUNTIF(EXTRATO!$A$2:$A$3000,"BAN-02510")=0,"","BAN-02510")</f>
        <v/>
      </c>
      <c r="B2653" s="85" t="str">
        <f>IF(A2653="","",IF(INDEX(EXTRATO!$C$2:$C$3000,MATCH($A2653,EXTRATO!$A$2:$A$3000,0))="","",INDEX(EXTRATO!$C$2:$C$3000,MATCH($A2653,EXTRATO!$A$2:$A$3000,0))))</f>
        <v/>
      </c>
      <c r="C2653" s="86" t="str">
        <f t="shared" si="70"/>
        <v/>
      </c>
      <c r="D2653" s="81"/>
      <c r="E2653" s="79"/>
      <c r="F2653" s="80" t="str">
        <f>IF(A2653="","",SUMIF(EXTRATO!$A$2:$A$3000,$A2653,EXTRATO!$J$2:$J$3000)+SUMIF(EXTRATO!$A$2:$A$3000,$A2653,EXTRATO!$K$2:$K$3000)+SUMIF(EXTRATO!$A$2:$A$3000,$A2653,EXTRATO!$L$2:$L$3000)+SUMIF(EXTRATO!$A$2:$A$3000,$A2653,EXTRATO!$M$2:$M$3000))</f>
        <v/>
      </c>
      <c r="G2653" s="81" t="str">
        <f>IF(A2653="","",IF(INDEX(EXTRATO!$G$2:$G$3000,MATCH($A2653,EXTRATO!$A$2:$A$3000,0))="","",INDEX(EXTRATO!$G$2:$G$3000,MATCH($A2653,EXTRATO!$A$2:$A$3000,0))))</f>
        <v/>
      </c>
      <c r="H2653" s="86" t="str">
        <f>IF(A2653="","",IF(INDEX(EXTRATO!$F$2:$F$3000,MATCH($A2653,EXTRATO!$A$2:$A$3000,0))="","",INDEX(EXTRATO!$F$2:$F$3000,MATCH($A2653,EXTRATO!$A$2:$A$3000,0))))</f>
        <v/>
      </c>
      <c r="I2653" s="88" t="str">
        <f>IF(A2653="","",IF(INDEX(EXTRATO!$H$2:$H$3000,MATCH($A2653,EXTRATO!$A$2:$A$3000,0))="","",INDEX(EXTRATO!$H$2:$H$3000,MATCH($A2653,EXTRATO!$A$2:$A$3000,0))))</f>
        <v/>
      </c>
      <c r="J2653" s="86" t="str">
        <f t="shared" si="69"/>
        <v/>
      </c>
      <c r="K2653" s="86" t="str">
        <f>IF(AND(A2653="",D2653="",E2653="",F2653=""),"",IF(D2653="","SEM CATEGORIA",IF(E2653="","SEM SUBCATEGORIA",IF(COUNTIFS(CADASTROS!$L$7:$L$93,D2653,CADASTROS!$D$7:$D$93,E2653)=0,"INCOMPATÍVEL","OK"))))</f>
        <v/>
      </c>
    </row>
    <row r="2654" spans="1:11" ht="30" hidden="1" customHeight="1" x14ac:dyDescent="0.25">
      <c r="A2654" s="86" t="str">
        <f>IF(COUNTIF(EXTRATO!$A$2:$A$3000,"BAN-02511")=0,"","BAN-02511")</f>
        <v/>
      </c>
      <c r="B2654" s="85" t="str">
        <f>IF(A2654="","",IF(INDEX(EXTRATO!$C$2:$C$3000,MATCH($A2654,EXTRATO!$A$2:$A$3000,0))="","",INDEX(EXTRATO!$C$2:$C$3000,MATCH($A2654,EXTRATO!$A$2:$A$3000,0))))</f>
        <v/>
      </c>
      <c r="C2654" s="86" t="str">
        <f t="shared" si="70"/>
        <v/>
      </c>
      <c r="D2654" s="81"/>
      <c r="E2654" s="79"/>
      <c r="F2654" s="80" t="str">
        <f>IF(A2654="","",SUMIF(EXTRATO!$A$2:$A$3000,$A2654,EXTRATO!$J$2:$J$3000)+SUMIF(EXTRATO!$A$2:$A$3000,$A2654,EXTRATO!$K$2:$K$3000)+SUMIF(EXTRATO!$A$2:$A$3000,$A2654,EXTRATO!$L$2:$L$3000)+SUMIF(EXTRATO!$A$2:$A$3000,$A2654,EXTRATO!$M$2:$M$3000))</f>
        <v/>
      </c>
      <c r="G2654" s="81" t="str">
        <f>IF(A2654="","",IF(INDEX(EXTRATO!$G$2:$G$3000,MATCH($A2654,EXTRATO!$A$2:$A$3000,0))="","",INDEX(EXTRATO!$G$2:$G$3000,MATCH($A2654,EXTRATO!$A$2:$A$3000,0))))</f>
        <v/>
      </c>
      <c r="H2654" s="86" t="str">
        <f>IF(A2654="","",IF(INDEX(EXTRATO!$F$2:$F$3000,MATCH($A2654,EXTRATO!$A$2:$A$3000,0))="","",INDEX(EXTRATO!$F$2:$F$3000,MATCH($A2654,EXTRATO!$A$2:$A$3000,0))))</f>
        <v/>
      </c>
      <c r="I2654" s="88" t="str">
        <f>IF(A2654="","",IF(INDEX(EXTRATO!$H$2:$H$3000,MATCH($A2654,EXTRATO!$A$2:$A$3000,0))="","",INDEX(EXTRATO!$H$2:$H$3000,MATCH($A2654,EXTRATO!$A$2:$A$3000,0))))</f>
        <v/>
      </c>
      <c r="J2654" s="86" t="str">
        <f t="shared" si="69"/>
        <v/>
      </c>
      <c r="K2654" s="86" t="str">
        <f>IF(AND(A2654="",D2654="",E2654="",F2654=""),"",IF(D2654="","SEM CATEGORIA",IF(E2654="","SEM SUBCATEGORIA",IF(COUNTIFS(CADASTROS!$L$7:$L$93,D2654,CADASTROS!$D$7:$D$93,E2654)=0,"INCOMPATÍVEL","OK"))))</f>
        <v/>
      </c>
    </row>
    <row r="2655" spans="1:11" ht="30" hidden="1" customHeight="1" x14ac:dyDescent="0.25">
      <c r="A2655" s="86" t="str">
        <f>IF(COUNTIF(EXTRATO!$A$2:$A$3000,"BAN-02512")=0,"","BAN-02512")</f>
        <v/>
      </c>
      <c r="B2655" s="85" t="str">
        <f>IF(A2655="","",IF(INDEX(EXTRATO!$C$2:$C$3000,MATCH($A2655,EXTRATO!$A$2:$A$3000,0))="","",INDEX(EXTRATO!$C$2:$C$3000,MATCH($A2655,EXTRATO!$A$2:$A$3000,0))))</f>
        <v/>
      </c>
      <c r="C2655" s="86" t="str">
        <f t="shared" si="70"/>
        <v/>
      </c>
      <c r="D2655" s="81"/>
      <c r="E2655" s="79"/>
      <c r="F2655" s="80" t="str">
        <f>IF(A2655="","",SUMIF(EXTRATO!$A$2:$A$3000,$A2655,EXTRATO!$J$2:$J$3000)+SUMIF(EXTRATO!$A$2:$A$3000,$A2655,EXTRATO!$K$2:$K$3000)+SUMIF(EXTRATO!$A$2:$A$3000,$A2655,EXTRATO!$L$2:$L$3000)+SUMIF(EXTRATO!$A$2:$A$3000,$A2655,EXTRATO!$M$2:$M$3000))</f>
        <v/>
      </c>
      <c r="G2655" s="81" t="str">
        <f>IF(A2655="","",IF(INDEX(EXTRATO!$G$2:$G$3000,MATCH($A2655,EXTRATO!$A$2:$A$3000,0))="","",INDEX(EXTRATO!$G$2:$G$3000,MATCH($A2655,EXTRATO!$A$2:$A$3000,0))))</f>
        <v/>
      </c>
      <c r="H2655" s="86" t="str">
        <f>IF(A2655="","",IF(INDEX(EXTRATO!$F$2:$F$3000,MATCH($A2655,EXTRATO!$A$2:$A$3000,0))="","",INDEX(EXTRATO!$F$2:$F$3000,MATCH($A2655,EXTRATO!$A$2:$A$3000,0))))</f>
        <v/>
      </c>
      <c r="I2655" s="88" t="str">
        <f>IF(A2655="","",IF(INDEX(EXTRATO!$H$2:$H$3000,MATCH($A2655,EXTRATO!$A$2:$A$3000,0))="","",INDEX(EXTRATO!$H$2:$H$3000,MATCH($A2655,EXTRATO!$A$2:$A$3000,0))))</f>
        <v/>
      </c>
      <c r="J2655" s="86" t="str">
        <f t="shared" si="69"/>
        <v/>
      </c>
      <c r="K2655" s="86" t="str">
        <f>IF(AND(A2655="",D2655="",E2655="",F2655=""),"",IF(D2655="","SEM CATEGORIA",IF(E2655="","SEM SUBCATEGORIA",IF(COUNTIFS(CADASTROS!$L$7:$L$93,D2655,CADASTROS!$D$7:$D$93,E2655)=0,"INCOMPATÍVEL","OK"))))</f>
        <v/>
      </c>
    </row>
    <row r="2656" spans="1:11" ht="30" hidden="1" customHeight="1" x14ac:dyDescent="0.25">
      <c r="A2656" s="86" t="str">
        <f>IF(COUNTIF(EXTRATO!$A$2:$A$3000,"BAN-02513")=0,"","BAN-02513")</f>
        <v/>
      </c>
      <c r="B2656" s="85" t="str">
        <f>IF(A2656="","",IF(INDEX(EXTRATO!$C$2:$C$3000,MATCH($A2656,EXTRATO!$A$2:$A$3000,0))="","",INDEX(EXTRATO!$C$2:$C$3000,MATCH($A2656,EXTRATO!$A$2:$A$3000,0))))</f>
        <v/>
      </c>
      <c r="C2656" s="86" t="str">
        <f t="shared" si="70"/>
        <v/>
      </c>
      <c r="D2656" s="81"/>
      <c r="E2656" s="79"/>
      <c r="F2656" s="80" t="str">
        <f>IF(A2656="","",SUMIF(EXTRATO!$A$2:$A$3000,$A2656,EXTRATO!$J$2:$J$3000)+SUMIF(EXTRATO!$A$2:$A$3000,$A2656,EXTRATO!$K$2:$K$3000)+SUMIF(EXTRATO!$A$2:$A$3000,$A2656,EXTRATO!$L$2:$L$3000)+SUMIF(EXTRATO!$A$2:$A$3000,$A2656,EXTRATO!$M$2:$M$3000))</f>
        <v/>
      </c>
      <c r="G2656" s="81" t="str">
        <f>IF(A2656="","",IF(INDEX(EXTRATO!$G$2:$G$3000,MATCH($A2656,EXTRATO!$A$2:$A$3000,0))="","",INDEX(EXTRATO!$G$2:$G$3000,MATCH($A2656,EXTRATO!$A$2:$A$3000,0))))</f>
        <v/>
      </c>
      <c r="H2656" s="86" t="str">
        <f>IF(A2656="","",IF(INDEX(EXTRATO!$F$2:$F$3000,MATCH($A2656,EXTRATO!$A$2:$A$3000,0))="","",INDEX(EXTRATO!$F$2:$F$3000,MATCH($A2656,EXTRATO!$A$2:$A$3000,0))))</f>
        <v/>
      </c>
      <c r="I2656" s="88" t="str">
        <f>IF(A2656="","",IF(INDEX(EXTRATO!$H$2:$H$3000,MATCH($A2656,EXTRATO!$A$2:$A$3000,0))="","",INDEX(EXTRATO!$H$2:$H$3000,MATCH($A2656,EXTRATO!$A$2:$A$3000,0))))</f>
        <v/>
      </c>
      <c r="J2656" s="86" t="str">
        <f t="shared" si="69"/>
        <v/>
      </c>
      <c r="K2656" s="86" t="str">
        <f>IF(AND(A2656="",D2656="",E2656="",F2656=""),"",IF(D2656="","SEM CATEGORIA",IF(E2656="","SEM SUBCATEGORIA",IF(COUNTIFS(CADASTROS!$L$7:$L$93,D2656,CADASTROS!$D$7:$D$93,E2656)=0,"INCOMPATÍVEL","OK"))))</f>
        <v/>
      </c>
    </row>
    <row r="2657" spans="1:11" ht="30" hidden="1" customHeight="1" x14ac:dyDescent="0.25">
      <c r="A2657" s="86" t="str">
        <f>IF(COUNTIF(EXTRATO!$A$2:$A$3000,"BAN-02514")=0,"","BAN-02514")</f>
        <v/>
      </c>
      <c r="B2657" s="85" t="str">
        <f>IF(A2657="","",IF(INDEX(EXTRATO!$C$2:$C$3000,MATCH($A2657,EXTRATO!$A$2:$A$3000,0))="","",INDEX(EXTRATO!$C$2:$C$3000,MATCH($A2657,EXTRATO!$A$2:$A$3000,0))))</f>
        <v/>
      </c>
      <c r="C2657" s="86" t="str">
        <f t="shared" si="70"/>
        <v/>
      </c>
      <c r="D2657" s="81"/>
      <c r="E2657" s="79"/>
      <c r="F2657" s="80" t="str">
        <f>IF(A2657="","",SUMIF(EXTRATO!$A$2:$A$3000,$A2657,EXTRATO!$J$2:$J$3000)+SUMIF(EXTRATO!$A$2:$A$3000,$A2657,EXTRATO!$K$2:$K$3000)+SUMIF(EXTRATO!$A$2:$A$3000,$A2657,EXTRATO!$L$2:$L$3000)+SUMIF(EXTRATO!$A$2:$A$3000,$A2657,EXTRATO!$M$2:$M$3000))</f>
        <v/>
      </c>
      <c r="G2657" s="81" t="str">
        <f>IF(A2657="","",IF(INDEX(EXTRATO!$G$2:$G$3000,MATCH($A2657,EXTRATO!$A$2:$A$3000,0))="","",INDEX(EXTRATO!$G$2:$G$3000,MATCH($A2657,EXTRATO!$A$2:$A$3000,0))))</f>
        <v/>
      </c>
      <c r="H2657" s="86" t="str">
        <f>IF(A2657="","",IF(INDEX(EXTRATO!$F$2:$F$3000,MATCH($A2657,EXTRATO!$A$2:$A$3000,0))="","",INDEX(EXTRATO!$F$2:$F$3000,MATCH($A2657,EXTRATO!$A$2:$A$3000,0))))</f>
        <v/>
      </c>
      <c r="I2657" s="88" t="str">
        <f>IF(A2657="","",IF(INDEX(EXTRATO!$H$2:$H$3000,MATCH($A2657,EXTRATO!$A$2:$A$3000,0))="","",INDEX(EXTRATO!$H$2:$H$3000,MATCH($A2657,EXTRATO!$A$2:$A$3000,0))))</f>
        <v/>
      </c>
      <c r="J2657" s="86" t="str">
        <f t="shared" si="69"/>
        <v/>
      </c>
      <c r="K2657" s="86" t="str">
        <f>IF(AND(A2657="",D2657="",E2657="",F2657=""),"",IF(D2657="","SEM CATEGORIA",IF(E2657="","SEM SUBCATEGORIA",IF(COUNTIFS(CADASTROS!$L$7:$L$93,D2657,CADASTROS!$D$7:$D$93,E2657)=0,"INCOMPATÍVEL","OK"))))</f>
        <v/>
      </c>
    </row>
    <row r="2658" spans="1:11" ht="30" hidden="1" customHeight="1" x14ac:dyDescent="0.25">
      <c r="A2658" s="86" t="str">
        <f>IF(COUNTIF(EXTRATO!$A$2:$A$3000,"BAN-02515")=0,"","BAN-02515")</f>
        <v/>
      </c>
      <c r="B2658" s="85" t="str">
        <f>IF(A2658="","",IF(INDEX(EXTRATO!$C$2:$C$3000,MATCH($A2658,EXTRATO!$A$2:$A$3000,0))="","",INDEX(EXTRATO!$C$2:$C$3000,MATCH($A2658,EXTRATO!$A$2:$A$3000,0))))</f>
        <v/>
      </c>
      <c r="C2658" s="86" t="str">
        <f t="shared" si="70"/>
        <v/>
      </c>
      <c r="D2658" s="81"/>
      <c r="E2658" s="79"/>
      <c r="F2658" s="80" t="str">
        <f>IF(A2658="","",SUMIF(EXTRATO!$A$2:$A$3000,$A2658,EXTRATO!$J$2:$J$3000)+SUMIF(EXTRATO!$A$2:$A$3000,$A2658,EXTRATO!$K$2:$K$3000)+SUMIF(EXTRATO!$A$2:$A$3000,$A2658,EXTRATO!$L$2:$L$3000)+SUMIF(EXTRATO!$A$2:$A$3000,$A2658,EXTRATO!$M$2:$M$3000))</f>
        <v/>
      </c>
      <c r="G2658" s="81" t="str">
        <f>IF(A2658="","",IF(INDEX(EXTRATO!$G$2:$G$3000,MATCH($A2658,EXTRATO!$A$2:$A$3000,0))="","",INDEX(EXTRATO!$G$2:$G$3000,MATCH($A2658,EXTRATO!$A$2:$A$3000,0))))</f>
        <v/>
      </c>
      <c r="H2658" s="86" t="str">
        <f>IF(A2658="","",IF(INDEX(EXTRATO!$F$2:$F$3000,MATCH($A2658,EXTRATO!$A$2:$A$3000,0))="","",INDEX(EXTRATO!$F$2:$F$3000,MATCH($A2658,EXTRATO!$A$2:$A$3000,0))))</f>
        <v/>
      </c>
      <c r="I2658" s="88" t="str">
        <f>IF(A2658="","",IF(INDEX(EXTRATO!$H$2:$H$3000,MATCH($A2658,EXTRATO!$A$2:$A$3000,0))="","",INDEX(EXTRATO!$H$2:$H$3000,MATCH($A2658,EXTRATO!$A$2:$A$3000,0))))</f>
        <v/>
      </c>
      <c r="J2658" s="86" t="str">
        <f t="shared" si="69"/>
        <v/>
      </c>
      <c r="K2658" s="86" t="str">
        <f>IF(AND(A2658="",D2658="",E2658="",F2658=""),"",IF(D2658="","SEM CATEGORIA",IF(E2658="","SEM SUBCATEGORIA",IF(COUNTIFS(CADASTROS!$L$7:$L$93,D2658,CADASTROS!$D$7:$D$93,E2658)=0,"INCOMPATÍVEL","OK"))))</f>
        <v/>
      </c>
    </row>
    <row r="2659" spans="1:11" ht="30" hidden="1" customHeight="1" x14ac:dyDescent="0.25">
      <c r="A2659" s="86" t="str">
        <f>IF(COUNTIF(EXTRATO!$A$2:$A$3000,"BAN-02516")=0,"","BAN-02516")</f>
        <v/>
      </c>
      <c r="B2659" s="85" t="str">
        <f>IF(A2659="","",IF(INDEX(EXTRATO!$C$2:$C$3000,MATCH($A2659,EXTRATO!$A$2:$A$3000,0))="","",INDEX(EXTRATO!$C$2:$C$3000,MATCH($A2659,EXTRATO!$A$2:$A$3000,0))))</f>
        <v/>
      </c>
      <c r="C2659" s="86" t="str">
        <f t="shared" si="70"/>
        <v/>
      </c>
      <c r="D2659" s="81"/>
      <c r="E2659" s="79"/>
      <c r="F2659" s="80" t="str">
        <f>IF(A2659="","",SUMIF(EXTRATO!$A$2:$A$3000,$A2659,EXTRATO!$J$2:$J$3000)+SUMIF(EXTRATO!$A$2:$A$3000,$A2659,EXTRATO!$K$2:$K$3000)+SUMIF(EXTRATO!$A$2:$A$3000,$A2659,EXTRATO!$L$2:$L$3000)+SUMIF(EXTRATO!$A$2:$A$3000,$A2659,EXTRATO!$M$2:$M$3000))</f>
        <v/>
      </c>
      <c r="G2659" s="81" t="str">
        <f>IF(A2659="","",IF(INDEX(EXTRATO!$G$2:$G$3000,MATCH($A2659,EXTRATO!$A$2:$A$3000,0))="","",INDEX(EXTRATO!$G$2:$G$3000,MATCH($A2659,EXTRATO!$A$2:$A$3000,0))))</f>
        <v/>
      </c>
      <c r="H2659" s="86" t="str">
        <f>IF(A2659="","",IF(INDEX(EXTRATO!$F$2:$F$3000,MATCH($A2659,EXTRATO!$A$2:$A$3000,0))="","",INDEX(EXTRATO!$F$2:$F$3000,MATCH($A2659,EXTRATO!$A$2:$A$3000,0))))</f>
        <v/>
      </c>
      <c r="I2659" s="88" t="str">
        <f>IF(A2659="","",IF(INDEX(EXTRATO!$H$2:$H$3000,MATCH($A2659,EXTRATO!$A$2:$A$3000,0))="","",INDEX(EXTRATO!$H$2:$H$3000,MATCH($A2659,EXTRATO!$A$2:$A$3000,0))))</f>
        <v/>
      </c>
      <c r="J2659" s="86" t="str">
        <f t="shared" si="69"/>
        <v/>
      </c>
      <c r="K2659" s="86" t="str">
        <f>IF(AND(A2659="",D2659="",E2659="",F2659=""),"",IF(D2659="","SEM CATEGORIA",IF(E2659="","SEM SUBCATEGORIA",IF(COUNTIFS(CADASTROS!$L$7:$L$93,D2659,CADASTROS!$D$7:$D$93,E2659)=0,"INCOMPATÍVEL","OK"))))</f>
        <v/>
      </c>
    </row>
    <row r="2660" spans="1:11" ht="30" hidden="1" customHeight="1" x14ac:dyDescent="0.25">
      <c r="A2660" s="86" t="str">
        <f>IF(COUNTIF(EXTRATO!$A$2:$A$3000,"BAN-02517")=0,"","BAN-02517")</f>
        <v/>
      </c>
      <c r="B2660" s="85" t="str">
        <f>IF(A2660="","",IF(INDEX(EXTRATO!$C$2:$C$3000,MATCH($A2660,EXTRATO!$A$2:$A$3000,0))="","",INDEX(EXTRATO!$C$2:$C$3000,MATCH($A2660,EXTRATO!$A$2:$A$3000,0))))</f>
        <v/>
      </c>
      <c r="C2660" s="86" t="str">
        <f t="shared" si="70"/>
        <v/>
      </c>
      <c r="D2660" s="81"/>
      <c r="E2660" s="79"/>
      <c r="F2660" s="80" t="str">
        <f>IF(A2660="","",SUMIF(EXTRATO!$A$2:$A$3000,$A2660,EXTRATO!$J$2:$J$3000)+SUMIF(EXTRATO!$A$2:$A$3000,$A2660,EXTRATO!$K$2:$K$3000)+SUMIF(EXTRATO!$A$2:$A$3000,$A2660,EXTRATO!$L$2:$L$3000)+SUMIF(EXTRATO!$A$2:$A$3000,$A2660,EXTRATO!$M$2:$M$3000))</f>
        <v/>
      </c>
      <c r="G2660" s="81" t="str">
        <f>IF(A2660="","",IF(INDEX(EXTRATO!$G$2:$G$3000,MATCH($A2660,EXTRATO!$A$2:$A$3000,0))="","",INDEX(EXTRATO!$G$2:$G$3000,MATCH($A2660,EXTRATO!$A$2:$A$3000,0))))</f>
        <v/>
      </c>
      <c r="H2660" s="86" t="str">
        <f>IF(A2660="","",IF(INDEX(EXTRATO!$F$2:$F$3000,MATCH($A2660,EXTRATO!$A$2:$A$3000,0))="","",INDEX(EXTRATO!$F$2:$F$3000,MATCH($A2660,EXTRATO!$A$2:$A$3000,0))))</f>
        <v/>
      </c>
      <c r="I2660" s="88" t="str">
        <f>IF(A2660="","",IF(INDEX(EXTRATO!$H$2:$H$3000,MATCH($A2660,EXTRATO!$A$2:$A$3000,0))="","",INDEX(EXTRATO!$H$2:$H$3000,MATCH($A2660,EXTRATO!$A$2:$A$3000,0))))</f>
        <v/>
      </c>
      <c r="J2660" s="86" t="str">
        <f t="shared" si="69"/>
        <v/>
      </c>
      <c r="K2660" s="86" t="str">
        <f>IF(AND(A2660="",D2660="",E2660="",F2660=""),"",IF(D2660="","SEM CATEGORIA",IF(E2660="","SEM SUBCATEGORIA",IF(COUNTIFS(CADASTROS!$L$7:$L$93,D2660,CADASTROS!$D$7:$D$93,E2660)=0,"INCOMPATÍVEL","OK"))))</f>
        <v/>
      </c>
    </row>
    <row r="2661" spans="1:11" ht="30" hidden="1" customHeight="1" x14ac:dyDescent="0.25">
      <c r="A2661" s="86" t="str">
        <f>IF(COUNTIF(EXTRATO!$A$2:$A$3000,"BAN-02518")=0,"","BAN-02518")</f>
        <v/>
      </c>
      <c r="B2661" s="85" t="str">
        <f>IF(A2661="","",IF(INDEX(EXTRATO!$C$2:$C$3000,MATCH($A2661,EXTRATO!$A$2:$A$3000,0))="","",INDEX(EXTRATO!$C$2:$C$3000,MATCH($A2661,EXTRATO!$A$2:$A$3000,0))))</f>
        <v/>
      </c>
      <c r="C2661" s="86" t="str">
        <f t="shared" si="70"/>
        <v/>
      </c>
      <c r="D2661" s="81"/>
      <c r="E2661" s="79"/>
      <c r="F2661" s="80" t="str">
        <f>IF(A2661="","",SUMIF(EXTRATO!$A$2:$A$3000,$A2661,EXTRATO!$J$2:$J$3000)+SUMIF(EXTRATO!$A$2:$A$3000,$A2661,EXTRATO!$K$2:$K$3000)+SUMIF(EXTRATO!$A$2:$A$3000,$A2661,EXTRATO!$L$2:$L$3000)+SUMIF(EXTRATO!$A$2:$A$3000,$A2661,EXTRATO!$M$2:$M$3000))</f>
        <v/>
      </c>
      <c r="G2661" s="81" t="str">
        <f>IF(A2661="","",IF(INDEX(EXTRATO!$G$2:$G$3000,MATCH($A2661,EXTRATO!$A$2:$A$3000,0))="","",INDEX(EXTRATO!$G$2:$G$3000,MATCH($A2661,EXTRATO!$A$2:$A$3000,0))))</f>
        <v/>
      </c>
      <c r="H2661" s="86" t="str">
        <f>IF(A2661="","",IF(INDEX(EXTRATO!$F$2:$F$3000,MATCH($A2661,EXTRATO!$A$2:$A$3000,0))="","",INDEX(EXTRATO!$F$2:$F$3000,MATCH($A2661,EXTRATO!$A$2:$A$3000,0))))</f>
        <v/>
      </c>
      <c r="I2661" s="88" t="str">
        <f>IF(A2661="","",IF(INDEX(EXTRATO!$H$2:$H$3000,MATCH($A2661,EXTRATO!$A$2:$A$3000,0))="","",INDEX(EXTRATO!$H$2:$H$3000,MATCH($A2661,EXTRATO!$A$2:$A$3000,0))))</f>
        <v/>
      </c>
      <c r="J2661" s="86" t="str">
        <f t="shared" si="69"/>
        <v/>
      </c>
      <c r="K2661" s="86" t="str">
        <f>IF(AND(A2661="",D2661="",E2661="",F2661=""),"",IF(D2661="","SEM CATEGORIA",IF(E2661="","SEM SUBCATEGORIA",IF(COUNTIFS(CADASTROS!$L$7:$L$93,D2661,CADASTROS!$D$7:$D$93,E2661)=0,"INCOMPATÍVEL","OK"))))</f>
        <v/>
      </c>
    </row>
    <row r="2662" spans="1:11" ht="30" hidden="1" customHeight="1" x14ac:dyDescent="0.25">
      <c r="A2662" s="86" t="str">
        <f>IF(COUNTIF(EXTRATO!$A$2:$A$3000,"BAN-02519")=0,"","BAN-02519")</f>
        <v/>
      </c>
      <c r="B2662" s="85" t="str">
        <f>IF(A2662="","",IF(INDEX(EXTRATO!$C$2:$C$3000,MATCH($A2662,EXTRATO!$A$2:$A$3000,0))="","",INDEX(EXTRATO!$C$2:$C$3000,MATCH($A2662,EXTRATO!$A$2:$A$3000,0))))</f>
        <v/>
      </c>
      <c r="C2662" s="86" t="str">
        <f t="shared" si="70"/>
        <v/>
      </c>
      <c r="D2662" s="81"/>
      <c r="E2662" s="79"/>
      <c r="F2662" s="80" t="str">
        <f>IF(A2662="","",SUMIF(EXTRATO!$A$2:$A$3000,$A2662,EXTRATO!$J$2:$J$3000)+SUMIF(EXTRATO!$A$2:$A$3000,$A2662,EXTRATO!$K$2:$K$3000)+SUMIF(EXTRATO!$A$2:$A$3000,$A2662,EXTRATO!$L$2:$L$3000)+SUMIF(EXTRATO!$A$2:$A$3000,$A2662,EXTRATO!$M$2:$M$3000))</f>
        <v/>
      </c>
      <c r="G2662" s="81" t="str">
        <f>IF(A2662="","",IF(INDEX(EXTRATO!$G$2:$G$3000,MATCH($A2662,EXTRATO!$A$2:$A$3000,0))="","",INDEX(EXTRATO!$G$2:$G$3000,MATCH($A2662,EXTRATO!$A$2:$A$3000,0))))</f>
        <v/>
      </c>
      <c r="H2662" s="86" t="str">
        <f>IF(A2662="","",IF(INDEX(EXTRATO!$F$2:$F$3000,MATCH($A2662,EXTRATO!$A$2:$A$3000,0))="","",INDEX(EXTRATO!$F$2:$F$3000,MATCH($A2662,EXTRATO!$A$2:$A$3000,0))))</f>
        <v/>
      </c>
      <c r="I2662" s="88" t="str">
        <f>IF(A2662="","",IF(INDEX(EXTRATO!$H$2:$H$3000,MATCH($A2662,EXTRATO!$A$2:$A$3000,0))="","",INDEX(EXTRATO!$H$2:$H$3000,MATCH($A2662,EXTRATO!$A$2:$A$3000,0))))</f>
        <v/>
      </c>
      <c r="J2662" s="86" t="str">
        <f t="shared" si="69"/>
        <v/>
      </c>
      <c r="K2662" s="86" t="str">
        <f>IF(AND(A2662="",D2662="",E2662="",F2662=""),"",IF(D2662="","SEM CATEGORIA",IF(E2662="","SEM SUBCATEGORIA",IF(COUNTIFS(CADASTROS!$L$7:$L$93,D2662,CADASTROS!$D$7:$D$93,E2662)=0,"INCOMPATÍVEL","OK"))))</f>
        <v/>
      </c>
    </row>
    <row r="2663" spans="1:11" ht="30" hidden="1" customHeight="1" x14ac:dyDescent="0.25">
      <c r="A2663" s="86" t="str">
        <f>IF(COUNTIF(EXTRATO!$A$2:$A$3000,"BAN-02520")=0,"","BAN-02520")</f>
        <v/>
      </c>
      <c r="B2663" s="85" t="str">
        <f>IF(A2663="","",IF(INDEX(EXTRATO!$C$2:$C$3000,MATCH($A2663,EXTRATO!$A$2:$A$3000,0))="","",INDEX(EXTRATO!$C$2:$C$3000,MATCH($A2663,EXTRATO!$A$2:$A$3000,0))))</f>
        <v/>
      </c>
      <c r="C2663" s="86" t="str">
        <f t="shared" si="70"/>
        <v/>
      </c>
      <c r="D2663" s="81"/>
      <c r="E2663" s="79"/>
      <c r="F2663" s="80" t="str">
        <f>IF(A2663="","",SUMIF(EXTRATO!$A$2:$A$3000,$A2663,EXTRATO!$J$2:$J$3000)+SUMIF(EXTRATO!$A$2:$A$3000,$A2663,EXTRATO!$K$2:$K$3000)+SUMIF(EXTRATO!$A$2:$A$3000,$A2663,EXTRATO!$L$2:$L$3000)+SUMIF(EXTRATO!$A$2:$A$3000,$A2663,EXTRATO!$M$2:$M$3000))</f>
        <v/>
      </c>
      <c r="G2663" s="81" t="str">
        <f>IF(A2663="","",IF(INDEX(EXTRATO!$G$2:$G$3000,MATCH($A2663,EXTRATO!$A$2:$A$3000,0))="","",INDEX(EXTRATO!$G$2:$G$3000,MATCH($A2663,EXTRATO!$A$2:$A$3000,0))))</f>
        <v/>
      </c>
      <c r="H2663" s="86" t="str">
        <f>IF(A2663="","",IF(INDEX(EXTRATO!$F$2:$F$3000,MATCH($A2663,EXTRATO!$A$2:$A$3000,0))="","",INDEX(EXTRATO!$F$2:$F$3000,MATCH($A2663,EXTRATO!$A$2:$A$3000,0))))</f>
        <v/>
      </c>
      <c r="I2663" s="88" t="str">
        <f>IF(A2663="","",IF(INDEX(EXTRATO!$H$2:$H$3000,MATCH($A2663,EXTRATO!$A$2:$A$3000,0))="","",INDEX(EXTRATO!$H$2:$H$3000,MATCH($A2663,EXTRATO!$A$2:$A$3000,0))))</f>
        <v/>
      </c>
      <c r="J2663" s="86" t="str">
        <f t="shared" si="69"/>
        <v/>
      </c>
      <c r="K2663" s="86" t="str">
        <f>IF(AND(A2663="",D2663="",E2663="",F2663=""),"",IF(D2663="","SEM CATEGORIA",IF(E2663="","SEM SUBCATEGORIA",IF(COUNTIFS(CADASTROS!$L$7:$L$93,D2663,CADASTROS!$D$7:$D$93,E2663)=0,"INCOMPATÍVEL","OK"))))</f>
        <v/>
      </c>
    </row>
    <row r="2664" spans="1:11" ht="30" hidden="1" customHeight="1" x14ac:dyDescent="0.25">
      <c r="A2664" s="86" t="str">
        <f>IF(COUNTIF(EXTRATO!$A$2:$A$3000,"BAN-02521")=0,"","BAN-02521")</f>
        <v/>
      </c>
      <c r="B2664" s="85" t="str">
        <f>IF(A2664="","",IF(INDEX(EXTRATO!$C$2:$C$3000,MATCH($A2664,EXTRATO!$A$2:$A$3000,0))="","",INDEX(EXTRATO!$C$2:$C$3000,MATCH($A2664,EXTRATO!$A$2:$A$3000,0))))</f>
        <v/>
      </c>
      <c r="C2664" s="86" t="str">
        <f t="shared" si="70"/>
        <v/>
      </c>
      <c r="D2664" s="81"/>
      <c r="E2664" s="79"/>
      <c r="F2664" s="80" t="str">
        <f>IF(A2664="","",SUMIF(EXTRATO!$A$2:$A$3000,$A2664,EXTRATO!$J$2:$J$3000)+SUMIF(EXTRATO!$A$2:$A$3000,$A2664,EXTRATO!$K$2:$K$3000)+SUMIF(EXTRATO!$A$2:$A$3000,$A2664,EXTRATO!$L$2:$L$3000)+SUMIF(EXTRATO!$A$2:$A$3000,$A2664,EXTRATO!$M$2:$M$3000))</f>
        <v/>
      </c>
      <c r="G2664" s="81" t="str">
        <f>IF(A2664="","",IF(INDEX(EXTRATO!$G$2:$G$3000,MATCH($A2664,EXTRATO!$A$2:$A$3000,0))="","",INDEX(EXTRATO!$G$2:$G$3000,MATCH($A2664,EXTRATO!$A$2:$A$3000,0))))</f>
        <v/>
      </c>
      <c r="H2664" s="86" t="str">
        <f>IF(A2664="","",IF(INDEX(EXTRATO!$F$2:$F$3000,MATCH($A2664,EXTRATO!$A$2:$A$3000,0))="","",INDEX(EXTRATO!$F$2:$F$3000,MATCH($A2664,EXTRATO!$A$2:$A$3000,0))))</f>
        <v/>
      </c>
      <c r="I2664" s="88" t="str">
        <f>IF(A2664="","",IF(INDEX(EXTRATO!$H$2:$H$3000,MATCH($A2664,EXTRATO!$A$2:$A$3000,0))="","",INDEX(EXTRATO!$H$2:$H$3000,MATCH($A2664,EXTRATO!$A$2:$A$3000,0))))</f>
        <v/>
      </c>
      <c r="J2664" s="86" t="str">
        <f t="shared" si="69"/>
        <v/>
      </c>
      <c r="K2664" s="86" t="str">
        <f>IF(AND(A2664="",D2664="",E2664="",F2664=""),"",IF(D2664="","SEM CATEGORIA",IF(E2664="","SEM SUBCATEGORIA",IF(COUNTIFS(CADASTROS!$L$7:$L$93,D2664,CADASTROS!$D$7:$D$93,E2664)=0,"INCOMPATÍVEL","OK"))))</f>
        <v/>
      </c>
    </row>
    <row r="2665" spans="1:11" ht="30" hidden="1" customHeight="1" x14ac:dyDescent="0.25">
      <c r="A2665" s="86" t="str">
        <f>IF(COUNTIF(EXTRATO!$A$2:$A$3000,"BAN-02522")=0,"","BAN-02522")</f>
        <v/>
      </c>
      <c r="B2665" s="85" t="str">
        <f>IF(A2665="","",IF(INDEX(EXTRATO!$C$2:$C$3000,MATCH($A2665,EXTRATO!$A$2:$A$3000,0))="","",INDEX(EXTRATO!$C$2:$C$3000,MATCH($A2665,EXTRATO!$A$2:$A$3000,0))))</f>
        <v/>
      </c>
      <c r="C2665" s="86" t="str">
        <f t="shared" si="70"/>
        <v/>
      </c>
      <c r="D2665" s="81"/>
      <c r="E2665" s="79"/>
      <c r="F2665" s="80" t="str">
        <f>IF(A2665="","",SUMIF(EXTRATO!$A$2:$A$3000,$A2665,EXTRATO!$J$2:$J$3000)+SUMIF(EXTRATO!$A$2:$A$3000,$A2665,EXTRATO!$K$2:$K$3000)+SUMIF(EXTRATO!$A$2:$A$3000,$A2665,EXTRATO!$L$2:$L$3000)+SUMIF(EXTRATO!$A$2:$A$3000,$A2665,EXTRATO!$M$2:$M$3000))</f>
        <v/>
      </c>
      <c r="G2665" s="81" t="str">
        <f>IF(A2665="","",IF(INDEX(EXTRATO!$G$2:$G$3000,MATCH($A2665,EXTRATO!$A$2:$A$3000,0))="","",INDEX(EXTRATO!$G$2:$G$3000,MATCH($A2665,EXTRATO!$A$2:$A$3000,0))))</f>
        <v/>
      </c>
      <c r="H2665" s="86" t="str">
        <f>IF(A2665="","",IF(INDEX(EXTRATO!$F$2:$F$3000,MATCH($A2665,EXTRATO!$A$2:$A$3000,0))="","",INDEX(EXTRATO!$F$2:$F$3000,MATCH($A2665,EXTRATO!$A$2:$A$3000,0))))</f>
        <v/>
      </c>
      <c r="I2665" s="88" t="str">
        <f>IF(A2665="","",IF(INDEX(EXTRATO!$H$2:$H$3000,MATCH($A2665,EXTRATO!$A$2:$A$3000,0))="","",INDEX(EXTRATO!$H$2:$H$3000,MATCH($A2665,EXTRATO!$A$2:$A$3000,0))))</f>
        <v/>
      </c>
      <c r="J2665" s="86" t="str">
        <f t="shared" si="69"/>
        <v/>
      </c>
      <c r="K2665" s="86" t="str">
        <f>IF(AND(A2665="",D2665="",E2665="",F2665=""),"",IF(D2665="","SEM CATEGORIA",IF(E2665="","SEM SUBCATEGORIA",IF(COUNTIFS(CADASTROS!$L$7:$L$93,D2665,CADASTROS!$D$7:$D$93,E2665)=0,"INCOMPATÍVEL","OK"))))</f>
        <v/>
      </c>
    </row>
    <row r="2666" spans="1:11" ht="30" hidden="1" customHeight="1" x14ac:dyDescent="0.25">
      <c r="A2666" s="86" t="str">
        <f>IF(COUNTIF(EXTRATO!$A$2:$A$3000,"BAN-02523")=0,"","BAN-02523")</f>
        <v/>
      </c>
      <c r="B2666" s="85" t="str">
        <f>IF(A2666="","",IF(INDEX(EXTRATO!$C$2:$C$3000,MATCH($A2666,EXTRATO!$A$2:$A$3000,0))="","",INDEX(EXTRATO!$C$2:$C$3000,MATCH($A2666,EXTRATO!$A$2:$A$3000,0))))</f>
        <v/>
      </c>
      <c r="C2666" s="86" t="str">
        <f t="shared" si="70"/>
        <v/>
      </c>
      <c r="D2666" s="81"/>
      <c r="E2666" s="79"/>
      <c r="F2666" s="80" t="str">
        <f>IF(A2666="","",SUMIF(EXTRATO!$A$2:$A$3000,$A2666,EXTRATO!$J$2:$J$3000)+SUMIF(EXTRATO!$A$2:$A$3000,$A2666,EXTRATO!$K$2:$K$3000)+SUMIF(EXTRATO!$A$2:$A$3000,$A2666,EXTRATO!$L$2:$L$3000)+SUMIF(EXTRATO!$A$2:$A$3000,$A2666,EXTRATO!$M$2:$M$3000))</f>
        <v/>
      </c>
      <c r="G2666" s="81" t="str">
        <f>IF(A2666="","",IF(INDEX(EXTRATO!$G$2:$G$3000,MATCH($A2666,EXTRATO!$A$2:$A$3000,0))="","",INDEX(EXTRATO!$G$2:$G$3000,MATCH($A2666,EXTRATO!$A$2:$A$3000,0))))</f>
        <v/>
      </c>
      <c r="H2666" s="86" t="str">
        <f>IF(A2666="","",IF(INDEX(EXTRATO!$F$2:$F$3000,MATCH($A2666,EXTRATO!$A$2:$A$3000,0))="","",INDEX(EXTRATO!$F$2:$F$3000,MATCH($A2666,EXTRATO!$A$2:$A$3000,0))))</f>
        <v/>
      </c>
      <c r="I2666" s="88" t="str">
        <f>IF(A2666="","",IF(INDEX(EXTRATO!$H$2:$H$3000,MATCH($A2666,EXTRATO!$A$2:$A$3000,0))="","",INDEX(EXTRATO!$H$2:$H$3000,MATCH($A2666,EXTRATO!$A$2:$A$3000,0))))</f>
        <v/>
      </c>
      <c r="J2666" s="86" t="str">
        <f t="shared" si="69"/>
        <v/>
      </c>
      <c r="K2666" s="86" t="str">
        <f>IF(AND(A2666="",D2666="",E2666="",F2666=""),"",IF(D2666="","SEM CATEGORIA",IF(E2666="","SEM SUBCATEGORIA",IF(COUNTIFS(CADASTROS!$L$7:$L$93,D2666,CADASTROS!$D$7:$D$93,E2666)=0,"INCOMPATÍVEL","OK"))))</f>
        <v/>
      </c>
    </row>
    <row r="2667" spans="1:11" ht="30" hidden="1" customHeight="1" x14ac:dyDescent="0.25">
      <c r="A2667" s="86" t="str">
        <f>IF(COUNTIF(EXTRATO!$A$2:$A$3000,"BAN-02524")=0,"","BAN-02524")</f>
        <v/>
      </c>
      <c r="B2667" s="85" t="str">
        <f>IF(A2667="","",IF(INDEX(EXTRATO!$C$2:$C$3000,MATCH($A2667,EXTRATO!$A$2:$A$3000,0))="","",INDEX(EXTRATO!$C$2:$C$3000,MATCH($A2667,EXTRATO!$A$2:$A$3000,0))))</f>
        <v/>
      </c>
      <c r="C2667" s="86" t="str">
        <f t="shared" si="70"/>
        <v/>
      </c>
      <c r="D2667" s="81"/>
      <c r="E2667" s="79"/>
      <c r="F2667" s="80" t="str">
        <f>IF(A2667="","",SUMIF(EXTRATO!$A$2:$A$3000,$A2667,EXTRATO!$J$2:$J$3000)+SUMIF(EXTRATO!$A$2:$A$3000,$A2667,EXTRATO!$K$2:$K$3000)+SUMIF(EXTRATO!$A$2:$A$3000,$A2667,EXTRATO!$L$2:$L$3000)+SUMIF(EXTRATO!$A$2:$A$3000,$A2667,EXTRATO!$M$2:$M$3000))</f>
        <v/>
      </c>
      <c r="G2667" s="81" t="str">
        <f>IF(A2667="","",IF(INDEX(EXTRATO!$G$2:$G$3000,MATCH($A2667,EXTRATO!$A$2:$A$3000,0))="","",INDEX(EXTRATO!$G$2:$G$3000,MATCH($A2667,EXTRATO!$A$2:$A$3000,0))))</f>
        <v/>
      </c>
      <c r="H2667" s="86" t="str">
        <f>IF(A2667="","",IF(INDEX(EXTRATO!$F$2:$F$3000,MATCH($A2667,EXTRATO!$A$2:$A$3000,0))="","",INDEX(EXTRATO!$F$2:$F$3000,MATCH($A2667,EXTRATO!$A$2:$A$3000,0))))</f>
        <v/>
      </c>
      <c r="I2667" s="88" t="str">
        <f>IF(A2667="","",IF(INDEX(EXTRATO!$H$2:$H$3000,MATCH($A2667,EXTRATO!$A$2:$A$3000,0))="","",INDEX(EXTRATO!$H$2:$H$3000,MATCH($A2667,EXTRATO!$A$2:$A$3000,0))))</f>
        <v/>
      </c>
      <c r="J2667" s="86" t="str">
        <f t="shared" si="69"/>
        <v/>
      </c>
      <c r="K2667" s="86" t="str">
        <f>IF(AND(A2667="",D2667="",E2667="",F2667=""),"",IF(D2667="","SEM CATEGORIA",IF(E2667="","SEM SUBCATEGORIA",IF(COUNTIFS(CADASTROS!$L$7:$L$93,D2667,CADASTROS!$D$7:$D$93,E2667)=0,"INCOMPATÍVEL","OK"))))</f>
        <v/>
      </c>
    </row>
    <row r="2668" spans="1:11" ht="30" hidden="1" customHeight="1" x14ac:dyDescent="0.25">
      <c r="A2668" s="86" t="str">
        <f>IF(COUNTIF(EXTRATO!$A$2:$A$3000,"BAN-02525")=0,"","BAN-02525")</f>
        <v/>
      </c>
      <c r="B2668" s="85" t="str">
        <f>IF(A2668="","",IF(INDEX(EXTRATO!$C$2:$C$3000,MATCH($A2668,EXTRATO!$A$2:$A$3000,0))="","",INDEX(EXTRATO!$C$2:$C$3000,MATCH($A2668,EXTRATO!$A$2:$A$3000,0))))</f>
        <v/>
      </c>
      <c r="C2668" s="86" t="str">
        <f t="shared" si="70"/>
        <v/>
      </c>
      <c r="D2668" s="81"/>
      <c r="E2668" s="79"/>
      <c r="F2668" s="80" t="str">
        <f>IF(A2668="","",SUMIF(EXTRATO!$A$2:$A$3000,$A2668,EXTRATO!$J$2:$J$3000)+SUMIF(EXTRATO!$A$2:$A$3000,$A2668,EXTRATO!$K$2:$K$3000)+SUMIF(EXTRATO!$A$2:$A$3000,$A2668,EXTRATO!$L$2:$L$3000)+SUMIF(EXTRATO!$A$2:$A$3000,$A2668,EXTRATO!$M$2:$M$3000))</f>
        <v/>
      </c>
      <c r="G2668" s="81" t="str">
        <f>IF(A2668="","",IF(INDEX(EXTRATO!$G$2:$G$3000,MATCH($A2668,EXTRATO!$A$2:$A$3000,0))="","",INDEX(EXTRATO!$G$2:$G$3000,MATCH($A2668,EXTRATO!$A$2:$A$3000,0))))</f>
        <v/>
      </c>
      <c r="H2668" s="86" t="str">
        <f>IF(A2668="","",IF(INDEX(EXTRATO!$F$2:$F$3000,MATCH($A2668,EXTRATO!$A$2:$A$3000,0))="","",INDEX(EXTRATO!$F$2:$F$3000,MATCH($A2668,EXTRATO!$A$2:$A$3000,0))))</f>
        <v/>
      </c>
      <c r="I2668" s="88" t="str">
        <f>IF(A2668="","",IF(INDEX(EXTRATO!$H$2:$H$3000,MATCH($A2668,EXTRATO!$A$2:$A$3000,0))="","",INDEX(EXTRATO!$H$2:$H$3000,MATCH($A2668,EXTRATO!$A$2:$A$3000,0))))</f>
        <v/>
      </c>
      <c r="J2668" s="86" t="str">
        <f t="shared" ref="J2668:J2731" si="71">IF(A2668="","",IF(K2668="OK","MANUAL","PENDENTE"))</f>
        <v/>
      </c>
      <c r="K2668" s="86" t="str">
        <f>IF(AND(A2668="",D2668="",E2668="",F2668=""),"",IF(D2668="","SEM CATEGORIA",IF(E2668="","SEM SUBCATEGORIA",IF(COUNTIFS(CADASTROS!$L$7:$L$93,D2668,CADASTROS!$D$7:$D$93,E2668)=0,"INCOMPATÍVEL","OK"))))</f>
        <v/>
      </c>
    </row>
    <row r="2669" spans="1:11" ht="30" hidden="1" customHeight="1" x14ac:dyDescent="0.25">
      <c r="A2669" s="86" t="str">
        <f>IF(COUNTIF(EXTRATO!$A$2:$A$3000,"BAN-02526")=0,"","BAN-02526")</f>
        <v/>
      </c>
      <c r="B2669" s="85" t="str">
        <f>IF(A2669="","",IF(INDEX(EXTRATO!$C$2:$C$3000,MATCH($A2669,EXTRATO!$A$2:$A$3000,0))="","",INDEX(EXTRATO!$C$2:$C$3000,MATCH($A2669,EXTRATO!$A$2:$A$3000,0))))</f>
        <v/>
      </c>
      <c r="C2669" s="86" t="str">
        <f t="shared" si="70"/>
        <v/>
      </c>
      <c r="D2669" s="81"/>
      <c r="E2669" s="79"/>
      <c r="F2669" s="80" t="str">
        <f>IF(A2669="","",SUMIF(EXTRATO!$A$2:$A$3000,$A2669,EXTRATO!$J$2:$J$3000)+SUMIF(EXTRATO!$A$2:$A$3000,$A2669,EXTRATO!$K$2:$K$3000)+SUMIF(EXTRATO!$A$2:$A$3000,$A2669,EXTRATO!$L$2:$L$3000)+SUMIF(EXTRATO!$A$2:$A$3000,$A2669,EXTRATO!$M$2:$M$3000))</f>
        <v/>
      </c>
      <c r="G2669" s="81" t="str">
        <f>IF(A2669="","",IF(INDEX(EXTRATO!$G$2:$G$3000,MATCH($A2669,EXTRATO!$A$2:$A$3000,0))="","",INDEX(EXTRATO!$G$2:$G$3000,MATCH($A2669,EXTRATO!$A$2:$A$3000,0))))</f>
        <v/>
      </c>
      <c r="H2669" s="86" t="str">
        <f>IF(A2669="","",IF(INDEX(EXTRATO!$F$2:$F$3000,MATCH($A2669,EXTRATO!$A$2:$A$3000,0))="","",INDEX(EXTRATO!$F$2:$F$3000,MATCH($A2669,EXTRATO!$A$2:$A$3000,0))))</f>
        <v/>
      </c>
      <c r="I2669" s="88" t="str">
        <f>IF(A2669="","",IF(INDEX(EXTRATO!$H$2:$H$3000,MATCH($A2669,EXTRATO!$A$2:$A$3000,0))="","",INDEX(EXTRATO!$H$2:$H$3000,MATCH($A2669,EXTRATO!$A$2:$A$3000,0))))</f>
        <v/>
      </c>
      <c r="J2669" s="86" t="str">
        <f t="shared" si="71"/>
        <v/>
      </c>
      <c r="K2669" s="86" t="str">
        <f>IF(AND(A2669="",D2669="",E2669="",F2669=""),"",IF(D2669="","SEM CATEGORIA",IF(E2669="","SEM SUBCATEGORIA",IF(COUNTIFS(CADASTROS!$L$7:$L$93,D2669,CADASTROS!$D$7:$D$93,E2669)=0,"INCOMPATÍVEL","OK"))))</f>
        <v/>
      </c>
    </row>
    <row r="2670" spans="1:11" ht="30" hidden="1" customHeight="1" x14ac:dyDescent="0.25">
      <c r="A2670" s="86" t="str">
        <f>IF(COUNTIF(EXTRATO!$A$2:$A$3000,"BAN-02527")=0,"","BAN-02527")</f>
        <v/>
      </c>
      <c r="B2670" s="85" t="str">
        <f>IF(A2670="","",IF(INDEX(EXTRATO!$C$2:$C$3000,MATCH($A2670,EXTRATO!$A$2:$A$3000,0))="","",INDEX(EXTRATO!$C$2:$C$3000,MATCH($A2670,EXTRATO!$A$2:$A$3000,0))))</f>
        <v/>
      </c>
      <c r="C2670" s="86" t="str">
        <f t="shared" si="70"/>
        <v/>
      </c>
      <c r="D2670" s="81"/>
      <c r="E2670" s="79"/>
      <c r="F2670" s="80" t="str">
        <f>IF(A2670="","",SUMIF(EXTRATO!$A$2:$A$3000,$A2670,EXTRATO!$J$2:$J$3000)+SUMIF(EXTRATO!$A$2:$A$3000,$A2670,EXTRATO!$K$2:$K$3000)+SUMIF(EXTRATO!$A$2:$A$3000,$A2670,EXTRATO!$L$2:$L$3000)+SUMIF(EXTRATO!$A$2:$A$3000,$A2670,EXTRATO!$M$2:$M$3000))</f>
        <v/>
      </c>
      <c r="G2670" s="81" t="str">
        <f>IF(A2670="","",IF(INDEX(EXTRATO!$G$2:$G$3000,MATCH($A2670,EXTRATO!$A$2:$A$3000,0))="","",INDEX(EXTRATO!$G$2:$G$3000,MATCH($A2670,EXTRATO!$A$2:$A$3000,0))))</f>
        <v/>
      </c>
      <c r="H2670" s="86" t="str">
        <f>IF(A2670="","",IF(INDEX(EXTRATO!$F$2:$F$3000,MATCH($A2670,EXTRATO!$A$2:$A$3000,0))="","",INDEX(EXTRATO!$F$2:$F$3000,MATCH($A2670,EXTRATO!$A$2:$A$3000,0))))</f>
        <v/>
      </c>
      <c r="I2670" s="88" t="str">
        <f>IF(A2670="","",IF(INDEX(EXTRATO!$H$2:$H$3000,MATCH($A2670,EXTRATO!$A$2:$A$3000,0))="","",INDEX(EXTRATO!$H$2:$H$3000,MATCH($A2670,EXTRATO!$A$2:$A$3000,0))))</f>
        <v/>
      </c>
      <c r="J2670" s="86" t="str">
        <f t="shared" si="71"/>
        <v/>
      </c>
      <c r="K2670" s="86" t="str">
        <f>IF(AND(A2670="",D2670="",E2670="",F2670=""),"",IF(D2670="","SEM CATEGORIA",IF(E2670="","SEM SUBCATEGORIA",IF(COUNTIFS(CADASTROS!$L$7:$L$93,D2670,CADASTROS!$D$7:$D$93,E2670)=0,"INCOMPATÍVEL","OK"))))</f>
        <v/>
      </c>
    </row>
    <row r="2671" spans="1:11" ht="30" hidden="1" customHeight="1" x14ac:dyDescent="0.25">
      <c r="A2671" s="86" t="str">
        <f>IF(COUNTIF(EXTRATO!$A$2:$A$3000,"BAN-02528")=0,"","BAN-02528")</f>
        <v/>
      </c>
      <c r="B2671" s="85" t="str">
        <f>IF(A2671="","",IF(INDEX(EXTRATO!$C$2:$C$3000,MATCH($A2671,EXTRATO!$A$2:$A$3000,0))="","",INDEX(EXTRATO!$C$2:$C$3000,MATCH($A2671,EXTRATO!$A$2:$A$3000,0))))</f>
        <v/>
      </c>
      <c r="C2671" s="86" t="str">
        <f t="shared" si="70"/>
        <v/>
      </c>
      <c r="D2671" s="81"/>
      <c r="E2671" s="79"/>
      <c r="F2671" s="80" t="str">
        <f>IF(A2671="","",SUMIF(EXTRATO!$A$2:$A$3000,$A2671,EXTRATO!$J$2:$J$3000)+SUMIF(EXTRATO!$A$2:$A$3000,$A2671,EXTRATO!$K$2:$K$3000)+SUMIF(EXTRATO!$A$2:$A$3000,$A2671,EXTRATO!$L$2:$L$3000)+SUMIF(EXTRATO!$A$2:$A$3000,$A2671,EXTRATO!$M$2:$M$3000))</f>
        <v/>
      </c>
      <c r="G2671" s="81" t="str">
        <f>IF(A2671="","",IF(INDEX(EXTRATO!$G$2:$G$3000,MATCH($A2671,EXTRATO!$A$2:$A$3000,0))="","",INDEX(EXTRATO!$G$2:$G$3000,MATCH($A2671,EXTRATO!$A$2:$A$3000,0))))</f>
        <v/>
      </c>
      <c r="H2671" s="86" t="str">
        <f>IF(A2671="","",IF(INDEX(EXTRATO!$F$2:$F$3000,MATCH($A2671,EXTRATO!$A$2:$A$3000,0))="","",INDEX(EXTRATO!$F$2:$F$3000,MATCH($A2671,EXTRATO!$A$2:$A$3000,0))))</f>
        <v/>
      </c>
      <c r="I2671" s="88" t="str">
        <f>IF(A2671="","",IF(INDEX(EXTRATO!$H$2:$H$3000,MATCH($A2671,EXTRATO!$A$2:$A$3000,0))="","",INDEX(EXTRATO!$H$2:$H$3000,MATCH($A2671,EXTRATO!$A$2:$A$3000,0))))</f>
        <v/>
      </c>
      <c r="J2671" s="86" t="str">
        <f t="shared" si="71"/>
        <v/>
      </c>
      <c r="K2671" s="86" t="str">
        <f>IF(AND(A2671="",D2671="",E2671="",F2671=""),"",IF(D2671="","SEM CATEGORIA",IF(E2671="","SEM SUBCATEGORIA",IF(COUNTIFS(CADASTROS!$L$7:$L$93,D2671,CADASTROS!$D$7:$D$93,E2671)=0,"INCOMPATÍVEL","OK"))))</f>
        <v/>
      </c>
    </row>
    <row r="2672" spans="1:11" ht="30" hidden="1" customHeight="1" x14ac:dyDescent="0.25">
      <c r="A2672" s="86" t="str">
        <f>IF(COUNTIF(EXTRATO!$A$2:$A$3000,"BAN-02529")=0,"","BAN-02529")</f>
        <v/>
      </c>
      <c r="B2672" s="85" t="str">
        <f>IF(A2672="","",IF(INDEX(EXTRATO!$C$2:$C$3000,MATCH($A2672,EXTRATO!$A$2:$A$3000,0))="","",INDEX(EXTRATO!$C$2:$C$3000,MATCH($A2672,EXTRATO!$A$2:$A$3000,0))))</f>
        <v/>
      </c>
      <c r="C2672" s="86" t="str">
        <f t="shared" si="70"/>
        <v/>
      </c>
      <c r="D2672" s="81"/>
      <c r="E2672" s="79"/>
      <c r="F2672" s="80" t="str">
        <f>IF(A2672="","",SUMIF(EXTRATO!$A$2:$A$3000,$A2672,EXTRATO!$J$2:$J$3000)+SUMIF(EXTRATO!$A$2:$A$3000,$A2672,EXTRATO!$K$2:$K$3000)+SUMIF(EXTRATO!$A$2:$A$3000,$A2672,EXTRATO!$L$2:$L$3000)+SUMIF(EXTRATO!$A$2:$A$3000,$A2672,EXTRATO!$M$2:$M$3000))</f>
        <v/>
      </c>
      <c r="G2672" s="81" t="str">
        <f>IF(A2672="","",IF(INDEX(EXTRATO!$G$2:$G$3000,MATCH($A2672,EXTRATO!$A$2:$A$3000,0))="","",INDEX(EXTRATO!$G$2:$G$3000,MATCH($A2672,EXTRATO!$A$2:$A$3000,0))))</f>
        <v/>
      </c>
      <c r="H2672" s="86" t="str">
        <f>IF(A2672="","",IF(INDEX(EXTRATO!$F$2:$F$3000,MATCH($A2672,EXTRATO!$A$2:$A$3000,0))="","",INDEX(EXTRATO!$F$2:$F$3000,MATCH($A2672,EXTRATO!$A$2:$A$3000,0))))</f>
        <v/>
      </c>
      <c r="I2672" s="88" t="str">
        <f>IF(A2672="","",IF(INDEX(EXTRATO!$H$2:$H$3000,MATCH($A2672,EXTRATO!$A$2:$A$3000,0))="","",INDEX(EXTRATO!$H$2:$H$3000,MATCH($A2672,EXTRATO!$A$2:$A$3000,0))))</f>
        <v/>
      </c>
      <c r="J2672" s="86" t="str">
        <f t="shared" si="71"/>
        <v/>
      </c>
      <c r="K2672" s="86" t="str">
        <f>IF(AND(A2672="",D2672="",E2672="",F2672=""),"",IF(D2672="","SEM CATEGORIA",IF(E2672="","SEM SUBCATEGORIA",IF(COUNTIFS(CADASTROS!$L$7:$L$93,D2672,CADASTROS!$D$7:$D$93,E2672)=0,"INCOMPATÍVEL","OK"))))</f>
        <v/>
      </c>
    </row>
    <row r="2673" spans="1:11" ht="30" hidden="1" customHeight="1" x14ac:dyDescent="0.25">
      <c r="A2673" s="86" t="str">
        <f>IF(COUNTIF(EXTRATO!$A$2:$A$3000,"BAN-02530")=0,"","BAN-02530")</f>
        <v/>
      </c>
      <c r="B2673" s="85" t="str">
        <f>IF(A2673="","",IF(INDEX(EXTRATO!$C$2:$C$3000,MATCH($A2673,EXTRATO!$A$2:$A$3000,0))="","",INDEX(EXTRATO!$C$2:$C$3000,MATCH($A2673,EXTRATO!$A$2:$A$3000,0))))</f>
        <v/>
      </c>
      <c r="C2673" s="86" t="str">
        <f t="shared" si="70"/>
        <v/>
      </c>
      <c r="D2673" s="81"/>
      <c r="E2673" s="79"/>
      <c r="F2673" s="80" t="str">
        <f>IF(A2673="","",SUMIF(EXTRATO!$A$2:$A$3000,$A2673,EXTRATO!$J$2:$J$3000)+SUMIF(EXTRATO!$A$2:$A$3000,$A2673,EXTRATO!$K$2:$K$3000)+SUMIF(EXTRATO!$A$2:$A$3000,$A2673,EXTRATO!$L$2:$L$3000)+SUMIF(EXTRATO!$A$2:$A$3000,$A2673,EXTRATO!$M$2:$M$3000))</f>
        <v/>
      </c>
      <c r="G2673" s="81" t="str">
        <f>IF(A2673="","",IF(INDEX(EXTRATO!$G$2:$G$3000,MATCH($A2673,EXTRATO!$A$2:$A$3000,0))="","",INDEX(EXTRATO!$G$2:$G$3000,MATCH($A2673,EXTRATO!$A$2:$A$3000,0))))</f>
        <v/>
      </c>
      <c r="H2673" s="86" t="str">
        <f>IF(A2673="","",IF(INDEX(EXTRATO!$F$2:$F$3000,MATCH($A2673,EXTRATO!$A$2:$A$3000,0))="","",INDEX(EXTRATO!$F$2:$F$3000,MATCH($A2673,EXTRATO!$A$2:$A$3000,0))))</f>
        <v/>
      </c>
      <c r="I2673" s="88" t="str">
        <f>IF(A2673="","",IF(INDEX(EXTRATO!$H$2:$H$3000,MATCH($A2673,EXTRATO!$A$2:$A$3000,0))="","",INDEX(EXTRATO!$H$2:$H$3000,MATCH($A2673,EXTRATO!$A$2:$A$3000,0))))</f>
        <v/>
      </c>
      <c r="J2673" s="86" t="str">
        <f t="shared" si="71"/>
        <v/>
      </c>
      <c r="K2673" s="86" t="str">
        <f>IF(AND(A2673="",D2673="",E2673="",F2673=""),"",IF(D2673="","SEM CATEGORIA",IF(E2673="","SEM SUBCATEGORIA",IF(COUNTIFS(CADASTROS!$L$7:$L$93,D2673,CADASTROS!$D$7:$D$93,E2673)=0,"INCOMPATÍVEL","OK"))))</f>
        <v/>
      </c>
    </row>
    <row r="2674" spans="1:11" ht="30" hidden="1" customHeight="1" x14ac:dyDescent="0.25">
      <c r="A2674" s="86" t="str">
        <f>IF(COUNTIF(EXTRATO!$A$2:$A$3000,"BAN-02531")=0,"","BAN-02531")</f>
        <v/>
      </c>
      <c r="B2674" s="85" t="str">
        <f>IF(A2674="","",IF(INDEX(EXTRATO!$C$2:$C$3000,MATCH($A2674,EXTRATO!$A$2:$A$3000,0))="","",INDEX(EXTRATO!$C$2:$C$3000,MATCH($A2674,EXTRATO!$A$2:$A$3000,0))))</f>
        <v/>
      </c>
      <c r="C2674" s="86" t="str">
        <f t="shared" si="70"/>
        <v/>
      </c>
      <c r="D2674" s="81"/>
      <c r="E2674" s="79"/>
      <c r="F2674" s="80" t="str">
        <f>IF(A2674="","",SUMIF(EXTRATO!$A$2:$A$3000,$A2674,EXTRATO!$J$2:$J$3000)+SUMIF(EXTRATO!$A$2:$A$3000,$A2674,EXTRATO!$K$2:$K$3000)+SUMIF(EXTRATO!$A$2:$A$3000,$A2674,EXTRATO!$L$2:$L$3000)+SUMIF(EXTRATO!$A$2:$A$3000,$A2674,EXTRATO!$M$2:$M$3000))</f>
        <v/>
      </c>
      <c r="G2674" s="81" t="str">
        <f>IF(A2674="","",IF(INDEX(EXTRATO!$G$2:$G$3000,MATCH($A2674,EXTRATO!$A$2:$A$3000,0))="","",INDEX(EXTRATO!$G$2:$G$3000,MATCH($A2674,EXTRATO!$A$2:$A$3000,0))))</f>
        <v/>
      </c>
      <c r="H2674" s="86" t="str">
        <f>IF(A2674="","",IF(INDEX(EXTRATO!$F$2:$F$3000,MATCH($A2674,EXTRATO!$A$2:$A$3000,0))="","",INDEX(EXTRATO!$F$2:$F$3000,MATCH($A2674,EXTRATO!$A$2:$A$3000,0))))</f>
        <v/>
      </c>
      <c r="I2674" s="88" t="str">
        <f>IF(A2674="","",IF(INDEX(EXTRATO!$H$2:$H$3000,MATCH($A2674,EXTRATO!$A$2:$A$3000,0))="","",INDEX(EXTRATO!$H$2:$H$3000,MATCH($A2674,EXTRATO!$A$2:$A$3000,0))))</f>
        <v/>
      </c>
      <c r="J2674" s="86" t="str">
        <f t="shared" si="71"/>
        <v/>
      </c>
      <c r="K2674" s="86" t="str">
        <f>IF(AND(A2674="",D2674="",E2674="",F2674=""),"",IF(D2674="","SEM CATEGORIA",IF(E2674="","SEM SUBCATEGORIA",IF(COUNTIFS(CADASTROS!$L$7:$L$93,D2674,CADASTROS!$D$7:$D$93,E2674)=0,"INCOMPATÍVEL","OK"))))</f>
        <v/>
      </c>
    </row>
    <row r="2675" spans="1:11" ht="30" hidden="1" customHeight="1" x14ac:dyDescent="0.25">
      <c r="A2675" s="86" t="str">
        <f>IF(COUNTIF(EXTRATO!$A$2:$A$3000,"BAN-02532")=0,"","BAN-02532")</f>
        <v/>
      </c>
      <c r="B2675" s="85" t="str">
        <f>IF(A2675="","",IF(INDEX(EXTRATO!$C$2:$C$3000,MATCH($A2675,EXTRATO!$A$2:$A$3000,0))="","",INDEX(EXTRATO!$C$2:$C$3000,MATCH($A2675,EXTRATO!$A$2:$A$3000,0))))</f>
        <v/>
      </c>
      <c r="C2675" s="86" t="str">
        <f t="shared" si="70"/>
        <v/>
      </c>
      <c r="D2675" s="81"/>
      <c r="E2675" s="79"/>
      <c r="F2675" s="80" t="str">
        <f>IF(A2675="","",SUMIF(EXTRATO!$A$2:$A$3000,$A2675,EXTRATO!$J$2:$J$3000)+SUMIF(EXTRATO!$A$2:$A$3000,$A2675,EXTRATO!$K$2:$K$3000)+SUMIF(EXTRATO!$A$2:$A$3000,$A2675,EXTRATO!$L$2:$L$3000)+SUMIF(EXTRATO!$A$2:$A$3000,$A2675,EXTRATO!$M$2:$M$3000))</f>
        <v/>
      </c>
      <c r="G2675" s="81" t="str">
        <f>IF(A2675="","",IF(INDEX(EXTRATO!$G$2:$G$3000,MATCH($A2675,EXTRATO!$A$2:$A$3000,0))="","",INDEX(EXTRATO!$G$2:$G$3000,MATCH($A2675,EXTRATO!$A$2:$A$3000,0))))</f>
        <v/>
      </c>
      <c r="H2675" s="86" t="str">
        <f>IF(A2675="","",IF(INDEX(EXTRATO!$F$2:$F$3000,MATCH($A2675,EXTRATO!$A$2:$A$3000,0))="","",INDEX(EXTRATO!$F$2:$F$3000,MATCH($A2675,EXTRATO!$A$2:$A$3000,0))))</f>
        <v/>
      </c>
      <c r="I2675" s="88" t="str">
        <f>IF(A2675="","",IF(INDEX(EXTRATO!$H$2:$H$3000,MATCH($A2675,EXTRATO!$A$2:$A$3000,0))="","",INDEX(EXTRATO!$H$2:$H$3000,MATCH($A2675,EXTRATO!$A$2:$A$3000,0))))</f>
        <v/>
      </c>
      <c r="J2675" s="86" t="str">
        <f t="shared" si="71"/>
        <v/>
      </c>
      <c r="K2675" s="86" t="str">
        <f>IF(AND(A2675="",D2675="",E2675="",F2675=""),"",IF(D2675="","SEM CATEGORIA",IF(E2675="","SEM SUBCATEGORIA",IF(COUNTIFS(CADASTROS!$L$7:$L$93,D2675,CADASTROS!$D$7:$D$93,E2675)=0,"INCOMPATÍVEL","OK"))))</f>
        <v/>
      </c>
    </row>
    <row r="2676" spans="1:11" ht="30" hidden="1" customHeight="1" x14ac:dyDescent="0.25">
      <c r="A2676" s="86" t="str">
        <f>IF(COUNTIF(EXTRATO!$A$2:$A$3000,"BAN-02533")=0,"","BAN-02533")</f>
        <v/>
      </c>
      <c r="B2676" s="85" t="str">
        <f>IF(A2676="","",IF(INDEX(EXTRATO!$C$2:$C$3000,MATCH($A2676,EXTRATO!$A$2:$A$3000,0))="","",INDEX(EXTRATO!$C$2:$C$3000,MATCH($A2676,EXTRATO!$A$2:$A$3000,0))))</f>
        <v/>
      </c>
      <c r="C2676" s="86" t="str">
        <f t="shared" si="70"/>
        <v/>
      </c>
      <c r="D2676" s="81"/>
      <c r="E2676" s="79"/>
      <c r="F2676" s="80" t="str">
        <f>IF(A2676="","",SUMIF(EXTRATO!$A$2:$A$3000,$A2676,EXTRATO!$J$2:$J$3000)+SUMIF(EXTRATO!$A$2:$A$3000,$A2676,EXTRATO!$K$2:$K$3000)+SUMIF(EXTRATO!$A$2:$A$3000,$A2676,EXTRATO!$L$2:$L$3000)+SUMIF(EXTRATO!$A$2:$A$3000,$A2676,EXTRATO!$M$2:$M$3000))</f>
        <v/>
      </c>
      <c r="G2676" s="81" t="str">
        <f>IF(A2676="","",IF(INDEX(EXTRATO!$G$2:$G$3000,MATCH($A2676,EXTRATO!$A$2:$A$3000,0))="","",INDEX(EXTRATO!$G$2:$G$3000,MATCH($A2676,EXTRATO!$A$2:$A$3000,0))))</f>
        <v/>
      </c>
      <c r="H2676" s="86" t="str">
        <f>IF(A2676="","",IF(INDEX(EXTRATO!$F$2:$F$3000,MATCH($A2676,EXTRATO!$A$2:$A$3000,0))="","",INDEX(EXTRATO!$F$2:$F$3000,MATCH($A2676,EXTRATO!$A$2:$A$3000,0))))</f>
        <v/>
      </c>
      <c r="I2676" s="88" t="str">
        <f>IF(A2676="","",IF(INDEX(EXTRATO!$H$2:$H$3000,MATCH($A2676,EXTRATO!$A$2:$A$3000,0))="","",INDEX(EXTRATO!$H$2:$H$3000,MATCH($A2676,EXTRATO!$A$2:$A$3000,0))))</f>
        <v/>
      </c>
      <c r="J2676" s="86" t="str">
        <f t="shared" si="71"/>
        <v/>
      </c>
      <c r="K2676" s="86" t="str">
        <f>IF(AND(A2676="",D2676="",E2676="",F2676=""),"",IF(D2676="","SEM CATEGORIA",IF(E2676="","SEM SUBCATEGORIA",IF(COUNTIFS(CADASTROS!$L$7:$L$93,D2676,CADASTROS!$D$7:$D$93,E2676)=0,"INCOMPATÍVEL","OK"))))</f>
        <v/>
      </c>
    </row>
    <row r="2677" spans="1:11" ht="30" hidden="1" customHeight="1" x14ac:dyDescent="0.25">
      <c r="A2677" s="86" t="str">
        <f>IF(COUNTIF(EXTRATO!$A$2:$A$3000,"BAN-02534")=0,"","BAN-02534")</f>
        <v/>
      </c>
      <c r="B2677" s="85" t="str">
        <f>IF(A2677="","",IF(INDEX(EXTRATO!$C$2:$C$3000,MATCH($A2677,EXTRATO!$A$2:$A$3000,0))="","",INDEX(EXTRATO!$C$2:$C$3000,MATCH($A2677,EXTRATO!$A$2:$A$3000,0))))</f>
        <v/>
      </c>
      <c r="C2677" s="86" t="str">
        <f t="shared" si="70"/>
        <v/>
      </c>
      <c r="D2677" s="81"/>
      <c r="E2677" s="79"/>
      <c r="F2677" s="80" t="str">
        <f>IF(A2677="","",SUMIF(EXTRATO!$A$2:$A$3000,$A2677,EXTRATO!$J$2:$J$3000)+SUMIF(EXTRATO!$A$2:$A$3000,$A2677,EXTRATO!$K$2:$K$3000)+SUMIF(EXTRATO!$A$2:$A$3000,$A2677,EXTRATO!$L$2:$L$3000)+SUMIF(EXTRATO!$A$2:$A$3000,$A2677,EXTRATO!$M$2:$M$3000))</f>
        <v/>
      </c>
      <c r="G2677" s="81" t="str">
        <f>IF(A2677="","",IF(INDEX(EXTRATO!$G$2:$G$3000,MATCH($A2677,EXTRATO!$A$2:$A$3000,0))="","",INDEX(EXTRATO!$G$2:$G$3000,MATCH($A2677,EXTRATO!$A$2:$A$3000,0))))</f>
        <v/>
      </c>
      <c r="H2677" s="86" t="str">
        <f>IF(A2677="","",IF(INDEX(EXTRATO!$F$2:$F$3000,MATCH($A2677,EXTRATO!$A$2:$A$3000,0))="","",INDEX(EXTRATO!$F$2:$F$3000,MATCH($A2677,EXTRATO!$A$2:$A$3000,0))))</f>
        <v/>
      </c>
      <c r="I2677" s="88" t="str">
        <f>IF(A2677="","",IF(INDEX(EXTRATO!$H$2:$H$3000,MATCH($A2677,EXTRATO!$A$2:$A$3000,0))="","",INDEX(EXTRATO!$H$2:$H$3000,MATCH($A2677,EXTRATO!$A$2:$A$3000,0))))</f>
        <v/>
      </c>
      <c r="J2677" s="86" t="str">
        <f t="shared" si="71"/>
        <v/>
      </c>
      <c r="K2677" s="86" t="str">
        <f>IF(AND(A2677="",D2677="",E2677="",F2677=""),"",IF(D2677="","SEM CATEGORIA",IF(E2677="","SEM SUBCATEGORIA",IF(COUNTIFS(CADASTROS!$L$7:$L$93,D2677,CADASTROS!$D$7:$D$93,E2677)=0,"INCOMPATÍVEL","OK"))))</f>
        <v/>
      </c>
    </row>
    <row r="2678" spans="1:11" ht="30" hidden="1" customHeight="1" x14ac:dyDescent="0.25">
      <c r="A2678" s="86" t="str">
        <f>IF(COUNTIF(EXTRATO!$A$2:$A$3000,"BAN-02535")=0,"","BAN-02535")</f>
        <v/>
      </c>
      <c r="B2678" s="85" t="str">
        <f>IF(A2678="","",IF(INDEX(EXTRATO!$C$2:$C$3000,MATCH($A2678,EXTRATO!$A$2:$A$3000,0))="","",INDEX(EXTRATO!$C$2:$C$3000,MATCH($A2678,EXTRATO!$A$2:$A$3000,0))))</f>
        <v/>
      </c>
      <c r="C2678" s="86" t="str">
        <f t="shared" si="70"/>
        <v/>
      </c>
      <c r="D2678" s="81"/>
      <c r="E2678" s="79"/>
      <c r="F2678" s="80" t="str">
        <f>IF(A2678="","",SUMIF(EXTRATO!$A$2:$A$3000,$A2678,EXTRATO!$J$2:$J$3000)+SUMIF(EXTRATO!$A$2:$A$3000,$A2678,EXTRATO!$K$2:$K$3000)+SUMIF(EXTRATO!$A$2:$A$3000,$A2678,EXTRATO!$L$2:$L$3000)+SUMIF(EXTRATO!$A$2:$A$3000,$A2678,EXTRATO!$M$2:$M$3000))</f>
        <v/>
      </c>
      <c r="G2678" s="81" t="str">
        <f>IF(A2678="","",IF(INDEX(EXTRATO!$G$2:$G$3000,MATCH($A2678,EXTRATO!$A$2:$A$3000,0))="","",INDEX(EXTRATO!$G$2:$G$3000,MATCH($A2678,EXTRATO!$A$2:$A$3000,0))))</f>
        <v/>
      </c>
      <c r="H2678" s="86" t="str">
        <f>IF(A2678="","",IF(INDEX(EXTRATO!$F$2:$F$3000,MATCH($A2678,EXTRATO!$A$2:$A$3000,0))="","",INDEX(EXTRATO!$F$2:$F$3000,MATCH($A2678,EXTRATO!$A$2:$A$3000,0))))</f>
        <v/>
      </c>
      <c r="I2678" s="88" t="str">
        <f>IF(A2678="","",IF(INDEX(EXTRATO!$H$2:$H$3000,MATCH($A2678,EXTRATO!$A$2:$A$3000,0))="","",INDEX(EXTRATO!$H$2:$H$3000,MATCH($A2678,EXTRATO!$A$2:$A$3000,0))))</f>
        <v/>
      </c>
      <c r="J2678" s="86" t="str">
        <f t="shared" si="71"/>
        <v/>
      </c>
      <c r="K2678" s="86" t="str">
        <f>IF(AND(A2678="",D2678="",E2678="",F2678=""),"",IF(D2678="","SEM CATEGORIA",IF(E2678="","SEM SUBCATEGORIA",IF(COUNTIFS(CADASTROS!$L$7:$L$93,D2678,CADASTROS!$D$7:$D$93,E2678)=0,"INCOMPATÍVEL","OK"))))</f>
        <v/>
      </c>
    </row>
    <row r="2679" spans="1:11" ht="30" hidden="1" customHeight="1" x14ac:dyDescent="0.25">
      <c r="A2679" s="86" t="str">
        <f>IF(COUNTIF(EXTRATO!$A$2:$A$3000,"BAN-02536")=0,"","BAN-02536")</f>
        <v/>
      </c>
      <c r="B2679" s="85" t="str">
        <f>IF(A2679="","",IF(INDEX(EXTRATO!$C$2:$C$3000,MATCH($A2679,EXTRATO!$A$2:$A$3000,0))="","",INDEX(EXTRATO!$C$2:$C$3000,MATCH($A2679,EXTRATO!$A$2:$A$3000,0))))</f>
        <v/>
      </c>
      <c r="C2679" s="86" t="str">
        <f t="shared" si="70"/>
        <v/>
      </c>
      <c r="D2679" s="81"/>
      <c r="E2679" s="79"/>
      <c r="F2679" s="80" t="str">
        <f>IF(A2679="","",SUMIF(EXTRATO!$A$2:$A$3000,$A2679,EXTRATO!$J$2:$J$3000)+SUMIF(EXTRATO!$A$2:$A$3000,$A2679,EXTRATO!$K$2:$K$3000)+SUMIF(EXTRATO!$A$2:$A$3000,$A2679,EXTRATO!$L$2:$L$3000)+SUMIF(EXTRATO!$A$2:$A$3000,$A2679,EXTRATO!$M$2:$M$3000))</f>
        <v/>
      </c>
      <c r="G2679" s="81" t="str">
        <f>IF(A2679="","",IF(INDEX(EXTRATO!$G$2:$G$3000,MATCH($A2679,EXTRATO!$A$2:$A$3000,0))="","",INDEX(EXTRATO!$G$2:$G$3000,MATCH($A2679,EXTRATO!$A$2:$A$3000,0))))</f>
        <v/>
      </c>
      <c r="H2679" s="86" t="str">
        <f>IF(A2679="","",IF(INDEX(EXTRATO!$F$2:$F$3000,MATCH($A2679,EXTRATO!$A$2:$A$3000,0))="","",INDEX(EXTRATO!$F$2:$F$3000,MATCH($A2679,EXTRATO!$A$2:$A$3000,0))))</f>
        <v/>
      </c>
      <c r="I2679" s="88" t="str">
        <f>IF(A2679="","",IF(INDEX(EXTRATO!$H$2:$H$3000,MATCH($A2679,EXTRATO!$A$2:$A$3000,0))="","",INDEX(EXTRATO!$H$2:$H$3000,MATCH($A2679,EXTRATO!$A$2:$A$3000,0))))</f>
        <v/>
      </c>
      <c r="J2679" s="86" t="str">
        <f t="shared" si="71"/>
        <v/>
      </c>
      <c r="K2679" s="86" t="str">
        <f>IF(AND(A2679="",D2679="",E2679="",F2679=""),"",IF(D2679="","SEM CATEGORIA",IF(E2679="","SEM SUBCATEGORIA",IF(COUNTIFS(CADASTROS!$L$7:$L$93,D2679,CADASTROS!$D$7:$D$93,E2679)=0,"INCOMPATÍVEL","OK"))))</f>
        <v/>
      </c>
    </row>
    <row r="2680" spans="1:11" ht="30" hidden="1" customHeight="1" x14ac:dyDescent="0.25">
      <c r="A2680" s="86" t="str">
        <f>IF(COUNTIF(EXTRATO!$A$2:$A$3000,"BAN-02537")=0,"","BAN-02537")</f>
        <v/>
      </c>
      <c r="B2680" s="85" t="str">
        <f>IF(A2680="","",IF(INDEX(EXTRATO!$C$2:$C$3000,MATCH($A2680,EXTRATO!$A$2:$A$3000,0))="","",INDEX(EXTRATO!$C$2:$C$3000,MATCH($A2680,EXTRATO!$A$2:$A$3000,0))))</f>
        <v/>
      </c>
      <c r="C2680" s="86" t="str">
        <f t="shared" si="70"/>
        <v/>
      </c>
      <c r="D2680" s="81"/>
      <c r="E2680" s="79"/>
      <c r="F2680" s="80" t="str">
        <f>IF(A2680="","",SUMIF(EXTRATO!$A$2:$A$3000,$A2680,EXTRATO!$J$2:$J$3000)+SUMIF(EXTRATO!$A$2:$A$3000,$A2680,EXTRATO!$K$2:$K$3000)+SUMIF(EXTRATO!$A$2:$A$3000,$A2680,EXTRATO!$L$2:$L$3000)+SUMIF(EXTRATO!$A$2:$A$3000,$A2680,EXTRATO!$M$2:$M$3000))</f>
        <v/>
      </c>
      <c r="G2680" s="81" t="str">
        <f>IF(A2680="","",IF(INDEX(EXTRATO!$G$2:$G$3000,MATCH($A2680,EXTRATO!$A$2:$A$3000,0))="","",INDEX(EXTRATO!$G$2:$G$3000,MATCH($A2680,EXTRATO!$A$2:$A$3000,0))))</f>
        <v/>
      </c>
      <c r="H2680" s="86" t="str">
        <f>IF(A2680="","",IF(INDEX(EXTRATO!$F$2:$F$3000,MATCH($A2680,EXTRATO!$A$2:$A$3000,0))="","",INDEX(EXTRATO!$F$2:$F$3000,MATCH($A2680,EXTRATO!$A$2:$A$3000,0))))</f>
        <v/>
      </c>
      <c r="I2680" s="88" t="str">
        <f>IF(A2680="","",IF(INDEX(EXTRATO!$H$2:$H$3000,MATCH($A2680,EXTRATO!$A$2:$A$3000,0))="","",INDEX(EXTRATO!$H$2:$H$3000,MATCH($A2680,EXTRATO!$A$2:$A$3000,0))))</f>
        <v/>
      </c>
      <c r="J2680" s="86" t="str">
        <f t="shared" si="71"/>
        <v/>
      </c>
      <c r="K2680" s="86" t="str">
        <f>IF(AND(A2680="",D2680="",E2680="",F2680=""),"",IF(D2680="","SEM CATEGORIA",IF(E2680="","SEM SUBCATEGORIA",IF(COUNTIFS(CADASTROS!$L$7:$L$93,D2680,CADASTROS!$D$7:$D$93,E2680)=0,"INCOMPATÍVEL","OK"))))</f>
        <v/>
      </c>
    </row>
    <row r="2681" spans="1:11" ht="30" hidden="1" customHeight="1" x14ac:dyDescent="0.25">
      <c r="A2681" s="86" t="str">
        <f>IF(COUNTIF(EXTRATO!$A$2:$A$3000,"BAN-02538")=0,"","BAN-02538")</f>
        <v/>
      </c>
      <c r="B2681" s="85" t="str">
        <f>IF(A2681="","",IF(INDEX(EXTRATO!$C$2:$C$3000,MATCH($A2681,EXTRATO!$A$2:$A$3000,0))="","",INDEX(EXTRATO!$C$2:$C$3000,MATCH($A2681,EXTRATO!$A$2:$A$3000,0))))</f>
        <v/>
      </c>
      <c r="C2681" s="86" t="str">
        <f t="shared" si="70"/>
        <v/>
      </c>
      <c r="D2681" s="81"/>
      <c r="E2681" s="79"/>
      <c r="F2681" s="80" t="str">
        <f>IF(A2681="","",SUMIF(EXTRATO!$A$2:$A$3000,$A2681,EXTRATO!$J$2:$J$3000)+SUMIF(EXTRATO!$A$2:$A$3000,$A2681,EXTRATO!$K$2:$K$3000)+SUMIF(EXTRATO!$A$2:$A$3000,$A2681,EXTRATO!$L$2:$L$3000)+SUMIF(EXTRATO!$A$2:$A$3000,$A2681,EXTRATO!$M$2:$M$3000))</f>
        <v/>
      </c>
      <c r="G2681" s="81" t="str">
        <f>IF(A2681="","",IF(INDEX(EXTRATO!$G$2:$G$3000,MATCH($A2681,EXTRATO!$A$2:$A$3000,0))="","",INDEX(EXTRATO!$G$2:$G$3000,MATCH($A2681,EXTRATO!$A$2:$A$3000,0))))</f>
        <v/>
      </c>
      <c r="H2681" s="86" t="str">
        <f>IF(A2681="","",IF(INDEX(EXTRATO!$F$2:$F$3000,MATCH($A2681,EXTRATO!$A$2:$A$3000,0))="","",INDEX(EXTRATO!$F$2:$F$3000,MATCH($A2681,EXTRATO!$A$2:$A$3000,0))))</f>
        <v/>
      </c>
      <c r="I2681" s="88" t="str">
        <f>IF(A2681="","",IF(INDEX(EXTRATO!$H$2:$H$3000,MATCH($A2681,EXTRATO!$A$2:$A$3000,0))="","",INDEX(EXTRATO!$H$2:$H$3000,MATCH($A2681,EXTRATO!$A$2:$A$3000,0))))</f>
        <v/>
      </c>
      <c r="J2681" s="86" t="str">
        <f t="shared" si="71"/>
        <v/>
      </c>
      <c r="K2681" s="86" t="str">
        <f>IF(AND(A2681="",D2681="",E2681="",F2681=""),"",IF(D2681="","SEM CATEGORIA",IF(E2681="","SEM SUBCATEGORIA",IF(COUNTIFS(CADASTROS!$L$7:$L$93,D2681,CADASTROS!$D$7:$D$93,E2681)=0,"INCOMPATÍVEL","OK"))))</f>
        <v/>
      </c>
    </row>
    <row r="2682" spans="1:11" ht="30" hidden="1" customHeight="1" x14ac:dyDescent="0.25">
      <c r="A2682" s="86" t="str">
        <f>IF(COUNTIF(EXTRATO!$A$2:$A$3000,"BAN-02539")=0,"","BAN-02539")</f>
        <v/>
      </c>
      <c r="B2682" s="85" t="str">
        <f>IF(A2682="","",IF(INDEX(EXTRATO!$C$2:$C$3000,MATCH($A2682,EXTRATO!$A$2:$A$3000,0))="","",INDEX(EXTRATO!$C$2:$C$3000,MATCH($A2682,EXTRATO!$A$2:$A$3000,0))))</f>
        <v/>
      </c>
      <c r="C2682" s="86" t="str">
        <f t="shared" si="70"/>
        <v/>
      </c>
      <c r="D2682" s="81"/>
      <c r="E2682" s="79"/>
      <c r="F2682" s="80" t="str">
        <f>IF(A2682="","",SUMIF(EXTRATO!$A$2:$A$3000,$A2682,EXTRATO!$J$2:$J$3000)+SUMIF(EXTRATO!$A$2:$A$3000,$A2682,EXTRATO!$K$2:$K$3000)+SUMIF(EXTRATO!$A$2:$A$3000,$A2682,EXTRATO!$L$2:$L$3000)+SUMIF(EXTRATO!$A$2:$A$3000,$A2682,EXTRATO!$M$2:$M$3000))</f>
        <v/>
      </c>
      <c r="G2682" s="81" t="str">
        <f>IF(A2682="","",IF(INDEX(EXTRATO!$G$2:$G$3000,MATCH($A2682,EXTRATO!$A$2:$A$3000,0))="","",INDEX(EXTRATO!$G$2:$G$3000,MATCH($A2682,EXTRATO!$A$2:$A$3000,0))))</f>
        <v/>
      </c>
      <c r="H2682" s="86" t="str">
        <f>IF(A2682="","",IF(INDEX(EXTRATO!$F$2:$F$3000,MATCH($A2682,EXTRATO!$A$2:$A$3000,0))="","",INDEX(EXTRATO!$F$2:$F$3000,MATCH($A2682,EXTRATO!$A$2:$A$3000,0))))</f>
        <v/>
      </c>
      <c r="I2682" s="88" t="str">
        <f>IF(A2682="","",IF(INDEX(EXTRATO!$H$2:$H$3000,MATCH($A2682,EXTRATO!$A$2:$A$3000,0))="","",INDEX(EXTRATO!$H$2:$H$3000,MATCH($A2682,EXTRATO!$A$2:$A$3000,0))))</f>
        <v/>
      </c>
      <c r="J2682" s="86" t="str">
        <f t="shared" si="71"/>
        <v/>
      </c>
      <c r="K2682" s="86" t="str">
        <f>IF(AND(A2682="",D2682="",E2682="",F2682=""),"",IF(D2682="","SEM CATEGORIA",IF(E2682="","SEM SUBCATEGORIA",IF(COUNTIFS(CADASTROS!$L$7:$L$93,D2682,CADASTROS!$D$7:$D$93,E2682)=0,"INCOMPATÍVEL","OK"))))</f>
        <v/>
      </c>
    </row>
    <row r="2683" spans="1:11" ht="30" hidden="1" customHeight="1" x14ac:dyDescent="0.25">
      <c r="A2683" s="86" t="str">
        <f>IF(COUNTIF(EXTRATO!$A$2:$A$3000,"BAN-02540")=0,"","BAN-02540")</f>
        <v/>
      </c>
      <c r="B2683" s="85" t="str">
        <f>IF(A2683="","",IF(INDEX(EXTRATO!$C$2:$C$3000,MATCH($A2683,EXTRATO!$A$2:$A$3000,0))="","",INDEX(EXTRATO!$C$2:$C$3000,MATCH($A2683,EXTRATO!$A$2:$A$3000,0))))</f>
        <v/>
      </c>
      <c r="C2683" s="86" t="str">
        <f t="shared" si="70"/>
        <v/>
      </c>
      <c r="D2683" s="81"/>
      <c r="E2683" s="79"/>
      <c r="F2683" s="80" t="str">
        <f>IF(A2683="","",SUMIF(EXTRATO!$A$2:$A$3000,$A2683,EXTRATO!$J$2:$J$3000)+SUMIF(EXTRATO!$A$2:$A$3000,$A2683,EXTRATO!$K$2:$K$3000)+SUMIF(EXTRATO!$A$2:$A$3000,$A2683,EXTRATO!$L$2:$L$3000)+SUMIF(EXTRATO!$A$2:$A$3000,$A2683,EXTRATO!$M$2:$M$3000))</f>
        <v/>
      </c>
      <c r="G2683" s="81" t="str">
        <f>IF(A2683="","",IF(INDEX(EXTRATO!$G$2:$G$3000,MATCH($A2683,EXTRATO!$A$2:$A$3000,0))="","",INDEX(EXTRATO!$G$2:$G$3000,MATCH($A2683,EXTRATO!$A$2:$A$3000,0))))</f>
        <v/>
      </c>
      <c r="H2683" s="86" t="str">
        <f>IF(A2683="","",IF(INDEX(EXTRATO!$F$2:$F$3000,MATCH($A2683,EXTRATO!$A$2:$A$3000,0))="","",INDEX(EXTRATO!$F$2:$F$3000,MATCH($A2683,EXTRATO!$A$2:$A$3000,0))))</f>
        <v/>
      </c>
      <c r="I2683" s="88" t="str">
        <f>IF(A2683="","",IF(INDEX(EXTRATO!$H$2:$H$3000,MATCH($A2683,EXTRATO!$A$2:$A$3000,0))="","",INDEX(EXTRATO!$H$2:$H$3000,MATCH($A2683,EXTRATO!$A$2:$A$3000,0))))</f>
        <v/>
      </c>
      <c r="J2683" s="86" t="str">
        <f t="shared" si="71"/>
        <v/>
      </c>
      <c r="K2683" s="86" t="str">
        <f>IF(AND(A2683="",D2683="",E2683="",F2683=""),"",IF(D2683="","SEM CATEGORIA",IF(E2683="","SEM SUBCATEGORIA",IF(COUNTIFS(CADASTROS!$L$7:$L$93,D2683,CADASTROS!$D$7:$D$93,E2683)=0,"INCOMPATÍVEL","OK"))))</f>
        <v/>
      </c>
    </row>
    <row r="2684" spans="1:11" ht="30" hidden="1" customHeight="1" x14ac:dyDescent="0.25">
      <c r="A2684" s="86" t="str">
        <f>IF(COUNTIF(EXTRATO!$A$2:$A$3000,"BAN-02541")=0,"","BAN-02541")</f>
        <v/>
      </c>
      <c r="B2684" s="85" t="str">
        <f>IF(A2684="","",IF(INDEX(EXTRATO!$C$2:$C$3000,MATCH($A2684,EXTRATO!$A$2:$A$3000,0))="","",INDEX(EXTRATO!$C$2:$C$3000,MATCH($A2684,EXTRATO!$A$2:$A$3000,0))))</f>
        <v/>
      </c>
      <c r="C2684" s="86" t="str">
        <f t="shared" si="70"/>
        <v/>
      </c>
      <c r="D2684" s="81"/>
      <c r="E2684" s="79"/>
      <c r="F2684" s="80" t="str">
        <f>IF(A2684="","",SUMIF(EXTRATO!$A$2:$A$3000,$A2684,EXTRATO!$J$2:$J$3000)+SUMIF(EXTRATO!$A$2:$A$3000,$A2684,EXTRATO!$K$2:$K$3000)+SUMIF(EXTRATO!$A$2:$A$3000,$A2684,EXTRATO!$L$2:$L$3000)+SUMIF(EXTRATO!$A$2:$A$3000,$A2684,EXTRATO!$M$2:$M$3000))</f>
        <v/>
      </c>
      <c r="G2684" s="81" t="str">
        <f>IF(A2684="","",IF(INDEX(EXTRATO!$G$2:$G$3000,MATCH($A2684,EXTRATO!$A$2:$A$3000,0))="","",INDEX(EXTRATO!$G$2:$G$3000,MATCH($A2684,EXTRATO!$A$2:$A$3000,0))))</f>
        <v/>
      </c>
      <c r="H2684" s="86" t="str">
        <f>IF(A2684="","",IF(INDEX(EXTRATO!$F$2:$F$3000,MATCH($A2684,EXTRATO!$A$2:$A$3000,0))="","",INDEX(EXTRATO!$F$2:$F$3000,MATCH($A2684,EXTRATO!$A$2:$A$3000,0))))</f>
        <v/>
      </c>
      <c r="I2684" s="88" t="str">
        <f>IF(A2684="","",IF(INDEX(EXTRATO!$H$2:$H$3000,MATCH($A2684,EXTRATO!$A$2:$A$3000,0))="","",INDEX(EXTRATO!$H$2:$H$3000,MATCH($A2684,EXTRATO!$A$2:$A$3000,0))))</f>
        <v/>
      </c>
      <c r="J2684" s="86" t="str">
        <f t="shared" si="71"/>
        <v/>
      </c>
      <c r="K2684" s="86" t="str">
        <f>IF(AND(A2684="",D2684="",E2684="",F2684=""),"",IF(D2684="","SEM CATEGORIA",IF(E2684="","SEM SUBCATEGORIA",IF(COUNTIFS(CADASTROS!$L$7:$L$93,D2684,CADASTROS!$D$7:$D$93,E2684)=0,"INCOMPATÍVEL","OK"))))</f>
        <v/>
      </c>
    </row>
    <row r="2685" spans="1:11" ht="30" hidden="1" customHeight="1" x14ac:dyDescent="0.25">
      <c r="A2685" s="86" t="str">
        <f>IF(COUNTIF(EXTRATO!$A$2:$A$3000,"BAN-02542")=0,"","BAN-02542")</f>
        <v/>
      </c>
      <c r="B2685" s="85" t="str">
        <f>IF(A2685="","",IF(INDEX(EXTRATO!$C$2:$C$3000,MATCH($A2685,EXTRATO!$A$2:$A$3000,0))="","",INDEX(EXTRATO!$C$2:$C$3000,MATCH($A2685,EXTRATO!$A$2:$A$3000,0))))</f>
        <v/>
      </c>
      <c r="C2685" s="86" t="str">
        <f t="shared" si="70"/>
        <v/>
      </c>
      <c r="D2685" s="81"/>
      <c r="E2685" s="79"/>
      <c r="F2685" s="80" t="str">
        <f>IF(A2685="","",SUMIF(EXTRATO!$A$2:$A$3000,$A2685,EXTRATO!$J$2:$J$3000)+SUMIF(EXTRATO!$A$2:$A$3000,$A2685,EXTRATO!$K$2:$K$3000)+SUMIF(EXTRATO!$A$2:$A$3000,$A2685,EXTRATO!$L$2:$L$3000)+SUMIF(EXTRATO!$A$2:$A$3000,$A2685,EXTRATO!$M$2:$M$3000))</f>
        <v/>
      </c>
      <c r="G2685" s="81" t="str">
        <f>IF(A2685="","",IF(INDEX(EXTRATO!$G$2:$G$3000,MATCH($A2685,EXTRATO!$A$2:$A$3000,0))="","",INDEX(EXTRATO!$G$2:$G$3000,MATCH($A2685,EXTRATO!$A$2:$A$3000,0))))</f>
        <v/>
      </c>
      <c r="H2685" s="86" t="str">
        <f>IF(A2685="","",IF(INDEX(EXTRATO!$F$2:$F$3000,MATCH($A2685,EXTRATO!$A$2:$A$3000,0))="","",INDEX(EXTRATO!$F$2:$F$3000,MATCH($A2685,EXTRATO!$A$2:$A$3000,0))))</f>
        <v/>
      </c>
      <c r="I2685" s="88" t="str">
        <f>IF(A2685="","",IF(INDEX(EXTRATO!$H$2:$H$3000,MATCH($A2685,EXTRATO!$A$2:$A$3000,0))="","",INDEX(EXTRATO!$H$2:$H$3000,MATCH($A2685,EXTRATO!$A$2:$A$3000,0))))</f>
        <v/>
      </c>
      <c r="J2685" s="86" t="str">
        <f t="shared" si="71"/>
        <v/>
      </c>
      <c r="K2685" s="86" t="str">
        <f>IF(AND(A2685="",D2685="",E2685="",F2685=""),"",IF(D2685="","SEM CATEGORIA",IF(E2685="","SEM SUBCATEGORIA",IF(COUNTIFS(CADASTROS!$L$7:$L$93,D2685,CADASTROS!$D$7:$D$93,E2685)=0,"INCOMPATÍVEL","OK"))))</f>
        <v/>
      </c>
    </row>
    <row r="2686" spans="1:11" ht="30" hidden="1" customHeight="1" x14ac:dyDescent="0.25">
      <c r="A2686" s="86" t="str">
        <f>IF(COUNTIF(EXTRATO!$A$2:$A$3000,"BAN-02543")=0,"","BAN-02543")</f>
        <v/>
      </c>
      <c r="B2686" s="85" t="str">
        <f>IF(A2686="","",IF(INDEX(EXTRATO!$C$2:$C$3000,MATCH($A2686,EXTRATO!$A$2:$A$3000,0))="","",INDEX(EXTRATO!$C$2:$C$3000,MATCH($A2686,EXTRATO!$A$2:$A$3000,0))))</f>
        <v/>
      </c>
      <c r="C2686" s="86" t="str">
        <f t="shared" si="70"/>
        <v/>
      </c>
      <c r="D2686" s="81"/>
      <c r="E2686" s="79"/>
      <c r="F2686" s="80" t="str">
        <f>IF(A2686="","",SUMIF(EXTRATO!$A$2:$A$3000,$A2686,EXTRATO!$J$2:$J$3000)+SUMIF(EXTRATO!$A$2:$A$3000,$A2686,EXTRATO!$K$2:$K$3000)+SUMIF(EXTRATO!$A$2:$A$3000,$A2686,EXTRATO!$L$2:$L$3000)+SUMIF(EXTRATO!$A$2:$A$3000,$A2686,EXTRATO!$M$2:$M$3000))</f>
        <v/>
      </c>
      <c r="G2686" s="81" t="str">
        <f>IF(A2686="","",IF(INDEX(EXTRATO!$G$2:$G$3000,MATCH($A2686,EXTRATO!$A$2:$A$3000,0))="","",INDEX(EXTRATO!$G$2:$G$3000,MATCH($A2686,EXTRATO!$A$2:$A$3000,0))))</f>
        <v/>
      </c>
      <c r="H2686" s="86" t="str">
        <f>IF(A2686="","",IF(INDEX(EXTRATO!$F$2:$F$3000,MATCH($A2686,EXTRATO!$A$2:$A$3000,0))="","",INDEX(EXTRATO!$F$2:$F$3000,MATCH($A2686,EXTRATO!$A$2:$A$3000,0))))</f>
        <v/>
      </c>
      <c r="I2686" s="88" t="str">
        <f>IF(A2686="","",IF(INDEX(EXTRATO!$H$2:$H$3000,MATCH($A2686,EXTRATO!$A$2:$A$3000,0))="","",INDEX(EXTRATO!$H$2:$H$3000,MATCH($A2686,EXTRATO!$A$2:$A$3000,0))))</f>
        <v/>
      </c>
      <c r="J2686" s="86" t="str">
        <f t="shared" si="71"/>
        <v/>
      </c>
      <c r="K2686" s="86" t="str">
        <f>IF(AND(A2686="",D2686="",E2686="",F2686=""),"",IF(D2686="","SEM CATEGORIA",IF(E2686="","SEM SUBCATEGORIA",IF(COUNTIFS(CADASTROS!$L$7:$L$93,D2686,CADASTROS!$D$7:$D$93,E2686)=0,"INCOMPATÍVEL","OK"))))</f>
        <v/>
      </c>
    </row>
    <row r="2687" spans="1:11" ht="30" hidden="1" customHeight="1" x14ac:dyDescent="0.25">
      <c r="A2687" s="86" t="str">
        <f>IF(COUNTIF(EXTRATO!$A$2:$A$3000,"BAN-02544")=0,"","BAN-02544")</f>
        <v/>
      </c>
      <c r="B2687" s="85" t="str">
        <f>IF(A2687="","",IF(INDEX(EXTRATO!$C$2:$C$3000,MATCH($A2687,EXTRATO!$A$2:$A$3000,0))="","",INDEX(EXTRATO!$C$2:$C$3000,MATCH($A2687,EXTRATO!$A$2:$A$3000,0))))</f>
        <v/>
      </c>
      <c r="C2687" s="86" t="str">
        <f t="shared" si="70"/>
        <v/>
      </c>
      <c r="D2687" s="81"/>
      <c r="E2687" s="79"/>
      <c r="F2687" s="80" t="str">
        <f>IF(A2687="","",SUMIF(EXTRATO!$A$2:$A$3000,$A2687,EXTRATO!$J$2:$J$3000)+SUMIF(EXTRATO!$A$2:$A$3000,$A2687,EXTRATO!$K$2:$K$3000)+SUMIF(EXTRATO!$A$2:$A$3000,$A2687,EXTRATO!$L$2:$L$3000)+SUMIF(EXTRATO!$A$2:$A$3000,$A2687,EXTRATO!$M$2:$M$3000))</f>
        <v/>
      </c>
      <c r="G2687" s="81" t="str">
        <f>IF(A2687="","",IF(INDEX(EXTRATO!$G$2:$G$3000,MATCH($A2687,EXTRATO!$A$2:$A$3000,0))="","",INDEX(EXTRATO!$G$2:$G$3000,MATCH($A2687,EXTRATO!$A$2:$A$3000,0))))</f>
        <v/>
      </c>
      <c r="H2687" s="86" t="str">
        <f>IF(A2687="","",IF(INDEX(EXTRATO!$F$2:$F$3000,MATCH($A2687,EXTRATO!$A$2:$A$3000,0))="","",INDEX(EXTRATO!$F$2:$F$3000,MATCH($A2687,EXTRATO!$A$2:$A$3000,0))))</f>
        <v/>
      </c>
      <c r="I2687" s="88" t="str">
        <f>IF(A2687="","",IF(INDEX(EXTRATO!$H$2:$H$3000,MATCH($A2687,EXTRATO!$A$2:$A$3000,0))="","",INDEX(EXTRATO!$H$2:$H$3000,MATCH($A2687,EXTRATO!$A$2:$A$3000,0))))</f>
        <v/>
      </c>
      <c r="J2687" s="86" t="str">
        <f t="shared" si="71"/>
        <v/>
      </c>
      <c r="K2687" s="86" t="str">
        <f>IF(AND(A2687="",D2687="",E2687="",F2687=""),"",IF(D2687="","SEM CATEGORIA",IF(E2687="","SEM SUBCATEGORIA",IF(COUNTIFS(CADASTROS!$L$7:$L$93,D2687,CADASTROS!$D$7:$D$93,E2687)=0,"INCOMPATÍVEL","OK"))))</f>
        <v/>
      </c>
    </row>
    <row r="2688" spans="1:11" ht="30" hidden="1" customHeight="1" x14ac:dyDescent="0.25">
      <c r="A2688" s="86" t="str">
        <f>IF(COUNTIF(EXTRATO!$A$2:$A$3000,"BAN-02545")=0,"","BAN-02545")</f>
        <v/>
      </c>
      <c r="B2688" s="85" t="str">
        <f>IF(A2688="","",IF(INDEX(EXTRATO!$C$2:$C$3000,MATCH($A2688,EXTRATO!$A$2:$A$3000,0))="","",INDEX(EXTRATO!$C$2:$C$3000,MATCH($A2688,EXTRATO!$A$2:$A$3000,0))))</f>
        <v/>
      </c>
      <c r="C2688" s="86" t="str">
        <f t="shared" si="70"/>
        <v/>
      </c>
      <c r="D2688" s="81"/>
      <c r="E2688" s="79"/>
      <c r="F2688" s="80" t="str">
        <f>IF(A2688="","",SUMIF(EXTRATO!$A$2:$A$3000,$A2688,EXTRATO!$J$2:$J$3000)+SUMIF(EXTRATO!$A$2:$A$3000,$A2688,EXTRATO!$K$2:$K$3000)+SUMIF(EXTRATO!$A$2:$A$3000,$A2688,EXTRATO!$L$2:$L$3000)+SUMIF(EXTRATO!$A$2:$A$3000,$A2688,EXTRATO!$M$2:$M$3000))</f>
        <v/>
      </c>
      <c r="G2688" s="81" t="str">
        <f>IF(A2688="","",IF(INDEX(EXTRATO!$G$2:$G$3000,MATCH($A2688,EXTRATO!$A$2:$A$3000,0))="","",INDEX(EXTRATO!$G$2:$G$3000,MATCH($A2688,EXTRATO!$A$2:$A$3000,0))))</f>
        <v/>
      </c>
      <c r="H2688" s="86" t="str">
        <f>IF(A2688="","",IF(INDEX(EXTRATO!$F$2:$F$3000,MATCH($A2688,EXTRATO!$A$2:$A$3000,0))="","",INDEX(EXTRATO!$F$2:$F$3000,MATCH($A2688,EXTRATO!$A$2:$A$3000,0))))</f>
        <v/>
      </c>
      <c r="I2688" s="88" t="str">
        <f>IF(A2688="","",IF(INDEX(EXTRATO!$H$2:$H$3000,MATCH($A2688,EXTRATO!$A$2:$A$3000,0))="","",INDEX(EXTRATO!$H$2:$H$3000,MATCH($A2688,EXTRATO!$A$2:$A$3000,0))))</f>
        <v/>
      </c>
      <c r="J2688" s="86" t="str">
        <f t="shared" si="71"/>
        <v/>
      </c>
      <c r="K2688" s="86" t="str">
        <f>IF(AND(A2688="",D2688="",E2688="",F2688=""),"",IF(D2688="","SEM CATEGORIA",IF(E2688="","SEM SUBCATEGORIA",IF(COUNTIFS(CADASTROS!$L$7:$L$93,D2688,CADASTROS!$D$7:$D$93,E2688)=0,"INCOMPATÍVEL","OK"))))</f>
        <v/>
      </c>
    </row>
    <row r="2689" spans="1:11" ht="30" hidden="1" customHeight="1" x14ac:dyDescent="0.25">
      <c r="A2689" s="86" t="str">
        <f>IF(COUNTIF(EXTRATO!$A$2:$A$3000,"BAN-02546")=0,"","BAN-02546")</f>
        <v/>
      </c>
      <c r="B2689" s="85" t="str">
        <f>IF(A2689="","",IF(INDEX(EXTRATO!$C$2:$C$3000,MATCH($A2689,EXTRATO!$A$2:$A$3000,0))="","",INDEX(EXTRATO!$C$2:$C$3000,MATCH($A2689,EXTRATO!$A$2:$A$3000,0))))</f>
        <v/>
      </c>
      <c r="C2689" s="86" t="str">
        <f t="shared" si="70"/>
        <v/>
      </c>
      <c r="D2689" s="81"/>
      <c r="E2689" s="79"/>
      <c r="F2689" s="80" t="str">
        <f>IF(A2689="","",SUMIF(EXTRATO!$A$2:$A$3000,$A2689,EXTRATO!$J$2:$J$3000)+SUMIF(EXTRATO!$A$2:$A$3000,$A2689,EXTRATO!$K$2:$K$3000)+SUMIF(EXTRATO!$A$2:$A$3000,$A2689,EXTRATO!$L$2:$L$3000)+SUMIF(EXTRATO!$A$2:$A$3000,$A2689,EXTRATO!$M$2:$M$3000))</f>
        <v/>
      </c>
      <c r="G2689" s="81" t="str">
        <f>IF(A2689="","",IF(INDEX(EXTRATO!$G$2:$G$3000,MATCH($A2689,EXTRATO!$A$2:$A$3000,0))="","",INDEX(EXTRATO!$G$2:$G$3000,MATCH($A2689,EXTRATO!$A$2:$A$3000,0))))</f>
        <v/>
      </c>
      <c r="H2689" s="86" t="str">
        <f>IF(A2689="","",IF(INDEX(EXTRATO!$F$2:$F$3000,MATCH($A2689,EXTRATO!$A$2:$A$3000,0))="","",INDEX(EXTRATO!$F$2:$F$3000,MATCH($A2689,EXTRATO!$A$2:$A$3000,0))))</f>
        <v/>
      </c>
      <c r="I2689" s="88" t="str">
        <f>IF(A2689="","",IF(INDEX(EXTRATO!$H$2:$H$3000,MATCH($A2689,EXTRATO!$A$2:$A$3000,0))="","",INDEX(EXTRATO!$H$2:$H$3000,MATCH($A2689,EXTRATO!$A$2:$A$3000,0))))</f>
        <v/>
      </c>
      <c r="J2689" s="86" t="str">
        <f t="shared" si="71"/>
        <v/>
      </c>
      <c r="K2689" s="86" t="str">
        <f>IF(AND(A2689="",D2689="",E2689="",F2689=""),"",IF(D2689="","SEM CATEGORIA",IF(E2689="","SEM SUBCATEGORIA",IF(COUNTIFS(CADASTROS!$L$7:$L$93,D2689,CADASTROS!$D$7:$D$93,E2689)=0,"INCOMPATÍVEL","OK"))))</f>
        <v/>
      </c>
    </row>
    <row r="2690" spans="1:11" ht="30" hidden="1" customHeight="1" x14ac:dyDescent="0.25">
      <c r="A2690" s="86" t="str">
        <f>IF(COUNTIF(EXTRATO!$A$2:$A$3000,"BAN-02547")=0,"","BAN-02547")</f>
        <v/>
      </c>
      <c r="B2690" s="85" t="str">
        <f>IF(A2690="","",IF(INDEX(EXTRATO!$C$2:$C$3000,MATCH($A2690,EXTRATO!$A$2:$A$3000,0))="","",INDEX(EXTRATO!$C$2:$C$3000,MATCH($A2690,EXTRATO!$A$2:$A$3000,0))))</f>
        <v/>
      </c>
      <c r="C2690" s="86" t="str">
        <f t="shared" si="70"/>
        <v/>
      </c>
      <c r="D2690" s="81"/>
      <c r="E2690" s="79"/>
      <c r="F2690" s="80" t="str">
        <f>IF(A2690="","",SUMIF(EXTRATO!$A$2:$A$3000,$A2690,EXTRATO!$J$2:$J$3000)+SUMIF(EXTRATO!$A$2:$A$3000,$A2690,EXTRATO!$K$2:$K$3000)+SUMIF(EXTRATO!$A$2:$A$3000,$A2690,EXTRATO!$L$2:$L$3000)+SUMIF(EXTRATO!$A$2:$A$3000,$A2690,EXTRATO!$M$2:$M$3000))</f>
        <v/>
      </c>
      <c r="G2690" s="81" t="str">
        <f>IF(A2690="","",IF(INDEX(EXTRATO!$G$2:$G$3000,MATCH($A2690,EXTRATO!$A$2:$A$3000,0))="","",INDEX(EXTRATO!$G$2:$G$3000,MATCH($A2690,EXTRATO!$A$2:$A$3000,0))))</f>
        <v/>
      </c>
      <c r="H2690" s="86" t="str">
        <f>IF(A2690="","",IF(INDEX(EXTRATO!$F$2:$F$3000,MATCH($A2690,EXTRATO!$A$2:$A$3000,0))="","",INDEX(EXTRATO!$F$2:$F$3000,MATCH($A2690,EXTRATO!$A$2:$A$3000,0))))</f>
        <v/>
      </c>
      <c r="I2690" s="88" t="str">
        <f>IF(A2690="","",IF(INDEX(EXTRATO!$H$2:$H$3000,MATCH($A2690,EXTRATO!$A$2:$A$3000,0))="","",INDEX(EXTRATO!$H$2:$H$3000,MATCH($A2690,EXTRATO!$A$2:$A$3000,0))))</f>
        <v/>
      </c>
      <c r="J2690" s="86" t="str">
        <f t="shared" si="71"/>
        <v/>
      </c>
      <c r="K2690" s="86" t="str">
        <f>IF(AND(A2690="",D2690="",E2690="",F2690=""),"",IF(D2690="","SEM CATEGORIA",IF(E2690="","SEM SUBCATEGORIA",IF(COUNTIFS(CADASTROS!$L$7:$L$93,D2690,CADASTROS!$D$7:$D$93,E2690)=0,"INCOMPATÍVEL","OK"))))</f>
        <v/>
      </c>
    </row>
    <row r="2691" spans="1:11" ht="30" hidden="1" customHeight="1" x14ac:dyDescent="0.25">
      <c r="A2691" s="86" t="str">
        <f>IF(COUNTIF(EXTRATO!$A$2:$A$3000,"BAN-02548")=0,"","BAN-02548")</f>
        <v/>
      </c>
      <c r="B2691" s="85" t="str">
        <f>IF(A2691="","",IF(INDEX(EXTRATO!$C$2:$C$3000,MATCH($A2691,EXTRATO!$A$2:$A$3000,0))="","",INDEX(EXTRATO!$C$2:$C$3000,MATCH($A2691,EXTRATO!$A$2:$A$3000,0))))</f>
        <v/>
      </c>
      <c r="C2691" s="86" t="str">
        <f t="shared" si="70"/>
        <v/>
      </c>
      <c r="D2691" s="81"/>
      <c r="E2691" s="79"/>
      <c r="F2691" s="80" t="str">
        <f>IF(A2691="","",SUMIF(EXTRATO!$A$2:$A$3000,$A2691,EXTRATO!$J$2:$J$3000)+SUMIF(EXTRATO!$A$2:$A$3000,$A2691,EXTRATO!$K$2:$K$3000)+SUMIF(EXTRATO!$A$2:$A$3000,$A2691,EXTRATO!$L$2:$L$3000)+SUMIF(EXTRATO!$A$2:$A$3000,$A2691,EXTRATO!$M$2:$M$3000))</f>
        <v/>
      </c>
      <c r="G2691" s="81" t="str">
        <f>IF(A2691="","",IF(INDEX(EXTRATO!$G$2:$G$3000,MATCH($A2691,EXTRATO!$A$2:$A$3000,0))="","",INDEX(EXTRATO!$G$2:$G$3000,MATCH($A2691,EXTRATO!$A$2:$A$3000,0))))</f>
        <v/>
      </c>
      <c r="H2691" s="86" t="str">
        <f>IF(A2691="","",IF(INDEX(EXTRATO!$F$2:$F$3000,MATCH($A2691,EXTRATO!$A$2:$A$3000,0))="","",INDEX(EXTRATO!$F$2:$F$3000,MATCH($A2691,EXTRATO!$A$2:$A$3000,0))))</f>
        <v/>
      </c>
      <c r="I2691" s="88" t="str">
        <f>IF(A2691="","",IF(INDEX(EXTRATO!$H$2:$H$3000,MATCH($A2691,EXTRATO!$A$2:$A$3000,0))="","",INDEX(EXTRATO!$H$2:$H$3000,MATCH($A2691,EXTRATO!$A$2:$A$3000,0))))</f>
        <v/>
      </c>
      <c r="J2691" s="86" t="str">
        <f t="shared" si="71"/>
        <v/>
      </c>
      <c r="K2691" s="86" t="str">
        <f>IF(AND(A2691="",D2691="",E2691="",F2691=""),"",IF(D2691="","SEM CATEGORIA",IF(E2691="","SEM SUBCATEGORIA",IF(COUNTIFS(CADASTROS!$L$7:$L$93,D2691,CADASTROS!$D$7:$D$93,E2691)=0,"INCOMPATÍVEL","OK"))))</f>
        <v/>
      </c>
    </row>
    <row r="2692" spans="1:11" ht="30" hidden="1" customHeight="1" x14ac:dyDescent="0.25">
      <c r="A2692" s="86" t="str">
        <f>IF(COUNTIF(EXTRATO!$A$2:$A$3000,"BAN-02549")=0,"","BAN-02549")</f>
        <v/>
      </c>
      <c r="B2692" s="85" t="str">
        <f>IF(A2692="","",IF(INDEX(EXTRATO!$C$2:$C$3000,MATCH($A2692,EXTRATO!$A$2:$A$3000,0))="","",INDEX(EXTRATO!$C$2:$C$3000,MATCH($A2692,EXTRATO!$A$2:$A$3000,0))))</f>
        <v/>
      </c>
      <c r="C2692" s="86" t="str">
        <f t="shared" si="70"/>
        <v/>
      </c>
      <c r="D2692" s="81"/>
      <c r="E2692" s="79"/>
      <c r="F2692" s="80" t="str">
        <f>IF(A2692="","",SUMIF(EXTRATO!$A$2:$A$3000,$A2692,EXTRATO!$J$2:$J$3000)+SUMIF(EXTRATO!$A$2:$A$3000,$A2692,EXTRATO!$K$2:$K$3000)+SUMIF(EXTRATO!$A$2:$A$3000,$A2692,EXTRATO!$L$2:$L$3000)+SUMIF(EXTRATO!$A$2:$A$3000,$A2692,EXTRATO!$M$2:$M$3000))</f>
        <v/>
      </c>
      <c r="G2692" s="81" t="str">
        <f>IF(A2692="","",IF(INDEX(EXTRATO!$G$2:$G$3000,MATCH($A2692,EXTRATO!$A$2:$A$3000,0))="","",INDEX(EXTRATO!$G$2:$G$3000,MATCH($A2692,EXTRATO!$A$2:$A$3000,0))))</f>
        <v/>
      </c>
      <c r="H2692" s="86" t="str">
        <f>IF(A2692="","",IF(INDEX(EXTRATO!$F$2:$F$3000,MATCH($A2692,EXTRATO!$A$2:$A$3000,0))="","",INDEX(EXTRATO!$F$2:$F$3000,MATCH($A2692,EXTRATO!$A$2:$A$3000,0))))</f>
        <v/>
      </c>
      <c r="I2692" s="88" t="str">
        <f>IF(A2692="","",IF(INDEX(EXTRATO!$H$2:$H$3000,MATCH($A2692,EXTRATO!$A$2:$A$3000,0))="","",INDEX(EXTRATO!$H$2:$H$3000,MATCH($A2692,EXTRATO!$A$2:$A$3000,0))))</f>
        <v/>
      </c>
      <c r="J2692" s="86" t="str">
        <f t="shared" si="71"/>
        <v/>
      </c>
      <c r="K2692" s="86" t="str">
        <f>IF(AND(A2692="",D2692="",E2692="",F2692=""),"",IF(D2692="","SEM CATEGORIA",IF(E2692="","SEM SUBCATEGORIA",IF(COUNTIFS(CADASTROS!$L$7:$L$93,D2692,CADASTROS!$D$7:$D$93,E2692)=0,"INCOMPATÍVEL","OK"))))</f>
        <v/>
      </c>
    </row>
    <row r="2693" spans="1:11" ht="30" hidden="1" customHeight="1" x14ac:dyDescent="0.25">
      <c r="A2693" s="86" t="str">
        <f>IF(COUNTIF(EXTRATO!$A$2:$A$3000,"BAN-02550")=0,"","BAN-02550")</f>
        <v/>
      </c>
      <c r="B2693" s="85" t="str">
        <f>IF(A2693="","",IF(INDEX(EXTRATO!$C$2:$C$3000,MATCH($A2693,EXTRATO!$A$2:$A$3000,0))="","",INDEX(EXTRATO!$C$2:$C$3000,MATCH($A2693,EXTRATO!$A$2:$A$3000,0))))</f>
        <v/>
      </c>
      <c r="C2693" s="86" t="str">
        <f t="shared" si="70"/>
        <v/>
      </c>
      <c r="D2693" s="81"/>
      <c r="E2693" s="79"/>
      <c r="F2693" s="80" t="str">
        <f>IF(A2693="","",SUMIF(EXTRATO!$A$2:$A$3000,$A2693,EXTRATO!$J$2:$J$3000)+SUMIF(EXTRATO!$A$2:$A$3000,$A2693,EXTRATO!$K$2:$K$3000)+SUMIF(EXTRATO!$A$2:$A$3000,$A2693,EXTRATO!$L$2:$L$3000)+SUMIF(EXTRATO!$A$2:$A$3000,$A2693,EXTRATO!$M$2:$M$3000))</f>
        <v/>
      </c>
      <c r="G2693" s="81" t="str">
        <f>IF(A2693="","",IF(INDEX(EXTRATO!$G$2:$G$3000,MATCH($A2693,EXTRATO!$A$2:$A$3000,0))="","",INDEX(EXTRATO!$G$2:$G$3000,MATCH($A2693,EXTRATO!$A$2:$A$3000,0))))</f>
        <v/>
      </c>
      <c r="H2693" s="86" t="str">
        <f>IF(A2693="","",IF(INDEX(EXTRATO!$F$2:$F$3000,MATCH($A2693,EXTRATO!$A$2:$A$3000,0))="","",INDEX(EXTRATO!$F$2:$F$3000,MATCH($A2693,EXTRATO!$A$2:$A$3000,0))))</f>
        <v/>
      </c>
      <c r="I2693" s="88" t="str">
        <f>IF(A2693="","",IF(INDEX(EXTRATO!$H$2:$H$3000,MATCH($A2693,EXTRATO!$A$2:$A$3000,0))="","",INDEX(EXTRATO!$H$2:$H$3000,MATCH($A2693,EXTRATO!$A$2:$A$3000,0))))</f>
        <v/>
      </c>
      <c r="J2693" s="86" t="str">
        <f t="shared" si="71"/>
        <v/>
      </c>
      <c r="K2693" s="86" t="str">
        <f>IF(AND(A2693="",D2693="",E2693="",F2693=""),"",IF(D2693="","SEM CATEGORIA",IF(E2693="","SEM SUBCATEGORIA",IF(COUNTIFS(CADASTROS!$L$7:$L$93,D2693,CADASTROS!$D$7:$D$93,E2693)=0,"INCOMPATÍVEL","OK"))))</f>
        <v/>
      </c>
    </row>
    <row r="2694" spans="1:11" ht="30" hidden="1" customHeight="1" x14ac:dyDescent="0.25">
      <c r="A2694" s="86" t="str">
        <f>IF(COUNTIF(EXTRATO!$A$2:$A$3000,"BAN-02551")=0,"","BAN-02551")</f>
        <v/>
      </c>
      <c r="B2694" s="85" t="str">
        <f>IF(A2694="","",IF(INDEX(EXTRATO!$C$2:$C$3000,MATCH($A2694,EXTRATO!$A$2:$A$3000,0))="","",INDEX(EXTRATO!$C$2:$C$3000,MATCH($A2694,EXTRATO!$A$2:$A$3000,0))))</f>
        <v/>
      </c>
      <c r="C2694" s="86" t="str">
        <f t="shared" si="70"/>
        <v/>
      </c>
      <c r="D2694" s="81"/>
      <c r="E2694" s="79"/>
      <c r="F2694" s="80" t="str">
        <f>IF(A2694="","",SUMIF(EXTRATO!$A$2:$A$3000,$A2694,EXTRATO!$J$2:$J$3000)+SUMIF(EXTRATO!$A$2:$A$3000,$A2694,EXTRATO!$K$2:$K$3000)+SUMIF(EXTRATO!$A$2:$A$3000,$A2694,EXTRATO!$L$2:$L$3000)+SUMIF(EXTRATO!$A$2:$A$3000,$A2694,EXTRATO!$M$2:$M$3000))</f>
        <v/>
      </c>
      <c r="G2694" s="81" t="str">
        <f>IF(A2694="","",IF(INDEX(EXTRATO!$G$2:$G$3000,MATCH($A2694,EXTRATO!$A$2:$A$3000,0))="","",INDEX(EXTRATO!$G$2:$G$3000,MATCH($A2694,EXTRATO!$A$2:$A$3000,0))))</f>
        <v/>
      </c>
      <c r="H2694" s="86" t="str">
        <f>IF(A2694="","",IF(INDEX(EXTRATO!$F$2:$F$3000,MATCH($A2694,EXTRATO!$A$2:$A$3000,0))="","",INDEX(EXTRATO!$F$2:$F$3000,MATCH($A2694,EXTRATO!$A$2:$A$3000,0))))</f>
        <v/>
      </c>
      <c r="I2694" s="88" t="str">
        <f>IF(A2694="","",IF(INDEX(EXTRATO!$H$2:$H$3000,MATCH($A2694,EXTRATO!$A$2:$A$3000,0))="","",INDEX(EXTRATO!$H$2:$H$3000,MATCH($A2694,EXTRATO!$A$2:$A$3000,0))))</f>
        <v/>
      </c>
      <c r="J2694" s="86" t="str">
        <f t="shared" si="71"/>
        <v/>
      </c>
      <c r="K2694" s="86" t="str">
        <f>IF(AND(A2694="",D2694="",E2694="",F2694=""),"",IF(D2694="","SEM CATEGORIA",IF(E2694="","SEM SUBCATEGORIA",IF(COUNTIFS(CADASTROS!$L$7:$L$93,D2694,CADASTROS!$D$7:$D$93,E2694)=0,"INCOMPATÍVEL","OK"))))</f>
        <v/>
      </c>
    </row>
    <row r="2695" spans="1:11" ht="30" hidden="1" customHeight="1" x14ac:dyDescent="0.25">
      <c r="A2695" s="86" t="str">
        <f>IF(COUNTIF(EXTRATO!$A$2:$A$3000,"BAN-02552")=0,"","BAN-02552")</f>
        <v/>
      </c>
      <c r="B2695" s="85" t="str">
        <f>IF(A2695="","",IF(INDEX(EXTRATO!$C$2:$C$3000,MATCH($A2695,EXTRATO!$A$2:$A$3000,0))="","",INDEX(EXTRATO!$C$2:$C$3000,MATCH($A2695,EXTRATO!$A$2:$A$3000,0))))</f>
        <v/>
      </c>
      <c r="C2695" s="86" t="str">
        <f t="shared" si="70"/>
        <v/>
      </c>
      <c r="D2695" s="81"/>
      <c r="E2695" s="79"/>
      <c r="F2695" s="80" t="str">
        <f>IF(A2695="","",SUMIF(EXTRATO!$A$2:$A$3000,$A2695,EXTRATO!$J$2:$J$3000)+SUMIF(EXTRATO!$A$2:$A$3000,$A2695,EXTRATO!$K$2:$K$3000)+SUMIF(EXTRATO!$A$2:$A$3000,$A2695,EXTRATO!$L$2:$L$3000)+SUMIF(EXTRATO!$A$2:$A$3000,$A2695,EXTRATO!$M$2:$M$3000))</f>
        <v/>
      </c>
      <c r="G2695" s="81" t="str">
        <f>IF(A2695="","",IF(INDEX(EXTRATO!$G$2:$G$3000,MATCH($A2695,EXTRATO!$A$2:$A$3000,0))="","",INDEX(EXTRATO!$G$2:$G$3000,MATCH($A2695,EXTRATO!$A$2:$A$3000,0))))</f>
        <v/>
      </c>
      <c r="H2695" s="86" t="str">
        <f>IF(A2695="","",IF(INDEX(EXTRATO!$F$2:$F$3000,MATCH($A2695,EXTRATO!$A$2:$A$3000,0))="","",INDEX(EXTRATO!$F$2:$F$3000,MATCH($A2695,EXTRATO!$A$2:$A$3000,0))))</f>
        <v/>
      </c>
      <c r="I2695" s="88" t="str">
        <f>IF(A2695="","",IF(INDEX(EXTRATO!$H$2:$H$3000,MATCH($A2695,EXTRATO!$A$2:$A$3000,0))="","",INDEX(EXTRATO!$H$2:$H$3000,MATCH($A2695,EXTRATO!$A$2:$A$3000,0))))</f>
        <v/>
      </c>
      <c r="J2695" s="86" t="str">
        <f t="shared" si="71"/>
        <v/>
      </c>
      <c r="K2695" s="86" t="str">
        <f>IF(AND(A2695="",D2695="",E2695="",F2695=""),"",IF(D2695="","SEM CATEGORIA",IF(E2695="","SEM SUBCATEGORIA",IF(COUNTIFS(CADASTROS!$L$7:$L$93,D2695,CADASTROS!$D$7:$D$93,E2695)=0,"INCOMPATÍVEL","OK"))))</f>
        <v/>
      </c>
    </row>
    <row r="2696" spans="1:11" ht="30" hidden="1" customHeight="1" x14ac:dyDescent="0.25">
      <c r="A2696" s="86" t="str">
        <f>IF(COUNTIF(EXTRATO!$A$2:$A$3000,"BAN-02553")=0,"","BAN-02553")</f>
        <v/>
      </c>
      <c r="B2696" s="85" t="str">
        <f>IF(A2696="","",IF(INDEX(EXTRATO!$C$2:$C$3000,MATCH($A2696,EXTRATO!$A$2:$A$3000,0))="","",INDEX(EXTRATO!$C$2:$C$3000,MATCH($A2696,EXTRATO!$A$2:$A$3000,0))))</f>
        <v/>
      </c>
      <c r="C2696" s="86" t="str">
        <f t="shared" si="70"/>
        <v/>
      </c>
      <c r="D2696" s="81"/>
      <c r="E2696" s="79"/>
      <c r="F2696" s="80" t="str">
        <f>IF(A2696="","",SUMIF(EXTRATO!$A$2:$A$3000,$A2696,EXTRATO!$J$2:$J$3000)+SUMIF(EXTRATO!$A$2:$A$3000,$A2696,EXTRATO!$K$2:$K$3000)+SUMIF(EXTRATO!$A$2:$A$3000,$A2696,EXTRATO!$L$2:$L$3000)+SUMIF(EXTRATO!$A$2:$A$3000,$A2696,EXTRATO!$M$2:$M$3000))</f>
        <v/>
      </c>
      <c r="G2696" s="81" t="str">
        <f>IF(A2696="","",IF(INDEX(EXTRATO!$G$2:$G$3000,MATCH($A2696,EXTRATO!$A$2:$A$3000,0))="","",INDEX(EXTRATO!$G$2:$G$3000,MATCH($A2696,EXTRATO!$A$2:$A$3000,0))))</f>
        <v/>
      </c>
      <c r="H2696" s="86" t="str">
        <f>IF(A2696="","",IF(INDEX(EXTRATO!$F$2:$F$3000,MATCH($A2696,EXTRATO!$A$2:$A$3000,0))="","",INDEX(EXTRATO!$F$2:$F$3000,MATCH($A2696,EXTRATO!$A$2:$A$3000,0))))</f>
        <v/>
      </c>
      <c r="I2696" s="88" t="str">
        <f>IF(A2696="","",IF(INDEX(EXTRATO!$H$2:$H$3000,MATCH($A2696,EXTRATO!$A$2:$A$3000,0))="","",INDEX(EXTRATO!$H$2:$H$3000,MATCH($A2696,EXTRATO!$A$2:$A$3000,0))))</f>
        <v/>
      </c>
      <c r="J2696" s="86" t="str">
        <f t="shared" si="71"/>
        <v/>
      </c>
      <c r="K2696" s="86" t="str">
        <f>IF(AND(A2696="",D2696="",E2696="",F2696=""),"",IF(D2696="","SEM CATEGORIA",IF(E2696="","SEM SUBCATEGORIA",IF(COUNTIFS(CADASTROS!$L$7:$L$93,D2696,CADASTROS!$D$7:$D$93,E2696)=0,"INCOMPATÍVEL","OK"))))</f>
        <v/>
      </c>
    </row>
    <row r="2697" spans="1:11" ht="30" hidden="1" customHeight="1" x14ac:dyDescent="0.25">
      <c r="A2697" s="86" t="str">
        <f>IF(COUNTIF(EXTRATO!$A$2:$A$3000,"BAN-02554")=0,"","BAN-02554")</f>
        <v/>
      </c>
      <c r="B2697" s="85" t="str">
        <f>IF(A2697="","",IF(INDEX(EXTRATO!$C$2:$C$3000,MATCH($A2697,EXTRATO!$A$2:$A$3000,0))="","",INDEX(EXTRATO!$C$2:$C$3000,MATCH($A2697,EXTRATO!$A$2:$A$3000,0))))</f>
        <v/>
      </c>
      <c r="C2697" s="86" t="str">
        <f t="shared" si="70"/>
        <v/>
      </c>
      <c r="D2697" s="81"/>
      <c r="E2697" s="79"/>
      <c r="F2697" s="80" t="str">
        <f>IF(A2697="","",SUMIF(EXTRATO!$A$2:$A$3000,$A2697,EXTRATO!$J$2:$J$3000)+SUMIF(EXTRATO!$A$2:$A$3000,$A2697,EXTRATO!$K$2:$K$3000)+SUMIF(EXTRATO!$A$2:$A$3000,$A2697,EXTRATO!$L$2:$L$3000)+SUMIF(EXTRATO!$A$2:$A$3000,$A2697,EXTRATO!$M$2:$M$3000))</f>
        <v/>
      </c>
      <c r="G2697" s="81" t="str">
        <f>IF(A2697="","",IF(INDEX(EXTRATO!$G$2:$G$3000,MATCH($A2697,EXTRATO!$A$2:$A$3000,0))="","",INDEX(EXTRATO!$G$2:$G$3000,MATCH($A2697,EXTRATO!$A$2:$A$3000,0))))</f>
        <v/>
      </c>
      <c r="H2697" s="86" t="str">
        <f>IF(A2697="","",IF(INDEX(EXTRATO!$F$2:$F$3000,MATCH($A2697,EXTRATO!$A$2:$A$3000,0))="","",INDEX(EXTRATO!$F$2:$F$3000,MATCH($A2697,EXTRATO!$A$2:$A$3000,0))))</f>
        <v/>
      </c>
      <c r="I2697" s="88" t="str">
        <f>IF(A2697="","",IF(INDEX(EXTRATO!$H$2:$H$3000,MATCH($A2697,EXTRATO!$A$2:$A$3000,0))="","",INDEX(EXTRATO!$H$2:$H$3000,MATCH($A2697,EXTRATO!$A$2:$A$3000,0))))</f>
        <v/>
      </c>
      <c r="J2697" s="86" t="str">
        <f t="shared" si="71"/>
        <v/>
      </c>
      <c r="K2697" s="86" t="str">
        <f>IF(AND(A2697="",D2697="",E2697="",F2697=""),"",IF(D2697="","SEM CATEGORIA",IF(E2697="","SEM SUBCATEGORIA",IF(COUNTIFS(CADASTROS!$L$7:$L$93,D2697,CADASTROS!$D$7:$D$93,E2697)=0,"INCOMPATÍVEL","OK"))))</f>
        <v/>
      </c>
    </row>
    <row r="2698" spans="1:11" ht="30" hidden="1" customHeight="1" x14ac:dyDescent="0.25">
      <c r="A2698" s="86" t="str">
        <f>IF(COUNTIF(EXTRATO!$A$2:$A$3000,"BAN-02555")=0,"","BAN-02555")</f>
        <v/>
      </c>
      <c r="B2698" s="85" t="str">
        <f>IF(A2698="","",IF(INDEX(EXTRATO!$C$2:$C$3000,MATCH($A2698,EXTRATO!$A$2:$A$3000,0))="","",INDEX(EXTRATO!$C$2:$C$3000,MATCH($A2698,EXTRATO!$A$2:$A$3000,0))))</f>
        <v/>
      </c>
      <c r="C2698" s="86" t="str">
        <f t="shared" si="70"/>
        <v/>
      </c>
      <c r="D2698" s="81"/>
      <c r="E2698" s="79"/>
      <c r="F2698" s="80" t="str">
        <f>IF(A2698="","",SUMIF(EXTRATO!$A$2:$A$3000,$A2698,EXTRATO!$J$2:$J$3000)+SUMIF(EXTRATO!$A$2:$A$3000,$A2698,EXTRATO!$K$2:$K$3000)+SUMIF(EXTRATO!$A$2:$A$3000,$A2698,EXTRATO!$L$2:$L$3000)+SUMIF(EXTRATO!$A$2:$A$3000,$A2698,EXTRATO!$M$2:$M$3000))</f>
        <v/>
      </c>
      <c r="G2698" s="81" t="str">
        <f>IF(A2698="","",IF(INDEX(EXTRATO!$G$2:$G$3000,MATCH($A2698,EXTRATO!$A$2:$A$3000,0))="","",INDEX(EXTRATO!$G$2:$G$3000,MATCH($A2698,EXTRATO!$A$2:$A$3000,0))))</f>
        <v/>
      </c>
      <c r="H2698" s="86" t="str">
        <f>IF(A2698="","",IF(INDEX(EXTRATO!$F$2:$F$3000,MATCH($A2698,EXTRATO!$A$2:$A$3000,0))="","",INDEX(EXTRATO!$F$2:$F$3000,MATCH($A2698,EXTRATO!$A$2:$A$3000,0))))</f>
        <v/>
      </c>
      <c r="I2698" s="88" t="str">
        <f>IF(A2698="","",IF(INDEX(EXTRATO!$H$2:$H$3000,MATCH($A2698,EXTRATO!$A$2:$A$3000,0))="","",INDEX(EXTRATO!$H$2:$H$3000,MATCH($A2698,EXTRATO!$A$2:$A$3000,0))))</f>
        <v/>
      </c>
      <c r="J2698" s="86" t="str">
        <f t="shared" si="71"/>
        <v/>
      </c>
      <c r="K2698" s="86" t="str">
        <f>IF(AND(A2698="",D2698="",E2698="",F2698=""),"",IF(D2698="","SEM CATEGORIA",IF(E2698="","SEM SUBCATEGORIA",IF(COUNTIFS(CADASTROS!$L$7:$L$93,D2698,CADASTROS!$D$7:$D$93,E2698)=0,"INCOMPATÍVEL","OK"))))</f>
        <v/>
      </c>
    </row>
    <row r="2699" spans="1:11" ht="30" hidden="1" customHeight="1" x14ac:dyDescent="0.25">
      <c r="A2699" s="86" t="str">
        <f>IF(COUNTIF(EXTRATO!$A$2:$A$3000,"BAN-02556")=0,"","BAN-02556")</f>
        <v/>
      </c>
      <c r="B2699" s="85" t="str">
        <f>IF(A2699="","",IF(INDEX(EXTRATO!$C$2:$C$3000,MATCH($A2699,EXTRATO!$A$2:$A$3000,0))="","",INDEX(EXTRATO!$C$2:$C$3000,MATCH($A2699,EXTRATO!$A$2:$A$3000,0))))</f>
        <v/>
      </c>
      <c r="C2699" s="86" t="str">
        <f t="shared" si="70"/>
        <v/>
      </c>
      <c r="D2699" s="81"/>
      <c r="E2699" s="79"/>
      <c r="F2699" s="80" t="str">
        <f>IF(A2699="","",SUMIF(EXTRATO!$A$2:$A$3000,$A2699,EXTRATO!$J$2:$J$3000)+SUMIF(EXTRATO!$A$2:$A$3000,$A2699,EXTRATO!$K$2:$K$3000)+SUMIF(EXTRATO!$A$2:$A$3000,$A2699,EXTRATO!$L$2:$L$3000)+SUMIF(EXTRATO!$A$2:$A$3000,$A2699,EXTRATO!$M$2:$M$3000))</f>
        <v/>
      </c>
      <c r="G2699" s="81" t="str">
        <f>IF(A2699="","",IF(INDEX(EXTRATO!$G$2:$G$3000,MATCH($A2699,EXTRATO!$A$2:$A$3000,0))="","",INDEX(EXTRATO!$G$2:$G$3000,MATCH($A2699,EXTRATO!$A$2:$A$3000,0))))</f>
        <v/>
      </c>
      <c r="H2699" s="86" t="str">
        <f>IF(A2699="","",IF(INDEX(EXTRATO!$F$2:$F$3000,MATCH($A2699,EXTRATO!$A$2:$A$3000,0))="","",INDEX(EXTRATO!$F$2:$F$3000,MATCH($A2699,EXTRATO!$A$2:$A$3000,0))))</f>
        <v/>
      </c>
      <c r="I2699" s="88" t="str">
        <f>IF(A2699="","",IF(INDEX(EXTRATO!$H$2:$H$3000,MATCH($A2699,EXTRATO!$A$2:$A$3000,0))="","",INDEX(EXTRATO!$H$2:$H$3000,MATCH($A2699,EXTRATO!$A$2:$A$3000,0))))</f>
        <v/>
      </c>
      <c r="J2699" s="86" t="str">
        <f t="shared" si="71"/>
        <v/>
      </c>
      <c r="K2699" s="86" t="str">
        <f>IF(AND(A2699="",D2699="",E2699="",F2699=""),"",IF(D2699="","SEM CATEGORIA",IF(E2699="","SEM SUBCATEGORIA",IF(COUNTIFS(CADASTROS!$L$7:$L$93,D2699,CADASTROS!$D$7:$D$93,E2699)=0,"INCOMPATÍVEL","OK"))))</f>
        <v/>
      </c>
    </row>
    <row r="2700" spans="1:11" ht="30" hidden="1" customHeight="1" x14ac:dyDescent="0.25">
      <c r="A2700" s="86" t="str">
        <f>IF(COUNTIF(EXTRATO!$A$2:$A$3000,"BAN-02557")=0,"","BAN-02557")</f>
        <v/>
      </c>
      <c r="B2700" s="85" t="str">
        <f>IF(A2700="","",IF(INDEX(EXTRATO!$C$2:$C$3000,MATCH($A2700,EXTRATO!$A$2:$A$3000,0))="","",INDEX(EXTRATO!$C$2:$C$3000,MATCH($A2700,EXTRATO!$A$2:$A$3000,0))))</f>
        <v/>
      </c>
      <c r="C2700" s="86" t="str">
        <f t="shared" si="70"/>
        <v/>
      </c>
      <c r="D2700" s="81"/>
      <c r="E2700" s="79"/>
      <c r="F2700" s="80" t="str">
        <f>IF(A2700="","",SUMIF(EXTRATO!$A$2:$A$3000,$A2700,EXTRATO!$J$2:$J$3000)+SUMIF(EXTRATO!$A$2:$A$3000,$A2700,EXTRATO!$K$2:$K$3000)+SUMIF(EXTRATO!$A$2:$A$3000,$A2700,EXTRATO!$L$2:$L$3000)+SUMIF(EXTRATO!$A$2:$A$3000,$A2700,EXTRATO!$M$2:$M$3000))</f>
        <v/>
      </c>
      <c r="G2700" s="81" t="str">
        <f>IF(A2700="","",IF(INDEX(EXTRATO!$G$2:$G$3000,MATCH($A2700,EXTRATO!$A$2:$A$3000,0))="","",INDEX(EXTRATO!$G$2:$G$3000,MATCH($A2700,EXTRATO!$A$2:$A$3000,0))))</f>
        <v/>
      </c>
      <c r="H2700" s="86" t="str">
        <f>IF(A2700="","",IF(INDEX(EXTRATO!$F$2:$F$3000,MATCH($A2700,EXTRATO!$A$2:$A$3000,0))="","",INDEX(EXTRATO!$F$2:$F$3000,MATCH($A2700,EXTRATO!$A$2:$A$3000,0))))</f>
        <v/>
      </c>
      <c r="I2700" s="88" t="str">
        <f>IF(A2700="","",IF(INDEX(EXTRATO!$H$2:$H$3000,MATCH($A2700,EXTRATO!$A$2:$A$3000,0))="","",INDEX(EXTRATO!$H$2:$H$3000,MATCH($A2700,EXTRATO!$A$2:$A$3000,0))))</f>
        <v/>
      </c>
      <c r="J2700" s="86" t="str">
        <f t="shared" si="71"/>
        <v/>
      </c>
      <c r="K2700" s="86" t="str">
        <f>IF(AND(A2700="",D2700="",E2700="",F2700=""),"",IF(D2700="","SEM CATEGORIA",IF(E2700="","SEM SUBCATEGORIA",IF(COUNTIFS(CADASTROS!$L$7:$L$93,D2700,CADASTROS!$D$7:$D$93,E2700)=0,"INCOMPATÍVEL","OK"))))</f>
        <v/>
      </c>
    </row>
    <row r="2701" spans="1:11" ht="30" hidden="1" customHeight="1" x14ac:dyDescent="0.25">
      <c r="A2701" s="86" t="str">
        <f>IF(COUNTIF(EXTRATO!$A$2:$A$3000,"BAN-02558")=0,"","BAN-02558")</f>
        <v/>
      </c>
      <c r="B2701" s="85" t="str">
        <f>IF(A2701="","",IF(INDEX(EXTRATO!$C$2:$C$3000,MATCH($A2701,EXTRATO!$A$2:$A$3000,0))="","",INDEX(EXTRATO!$C$2:$C$3000,MATCH($A2701,EXTRATO!$A$2:$A$3000,0))))</f>
        <v/>
      </c>
      <c r="C2701" s="86" t="str">
        <f t="shared" si="70"/>
        <v/>
      </c>
      <c r="D2701" s="81"/>
      <c r="E2701" s="79"/>
      <c r="F2701" s="80" t="str">
        <f>IF(A2701="","",SUMIF(EXTRATO!$A$2:$A$3000,$A2701,EXTRATO!$J$2:$J$3000)+SUMIF(EXTRATO!$A$2:$A$3000,$A2701,EXTRATO!$K$2:$K$3000)+SUMIF(EXTRATO!$A$2:$A$3000,$A2701,EXTRATO!$L$2:$L$3000)+SUMIF(EXTRATO!$A$2:$A$3000,$A2701,EXTRATO!$M$2:$M$3000))</f>
        <v/>
      </c>
      <c r="G2701" s="81" t="str">
        <f>IF(A2701="","",IF(INDEX(EXTRATO!$G$2:$G$3000,MATCH($A2701,EXTRATO!$A$2:$A$3000,0))="","",INDEX(EXTRATO!$G$2:$G$3000,MATCH($A2701,EXTRATO!$A$2:$A$3000,0))))</f>
        <v/>
      </c>
      <c r="H2701" s="86" t="str">
        <f>IF(A2701="","",IF(INDEX(EXTRATO!$F$2:$F$3000,MATCH($A2701,EXTRATO!$A$2:$A$3000,0))="","",INDEX(EXTRATO!$F$2:$F$3000,MATCH($A2701,EXTRATO!$A$2:$A$3000,0))))</f>
        <v/>
      </c>
      <c r="I2701" s="88" t="str">
        <f>IF(A2701="","",IF(INDEX(EXTRATO!$H$2:$H$3000,MATCH($A2701,EXTRATO!$A$2:$A$3000,0))="","",INDEX(EXTRATO!$H$2:$H$3000,MATCH($A2701,EXTRATO!$A$2:$A$3000,0))))</f>
        <v/>
      </c>
      <c r="J2701" s="86" t="str">
        <f t="shared" si="71"/>
        <v/>
      </c>
      <c r="K2701" s="86" t="str">
        <f>IF(AND(A2701="",D2701="",E2701="",F2701=""),"",IF(D2701="","SEM CATEGORIA",IF(E2701="","SEM SUBCATEGORIA",IF(COUNTIFS(CADASTROS!$L$7:$L$93,D2701,CADASTROS!$D$7:$D$93,E2701)=0,"INCOMPATÍVEL","OK"))))</f>
        <v/>
      </c>
    </row>
    <row r="2702" spans="1:11" ht="30" hidden="1" customHeight="1" x14ac:dyDescent="0.25">
      <c r="A2702" s="86" t="str">
        <f>IF(COUNTIF(EXTRATO!$A$2:$A$3000,"BAN-02559")=0,"","BAN-02559")</f>
        <v/>
      </c>
      <c r="B2702" s="85" t="str">
        <f>IF(A2702="","",IF(INDEX(EXTRATO!$C$2:$C$3000,MATCH($A2702,EXTRATO!$A$2:$A$3000,0))="","",INDEX(EXTRATO!$C$2:$C$3000,MATCH($A2702,EXTRATO!$A$2:$A$3000,0))))</f>
        <v/>
      </c>
      <c r="C2702" s="86" t="str">
        <f t="shared" si="70"/>
        <v/>
      </c>
      <c r="D2702" s="81"/>
      <c r="E2702" s="79"/>
      <c r="F2702" s="80" t="str">
        <f>IF(A2702="","",SUMIF(EXTRATO!$A$2:$A$3000,$A2702,EXTRATO!$J$2:$J$3000)+SUMIF(EXTRATO!$A$2:$A$3000,$A2702,EXTRATO!$K$2:$K$3000)+SUMIF(EXTRATO!$A$2:$A$3000,$A2702,EXTRATO!$L$2:$L$3000)+SUMIF(EXTRATO!$A$2:$A$3000,$A2702,EXTRATO!$M$2:$M$3000))</f>
        <v/>
      </c>
      <c r="G2702" s="81" t="str">
        <f>IF(A2702="","",IF(INDEX(EXTRATO!$G$2:$G$3000,MATCH($A2702,EXTRATO!$A$2:$A$3000,0))="","",INDEX(EXTRATO!$G$2:$G$3000,MATCH($A2702,EXTRATO!$A$2:$A$3000,0))))</f>
        <v/>
      </c>
      <c r="H2702" s="86" t="str">
        <f>IF(A2702="","",IF(INDEX(EXTRATO!$F$2:$F$3000,MATCH($A2702,EXTRATO!$A$2:$A$3000,0))="","",INDEX(EXTRATO!$F$2:$F$3000,MATCH($A2702,EXTRATO!$A$2:$A$3000,0))))</f>
        <v/>
      </c>
      <c r="I2702" s="88" t="str">
        <f>IF(A2702="","",IF(INDEX(EXTRATO!$H$2:$H$3000,MATCH($A2702,EXTRATO!$A$2:$A$3000,0))="","",INDEX(EXTRATO!$H$2:$H$3000,MATCH($A2702,EXTRATO!$A$2:$A$3000,0))))</f>
        <v/>
      </c>
      <c r="J2702" s="86" t="str">
        <f t="shared" si="71"/>
        <v/>
      </c>
      <c r="K2702" s="86" t="str">
        <f>IF(AND(A2702="",D2702="",E2702="",F2702=""),"",IF(D2702="","SEM CATEGORIA",IF(E2702="","SEM SUBCATEGORIA",IF(COUNTIFS(CADASTROS!$L$7:$L$93,D2702,CADASTROS!$D$7:$D$93,E2702)=0,"INCOMPATÍVEL","OK"))))</f>
        <v/>
      </c>
    </row>
    <row r="2703" spans="1:11" ht="30" hidden="1" customHeight="1" x14ac:dyDescent="0.25">
      <c r="A2703" s="86" t="str">
        <f>IF(COUNTIF(EXTRATO!$A$2:$A$3000,"BAN-02560")=0,"","BAN-02560")</f>
        <v/>
      </c>
      <c r="B2703" s="85" t="str">
        <f>IF(A2703="","",IF(INDEX(EXTRATO!$C$2:$C$3000,MATCH($A2703,EXTRATO!$A$2:$A$3000,0))="","",INDEX(EXTRATO!$C$2:$C$3000,MATCH($A2703,EXTRATO!$A$2:$A$3000,0))))</f>
        <v/>
      </c>
      <c r="C2703" s="86" t="str">
        <f t="shared" si="70"/>
        <v/>
      </c>
      <c r="D2703" s="81"/>
      <c r="E2703" s="79"/>
      <c r="F2703" s="80" t="str">
        <f>IF(A2703="","",SUMIF(EXTRATO!$A$2:$A$3000,$A2703,EXTRATO!$J$2:$J$3000)+SUMIF(EXTRATO!$A$2:$A$3000,$A2703,EXTRATO!$K$2:$K$3000)+SUMIF(EXTRATO!$A$2:$A$3000,$A2703,EXTRATO!$L$2:$L$3000)+SUMIF(EXTRATO!$A$2:$A$3000,$A2703,EXTRATO!$M$2:$M$3000))</f>
        <v/>
      </c>
      <c r="G2703" s="81" t="str">
        <f>IF(A2703="","",IF(INDEX(EXTRATO!$G$2:$G$3000,MATCH($A2703,EXTRATO!$A$2:$A$3000,0))="","",INDEX(EXTRATO!$G$2:$G$3000,MATCH($A2703,EXTRATO!$A$2:$A$3000,0))))</f>
        <v/>
      </c>
      <c r="H2703" s="86" t="str">
        <f>IF(A2703="","",IF(INDEX(EXTRATO!$F$2:$F$3000,MATCH($A2703,EXTRATO!$A$2:$A$3000,0))="","",INDEX(EXTRATO!$F$2:$F$3000,MATCH($A2703,EXTRATO!$A$2:$A$3000,0))))</f>
        <v/>
      </c>
      <c r="I2703" s="88" t="str">
        <f>IF(A2703="","",IF(INDEX(EXTRATO!$H$2:$H$3000,MATCH($A2703,EXTRATO!$A$2:$A$3000,0))="","",INDEX(EXTRATO!$H$2:$H$3000,MATCH($A2703,EXTRATO!$A$2:$A$3000,0))))</f>
        <v/>
      </c>
      <c r="J2703" s="86" t="str">
        <f t="shared" si="71"/>
        <v/>
      </c>
      <c r="K2703" s="86" t="str">
        <f>IF(AND(A2703="",D2703="",E2703="",F2703=""),"",IF(D2703="","SEM CATEGORIA",IF(E2703="","SEM SUBCATEGORIA",IF(COUNTIFS(CADASTROS!$L$7:$L$93,D2703,CADASTROS!$D$7:$D$93,E2703)=0,"INCOMPATÍVEL","OK"))))</f>
        <v/>
      </c>
    </row>
    <row r="2704" spans="1:11" ht="30" hidden="1" customHeight="1" x14ac:dyDescent="0.25">
      <c r="A2704" s="86" t="str">
        <f>IF(COUNTIF(EXTRATO!$A$2:$A$3000,"BAN-02561")=0,"","BAN-02561")</f>
        <v/>
      </c>
      <c r="B2704" s="85" t="str">
        <f>IF(A2704="","",IF(INDEX(EXTRATO!$C$2:$C$3000,MATCH($A2704,EXTRATO!$A$2:$A$3000,0))="","",INDEX(EXTRATO!$C$2:$C$3000,MATCH($A2704,EXTRATO!$A$2:$A$3000,0))))</f>
        <v/>
      </c>
      <c r="C2704" s="86" t="str">
        <f t="shared" si="70"/>
        <v/>
      </c>
      <c r="D2704" s="81"/>
      <c r="E2704" s="79"/>
      <c r="F2704" s="80" t="str">
        <f>IF(A2704="","",SUMIF(EXTRATO!$A$2:$A$3000,$A2704,EXTRATO!$J$2:$J$3000)+SUMIF(EXTRATO!$A$2:$A$3000,$A2704,EXTRATO!$K$2:$K$3000)+SUMIF(EXTRATO!$A$2:$A$3000,$A2704,EXTRATO!$L$2:$L$3000)+SUMIF(EXTRATO!$A$2:$A$3000,$A2704,EXTRATO!$M$2:$M$3000))</f>
        <v/>
      </c>
      <c r="G2704" s="81" t="str">
        <f>IF(A2704="","",IF(INDEX(EXTRATO!$G$2:$G$3000,MATCH($A2704,EXTRATO!$A$2:$A$3000,0))="","",INDEX(EXTRATO!$G$2:$G$3000,MATCH($A2704,EXTRATO!$A$2:$A$3000,0))))</f>
        <v/>
      </c>
      <c r="H2704" s="86" t="str">
        <f>IF(A2704="","",IF(INDEX(EXTRATO!$F$2:$F$3000,MATCH($A2704,EXTRATO!$A$2:$A$3000,0))="","",INDEX(EXTRATO!$F$2:$F$3000,MATCH($A2704,EXTRATO!$A$2:$A$3000,0))))</f>
        <v/>
      </c>
      <c r="I2704" s="88" t="str">
        <f>IF(A2704="","",IF(INDEX(EXTRATO!$H$2:$H$3000,MATCH($A2704,EXTRATO!$A$2:$A$3000,0))="","",INDEX(EXTRATO!$H$2:$H$3000,MATCH($A2704,EXTRATO!$A$2:$A$3000,0))))</f>
        <v/>
      </c>
      <c r="J2704" s="86" t="str">
        <f t="shared" si="71"/>
        <v/>
      </c>
      <c r="K2704" s="86" t="str">
        <f>IF(AND(A2704="",D2704="",E2704="",F2704=""),"",IF(D2704="","SEM CATEGORIA",IF(E2704="","SEM SUBCATEGORIA",IF(COUNTIFS(CADASTROS!$L$7:$L$93,D2704,CADASTROS!$D$7:$D$93,E2704)=0,"INCOMPATÍVEL","OK"))))</f>
        <v/>
      </c>
    </row>
    <row r="2705" spans="1:11" ht="30" hidden="1" customHeight="1" x14ac:dyDescent="0.25">
      <c r="A2705" s="86" t="str">
        <f>IF(COUNTIF(EXTRATO!$A$2:$A$3000,"BAN-02562")=0,"","BAN-02562")</f>
        <v/>
      </c>
      <c r="B2705" s="85" t="str">
        <f>IF(A2705="","",IF(INDEX(EXTRATO!$C$2:$C$3000,MATCH($A2705,EXTRATO!$A$2:$A$3000,0))="","",INDEX(EXTRATO!$C$2:$C$3000,MATCH($A2705,EXTRATO!$A$2:$A$3000,0))))</f>
        <v/>
      </c>
      <c r="C2705" s="86" t="str">
        <f t="shared" si="70"/>
        <v/>
      </c>
      <c r="D2705" s="81"/>
      <c r="E2705" s="79"/>
      <c r="F2705" s="80" t="str">
        <f>IF(A2705="","",SUMIF(EXTRATO!$A$2:$A$3000,$A2705,EXTRATO!$J$2:$J$3000)+SUMIF(EXTRATO!$A$2:$A$3000,$A2705,EXTRATO!$K$2:$K$3000)+SUMIF(EXTRATO!$A$2:$A$3000,$A2705,EXTRATO!$L$2:$L$3000)+SUMIF(EXTRATO!$A$2:$A$3000,$A2705,EXTRATO!$M$2:$M$3000))</f>
        <v/>
      </c>
      <c r="G2705" s="81" t="str">
        <f>IF(A2705="","",IF(INDEX(EXTRATO!$G$2:$G$3000,MATCH($A2705,EXTRATO!$A$2:$A$3000,0))="","",INDEX(EXTRATO!$G$2:$G$3000,MATCH($A2705,EXTRATO!$A$2:$A$3000,0))))</f>
        <v/>
      </c>
      <c r="H2705" s="86" t="str">
        <f>IF(A2705="","",IF(INDEX(EXTRATO!$F$2:$F$3000,MATCH($A2705,EXTRATO!$A$2:$A$3000,0))="","",INDEX(EXTRATO!$F$2:$F$3000,MATCH($A2705,EXTRATO!$A$2:$A$3000,0))))</f>
        <v/>
      </c>
      <c r="I2705" s="88" t="str">
        <f>IF(A2705="","",IF(INDEX(EXTRATO!$H$2:$H$3000,MATCH($A2705,EXTRATO!$A$2:$A$3000,0))="","",INDEX(EXTRATO!$H$2:$H$3000,MATCH($A2705,EXTRATO!$A$2:$A$3000,0))))</f>
        <v/>
      </c>
      <c r="J2705" s="86" t="str">
        <f t="shared" si="71"/>
        <v/>
      </c>
      <c r="K2705" s="86" t="str">
        <f>IF(AND(A2705="",D2705="",E2705="",F2705=""),"",IF(D2705="","SEM CATEGORIA",IF(E2705="","SEM SUBCATEGORIA",IF(COUNTIFS(CADASTROS!$L$7:$L$93,D2705,CADASTROS!$D$7:$D$93,E2705)=0,"INCOMPATÍVEL","OK"))))</f>
        <v/>
      </c>
    </row>
    <row r="2706" spans="1:11" ht="30" hidden="1" customHeight="1" x14ac:dyDescent="0.25">
      <c r="A2706" s="86" t="str">
        <f>IF(COUNTIF(EXTRATO!$A$2:$A$3000,"BAN-02563")=0,"","BAN-02563")</f>
        <v/>
      </c>
      <c r="B2706" s="85" t="str">
        <f>IF(A2706="","",IF(INDEX(EXTRATO!$C$2:$C$3000,MATCH($A2706,EXTRATO!$A$2:$A$3000,0))="","",INDEX(EXTRATO!$C$2:$C$3000,MATCH($A2706,EXTRATO!$A$2:$A$3000,0))))</f>
        <v/>
      </c>
      <c r="C2706" s="86" t="str">
        <f t="shared" si="70"/>
        <v/>
      </c>
      <c r="D2706" s="81"/>
      <c r="E2706" s="79"/>
      <c r="F2706" s="80" t="str">
        <f>IF(A2706="","",SUMIF(EXTRATO!$A$2:$A$3000,$A2706,EXTRATO!$J$2:$J$3000)+SUMIF(EXTRATO!$A$2:$A$3000,$A2706,EXTRATO!$K$2:$K$3000)+SUMIF(EXTRATO!$A$2:$A$3000,$A2706,EXTRATO!$L$2:$L$3000)+SUMIF(EXTRATO!$A$2:$A$3000,$A2706,EXTRATO!$M$2:$M$3000))</f>
        <v/>
      </c>
      <c r="G2706" s="81" t="str">
        <f>IF(A2706="","",IF(INDEX(EXTRATO!$G$2:$G$3000,MATCH($A2706,EXTRATO!$A$2:$A$3000,0))="","",INDEX(EXTRATO!$G$2:$G$3000,MATCH($A2706,EXTRATO!$A$2:$A$3000,0))))</f>
        <v/>
      </c>
      <c r="H2706" s="86" t="str">
        <f>IF(A2706="","",IF(INDEX(EXTRATO!$F$2:$F$3000,MATCH($A2706,EXTRATO!$A$2:$A$3000,0))="","",INDEX(EXTRATO!$F$2:$F$3000,MATCH($A2706,EXTRATO!$A$2:$A$3000,0))))</f>
        <v/>
      </c>
      <c r="I2706" s="88" t="str">
        <f>IF(A2706="","",IF(INDEX(EXTRATO!$H$2:$H$3000,MATCH($A2706,EXTRATO!$A$2:$A$3000,0))="","",INDEX(EXTRATO!$H$2:$H$3000,MATCH($A2706,EXTRATO!$A$2:$A$3000,0))))</f>
        <v/>
      </c>
      <c r="J2706" s="86" t="str">
        <f t="shared" si="71"/>
        <v/>
      </c>
      <c r="K2706" s="86" t="str">
        <f>IF(AND(A2706="",D2706="",E2706="",F2706=""),"",IF(D2706="","SEM CATEGORIA",IF(E2706="","SEM SUBCATEGORIA",IF(COUNTIFS(CADASTROS!$L$7:$L$93,D2706,CADASTROS!$D$7:$D$93,E2706)=0,"INCOMPATÍVEL","OK"))))</f>
        <v/>
      </c>
    </row>
    <row r="2707" spans="1:11" ht="30" hidden="1" customHeight="1" x14ac:dyDescent="0.25">
      <c r="A2707" s="86" t="str">
        <f>IF(COUNTIF(EXTRATO!$A$2:$A$3000,"BAN-02564")=0,"","BAN-02564")</f>
        <v/>
      </c>
      <c r="B2707" s="85" t="str">
        <f>IF(A2707="","",IF(INDEX(EXTRATO!$C$2:$C$3000,MATCH($A2707,EXTRATO!$A$2:$A$3000,0))="","",INDEX(EXTRATO!$C$2:$C$3000,MATCH($A2707,EXTRATO!$A$2:$A$3000,0))))</f>
        <v/>
      </c>
      <c r="C2707" s="86" t="str">
        <f t="shared" si="70"/>
        <v/>
      </c>
      <c r="D2707" s="81"/>
      <c r="E2707" s="79"/>
      <c r="F2707" s="80" t="str">
        <f>IF(A2707="","",SUMIF(EXTRATO!$A$2:$A$3000,$A2707,EXTRATO!$J$2:$J$3000)+SUMIF(EXTRATO!$A$2:$A$3000,$A2707,EXTRATO!$K$2:$K$3000)+SUMIF(EXTRATO!$A$2:$A$3000,$A2707,EXTRATO!$L$2:$L$3000)+SUMIF(EXTRATO!$A$2:$A$3000,$A2707,EXTRATO!$M$2:$M$3000))</f>
        <v/>
      </c>
      <c r="G2707" s="81" t="str">
        <f>IF(A2707="","",IF(INDEX(EXTRATO!$G$2:$G$3000,MATCH($A2707,EXTRATO!$A$2:$A$3000,0))="","",INDEX(EXTRATO!$G$2:$G$3000,MATCH($A2707,EXTRATO!$A$2:$A$3000,0))))</f>
        <v/>
      </c>
      <c r="H2707" s="86" t="str">
        <f>IF(A2707="","",IF(INDEX(EXTRATO!$F$2:$F$3000,MATCH($A2707,EXTRATO!$A$2:$A$3000,0))="","",INDEX(EXTRATO!$F$2:$F$3000,MATCH($A2707,EXTRATO!$A$2:$A$3000,0))))</f>
        <v/>
      </c>
      <c r="I2707" s="88" t="str">
        <f>IF(A2707="","",IF(INDEX(EXTRATO!$H$2:$H$3000,MATCH($A2707,EXTRATO!$A$2:$A$3000,0))="","",INDEX(EXTRATO!$H$2:$H$3000,MATCH($A2707,EXTRATO!$A$2:$A$3000,0))))</f>
        <v/>
      </c>
      <c r="J2707" s="86" t="str">
        <f t="shared" si="71"/>
        <v/>
      </c>
      <c r="K2707" s="86" t="str">
        <f>IF(AND(A2707="",D2707="",E2707="",F2707=""),"",IF(D2707="","SEM CATEGORIA",IF(E2707="","SEM SUBCATEGORIA",IF(COUNTIFS(CADASTROS!$L$7:$L$93,D2707,CADASTROS!$D$7:$D$93,E2707)=0,"INCOMPATÍVEL","OK"))))</f>
        <v/>
      </c>
    </row>
    <row r="2708" spans="1:11" ht="30" hidden="1" customHeight="1" x14ac:dyDescent="0.25">
      <c r="A2708" s="86" t="str">
        <f>IF(COUNTIF(EXTRATO!$A$2:$A$3000,"BAN-02565")=0,"","BAN-02565")</f>
        <v/>
      </c>
      <c r="B2708" s="85" t="str">
        <f>IF(A2708="","",IF(INDEX(EXTRATO!$C$2:$C$3000,MATCH($A2708,EXTRATO!$A$2:$A$3000,0))="","",INDEX(EXTRATO!$C$2:$C$3000,MATCH($A2708,EXTRATO!$A$2:$A$3000,0))))</f>
        <v/>
      </c>
      <c r="C2708" s="86" t="str">
        <f t="shared" si="70"/>
        <v/>
      </c>
      <c r="D2708" s="81"/>
      <c r="E2708" s="79"/>
      <c r="F2708" s="80" t="str">
        <f>IF(A2708="","",SUMIF(EXTRATO!$A$2:$A$3000,$A2708,EXTRATO!$J$2:$J$3000)+SUMIF(EXTRATO!$A$2:$A$3000,$A2708,EXTRATO!$K$2:$K$3000)+SUMIF(EXTRATO!$A$2:$A$3000,$A2708,EXTRATO!$L$2:$L$3000)+SUMIF(EXTRATO!$A$2:$A$3000,$A2708,EXTRATO!$M$2:$M$3000))</f>
        <v/>
      </c>
      <c r="G2708" s="81" t="str">
        <f>IF(A2708="","",IF(INDEX(EXTRATO!$G$2:$G$3000,MATCH($A2708,EXTRATO!$A$2:$A$3000,0))="","",INDEX(EXTRATO!$G$2:$G$3000,MATCH($A2708,EXTRATO!$A$2:$A$3000,0))))</f>
        <v/>
      </c>
      <c r="H2708" s="86" t="str">
        <f>IF(A2708="","",IF(INDEX(EXTRATO!$F$2:$F$3000,MATCH($A2708,EXTRATO!$A$2:$A$3000,0))="","",INDEX(EXTRATO!$F$2:$F$3000,MATCH($A2708,EXTRATO!$A$2:$A$3000,0))))</f>
        <v/>
      </c>
      <c r="I2708" s="88" t="str">
        <f>IF(A2708="","",IF(INDEX(EXTRATO!$H$2:$H$3000,MATCH($A2708,EXTRATO!$A$2:$A$3000,0))="","",INDEX(EXTRATO!$H$2:$H$3000,MATCH($A2708,EXTRATO!$A$2:$A$3000,0))))</f>
        <v/>
      </c>
      <c r="J2708" s="86" t="str">
        <f t="shared" si="71"/>
        <v/>
      </c>
      <c r="K2708" s="86" t="str">
        <f>IF(AND(A2708="",D2708="",E2708="",F2708=""),"",IF(D2708="","SEM CATEGORIA",IF(E2708="","SEM SUBCATEGORIA",IF(COUNTIFS(CADASTROS!$L$7:$L$93,D2708,CADASTROS!$D$7:$D$93,E2708)=0,"INCOMPATÍVEL","OK"))))</f>
        <v/>
      </c>
    </row>
    <row r="2709" spans="1:11" ht="30" hidden="1" customHeight="1" x14ac:dyDescent="0.25">
      <c r="A2709" s="86" t="str">
        <f>IF(COUNTIF(EXTRATO!$A$2:$A$3000,"BAN-02566")=0,"","BAN-02566")</f>
        <v/>
      </c>
      <c r="B2709" s="85" t="str">
        <f>IF(A2709="","",IF(INDEX(EXTRATO!$C$2:$C$3000,MATCH($A2709,EXTRATO!$A$2:$A$3000,0))="","",INDEX(EXTRATO!$C$2:$C$3000,MATCH($A2709,EXTRATO!$A$2:$A$3000,0))))</f>
        <v/>
      </c>
      <c r="C2709" s="86" t="str">
        <f t="shared" ref="C2709:C2772" si="72">IF(B2709="","",MONTH(B2709))</f>
        <v/>
      </c>
      <c r="D2709" s="81"/>
      <c r="E2709" s="79"/>
      <c r="F2709" s="80" t="str">
        <f>IF(A2709="","",SUMIF(EXTRATO!$A$2:$A$3000,$A2709,EXTRATO!$J$2:$J$3000)+SUMIF(EXTRATO!$A$2:$A$3000,$A2709,EXTRATO!$K$2:$K$3000)+SUMIF(EXTRATO!$A$2:$A$3000,$A2709,EXTRATO!$L$2:$L$3000)+SUMIF(EXTRATO!$A$2:$A$3000,$A2709,EXTRATO!$M$2:$M$3000))</f>
        <v/>
      </c>
      <c r="G2709" s="81" t="str">
        <f>IF(A2709="","",IF(INDEX(EXTRATO!$G$2:$G$3000,MATCH($A2709,EXTRATO!$A$2:$A$3000,0))="","",INDEX(EXTRATO!$G$2:$G$3000,MATCH($A2709,EXTRATO!$A$2:$A$3000,0))))</f>
        <v/>
      </c>
      <c r="H2709" s="86" t="str">
        <f>IF(A2709="","",IF(INDEX(EXTRATO!$F$2:$F$3000,MATCH($A2709,EXTRATO!$A$2:$A$3000,0))="","",INDEX(EXTRATO!$F$2:$F$3000,MATCH($A2709,EXTRATO!$A$2:$A$3000,0))))</f>
        <v/>
      </c>
      <c r="I2709" s="88" t="str">
        <f>IF(A2709="","",IF(INDEX(EXTRATO!$H$2:$H$3000,MATCH($A2709,EXTRATO!$A$2:$A$3000,0))="","",INDEX(EXTRATO!$H$2:$H$3000,MATCH($A2709,EXTRATO!$A$2:$A$3000,0))))</f>
        <v/>
      </c>
      <c r="J2709" s="86" t="str">
        <f t="shared" si="71"/>
        <v/>
      </c>
      <c r="K2709" s="86" t="str">
        <f>IF(AND(A2709="",D2709="",E2709="",F2709=""),"",IF(D2709="","SEM CATEGORIA",IF(E2709="","SEM SUBCATEGORIA",IF(COUNTIFS(CADASTROS!$L$7:$L$93,D2709,CADASTROS!$D$7:$D$93,E2709)=0,"INCOMPATÍVEL","OK"))))</f>
        <v/>
      </c>
    </row>
    <row r="2710" spans="1:11" ht="30" hidden="1" customHeight="1" x14ac:dyDescent="0.25">
      <c r="A2710" s="86" t="str">
        <f>IF(COUNTIF(EXTRATO!$A$2:$A$3000,"BAN-02567")=0,"","BAN-02567")</f>
        <v/>
      </c>
      <c r="B2710" s="85" t="str">
        <f>IF(A2710="","",IF(INDEX(EXTRATO!$C$2:$C$3000,MATCH($A2710,EXTRATO!$A$2:$A$3000,0))="","",INDEX(EXTRATO!$C$2:$C$3000,MATCH($A2710,EXTRATO!$A$2:$A$3000,0))))</f>
        <v/>
      </c>
      <c r="C2710" s="86" t="str">
        <f t="shared" si="72"/>
        <v/>
      </c>
      <c r="D2710" s="81"/>
      <c r="E2710" s="79"/>
      <c r="F2710" s="80" t="str">
        <f>IF(A2710="","",SUMIF(EXTRATO!$A$2:$A$3000,$A2710,EXTRATO!$J$2:$J$3000)+SUMIF(EXTRATO!$A$2:$A$3000,$A2710,EXTRATO!$K$2:$K$3000)+SUMIF(EXTRATO!$A$2:$A$3000,$A2710,EXTRATO!$L$2:$L$3000)+SUMIF(EXTRATO!$A$2:$A$3000,$A2710,EXTRATO!$M$2:$M$3000))</f>
        <v/>
      </c>
      <c r="G2710" s="81" t="str">
        <f>IF(A2710="","",IF(INDEX(EXTRATO!$G$2:$G$3000,MATCH($A2710,EXTRATO!$A$2:$A$3000,0))="","",INDEX(EXTRATO!$G$2:$G$3000,MATCH($A2710,EXTRATO!$A$2:$A$3000,0))))</f>
        <v/>
      </c>
      <c r="H2710" s="86" t="str">
        <f>IF(A2710="","",IF(INDEX(EXTRATO!$F$2:$F$3000,MATCH($A2710,EXTRATO!$A$2:$A$3000,0))="","",INDEX(EXTRATO!$F$2:$F$3000,MATCH($A2710,EXTRATO!$A$2:$A$3000,0))))</f>
        <v/>
      </c>
      <c r="I2710" s="88" t="str">
        <f>IF(A2710="","",IF(INDEX(EXTRATO!$H$2:$H$3000,MATCH($A2710,EXTRATO!$A$2:$A$3000,0))="","",INDEX(EXTRATO!$H$2:$H$3000,MATCH($A2710,EXTRATO!$A$2:$A$3000,0))))</f>
        <v/>
      </c>
      <c r="J2710" s="86" t="str">
        <f t="shared" si="71"/>
        <v/>
      </c>
      <c r="K2710" s="86" t="str">
        <f>IF(AND(A2710="",D2710="",E2710="",F2710=""),"",IF(D2710="","SEM CATEGORIA",IF(E2710="","SEM SUBCATEGORIA",IF(COUNTIFS(CADASTROS!$L$7:$L$93,D2710,CADASTROS!$D$7:$D$93,E2710)=0,"INCOMPATÍVEL","OK"))))</f>
        <v/>
      </c>
    </row>
    <row r="2711" spans="1:11" ht="30" hidden="1" customHeight="1" x14ac:dyDescent="0.25">
      <c r="A2711" s="86" t="str">
        <f>IF(COUNTIF(EXTRATO!$A$2:$A$3000,"BAN-02568")=0,"","BAN-02568")</f>
        <v/>
      </c>
      <c r="B2711" s="85" t="str">
        <f>IF(A2711="","",IF(INDEX(EXTRATO!$C$2:$C$3000,MATCH($A2711,EXTRATO!$A$2:$A$3000,0))="","",INDEX(EXTRATO!$C$2:$C$3000,MATCH($A2711,EXTRATO!$A$2:$A$3000,0))))</f>
        <v/>
      </c>
      <c r="C2711" s="86" t="str">
        <f t="shared" si="72"/>
        <v/>
      </c>
      <c r="D2711" s="81"/>
      <c r="E2711" s="79"/>
      <c r="F2711" s="80" t="str">
        <f>IF(A2711="","",SUMIF(EXTRATO!$A$2:$A$3000,$A2711,EXTRATO!$J$2:$J$3000)+SUMIF(EXTRATO!$A$2:$A$3000,$A2711,EXTRATO!$K$2:$K$3000)+SUMIF(EXTRATO!$A$2:$A$3000,$A2711,EXTRATO!$L$2:$L$3000)+SUMIF(EXTRATO!$A$2:$A$3000,$A2711,EXTRATO!$M$2:$M$3000))</f>
        <v/>
      </c>
      <c r="G2711" s="81" t="str">
        <f>IF(A2711="","",IF(INDEX(EXTRATO!$G$2:$G$3000,MATCH($A2711,EXTRATO!$A$2:$A$3000,0))="","",INDEX(EXTRATO!$G$2:$G$3000,MATCH($A2711,EXTRATO!$A$2:$A$3000,0))))</f>
        <v/>
      </c>
      <c r="H2711" s="86" t="str">
        <f>IF(A2711="","",IF(INDEX(EXTRATO!$F$2:$F$3000,MATCH($A2711,EXTRATO!$A$2:$A$3000,0))="","",INDEX(EXTRATO!$F$2:$F$3000,MATCH($A2711,EXTRATO!$A$2:$A$3000,0))))</f>
        <v/>
      </c>
      <c r="I2711" s="88" t="str">
        <f>IF(A2711="","",IF(INDEX(EXTRATO!$H$2:$H$3000,MATCH($A2711,EXTRATO!$A$2:$A$3000,0))="","",INDEX(EXTRATO!$H$2:$H$3000,MATCH($A2711,EXTRATO!$A$2:$A$3000,0))))</f>
        <v/>
      </c>
      <c r="J2711" s="86" t="str">
        <f t="shared" si="71"/>
        <v/>
      </c>
      <c r="K2711" s="86" t="str">
        <f>IF(AND(A2711="",D2711="",E2711="",F2711=""),"",IF(D2711="","SEM CATEGORIA",IF(E2711="","SEM SUBCATEGORIA",IF(COUNTIFS(CADASTROS!$L$7:$L$93,D2711,CADASTROS!$D$7:$D$93,E2711)=0,"INCOMPATÍVEL","OK"))))</f>
        <v/>
      </c>
    </row>
    <row r="2712" spans="1:11" ht="30" hidden="1" customHeight="1" x14ac:dyDescent="0.25">
      <c r="A2712" s="86" t="str">
        <f>IF(COUNTIF(EXTRATO!$A$2:$A$3000,"BAN-02569")=0,"","BAN-02569")</f>
        <v/>
      </c>
      <c r="B2712" s="85" t="str">
        <f>IF(A2712="","",IF(INDEX(EXTRATO!$C$2:$C$3000,MATCH($A2712,EXTRATO!$A$2:$A$3000,0))="","",INDEX(EXTRATO!$C$2:$C$3000,MATCH($A2712,EXTRATO!$A$2:$A$3000,0))))</f>
        <v/>
      </c>
      <c r="C2712" s="86" t="str">
        <f t="shared" si="72"/>
        <v/>
      </c>
      <c r="D2712" s="81"/>
      <c r="E2712" s="79"/>
      <c r="F2712" s="80" t="str">
        <f>IF(A2712="","",SUMIF(EXTRATO!$A$2:$A$3000,$A2712,EXTRATO!$J$2:$J$3000)+SUMIF(EXTRATO!$A$2:$A$3000,$A2712,EXTRATO!$K$2:$K$3000)+SUMIF(EXTRATO!$A$2:$A$3000,$A2712,EXTRATO!$L$2:$L$3000)+SUMIF(EXTRATO!$A$2:$A$3000,$A2712,EXTRATO!$M$2:$M$3000))</f>
        <v/>
      </c>
      <c r="G2712" s="81" t="str">
        <f>IF(A2712="","",IF(INDEX(EXTRATO!$G$2:$G$3000,MATCH($A2712,EXTRATO!$A$2:$A$3000,0))="","",INDEX(EXTRATO!$G$2:$G$3000,MATCH($A2712,EXTRATO!$A$2:$A$3000,0))))</f>
        <v/>
      </c>
      <c r="H2712" s="86" t="str">
        <f>IF(A2712="","",IF(INDEX(EXTRATO!$F$2:$F$3000,MATCH($A2712,EXTRATO!$A$2:$A$3000,0))="","",INDEX(EXTRATO!$F$2:$F$3000,MATCH($A2712,EXTRATO!$A$2:$A$3000,0))))</f>
        <v/>
      </c>
      <c r="I2712" s="88" t="str">
        <f>IF(A2712="","",IF(INDEX(EXTRATO!$H$2:$H$3000,MATCH($A2712,EXTRATO!$A$2:$A$3000,0))="","",INDEX(EXTRATO!$H$2:$H$3000,MATCH($A2712,EXTRATO!$A$2:$A$3000,0))))</f>
        <v/>
      </c>
      <c r="J2712" s="86" t="str">
        <f t="shared" si="71"/>
        <v/>
      </c>
      <c r="K2712" s="86" t="str">
        <f>IF(AND(A2712="",D2712="",E2712="",F2712=""),"",IF(D2712="","SEM CATEGORIA",IF(E2712="","SEM SUBCATEGORIA",IF(COUNTIFS(CADASTROS!$L$7:$L$93,D2712,CADASTROS!$D$7:$D$93,E2712)=0,"INCOMPATÍVEL","OK"))))</f>
        <v/>
      </c>
    </row>
    <row r="2713" spans="1:11" ht="30" hidden="1" customHeight="1" x14ac:dyDescent="0.25">
      <c r="A2713" s="86" t="str">
        <f>IF(COUNTIF(EXTRATO!$A$2:$A$3000,"BAN-02570")=0,"","BAN-02570")</f>
        <v/>
      </c>
      <c r="B2713" s="85" t="str">
        <f>IF(A2713="","",IF(INDEX(EXTRATO!$C$2:$C$3000,MATCH($A2713,EXTRATO!$A$2:$A$3000,0))="","",INDEX(EXTRATO!$C$2:$C$3000,MATCH($A2713,EXTRATO!$A$2:$A$3000,0))))</f>
        <v/>
      </c>
      <c r="C2713" s="86" t="str">
        <f t="shared" si="72"/>
        <v/>
      </c>
      <c r="D2713" s="81"/>
      <c r="E2713" s="79"/>
      <c r="F2713" s="80" t="str">
        <f>IF(A2713="","",SUMIF(EXTRATO!$A$2:$A$3000,$A2713,EXTRATO!$J$2:$J$3000)+SUMIF(EXTRATO!$A$2:$A$3000,$A2713,EXTRATO!$K$2:$K$3000)+SUMIF(EXTRATO!$A$2:$A$3000,$A2713,EXTRATO!$L$2:$L$3000)+SUMIF(EXTRATO!$A$2:$A$3000,$A2713,EXTRATO!$M$2:$M$3000))</f>
        <v/>
      </c>
      <c r="G2713" s="81" t="str">
        <f>IF(A2713="","",IF(INDEX(EXTRATO!$G$2:$G$3000,MATCH($A2713,EXTRATO!$A$2:$A$3000,0))="","",INDEX(EXTRATO!$G$2:$G$3000,MATCH($A2713,EXTRATO!$A$2:$A$3000,0))))</f>
        <v/>
      </c>
      <c r="H2713" s="86" t="str">
        <f>IF(A2713="","",IF(INDEX(EXTRATO!$F$2:$F$3000,MATCH($A2713,EXTRATO!$A$2:$A$3000,0))="","",INDEX(EXTRATO!$F$2:$F$3000,MATCH($A2713,EXTRATO!$A$2:$A$3000,0))))</f>
        <v/>
      </c>
      <c r="I2713" s="88" t="str">
        <f>IF(A2713="","",IF(INDEX(EXTRATO!$H$2:$H$3000,MATCH($A2713,EXTRATO!$A$2:$A$3000,0))="","",INDEX(EXTRATO!$H$2:$H$3000,MATCH($A2713,EXTRATO!$A$2:$A$3000,0))))</f>
        <v/>
      </c>
      <c r="J2713" s="86" t="str">
        <f t="shared" si="71"/>
        <v/>
      </c>
      <c r="K2713" s="86" t="str">
        <f>IF(AND(A2713="",D2713="",E2713="",F2713=""),"",IF(D2713="","SEM CATEGORIA",IF(E2713="","SEM SUBCATEGORIA",IF(COUNTIFS(CADASTROS!$L$7:$L$93,D2713,CADASTROS!$D$7:$D$93,E2713)=0,"INCOMPATÍVEL","OK"))))</f>
        <v/>
      </c>
    </row>
    <row r="2714" spans="1:11" ht="30" hidden="1" customHeight="1" x14ac:dyDescent="0.25">
      <c r="A2714" s="86" t="str">
        <f>IF(COUNTIF(EXTRATO!$A$2:$A$3000,"BAN-02571")=0,"","BAN-02571")</f>
        <v/>
      </c>
      <c r="B2714" s="85" t="str">
        <f>IF(A2714="","",IF(INDEX(EXTRATO!$C$2:$C$3000,MATCH($A2714,EXTRATO!$A$2:$A$3000,0))="","",INDEX(EXTRATO!$C$2:$C$3000,MATCH($A2714,EXTRATO!$A$2:$A$3000,0))))</f>
        <v/>
      </c>
      <c r="C2714" s="86" t="str">
        <f t="shared" si="72"/>
        <v/>
      </c>
      <c r="D2714" s="81"/>
      <c r="E2714" s="79"/>
      <c r="F2714" s="80" t="str">
        <f>IF(A2714="","",SUMIF(EXTRATO!$A$2:$A$3000,$A2714,EXTRATO!$J$2:$J$3000)+SUMIF(EXTRATO!$A$2:$A$3000,$A2714,EXTRATO!$K$2:$K$3000)+SUMIF(EXTRATO!$A$2:$A$3000,$A2714,EXTRATO!$L$2:$L$3000)+SUMIF(EXTRATO!$A$2:$A$3000,$A2714,EXTRATO!$M$2:$M$3000))</f>
        <v/>
      </c>
      <c r="G2714" s="81" t="str">
        <f>IF(A2714="","",IF(INDEX(EXTRATO!$G$2:$G$3000,MATCH($A2714,EXTRATO!$A$2:$A$3000,0))="","",INDEX(EXTRATO!$G$2:$G$3000,MATCH($A2714,EXTRATO!$A$2:$A$3000,0))))</f>
        <v/>
      </c>
      <c r="H2714" s="86" t="str">
        <f>IF(A2714="","",IF(INDEX(EXTRATO!$F$2:$F$3000,MATCH($A2714,EXTRATO!$A$2:$A$3000,0))="","",INDEX(EXTRATO!$F$2:$F$3000,MATCH($A2714,EXTRATO!$A$2:$A$3000,0))))</f>
        <v/>
      </c>
      <c r="I2714" s="88" t="str">
        <f>IF(A2714="","",IF(INDEX(EXTRATO!$H$2:$H$3000,MATCH($A2714,EXTRATO!$A$2:$A$3000,0))="","",INDEX(EXTRATO!$H$2:$H$3000,MATCH($A2714,EXTRATO!$A$2:$A$3000,0))))</f>
        <v/>
      </c>
      <c r="J2714" s="86" t="str">
        <f t="shared" si="71"/>
        <v/>
      </c>
      <c r="K2714" s="86" t="str">
        <f>IF(AND(A2714="",D2714="",E2714="",F2714=""),"",IF(D2714="","SEM CATEGORIA",IF(E2714="","SEM SUBCATEGORIA",IF(COUNTIFS(CADASTROS!$L$7:$L$93,D2714,CADASTROS!$D$7:$D$93,E2714)=0,"INCOMPATÍVEL","OK"))))</f>
        <v/>
      </c>
    </row>
    <row r="2715" spans="1:11" ht="30" hidden="1" customHeight="1" x14ac:dyDescent="0.25">
      <c r="A2715" s="86" t="str">
        <f>IF(COUNTIF(EXTRATO!$A$2:$A$3000,"BAN-02572")=0,"","BAN-02572")</f>
        <v/>
      </c>
      <c r="B2715" s="85" t="str">
        <f>IF(A2715="","",IF(INDEX(EXTRATO!$C$2:$C$3000,MATCH($A2715,EXTRATO!$A$2:$A$3000,0))="","",INDEX(EXTRATO!$C$2:$C$3000,MATCH($A2715,EXTRATO!$A$2:$A$3000,0))))</f>
        <v/>
      </c>
      <c r="C2715" s="86" t="str">
        <f t="shared" si="72"/>
        <v/>
      </c>
      <c r="D2715" s="81"/>
      <c r="E2715" s="79"/>
      <c r="F2715" s="80" t="str">
        <f>IF(A2715="","",SUMIF(EXTRATO!$A$2:$A$3000,$A2715,EXTRATO!$J$2:$J$3000)+SUMIF(EXTRATO!$A$2:$A$3000,$A2715,EXTRATO!$K$2:$K$3000)+SUMIF(EXTRATO!$A$2:$A$3000,$A2715,EXTRATO!$L$2:$L$3000)+SUMIF(EXTRATO!$A$2:$A$3000,$A2715,EXTRATO!$M$2:$M$3000))</f>
        <v/>
      </c>
      <c r="G2715" s="81" t="str">
        <f>IF(A2715="","",IF(INDEX(EXTRATO!$G$2:$G$3000,MATCH($A2715,EXTRATO!$A$2:$A$3000,0))="","",INDEX(EXTRATO!$G$2:$G$3000,MATCH($A2715,EXTRATO!$A$2:$A$3000,0))))</f>
        <v/>
      </c>
      <c r="H2715" s="86" t="str">
        <f>IF(A2715="","",IF(INDEX(EXTRATO!$F$2:$F$3000,MATCH($A2715,EXTRATO!$A$2:$A$3000,0))="","",INDEX(EXTRATO!$F$2:$F$3000,MATCH($A2715,EXTRATO!$A$2:$A$3000,0))))</f>
        <v/>
      </c>
      <c r="I2715" s="88" t="str">
        <f>IF(A2715="","",IF(INDEX(EXTRATO!$H$2:$H$3000,MATCH($A2715,EXTRATO!$A$2:$A$3000,0))="","",INDEX(EXTRATO!$H$2:$H$3000,MATCH($A2715,EXTRATO!$A$2:$A$3000,0))))</f>
        <v/>
      </c>
      <c r="J2715" s="86" t="str">
        <f t="shared" si="71"/>
        <v/>
      </c>
      <c r="K2715" s="86" t="str">
        <f>IF(AND(A2715="",D2715="",E2715="",F2715=""),"",IF(D2715="","SEM CATEGORIA",IF(E2715="","SEM SUBCATEGORIA",IF(COUNTIFS(CADASTROS!$L$7:$L$93,D2715,CADASTROS!$D$7:$D$93,E2715)=0,"INCOMPATÍVEL","OK"))))</f>
        <v/>
      </c>
    </row>
    <row r="2716" spans="1:11" ht="30" hidden="1" customHeight="1" x14ac:dyDescent="0.25">
      <c r="A2716" s="86" t="str">
        <f>IF(COUNTIF(EXTRATO!$A$2:$A$3000,"BAN-02573")=0,"","BAN-02573")</f>
        <v/>
      </c>
      <c r="B2716" s="85" t="str">
        <f>IF(A2716="","",IF(INDEX(EXTRATO!$C$2:$C$3000,MATCH($A2716,EXTRATO!$A$2:$A$3000,0))="","",INDEX(EXTRATO!$C$2:$C$3000,MATCH($A2716,EXTRATO!$A$2:$A$3000,0))))</f>
        <v/>
      </c>
      <c r="C2716" s="86" t="str">
        <f t="shared" si="72"/>
        <v/>
      </c>
      <c r="D2716" s="81"/>
      <c r="E2716" s="79"/>
      <c r="F2716" s="80" t="str">
        <f>IF(A2716="","",SUMIF(EXTRATO!$A$2:$A$3000,$A2716,EXTRATO!$J$2:$J$3000)+SUMIF(EXTRATO!$A$2:$A$3000,$A2716,EXTRATO!$K$2:$K$3000)+SUMIF(EXTRATO!$A$2:$A$3000,$A2716,EXTRATO!$L$2:$L$3000)+SUMIF(EXTRATO!$A$2:$A$3000,$A2716,EXTRATO!$M$2:$M$3000))</f>
        <v/>
      </c>
      <c r="G2716" s="81" t="str">
        <f>IF(A2716="","",IF(INDEX(EXTRATO!$G$2:$G$3000,MATCH($A2716,EXTRATO!$A$2:$A$3000,0))="","",INDEX(EXTRATO!$G$2:$G$3000,MATCH($A2716,EXTRATO!$A$2:$A$3000,0))))</f>
        <v/>
      </c>
      <c r="H2716" s="86" t="str">
        <f>IF(A2716="","",IF(INDEX(EXTRATO!$F$2:$F$3000,MATCH($A2716,EXTRATO!$A$2:$A$3000,0))="","",INDEX(EXTRATO!$F$2:$F$3000,MATCH($A2716,EXTRATO!$A$2:$A$3000,0))))</f>
        <v/>
      </c>
      <c r="I2716" s="88" t="str">
        <f>IF(A2716="","",IF(INDEX(EXTRATO!$H$2:$H$3000,MATCH($A2716,EXTRATO!$A$2:$A$3000,0))="","",INDEX(EXTRATO!$H$2:$H$3000,MATCH($A2716,EXTRATO!$A$2:$A$3000,0))))</f>
        <v/>
      </c>
      <c r="J2716" s="86" t="str">
        <f t="shared" si="71"/>
        <v/>
      </c>
      <c r="K2716" s="86" t="str">
        <f>IF(AND(A2716="",D2716="",E2716="",F2716=""),"",IF(D2716="","SEM CATEGORIA",IF(E2716="","SEM SUBCATEGORIA",IF(COUNTIFS(CADASTROS!$L$7:$L$93,D2716,CADASTROS!$D$7:$D$93,E2716)=0,"INCOMPATÍVEL","OK"))))</f>
        <v/>
      </c>
    </row>
    <row r="2717" spans="1:11" ht="30" hidden="1" customHeight="1" x14ac:dyDescent="0.25">
      <c r="A2717" s="86" t="str">
        <f>IF(COUNTIF(EXTRATO!$A$2:$A$3000,"BAN-02574")=0,"","BAN-02574")</f>
        <v/>
      </c>
      <c r="B2717" s="85" t="str">
        <f>IF(A2717="","",IF(INDEX(EXTRATO!$C$2:$C$3000,MATCH($A2717,EXTRATO!$A$2:$A$3000,0))="","",INDEX(EXTRATO!$C$2:$C$3000,MATCH($A2717,EXTRATO!$A$2:$A$3000,0))))</f>
        <v/>
      </c>
      <c r="C2717" s="86" t="str">
        <f t="shared" si="72"/>
        <v/>
      </c>
      <c r="D2717" s="81"/>
      <c r="E2717" s="79"/>
      <c r="F2717" s="80" t="str">
        <f>IF(A2717="","",SUMIF(EXTRATO!$A$2:$A$3000,$A2717,EXTRATO!$J$2:$J$3000)+SUMIF(EXTRATO!$A$2:$A$3000,$A2717,EXTRATO!$K$2:$K$3000)+SUMIF(EXTRATO!$A$2:$A$3000,$A2717,EXTRATO!$L$2:$L$3000)+SUMIF(EXTRATO!$A$2:$A$3000,$A2717,EXTRATO!$M$2:$M$3000))</f>
        <v/>
      </c>
      <c r="G2717" s="81" t="str">
        <f>IF(A2717="","",IF(INDEX(EXTRATO!$G$2:$G$3000,MATCH($A2717,EXTRATO!$A$2:$A$3000,0))="","",INDEX(EXTRATO!$G$2:$G$3000,MATCH($A2717,EXTRATO!$A$2:$A$3000,0))))</f>
        <v/>
      </c>
      <c r="H2717" s="86" t="str">
        <f>IF(A2717="","",IF(INDEX(EXTRATO!$F$2:$F$3000,MATCH($A2717,EXTRATO!$A$2:$A$3000,0))="","",INDEX(EXTRATO!$F$2:$F$3000,MATCH($A2717,EXTRATO!$A$2:$A$3000,0))))</f>
        <v/>
      </c>
      <c r="I2717" s="88" t="str">
        <f>IF(A2717="","",IF(INDEX(EXTRATO!$H$2:$H$3000,MATCH($A2717,EXTRATO!$A$2:$A$3000,0))="","",INDEX(EXTRATO!$H$2:$H$3000,MATCH($A2717,EXTRATO!$A$2:$A$3000,0))))</f>
        <v/>
      </c>
      <c r="J2717" s="86" t="str">
        <f t="shared" si="71"/>
        <v/>
      </c>
      <c r="K2717" s="86" t="str">
        <f>IF(AND(A2717="",D2717="",E2717="",F2717=""),"",IF(D2717="","SEM CATEGORIA",IF(E2717="","SEM SUBCATEGORIA",IF(COUNTIFS(CADASTROS!$L$7:$L$93,D2717,CADASTROS!$D$7:$D$93,E2717)=0,"INCOMPATÍVEL","OK"))))</f>
        <v/>
      </c>
    </row>
    <row r="2718" spans="1:11" ht="30" hidden="1" customHeight="1" x14ac:dyDescent="0.25">
      <c r="A2718" s="86" t="str">
        <f>IF(COUNTIF(EXTRATO!$A$2:$A$3000,"BAN-02575")=0,"","BAN-02575")</f>
        <v/>
      </c>
      <c r="B2718" s="85" t="str">
        <f>IF(A2718="","",IF(INDEX(EXTRATO!$C$2:$C$3000,MATCH($A2718,EXTRATO!$A$2:$A$3000,0))="","",INDEX(EXTRATO!$C$2:$C$3000,MATCH($A2718,EXTRATO!$A$2:$A$3000,0))))</f>
        <v/>
      </c>
      <c r="C2718" s="86" t="str">
        <f t="shared" si="72"/>
        <v/>
      </c>
      <c r="D2718" s="81"/>
      <c r="E2718" s="79"/>
      <c r="F2718" s="80" t="str">
        <f>IF(A2718="","",SUMIF(EXTRATO!$A$2:$A$3000,$A2718,EXTRATO!$J$2:$J$3000)+SUMIF(EXTRATO!$A$2:$A$3000,$A2718,EXTRATO!$K$2:$K$3000)+SUMIF(EXTRATO!$A$2:$A$3000,$A2718,EXTRATO!$L$2:$L$3000)+SUMIF(EXTRATO!$A$2:$A$3000,$A2718,EXTRATO!$M$2:$M$3000))</f>
        <v/>
      </c>
      <c r="G2718" s="81" t="str">
        <f>IF(A2718="","",IF(INDEX(EXTRATO!$G$2:$G$3000,MATCH($A2718,EXTRATO!$A$2:$A$3000,0))="","",INDEX(EXTRATO!$G$2:$G$3000,MATCH($A2718,EXTRATO!$A$2:$A$3000,0))))</f>
        <v/>
      </c>
      <c r="H2718" s="86" t="str">
        <f>IF(A2718="","",IF(INDEX(EXTRATO!$F$2:$F$3000,MATCH($A2718,EXTRATO!$A$2:$A$3000,0))="","",INDEX(EXTRATO!$F$2:$F$3000,MATCH($A2718,EXTRATO!$A$2:$A$3000,0))))</f>
        <v/>
      </c>
      <c r="I2718" s="88" t="str">
        <f>IF(A2718="","",IF(INDEX(EXTRATO!$H$2:$H$3000,MATCH($A2718,EXTRATO!$A$2:$A$3000,0))="","",INDEX(EXTRATO!$H$2:$H$3000,MATCH($A2718,EXTRATO!$A$2:$A$3000,0))))</f>
        <v/>
      </c>
      <c r="J2718" s="86" t="str">
        <f t="shared" si="71"/>
        <v/>
      </c>
      <c r="K2718" s="86" t="str">
        <f>IF(AND(A2718="",D2718="",E2718="",F2718=""),"",IF(D2718="","SEM CATEGORIA",IF(E2718="","SEM SUBCATEGORIA",IF(COUNTIFS(CADASTROS!$L$7:$L$93,D2718,CADASTROS!$D$7:$D$93,E2718)=0,"INCOMPATÍVEL","OK"))))</f>
        <v/>
      </c>
    </row>
    <row r="2719" spans="1:11" ht="30" hidden="1" customHeight="1" x14ac:dyDescent="0.25">
      <c r="A2719" s="86" t="str">
        <f>IF(COUNTIF(EXTRATO!$A$2:$A$3000,"BAN-02576")=0,"","BAN-02576")</f>
        <v/>
      </c>
      <c r="B2719" s="85" t="str">
        <f>IF(A2719="","",IF(INDEX(EXTRATO!$C$2:$C$3000,MATCH($A2719,EXTRATO!$A$2:$A$3000,0))="","",INDEX(EXTRATO!$C$2:$C$3000,MATCH($A2719,EXTRATO!$A$2:$A$3000,0))))</f>
        <v/>
      </c>
      <c r="C2719" s="86" t="str">
        <f t="shared" si="72"/>
        <v/>
      </c>
      <c r="D2719" s="81"/>
      <c r="E2719" s="79"/>
      <c r="F2719" s="80" t="str">
        <f>IF(A2719="","",SUMIF(EXTRATO!$A$2:$A$3000,$A2719,EXTRATO!$J$2:$J$3000)+SUMIF(EXTRATO!$A$2:$A$3000,$A2719,EXTRATO!$K$2:$K$3000)+SUMIF(EXTRATO!$A$2:$A$3000,$A2719,EXTRATO!$L$2:$L$3000)+SUMIF(EXTRATO!$A$2:$A$3000,$A2719,EXTRATO!$M$2:$M$3000))</f>
        <v/>
      </c>
      <c r="G2719" s="81" t="str">
        <f>IF(A2719="","",IF(INDEX(EXTRATO!$G$2:$G$3000,MATCH($A2719,EXTRATO!$A$2:$A$3000,0))="","",INDEX(EXTRATO!$G$2:$G$3000,MATCH($A2719,EXTRATO!$A$2:$A$3000,0))))</f>
        <v/>
      </c>
      <c r="H2719" s="86" t="str">
        <f>IF(A2719="","",IF(INDEX(EXTRATO!$F$2:$F$3000,MATCH($A2719,EXTRATO!$A$2:$A$3000,0))="","",INDEX(EXTRATO!$F$2:$F$3000,MATCH($A2719,EXTRATO!$A$2:$A$3000,0))))</f>
        <v/>
      </c>
      <c r="I2719" s="88" t="str">
        <f>IF(A2719="","",IF(INDEX(EXTRATO!$H$2:$H$3000,MATCH($A2719,EXTRATO!$A$2:$A$3000,0))="","",INDEX(EXTRATO!$H$2:$H$3000,MATCH($A2719,EXTRATO!$A$2:$A$3000,0))))</f>
        <v/>
      </c>
      <c r="J2719" s="86" t="str">
        <f t="shared" si="71"/>
        <v/>
      </c>
      <c r="K2719" s="86" t="str">
        <f>IF(AND(A2719="",D2719="",E2719="",F2719=""),"",IF(D2719="","SEM CATEGORIA",IF(E2719="","SEM SUBCATEGORIA",IF(COUNTIFS(CADASTROS!$L$7:$L$93,D2719,CADASTROS!$D$7:$D$93,E2719)=0,"INCOMPATÍVEL","OK"))))</f>
        <v/>
      </c>
    </row>
    <row r="2720" spans="1:11" ht="30" hidden="1" customHeight="1" x14ac:dyDescent="0.25">
      <c r="A2720" s="86" t="str">
        <f>IF(COUNTIF(EXTRATO!$A$2:$A$3000,"BAN-02577")=0,"","BAN-02577")</f>
        <v/>
      </c>
      <c r="B2720" s="85" t="str">
        <f>IF(A2720="","",IF(INDEX(EXTRATO!$C$2:$C$3000,MATCH($A2720,EXTRATO!$A$2:$A$3000,0))="","",INDEX(EXTRATO!$C$2:$C$3000,MATCH($A2720,EXTRATO!$A$2:$A$3000,0))))</f>
        <v/>
      </c>
      <c r="C2720" s="86" t="str">
        <f t="shared" si="72"/>
        <v/>
      </c>
      <c r="D2720" s="81"/>
      <c r="E2720" s="79"/>
      <c r="F2720" s="80" t="str">
        <f>IF(A2720="","",SUMIF(EXTRATO!$A$2:$A$3000,$A2720,EXTRATO!$J$2:$J$3000)+SUMIF(EXTRATO!$A$2:$A$3000,$A2720,EXTRATO!$K$2:$K$3000)+SUMIF(EXTRATO!$A$2:$A$3000,$A2720,EXTRATO!$L$2:$L$3000)+SUMIF(EXTRATO!$A$2:$A$3000,$A2720,EXTRATO!$M$2:$M$3000))</f>
        <v/>
      </c>
      <c r="G2720" s="81" t="str">
        <f>IF(A2720="","",IF(INDEX(EXTRATO!$G$2:$G$3000,MATCH($A2720,EXTRATO!$A$2:$A$3000,0))="","",INDEX(EXTRATO!$G$2:$G$3000,MATCH($A2720,EXTRATO!$A$2:$A$3000,0))))</f>
        <v/>
      </c>
      <c r="H2720" s="86" t="str">
        <f>IF(A2720="","",IF(INDEX(EXTRATO!$F$2:$F$3000,MATCH($A2720,EXTRATO!$A$2:$A$3000,0))="","",INDEX(EXTRATO!$F$2:$F$3000,MATCH($A2720,EXTRATO!$A$2:$A$3000,0))))</f>
        <v/>
      </c>
      <c r="I2720" s="88" t="str">
        <f>IF(A2720="","",IF(INDEX(EXTRATO!$H$2:$H$3000,MATCH($A2720,EXTRATO!$A$2:$A$3000,0))="","",INDEX(EXTRATO!$H$2:$H$3000,MATCH($A2720,EXTRATO!$A$2:$A$3000,0))))</f>
        <v/>
      </c>
      <c r="J2720" s="86" t="str">
        <f t="shared" si="71"/>
        <v/>
      </c>
      <c r="K2720" s="86" t="str">
        <f>IF(AND(A2720="",D2720="",E2720="",F2720=""),"",IF(D2720="","SEM CATEGORIA",IF(E2720="","SEM SUBCATEGORIA",IF(COUNTIFS(CADASTROS!$L$7:$L$93,D2720,CADASTROS!$D$7:$D$93,E2720)=0,"INCOMPATÍVEL","OK"))))</f>
        <v/>
      </c>
    </row>
    <row r="2721" spans="1:11" ht="30" hidden="1" customHeight="1" x14ac:dyDescent="0.25">
      <c r="A2721" s="86" t="str">
        <f>IF(COUNTIF(EXTRATO!$A$2:$A$3000,"BAN-02578")=0,"","BAN-02578")</f>
        <v/>
      </c>
      <c r="B2721" s="85" t="str">
        <f>IF(A2721="","",IF(INDEX(EXTRATO!$C$2:$C$3000,MATCH($A2721,EXTRATO!$A$2:$A$3000,0))="","",INDEX(EXTRATO!$C$2:$C$3000,MATCH($A2721,EXTRATO!$A$2:$A$3000,0))))</f>
        <v/>
      </c>
      <c r="C2721" s="86" t="str">
        <f t="shared" si="72"/>
        <v/>
      </c>
      <c r="D2721" s="81"/>
      <c r="E2721" s="79"/>
      <c r="F2721" s="80" t="str">
        <f>IF(A2721="","",SUMIF(EXTRATO!$A$2:$A$3000,$A2721,EXTRATO!$J$2:$J$3000)+SUMIF(EXTRATO!$A$2:$A$3000,$A2721,EXTRATO!$K$2:$K$3000)+SUMIF(EXTRATO!$A$2:$A$3000,$A2721,EXTRATO!$L$2:$L$3000)+SUMIF(EXTRATO!$A$2:$A$3000,$A2721,EXTRATO!$M$2:$M$3000))</f>
        <v/>
      </c>
      <c r="G2721" s="81" t="str">
        <f>IF(A2721="","",IF(INDEX(EXTRATO!$G$2:$G$3000,MATCH($A2721,EXTRATO!$A$2:$A$3000,0))="","",INDEX(EXTRATO!$G$2:$G$3000,MATCH($A2721,EXTRATO!$A$2:$A$3000,0))))</f>
        <v/>
      </c>
      <c r="H2721" s="86" t="str">
        <f>IF(A2721="","",IF(INDEX(EXTRATO!$F$2:$F$3000,MATCH($A2721,EXTRATO!$A$2:$A$3000,0))="","",INDEX(EXTRATO!$F$2:$F$3000,MATCH($A2721,EXTRATO!$A$2:$A$3000,0))))</f>
        <v/>
      </c>
      <c r="I2721" s="88" t="str">
        <f>IF(A2721="","",IF(INDEX(EXTRATO!$H$2:$H$3000,MATCH($A2721,EXTRATO!$A$2:$A$3000,0))="","",INDEX(EXTRATO!$H$2:$H$3000,MATCH($A2721,EXTRATO!$A$2:$A$3000,0))))</f>
        <v/>
      </c>
      <c r="J2721" s="86" t="str">
        <f t="shared" si="71"/>
        <v/>
      </c>
      <c r="K2721" s="86" t="str">
        <f>IF(AND(A2721="",D2721="",E2721="",F2721=""),"",IF(D2721="","SEM CATEGORIA",IF(E2721="","SEM SUBCATEGORIA",IF(COUNTIFS(CADASTROS!$L$7:$L$93,D2721,CADASTROS!$D$7:$D$93,E2721)=0,"INCOMPATÍVEL","OK"))))</f>
        <v/>
      </c>
    </row>
    <row r="2722" spans="1:11" ht="30" hidden="1" customHeight="1" x14ac:dyDescent="0.25">
      <c r="A2722" s="86" t="str">
        <f>IF(COUNTIF(EXTRATO!$A$2:$A$3000,"BAN-02579")=0,"","BAN-02579")</f>
        <v/>
      </c>
      <c r="B2722" s="85" t="str">
        <f>IF(A2722="","",IF(INDEX(EXTRATO!$C$2:$C$3000,MATCH($A2722,EXTRATO!$A$2:$A$3000,0))="","",INDEX(EXTRATO!$C$2:$C$3000,MATCH($A2722,EXTRATO!$A$2:$A$3000,0))))</f>
        <v/>
      </c>
      <c r="C2722" s="86" t="str">
        <f t="shared" si="72"/>
        <v/>
      </c>
      <c r="D2722" s="81"/>
      <c r="E2722" s="79"/>
      <c r="F2722" s="80" t="str">
        <f>IF(A2722="","",SUMIF(EXTRATO!$A$2:$A$3000,$A2722,EXTRATO!$J$2:$J$3000)+SUMIF(EXTRATO!$A$2:$A$3000,$A2722,EXTRATO!$K$2:$K$3000)+SUMIF(EXTRATO!$A$2:$A$3000,$A2722,EXTRATO!$L$2:$L$3000)+SUMIF(EXTRATO!$A$2:$A$3000,$A2722,EXTRATO!$M$2:$M$3000))</f>
        <v/>
      </c>
      <c r="G2722" s="81" t="str">
        <f>IF(A2722="","",IF(INDEX(EXTRATO!$G$2:$G$3000,MATCH($A2722,EXTRATO!$A$2:$A$3000,0))="","",INDEX(EXTRATO!$G$2:$G$3000,MATCH($A2722,EXTRATO!$A$2:$A$3000,0))))</f>
        <v/>
      </c>
      <c r="H2722" s="86" t="str">
        <f>IF(A2722="","",IF(INDEX(EXTRATO!$F$2:$F$3000,MATCH($A2722,EXTRATO!$A$2:$A$3000,0))="","",INDEX(EXTRATO!$F$2:$F$3000,MATCH($A2722,EXTRATO!$A$2:$A$3000,0))))</f>
        <v/>
      </c>
      <c r="I2722" s="88" t="str">
        <f>IF(A2722="","",IF(INDEX(EXTRATO!$H$2:$H$3000,MATCH($A2722,EXTRATO!$A$2:$A$3000,0))="","",INDEX(EXTRATO!$H$2:$H$3000,MATCH($A2722,EXTRATO!$A$2:$A$3000,0))))</f>
        <v/>
      </c>
      <c r="J2722" s="86" t="str">
        <f t="shared" si="71"/>
        <v/>
      </c>
      <c r="K2722" s="86" t="str">
        <f>IF(AND(A2722="",D2722="",E2722="",F2722=""),"",IF(D2722="","SEM CATEGORIA",IF(E2722="","SEM SUBCATEGORIA",IF(COUNTIFS(CADASTROS!$L$7:$L$93,D2722,CADASTROS!$D$7:$D$93,E2722)=0,"INCOMPATÍVEL","OK"))))</f>
        <v/>
      </c>
    </row>
    <row r="2723" spans="1:11" ht="30" hidden="1" customHeight="1" x14ac:dyDescent="0.25">
      <c r="A2723" s="86" t="str">
        <f>IF(COUNTIF(EXTRATO!$A$2:$A$3000,"BAN-02580")=0,"","BAN-02580")</f>
        <v/>
      </c>
      <c r="B2723" s="85" t="str">
        <f>IF(A2723="","",IF(INDEX(EXTRATO!$C$2:$C$3000,MATCH($A2723,EXTRATO!$A$2:$A$3000,0))="","",INDEX(EXTRATO!$C$2:$C$3000,MATCH($A2723,EXTRATO!$A$2:$A$3000,0))))</f>
        <v/>
      </c>
      <c r="C2723" s="86" t="str">
        <f t="shared" si="72"/>
        <v/>
      </c>
      <c r="D2723" s="81"/>
      <c r="E2723" s="79"/>
      <c r="F2723" s="80" t="str">
        <f>IF(A2723="","",SUMIF(EXTRATO!$A$2:$A$3000,$A2723,EXTRATO!$J$2:$J$3000)+SUMIF(EXTRATO!$A$2:$A$3000,$A2723,EXTRATO!$K$2:$K$3000)+SUMIF(EXTRATO!$A$2:$A$3000,$A2723,EXTRATO!$L$2:$L$3000)+SUMIF(EXTRATO!$A$2:$A$3000,$A2723,EXTRATO!$M$2:$M$3000))</f>
        <v/>
      </c>
      <c r="G2723" s="81" t="str">
        <f>IF(A2723="","",IF(INDEX(EXTRATO!$G$2:$G$3000,MATCH($A2723,EXTRATO!$A$2:$A$3000,0))="","",INDEX(EXTRATO!$G$2:$G$3000,MATCH($A2723,EXTRATO!$A$2:$A$3000,0))))</f>
        <v/>
      </c>
      <c r="H2723" s="86" t="str">
        <f>IF(A2723="","",IF(INDEX(EXTRATO!$F$2:$F$3000,MATCH($A2723,EXTRATO!$A$2:$A$3000,0))="","",INDEX(EXTRATO!$F$2:$F$3000,MATCH($A2723,EXTRATO!$A$2:$A$3000,0))))</f>
        <v/>
      </c>
      <c r="I2723" s="88" t="str">
        <f>IF(A2723="","",IF(INDEX(EXTRATO!$H$2:$H$3000,MATCH($A2723,EXTRATO!$A$2:$A$3000,0))="","",INDEX(EXTRATO!$H$2:$H$3000,MATCH($A2723,EXTRATO!$A$2:$A$3000,0))))</f>
        <v/>
      </c>
      <c r="J2723" s="86" t="str">
        <f t="shared" si="71"/>
        <v/>
      </c>
      <c r="K2723" s="86" t="str">
        <f>IF(AND(A2723="",D2723="",E2723="",F2723=""),"",IF(D2723="","SEM CATEGORIA",IF(E2723="","SEM SUBCATEGORIA",IF(COUNTIFS(CADASTROS!$L$7:$L$93,D2723,CADASTROS!$D$7:$D$93,E2723)=0,"INCOMPATÍVEL","OK"))))</f>
        <v/>
      </c>
    </row>
    <row r="2724" spans="1:11" ht="30" hidden="1" customHeight="1" x14ac:dyDescent="0.25">
      <c r="A2724" s="86" t="str">
        <f>IF(COUNTIF(EXTRATO!$A$2:$A$3000,"BAN-02581")=0,"","BAN-02581")</f>
        <v/>
      </c>
      <c r="B2724" s="85" t="str">
        <f>IF(A2724="","",IF(INDEX(EXTRATO!$C$2:$C$3000,MATCH($A2724,EXTRATO!$A$2:$A$3000,0))="","",INDEX(EXTRATO!$C$2:$C$3000,MATCH($A2724,EXTRATO!$A$2:$A$3000,0))))</f>
        <v/>
      </c>
      <c r="C2724" s="86" t="str">
        <f t="shared" si="72"/>
        <v/>
      </c>
      <c r="D2724" s="81"/>
      <c r="E2724" s="79"/>
      <c r="F2724" s="80" t="str">
        <f>IF(A2724="","",SUMIF(EXTRATO!$A$2:$A$3000,$A2724,EXTRATO!$J$2:$J$3000)+SUMIF(EXTRATO!$A$2:$A$3000,$A2724,EXTRATO!$K$2:$K$3000)+SUMIF(EXTRATO!$A$2:$A$3000,$A2724,EXTRATO!$L$2:$L$3000)+SUMIF(EXTRATO!$A$2:$A$3000,$A2724,EXTRATO!$M$2:$M$3000))</f>
        <v/>
      </c>
      <c r="G2724" s="81" t="str">
        <f>IF(A2724="","",IF(INDEX(EXTRATO!$G$2:$G$3000,MATCH($A2724,EXTRATO!$A$2:$A$3000,0))="","",INDEX(EXTRATO!$G$2:$G$3000,MATCH($A2724,EXTRATO!$A$2:$A$3000,0))))</f>
        <v/>
      </c>
      <c r="H2724" s="86" t="str">
        <f>IF(A2724="","",IF(INDEX(EXTRATO!$F$2:$F$3000,MATCH($A2724,EXTRATO!$A$2:$A$3000,0))="","",INDEX(EXTRATO!$F$2:$F$3000,MATCH($A2724,EXTRATO!$A$2:$A$3000,0))))</f>
        <v/>
      </c>
      <c r="I2724" s="88" t="str">
        <f>IF(A2724="","",IF(INDEX(EXTRATO!$H$2:$H$3000,MATCH($A2724,EXTRATO!$A$2:$A$3000,0))="","",INDEX(EXTRATO!$H$2:$H$3000,MATCH($A2724,EXTRATO!$A$2:$A$3000,0))))</f>
        <v/>
      </c>
      <c r="J2724" s="86" t="str">
        <f t="shared" si="71"/>
        <v/>
      </c>
      <c r="K2724" s="86" t="str">
        <f>IF(AND(A2724="",D2724="",E2724="",F2724=""),"",IF(D2724="","SEM CATEGORIA",IF(E2724="","SEM SUBCATEGORIA",IF(COUNTIFS(CADASTROS!$L$7:$L$93,D2724,CADASTROS!$D$7:$D$93,E2724)=0,"INCOMPATÍVEL","OK"))))</f>
        <v/>
      </c>
    </row>
    <row r="2725" spans="1:11" ht="30" hidden="1" customHeight="1" x14ac:dyDescent="0.25">
      <c r="A2725" s="86" t="str">
        <f>IF(COUNTIF(EXTRATO!$A$2:$A$3000,"BAN-02582")=0,"","BAN-02582")</f>
        <v/>
      </c>
      <c r="B2725" s="85" t="str">
        <f>IF(A2725="","",IF(INDEX(EXTRATO!$C$2:$C$3000,MATCH($A2725,EXTRATO!$A$2:$A$3000,0))="","",INDEX(EXTRATO!$C$2:$C$3000,MATCH($A2725,EXTRATO!$A$2:$A$3000,0))))</f>
        <v/>
      </c>
      <c r="C2725" s="86" t="str">
        <f t="shared" si="72"/>
        <v/>
      </c>
      <c r="D2725" s="81"/>
      <c r="E2725" s="79"/>
      <c r="F2725" s="80" t="str">
        <f>IF(A2725="","",SUMIF(EXTRATO!$A$2:$A$3000,$A2725,EXTRATO!$J$2:$J$3000)+SUMIF(EXTRATO!$A$2:$A$3000,$A2725,EXTRATO!$K$2:$K$3000)+SUMIF(EXTRATO!$A$2:$A$3000,$A2725,EXTRATO!$L$2:$L$3000)+SUMIF(EXTRATO!$A$2:$A$3000,$A2725,EXTRATO!$M$2:$M$3000))</f>
        <v/>
      </c>
      <c r="G2725" s="81" t="str">
        <f>IF(A2725="","",IF(INDEX(EXTRATO!$G$2:$G$3000,MATCH($A2725,EXTRATO!$A$2:$A$3000,0))="","",INDEX(EXTRATO!$G$2:$G$3000,MATCH($A2725,EXTRATO!$A$2:$A$3000,0))))</f>
        <v/>
      </c>
      <c r="H2725" s="86" t="str">
        <f>IF(A2725="","",IF(INDEX(EXTRATO!$F$2:$F$3000,MATCH($A2725,EXTRATO!$A$2:$A$3000,0))="","",INDEX(EXTRATO!$F$2:$F$3000,MATCH($A2725,EXTRATO!$A$2:$A$3000,0))))</f>
        <v/>
      </c>
      <c r="I2725" s="88" t="str">
        <f>IF(A2725="","",IF(INDEX(EXTRATO!$H$2:$H$3000,MATCH($A2725,EXTRATO!$A$2:$A$3000,0))="","",INDEX(EXTRATO!$H$2:$H$3000,MATCH($A2725,EXTRATO!$A$2:$A$3000,0))))</f>
        <v/>
      </c>
      <c r="J2725" s="86" t="str">
        <f t="shared" si="71"/>
        <v/>
      </c>
      <c r="K2725" s="86" t="str">
        <f>IF(AND(A2725="",D2725="",E2725="",F2725=""),"",IF(D2725="","SEM CATEGORIA",IF(E2725="","SEM SUBCATEGORIA",IF(COUNTIFS(CADASTROS!$L$7:$L$93,D2725,CADASTROS!$D$7:$D$93,E2725)=0,"INCOMPATÍVEL","OK"))))</f>
        <v/>
      </c>
    </row>
    <row r="2726" spans="1:11" ht="30" hidden="1" customHeight="1" x14ac:dyDescent="0.25">
      <c r="A2726" s="86" t="str">
        <f>IF(COUNTIF(EXTRATO!$A$2:$A$3000,"BAN-02583")=0,"","BAN-02583")</f>
        <v/>
      </c>
      <c r="B2726" s="85" t="str">
        <f>IF(A2726="","",IF(INDEX(EXTRATO!$C$2:$C$3000,MATCH($A2726,EXTRATO!$A$2:$A$3000,0))="","",INDEX(EXTRATO!$C$2:$C$3000,MATCH($A2726,EXTRATO!$A$2:$A$3000,0))))</f>
        <v/>
      </c>
      <c r="C2726" s="86" t="str">
        <f t="shared" si="72"/>
        <v/>
      </c>
      <c r="D2726" s="81"/>
      <c r="E2726" s="79"/>
      <c r="F2726" s="80" t="str">
        <f>IF(A2726="","",SUMIF(EXTRATO!$A$2:$A$3000,$A2726,EXTRATO!$J$2:$J$3000)+SUMIF(EXTRATO!$A$2:$A$3000,$A2726,EXTRATO!$K$2:$K$3000)+SUMIF(EXTRATO!$A$2:$A$3000,$A2726,EXTRATO!$L$2:$L$3000)+SUMIF(EXTRATO!$A$2:$A$3000,$A2726,EXTRATO!$M$2:$M$3000))</f>
        <v/>
      </c>
      <c r="G2726" s="81" t="str">
        <f>IF(A2726="","",IF(INDEX(EXTRATO!$G$2:$G$3000,MATCH($A2726,EXTRATO!$A$2:$A$3000,0))="","",INDEX(EXTRATO!$G$2:$G$3000,MATCH($A2726,EXTRATO!$A$2:$A$3000,0))))</f>
        <v/>
      </c>
      <c r="H2726" s="86" t="str">
        <f>IF(A2726="","",IF(INDEX(EXTRATO!$F$2:$F$3000,MATCH($A2726,EXTRATO!$A$2:$A$3000,0))="","",INDEX(EXTRATO!$F$2:$F$3000,MATCH($A2726,EXTRATO!$A$2:$A$3000,0))))</f>
        <v/>
      </c>
      <c r="I2726" s="88" t="str">
        <f>IF(A2726="","",IF(INDEX(EXTRATO!$H$2:$H$3000,MATCH($A2726,EXTRATO!$A$2:$A$3000,0))="","",INDEX(EXTRATO!$H$2:$H$3000,MATCH($A2726,EXTRATO!$A$2:$A$3000,0))))</f>
        <v/>
      </c>
      <c r="J2726" s="86" t="str">
        <f t="shared" si="71"/>
        <v/>
      </c>
      <c r="K2726" s="86" t="str">
        <f>IF(AND(A2726="",D2726="",E2726="",F2726=""),"",IF(D2726="","SEM CATEGORIA",IF(E2726="","SEM SUBCATEGORIA",IF(COUNTIFS(CADASTROS!$L$7:$L$93,D2726,CADASTROS!$D$7:$D$93,E2726)=0,"INCOMPATÍVEL","OK"))))</f>
        <v/>
      </c>
    </row>
    <row r="2727" spans="1:11" ht="30" hidden="1" customHeight="1" x14ac:dyDescent="0.25">
      <c r="A2727" s="86" t="str">
        <f>IF(COUNTIF(EXTRATO!$A$2:$A$3000,"BAN-02584")=0,"","BAN-02584")</f>
        <v/>
      </c>
      <c r="B2727" s="85" t="str">
        <f>IF(A2727="","",IF(INDEX(EXTRATO!$C$2:$C$3000,MATCH($A2727,EXTRATO!$A$2:$A$3000,0))="","",INDEX(EXTRATO!$C$2:$C$3000,MATCH($A2727,EXTRATO!$A$2:$A$3000,0))))</f>
        <v/>
      </c>
      <c r="C2727" s="86" t="str">
        <f t="shared" si="72"/>
        <v/>
      </c>
      <c r="D2727" s="81"/>
      <c r="E2727" s="79"/>
      <c r="F2727" s="80" t="str">
        <f>IF(A2727="","",SUMIF(EXTRATO!$A$2:$A$3000,$A2727,EXTRATO!$J$2:$J$3000)+SUMIF(EXTRATO!$A$2:$A$3000,$A2727,EXTRATO!$K$2:$K$3000)+SUMIF(EXTRATO!$A$2:$A$3000,$A2727,EXTRATO!$L$2:$L$3000)+SUMIF(EXTRATO!$A$2:$A$3000,$A2727,EXTRATO!$M$2:$M$3000))</f>
        <v/>
      </c>
      <c r="G2727" s="81" t="str">
        <f>IF(A2727="","",IF(INDEX(EXTRATO!$G$2:$G$3000,MATCH($A2727,EXTRATO!$A$2:$A$3000,0))="","",INDEX(EXTRATO!$G$2:$G$3000,MATCH($A2727,EXTRATO!$A$2:$A$3000,0))))</f>
        <v/>
      </c>
      <c r="H2727" s="86" t="str">
        <f>IF(A2727="","",IF(INDEX(EXTRATO!$F$2:$F$3000,MATCH($A2727,EXTRATO!$A$2:$A$3000,0))="","",INDEX(EXTRATO!$F$2:$F$3000,MATCH($A2727,EXTRATO!$A$2:$A$3000,0))))</f>
        <v/>
      </c>
      <c r="I2727" s="88" t="str">
        <f>IF(A2727="","",IF(INDEX(EXTRATO!$H$2:$H$3000,MATCH($A2727,EXTRATO!$A$2:$A$3000,0))="","",INDEX(EXTRATO!$H$2:$H$3000,MATCH($A2727,EXTRATO!$A$2:$A$3000,0))))</f>
        <v/>
      </c>
      <c r="J2727" s="86" t="str">
        <f t="shared" si="71"/>
        <v/>
      </c>
      <c r="K2727" s="86" t="str">
        <f>IF(AND(A2727="",D2727="",E2727="",F2727=""),"",IF(D2727="","SEM CATEGORIA",IF(E2727="","SEM SUBCATEGORIA",IF(COUNTIFS(CADASTROS!$L$7:$L$93,D2727,CADASTROS!$D$7:$D$93,E2727)=0,"INCOMPATÍVEL","OK"))))</f>
        <v/>
      </c>
    </row>
    <row r="2728" spans="1:11" ht="30" hidden="1" customHeight="1" x14ac:dyDescent="0.25">
      <c r="A2728" s="86" t="str">
        <f>IF(COUNTIF(EXTRATO!$A$2:$A$3000,"BAN-02585")=0,"","BAN-02585")</f>
        <v/>
      </c>
      <c r="B2728" s="85" t="str">
        <f>IF(A2728="","",IF(INDEX(EXTRATO!$C$2:$C$3000,MATCH($A2728,EXTRATO!$A$2:$A$3000,0))="","",INDEX(EXTRATO!$C$2:$C$3000,MATCH($A2728,EXTRATO!$A$2:$A$3000,0))))</f>
        <v/>
      </c>
      <c r="C2728" s="86" t="str">
        <f t="shared" si="72"/>
        <v/>
      </c>
      <c r="D2728" s="81"/>
      <c r="E2728" s="79"/>
      <c r="F2728" s="80" t="str">
        <f>IF(A2728="","",SUMIF(EXTRATO!$A$2:$A$3000,$A2728,EXTRATO!$J$2:$J$3000)+SUMIF(EXTRATO!$A$2:$A$3000,$A2728,EXTRATO!$K$2:$K$3000)+SUMIF(EXTRATO!$A$2:$A$3000,$A2728,EXTRATO!$L$2:$L$3000)+SUMIF(EXTRATO!$A$2:$A$3000,$A2728,EXTRATO!$M$2:$M$3000))</f>
        <v/>
      </c>
      <c r="G2728" s="81" t="str">
        <f>IF(A2728="","",IF(INDEX(EXTRATO!$G$2:$G$3000,MATCH($A2728,EXTRATO!$A$2:$A$3000,0))="","",INDEX(EXTRATO!$G$2:$G$3000,MATCH($A2728,EXTRATO!$A$2:$A$3000,0))))</f>
        <v/>
      </c>
      <c r="H2728" s="86" t="str">
        <f>IF(A2728="","",IF(INDEX(EXTRATO!$F$2:$F$3000,MATCH($A2728,EXTRATO!$A$2:$A$3000,0))="","",INDEX(EXTRATO!$F$2:$F$3000,MATCH($A2728,EXTRATO!$A$2:$A$3000,0))))</f>
        <v/>
      </c>
      <c r="I2728" s="88" t="str">
        <f>IF(A2728="","",IF(INDEX(EXTRATO!$H$2:$H$3000,MATCH($A2728,EXTRATO!$A$2:$A$3000,0))="","",INDEX(EXTRATO!$H$2:$H$3000,MATCH($A2728,EXTRATO!$A$2:$A$3000,0))))</f>
        <v/>
      </c>
      <c r="J2728" s="86" t="str">
        <f t="shared" si="71"/>
        <v/>
      </c>
      <c r="K2728" s="86" t="str">
        <f>IF(AND(A2728="",D2728="",E2728="",F2728=""),"",IF(D2728="","SEM CATEGORIA",IF(E2728="","SEM SUBCATEGORIA",IF(COUNTIFS(CADASTROS!$L$7:$L$93,D2728,CADASTROS!$D$7:$D$93,E2728)=0,"INCOMPATÍVEL","OK"))))</f>
        <v/>
      </c>
    </row>
    <row r="2729" spans="1:11" ht="30" hidden="1" customHeight="1" x14ac:dyDescent="0.25">
      <c r="A2729" s="86" t="str">
        <f>IF(COUNTIF(EXTRATO!$A$2:$A$3000,"BAN-02586")=0,"","BAN-02586")</f>
        <v/>
      </c>
      <c r="B2729" s="85" t="str">
        <f>IF(A2729="","",IF(INDEX(EXTRATO!$C$2:$C$3000,MATCH($A2729,EXTRATO!$A$2:$A$3000,0))="","",INDEX(EXTRATO!$C$2:$C$3000,MATCH($A2729,EXTRATO!$A$2:$A$3000,0))))</f>
        <v/>
      </c>
      <c r="C2729" s="86" t="str">
        <f t="shared" si="72"/>
        <v/>
      </c>
      <c r="D2729" s="81"/>
      <c r="E2729" s="79"/>
      <c r="F2729" s="80" t="str">
        <f>IF(A2729="","",SUMIF(EXTRATO!$A$2:$A$3000,$A2729,EXTRATO!$J$2:$J$3000)+SUMIF(EXTRATO!$A$2:$A$3000,$A2729,EXTRATO!$K$2:$K$3000)+SUMIF(EXTRATO!$A$2:$A$3000,$A2729,EXTRATO!$L$2:$L$3000)+SUMIF(EXTRATO!$A$2:$A$3000,$A2729,EXTRATO!$M$2:$M$3000))</f>
        <v/>
      </c>
      <c r="G2729" s="81" t="str">
        <f>IF(A2729="","",IF(INDEX(EXTRATO!$G$2:$G$3000,MATCH($A2729,EXTRATO!$A$2:$A$3000,0))="","",INDEX(EXTRATO!$G$2:$G$3000,MATCH($A2729,EXTRATO!$A$2:$A$3000,0))))</f>
        <v/>
      </c>
      <c r="H2729" s="86" t="str">
        <f>IF(A2729="","",IF(INDEX(EXTRATO!$F$2:$F$3000,MATCH($A2729,EXTRATO!$A$2:$A$3000,0))="","",INDEX(EXTRATO!$F$2:$F$3000,MATCH($A2729,EXTRATO!$A$2:$A$3000,0))))</f>
        <v/>
      </c>
      <c r="I2729" s="88" t="str">
        <f>IF(A2729="","",IF(INDEX(EXTRATO!$H$2:$H$3000,MATCH($A2729,EXTRATO!$A$2:$A$3000,0))="","",INDEX(EXTRATO!$H$2:$H$3000,MATCH($A2729,EXTRATO!$A$2:$A$3000,0))))</f>
        <v/>
      </c>
      <c r="J2729" s="86" t="str">
        <f t="shared" si="71"/>
        <v/>
      </c>
      <c r="K2729" s="86" t="str">
        <f>IF(AND(A2729="",D2729="",E2729="",F2729=""),"",IF(D2729="","SEM CATEGORIA",IF(E2729="","SEM SUBCATEGORIA",IF(COUNTIFS(CADASTROS!$L$7:$L$93,D2729,CADASTROS!$D$7:$D$93,E2729)=0,"INCOMPATÍVEL","OK"))))</f>
        <v/>
      </c>
    </row>
    <row r="2730" spans="1:11" ht="30" hidden="1" customHeight="1" x14ac:dyDescent="0.25">
      <c r="A2730" s="86" t="str">
        <f>IF(COUNTIF(EXTRATO!$A$2:$A$3000,"BAN-02587")=0,"","BAN-02587")</f>
        <v/>
      </c>
      <c r="B2730" s="85" t="str">
        <f>IF(A2730="","",IF(INDEX(EXTRATO!$C$2:$C$3000,MATCH($A2730,EXTRATO!$A$2:$A$3000,0))="","",INDEX(EXTRATO!$C$2:$C$3000,MATCH($A2730,EXTRATO!$A$2:$A$3000,0))))</f>
        <v/>
      </c>
      <c r="C2730" s="86" t="str">
        <f t="shared" si="72"/>
        <v/>
      </c>
      <c r="D2730" s="81"/>
      <c r="E2730" s="79"/>
      <c r="F2730" s="80" t="str">
        <f>IF(A2730="","",SUMIF(EXTRATO!$A$2:$A$3000,$A2730,EXTRATO!$J$2:$J$3000)+SUMIF(EXTRATO!$A$2:$A$3000,$A2730,EXTRATO!$K$2:$K$3000)+SUMIF(EXTRATO!$A$2:$A$3000,$A2730,EXTRATO!$L$2:$L$3000)+SUMIF(EXTRATO!$A$2:$A$3000,$A2730,EXTRATO!$M$2:$M$3000))</f>
        <v/>
      </c>
      <c r="G2730" s="81" t="str">
        <f>IF(A2730="","",IF(INDEX(EXTRATO!$G$2:$G$3000,MATCH($A2730,EXTRATO!$A$2:$A$3000,0))="","",INDEX(EXTRATO!$G$2:$G$3000,MATCH($A2730,EXTRATO!$A$2:$A$3000,0))))</f>
        <v/>
      </c>
      <c r="H2730" s="86" t="str">
        <f>IF(A2730="","",IF(INDEX(EXTRATO!$F$2:$F$3000,MATCH($A2730,EXTRATO!$A$2:$A$3000,0))="","",INDEX(EXTRATO!$F$2:$F$3000,MATCH($A2730,EXTRATO!$A$2:$A$3000,0))))</f>
        <v/>
      </c>
      <c r="I2730" s="88" t="str">
        <f>IF(A2730="","",IF(INDEX(EXTRATO!$H$2:$H$3000,MATCH($A2730,EXTRATO!$A$2:$A$3000,0))="","",INDEX(EXTRATO!$H$2:$H$3000,MATCH($A2730,EXTRATO!$A$2:$A$3000,0))))</f>
        <v/>
      </c>
      <c r="J2730" s="86" t="str">
        <f t="shared" si="71"/>
        <v/>
      </c>
      <c r="K2730" s="86" t="str">
        <f>IF(AND(A2730="",D2730="",E2730="",F2730=""),"",IF(D2730="","SEM CATEGORIA",IF(E2730="","SEM SUBCATEGORIA",IF(COUNTIFS(CADASTROS!$L$7:$L$93,D2730,CADASTROS!$D$7:$D$93,E2730)=0,"INCOMPATÍVEL","OK"))))</f>
        <v/>
      </c>
    </row>
    <row r="2731" spans="1:11" ht="30" hidden="1" customHeight="1" x14ac:dyDescent="0.25">
      <c r="A2731" s="86" t="str">
        <f>IF(COUNTIF(EXTRATO!$A$2:$A$3000,"BAN-02588")=0,"","BAN-02588")</f>
        <v/>
      </c>
      <c r="B2731" s="85" t="str">
        <f>IF(A2731="","",IF(INDEX(EXTRATO!$C$2:$C$3000,MATCH($A2731,EXTRATO!$A$2:$A$3000,0))="","",INDEX(EXTRATO!$C$2:$C$3000,MATCH($A2731,EXTRATO!$A$2:$A$3000,0))))</f>
        <v/>
      </c>
      <c r="C2731" s="86" t="str">
        <f t="shared" si="72"/>
        <v/>
      </c>
      <c r="D2731" s="81"/>
      <c r="E2731" s="79"/>
      <c r="F2731" s="80" t="str">
        <f>IF(A2731="","",SUMIF(EXTRATO!$A$2:$A$3000,$A2731,EXTRATO!$J$2:$J$3000)+SUMIF(EXTRATO!$A$2:$A$3000,$A2731,EXTRATO!$K$2:$K$3000)+SUMIF(EXTRATO!$A$2:$A$3000,$A2731,EXTRATO!$L$2:$L$3000)+SUMIF(EXTRATO!$A$2:$A$3000,$A2731,EXTRATO!$M$2:$M$3000))</f>
        <v/>
      </c>
      <c r="G2731" s="81" t="str">
        <f>IF(A2731="","",IF(INDEX(EXTRATO!$G$2:$G$3000,MATCH($A2731,EXTRATO!$A$2:$A$3000,0))="","",INDEX(EXTRATO!$G$2:$G$3000,MATCH($A2731,EXTRATO!$A$2:$A$3000,0))))</f>
        <v/>
      </c>
      <c r="H2731" s="86" t="str">
        <f>IF(A2731="","",IF(INDEX(EXTRATO!$F$2:$F$3000,MATCH($A2731,EXTRATO!$A$2:$A$3000,0))="","",INDEX(EXTRATO!$F$2:$F$3000,MATCH($A2731,EXTRATO!$A$2:$A$3000,0))))</f>
        <v/>
      </c>
      <c r="I2731" s="88" t="str">
        <f>IF(A2731="","",IF(INDEX(EXTRATO!$H$2:$H$3000,MATCH($A2731,EXTRATO!$A$2:$A$3000,0))="","",INDEX(EXTRATO!$H$2:$H$3000,MATCH($A2731,EXTRATO!$A$2:$A$3000,0))))</f>
        <v/>
      </c>
      <c r="J2731" s="86" t="str">
        <f t="shared" si="71"/>
        <v/>
      </c>
      <c r="K2731" s="86" t="str">
        <f>IF(AND(A2731="",D2731="",E2731="",F2731=""),"",IF(D2731="","SEM CATEGORIA",IF(E2731="","SEM SUBCATEGORIA",IF(COUNTIFS(CADASTROS!$L$7:$L$93,D2731,CADASTROS!$D$7:$D$93,E2731)=0,"INCOMPATÍVEL","OK"))))</f>
        <v/>
      </c>
    </row>
    <row r="2732" spans="1:11" ht="30" hidden="1" customHeight="1" x14ac:dyDescent="0.25">
      <c r="A2732" s="86" t="str">
        <f>IF(COUNTIF(EXTRATO!$A$2:$A$3000,"BAN-02589")=0,"","BAN-02589")</f>
        <v/>
      </c>
      <c r="B2732" s="85" t="str">
        <f>IF(A2732="","",IF(INDEX(EXTRATO!$C$2:$C$3000,MATCH($A2732,EXTRATO!$A$2:$A$3000,0))="","",INDEX(EXTRATO!$C$2:$C$3000,MATCH($A2732,EXTRATO!$A$2:$A$3000,0))))</f>
        <v/>
      </c>
      <c r="C2732" s="86" t="str">
        <f t="shared" si="72"/>
        <v/>
      </c>
      <c r="D2732" s="81"/>
      <c r="E2732" s="79"/>
      <c r="F2732" s="80" t="str">
        <f>IF(A2732="","",SUMIF(EXTRATO!$A$2:$A$3000,$A2732,EXTRATO!$J$2:$J$3000)+SUMIF(EXTRATO!$A$2:$A$3000,$A2732,EXTRATO!$K$2:$K$3000)+SUMIF(EXTRATO!$A$2:$A$3000,$A2732,EXTRATO!$L$2:$L$3000)+SUMIF(EXTRATO!$A$2:$A$3000,$A2732,EXTRATO!$M$2:$M$3000))</f>
        <v/>
      </c>
      <c r="G2732" s="81" t="str">
        <f>IF(A2732="","",IF(INDEX(EXTRATO!$G$2:$G$3000,MATCH($A2732,EXTRATO!$A$2:$A$3000,0))="","",INDEX(EXTRATO!$G$2:$G$3000,MATCH($A2732,EXTRATO!$A$2:$A$3000,0))))</f>
        <v/>
      </c>
      <c r="H2732" s="86" t="str">
        <f>IF(A2732="","",IF(INDEX(EXTRATO!$F$2:$F$3000,MATCH($A2732,EXTRATO!$A$2:$A$3000,0))="","",INDEX(EXTRATO!$F$2:$F$3000,MATCH($A2732,EXTRATO!$A$2:$A$3000,0))))</f>
        <v/>
      </c>
      <c r="I2732" s="88" t="str">
        <f>IF(A2732="","",IF(INDEX(EXTRATO!$H$2:$H$3000,MATCH($A2732,EXTRATO!$A$2:$A$3000,0))="","",INDEX(EXTRATO!$H$2:$H$3000,MATCH($A2732,EXTRATO!$A$2:$A$3000,0))))</f>
        <v/>
      </c>
      <c r="J2732" s="86" t="str">
        <f t="shared" ref="J2732:J2795" si="73">IF(A2732="","",IF(K2732="OK","MANUAL","PENDENTE"))</f>
        <v/>
      </c>
      <c r="K2732" s="86" t="str">
        <f>IF(AND(A2732="",D2732="",E2732="",F2732=""),"",IF(D2732="","SEM CATEGORIA",IF(E2732="","SEM SUBCATEGORIA",IF(COUNTIFS(CADASTROS!$L$7:$L$93,D2732,CADASTROS!$D$7:$D$93,E2732)=0,"INCOMPATÍVEL","OK"))))</f>
        <v/>
      </c>
    </row>
    <row r="2733" spans="1:11" ht="30" hidden="1" customHeight="1" x14ac:dyDescent="0.25">
      <c r="A2733" s="86" t="str">
        <f>IF(COUNTIF(EXTRATO!$A$2:$A$3000,"BAN-02590")=0,"","BAN-02590")</f>
        <v/>
      </c>
      <c r="B2733" s="85" t="str">
        <f>IF(A2733="","",IF(INDEX(EXTRATO!$C$2:$C$3000,MATCH($A2733,EXTRATO!$A$2:$A$3000,0))="","",INDEX(EXTRATO!$C$2:$C$3000,MATCH($A2733,EXTRATO!$A$2:$A$3000,0))))</f>
        <v/>
      </c>
      <c r="C2733" s="86" t="str">
        <f t="shared" si="72"/>
        <v/>
      </c>
      <c r="D2733" s="81"/>
      <c r="E2733" s="79"/>
      <c r="F2733" s="80" t="str">
        <f>IF(A2733="","",SUMIF(EXTRATO!$A$2:$A$3000,$A2733,EXTRATO!$J$2:$J$3000)+SUMIF(EXTRATO!$A$2:$A$3000,$A2733,EXTRATO!$K$2:$K$3000)+SUMIF(EXTRATO!$A$2:$A$3000,$A2733,EXTRATO!$L$2:$L$3000)+SUMIF(EXTRATO!$A$2:$A$3000,$A2733,EXTRATO!$M$2:$M$3000))</f>
        <v/>
      </c>
      <c r="G2733" s="81" t="str">
        <f>IF(A2733="","",IF(INDEX(EXTRATO!$G$2:$G$3000,MATCH($A2733,EXTRATO!$A$2:$A$3000,0))="","",INDEX(EXTRATO!$G$2:$G$3000,MATCH($A2733,EXTRATO!$A$2:$A$3000,0))))</f>
        <v/>
      </c>
      <c r="H2733" s="86" t="str">
        <f>IF(A2733="","",IF(INDEX(EXTRATO!$F$2:$F$3000,MATCH($A2733,EXTRATO!$A$2:$A$3000,0))="","",INDEX(EXTRATO!$F$2:$F$3000,MATCH($A2733,EXTRATO!$A$2:$A$3000,0))))</f>
        <v/>
      </c>
      <c r="I2733" s="88" t="str">
        <f>IF(A2733="","",IF(INDEX(EXTRATO!$H$2:$H$3000,MATCH($A2733,EXTRATO!$A$2:$A$3000,0))="","",INDEX(EXTRATO!$H$2:$H$3000,MATCH($A2733,EXTRATO!$A$2:$A$3000,0))))</f>
        <v/>
      </c>
      <c r="J2733" s="86" t="str">
        <f t="shared" si="73"/>
        <v/>
      </c>
      <c r="K2733" s="86" t="str">
        <f>IF(AND(A2733="",D2733="",E2733="",F2733=""),"",IF(D2733="","SEM CATEGORIA",IF(E2733="","SEM SUBCATEGORIA",IF(COUNTIFS(CADASTROS!$L$7:$L$93,D2733,CADASTROS!$D$7:$D$93,E2733)=0,"INCOMPATÍVEL","OK"))))</f>
        <v/>
      </c>
    </row>
    <row r="2734" spans="1:11" ht="30" hidden="1" customHeight="1" x14ac:dyDescent="0.25">
      <c r="A2734" s="86" t="str">
        <f>IF(COUNTIF(EXTRATO!$A$2:$A$3000,"BAN-02591")=0,"","BAN-02591")</f>
        <v/>
      </c>
      <c r="B2734" s="85" t="str">
        <f>IF(A2734="","",IF(INDEX(EXTRATO!$C$2:$C$3000,MATCH($A2734,EXTRATO!$A$2:$A$3000,0))="","",INDEX(EXTRATO!$C$2:$C$3000,MATCH($A2734,EXTRATO!$A$2:$A$3000,0))))</f>
        <v/>
      </c>
      <c r="C2734" s="86" t="str">
        <f t="shared" si="72"/>
        <v/>
      </c>
      <c r="D2734" s="81"/>
      <c r="E2734" s="79"/>
      <c r="F2734" s="80" t="str">
        <f>IF(A2734="","",SUMIF(EXTRATO!$A$2:$A$3000,$A2734,EXTRATO!$J$2:$J$3000)+SUMIF(EXTRATO!$A$2:$A$3000,$A2734,EXTRATO!$K$2:$K$3000)+SUMIF(EXTRATO!$A$2:$A$3000,$A2734,EXTRATO!$L$2:$L$3000)+SUMIF(EXTRATO!$A$2:$A$3000,$A2734,EXTRATO!$M$2:$M$3000))</f>
        <v/>
      </c>
      <c r="G2734" s="81" t="str">
        <f>IF(A2734="","",IF(INDEX(EXTRATO!$G$2:$G$3000,MATCH($A2734,EXTRATO!$A$2:$A$3000,0))="","",INDEX(EXTRATO!$G$2:$G$3000,MATCH($A2734,EXTRATO!$A$2:$A$3000,0))))</f>
        <v/>
      </c>
      <c r="H2734" s="86" t="str">
        <f>IF(A2734="","",IF(INDEX(EXTRATO!$F$2:$F$3000,MATCH($A2734,EXTRATO!$A$2:$A$3000,0))="","",INDEX(EXTRATO!$F$2:$F$3000,MATCH($A2734,EXTRATO!$A$2:$A$3000,0))))</f>
        <v/>
      </c>
      <c r="I2734" s="88" t="str">
        <f>IF(A2734="","",IF(INDEX(EXTRATO!$H$2:$H$3000,MATCH($A2734,EXTRATO!$A$2:$A$3000,0))="","",INDEX(EXTRATO!$H$2:$H$3000,MATCH($A2734,EXTRATO!$A$2:$A$3000,0))))</f>
        <v/>
      </c>
      <c r="J2734" s="86" t="str">
        <f t="shared" si="73"/>
        <v/>
      </c>
      <c r="K2734" s="86" t="str">
        <f>IF(AND(A2734="",D2734="",E2734="",F2734=""),"",IF(D2734="","SEM CATEGORIA",IF(E2734="","SEM SUBCATEGORIA",IF(COUNTIFS(CADASTROS!$L$7:$L$93,D2734,CADASTROS!$D$7:$D$93,E2734)=0,"INCOMPATÍVEL","OK"))))</f>
        <v/>
      </c>
    </row>
    <row r="2735" spans="1:11" ht="30" hidden="1" customHeight="1" x14ac:dyDescent="0.25">
      <c r="A2735" s="86" t="str">
        <f>IF(COUNTIF(EXTRATO!$A$2:$A$3000,"BAN-02592")=0,"","BAN-02592")</f>
        <v/>
      </c>
      <c r="B2735" s="85" t="str">
        <f>IF(A2735="","",IF(INDEX(EXTRATO!$C$2:$C$3000,MATCH($A2735,EXTRATO!$A$2:$A$3000,0))="","",INDEX(EXTRATO!$C$2:$C$3000,MATCH($A2735,EXTRATO!$A$2:$A$3000,0))))</f>
        <v/>
      </c>
      <c r="C2735" s="86" t="str">
        <f t="shared" si="72"/>
        <v/>
      </c>
      <c r="D2735" s="81"/>
      <c r="E2735" s="79"/>
      <c r="F2735" s="80" t="str">
        <f>IF(A2735="","",SUMIF(EXTRATO!$A$2:$A$3000,$A2735,EXTRATO!$J$2:$J$3000)+SUMIF(EXTRATO!$A$2:$A$3000,$A2735,EXTRATO!$K$2:$K$3000)+SUMIF(EXTRATO!$A$2:$A$3000,$A2735,EXTRATO!$L$2:$L$3000)+SUMIF(EXTRATO!$A$2:$A$3000,$A2735,EXTRATO!$M$2:$M$3000))</f>
        <v/>
      </c>
      <c r="G2735" s="81" t="str">
        <f>IF(A2735="","",IF(INDEX(EXTRATO!$G$2:$G$3000,MATCH($A2735,EXTRATO!$A$2:$A$3000,0))="","",INDEX(EXTRATO!$G$2:$G$3000,MATCH($A2735,EXTRATO!$A$2:$A$3000,0))))</f>
        <v/>
      </c>
      <c r="H2735" s="86" t="str">
        <f>IF(A2735="","",IF(INDEX(EXTRATO!$F$2:$F$3000,MATCH($A2735,EXTRATO!$A$2:$A$3000,0))="","",INDEX(EXTRATO!$F$2:$F$3000,MATCH($A2735,EXTRATO!$A$2:$A$3000,0))))</f>
        <v/>
      </c>
      <c r="I2735" s="88" t="str">
        <f>IF(A2735="","",IF(INDEX(EXTRATO!$H$2:$H$3000,MATCH($A2735,EXTRATO!$A$2:$A$3000,0))="","",INDEX(EXTRATO!$H$2:$H$3000,MATCH($A2735,EXTRATO!$A$2:$A$3000,0))))</f>
        <v/>
      </c>
      <c r="J2735" s="86" t="str">
        <f t="shared" si="73"/>
        <v/>
      </c>
      <c r="K2735" s="86" t="str">
        <f>IF(AND(A2735="",D2735="",E2735="",F2735=""),"",IF(D2735="","SEM CATEGORIA",IF(E2735="","SEM SUBCATEGORIA",IF(COUNTIFS(CADASTROS!$L$7:$L$93,D2735,CADASTROS!$D$7:$D$93,E2735)=0,"INCOMPATÍVEL","OK"))))</f>
        <v/>
      </c>
    </row>
    <row r="2736" spans="1:11" ht="30" hidden="1" customHeight="1" x14ac:dyDescent="0.25">
      <c r="A2736" s="86" t="str">
        <f>IF(COUNTIF(EXTRATO!$A$2:$A$3000,"BAN-02593")=0,"","BAN-02593")</f>
        <v/>
      </c>
      <c r="B2736" s="85" t="str">
        <f>IF(A2736="","",IF(INDEX(EXTRATO!$C$2:$C$3000,MATCH($A2736,EXTRATO!$A$2:$A$3000,0))="","",INDEX(EXTRATO!$C$2:$C$3000,MATCH($A2736,EXTRATO!$A$2:$A$3000,0))))</f>
        <v/>
      </c>
      <c r="C2736" s="86" t="str">
        <f t="shared" si="72"/>
        <v/>
      </c>
      <c r="D2736" s="81"/>
      <c r="E2736" s="79"/>
      <c r="F2736" s="80" t="str">
        <f>IF(A2736="","",SUMIF(EXTRATO!$A$2:$A$3000,$A2736,EXTRATO!$J$2:$J$3000)+SUMIF(EXTRATO!$A$2:$A$3000,$A2736,EXTRATO!$K$2:$K$3000)+SUMIF(EXTRATO!$A$2:$A$3000,$A2736,EXTRATO!$L$2:$L$3000)+SUMIF(EXTRATO!$A$2:$A$3000,$A2736,EXTRATO!$M$2:$M$3000))</f>
        <v/>
      </c>
      <c r="G2736" s="81" t="str">
        <f>IF(A2736="","",IF(INDEX(EXTRATO!$G$2:$G$3000,MATCH($A2736,EXTRATO!$A$2:$A$3000,0))="","",INDEX(EXTRATO!$G$2:$G$3000,MATCH($A2736,EXTRATO!$A$2:$A$3000,0))))</f>
        <v/>
      </c>
      <c r="H2736" s="86" t="str">
        <f>IF(A2736="","",IF(INDEX(EXTRATO!$F$2:$F$3000,MATCH($A2736,EXTRATO!$A$2:$A$3000,0))="","",INDEX(EXTRATO!$F$2:$F$3000,MATCH($A2736,EXTRATO!$A$2:$A$3000,0))))</f>
        <v/>
      </c>
      <c r="I2736" s="88" t="str">
        <f>IF(A2736="","",IF(INDEX(EXTRATO!$H$2:$H$3000,MATCH($A2736,EXTRATO!$A$2:$A$3000,0))="","",INDEX(EXTRATO!$H$2:$H$3000,MATCH($A2736,EXTRATO!$A$2:$A$3000,0))))</f>
        <v/>
      </c>
      <c r="J2736" s="86" t="str">
        <f t="shared" si="73"/>
        <v/>
      </c>
      <c r="K2736" s="86" t="str">
        <f>IF(AND(A2736="",D2736="",E2736="",F2736=""),"",IF(D2736="","SEM CATEGORIA",IF(E2736="","SEM SUBCATEGORIA",IF(COUNTIFS(CADASTROS!$L$7:$L$93,D2736,CADASTROS!$D$7:$D$93,E2736)=0,"INCOMPATÍVEL","OK"))))</f>
        <v/>
      </c>
    </row>
    <row r="2737" spans="1:11" ht="30" hidden="1" customHeight="1" x14ac:dyDescent="0.25">
      <c r="A2737" s="86" t="str">
        <f>IF(COUNTIF(EXTRATO!$A$2:$A$3000,"BAN-02594")=0,"","BAN-02594")</f>
        <v/>
      </c>
      <c r="B2737" s="85" t="str">
        <f>IF(A2737="","",IF(INDEX(EXTRATO!$C$2:$C$3000,MATCH($A2737,EXTRATO!$A$2:$A$3000,0))="","",INDEX(EXTRATO!$C$2:$C$3000,MATCH($A2737,EXTRATO!$A$2:$A$3000,0))))</f>
        <v/>
      </c>
      <c r="C2737" s="86" t="str">
        <f t="shared" si="72"/>
        <v/>
      </c>
      <c r="D2737" s="81"/>
      <c r="E2737" s="79"/>
      <c r="F2737" s="80" t="str">
        <f>IF(A2737="","",SUMIF(EXTRATO!$A$2:$A$3000,$A2737,EXTRATO!$J$2:$J$3000)+SUMIF(EXTRATO!$A$2:$A$3000,$A2737,EXTRATO!$K$2:$K$3000)+SUMIF(EXTRATO!$A$2:$A$3000,$A2737,EXTRATO!$L$2:$L$3000)+SUMIF(EXTRATO!$A$2:$A$3000,$A2737,EXTRATO!$M$2:$M$3000))</f>
        <v/>
      </c>
      <c r="G2737" s="81" t="str">
        <f>IF(A2737="","",IF(INDEX(EXTRATO!$G$2:$G$3000,MATCH($A2737,EXTRATO!$A$2:$A$3000,0))="","",INDEX(EXTRATO!$G$2:$G$3000,MATCH($A2737,EXTRATO!$A$2:$A$3000,0))))</f>
        <v/>
      </c>
      <c r="H2737" s="86" t="str">
        <f>IF(A2737="","",IF(INDEX(EXTRATO!$F$2:$F$3000,MATCH($A2737,EXTRATO!$A$2:$A$3000,0))="","",INDEX(EXTRATO!$F$2:$F$3000,MATCH($A2737,EXTRATO!$A$2:$A$3000,0))))</f>
        <v/>
      </c>
      <c r="I2737" s="88" t="str">
        <f>IF(A2737="","",IF(INDEX(EXTRATO!$H$2:$H$3000,MATCH($A2737,EXTRATO!$A$2:$A$3000,0))="","",INDEX(EXTRATO!$H$2:$H$3000,MATCH($A2737,EXTRATO!$A$2:$A$3000,0))))</f>
        <v/>
      </c>
      <c r="J2737" s="86" t="str">
        <f t="shared" si="73"/>
        <v/>
      </c>
      <c r="K2737" s="86" t="str">
        <f>IF(AND(A2737="",D2737="",E2737="",F2737=""),"",IF(D2737="","SEM CATEGORIA",IF(E2737="","SEM SUBCATEGORIA",IF(COUNTIFS(CADASTROS!$L$7:$L$93,D2737,CADASTROS!$D$7:$D$93,E2737)=0,"INCOMPATÍVEL","OK"))))</f>
        <v/>
      </c>
    </row>
    <row r="2738" spans="1:11" ht="30" hidden="1" customHeight="1" x14ac:dyDescent="0.25">
      <c r="A2738" s="86" t="str">
        <f>IF(COUNTIF(EXTRATO!$A$2:$A$3000,"BAN-02595")=0,"","BAN-02595")</f>
        <v/>
      </c>
      <c r="B2738" s="85" t="str">
        <f>IF(A2738="","",IF(INDEX(EXTRATO!$C$2:$C$3000,MATCH($A2738,EXTRATO!$A$2:$A$3000,0))="","",INDEX(EXTRATO!$C$2:$C$3000,MATCH($A2738,EXTRATO!$A$2:$A$3000,0))))</f>
        <v/>
      </c>
      <c r="C2738" s="86" t="str">
        <f t="shared" si="72"/>
        <v/>
      </c>
      <c r="D2738" s="81"/>
      <c r="E2738" s="79"/>
      <c r="F2738" s="80" t="str">
        <f>IF(A2738="","",SUMIF(EXTRATO!$A$2:$A$3000,$A2738,EXTRATO!$J$2:$J$3000)+SUMIF(EXTRATO!$A$2:$A$3000,$A2738,EXTRATO!$K$2:$K$3000)+SUMIF(EXTRATO!$A$2:$A$3000,$A2738,EXTRATO!$L$2:$L$3000)+SUMIF(EXTRATO!$A$2:$A$3000,$A2738,EXTRATO!$M$2:$M$3000))</f>
        <v/>
      </c>
      <c r="G2738" s="81" t="str">
        <f>IF(A2738="","",IF(INDEX(EXTRATO!$G$2:$G$3000,MATCH($A2738,EXTRATO!$A$2:$A$3000,0))="","",INDEX(EXTRATO!$G$2:$G$3000,MATCH($A2738,EXTRATO!$A$2:$A$3000,0))))</f>
        <v/>
      </c>
      <c r="H2738" s="86" t="str">
        <f>IF(A2738="","",IF(INDEX(EXTRATO!$F$2:$F$3000,MATCH($A2738,EXTRATO!$A$2:$A$3000,0))="","",INDEX(EXTRATO!$F$2:$F$3000,MATCH($A2738,EXTRATO!$A$2:$A$3000,0))))</f>
        <v/>
      </c>
      <c r="I2738" s="88" t="str">
        <f>IF(A2738="","",IF(INDEX(EXTRATO!$H$2:$H$3000,MATCH($A2738,EXTRATO!$A$2:$A$3000,0))="","",INDEX(EXTRATO!$H$2:$H$3000,MATCH($A2738,EXTRATO!$A$2:$A$3000,0))))</f>
        <v/>
      </c>
      <c r="J2738" s="86" t="str">
        <f t="shared" si="73"/>
        <v/>
      </c>
      <c r="K2738" s="86" t="str">
        <f>IF(AND(A2738="",D2738="",E2738="",F2738=""),"",IF(D2738="","SEM CATEGORIA",IF(E2738="","SEM SUBCATEGORIA",IF(COUNTIFS(CADASTROS!$L$7:$L$93,D2738,CADASTROS!$D$7:$D$93,E2738)=0,"INCOMPATÍVEL","OK"))))</f>
        <v/>
      </c>
    </row>
    <row r="2739" spans="1:11" ht="30" hidden="1" customHeight="1" x14ac:dyDescent="0.25">
      <c r="A2739" s="86" t="str">
        <f>IF(COUNTIF(EXTRATO!$A$2:$A$3000,"BAN-02596")=0,"","BAN-02596")</f>
        <v/>
      </c>
      <c r="B2739" s="85" t="str">
        <f>IF(A2739="","",IF(INDEX(EXTRATO!$C$2:$C$3000,MATCH($A2739,EXTRATO!$A$2:$A$3000,0))="","",INDEX(EXTRATO!$C$2:$C$3000,MATCH($A2739,EXTRATO!$A$2:$A$3000,0))))</f>
        <v/>
      </c>
      <c r="C2739" s="86" t="str">
        <f t="shared" si="72"/>
        <v/>
      </c>
      <c r="D2739" s="81"/>
      <c r="E2739" s="79"/>
      <c r="F2739" s="80" t="str">
        <f>IF(A2739="","",SUMIF(EXTRATO!$A$2:$A$3000,$A2739,EXTRATO!$J$2:$J$3000)+SUMIF(EXTRATO!$A$2:$A$3000,$A2739,EXTRATO!$K$2:$K$3000)+SUMIF(EXTRATO!$A$2:$A$3000,$A2739,EXTRATO!$L$2:$L$3000)+SUMIF(EXTRATO!$A$2:$A$3000,$A2739,EXTRATO!$M$2:$M$3000))</f>
        <v/>
      </c>
      <c r="G2739" s="81" t="str">
        <f>IF(A2739="","",IF(INDEX(EXTRATO!$G$2:$G$3000,MATCH($A2739,EXTRATO!$A$2:$A$3000,0))="","",INDEX(EXTRATO!$G$2:$G$3000,MATCH($A2739,EXTRATO!$A$2:$A$3000,0))))</f>
        <v/>
      </c>
      <c r="H2739" s="86" t="str">
        <f>IF(A2739="","",IF(INDEX(EXTRATO!$F$2:$F$3000,MATCH($A2739,EXTRATO!$A$2:$A$3000,0))="","",INDEX(EXTRATO!$F$2:$F$3000,MATCH($A2739,EXTRATO!$A$2:$A$3000,0))))</f>
        <v/>
      </c>
      <c r="I2739" s="88" t="str">
        <f>IF(A2739="","",IF(INDEX(EXTRATO!$H$2:$H$3000,MATCH($A2739,EXTRATO!$A$2:$A$3000,0))="","",INDEX(EXTRATO!$H$2:$H$3000,MATCH($A2739,EXTRATO!$A$2:$A$3000,0))))</f>
        <v/>
      </c>
      <c r="J2739" s="86" t="str">
        <f t="shared" si="73"/>
        <v/>
      </c>
      <c r="K2739" s="86" t="str">
        <f>IF(AND(A2739="",D2739="",E2739="",F2739=""),"",IF(D2739="","SEM CATEGORIA",IF(E2739="","SEM SUBCATEGORIA",IF(COUNTIFS(CADASTROS!$L$7:$L$93,D2739,CADASTROS!$D$7:$D$93,E2739)=0,"INCOMPATÍVEL","OK"))))</f>
        <v/>
      </c>
    </row>
    <row r="2740" spans="1:11" ht="30" hidden="1" customHeight="1" x14ac:dyDescent="0.25">
      <c r="A2740" s="86" t="str">
        <f>IF(COUNTIF(EXTRATO!$A$2:$A$3000,"BAN-02597")=0,"","BAN-02597")</f>
        <v/>
      </c>
      <c r="B2740" s="85" t="str">
        <f>IF(A2740="","",IF(INDEX(EXTRATO!$C$2:$C$3000,MATCH($A2740,EXTRATO!$A$2:$A$3000,0))="","",INDEX(EXTRATO!$C$2:$C$3000,MATCH($A2740,EXTRATO!$A$2:$A$3000,0))))</f>
        <v/>
      </c>
      <c r="C2740" s="86" t="str">
        <f t="shared" si="72"/>
        <v/>
      </c>
      <c r="D2740" s="81"/>
      <c r="E2740" s="79"/>
      <c r="F2740" s="80" t="str">
        <f>IF(A2740="","",SUMIF(EXTRATO!$A$2:$A$3000,$A2740,EXTRATO!$J$2:$J$3000)+SUMIF(EXTRATO!$A$2:$A$3000,$A2740,EXTRATO!$K$2:$K$3000)+SUMIF(EXTRATO!$A$2:$A$3000,$A2740,EXTRATO!$L$2:$L$3000)+SUMIF(EXTRATO!$A$2:$A$3000,$A2740,EXTRATO!$M$2:$M$3000))</f>
        <v/>
      </c>
      <c r="G2740" s="81" t="str">
        <f>IF(A2740="","",IF(INDEX(EXTRATO!$G$2:$G$3000,MATCH($A2740,EXTRATO!$A$2:$A$3000,0))="","",INDEX(EXTRATO!$G$2:$G$3000,MATCH($A2740,EXTRATO!$A$2:$A$3000,0))))</f>
        <v/>
      </c>
      <c r="H2740" s="86" t="str">
        <f>IF(A2740="","",IF(INDEX(EXTRATO!$F$2:$F$3000,MATCH($A2740,EXTRATO!$A$2:$A$3000,0))="","",INDEX(EXTRATO!$F$2:$F$3000,MATCH($A2740,EXTRATO!$A$2:$A$3000,0))))</f>
        <v/>
      </c>
      <c r="I2740" s="88" t="str">
        <f>IF(A2740="","",IF(INDEX(EXTRATO!$H$2:$H$3000,MATCH($A2740,EXTRATO!$A$2:$A$3000,0))="","",INDEX(EXTRATO!$H$2:$H$3000,MATCH($A2740,EXTRATO!$A$2:$A$3000,0))))</f>
        <v/>
      </c>
      <c r="J2740" s="86" t="str">
        <f t="shared" si="73"/>
        <v/>
      </c>
      <c r="K2740" s="86" t="str">
        <f>IF(AND(A2740="",D2740="",E2740="",F2740=""),"",IF(D2740="","SEM CATEGORIA",IF(E2740="","SEM SUBCATEGORIA",IF(COUNTIFS(CADASTROS!$L$7:$L$93,D2740,CADASTROS!$D$7:$D$93,E2740)=0,"INCOMPATÍVEL","OK"))))</f>
        <v/>
      </c>
    </row>
    <row r="2741" spans="1:11" ht="30" hidden="1" customHeight="1" x14ac:dyDescent="0.25">
      <c r="A2741" s="86" t="str">
        <f>IF(COUNTIF(EXTRATO!$A$2:$A$3000,"BAN-02598")=0,"","BAN-02598")</f>
        <v/>
      </c>
      <c r="B2741" s="85" t="str">
        <f>IF(A2741="","",IF(INDEX(EXTRATO!$C$2:$C$3000,MATCH($A2741,EXTRATO!$A$2:$A$3000,0))="","",INDEX(EXTRATO!$C$2:$C$3000,MATCH($A2741,EXTRATO!$A$2:$A$3000,0))))</f>
        <v/>
      </c>
      <c r="C2741" s="86" t="str">
        <f t="shared" si="72"/>
        <v/>
      </c>
      <c r="D2741" s="81"/>
      <c r="E2741" s="79"/>
      <c r="F2741" s="80" t="str">
        <f>IF(A2741="","",SUMIF(EXTRATO!$A$2:$A$3000,$A2741,EXTRATO!$J$2:$J$3000)+SUMIF(EXTRATO!$A$2:$A$3000,$A2741,EXTRATO!$K$2:$K$3000)+SUMIF(EXTRATO!$A$2:$A$3000,$A2741,EXTRATO!$L$2:$L$3000)+SUMIF(EXTRATO!$A$2:$A$3000,$A2741,EXTRATO!$M$2:$M$3000))</f>
        <v/>
      </c>
      <c r="G2741" s="81" t="str">
        <f>IF(A2741="","",IF(INDEX(EXTRATO!$G$2:$G$3000,MATCH($A2741,EXTRATO!$A$2:$A$3000,0))="","",INDEX(EXTRATO!$G$2:$G$3000,MATCH($A2741,EXTRATO!$A$2:$A$3000,0))))</f>
        <v/>
      </c>
      <c r="H2741" s="86" t="str">
        <f>IF(A2741="","",IF(INDEX(EXTRATO!$F$2:$F$3000,MATCH($A2741,EXTRATO!$A$2:$A$3000,0))="","",INDEX(EXTRATO!$F$2:$F$3000,MATCH($A2741,EXTRATO!$A$2:$A$3000,0))))</f>
        <v/>
      </c>
      <c r="I2741" s="88" t="str">
        <f>IF(A2741="","",IF(INDEX(EXTRATO!$H$2:$H$3000,MATCH($A2741,EXTRATO!$A$2:$A$3000,0))="","",INDEX(EXTRATO!$H$2:$H$3000,MATCH($A2741,EXTRATO!$A$2:$A$3000,0))))</f>
        <v/>
      </c>
      <c r="J2741" s="86" t="str">
        <f t="shared" si="73"/>
        <v/>
      </c>
      <c r="K2741" s="86" t="str">
        <f>IF(AND(A2741="",D2741="",E2741="",F2741=""),"",IF(D2741="","SEM CATEGORIA",IF(E2741="","SEM SUBCATEGORIA",IF(COUNTIFS(CADASTROS!$L$7:$L$93,D2741,CADASTROS!$D$7:$D$93,E2741)=0,"INCOMPATÍVEL","OK"))))</f>
        <v/>
      </c>
    </row>
    <row r="2742" spans="1:11" ht="30" hidden="1" customHeight="1" x14ac:dyDescent="0.25">
      <c r="A2742" s="86" t="str">
        <f>IF(COUNTIF(EXTRATO!$A$2:$A$3000,"BAN-02599")=0,"","BAN-02599")</f>
        <v/>
      </c>
      <c r="B2742" s="85" t="str">
        <f>IF(A2742="","",IF(INDEX(EXTRATO!$C$2:$C$3000,MATCH($A2742,EXTRATO!$A$2:$A$3000,0))="","",INDEX(EXTRATO!$C$2:$C$3000,MATCH($A2742,EXTRATO!$A$2:$A$3000,0))))</f>
        <v/>
      </c>
      <c r="C2742" s="86" t="str">
        <f t="shared" si="72"/>
        <v/>
      </c>
      <c r="D2742" s="81"/>
      <c r="E2742" s="79"/>
      <c r="F2742" s="80" t="str">
        <f>IF(A2742="","",SUMIF(EXTRATO!$A$2:$A$3000,$A2742,EXTRATO!$J$2:$J$3000)+SUMIF(EXTRATO!$A$2:$A$3000,$A2742,EXTRATO!$K$2:$K$3000)+SUMIF(EXTRATO!$A$2:$A$3000,$A2742,EXTRATO!$L$2:$L$3000)+SUMIF(EXTRATO!$A$2:$A$3000,$A2742,EXTRATO!$M$2:$M$3000))</f>
        <v/>
      </c>
      <c r="G2742" s="81" t="str">
        <f>IF(A2742="","",IF(INDEX(EXTRATO!$G$2:$G$3000,MATCH($A2742,EXTRATO!$A$2:$A$3000,0))="","",INDEX(EXTRATO!$G$2:$G$3000,MATCH($A2742,EXTRATO!$A$2:$A$3000,0))))</f>
        <v/>
      </c>
      <c r="H2742" s="86" t="str">
        <f>IF(A2742="","",IF(INDEX(EXTRATO!$F$2:$F$3000,MATCH($A2742,EXTRATO!$A$2:$A$3000,0))="","",INDEX(EXTRATO!$F$2:$F$3000,MATCH($A2742,EXTRATO!$A$2:$A$3000,0))))</f>
        <v/>
      </c>
      <c r="I2742" s="88" t="str">
        <f>IF(A2742="","",IF(INDEX(EXTRATO!$H$2:$H$3000,MATCH($A2742,EXTRATO!$A$2:$A$3000,0))="","",INDEX(EXTRATO!$H$2:$H$3000,MATCH($A2742,EXTRATO!$A$2:$A$3000,0))))</f>
        <v/>
      </c>
      <c r="J2742" s="86" t="str">
        <f t="shared" si="73"/>
        <v/>
      </c>
      <c r="K2742" s="86" t="str">
        <f>IF(AND(A2742="",D2742="",E2742="",F2742=""),"",IF(D2742="","SEM CATEGORIA",IF(E2742="","SEM SUBCATEGORIA",IF(COUNTIFS(CADASTROS!$L$7:$L$93,D2742,CADASTROS!$D$7:$D$93,E2742)=0,"INCOMPATÍVEL","OK"))))</f>
        <v/>
      </c>
    </row>
    <row r="2743" spans="1:11" ht="30" hidden="1" customHeight="1" x14ac:dyDescent="0.25">
      <c r="A2743" s="86" t="str">
        <f>IF(COUNTIF(EXTRATO!$A$2:$A$3000,"BAN-02600")=0,"","BAN-02600")</f>
        <v/>
      </c>
      <c r="B2743" s="85" t="str">
        <f>IF(A2743="","",IF(INDEX(EXTRATO!$C$2:$C$3000,MATCH($A2743,EXTRATO!$A$2:$A$3000,0))="","",INDEX(EXTRATO!$C$2:$C$3000,MATCH($A2743,EXTRATO!$A$2:$A$3000,0))))</f>
        <v/>
      </c>
      <c r="C2743" s="86" t="str">
        <f t="shared" si="72"/>
        <v/>
      </c>
      <c r="D2743" s="81"/>
      <c r="E2743" s="79"/>
      <c r="F2743" s="80" t="str">
        <f>IF(A2743="","",SUMIF(EXTRATO!$A$2:$A$3000,$A2743,EXTRATO!$J$2:$J$3000)+SUMIF(EXTRATO!$A$2:$A$3000,$A2743,EXTRATO!$K$2:$K$3000)+SUMIF(EXTRATO!$A$2:$A$3000,$A2743,EXTRATO!$L$2:$L$3000)+SUMIF(EXTRATO!$A$2:$A$3000,$A2743,EXTRATO!$M$2:$M$3000))</f>
        <v/>
      </c>
      <c r="G2743" s="81" t="str">
        <f>IF(A2743="","",IF(INDEX(EXTRATO!$G$2:$G$3000,MATCH($A2743,EXTRATO!$A$2:$A$3000,0))="","",INDEX(EXTRATO!$G$2:$G$3000,MATCH($A2743,EXTRATO!$A$2:$A$3000,0))))</f>
        <v/>
      </c>
      <c r="H2743" s="86" t="str">
        <f>IF(A2743="","",IF(INDEX(EXTRATO!$F$2:$F$3000,MATCH($A2743,EXTRATO!$A$2:$A$3000,0))="","",INDEX(EXTRATO!$F$2:$F$3000,MATCH($A2743,EXTRATO!$A$2:$A$3000,0))))</f>
        <v/>
      </c>
      <c r="I2743" s="88" t="str">
        <f>IF(A2743="","",IF(INDEX(EXTRATO!$H$2:$H$3000,MATCH($A2743,EXTRATO!$A$2:$A$3000,0))="","",INDEX(EXTRATO!$H$2:$H$3000,MATCH($A2743,EXTRATO!$A$2:$A$3000,0))))</f>
        <v/>
      </c>
      <c r="J2743" s="86" t="str">
        <f t="shared" si="73"/>
        <v/>
      </c>
      <c r="K2743" s="86" t="str">
        <f>IF(AND(A2743="",D2743="",E2743="",F2743=""),"",IF(D2743="","SEM CATEGORIA",IF(E2743="","SEM SUBCATEGORIA",IF(COUNTIFS(CADASTROS!$L$7:$L$93,D2743,CADASTROS!$D$7:$D$93,E2743)=0,"INCOMPATÍVEL","OK"))))</f>
        <v/>
      </c>
    </row>
    <row r="2744" spans="1:11" ht="30" hidden="1" customHeight="1" x14ac:dyDescent="0.25">
      <c r="A2744" s="86" t="str">
        <f>IF(COUNTIF(EXTRATO!$A$2:$A$3000,"BAN-02601")=0,"","BAN-02601")</f>
        <v/>
      </c>
      <c r="B2744" s="85" t="str">
        <f>IF(A2744="","",IF(INDEX(EXTRATO!$C$2:$C$3000,MATCH($A2744,EXTRATO!$A$2:$A$3000,0))="","",INDEX(EXTRATO!$C$2:$C$3000,MATCH($A2744,EXTRATO!$A$2:$A$3000,0))))</f>
        <v/>
      </c>
      <c r="C2744" s="86" t="str">
        <f t="shared" si="72"/>
        <v/>
      </c>
      <c r="D2744" s="81"/>
      <c r="E2744" s="79"/>
      <c r="F2744" s="80" t="str">
        <f>IF(A2744="","",SUMIF(EXTRATO!$A$2:$A$3000,$A2744,EXTRATO!$J$2:$J$3000)+SUMIF(EXTRATO!$A$2:$A$3000,$A2744,EXTRATO!$K$2:$K$3000)+SUMIF(EXTRATO!$A$2:$A$3000,$A2744,EXTRATO!$L$2:$L$3000)+SUMIF(EXTRATO!$A$2:$A$3000,$A2744,EXTRATO!$M$2:$M$3000))</f>
        <v/>
      </c>
      <c r="G2744" s="81" t="str">
        <f>IF(A2744="","",IF(INDEX(EXTRATO!$G$2:$G$3000,MATCH($A2744,EXTRATO!$A$2:$A$3000,0))="","",INDEX(EXTRATO!$G$2:$G$3000,MATCH($A2744,EXTRATO!$A$2:$A$3000,0))))</f>
        <v/>
      </c>
      <c r="H2744" s="86" t="str">
        <f>IF(A2744="","",IF(INDEX(EXTRATO!$F$2:$F$3000,MATCH($A2744,EXTRATO!$A$2:$A$3000,0))="","",INDEX(EXTRATO!$F$2:$F$3000,MATCH($A2744,EXTRATO!$A$2:$A$3000,0))))</f>
        <v/>
      </c>
      <c r="I2744" s="88" t="str">
        <f>IF(A2744="","",IF(INDEX(EXTRATO!$H$2:$H$3000,MATCH($A2744,EXTRATO!$A$2:$A$3000,0))="","",INDEX(EXTRATO!$H$2:$H$3000,MATCH($A2744,EXTRATO!$A$2:$A$3000,0))))</f>
        <v/>
      </c>
      <c r="J2744" s="86" t="str">
        <f t="shared" si="73"/>
        <v/>
      </c>
      <c r="K2744" s="86" t="str">
        <f>IF(AND(A2744="",D2744="",E2744="",F2744=""),"",IF(D2744="","SEM CATEGORIA",IF(E2744="","SEM SUBCATEGORIA",IF(COUNTIFS(CADASTROS!$L$7:$L$93,D2744,CADASTROS!$D$7:$D$93,E2744)=0,"INCOMPATÍVEL","OK"))))</f>
        <v/>
      </c>
    </row>
    <row r="2745" spans="1:11" ht="30" hidden="1" customHeight="1" x14ac:dyDescent="0.25">
      <c r="A2745" s="86" t="str">
        <f>IF(COUNTIF(EXTRATO!$A$2:$A$3000,"BAN-02602")=0,"","BAN-02602")</f>
        <v/>
      </c>
      <c r="B2745" s="85" t="str">
        <f>IF(A2745="","",IF(INDEX(EXTRATO!$C$2:$C$3000,MATCH($A2745,EXTRATO!$A$2:$A$3000,0))="","",INDEX(EXTRATO!$C$2:$C$3000,MATCH($A2745,EXTRATO!$A$2:$A$3000,0))))</f>
        <v/>
      </c>
      <c r="C2745" s="86" t="str">
        <f t="shared" si="72"/>
        <v/>
      </c>
      <c r="D2745" s="81"/>
      <c r="E2745" s="79"/>
      <c r="F2745" s="80" t="str">
        <f>IF(A2745="","",SUMIF(EXTRATO!$A$2:$A$3000,$A2745,EXTRATO!$J$2:$J$3000)+SUMIF(EXTRATO!$A$2:$A$3000,$A2745,EXTRATO!$K$2:$K$3000)+SUMIF(EXTRATO!$A$2:$A$3000,$A2745,EXTRATO!$L$2:$L$3000)+SUMIF(EXTRATO!$A$2:$A$3000,$A2745,EXTRATO!$M$2:$M$3000))</f>
        <v/>
      </c>
      <c r="G2745" s="81" t="str">
        <f>IF(A2745="","",IF(INDEX(EXTRATO!$G$2:$G$3000,MATCH($A2745,EXTRATO!$A$2:$A$3000,0))="","",INDEX(EXTRATO!$G$2:$G$3000,MATCH($A2745,EXTRATO!$A$2:$A$3000,0))))</f>
        <v/>
      </c>
      <c r="H2745" s="86" t="str">
        <f>IF(A2745="","",IF(INDEX(EXTRATO!$F$2:$F$3000,MATCH($A2745,EXTRATO!$A$2:$A$3000,0))="","",INDEX(EXTRATO!$F$2:$F$3000,MATCH($A2745,EXTRATO!$A$2:$A$3000,0))))</f>
        <v/>
      </c>
      <c r="I2745" s="88" t="str">
        <f>IF(A2745="","",IF(INDEX(EXTRATO!$H$2:$H$3000,MATCH($A2745,EXTRATO!$A$2:$A$3000,0))="","",INDEX(EXTRATO!$H$2:$H$3000,MATCH($A2745,EXTRATO!$A$2:$A$3000,0))))</f>
        <v/>
      </c>
      <c r="J2745" s="86" t="str">
        <f t="shared" si="73"/>
        <v/>
      </c>
      <c r="K2745" s="86" t="str">
        <f>IF(AND(A2745="",D2745="",E2745="",F2745=""),"",IF(D2745="","SEM CATEGORIA",IF(E2745="","SEM SUBCATEGORIA",IF(COUNTIFS(CADASTROS!$L$7:$L$93,D2745,CADASTROS!$D$7:$D$93,E2745)=0,"INCOMPATÍVEL","OK"))))</f>
        <v/>
      </c>
    </row>
    <row r="2746" spans="1:11" ht="30" hidden="1" customHeight="1" x14ac:dyDescent="0.25">
      <c r="A2746" s="86" t="str">
        <f>IF(COUNTIF(EXTRATO!$A$2:$A$3000,"BAN-02603")=0,"","BAN-02603")</f>
        <v/>
      </c>
      <c r="B2746" s="85" t="str">
        <f>IF(A2746="","",IF(INDEX(EXTRATO!$C$2:$C$3000,MATCH($A2746,EXTRATO!$A$2:$A$3000,0))="","",INDEX(EXTRATO!$C$2:$C$3000,MATCH($A2746,EXTRATO!$A$2:$A$3000,0))))</f>
        <v/>
      </c>
      <c r="C2746" s="86" t="str">
        <f t="shared" si="72"/>
        <v/>
      </c>
      <c r="D2746" s="81"/>
      <c r="E2746" s="79"/>
      <c r="F2746" s="80" t="str">
        <f>IF(A2746="","",SUMIF(EXTRATO!$A$2:$A$3000,$A2746,EXTRATO!$J$2:$J$3000)+SUMIF(EXTRATO!$A$2:$A$3000,$A2746,EXTRATO!$K$2:$K$3000)+SUMIF(EXTRATO!$A$2:$A$3000,$A2746,EXTRATO!$L$2:$L$3000)+SUMIF(EXTRATO!$A$2:$A$3000,$A2746,EXTRATO!$M$2:$M$3000))</f>
        <v/>
      </c>
      <c r="G2746" s="81" t="str">
        <f>IF(A2746="","",IF(INDEX(EXTRATO!$G$2:$G$3000,MATCH($A2746,EXTRATO!$A$2:$A$3000,0))="","",INDEX(EXTRATO!$G$2:$G$3000,MATCH($A2746,EXTRATO!$A$2:$A$3000,0))))</f>
        <v/>
      </c>
      <c r="H2746" s="86" t="str">
        <f>IF(A2746="","",IF(INDEX(EXTRATO!$F$2:$F$3000,MATCH($A2746,EXTRATO!$A$2:$A$3000,0))="","",INDEX(EXTRATO!$F$2:$F$3000,MATCH($A2746,EXTRATO!$A$2:$A$3000,0))))</f>
        <v/>
      </c>
      <c r="I2746" s="88" t="str">
        <f>IF(A2746="","",IF(INDEX(EXTRATO!$H$2:$H$3000,MATCH($A2746,EXTRATO!$A$2:$A$3000,0))="","",INDEX(EXTRATO!$H$2:$H$3000,MATCH($A2746,EXTRATO!$A$2:$A$3000,0))))</f>
        <v/>
      </c>
      <c r="J2746" s="86" t="str">
        <f t="shared" si="73"/>
        <v/>
      </c>
      <c r="K2746" s="86" t="str">
        <f>IF(AND(A2746="",D2746="",E2746="",F2746=""),"",IF(D2746="","SEM CATEGORIA",IF(E2746="","SEM SUBCATEGORIA",IF(COUNTIFS(CADASTROS!$L$7:$L$93,D2746,CADASTROS!$D$7:$D$93,E2746)=0,"INCOMPATÍVEL","OK"))))</f>
        <v/>
      </c>
    </row>
    <row r="2747" spans="1:11" ht="30" hidden="1" customHeight="1" x14ac:dyDescent="0.25">
      <c r="A2747" s="86" t="str">
        <f>IF(COUNTIF(EXTRATO!$A$2:$A$3000,"BAN-02604")=0,"","BAN-02604")</f>
        <v/>
      </c>
      <c r="B2747" s="85" t="str">
        <f>IF(A2747="","",IF(INDEX(EXTRATO!$C$2:$C$3000,MATCH($A2747,EXTRATO!$A$2:$A$3000,0))="","",INDEX(EXTRATO!$C$2:$C$3000,MATCH($A2747,EXTRATO!$A$2:$A$3000,0))))</f>
        <v/>
      </c>
      <c r="C2747" s="86" t="str">
        <f t="shared" si="72"/>
        <v/>
      </c>
      <c r="D2747" s="81"/>
      <c r="E2747" s="79"/>
      <c r="F2747" s="80" t="str">
        <f>IF(A2747="","",SUMIF(EXTRATO!$A$2:$A$3000,$A2747,EXTRATO!$J$2:$J$3000)+SUMIF(EXTRATO!$A$2:$A$3000,$A2747,EXTRATO!$K$2:$K$3000)+SUMIF(EXTRATO!$A$2:$A$3000,$A2747,EXTRATO!$L$2:$L$3000)+SUMIF(EXTRATO!$A$2:$A$3000,$A2747,EXTRATO!$M$2:$M$3000))</f>
        <v/>
      </c>
      <c r="G2747" s="81" t="str">
        <f>IF(A2747="","",IF(INDEX(EXTRATO!$G$2:$G$3000,MATCH($A2747,EXTRATO!$A$2:$A$3000,0))="","",INDEX(EXTRATO!$G$2:$G$3000,MATCH($A2747,EXTRATO!$A$2:$A$3000,0))))</f>
        <v/>
      </c>
      <c r="H2747" s="86" t="str">
        <f>IF(A2747="","",IF(INDEX(EXTRATO!$F$2:$F$3000,MATCH($A2747,EXTRATO!$A$2:$A$3000,0))="","",INDEX(EXTRATO!$F$2:$F$3000,MATCH($A2747,EXTRATO!$A$2:$A$3000,0))))</f>
        <v/>
      </c>
      <c r="I2747" s="88" t="str">
        <f>IF(A2747="","",IF(INDEX(EXTRATO!$H$2:$H$3000,MATCH($A2747,EXTRATO!$A$2:$A$3000,0))="","",INDEX(EXTRATO!$H$2:$H$3000,MATCH($A2747,EXTRATO!$A$2:$A$3000,0))))</f>
        <v/>
      </c>
      <c r="J2747" s="86" t="str">
        <f t="shared" si="73"/>
        <v/>
      </c>
      <c r="K2747" s="86" t="str">
        <f>IF(AND(A2747="",D2747="",E2747="",F2747=""),"",IF(D2747="","SEM CATEGORIA",IF(E2747="","SEM SUBCATEGORIA",IF(COUNTIFS(CADASTROS!$L$7:$L$93,D2747,CADASTROS!$D$7:$D$93,E2747)=0,"INCOMPATÍVEL","OK"))))</f>
        <v/>
      </c>
    </row>
    <row r="2748" spans="1:11" ht="30" hidden="1" customHeight="1" x14ac:dyDescent="0.25">
      <c r="A2748" s="86" t="str">
        <f>IF(COUNTIF(EXTRATO!$A$2:$A$3000,"BAN-02605")=0,"","BAN-02605")</f>
        <v/>
      </c>
      <c r="B2748" s="85" t="str">
        <f>IF(A2748="","",IF(INDEX(EXTRATO!$C$2:$C$3000,MATCH($A2748,EXTRATO!$A$2:$A$3000,0))="","",INDEX(EXTRATO!$C$2:$C$3000,MATCH($A2748,EXTRATO!$A$2:$A$3000,0))))</f>
        <v/>
      </c>
      <c r="C2748" s="86" t="str">
        <f t="shared" si="72"/>
        <v/>
      </c>
      <c r="D2748" s="81"/>
      <c r="E2748" s="79"/>
      <c r="F2748" s="80" t="str">
        <f>IF(A2748="","",SUMIF(EXTRATO!$A$2:$A$3000,$A2748,EXTRATO!$J$2:$J$3000)+SUMIF(EXTRATO!$A$2:$A$3000,$A2748,EXTRATO!$K$2:$K$3000)+SUMIF(EXTRATO!$A$2:$A$3000,$A2748,EXTRATO!$L$2:$L$3000)+SUMIF(EXTRATO!$A$2:$A$3000,$A2748,EXTRATO!$M$2:$M$3000))</f>
        <v/>
      </c>
      <c r="G2748" s="81" t="str">
        <f>IF(A2748="","",IF(INDEX(EXTRATO!$G$2:$G$3000,MATCH($A2748,EXTRATO!$A$2:$A$3000,0))="","",INDEX(EXTRATO!$G$2:$G$3000,MATCH($A2748,EXTRATO!$A$2:$A$3000,0))))</f>
        <v/>
      </c>
      <c r="H2748" s="86" t="str">
        <f>IF(A2748="","",IF(INDEX(EXTRATO!$F$2:$F$3000,MATCH($A2748,EXTRATO!$A$2:$A$3000,0))="","",INDEX(EXTRATO!$F$2:$F$3000,MATCH($A2748,EXTRATO!$A$2:$A$3000,0))))</f>
        <v/>
      </c>
      <c r="I2748" s="88" t="str">
        <f>IF(A2748="","",IF(INDEX(EXTRATO!$H$2:$H$3000,MATCH($A2748,EXTRATO!$A$2:$A$3000,0))="","",INDEX(EXTRATO!$H$2:$H$3000,MATCH($A2748,EXTRATO!$A$2:$A$3000,0))))</f>
        <v/>
      </c>
      <c r="J2748" s="86" t="str">
        <f t="shared" si="73"/>
        <v/>
      </c>
      <c r="K2748" s="86" t="str">
        <f>IF(AND(A2748="",D2748="",E2748="",F2748=""),"",IF(D2748="","SEM CATEGORIA",IF(E2748="","SEM SUBCATEGORIA",IF(COUNTIFS(CADASTROS!$L$7:$L$93,D2748,CADASTROS!$D$7:$D$93,E2748)=0,"INCOMPATÍVEL","OK"))))</f>
        <v/>
      </c>
    </row>
    <row r="2749" spans="1:11" ht="30" hidden="1" customHeight="1" x14ac:dyDescent="0.25">
      <c r="A2749" s="86" t="str">
        <f>IF(COUNTIF(EXTRATO!$A$2:$A$3000,"BAN-02606")=0,"","BAN-02606")</f>
        <v/>
      </c>
      <c r="B2749" s="85" t="str">
        <f>IF(A2749="","",IF(INDEX(EXTRATO!$C$2:$C$3000,MATCH($A2749,EXTRATO!$A$2:$A$3000,0))="","",INDEX(EXTRATO!$C$2:$C$3000,MATCH($A2749,EXTRATO!$A$2:$A$3000,0))))</f>
        <v/>
      </c>
      <c r="C2749" s="86" t="str">
        <f t="shared" si="72"/>
        <v/>
      </c>
      <c r="D2749" s="81"/>
      <c r="E2749" s="79"/>
      <c r="F2749" s="80" t="str">
        <f>IF(A2749="","",SUMIF(EXTRATO!$A$2:$A$3000,$A2749,EXTRATO!$J$2:$J$3000)+SUMIF(EXTRATO!$A$2:$A$3000,$A2749,EXTRATO!$K$2:$K$3000)+SUMIF(EXTRATO!$A$2:$A$3000,$A2749,EXTRATO!$L$2:$L$3000)+SUMIF(EXTRATO!$A$2:$A$3000,$A2749,EXTRATO!$M$2:$M$3000))</f>
        <v/>
      </c>
      <c r="G2749" s="81" t="str">
        <f>IF(A2749="","",IF(INDEX(EXTRATO!$G$2:$G$3000,MATCH($A2749,EXTRATO!$A$2:$A$3000,0))="","",INDEX(EXTRATO!$G$2:$G$3000,MATCH($A2749,EXTRATO!$A$2:$A$3000,0))))</f>
        <v/>
      </c>
      <c r="H2749" s="86" t="str">
        <f>IF(A2749="","",IF(INDEX(EXTRATO!$F$2:$F$3000,MATCH($A2749,EXTRATO!$A$2:$A$3000,0))="","",INDEX(EXTRATO!$F$2:$F$3000,MATCH($A2749,EXTRATO!$A$2:$A$3000,0))))</f>
        <v/>
      </c>
      <c r="I2749" s="88" t="str">
        <f>IF(A2749="","",IF(INDEX(EXTRATO!$H$2:$H$3000,MATCH($A2749,EXTRATO!$A$2:$A$3000,0))="","",INDEX(EXTRATO!$H$2:$H$3000,MATCH($A2749,EXTRATO!$A$2:$A$3000,0))))</f>
        <v/>
      </c>
      <c r="J2749" s="86" t="str">
        <f t="shared" si="73"/>
        <v/>
      </c>
      <c r="K2749" s="86" t="str">
        <f>IF(AND(A2749="",D2749="",E2749="",F2749=""),"",IF(D2749="","SEM CATEGORIA",IF(E2749="","SEM SUBCATEGORIA",IF(COUNTIFS(CADASTROS!$L$7:$L$93,D2749,CADASTROS!$D$7:$D$93,E2749)=0,"INCOMPATÍVEL","OK"))))</f>
        <v/>
      </c>
    </row>
    <row r="2750" spans="1:11" ht="30" hidden="1" customHeight="1" x14ac:dyDescent="0.25">
      <c r="A2750" s="86" t="str">
        <f>IF(COUNTIF(EXTRATO!$A$2:$A$3000,"BAN-02607")=0,"","BAN-02607")</f>
        <v/>
      </c>
      <c r="B2750" s="85" t="str">
        <f>IF(A2750="","",IF(INDEX(EXTRATO!$C$2:$C$3000,MATCH($A2750,EXTRATO!$A$2:$A$3000,0))="","",INDEX(EXTRATO!$C$2:$C$3000,MATCH($A2750,EXTRATO!$A$2:$A$3000,0))))</f>
        <v/>
      </c>
      <c r="C2750" s="86" t="str">
        <f t="shared" si="72"/>
        <v/>
      </c>
      <c r="D2750" s="81"/>
      <c r="E2750" s="79"/>
      <c r="F2750" s="80" t="str">
        <f>IF(A2750="","",SUMIF(EXTRATO!$A$2:$A$3000,$A2750,EXTRATO!$J$2:$J$3000)+SUMIF(EXTRATO!$A$2:$A$3000,$A2750,EXTRATO!$K$2:$K$3000)+SUMIF(EXTRATO!$A$2:$A$3000,$A2750,EXTRATO!$L$2:$L$3000)+SUMIF(EXTRATO!$A$2:$A$3000,$A2750,EXTRATO!$M$2:$M$3000))</f>
        <v/>
      </c>
      <c r="G2750" s="81" t="str">
        <f>IF(A2750="","",IF(INDEX(EXTRATO!$G$2:$G$3000,MATCH($A2750,EXTRATO!$A$2:$A$3000,0))="","",INDEX(EXTRATO!$G$2:$G$3000,MATCH($A2750,EXTRATO!$A$2:$A$3000,0))))</f>
        <v/>
      </c>
      <c r="H2750" s="86" t="str">
        <f>IF(A2750="","",IF(INDEX(EXTRATO!$F$2:$F$3000,MATCH($A2750,EXTRATO!$A$2:$A$3000,0))="","",INDEX(EXTRATO!$F$2:$F$3000,MATCH($A2750,EXTRATO!$A$2:$A$3000,0))))</f>
        <v/>
      </c>
      <c r="I2750" s="88" t="str">
        <f>IF(A2750="","",IF(INDEX(EXTRATO!$H$2:$H$3000,MATCH($A2750,EXTRATO!$A$2:$A$3000,0))="","",INDEX(EXTRATO!$H$2:$H$3000,MATCH($A2750,EXTRATO!$A$2:$A$3000,0))))</f>
        <v/>
      </c>
      <c r="J2750" s="86" t="str">
        <f t="shared" si="73"/>
        <v/>
      </c>
      <c r="K2750" s="86" t="str">
        <f>IF(AND(A2750="",D2750="",E2750="",F2750=""),"",IF(D2750="","SEM CATEGORIA",IF(E2750="","SEM SUBCATEGORIA",IF(COUNTIFS(CADASTROS!$L$7:$L$93,D2750,CADASTROS!$D$7:$D$93,E2750)=0,"INCOMPATÍVEL","OK"))))</f>
        <v/>
      </c>
    </row>
    <row r="2751" spans="1:11" ht="30" hidden="1" customHeight="1" x14ac:dyDescent="0.25">
      <c r="A2751" s="86" t="str">
        <f>IF(COUNTIF(EXTRATO!$A$2:$A$3000,"BAN-02608")=0,"","BAN-02608")</f>
        <v/>
      </c>
      <c r="B2751" s="85" t="str">
        <f>IF(A2751="","",IF(INDEX(EXTRATO!$C$2:$C$3000,MATCH($A2751,EXTRATO!$A$2:$A$3000,0))="","",INDEX(EXTRATO!$C$2:$C$3000,MATCH($A2751,EXTRATO!$A$2:$A$3000,0))))</f>
        <v/>
      </c>
      <c r="C2751" s="86" t="str">
        <f t="shared" si="72"/>
        <v/>
      </c>
      <c r="D2751" s="81"/>
      <c r="E2751" s="79"/>
      <c r="F2751" s="80" t="str">
        <f>IF(A2751="","",SUMIF(EXTRATO!$A$2:$A$3000,$A2751,EXTRATO!$J$2:$J$3000)+SUMIF(EXTRATO!$A$2:$A$3000,$A2751,EXTRATO!$K$2:$K$3000)+SUMIF(EXTRATO!$A$2:$A$3000,$A2751,EXTRATO!$L$2:$L$3000)+SUMIF(EXTRATO!$A$2:$A$3000,$A2751,EXTRATO!$M$2:$M$3000))</f>
        <v/>
      </c>
      <c r="G2751" s="81" t="str">
        <f>IF(A2751="","",IF(INDEX(EXTRATO!$G$2:$G$3000,MATCH($A2751,EXTRATO!$A$2:$A$3000,0))="","",INDEX(EXTRATO!$G$2:$G$3000,MATCH($A2751,EXTRATO!$A$2:$A$3000,0))))</f>
        <v/>
      </c>
      <c r="H2751" s="86" t="str">
        <f>IF(A2751="","",IF(INDEX(EXTRATO!$F$2:$F$3000,MATCH($A2751,EXTRATO!$A$2:$A$3000,0))="","",INDEX(EXTRATO!$F$2:$F$3000,MATCH($A2751,EXTRATO!$A$2:$A$3000,0))))</f>
        <v/>
      </c>
      <c r="I2751" s="88" t="str">
        <f>IF(A2751="","",IF(INDEX(EXTRATO!$H$2:$H$3000,MATCH($A2751,EXTRATO!$A$2:$A$3000,0))="","",INDEX(EXTRATO!$H$2:$H$3000,MATCH($A2751,EXTRATO!$A$2:$A$3000,0))))</f>
        <v/>
      </c>
      <c r="J2751" s="86" t="str">
        <f t="shared" si="73"/>
        <v/>
      </c>
      <c r="K2751" s="86" t="str">
        <f>IF(AND(A2751="",D2751="",E2751="",F2751=""),"",IF(D2751="","SEM CATEGORIA",IF(E2751="","SEM SUBCATEGORIA",IF(COUNTIFS(CADASTROS!$L$7:$L$93,D2751,CADASTROS!$D$7:$D$93,E2751)=0,"INCOMPATÍVEL","OK"))))</f>
        <v/>
      </c>
    </row>
    <row r="2752" spans="1:11" ht="30" hidden="1" customHeight="1" x14ac:dyDescent="0.25">
      <c r="A2752" s="86" t="str">
        <f>IF(COUNTIF(EXTRATO!$A$2:$A$3000,"BAN-02609")=0,"","BAN-02609")</f>
        <v/>
      </c>
      <c r="B2752" s="85" t="str">
        <f>IF(A2752="","",IF(INDEX(EXTRATO!$C$2:$C$3000,MATCH($A2752,EXTRATO!$A$2:$A$3000,0))="","",INDEX(EXTRATO!$C$2:$C$3000,MATCH($A2752,EXTRATO!$A$2:$A$3000,0))))</f>
        <v/>
      </c>
      <c r="C2752" s="86" t="str">
        <f t="shared" si="72"/>
        <v/>
      </c>
      <c r="D2752" s="81"/>
      <c r="E2752" s="79"/>
      <c r="F2752" s="80" t="str">
        <f>IF(A2752="","",SUMIF(EXTRATO!$A$2:$A$3000,$A2752,EXTRATO!$J$2:$J$3000)+SUMIF(EXTRATO!$A$2:$A$3000,$A2752,EXTRATO!$K$2:$K$3000)+SUMIF(EXTRATO!$A$2:$A$3000,$A2752,EXTRATO!$L$2:$L$3000)+SUMIF(EXTRATO!$A$2:$A$3000,$A2752,EXTRATO!$M$2:$M$3000))</f>
        <v/>
      </c>
      <c r="G2752" s="81" t="str">
        <f>IF(A2752="","",IF(INDEX(EXTRATO!$G$2:$G$3000,MATCH($A2752,EXTRATO!$A$2:$A$3000,0))="","",INDEX(EXTRATO!$G$2:$G$3000,MATCH($A2752,EXTRATO!$A$2:$A$3000,0))))</f>
        <v/>
      </c>
      <c r="H2752" s="86" t="str">
        <f>IF(A2752="","",IF(INDEX(EXTRATO!$F$2:$F$3000,MATCH($A2752,EXTRATO!$A$2:$A$3000,0))="","",INDEX(EXTRATO!$F$2:$F$3000,MATCH($A2752,EXTRATO!$A$2:$A$3000,0))))</f>
        <v/>
      </c>
      <c r="I2752" s="88" t="str">
        <f>IF(A2752="","",IF(INDEX(EXTRATO!$H$2:$H$3000,MATCH($A2752,EXTRATO!$A$2:$A$3000,0))="","",INDEX(EXTRATO!$H$2:$H$3000,MATCH($A2752,EXTRATO!$A$2:$A$3000,0))))</f>
        <v/>
      </c>
      <c r="J2752" s="86" t="str">
        <f t="shared" si="73"/>
        <v/>
      </c>
      <c r="K2752" s="86" t="str">
        <f>IF(AND(A2752="",D2752="",E2752="",F2752=""),"",IF(D2752="","SEM CATEGORIA",IF(E2752="","SEM SUBCATEGORIA",IF(COUNTIFS(CADASTROS!$L$7:$L$93,D2752,CADASTROS!$D$7:$D$93,E2752)=0,"INCOMPATÍVEL","OK"))))</f>
        <v/>
      </c>
    </row>
    <row r="2753" spans="1:11" ht="30" hidden="1" customHeight="1" x14ac:dyDescent="0.25">
      <c r="A2753" s="86" t="str">
        <f>IF(COUNTIF(EXTRATO!$A$2:$A$3000,"BAN-02610")=0,"","BAN-02610")</f>
        <v/>
      </c>
      <c r="B2753" s="85" t="str">
        <f>IF(A2753="","",IF(INDEX(EXTRATO!$C$2:$C$3000,MATCH($A2753,EXTRATO!$A$2:$A$3000,0))="","",INDEX(EXTRATO!$C$2:$C$3000,MATCH($A2753,EXTRATO!$A$2:$A$3000,0))))</f>
        <v/>
      </c>
      <c r="C2753" s="86" t="str">
        <f t="shared" si="72"/>
        <v/>
      </c>
      <c r="D2753" s="81"/>
      <c r="E2753" s="79"/>
      <c r="F2753" s="80" t="str">
        <f>IF(A2753="","",SUMIF(EXTRATO!$A$2:$A$3000,$A2753,EXTRATO!$J$2:$J$3000)+SUMIF(EXTRATO!$A$2:$A$3000,$A2753,EXTRATO!$K$2:$K$3000)+SUMIF(EXTRATO!$A$2:$A$3000,$A2753,EXTRATO!$L$2:$L$3000)+SUMIF(EXTRATO!$A$2:$A$3000,$A2753,EXTRATO!$M$2:$M$3000))</f>
        <v/>
      </c>
      <c r="G2753" s="81" t="str">
        <f>IF(A2753="","",IF(INDEX(EXTRATO!$G$2:$G$3000,MATCH($A2753,EXTRATO!$A$2:$A$3000,0))="","",INDEX(EXTRATO!$G$2:$G$3000,MATCH($A2753,EXTRATO!$A$2:$A$3000,0))))</f>
        <v/>
      </c>
      <c r="H2753" s="86" t="str">
        <f>IF(A2753="","",IF(INDEX(EXTRATO!$F$2:$F$3000,MATCH($A2753,EXTRATO!$A$2:$A$3000,0))="","",INDEX(EXTRATO!$F$2:$F$3000,MATCH($A2753,EXTRATO!$A$2:$A$3000,0))))</f>
        <v/>
      </c>
      <c r="I2753" s="88" t="str">
        <f>IF(A2753="","",IF(INDEX(EXTRATO!$H$2:$H$3000,MATCH($A2753,EXTRATO!$A$2:$A$3000,0))="","",INDEX(EXTRATO!$H$2:$H$3000,MATCH($A2753,EXTRATO!$A$2:$A$3000,0))))</f>
        <v/>
      </c>
      <c r="J2753" s="86" t="str">
        <f t="shared" si="73"/>
        <v/>
      </c>
      <c r="K2753" s="86" t="str">
        <f>IF(AND(A2753="",D2753="",E2753="",F2753=""),"",IF(D2753="","SEM CATEGORIA",IF(E2753="","SEM SUBCATEGORIA",IF(COUNTIFS(CADASTROS!$L$7:$L$93,D2753,CADASTROS!$D$7:$D$93,E2753)=0,"INCOMPATÍVEL","OK"))))</f>
        <v/>
      </c>
    </row>
    <row r="2754" spans="1:11" ht="30" hidden="1" customHeight="1" x14ac:dyDescent="0.25">
      <c r="A2754" s="86" t="str">
        <f>IF(COUNTIF(EXTRATO!$A$2:$A$3000,"BAN-02611")=0,"","BAN-02611")</f>
        <v/>
      </c>
      <c r="B2754" s="85" t="str">
        <f>IF(A2754="","",IF(INDEX(EXTRATO!$C$2:$C$3000,MATCH($A2754,EXTRATO!$A$2:$A$3000,0))="","",INDEX(EXTRATO!$C$2:$C$3000,MATCH($A2754,EXTRATO!$A$2:$A$3000,0))))</f>
        <v/>
      </c>
      <c r="C2754" s="86" t="str">
        <f t="shared" si="72"/>
        <v/>
      </c>
      <c r="D2754" s="81"/>
      <c r="E2754" s="79"/>
      <c r="F2754" s="80" t="str">
        <f>IF(A2754="","",SUMIF(EXTRATO!$A$2:$A$3000,$A2754,EXTRATO!$J$2:$J$3000)+SUMIF(EXTRATO!$A$2:$A$3000,$A2754,EXTRATO!$K$2:$K$3000)+SUMIF(EXTRATO!$A$2:$A$3000,$A2754,EXTRATO!$L$2:$L$3000)+SUMIF(EXTRATO!$A$2:$A$3000,$A2754,EXTRATO!$M$2:$M$3000))</f>
        <v/>
      </c>
      <c r="G2754" s="81" t="str">
        <f>IF(A2754="","",IF(INDEX(EXTRATO!$G$2:$G$3000,MATCH($A2754,EXTRATO!$A$2:$A$3000,0))="","",INDEX(EXTRATO!$G$2:$G$3000,MATCH($A2754,EXTRATO!$A$2:$A$3000,0))))</f>
        <v/>
      </c>
      <c r="H2754" s="86" t="str">
        <f>IF(A2754="","",IF(INDEX(EXTRATO!$F$2:$F$3000,MATCH($A2754,EXTRATO!$A$2:$A$3000,0))="","",INDEX(EXTRATO!$F$2:$F$3000,MATCH($A2754,EXTRATO!$A$2:$A$3000,0))))</f>
        <v/>
      </c>
      <c r="I2754" s="88" t="str">
        <f>IF(A2754="","",IF(INDEX(EXTRATO!$H$2:$H$3000,MATCH($A2754,EXTRATO!$A$2:$A$3000,0))="","",INDEX(EXTRATO!$H$2:$H$3000,MATCH($A2754,EXTRATO!$A$2:$A$3000,0))))</f>
        <v/>
      </c>
      <c r="J2754" s="86" t="str">
        <f t="shared" si="73"/>
        <v/>
      </c>
      <c r="K2754" s="86" t="str">
        <f>IF(AND(A2754="",D2754="",E2754="",F2754=""),"",IF(D2754="","SEM CATEGORIA",IF(E2754="","SEM SUBCATEGORIA",IF(COUNTIFS(CADASTROS!$L$7:$L$93,D2754,CADASTROS!$D$7:$D$93,E2754)=0,"INCOMPATÍVEL","OK"))))</f>
        <v/>
      </c>
    </row>
    <row r="2755" spans="1:11" ht="30" hidden="1" customHeight="1" x14ac:dyDescent="0.25">
      <c r="A2755" s="86" t="str">
        <f>IF(COUNTIF(EXTRATO!$A$2:$A$3000,"BAN-02612")=0,"","BAN-02612")</f>
        <v/>
      </c>
      <c r="B2755" s="85" t="str">
        <f>IF(A2755="","",IF(INDEX(EXTRATO!$C$2:$C$3000,MATCH($A2755,EXTRATO!$A$2:$A$3000,0))="","",INDEX(EXTRATO!$C$2:$C$3000,MATCH($A2755,EXTRATO!$A$2:$A$3000,0))))</f>
        <v/>
      </c>
      <c r="C2755" s="86" t="str">
        <f t="shared" si="72"/>
        <v/>
      </c>
      <c r="D2755" s="81"/>
      <c r="E2755" s="79"/>
      <c r="F2755" s="80" t="str">
        <f>IF(A2755="","",SUMIF(EXTRATO!$A$2:$A$3000,$A2755,EXTRATO!$J$2:$J$3000)+SUMIF(EXTRATO!$A$2:$A$3000,$A2755,EXTRATO!$K$2:$K$3000)+SUMIF(EXTRATO!$A$2:$A$3000,$A2755,EXTRATO!$L$2:$L$3000)+SUMIF(EXTRATO!$A$2:$A$3000,$A2755,EXTRATO!$M$2:$M$3000))</f>
        <v/>
      </c>
      <c r="G2755" s="81" t="str">
        <f>IF(A2755="","",IF(INDEX(EXTRATO!$G$2:$G$3000,MATCH($A2755,EXTRATO!$A$2:$A$3000,0))="","",INDEX(EXTRATO!$G$2:$G$3000,MATCH($A2755,EXTRATO!$A$2:$A$3000,0))))</f>
        <v/>
      </c>
      <c r="H2755" s="86" t="str">
        <f>IF(A2755="","",IF(INDEX(EXTRATO!$F$2:$F$3000,MATCH($A2755,EXTRATO!$A$2:$A$3000,0))="","",INDEX(EXTRATO!$F$2:$F$3000,MATCH($A2755,EXTRATO!$A$2:$A$3000,0))))</f>
        <v/>
      </c>
      <c r="I2755" s="88" t="str">
        <f>IF(A2755="","",IF(INDEX(EXTRATO!$H$2:$H$3000,MATCH($A2755,EXTRATO!$A$2:$A$3000,0))="","",INDEX(EXTRATO!$H$2:$H$3000,MATCH($A2755,EXTRATO!$A$2:$A$3000,0))))</f>
        <v/>
      </c>
      <c r="J2755" s="86" t="str">
        <f t="shared" si="73"/>
        <v/>
      </c>
      <c r="K2755" s="86" t="str">
        <f>IF(AND(A2755="",D2755="",E2755="",F2755=""),"",IF(D2755="","SEM CATEGORIA",IF(E2755="","SEM SUBCATEGORIA",IF(COUNTIFS(CADASTROS!$L$7:$L$93,D2755,CADASTROS!$D$7:$D$93,E2755)=0,"INCOMPATÍVEL","OK"))))</f>
        <v/>
      </c>
    </row>
    <row r="2756" spans="1:11" ht="30" hidden="1" customHeight="1" x14ac:dyDescent="0.25">
      <c r="A2756" s="86" t="str">
        <f>IF(COUNTIF(EXTRATO!$A$2:$A$3000,"BAN-02613")=0,"","BAN-02613")</f>
        <v/>
      </c>
      <c r="B2756" s="85" t="str">
        <f>IF(A2756="","",IF(INDEX(EXTRATO!$C$2:$C$3000,MATCH($A2756,EXTRATO!$A$2:$A$3000,0))="","",INDEX(EXTRATO!$C$2:$C$3000,MATCH($A2756,EXTRATO!$A$2:$A$3000,0))))</f>
        <v/>
      </c>
      <c r="C2756" s="86" t="str">
        <f t="shared" si="72"/>
        <v/>
      </c>
      <c r="D2756" s="81"/>
      <c r="E2756" s="79"/>
      <c r="F2756" s="80" t="str">
        <f>IF(A2756="","",SUMIF(EXTRATO!$A$2:$A$3000,$A2756,EXTRATO!$J$2:$J$3000)+SUMIF(EXTRATO!$A$2:$A$3000,$A2756,EXTRATO!$K$2:$K$3000)+SUMIF(EXTRATO!$A$2:$A$3000,$A2756,EXTRATO!$L$2:$L$3000)+SUMIF(EXTRATO!$A$2:$A$3000,$A2756,EXTRATO!$M$2:$M$3000))</f>
        <v/>
      </c>
      <c r="G2756" s="81" t="str">
        <f>IF(A2756="","",IF(INDEX(EXTRATO!$G$2:$G$3000,MATCH($A2756,EXTRATO!$A$2:$A$3000,0))="","",INDEX(EXTRATO!$G$2:$G$3000,MATCH($A2756,EXTRATO!$A$2:$A$3000,0))))</f>
        <v/>
      </c>
      <c r="H2756" s="86" t="str">
        <f>IF(A2756="","",IF(INDEX(EXTRATO!$F$2:$F$3000,MATCH($A2756,EXTRATO!$A$2:$A$3000,0))="","",INDEX(EXTRATO!$F$2:$F$3000,MATCH($A2756,EXTRATO!$A$2:$A$3000,0))))</f>
        <v/>
      </c>
      <c r="I2756" s="88" t="str">
        <f>IF(A2756="","",IF(INDEX(EXTRATO!$H$2:$H$3000,MATCH($A2756,EXTRATO!$A$2:$A$3000,0))="","",INDEX(EXTRATO!$H$2:$H$3000,MATCH($A2756,EXTRATO!$A$2:$A$3000,0))))</f>
        <v/>
      </c>
      <c r="J2756" s="86" t="str">
        <f t="shared" si="73"/>
        <v/>
      </c>
      <c r="K2756" s="86" t="str">
        <f>IF(AND(A2756="",D2756="",E2756="",F2756=""),"",IF(D2756="","SEM CATEGORIA",IF(E2756="","SEM SUBCATEGORIA",IF(COUNTIFS(CADASTROS!$L$7:$L$93,D2756,CADASTROS!$D$7:$D$93,E2756)=0,"INCOMPATÍVEL","OK"))))</f>
        <v/>
      </c>
    </row>
    <row r="2757" spans="1:11" ht="30" hidden="1" customHeight="1" x14ac:dyDescent="0.25">
      <c r="A2757" s="86" t="str">
        <f>IF(COUNTIF(EXTRATO!$A$2:$A$3000,"BAN-02614")=0,"","BAN-02614")</f>
        <v/>
      </c>
      <c r="B2757" s="85" t="str">
        <f>IF(A2757="","",IF(INDEX(EXTRATO!$C$2:$C$3000,MATCH($A2757,EXTRATO!$A$2:$A$3000,0))="","",INDEX(EXTRATO!$C$2:$C$3000,MATCH($A2757,EXTRATO!$A$2:$A$3000,0))))</f>
        <v/>
      </c>
      <c r="C2757" s="86" t="str">
        <f t="shared" si="72"/>
        <v/>
      </c>
      <c r="D2757" s="81"/>
      <c r="E2757" s="79"/>
      <c r="F2757" s="80" t="str">
        <f>IF(A2757="","",SUMIF(EXTRATO!$A$2:$A$3000,$A2757,EXTRATO!$J$2:$J$3000)+SUMIF(EXTRATO!$A$2:$A$3000,$A2757,EXTRATO!$K$2:$K$3000)+SUMIF(EXTRATO!$A$2:$A$3000,$A2757,EXTRATO!$L$2:$L$3000)+SUMIF(EXTRATO!$A$2:$A$3000,$A2757,EXTRATO!$M$2:$M$3000))</f>
        <v/>
      </c>
      <c r="G2757" s="81" t="str">
        <f>IF(A2757="","",IF(INDEX(EXTRATO!$G$2:$G$3000,MATCH($A2757,EXTRATO!$A$2:$A$3000,0))="","",INDEX(EXTRATO!$G$2:$G$3000,MATCH($A2757,EXTRATO!$A$2:$A$3000,0))))</f>
        <v/>
      </c>
      <c r="H2757" s="86" t="str">
        <f>IF(A2757="","",IF(INDEX(EXTRATO!$F$2:$F$3000,MATCH($A2757,EXTRATO!$A$2:$A$3000,0))="","",INDEX(EXTRATO!$F$2:$F$3000,MATCH($A2757,EXTRATO!$A$2:$A$3000,0))))</f>
        <v/>
      </c>
      <c r="I2757" s="88" t="str">
        <f>IF(A2757="","",IF(INDEX(EXTRATO!$H$2:$H$3000,MATCH($A2757,EXTRATO!$A$2:$A$3000,0))="","",INDEX(EXTRATO!$H$2:$H$3000,MATCH($A2757,EXTRATO!$A$2:$A$3000,0))))</f>
        <v/>
      </c>
      <c r="J2757" s="86" t="str">
        <f t="shared" si="73"/>
        <v/>
      </c>
      <c r="K2757" s="86" t="str">
        <f>IF(AND(A2757="",D2757="",E2757="",F2757=""),"",IF(D2757="","SEM CATEGORIA",IF(E2757="","SEM SUBCATEGORIA",IF(COUNTIFS(CADASTROS!$L$7:$L$93,D2757,CADASTROS!$D$7:$D$93,E2757)=0,"INCOMPATÍVEL","OK"))))</f>
        <v/>
      </c>
    </row>
    <row r="2758" spans="1:11" ht="30" hidden="1" customHeight="1" x14ac:dyDescent="0.25">
      <c r="A2758" s="86" t="str">
        <f>IF(COUNTIF(EXTRATO!$A$2:$A$3000,"BAN-02615")=0,"","BAN-02615")</f>
        <v/>
      </c>
      <c r="B2758" s="85" t="str">
        <f>IF(A2758="","",IF(INDEX(EXTRATO!$C$2:$C$3000,MATCH($A2758,EXTRATO!$A$2:$A$3000,0))="","",INDEX(EXTRATO!$C$2:$C$3000,MATCH($A2758,EXTRATO!$A$2:$A$3000,0))))</f>
        <v/>
      </c>
      <c r="C2758" s="86" t="str">
        <f t="shared" si="72"/>
        <v/>
      </c>
      <c r="D2758" s="81"/>
      <c r="E2758" s="79"/>
      <c r="F2758" s="80" t="str">
        <f>IF(A2758="","",SUMIF(EXTRATO!$A$2:$A$3000,$A2758,EXTRATO!$J$2:$J$3000)+SUMIF(EXTRATO!$A$2:$A$3000,$A2758,EXTRATO!$K$2:$K$3000)+SUMIF(EXTRATO!$A$2:$A$3000,$A2758,EXTRATO!$L$2:$L$3000)+SUMIF(EXTRATO!$A$2:$A$3000,$A2758,EXTRATO!$M$2:$M$3000))</f>
        <v/>
      </c>
      <c r="G2758" s="81" t="str">
        <f>IF(A2758="","",IF(INDEX(EXTRATO!$G$2:$G$3000,MATCH($A2758,EXTRATO!$A$2:$A$3000,0))="","",INDEX(EXTRATO!$G$2:$G$3000,MATCH($A2758,EXTRATO!$A$2:$A$3000,0))))</f>
        <v/>
      </c>
      <c r="H2758" s="86" t="str">
        <f>IF(A2758="","",IF(INDEX(EXTRATO!$F$2:$F$3000,MATCH($A2758,EXTRATO!$A$2:$A$3000,0))="","",INDEX(EXTRATO!$F$2:$F$3000,MATCH($A2758,EXTRATO!$A$2:$A$3000,0))))</f>
        <v/>
      </c>
      <c r="I2758" s="88" t="str">
        <f>IF(A2758="","",IF(INDEX(EXTRATO!$H$2:$H$3000,MATCH($A2758,EXTRATO!$A$2:$A$3000,0))="","",INDEX(EXTRATO!$H$2:$H$3000,MATCH($A2758,EXTRATO!$A$2:$A$3000,0))))</f>
        <v/>
      </c>
      <c r="J2758" s="86" t="str">
        <f t="shared" si="73"/>
        <v/>
      </c>
      <c r="K2758" s="86" t="str">
        <f>IF(AND(A2758="",D2758="",E2758="",F2758=""),"",IF(D2758="","SEM CATEGORIA",IF(E2758="","SEM SUBCATEGORIA",IF(COUNTIFS(CADASTROS!$L$7:$L$93,D2758,CADASTROS!$D$7:$D$93,E2758)=0,"INCOMPATÍVEL","OK"))))</f>
        <v/>
      </c>
    </row>
    <row r="2759" spans="1:11" ht="30" hidden="1" customHeight="1" x14ac:dyDescent="0.25">
      <c r="A2759" s="86" t="str">
        <f>IF(COUNTIF(EXTRATO!$A$2:$A$3000,"BAN-02616")=0,"","BAN-02616")</f>
        <v/>
      </c>
      <c r="B2759" s="85" t="str">
        <f>IF(A2759="","",IF(INDEX(EXTRATO!$C$2:$C$3000,MATCH($A2759,EXTRATO!$A$2:$A$3000,0))="","",INDEX(EXTRATO!$C$2:$C$3000,MATCH($A2759,EXTRATO!$A$2:$A$3000,0))))</f>
        <v/>
      </c>
      <c r="C2759" s="86" t="str">
        <f t="shared" si="72"/>
        <v/>
      </c>
      <c r="D2759" s="81"/>
      <c r="E2759" s="79"/>
      <c r="F2759" s="80" t="str">
        <f>IF(A2759="","",SUMIF(EXTRATO!$A$2:$A$3000,$A2759,EXTRATO!$J$2:$J$3000)+SUMIF(EXTRATO!$A$2:$A$3000,$A2759,EXTRATO!$K$2:$K$3000)+SUMIF(EXTRATO!$A$2:$A$3000,$A2759,EXTRATO!$L$2:$L$3000)+SUMIF(EXTRATO!$A$2:$A$3000,$A2759,EXTRATO!$M$2:$M$3000))</f>
        <v/>
      </c>
      <c r="G2759" s="81" t="str">
        <f>IF(A2759="","",IF(INDEX(EXTRATO!$G$2:$G$3000,MATCH($A2759,EXTRATO!$A$2:$A$3000,0))="","",INDEX(EXTRATO!$G$2:$G$3000,MATCH($A2759,EXTRATO!$A$2:$A$3000,0))))</f>
        <v/>
      </c>
      <c r="H2759" s="86" t="str">
        <f>IF(A2759="","",IF(INDEX(EXTRATO!$F$2:$F$3000,MATCH($A2759,EXTRATO!$A$2:$A$3000,0))="","",INDEX(EXTRATO!$F$2:$F$3000,MATCH($A2759,EXTRATO!$A$2:$A$3000,0))))</f>
        <v/>
      </c>
      <c r="I2759" s="88" t="str">
        <f>IF(A2759="","",IF(INDEX(EXTRATO!$H$2:$H$3000,MATCH($A2759,EXTRATO!$A$2:$A$3000,0))="","",INDEX(EXTRATO!$H$2:$H$3000,MATCH($A2759,EXTRATO!$A$2:$A$3000,0))))</f>
        <v/>
      </c>
      <c r="J2759" s="86" t="str">
        <f t="shared" si="73"/>
        <v/>
      </c>
      <c r="K2759" s="86" t="str">
        <f>IF(AND(A2759="",D2759="",E2759="",F2759=""),"",IF(D2759="","SEM CATEGORIA",IF(E2759="","SEM SUBCATEGORIA",IF(COUNTIFS(CADASTROS!$L$7:$L$93,D2759,CADASTROS!$D$7:$D$93,E2759)=0,"INCOMPATÍVEL","OK"))))</f>
        <v/>
      </c>
    </row>
    <row r="2760" spans="1:11" ht="30" hidden="1" customHeight="1" x14ac:dyDescent="0.25">
      <c r="A2760" s="86" t="str">
        <f>IF(COUNTIF(EXTRATO!$A$2:$A$3000,"BAN-02617")=0,"","BAN-02617")</f>
        <v/>
      </c>
      <c r="B2760" s="85" t="str">
        <f>IF(A2760="","",IF(INDEX(EXTRATO!$C$2:$C$3000,MATCH($A2760,EXTRATO!$A$2:$A$3000,0))="","",INDEX(EXTRATO!$C$2:$C$3000,MATCH($A2760,EXTRATO!$A$2:$A$3000,0))))</f>
        <v/>
      </c>
      <c r="C2760" s="86" t="str">
        <f t="shared" si="72"/>
        <v/>
      </c>
      <c r="D2760" s="81"/>
      <c r="E2760" s="79"/>
      <c r="F2760" s="80" t="str">
        <f>IF(A2760="","",SUMIF(EXTRATO!$A$2:$A$3000,$A2760,EXTRATO!$J$2:$J$3000)+SUMIF(EXTRATO!$A$2:$A$3000,$A2760,EXTRATO!$K$2:$K$3000)+SUMIF(EXTRATO!$A$2:$A$3000,$A2760,EXTRATO!$L$2:$L$3000)+SUMIF(EXTRATO!$A$2:$A$3000,$A2760,EXTRATO!$M$2:$M$3000))</f>
        <v/>
      </c>
      <c r="G2760" s="81" t="str">
        <f>IF(A2760="","",IF(INDEX(EXTRATO!$G$2:$G$3000,MATCH($A2760,EXTRATO!$A$2:$A$3000,0))="","",INDEX(EXTRATO!$G$2:$G$3000,MATCH($A2760,EXTRATO!$A$2:$A$3000,0))))</f>
        <v/>
      </c>
      <c r="H2760" s="86" t="str">
        <f>IF(A2760="","",IF(INDEX(EXTRATO!$F$2:$F$3000,MATCH($A2760,EXTRATO!$A$2:$A$3000,0))="","",INDEX(EXTRATO!$F$2:$F$3000,MATCH($A2760,EXTRATO!$A$2:$A$3000,0))))</f>
        <v/>
      </c>
      <c r="I2760" s="88" t="str">
        <f>IF(A2760="","",IF(INDEX(EXTRATO!$H$2:$H$3000,MATCH($A2760,EXTRATO!$A$2:$A$3000,0))="","",INDEX(EXTRATO!$H$2:$H$3000,MATCH($A2760,EXTRATO!$A$2:$A$3000,0))))</f>
        <v/>
      </c>
      <c r="J2760" s="86" t="str">
        <f t="shared" si="73"/>
        <v/>
      </c>
      <c r="K2760" s="86" t="str">
        <f>IF(AND(A2760="",D2760="",E2760="",F2760=""),"",IF(D2760="","SEM CATEGORIA",IF(E2760="","SEM SUBCATEGORIA",IF(COUNTIFS(CADASTROS!$L$7:$L$93,D2760,CADASTROS!$D$7:$D$93,E2760)=0,"INCOMPATÍVEL","OK"))))</f>
        <v/>
      </c>
    </row>
    <row r="2761" spans="1:11" ht="30" hidden="1" customHeight="1" x14ac:dyDescent="0.25">
      <c r="A2761" s="86" t="str">
        <f>IF(COUNTIF(EXTRATO!$A$2:$A$3000,"BAN-02618")=0,"","BAN-02618")</f>
        <v/>
      </c>
      <c r="B2761" s="85" t="str">
        <f>IF(A2761="","",IF(INDEX(EXTRATO!$C$2:$C$3000,MATCH($A2761,EXTRATO!$A$2:$A$3000,0))="","",INDEX(EXTRATO!$C$2:$C$3000,MATCH($A2761,EXTRATO!$A$2:$A$3000,0))))</f>
        <v/>
      </c>
      <c r="C2761" s="86" t="str">
        <f t="shared" si="72"/>
        <v/>
      </c>
      <c r="D2761" s="81"/>
      <c r="E2761" s="79"/>
      <c r="F2761" s="80" t="str">
        <f>IF(A2761="","",SUMIF(EXTRATO!$A$2:$A$3000,$A2761,EXTRATO!$J$2:$J$3000)+SUMIF(EXTRATO!$A$2:$A$3000,$A2761,EXTRATO!$K$2:$K$3000)+SUMIF(EXTRATO!$A$2:$A$3000,$A2761,EXTRATO!$L$2:$L$3000)+SUMIF(EXTRATO!$A$2:$A$3000,$A2761,EXTRATO!$M$2:$M$3000))</f>
        <v/>
      </c>
      <c r="G2761" s="81" t="str">
        <f>IF(A2761="","",IF(INDEX(EXTRATO!$G$2:$G$3000,MATCH($A2761,EXTRATO!$A$2:$A$3000,0))="","",INDEX(EXTRATO!$G$2:$G$3000,MATCH($A2761,EXTRATO!$A$2:$A$3000,0))))</f>
        <v/>
      </c>
      <c r="H2761" s="86" t="str">
        <f>IF(A2761="","",IF(INDEX(EXTRATO!$F$2:$F$3000,MATCH($A2761,EXTRATO!$A$2:$A$3000,0))="","",INDEX(EXTRATO!$F$2:$F$3000,MATCH($A2761,EXTRATO!$A$2:$A$3000,0))))</f>
        <v/>
      </c>
      <c r="I2761" s="88" t="str">
        <f>IF(A2761="","",IF(INDEX(EXTRATO!$H$2:$H$3000,MATCH($A2761,EXTRATO!$A$2:$A$3000,0))="","",INDEX(EXTRATO!$H$2:$H$3000,MATCH($A2761,EXTRATO!$A$2:$A$3000,0))))</f>
        <v/>
      </c>
      <c r="J2761" s="86" t="str">
        <f t="shared" si="73"/>
        <v/>
      </c>
      <c r="K2761" s="86" t="str">
        <f>IF(AND(A2761="",D2761="",E2761="",F2761=""),"",IF(D2761="","SEM CATEGORIA",IF(E2761="","SEM SUBCATEGORIA",IF(COUNTIFS(CADASTROS!$L$7:$L$93,D2761,CADASTROS!$D$7:$D$93,E2761)=0,"INCOMPATÍVEL","OK"))))</f>
        <v/>
      </c>
    </row>
    <row r="2762" spans="1:11" ht="30" hidden="1" customHeight="1" x14ac:dyDescent="0.25">
      <c r="A2762" s="86" t="str">
        <f>IF(COUNTIF(EXTRATO!$A$2:$A$3000,"BAN-02619")=0,"","BAN-02619")</f>
        <v/>
      </c>
      <c r="B2762" s="85" t="str">
        <f>IF(A2762="","",IF(INDEX(EXTRATO!$C$2:$C$3000,MATCH($A2762,EXTRATO!$A$2:$A$3000,0))="","",INDEX(EXTRATO!$C$2:$C$3000,MATCH($A2762,EXTRATO!$A$2:$A$3000,0))))</f>
        <v/>
      </c>
      <c r="C2762" s="86" t="str">
        <f t="shared" si="72"/>
        <v/>
      </c>
      <c r="D2762" s="81"/>
      <c r="E2762" s="79"/>
      <c r="F2762" s="80" t="str">
        <f>IF(A2762="","",SUMIF(EXTRATO!$A$2:$A$3000,$A2762,EXTRATO!$J$2:$J$3000)+SUMIF(EXTRATO!$A$2:$A$3000,$A2762,EXTRATO!$K$2:$K$3000)+SUMIF(EXTRATO!$A$2:$A$3000,$A2762,EXTRATO!$L$2:$L$3000)+SUMIF(EXTRATO!$A$2:$A$3000,$A2762,EXTRATO!$M$2:$M$3000))</f>
        <v/>
      </c>
      <c r="G2762" s="81" t="str">
        <f>IF(A2762="","",IF(INDEX(EXTRATO!$G$2:$G$3000,MATCH($A2762,EXTRATO!$A$2:$A$3000,0))="","",INDEX(EXTRATO!$G$2:$G$3000,MATCH($A2762,EXTRATO!$A$2:$A$3000,0))))</f>
        <v/>
      </c>
      <c r="H2762" s="86" t="str">
        <f>IF(A2762="","",IF(INDEX(EXTRATO!$F$2:$F$3000,MATCH($A2762,EXTRATO!$A$2:$A$3000,0))="","",INDEX(EXTRATO!$F$2:$F$3000,MATCH($A2762,EXTRATO!$A$2:$A$3000,0))))</f>
        <v/>
      </c>
      <c r="I2762" s="88" t="str">
        <f>IF(A2762="","",IF(INDEX(EXTRATO!$H$2:$H$3000,MATCH($A2762,EXTRATO!$A$2:$A$3000,0))="","",INDEX(EXTRATO!$H$2:$H$3000,MATCH($A2762,EXTRATO!$A$2:$A$3000,0))))</f>
        <v/>
      </c>
      <c r="J2762" s="86" t="str">
        <f t="shared" si="73"/>
        <v/>
      </c>
      <c r="K2762" s="86" t="str">
        <f>IF(AND(A2762="",D2762="",E2762="",F2762=""),"",IF(D2762="","SEM CATEGORIA",IF(E2762="","SEM SUBCATEGORIA",IF(COUNTIFS(CADASTROS!$L$7:$L$93,D2762,CADASTROS!$D$7:$D$93,E2762)=0,"INCOMPATÍVEL","OK"))))</f>
        <v/>
      </c>
    </row>
    <row r="2763" spans="1:11" ht="30" hidden="1" customHeight="1" x14ac:dyDescent="0.25">
      <c r="A2763" s="86" t="str">
        <f>IF(COUNTIF(EXTRATO!$A$2:$A$3000,"BAN-02620")=0,"","BAN-02620")</f>
        <v/>
      </c>
      <c r="B2763" s="85" t="str">
        <f>IF(A2763="","",IF(INDEX(EXTRATO!$C$2:$C$3000,MATCH($A2763,EXTRATO!$A$2:$A$3000,0))="","",INDEX(EXTRATO!$C$2:$C$3000,MATCH($A2763,EXTRATO!$A$2:$A$3000,0))))</f>
        <v/>
      </c>
      <c r="C2763" s="86" t="str">
        <f t="shared" si="72"/>
        <v/>
      </c>
      <c r="D2763" s="81"/>
      <c r="E2763" s="79"/>
      <c r="F2763" s="80" t="str">
        <f>IF(A2763="","",SUMIF(EXTRATO!$A$2:$A$3000,$A2763,EXTRATO!$J$2:$J$3000)+SUMIF(EXTRATO!$A$2:$A$3000,$A2763,EXTRATO!$K$2:$K$3000)+SUMIF(EXTRATO!$A$2:$A$3000,$A2763,EXTRATO!$L$2:$L$3000)+SUMIF(EXTRATO!$A$2:$A$3000,$A2763,EXTRATO!$M$2:$M$3000))</f>
        <v/>
      </c>
      <c r="G2763" s="81" t="str">
        <f>IF(A2763="","",IF(INDEX(EXTRATO!$G$2:$G$3000,MATCH($A2763,EXTRATO!$A$2:$A$3000,0))="","",INDEX(EXTRATO!$G$2:$G$3000,MATCH($A2763,EXTRATO!$A$2:$A$3000,0))))</f>
        <v/>
      </c>
      <c r="H2763" s="86" t="str">
        <f>IF(A2763="","",IF(INDEX(EXTRATO!$F$2:$F$3000,MATCH($A2763,EXTRATO!$A$2:$A$3000,0))="","",INDEX(EXTRATO!$F$2:$F$3000,MATCH($A2763,EXTRATO!$A$2:$A$3000,0))))</f>
        <v/>
      </c>
      <c r="I2763" s="88" t="str">
        <f>IF(A2763="","",IF(INDEX(EXTRATO!$H$2:$H$3000,MATCH($A2763,EXTRATO!$A$2:$A$3000,0))="","",INDEX(EXTRATO!$H$2:$H$3000,MATCH($A2763,EXTRATO!$A$2:$A$3000,0))))</f>
        <v/>
      </c>
      <c r="J2763" s="86" t="str">
        <f t="shared" si="73"/>
        <v/>
      </c>
      <c r="K2763" s="86" t="str">
        <f>IF(AND(A2763="",D2763="",E2763="",F2763=""),"",IF(D2763="","SEM CATEGORIA",IF(E2763="","SEM SUBCATEGORIA",IF(COUNTIFS(CADASTROS!$L$7:$L$93,D2763,CADASTROS!$D$7:$D$93,E2763)=0,"INCOMPATÍVEL","OK"))))</f>
        <v/>
      </c>
    </row>
    <row r="2764" spans="1:11" ht="30" hidden="1" customHeight="1" x14ac:dyDescent="0.25">
      <c r="A2764" s="86" t="str">
        <f>IF(COUNTIF(EXTRATO!$A$2:$A$3000,"BAN-02621")=0,"","BAN-02621")</f>
        <v/>
      </c>
      <c r="B2764" s="85" t="str">
        <f>IF(A2764="","",IF(INDEX(EXTRATO!$C$2:$C$3000,MATCH($A2764,EXTRATO!$A$2:$A$3000,0))="","",INDEX(EXTRATO!$C$2:$C$3000,MATCH($A2764,EXTRATO!$A$2:$A$3000,0))))</f>
        <v/>
      </c>
      <c r="C2764" s="86" t="str">
        <f t="shared" si="72"/>
        <v/>
      </c>
      <c r="D2764" s="81"/>
      <c r="E2764" s="79"/>
      <c r="F2764" s="80" t="str">
        <f>IF(A2764="","",SUMIF(EXTRATO!$A$2:$A$3000,$A2764,EXTRATO!$J$2:$J$3000)+SUMIF(EXTRATO!$A$2:$A$3000,$A2764,EXTRATO!$K$2:$K$3000)+SUMIF(EXTRATO!$A$2:$A$3000,$A2764,EXTRATO!$L$2:$L$3000)+SUMIF(EXTRATO!$A$2:$A$3000,$A2764,EXTRATO!$M$2:$M$3000))</f>
        <v/>
      </c>
      <c r="G2764" s="81" t="str">
        <f>IF(A2764="","",IF(INDEX(EXTRATO!$G$2:$G$3000,MATCH($A2764,EXTRATO!$A$2:$A$3000,0))="","",INDEX(EXTRATO!$G$2:$G$3000,MATCH($A2764,EXTRATO!$A$2:$A$3000,0))))</f>
        <v/>
      </c>
      <c r="H2764" s="86" t="str">
        <f>IF(A2764="","",IF(INDEX(EXTRATO!$F$2:$F$3000,MATCH($A2764,EXTRATO!$A$2:$A$3000,0))="","",INDEX(EXTRATO!$F$2:$F$3000,MATCH($A2764,EXTRATO!$A$2:$A$3000,0))))</f>
        <v/>
      </c>
      <c r="I2764" s="88" t="str">
        <f>IF(A2764="","",IF(INDEX(EXTRATO!$H$2:$H$3000,MATCH($A2764,EXTRATO!$A$2:$A$3000,0))="","",INDEX(EXTRATO!$H$2:$H$3000,MATCH($A2764,EXTRATO!$A$2:$A$3000,0))))</f>
        <v/>
      </c>
      <c r="J2764" s="86" t="str">
        <f t="shared" si="73"/>
        <v/>
      </c>
      <c r="K2764" s="86" t="str">
        <f>IF(AND(A2764="",D2764="",E2764="",F2764=""),"",IF(D2764="","SEM CATEGORIA",IF(E2764="","SEM SUBCATEGORIA",IF(COUNTIFS(CADASTROS!$L$7:$L$93,D2764,CADASTROS!$D$7:$D$93,E2764)=0,"INCOMPATÍVEL","OK"))))</f>
        <v/>
      </c>
    </row>
    <row r="2765" spans="1:11" ht="30" hidden="1" customHeight="1" x14ac:dyDescent="0.25">
      <c r="A2765" s="86" t="str">
        <f>IF(COUNTIF(EXTRATO!$A$2:$A$3000,"BAN-02622")=0,"","BAN-02622")</f>
        <v/>
      </c>
      <c r="B2765" s="85" t="str">
        <f>IF(A2765="","",IF(INDEX(EXTRATO!$C$2:$C$3000,MATCH($A2765,EXTRATO!$A$2:$A$3000,0))="","",INDEX(EXTRATO!$C$2:$C$3000,MATCH($A2765,EXTRATO!$A$2:$A$3000,0))))</f>
        <v/>
      </c>
      <c r="C2765" s="86" t="str">
        <f t="shared" si="72"/>
        <v/>
      </c>
      <c r="D2765" s="81"/>
      <c r="E2765" s="79"/>
      <c r="F2765" s="80" t="str">
        <f>IF(A2765="","",SUMIF(EXTRATO!$A$2:$A$3000,$A2765,EXTRATO!$J$2:$J$3000)+SUMIF(EXTRATO!$A$2:$A$3000,$A2765,EXTRATO!$K$2:$K$3000)+SUMIF(EXTRATO!$A$2:$A$3000,$A2765,EXTRATO!$L$2:$L$3000)+SUMIF(EXTRATO!$A$2:$A$3000,$A2765,EXTRATO!$M$2:$M$3000))</f>
        <v/>
      </c>
      <c r="G2765" s="81" t="str">
        <f>IF(A2765="","",IF(INDEX(EXTRATO!$G$2:$G$3000,MATCH($A2765,EXTRATO!$A$2:$A$3000,0))="","",INDEX(EXTRATO!$G$2:$G$3000,MATCH($A2765,EXTRATO!$A$2:$A$3000,0))))</f>
        <v/>
      </c>
      <c r="H2765" s="86" t="str">
        <f>IF(A2765="","",IF(INDEX(EXTRATO!$F$2:$F$3000,MATCH($A2765,EXTRATO!$A$2:$A$3000,0))="","",INDEX(EXTRATO!$F$2:$F$3000,MATCH($A2765,EXTRATO!$A$2:$A$3000,0))))</f>
        <v/>
      </c>
      <c r="I2765" s="88" t="str">
        <f>IF(A2765="","",IF(INDEX(EXTRATO!$H$2:$H$3000,MATCH($A2765,EXTRATO!$A$2:$A$3000,0))="","",INDEX(EXTRATO!$H$2:$H$3000,MATCH($A2765,EXTRATO!$A$2:$A$3000,0))))</f>
        <v/>
      </c>
      <c r="J2765" s="86" t="str">
        <f t="shared" si="73"/>
        <v/>
      </c>
      <c r="K2765" s="86" t="str">
        <f>IF(AND(A2765="",D2765="",E2765="",F2765=""),"",IF(D2765="","SEM CATEGORIA",IF(E2765="","SEM SUBCATEGORIA",IF(COUNTIFS(CADASTROS!$L$7:$L$93,D2765,CADASTROS!$D$7:$D$93,E2765)=0,"INCOMPATÍVEL","OK"))))</f>
        <v/>
      </c>
    </row>
    <row r="2766" spans="1:11" ht="30" hidden="1" customHeight="1" x14ac:dyDescent="0.25">
      <c r="A2766" s="86" t="str">
        <f>IF(COUNTIF(EXTRATO!$A$2:$A$3000,"BAN-02623")=0,"","BAN-02623")</f>
        <v/>
      </c>
      <c r="B2766" s="85" t="str">
        <f>IF(A2766="","",IF(INDEX(EXTRATO!$C$2:$C$3000,MATCH($A2766,EXTRATO!$A$2:$A$3000,0))="","",INDEX(EXTRATO!$C$2:$C$3000,MATCH($A2766,EXTRATO!$A$2:$A$3000,0))))</f>
        <v/>
      </c>
      <c r="C2766" s="86" t="str">
        <f t="shared" si="72"/>
        <v/>
      </c>
      <c r="D2766" s="81"/>
      <c r="E2766" s="79"/>
      <c r="F2766" s="80" t="str">
        <f>IF(A2766="","",SUMIF(EXTRATO!$A$2:$A$3000,$A2766,EXTRATO!$J$2:$J$3000)+SUMIF(EXTRATO!$A$2:$A$3000,$A2766,EXTRATO!$K$2:$K$3000)+SUMIF(EXTRATO!$A$2:$A$3000,$A2766,EXTRATO!$L$2:$L$3000)+SUMIF(EXTRATO!$A$2:$A$3000,$A2766,EXTRATO!$M$2:$M$3000))</f>
        <v/>
      </c>
      <c r="G2766" s="81" t="str">
        <f>IF(A2766="","",IF(INDEX(EXTRATO!$G$2:$G$3000,MATCH($A2766,EXTRATO!$A$2:$A$3000,0))="","",INDEX(EXTRATO!$G$2:$G$3000,MATCH($A2766,EXTRATO!$A$2:$A$3000,0))))</f>
        <v/>
      </c>
      <c r="H2766" s="86" t="str">
        <f>IF(A2766="","",IF(INDEX(EXTRATO!$F$2:$F$3000,MATCH($A2766,EXTRATO!$A$2:$A$3000,0))="","",INDEX(EXTRATO!$F$2:$F$3000,MATCH($A2766,EXTRATO!$A$2:$A$3000,0))))</f>
        <v/>
      </c>
      <c r="I2766" s="88" t="str">
        <f>IF(A2766="","",IF(INDEX(EXTRATO!$H$2:$H$3000,MATCH($A2766,EXTRATO!$A$2:$A$3000,0))="","",INDEX(EXTRATO!$H$2:$H$3000,MATCH($A2766,EXTRATO!$A$2:$A$3000,0))))</f>
        <v/>
      </c>
      <c r="J2766" s="86" t="str">
        <f t="shared" si="73"/>
        <v/>
      </c>
      <c r="K2766" s="86" t="str">
        <f>IF(AND(A2766="",D2766="",E2766="",F2766=""),"",IF(D2766="","SEM CATEGORIA",IF(E2766="","SEM SUBCATEGORIA",IF(COUNTIFS(CADASTROS!$L$7:$L$93,D2766,CADASTROS!$D$7:$D$93,E2766)=0,"INCOMPATÍVEL","OK"))))</f>
        <v/>
      </c>
    </row>
    <row r="2767" spans="1:11" ht="30" hidden="1" customHeight="1" x14ac:dyDescent="0.25">
      <c r="A2767" s="86" t="str">
        <f>IF(COUNTIF(EXTRATO!$A$2:$A$3000,"BAN-02624")=0,"","BAN-02624")</f>
        <v/>
      </c>
      <c r="B2767" s="85" t="str">
        <f>IF(A2767="","",IF(INDEX(EXTRATO!$C$2:$C$3000,MATCH($A2767,EXTRATO!$A$2:$A$3000,0))="","",INDEX(EXTRATO!$C$2:$C$3000,MATCH($A2767,EXTRATO!$A$2:$A$3000,0))))</f>
        <v/>
      </c>
      <c r="C2767" s="86" t="str">
        <f t="shared" si="72"/>
        <v/>
      </c>
      <c r="D2767" s="81"/>
      <c r="E2767" s="79"/>
      <c r="F2767" s="80" t="str">
        <f>IF(A2767="","",SUMIF(EXTRATO!$A$2:$A$3000,$A2767,EXTRATO!$J$2:$J$3000)+SUMIF(EXTRATO!$A$2:$A$3000,$A2767,EXTRATO!$K$2:$K$3000)+SUMIF(EXTRATO!$A$2:$A$3000,$A2767,EXTRATO!$L$2:$L$3000)+SUMIF(EXTRATO!$A$2:$A$3000,$A2767,EXTRATO!$M$2:$M$3000))</f>
        <v/>
      </c>
      <c r="G2767" s="81" t="str">
        <f>IF(A2767="","",IF(INDEX(EXTRATO!$G$2:$G$3000,MATCH($A2767,EXTRATO!$A$2:$A$3000,0))="","",INDEX(EXTRATO!$G$2:$G$3000,MATCH($A2767,EXTRATO!$A$2:$A$3000,0))))</f>
        <v/>
      </c>
      <c r="H2767" s="86" t="str">
        <f>IF(A2767="","",IF(INDEX(EXTRATO!$F$2:$F$3000,MATCH($A2767,EXTRATO!$A$2:$A$3000,0))="","",INDEX(EXTRATO!$F$2:$F$3000,MATCH($A2767,EXTRATO!$A$2:$A$3000,0))))</f>
        <v/>
      </c>
      <c r="I2767" s="88" t="str">
        <f>IF(A2767="","",IF(INDEX(EXTRATO!$H$2:$H$3000,MATCH($A2767,EXTRATO!$A$2:$A$3000,0))="","",INDEX(EXTRATO!$H$2:$H$3000,MATCH($A2767,EXTRATO!$A$2:$A$3000,0))))</f>
        <v/>
      </c>
      <c r="J2767" s="86" t="str">
        <f t="shared" si="73"/>
        <v/>
      </c>
      <c r="K2767" s="86" t="str">
        <f>IF(AND(A2767="",D2767="",E2767="",F2767=""),"",IF(D2767="","SEM CATEGORIA",IF(E2767="","SEM SUBCATEGORIA",IF(COUNTIFS(CADASTROS!$L$7:$L$93,D2767,CADASTROS!$D$7:$D$93,E2767)=0,"INCOMPATÍVEL","OK"))))</f>
        <v/>
      </c>
    </row>
    <row r="2768" spans="1:11" ht="30" hidden="1" customHeight="1" x14ac:dyDescent="0.25">
      <c r="A2768" s="86" t="str">
        <f>IF(COUNTIF(EXTRATO!$A$2:$A$3000,"BAN-02625")=0,"","BAN-02625")</f>
        <v/>
      </c>
      <c r="B2768" s="85" t="str">
        <f>IF(A2768="","",IF(INDEX(EXTRATO!$C$2:$C$3000,MATCH($A2768,EXTRATO!$A$2:$A$3000,0))="","",INDEX(EXTRATO!$C$2:$C$3000,MATCH($A2768,EXTRATO!$A$2:$A$3000,0))))</f>
        <v/>
      </c>
      <c r="C2768" s="86" t="str">
        <f t="shared" si="72"/>
        <v/>
      </c>
      <c r="D2768" s="81"/>
      <c r="E2768" s="79"/>
      <c r="F2768" s="80" t="str">
        <f>IF(A2768="","",SUMIF(EXTRATO!$A$2:$A$3000,$A2768,EXTRATO!$J$2:$J$3000)+SUMIF(EXTRATO!$A$2:$A$3000,$A2768,EXTRATO!$K$2:$K$3000)+SUMIF(EXTRATO!$A$2:$A$3000,$A2768,EXTRATO!$L$2:$L$3000)+SUMIF(EXTRATO!$A$2:$A$3000,$A2768,EXTRATO!$M$2:$M$3000))</f>
        <v/>
      </c>
      <c r="G2768" s="81" t="str">
        <f>IF(A2768="","",IF(INDEX(EXTRATO!$G$2:$G$3000,MATCH($A2768,EXTRATO!$A$2:$A$3000,0))="","",INDEX(EXTRATO!$G$2:$G$3000,MATCH($A2768,EXTRATO!$A$2:$A$3000,0))))</f>
        <v/>
      </c>
      <c r="H2768" s="86" t="str">
        <f>IF(A2768="","",IF(INDEX(EXTRATO!$F$2:$F$3000,MATCH($A2768,EXTRATO!$A$2:$A$3000,0))="","",INDEX(EXTRATO!$F$2:$F$3000,MATCH($A2768,EXTRATO!$A$2:$A$3000,0))))</f>
        <v/>
      </c>
      <c r="I2768" s="88" t="str">
        <f>IF(A2768="","",IF(INDEX(EXTRATO!$H$2:$H$3000,MATCH($A2768,EXTRATO!$A$2:$A$3000,0))="","",INDEX(EXTRATO!$H$2:$H$3000,MATCH($A2768,EXTRATO!$A$2:$A$3000,0))))</f>
        <v/>
      </c>
      <c r="J2768" s="86" t="str">
        <f t="shared" si="73"/>
        <v/>
      </c>
      <c r="K2768" s="86" t="str">
        <f>IF(AND(A2768="",D2768="",E2768="",F2768=""),"",IF(D2768="","SEM CATEGORIA",IF(E2768="","SEM SUBCATEGORIA",IF(COUNTIFS(CADASTROS!$L$7:$L$93,D2768,CADASTROS!$D$7:$D$93,E2768)=0,"INCOMPATÍVEL","OK"))))</f>
        <v/>
      </c>
    </row>
    <row r="2769" spans="1:11" ht="30" hidden="1" customHeight="1" x14ac:dyDescent="0.25">
      <c r="A2769" s="86" t="str">
        <f>IF(COUNTIF(EXTRATO!$A$2:$A$3000,"BAN-02626")=0,"","BAN-02626")</f>
        <v/>
      </c>
      <c r="B2769" s="85" t="str">
        <f>IF(A2769="","",IF(INDEX(EXTRATO!$C$2:$C$3000,MATCH($A2769,EXTRATO!$A$2:$A$3000,0))="","",INDEX(EXTRATO!$C$2:$C$3000,MATCH($A2769,EXTRATO!$A$2:$A$3000,0))))</f>
        <v/>
      </c>
      <c r="C2769" s="86" t="str">
        <f t="shared" si="72"/>
        <v/>
      </c>
      <c r="D2769" s="81"/>
      <c r="E2769" s="79"/>
      <c r="F2769" s="80" t="str">
        <f>IF(A2769="","",SUMIF(EXTRATO!$A$2:$A$3000,$A2769,EXTRATO!$J$2:$J$3000)+SUMIF(EXTRATO!$A$2:$A$3000,$A2769,EXTRATO!$K$2:$K$3000)+SUMIF(EXTRATO!$A$2:$A$3000,$A2769,EXTRATO!$L$2:$L$3000)+SUMIF(EXTRATO!$A$2:$A$3000,$A2769,EXTRATO!$M$2:$M$3000))</f>
        <v/>
      </c>
      <c r="G2769" s="81" t="str">
        <f>IF(A2769="","",IF(INDEX(EXTRATO!$G$2:$G$3000,MATCH($A2769,EXTRATO!$A$2:$A$3000,0))="","",INDEX(EXTRATO!$G$2:$G$3000,MATCH($A2769,EXTRATO!$A$2:$A$3000,0))))</f>
        <v/>
      </c>
      <c r="H2769" s="86" t="str">
        <f>IF(A2769="","",IF(INDEX(EXTRATO!$F$2:$F$3000,MATCH($A2769,EXTRATO!$A$2:$A$3000,0))="","",INDEX(EXTRATO!$F$2:$F$3000,MATCH($A2769,EXTRATO!$A$2:$A$3000,0))))</f>
        <v/>
      </c>
      <c r="I2769" s="88" t="str">
        <f>IF(A2769="","",IF(INDEX(EXTRATO!$H$2:$H$3000,MATCH($A2769,EXTRATO!$A$2:$A$3000,0))="","",INDEX(EXTRATO!$H$2:$H$3000,MATCH($A2769,EXTRATO!$A$2:$A$3000,0))))</f>
        <v/>
      </c>
      <c r="J2769" s="86" t="str">
        <f t="shared" si="73"/>
        <v/>
      </c>
      <c r="K2769" s="86" t="str">
        <f>IF(AND(A2769="",D2769="",E2769="",F2769=""),"",IF(D2769="","SEM CATEGORIA",IF(E2769="","SEM SUBCATEGORIA",IF(COUNTIFS(CADASTROS!$L$7:$L$93,D2769,CADASTROS!$D$7:$D$93,E2769)=0,"INCOMPATÍVEL","OK"))))</f>
        <v/>
      </c>
    </row>
    <row r="2770" spans="1:11" ht="30" hidden="1" customHeight="1" x14ac:dyDescent="0.25">
      <c r="A2770" s="86" t="str">
        <f>IF(COUNTIF(EXTRATO!$A$2:$A$3000,"BAN-02627")=0,"","BAN-02627")</f>
        <v/>
      </c>
      <c r="B2770" s="85" t="str">
        <f>IF(A2770="","",IF(INDEX(EXTRATO!$C$2:$C$3000,MATCH($A2770,EXTRATO!$A$2:$A$3000,0))="","",INDEX(EXTRATO!$C$2:$C$3000,MATCH($A2770,EXTRATO!$A$2:$A$3000,0))))</f>
        <v/>
      </c>
      <c r="C2770" s="86" t="str">
        <f t="shared" si="72"/>
        <v/>
      </c>
      <c r="D2770" s="81"/>
      <c r="E2770" s="79"/>
      <c r="F2770" s="80" t="str">
        <f>IF(A2770="","",SUMIF(EXTRATO!$A$2:$A$3000,$A2770,EXTRATO!$J$2:$J$3000)+SUMIF(EXTRATO!$A$2:$A$3000,$A2770,EXTRATO!$K$2:$K$3000)+SUMIF(EXTRATO!$A$2:$A$3000,$A2770,EXTRATO!$L$2:$L$3000)+SUMIF(EXTRATO!$A$2:$A$3000,$A2770,EXTRATO!$M$2:$M$3000))</f>
        <v/>
      </c>
      <c r="G2770" s="81" t="str">
        <f>IF(A2770="","",IF(INDEX(EXTRATO!$G$2:$G$3000,MATCH($A2770,EXTRATO!$A$2:$A$3000,0))="","",INDEX(EXTRATO!$G$2:$G$3000,MATCH($A2770,EXTRATO!$A$2:$A$3000,0))))</f>
        <v/>
      </c>
      <c r="H2770" s="86" t="str">
        <f>IF(A2770="","",IF(INDEX(EXTRATO!$F$2:$F$3000,MATCH($A2770,EXTRATO!$A$2:$A$3000,0))="","",INDEX(EXTRATO!$F$2:$F$3000,MATCH($A2770,EXTRATO!$A$2:$A$3000,0))))</f>
        <v/>
      </c>
      <c r="I2770" s="88" t="str">
        <f>IF(A2770="","",IF(INDEX(EXTRATO!$H$2:$H$3000,MATCH($A2770,EXTRATO!$A$2:$A$3000,0))="","",INDEX(EXTRATO!$H$2:$H$3000,MATCH($A2770,EXTRATO!$A$2:$A$3000,0))))</f>
        <v/>
      </c>
      <c r="J2770" s="86" t="str">
        <f t="shared" si="73"/>
        <v/>
      </c>
      <c r="K2770" s="86" t="str">
        <f>IF(AND(A2770="",D2770="",E2770="",F2770=""),"",IF(D2770="","SEM CATEGORIA",IF(E2770="","SEM SUBCATEGORIA",IF(COUNTIFS(CADASTROS!$L$7:$L$93,D2770,CADASTROS!$D$7:$D$93,E2770)=0,"INCOMPATÍVEL","OK"))))</f>
        <v/>
      </c>
    </row>
    <row r="2771" spans="1:11" ht="30" hidden="1" customHeight="1" x14ac:dyDescent="0.25">
      <c r="A2771" s="86" t="str">
        <f>IF(COUNTIF(EXTRATO!$A$2:$A$3000,"BAN-02628")=0,"","BAN-02628")</f>
        <v/>
      </c>
      <c r="B2771" s="85" t="str">
        <f>IF(A2771="","",IF(INDEX(EXTRATO!$C$2:$C$3000,MATCH($A2771,EXTRATO!$A$2:$A$3000,0))="","",INDEX(EXTRATO!$C$2:$C$3000,MATCH($A2771,EXTRATO!$A$2:$A$3000,0))))</f>
        <v/>
      </c>
      <c r="C2771" s="86" t="str">
        <f t="shared" si="72"/>
        <v/>
      </c>
      <c r="D2771" s="81"/>
      <c r="E2771" s="79"/>
      <c r="F2771" s="80" t="str">
        <f>IF(A2771="","",SUMIF(EXTRATO!$A$2:$A$3000,$A2771,EXTRATO!$J$2:$J$3000)+SUMIF(EXTRATO!$A$2:$A$3000,$A2771,EXTRATO!$K$2:$K$3000)+SUMIF(EXTRATO!$A$2:$A$3000,$A2771,EXTRATO!$L$2:$L$3000)+SUMIF(EXTRATO!$A$2:$A$3000,$A2771,EXTRATO!$M$2:$M$3000))</f>
        <v/>
      </c>
      <c r="G2771" s="81" t="str">
        <f>IF(A2771="","",IF(INDEX(EXTRATO!$G$2:$G$3000,MATCH($A2771,EXTRATO!$A$2:$A$3000,0))="","",INDEX(EXTRATO!$G$2:$G$3000,MATCH($A2771,EXTRATO!$A$2:$A$3000,0))))</f>
        <v/>
      </c>
      <c r="H2771" s="86" t="str">
        <f>IF(A2771="","",IF(INDEX(EXTRATO!$F$2:$F$3000,MATCH($A2771,EXTRATO!$A$2:$A$3000,0))="","",INDEX(EXTRATO!$F$2:$F$3000,MATCH($A2771,EXTRATO!$A$2:$A$3000,0))))</f>
        <v/>
      </c>
      <c r="I2771" s="88" t="str">
        <f>IF(A2771="","",IF(INDEX(EXTRATO!$H$2:$H$3000,MATCH($A2771,EXTRATO!$A$2:$A$3000,0))="","",INDEX(EXTRATO!$H$2:$H$3000,MATCH($A2771,EXTRATO!$A$2:$A$3000,0))))</f>
        <v/>
      </c>
      <c r="J2771" s="86" t="str">
        <f t="shared" si="73"/>
        <v/>
      </c>
      <c r="K2771" s="86" t="str">
        <f>IF(AND(A2771="",D2771="",E2771="",F2771=""),"",IF(D2771="","SEM CATEGORIA",IF(E2771="","SEM SUBCATEGORIA",IF(COUNTIFS(CADASTROS!$L$7:$L$93,D2771,CADASTROS!$D$7:$D$93,E2771)=0,"INCOMPATÍVEL","OK"))))</f>
        <v/>
      </c>
    </row>
    <row r="2772" spans="1:11" ht="30" hidden="1" customHeight="1" x14ac:dyDescent="0.25">
      <c r="A2772" s="86" t="str">
        <f>IF(COUNTIF(EXTRATO!$A$2:$A$3000,"BAN-02629")=0,"","BAN-02629")</f>
        <v/>
      </c>
      <c r="B2772" s="85" t="str">
        <f>IF(A2772="","",IF(INDEX(EXTRATO!$C$2:$C$3000,MATCH($A2772,EXTRATO!$A$2:$A$3000,0))="","",INDEX(EXTRATO!$C$2:$C$3000,MATCH($A2772,EXTRATO!$A$2:$A$3000,0))))</f>
        <v/>
      </c>
      <c r="C2772" s="86" t="str">
        <f t="shared" si="72"/>
        <v/>
      </c>
      <c r="D2772" s="81"/>
      <c r="E2772" s="79"/>
      <c r="F2772" s="80" t="str">
        <f>IF(A2772="","",SUMIF(EXTRATO!$A$2:$A$3000,$A2772,EXTRATO!$J$2:$J$3000)+SUMIF(EXTRATO!$A$2:$A$3000,$A2772,EXTRATO!$K$2:$K$3000)+SUMIF(EXTRATO!$A$2:$A$3000,$A2772,EXTRATO!$L$2:$L$3000)+SUMIF(EXTRATO!$A$2:$A$3000,$A2772,EXTRATO!$M$2:$M$3000))</f>
        <v/>
      </c>
      <c r="G2772" s="81" t="str">
        <f>IF(A2772="","",IF(INDEX(EXTRATO!$G$2:$G$3000,MATCH($A2772,EXTRATO!$A$2:$A$3000,0))="","",INDEX(EXTRATO!$G$2:$G$3000,MATCH($A2772,EXTRATO!$A$2:$A$3000,0))))</f>
        <v/>
      </c>
      <c r="H2772" s="86" t="str">
        <f>IF(A2772="","",IF(INDEX(EXTRATO!$F$2:$F$3000,MATCH($A2772,EXTRATO!$A$2:$A$3000,0))="","",INDEX(EXTRATO!$F$2:$F$3000,MATCH($A2772,EXTRATO!$A$2:$A$3000,0))))</f>
        <v/>
      </c>
      <c r="I2772" s="88" t="str">
        <f>IF(A2772="","",IF(INDEX(EXTRATO!$H$2:$H$3000,MATCH($A2772,EXTRATO!$A$2:$A$3000,0))="","",INDEX(EXTRATO!$H$2:$H$3000,MATCH($A2772,EXTRATO!$A$2:$A$3000,0))))</f>
        <v/>
      </c>
      <c r="J2772" s="86" t="str">
        <f t="shared" si="73"/>
        <v/>
      </c>
      <c r="K2772" s="86" t="str">
        <f>IF(AND(A2772="",D2772="",E2772="",F2772=""),"",IF(D2772="","SEM CATEGORIA",IF(E2772="","SEM SUBCATEGORIA",IF(COUNTIFS(CADASTROS!$L$7:$L$93,D2772,CADASTROS!$D$7:$D$93,E2772)=0,"INCOMPATÍVEL","OK"))))</f>
        <v/>
      </c>
    </row>
    <row r="2773" spans="1:11" ht="30" hidden="1" customHeight="1" x14ac:dyDescent="0.25">
      <c r="A2773" s="86" t="str">
        <f>IF(COUNTIF(EXTRATO!$A$2:$A$3000,"BAN-02630")=0,"","BAN-02630")</f>
        <v/>
      </c>
      <c r="B2773" s="85" t="str">
        <f>IF(A2773="","",IF(INDEX(EXTRATO!$C$2:$C$3000,MATCH($A2773,EXTRATO!$A$2:$A$3000,0))="","",INDEX(EXTRATO!$C$2:$C$3000,MATCH($A2773,EXTRATO!$A$2:$A$3000,0))))</f>
        <v/>
      </c>
      <c r="C2773" s="86" t="str">
        <f t="shared" ref="C2773:C2836" si="74">IF(B2773="","",MONTH(B2773))</f>
        <v/>
      </c>
      <c r="D2773" s="81"/>
      <c r="E2773" s="79"/>
      <c r="F2773" s="80" t="str">
        <f>IF(A2773="","",SUMIF(EXTRATO!$A$2:$A$3000,$A2773,EXTRATO!$J$2:$J$3000)+SUMIF(EXTRATO!$A$2:$A$3000,$A2773,EXTRATO!$K$2:$K$3000)+SUMIF(EXTRATO!$A$2:$A$3000,$A2773,EXTRATO!$L$2:$L$3000)+SUMIF(EXTRATO!$A$2:$A$3000,$A2773,EXTRATO!$M$2:$M$3000))</f>
        <v/>
      </c>
      <c r="G2773" s="81" t="str">
        <f>IF(A2773="","",IF(INDEX(EXTRATO!$G$2:$G$3000,MATCH($A2773,EXTRATO!$A$2:$A$3000,0))="","",INDEX(EXTRATO!$G$2:$G$3000,MATCH($A2773,EXTRATO!$A$2:$A$3000,0))))</f>
        <v/>
      </c>
      <c r="H2773" s="86" t="str">
        <f>IF(A2773="","",IF(INDEX(EXTRATO!$F$2:$F$3000,MATCH($A2773,EXTRATO!$A$2:$A$3000,0))="","",INDEX(EXTRATO!$F$2:$F$3000,MATCH($A2773,EXTRATO!$A$2:$A$3000,0))))</f>
        <v/>
      </c>
      <c r="I2773" s="88" t="str">
        <f>IF(A2773="","",IF(INDEX(EXTRATO!$H$2:$H$3000,MATCH($A2773,EXTRATO!$A$2:$A$3000,0))="","",INDEX(EXTRATO!$H$2:$H$3000,MATCH($A2773,EXTRATO!$A$2:$A$3000,0))))</f>
        <v/>
      </c>
      <c r="J2773" s="86" t="str">
        <f t="shared" si="73"/>
        <v/>
      </c>
      <c r="K2773" s="86" t="str">
        <f>IF(AND(A2773="",D2773="",E2773="",F2773=""),"",IF(D2773="","SEM CATEGORIA",IF(E2773="","SEM SUBCATEGORIA",IF(COUNTIFS(CADASTROS!$L$7:$L$93,D2773,CADASTROS!$D$7:$D$93,E2773)=0,"INCOMPATÍVEL","OK"))))</f>
        <v/>
      </c>
    </row>
    <row r="2774" spans="1:11" ht="30" hidden="1" customHeight="1" x14ac:dyDescent="0.25">
      <c r="A2774" s="86" t="str">
        <f>IF(COUNTIF(EXTRATO!$A$2:$A$3000,"BAN-02631")=0,"","BAN-02631")</f>
        <v/>
      </c>
      <c r="B2774" s="85" t="str">
        <f>IF(A2774="","",IF(INDEX(EXTRATO!$C$2:$C$3000,MATCH($A2774,EXTRATO!$A$2:$A$3000,0))="","",INDEX(EXTRATO!$C$2:$C$3000,MATCH($A2774,EXTRATO!$A$2:$A$3000,0))))</f>
        <v/>
      </c>
      <c r="C2774" s="86" t="str">
        <f t="shared" si="74"/>
        <v/>
      </c>
      <c r="D2774" s="81"/>
      <c r="E2774" s="79"/>
      <c r="F2774" s="80" t="str">
        <f>IF(A2774="","",SUMIF(EXTRATO!$A$2:$A$3000,$A2774,EXTRATO!$J$2:$J$3000)+SUMIF(EXTRATO!$A$2:$A$3000,$A2774,EXTRATO!$K$2:$K$3000)+SUMIF(EXTRATO!$A$2:$A$3000,$A2774,EXTRATO!$L$2:$L$3000)+SUMIF(EXTRATO!$A$2:$A$3000,$A2774,EXTRATO!$M$2:$M$3000))</f>
        <v/>
      </c>
      <c r="G2774" s="81" t="str">
        <f>IF(A2774="","",IF(INDEX(EXTRATO!$G$2:$G$3000,MATCH($A2774,EXTRATO!$A$2:$A$3000,0))="","",INDEX(EXTRATO!$G$2:$G$3000,MATCH($A2774,EXTRATO!$A$2:$A$3000,0))))</f>
        <v/>
      </c>
      <c r="H2774" s="86" t="str">
        <f>IF(A2774="","",IF(INDEX(EXTRATO!$F$2:$F$3000,MATCH($A2774,EXTRATO!$A$2:$A$3000,0))="","",INDEX(EXTRATO!$F$2:$F$3000,MATCH($A2774,EXTRATO!$A$2:$A$3000,0))))</f>
        <v/>
      </c>
      <c r="I2774" s="88" t="str">
        <f>IF(A2774="","",IF(INDEX(EXTRATO!$H$2:$H$3000,MATCH($A2774,EXTRATO!$A$2:$A$3000,0))="","",INDEX(EXTRATO!$H$2:$H$3000,MATCH($A2774,EXTRATO!$A$2:$A$3000,0))))</f>
        <v/>
      </c>
      <c r="J2774" s="86" t="str">
        <f t="shared" si="73"/>
        <v/>
      </c>
      <c r="K2774" s="86" t="str">
        <f>IF(AND(A2774="",D2774="",E2774="",F2774=""),"",IF(D2774="","SEM CATEGORIA",IF(E2774="","SEM SUBCATEGORIA",IF(COUNTIFS(CADASTROS!$L$7:$L$93,D2774,CADASTROS!$D$7:$D$93,E2774)=0,"INCOMPATÍVEL","OK"))))</f>
        <v/>
      </c>
    </row>
    <row r="2775" spans="1:11" ht="30" hidden="1" customHeight="1" x14ac:dyDescent="0.25">
      <c r="A2775" s="86" t="str">
        <f>IF(COUNTIF(EXTRATO!$A$2:$A$3000,"BAN-02632")=0,"","BAN-02632")</f>
        <v/>
      </c>
      <c r="B2775" s="85" t="str">
        <f>IF(A2775="","",IF(INDEX(EXTRATO!$C$2:$C$3000,MATCH($A2775,EXTRATO!$A$2:$A$3000,0))="","",INDEX(EXTRATO!$C$2:$C$3000,MATCH($A2775,EXTRATO!$A$2:$A$3000,0))))</f>
        <v/>
      </c>
      <c r="C2775" s="86" t="str">
        <f t="shared" si="74"/>
        <v/>
      </c>
      <c r="D2775" s="81"/>
      <c r="E2775" s="79"/>
      <c r="F2775" s="80" t="str">
        <f>IF(A2775="","",SUMIF(EXTRATO!$A$2:$A$3000,$A2775,EXTRATO!$J$2:$J$3000)+SUMIF(EXTRATO!$A$2:$A$3000,$A2775,EXTRATO!$K$2:$K$3000)+SUMIF(EXTRATO!$A$2:$A$3000,$A2775,EXTRATO!$L$2:$L$3000)+SUMIF(EXTRATO!$A$2:$A$3000,$A2775,EXTRATO!$M$2:$M$3000))</f>
        <v/>
      </c>
      <c r="G2775" s="81" t="str">
        <f>IF(A2775="","",IF(INDEX(EXTRATO!$G$2:$G$3000,MATCH($A2775,EXTRATO!$A$2:$A$3000,0))="","",INDEX(EXTRATO!$G$2:$G$3000,MATCH($A2775,EXTRATO!$A$2:$A$3000,0))))</f>
        <v/>
      </c>
      <c r="H2775" s="86" t="str">
        <f>IF(A2775="","",IF(INDEX(EXTRATO!$F$2:$F$3000,MATCH($A2775,EXTRATO!$A$2:$A$3000,0))="","",INDEX(EXTRATO!$F$2:$F$3000,MATCH($A2775,EXTRATO!$A$2:$A$3000,0))))</f>
        <v/>
      </c>
      <c r="I2775" s="88" t="str">
        <f>IF(A2775="","",IF(INDEX(EXTRATO!$H$2:$H$3000,MATCH($A2775,EXTRATO!$A$2:$A$3000,0))="","",INDEX(EXTRATO!$H$2:$H$3000,MATCH($A2775,EXTRATO!$A$2:$A$3000,0))))</f>
        <v/>
      </c>
      <c r="J2775" s="86" t="str">
        <f t="shared" si="73"/>
        <v/>
      </c>
      <c r="K2775" s="86" t="str">
        <f>IF(AND(A2775="",D2775="",E2775="",F2775=""),"",IF(D2775="","SEM CATEGORIA",IF(E2775="","SEM SUBCATEGORIA",IF(COUNTIFS(CADASTROS!$L$7:$L$93,D2775,CADASTROS!$D$7:$D$93,E2775)=0,"INCOMPATÍVEL","OK"))))</f>
        <v/>
      </c>
    </row>
    <row r="2776" spans="1:11" ht="30" hidden="1" customHeight="1" x14ac:dyDescent="0.25">
      <c r="A2776" s="86" t="str">
        <f>IF(COUNTIF(EXTRATO!$A$2:$A$3000,"BAN-02633")=0,"","BAN-02633")</f>
        <v/>
      </c>
      <c r="B2776" s="85" t="str">
        <f>IF(A2776="","",IF(INDEX(EXTRATO!$C$2:$C$3000,MATCH($A2776,EXTRATO!$A$2:$A$3000,0))="","",INDEX(EXTRATO!$C$2:$C$3000,MATCH($A2776,EXTRATO!$A$2:$A$3000,0))))</f>
        <v/>
      </c>
      <c r="C2776" s="86" t="str">
        <f t="shared" si="74"/>
        <v/>
      </c>
      <c r="D2776" s="81"/>
      <c r="E2776" s="79"/>
      <c r="F2776" s="80" t="str">
        <f>IF(A2776="","",SUMIF(EXTRATO!$A$2:$A$3000,$A2776,EXTRATO!$J$2:$J$3000)+SUMIF(EXTRATO!$A$2:$A$3000,$A2776,EXTRATO!$K$2:$K$3000)+SUMIF(EXTRATO!$A$2:$A$3000,$A2776,EXTRATO!$L$2:$L$3000)+SUMIF(EXTRATO!$A$2:$A$3000,$A2776,EXTRATO!$M$2:$M$3000))</f>
        <v/>
      </c>
      <c r="G2776" s="81" t="str">
        <f>IF(A2776="","",IF(INDEX(EXTRATO!$G$2:$G$3000,MATCH($A2776,EXTRATO!$A$2:$A$3000,0))="","",INDEX(EXTRATO!$G$2:$G$3000,MATCH($A2776,EXTRATO!$A$2:$A$3000,0))))</f>
        <v/>
      </c>
      <c r="H2776" s="86" t="str">
        <f>IF(A2776="","",IF(INDEX(EXTRATO!$F$2:$F$3000,MATCH($A2776,EXTRATO!$A$2:$A$3000,0))="","",INDEX(EXTRATO!$F$2:$F$3000,MATCH($A2776,EXTRATO!$A$2:$A$3000,0))))</f>
        <v/>
      </c>
      <c r="I2776" s="88" t="str">
        <f>IF(A2776="","",IF(INDEX(EXTRATO!$H$2:$H$3000,MATCH($A2776,EXTRATO!$A$2:$A$3000,0))="","",INDEX(EXTRATO!$H$2:$H$3000,MATCH($A2776,EXTRATO!$A$2:$A$3000,0))))</f>
        <v/>
      </c>
      <c r="J2776" s="86" t="str">
        <f t="shared" si="73"/>
        <v/>
      </c>
      <c r="K2776" s="86" t="str">
        <f>IF(AND(A2776="",D2776="",E2776="",F2776=""),"",IF(D2776="","SEM CATEGORIA",IF(E2776="","SEM SUBCATEGORIA",IF(COUNTIFS(CADASTROS!$L$7:$L$93,D2776,CADASTROS!$D$7:$D$93,E2776)=0,"INCOMPATÍVEL","OK"))))</f>
        <v/>
      </c>
    </row>
    <row r="2777" spans="1:11" ht="30" hidden="1" customHeight="1" x14ac:dyDescent="0.25">
      <c r="A2777" s="86" t="str">
        <f>IF(COUNTIF(EXTRATO!$A$2:$A$3000,"BAN-02634")=0,"","BAN-02634")</f>
        <v/>
      </c>
      <c r="B2777" s="85" t="str">
        <f>IF(A2777="","",IF(INDEX(EXTRATO!$C$2:$C$3000,MATCH($A2777,EXTRATO!$A$2:$A$3000,0))="","",INDEX(EXTRATO!$C$2:$C$3000,MATCH($A2777,EXTRATO!$A$2:$A$3000,0))))</f>
        <v/>
      </c>
      <c r="C2777" s="86" t="str">
        <f t="shared" si="74"/>
        <v/>
      </c>
      <c r="D2777" s="81"/>
      <c r="E2777" s="79"/>
      <c r="F2777" s="80" t="str">
        <f>IF(A2777="","",SUMIF(EXTRATO!$A$2:$A$3000,$A2777,EXTRATO!$J$2:$J$3000)+SUMIF(EXTRATO!$A$2:$A$3000,$A2777,EXTRATO!$K$2:$K$3000)+SUMIF(EXTRATO!$A$2:$A$3000,$A2777,EXTRATO!$L$2:$L$3000)+SUMIF(EXTRATO!$A$2:$A$3000,$A2777,EXTRATO!$M$2:$M$3000))</f>
        <v/>
      </c>
      <c r="G2777" s="81" t="str">
        <f>IF(A2777="","",IF(INDEX(EXTRATO!$G$2:$G$3000,MATCH($A2777,EXTRATO!$A$2:$A$3000,0))="","",INDEX(EXTRATO!$G$2:$G$3000,MATCH($A2777,EXTRATO!$A$2:$A$3000,0))))</f>
        <v/>
      </c>
      <c r="H2777" s="86" t="str">
        <f>IF(A2777="","",IF(INDEX(EXTRATO!$F$2:$F$3000,MATCH($A2777,EXTRATO!$A$2:$A$3000,0))="","",INDEX(EXTRATO!$F$2:$F$3000,MATCH($A2777,EXTRATO!$A$2:$A$3000,0))))</f>
        <v/>
      </c>
      <c r="I2777" s="88" t="str">
        <f>IF(A2777="","",IF(INDEX(EXTRATO!$H$2:$H$3000,MATCH($A2777,EXTRATO!$A$2:$A$3000,0))="","",INDEX(EXTRATO!$H$2:$H$3000,MATCH($A2777,EXTRATO!$A$2:$A$3000,0))))</f>
        <v/>
      </c>
      <c r="J2777" s="86" t="str">
        <f t="shared" si="73"/>
        <v/>
      </c>
      <c r="K2777" s="86" t="str">
        <f>IF(AND(A2777="",D2777="",E2777="",F2777=""),"",IF(D2777="","SEM CATEGORIA",IF(E2777="","SEM SUBCATEGORIA",IF(COUNTIFS(CADASTROS!$L$7:$L$93,D2777,CADASTROS!$D$7:$D$93,E2777)=0,"INCOMPATÍVEL","OK"))))</f>
        <v/>
      </c>
    </row>
    <row r="2778" spans="1:11" ht="30" hidden="1" customHeight="1" x14ac:dyDescent="0.25">
      <c r="A2778" s="86" t="str">
        <f>IF(COUNTIF(EXTRATO!$A$2:$A$3000,"BAN-02635")=0,"","BAN-02635")</f>
        <v/>
      </c>
      <c r="B2778" s="85" t="str">
        <f>IF(A2778="","",IF(INDEX(EXTRATO!$C$2:$C$3000,MATCH($A2778,EXTRATO!$A$2:$A$3000,0))="","",INDEX(EXTRATO!$C$2:$C$3000,MATCH($A2778,EXTRATO!$A$2:$A$3000,0))))</f>
        <v/>
      </c>
      <c r="C2778" s="86" t="str">
        <f t="shared" si="74"/>
        <v/>
      </c>
      <c r="D2778" s="81"/>
      <c r="E2778" s="79"/>
      <c r="F2778" s="80" t="str">
        <f>IF(A2778="","",SUMIF(EXTRATO!$A$2:$A$3000,$A2778,EXTRATO!$J$2:$J$3000)+SUMIF(EXTRATO!$A$2:$A$3000,$A2778,EXTRATO!$K$2:$K$3000)+SUMIF(EXTRATO!$A$2:$A$3000,$A2778,EXTRATO!$L$2:$L$3000)+SUMIF(EXTRATO!$A$2:$A$3000,$A2778,EXTRATO!$M$2:$M$3000))</f>
        <v/>
      </c>
      <c r="G2778" s="81" t="str">
        <f>IF(A2778="","",IF(INDEX(EXTRATO!$G$2:$G$3000,MATCH($A2778,EXTRATO!$A$2:$A$3000,0))="","",INDEX(EXTRATO!$G$2:$G$3000,MATCH($A2778,EXTRATO!$A$2:$A$3000,0))))</f>
        <v/>
      </c>
      <c r="H2778" s="86" t="str">
        <f>IF(A2778="","",IF(INDEX(EXTRATO!$F$2:$F$3000,MATCH($A2778,EXTRATO!$A$2:$A$3000,0))="","",INDEX(EXTRATO!$F$2:$F$3000,MATCH($A2778,EXTRATO!$A$2:$A$3000,0))))</f>
        <v/>
      </c>
      <c r="I2778" s="88" t="str">
        <f>IF(A2778="","",IF(INDEX(EXTRATO!$H$2:$H$3000,MATCH($A2778,EXTRATO!$A$2:$A$3000,0))="","",INDEX(EXTRATO!$H$2:$H$3000,MATCH($A2778,EXTRATO!$A$2:$A$3000,0))))</f>
        <v/>
      </c>
      <c r="J2778" s="86" t="str">
        <f t="shared" si="73"/>
        <v/>
      </c>
      <c r="K2778" s="86" t="str">
        <f>IF(AND(A2778="",D2778="",E2778="",F2778=""),"",IF(D2778="","SEM CATEGORIA",IF(E2778="","SEM SUBCATEGORIA",IF(COUNTIFS(CADASTROS!$L$7:$L$93,D2778,CADASTROS!$D$7:$D$93,E2778)=0,"INCOMPATÍVEL","OK"))))</f>
        <v/>
      </c>
    </row>
    <row r="2779" spans="1:11" ht="30" hidden="1" customHeight="1" x14ac:dyDescent="0.25">
      <c r="A2779" s="86" t="str">
        <f>IF(COUNTIF(EXTRATO!$A$2:$A$3000,"BAN-02636")=0,"","BAN-02636")</f>
        <v/>
      </c>
      <c r="B2779" s="85" t="str">
        <f>IF(A2779="","",IF(INDEX(EXTRATO!$C$2:$C$3000,MATCH($A2779,EXTRATO!$A$2:$A$3000,0))="","",INDEX(EXTRATO!$C$2:$C$3000,MATCH($A2779,EXTRATO!$A$2:$A$3000,0))))</f>
        <v/>
      </c>
      <c r="C2779" s="86" t="str">
        <f t="shared" si="74"/>
        <v/>
      </c>
      <c r="D2779" s="81"/>
      <c r="E2779" s="79"/>
      <c r="F2779" s="80" t="str">
        <f>IF(A2779="","",SUMIF(EXTRATO!$A$2:$A$3000,$A2779,EXTRATO!$J$2:$J$3000)+SUMIF(EXTRATO!$A$2:$A$3000,$A2779,EXTRATO!$K$2:$K$3000)+SUMIF(EXTRATO!$A$2:$A$3000,$A2779,EXTRATO!$L$2:$L$3000)+SUMIF(EXTRATO!$A$2:$A$3000,$A2779,EXTRATO!$M$2:$M$3000))</f>
        <v/>
      </c>
      <c r="G2779" s="81" t="str">
        <f>IF(A2779="","",IF(INDEX(EXTRATO!$G$2:$G$3000,MATCH($A2779,EXTRATO!$A$2:$A$3000,0))="","",INDEX(EXTRATO!$G$2:$G$3000,MATCH($A2779,EXTRATO!$A$2:$A$3000,0))))</f>
        <v/>
      </c>
      <c r="H2779" s="86" t="str">
        <f>IF(A2779="","",IF(INDEX(EXTRATO!$F$2:$F$3000,MATCH($A2779,EXTRATO!$A$2:$A$3000,0))="","",INDEX(EXTRATO!$F$2:$F$3000,MATCH($A2779,EXTRATO!$A$2:$A$3000,0))))</f>
        <v/>
      </c>
      <c r="I2779" s="88" t="str">
        <f>IF(A2779="","",IF(INDEX(EXTRATO!$H$2:$H$3000,MATCH($A2779,EXTRATO!$A$2:$A$3000,0))="","",INDEX(EXTRATO!$H$2:$H$3000,MATCH($A2779,EXTRATO!$A$2:$A$3000,0))))</f>
        <v/>
      </c>
      <c r="J2779" s="86" t="str">
        <f t="shared" si="73"/>
        <v/>
      </c>
      <c r="K2779" s="86" t="str">
        <f>IF(AND(A2779="",D2779="",E2779="",F2779=""),"",IF(D2779="","SEM CATEGORIA",IF(E2779="","SEM SUBCATEGORIA",IF(COUNTIFS(CADASTROS!$L$7:$L$93,D2779,CADASTROS!$D$7:$D$93,E2779)=0,"INCOMPATÍVEL","OK"))))</f>
        <v/>
      </c>
    </row>
    <row r="2780" spans="1:11" ht="30" hidden="1" customHeight="1" x14ac:dyDescent="0.25">
      <c r="A2780" s="86" t="str">
        <f>IF(COUNTIF(EXTRATO!$A$2:$A$3000,"BAN-02637")=0,"","BAN-02637")</f>
        <v/>
      </c>
      <c r="B2780" s="85" t="str">
        <f>IF(A2780="","",IF(INDEX(EXTRATO!$C$2:$C$3000,MATCH($A2780,EXTRATO!$A$2:$A$3000,0))="","",INDEX(EXTRATO!$C$2:$C$3000,MATCH($A2780,EXTRATO!$A$2:$A$3000,0))))</f>
        <v/>
      </c>
      <c r="C2780" s="86" t="str">
        <f t="shared" si="74"/>
        <v/>
      </c>
      <c r="D2780" s="81"/>
      <c r="E2780" s="79"/>
      <c r="F2780" s="80" t="str">
        <f>IF(A2780="","",SUMIF(EXTRATO!$A$2:$A$3000,$A2780,EXTRATO!$J$2:$J$3000)+SUMIF(EXTRATO!$A$2:$A$3000,$A2780,EXTRATO!$K$2:$K$3000)+SUMIF(EXTRATO!$A$2:$A$3000,$A2780,EXTRATO!$L$2:$L$3000)+SUMIF(EXTRATO!$A$2:$A$3000,$A2780,EXTRATO!$M$2:$M$3000))</f>
        <v/>
      </c>
      <c r="G2780" s="81" t="str">
        <f>IF(A2780="","",IF(INDEX(EXTRATO!$G$2:$G$3000,MATCH($A2780,EXTRATO!$A$2:$A$3000,0))="","",INDEX(EXTRATO!$G$2:$G$3000,MATCH($A2780,EXTRATO!$A$2:$A$3000,0))))</f>
        <v/>
      </c>
      <c r="H2780" s="86" t="str">
        <f>IF(A2780="","",IF(INDEX(EXTRATO!$F$2:$F$3000,MATCH($A2780,EXTRATO!$A$2:$A$3000,0))="","",INDEX(EXTRATO!$F$2:$F$3000,MATCH($A2780,EXTRATO!$A$2:$A$3000,0))))</f>
        <v/>
      </c>
      <c r="I2780" s="88" t="str">
        <f>IF(A2780="","",IF(INDEX(EXTRATO!$H$2:$H$3000,MATCH($A2780,EXTRATO!$A$2:$A$3000,0))="","",INDEX(EXTRATO!$H$2:$H$3000,MATCH($A2780,EXTRATO!$A$2:$A$3000,0))))</f>
        <v/>
      </c>
      <c r="J2780" s="86" t="str">
        <f t="shared" si="73"/>
        <v/>
      </c>
      <c r="K2780" s="86" t="str">
        <f>IF(AND(A2780="",D2780="",E2780="",F2780=""),"",IF(D2780="","SEM CATEGORIA",IF(E2780="","SEM SUBCATEGORIA",IF(COUNTIFS(CADASTROS!$L$7:$L$93,D2780,CADASTROS!$D$7:$D$93,E2780)=0,"INCOMPATÍVEL","OK"))))</f>
        <v/>
      </c>
    </row>
    <row r="2781" spans="1:11" ht="30" hidden="1" customHeight="1" x14ac:dyDescent="0.25">
      <c r="A2781" s="86" t="str">
        <f>IF(COUNTIF(EXTRATO!$A$2:$A$3000,"BAN-02638")=0,"","BAN-02638")</f>
        <v/>
      </c>
      <c r="B2781" s="85" t="str">
        <f>IF(A2781="","",IF(INDEX(EXTRATO!$C$2:$C$3000,MATCH($A2781,EXTRATO!$A$2:$A$3000,0))="","",INDEX(EXTRATO!$C$2:$C$3000,MATCH($A2781,EXTRATO!$A$2:$A$3000,0))))</f>
        <v/>
      </c>
      <c r="C2781" s="86" t="str">
        <f t="shared" si="74"/>
        <v/>
      </c>
      <c r="D2781" s="81"/>
      <c r="E2781" s="79"/>
      <c r="F2781" s="80" t="str">
        <f>IF(A2781="","",SUMIF(EXTRATO!$A$2:$A$3000,$A2781,EXTRATO!$J$2:$J$3000)+SUMIF(EXTRATO!$A$2:$A$3000,$A2781,EXTRATO!$K$2:$K$3000)+SUMIF(EXTRATO!$A$2:$A$3000,$A2781,EXTRATO!$L$2:$L$3000)+SUMIF(EXTRATO!$A$2:$A$3000,$A2781,EXTRATO!$M$2:$M$3000))</f>
        <v/>
      </c>
      <c r="G2781" s="81" t="str">
        <f>IF(A2781="","",IF(INDEX(EXTRATO!$G$2:$G$3000,MATCH($A2781,EXTRATO!$A$2:$A$3000,0))="","",INDEX(EXTRATO!$G$2:$G$3000,MATCH($A2781,EXTRATO!$A$2:$A$3000,0))))</f>
        <v/>
      </c>
      <c r="H2781" s="86" t="str">
        <f>IF(A2781="","",IF(INDEX(EXTRATO!$F$2:$F$3000,MATCH($A2781,EXTRATO!$A$2:$A$3000,0))="","",INDEX(EXTRATO!$F$2:$F$3000,MATCH($A2781,EXTRATO!$A$2:$A$3000,0))))</f>
        <v/>
      </c>
      <c r="I2781" s="88" t="str">
        <f>IF(A2781="","",IF(INDEX(EXTRATO!$H$2:$H$3000,MATCH($A2781,EXTRATO!$A$2:$A$3000,0))="","",INDEX(EXTRATO!$H$2:$H$3000,MATCH($A2781,EXTRATO!$A$2:$A$3000,0))))</f>
        <v/>
      </c>
      <c r="J2781" s="86" t="str">
        <f t="shared" si="73"/>
        <v/>
      </c>
      <c r="K2781" s="86" t="str">
        <f>IF(AND(A2781="",D2781="",E2781="",F2781=""),"",IF(D2781="","SEM CATEGORIA",IF(E2781="","SEM SUBCATEGORIA",IF(COUNTIFS(CADASTROS!$L$7:$L$93,D2781,CADASTROS!$D$7:$D$93,E2781)=0,"INCOMPATÍVEL","OK"))))</f>
        <v/>
      </c>
    </row>
    <row r="2782" spans="1:11" ht="30" hidden="1" customHeight="1" x14ac:dyDescent="0.25">
      <c r="A2782" s="86" t="str">
        <f>IF(COUNTIF(EXTRATO!$A$2:$A$3000,"BAN-02639")=0,"","BAN-02639")</f>
        <v/>
      </c>
      <c r="B2782" s="85" t="str">
        <f>IF(A2782="","",IF(INDEX(EXTRATO!$C$2:$C$3000,MATCH($A2782,EXTRATO!$A$2:$A$3000,0))="","",INDEX(EXTRATO!$C$2:$C$3000,MATCH($A2782,EXTRATO!$A$2:$A$3000,0))))</f>
        <v/>
      </c>
      <c r="C2782" s="86" t="str">
        <f t="shared" si="74"/>
        <v/>
      </c>
      <c r="D2782" s="81"/>
      <c r="E2782" s="79"/>
      <c r="F2782" s="80" t="str">
        <f>IF(A2782="","",SUMIF(EXTRATO!$A$2:$A$3000,$A2782,EXTRATO!$J$2:$J$3000)+SUMIF(EXTRATO!$A$2:$A$3000,$A2782,EXTRATO!$K$2:$K$3000)+SUMIF(EXTRATO!$A$2:$A$3000,$A2782,EXTRATO!$L$2:$L$3000)+SUMIF(EXTRATO!$A$2:$A$3000,$A2782,EXTRATO!$M$2:$M$3000))</f>
        <v/>
      </c>
      <c r="G2782" s="81" t="str">
        <f>IF(A2782="","",IF(INDEX(EXTRATO!$G$2:$G$3000,MATCH($A2782,EXTRATO!$A$2:$A$3000,0))="","",INDEX(EXTRATO!$G$2:$G$3000,MATCH($A2782,EXTRATO!$A$2:$A$3000,0))))</f>
        <v/>
      </c>
      <c r="H2782" s="86" t="str">
        <f>IF(A2782="","",IF(INDEX(EXTRATO!$F$2:$F$3000,MATCH($A2782,EXTRATO!$A$2:$A$3000,0))="","",INDEX(EXTRATO!$F$2:$F$3000,MATCH($A2782,EXTRATO!$A$2:$A$3000,0))))</f>
        <v/>
      </c>
      <c r="I2782" s="88" t="str">
        <f>IF(A2782="","",IF(INDEX(EXTRATO!$H$2:$H$3000,MATCH($A2782,EXTRATO!$A$2:$A$3000,0))="","",INDEX(EXTRATO!$H$2:$H$3000,MATCH($A2782,EXTRATO!$A$2:$A$3000,0))))</f>
        <v/>
      </c>
      <c r="J2782" s="86" t="str">
        <f t="shared" si="73"/>
        <v/>
      </c>
      <c r="K2782" s="86" t="str">
        <f>IF(AND(A2782="",D2782="",E2782="",F2782=""),"",IF(D2782="","SEM CATEGORIA",IF(E2782="","SEM SUBCATEGORIA",IF(COUNTIFS(CADASTROS!$L$7:$L$93,D2782,CADASTROS!$D$7:$D$93,E2782)=0,"INCOMPATÍVEL","OK"))))</f>
        <v/>
      </c>
    </row>
    <row r="2783" spans="1:11" ht="30" hidden="1" customHeight="1" x14ac:dyDescent="0.25">
      <c r="A2783" s="86" t="str">
        <f>IF(COUNTIF(EXTRATO!$A$2:$A$3000,"BAN-02640")=0,"","BAN-02640")</f>
        <v/>
      </c>
      <c r="B2783" s="85" t="str">
        <f>IF(A2783="","",IF(INDEX(EXTRATO!$C$2:$C$3000,MATCH($A2783,EXTRATO!$A$2:$A$3000,0))="","",INDEX(EXTRATO!$C$2:$C$3000,MATCH($A2783,EXTRATO!$A$2:$A$3000,0))))</f>
        <v/>
      </c>
      <c r="C2783" s="86" t="str">
        <f t="shared" si="74"/>
        <v/>
      </c>
      <c r="D2783" s="81"/>
      <c r="E2783" s="79"/>
      <c r="F2783" s="80" t="str">
        <f>IF(A2783="","",SUMIF(EXTRATO!$A$2:$A$3000,$A2783,EXTRATO!$J$2:$J$3000)+SUMIF(EXTRATO!$A$2:$A$3000,$A2783,EXTRATO!$K$2:$K$3000)+SUMIF(EXTRATO!$A$2:$A$3000,$A2783,EXTRATO!$L$2:$L$3000)+SUMIF(EXTRATO!$A$2:$A$3000,$A2783,EXTRATO!$M$2:$M$3000))</f>
        <v/>
      </c>
      <c r="G2783" s="81" t="str">
        <f>IF(A2783="","",IF(INDEX(EXTRATO!$G$2:$G$3000,MATCH($A2783,EXTRATO!$A$2:$A$3000,0))="","",INDEX(EXTRATO!$G$2:$G$3000,MATCH($A2783,EXTRATO!$A$2:$A$3000,0))))</f>
        <v/>
      </c>
      <c r="H2783" s="86" t="str">
        <f>IF(A2783="","",IF(INDEX(EXTRATO!$F$2:$F$3000,MATCH($A2783,EXTRATO!$A$2:$A$3000,0))="","",INDEX(EXTRATO!$F$2:$F$3000,MATCH($A2783,EXTRATO!$A$2:$A$3000,0))))</f>
        <v/>
      </c>
      <c r="I2783" s="88" t="str">
        <f>IF(A2783="","",IF(INDEX(EXTRATO!$H$2:$H$3000,MATCH($A2783,EXTRATO!$A$2:$A$3000,0))="","",INDEX(EXTRATO!$H$2:$H$3000,MATCH($A2783,EXTRATO!$A$2:$A$3000,0))))</f>
        <v/>
      </c>
      <c r="J2783" s="86" t="str">
        <f t="shared" si="73"/>
        <v/>
      </c>
      <c r="K2783" s="86" t="str">
        <f>IF(AND(A2783="",D2783="",E2783="",F2783=""),"",IF(D2783="","SEM CATEGORIA",IF(E2783="","SEM SUBCATEGORIA",IF(COUNTIFS(CADASTROS!$L$7:$L$93,D2783,CADASTROS!$D$7:$D$93,E2783)=0,"INCOMPATÍVEL","OK"))))</f>
        <v/>
      </c>
    </row>
    <row r="2784" spans="1:11" ht="30" hidden="1" customHeight="1" x14ac:dyDescent="0.25">
      <c r="A2784" s="86" t="str">
        <f>IF(COUNTIF(EXTRATO!$A$2:$A$3000,"BAN-02641")=0,"","BAN-02641")</f>
        <v/>
      </c>
      <c r="B2784" s="85" t="str">
        <f>IF(A2784="","",IF(INDEX(EXTRATO!$C$2:$C$3000,MATCH($A2784,EXTRATO!$A$2:$A$3000,0))="","",INDEX(EXTRATO!$C$2:$C$3000,MATCH($A2784,EXTRATO!$A$2:$A$3000,0))))</f>
        <v/>
      </c>
      <c r="C2784" s="86" t="str">
        <f t="shared" si="74"/>
        <v/>
      </c>
      <c r="D2784" s="81"/>
      <c r="E2784" s="79"/>
      <c r="F2784" s="80" t="str">
        <f>IF(A2784="","",SUMIF(EXTRATO!$A$2:$A$3000,$A2784,EXTRATO!$J$2:$J$3000)+SUMIF(EXTRATO!$A$2:$A$3000,$A2784,EXTRATO!$K$2:$K$3000)+SUMIF(EXTRATO!$A$2:$A$3000,$A2784,EXTRATO!$L$2:$L$3000)+SUMIF(EXTRATO!$A$2:$A$3000,$A2784,EXTRATO!$M$2:$M$3000))</f>
        <v/>
      </c>
      <c r="G2784" s="81" t="str">
        <f>IF(A2784="","",IF(INDEX(EXTRATO!$G$2:$G$3000,MATCH($A2784,EXTRATO!$A$2:$A$3000,0))="","",INDEX(EXTRATO!$G$2:$G$3000,MATCH($A2784,EXTRATO!$A$2:$A$3000,0))))</f>
        <v/>
      </c>
      <c r="H2784" s="86" t="str">
        <f>IF(A2784="","",IF(INDEX(EXTRATO!$F$2:$F$3000,MATCH($A2784,EXTRATO!$A$2:$A$3000,0))="","",INDEX(EXTRATO!$F$2:$F$3000,MATCH($A2784,EXTRATO!$A$2:$A$3000,0))))</f>
        <v/>
      </c>
      <c r="I2784" s="88" t="str">
        <f>IF(A2784="","",IF(INDEX(EXTRATO!$H$2:$H$3000,MATCH($A2784,EXTRATO!$A$2:$A$3000,0))="","",INDEX(EXTRATO!$H$2:$H$3000,MATCH($A2784,EXTRATO!$A$2:$A$3000,0))))</f>
        <v/>
      </c>
      <c r="J2784" s="86" t="str">
        <f t="shared" si="73"/>
        <v/>
      </c>
      <c r="K2784" s="86" t="str">
        <f>IF(AND(A2784="",D2784="",E2784="",F2784=""),"",IF(D2784="","SEM CATEGORIA",IF(E2784="","SEM SUBCATEGORIA",IF(COUNTIFS(CADASTROS!$L$7:$L$93,D2784,CADASTROS!$D$7:$D$93,E2784)=0,"INCOMPATÍVEL","OK"))))</f>
        <v/>
      </c>
    </row>
    <row r="2785" spans="1:11" ht="30" hidden="1" customHeight="1" x14ac:dyDescent="0.25">
      <c r="A2785" s="86" t="str">
        <f>IF(COUNTIF(EXTRATO!$A$2:$A$3000,"BAN-02642")=0,"","BAN-02642")</f>
        <v/>
      </c>
      <c r="B2785" s="85" t="str">
        <f>IF(A2785="","",IF(INDEX(EXTRATO!$C$2:$C$3000,MATCH($A2785,EXTRATO!$A$2:$A$3000,0))="","",INDEX(EXTRATO!$C$2:$C$3000,MATCH($A2785,EXTRATO!$A$2:$A$3000,0))))</f>
        <v/>
      </c>
      <c r="C2785" s="86" t="str">
        <f t="shared" si="74"/>
        <v/>
      </c>
      <c r="D2785" s="81"/>
      <c r="E2785" s="79"/>
      <c r="F2785" s="80" t="str">
        <f>IF(A2785="","",SUMIF(EXTRATO!$A$2:$A$3000,$A2785,EXTRATO!$J$2:$J$3000)+SUMIF(EXTRATO!$A$2:$A$3000,$A2785,EXTRATO!$K$2:$K$3000)+SUMIF(EXTRATO!$A$2:$A$3000,$A2785,EXTRATO!$L$2:$L$3000)+SUMIF(EXTRATO!$A$2:$A$3000,$A2785,EXTRATO!$M$2:$M$3000))</f>
        <v/>
      </c>
      <c r="G2785" s="81" t="str">
        <f>IF(A2785="","",IF(INDEX(EXTRATO!$G$2:$G$3000,MATCH($A2785,EXTRATO!$A$2:$A$3000,0))="","",INDEX(EXTRATO!$G$2:$G$3000,MATCH($A2785,EXTRATO!$A$2:$A$3000,0))))</f>
        <v/>
      </c>
      <c r="H2785" s="86" t="str">
        <f>IF(A2785="","",IF(INDEX(EXTRATO!$F$2:$F$3000,MATCH($A2785,EXTRATO!$A$2:$A$3000,0))="","",INDEX(EXTRATO!$F$2:$F$3000,MATCH($A2785,EXTRATO!$A$2:$A$3000,0))))</f>
        <v/>
      </c>
      <c r="I2785" s="88" t="str">
        <f>IF(A2785="","",IF(INDEX(EXTRATO!$H$2:$H$3000,MATCH($A2785,EXTRATO!$A$2:$A$3000,0))="","",INDEX(EXTRATO!$H$2:$H$3000,MATCH($A2785,EXTRATO!$A$2:$A$3000,0))))</f>
        <v/>
      </c>
      <c r="J2785" s="86" t="str">
        <f t="shared" si="73"/>
        <v/>
      </c>
      <c r="K2785" s="86" t="str">
        <f>IF(AND(A2785="",D2785="",E2785="",F2785=""),"",IF(D2785="","SEM CATEGORIA",IF(E2785="","SEM SUBCATEGORIA",IF(COUNTIFS(CADASTROS!$L$7:$L$93,D2785,CADASTROS!$D$7:$D$93,E2785)=0,"INCOMPATÍVEL","OK"))))</f>
        <v/>
      </c>
    </row>
    <row r="2786" spans="1:11" ht="30" hidden="1" customHeight="1" x14ac:dyDescent="0.25">
      <c r="A2786" s="86" t="str">
        <f>IF(COUNTIF(EXTRATO!$A$2:$A$3000,"BAN-02643")=0,"","BAN-02643")</f>
        <v/>
      </c>
      <c r="B2786" s="85" t="str">
        <f>IF(A2786="","",IF(INDEX(EXTRATO!$C$2:$C$3000,MATCH($A2786,EXTRATO!$A$2:$A$3000,0))="","",INDEX(EXTRATO!$C$2:$C$3000,MATCH($A2786,EXTRATO!$A$2:$A$3000,0))))</f>
        <v/>
      </c>
      <c r="C2786" s="86" t="str">
        <f t="shared" si="74"/>
        <v/>
      </c>
      <c r="D2786" s="81"/>
      <c r="E2786" s="79"/>
      <c r="F2786" s="80" t="str">
        <f>IF(A2786="","",SUMIF(EXTRATO!$A$2:$A$3000,$A2786,EXTRATO!$J$2:$J$3000)+SUMIF(EXTRATO!$A$2:$A$3000,$A2786,EXTRATO!$K$2:$K$3000)+SUMIF(EXTRATO!$A$2:$A$3000,$A2786,EXTRATO!$L$2:$L$3000)+SUMIF(EXTRATO!$A$2:$A$3000,$A2786,EXTRATO!$M$2:$M$3000))</f>
        <v/>
      </c>
      <c r="G2786" s="81" t="str">
        <f>IF(A2786="","",IF(INDEX(EXTRATO!$G$2:$G$3000,MATCH($A2786,EXTRATO!$A$2:$A$3000,0))="","",INDEX(EXTRATO!$G$2:$G$3000,MATCH($A2786,EXTRATO!$A$2:$A$3000,0))))</f>
        <v/>
      </c>
      <c r="H2786" s="86" t="str">
        <f>IF(A2786="","",IF(INDEX(EXTRATO!$F$2:$F$3000,MATCH($A2786,EXTRATO!$A$2:$A$3000,0))="","",INDEX(EXTRATO!$F$2:$F$3000,MATCH($A2786,EXTRATO!$A$2:$A$3000,0))))</f>
        <v/>
      </c>
      <c r="I2786" s="88" t="str">
        <f>IF(A2786="","",IF(INDEX(EXTRATO!$H$2:$H$3000,MATCH($A2786,EXTRATO!$A$2:$A$3000,0))="","",INDEX(EXTRATO!$H$2:$H$3000,MATCH($A2786,EXTRATO!$A$2:$A$3000,0))))</f>
        <v/>
      </c>
      <c r="J2786" s="86" t="str">
        <f t="shared" si="73"/>
        <v/>
      </c>
      <c r="K2786" s="86" t="str">
        <f>IF(AND(A2786="",D2786="",E2786="",F2786=""),"",IF(D2786="","SEM CATEGORIA",IF(E2786="","SEM SUBCATEGORIA",IF(COUNTIFS(CADASTROS!$L$7:$L$93,D2786,CADASTROS!$D$7:$D$93,E2786)=0,"INCOMPATÍVEL","OK"))))</f>
        <v/>
      </c>
    </row>
    <row r="2787" spans="1:11" ht="30" hidden="1" customHeight="1" x14ac:dyDescent="0.25">
      <c r="A2787" s="86" t="str">
        <f>IF(COUNTIF(EXTRATO!$A$2:$A$3000,"BAN-02644")=0,"","BAN-02644")</f>
        <v/>
      </c>
      <c r="B2787" s="85" t="str">
        <f>IF(A2787="","",IF(INDEX(EXTRATO!$C$2:$C$3000,MATCH($A2787,EXTRATO!$A$2:$A$3000,0))="","",INDEX(EXTRATO!$C$2:$C$3000,MATCH($A2787,EXTRATO!$A$2:$A$3000,0))))</f>
        <v/>
      </c>
      <c r="C2787" s="86" t="str">
        <f t="shared" si="74"/>
        <v/>
      </c>
      <c r="D2787" s="81"/>
      <c r="E2787" s="79"/>
      <c r="F2787" s="80" t="str">
        <f>IF(A2787="","",SUMIF(EXTRATO!$A$2:$A$3000,$A2787,EXTRATO!$J$2:$J$3000)+SUMIF(EXTRATO!$A$2:$A$3000,$A2787,EXTRATO!$K$2:$K$3000)+SUMIF(EXTRATO!$A$2:$A$3000,$A2787,EXTRATO!$L$2:$L$3000)+SUMIF(EXTRATO!$A$2:$A$3000,$A2787,EXTRATO!$M$2:$M$3000))</f>
        <v/>
      </c>
      <c r="G2787" s="81" t="str">
        <f>IF(A2787="","",IF(INDEX(EXTRATO!$G$2:$G$3000,MATCH($A2787,EXTRATO!$A$2:$A$3000,0))="","",INDEX(EXTRATO!$G$2:$G$3000,MATCH($A2787,EXTRATO!$A$2:$A$3000,0))))</f>
        <v/>
      </c>
      <c r="H2787" s="86" t="str">
        <f>IF(A2787="","",IF(INDEX(EXTRATO!$F$2:$F$3000,MATCH($A2787,EXTRATO!$A$2:$A$3000,0))="","",INDEX(EXTRATO!$F$2:$F$3000,MATCH($A2787,EXTRATO!$A$2:$A$3000,0))))</f>
        <v/>
      </c>
      <c r="I2787" s="88" t="str">
        <f>IF(A2787="","",IF(INDEX(EXTRATO!$H$2:$H$3000,MATCH($A2787,EXTRATO!$A$2:$A$3000,0))="","",INDEX(EXTRATO!$H$2:$H$3000,MATCH($A2787,EXTRATO!$A$2:$A$3000,0))))</f>
        <v/>
      </c>
      <c r="J2787" s="86" t="str">
        <f t="shared" si="73"/>
        <v/>
      </c>
      <c r="K2787" s="86" t="str">
        <f>IF(AND(A2787="",D2787="",E2787="",F2787=""),"",IF(D2787="","SEM CATEGORIA",IF(E2787="","SEM SUBCATEGORIA",IF(COUNTIFS(CADASTROS!$L$7:$L$93,D2787,CADASTROS!$D$7:$D$93,E2787)=0,"INCOMPATÍVEL","OK"))))</f>
        <v/>
      </c>
    </row>
    <row r="2788" spans="1:11" ht="30" hidden="1" customHeight="1" x14ac:dyDescent="0.25">
      <c r="A2788" s="86" t="str">
        <f>IF(COUNTIF(EXTRATO!$A$2:$A$3000,"BAN-02645")=0,"","BAN-02645")</f>
        <v/>
      </c>
      <c r="B2788" s="85" t="str">
        <f>IF(A2788="","",IF(INDEX(EXTRATO!$C$2:$C$3000,MATCH($A2788,EXTRATO!$A$2:$A$3000,0))="","",INDEX(EXTRATO!$C$2:$C$3000,MATCH($A2788,EXTRATO!$A$2:$A$3000,0))))</f>
        <v/>
      </c>
      <c r="C2788" s="86" t="str">
        <f t="shared" si="74"/>
        <v/>
      </c>
      <c r="D2788" s="81"/>
      <c r="E2788" s="79"/>
      <c r="F2788" s="80" t="str">
        <f>IF(A2788="","",SUMIF(EXTRATO!$A$2:$A$3000,$A2788,EXTRATO!$J$2:$J$3000)+SUMIF(EXTRATO!$A$2:$A$3000,$A2788,EXTRATO!$K$2:$K$3000)+SUMIF(EXTRATO!$A$2:$A$3000,$A2788,EXTRATO!$L$2:$L$3000)+SUMIF(EXTRATO!$A$2:$A$3000,$A2788,EXTRATO!$M$2:$M$3000))</f>
        <v/>
      </c>
      <c r="G2788" s="81" t="str">
        <f>IF(A2788="","",IF(INDEX(EXTRATO!$G$2:$G$3000,MATCH($A2788,EXTRATO!$A$2:$A$3000,0))="","",INDEX(EXTRATO!$G$2:$G$3000,MATCH($A2788,EXTRATO!$A$2:$A$3000,0))))</f>
        <v/>
      </c>
      <c r="H2788" s="86" t="str">
        <f>IF(A2788="","",IF(INDEX(EXTRATO!$F$2:$F$3000,MATCH($A2788,EXTRATO!$A$2:$A$3000,0))="","",INDEX(EXTRATO!$F$2:$F$3000,MATCH($A2788,EXTRATO!$A$2:$A$3000,0))))</f>
        <v/>
      </c>
      <c r="I2788" s="88" t="str">
        <f>IF(A2788="","",IF(INDEX(EXTRATO!$H$2:$H$3000,MATCH($A2788,EXTRATO!$A$2:$A$3000,0))="","",INDEX(EXTRATO!$H$2:$H$3000,MATCH($A2788,EXTRATO!$A$2:$A$3000,0))))</f>
        <v/>
      </c>
      <c r="J2788" s="86" t="str">
        <f t="shared" si="73"/>
        <v/>
      </c>
      <c r="K2788" s="86" t="str">
        <f>IF(AND(A2788="",D2788="",E2788="",F2788=""),"",IF(D2788="","SEM CATEGORIA",IF(E2788="","SEM SUBCATEGORIA",IF(COUNTIFS(CADASTROS!$L$7:$L$93,D2788,CADASTROS!$D$7:$D$93,E2788)=0,"INCOMPATÍVEL","OK"))))</f>
        <v/>
      </c>
    </row>
    <row r="2789" spans="1:11" ht="30" hidden="1" customHeight="1" x14ac:dyDescent="0.25">
      <c r="A2789" s="86" t="str">
        <f>IF(COUNTIF(EXTRATO!$A$2:$A$3000,"BAN-02646")=0,"","BAN-02646")</f>
        <v/>
      </c>
      <c r="B2789" s="85" t="str">
        <f>IF(A2789="","",IF(INDEX(EXTRATO!$C$2:$C$3000,MATCH($A2789,EXTRATO!$A$2:$A$3000,0))="","",INDEX(EXTRATO!$C$2:$C$3000,MATCH($A2789,EXTRATO!$A$2:$A$3000,0))))</f>
        <v/>
      </c>
      <c r="C2789" s="86" t="str">
        <f t="shared" si="74"/>
        <v/>
      </c>
      <c r="D2789" s="81"/>
      <c r="E2789" s="79"/>
      <c r="F2789" s="80" t="str">
        <f>IF(A2789="","",SUMIF(EXTRATO!$A$2:$A$3000,$A2789,EXTRATO!$J$2:$J$3000)+SUMIF(EXTRATO!$A$2:$A$3000,$A2789,EXTRATO!$K$2:$K$3000)+SUMIF(EXTRATO!$A$2:$A$3000,$A2789,EXTRATO!$L$2:$L$3000)+SUMIF(EXTRATO!$A$2:$A$3000,$A2789,EXTRATO!$M$2:$M$3000))</f>
        <v/>
      </c>
      <c r="G2789" s="81" t="str">
        <f>IF(A2789="","",IF(INDEX(EXTRATO!$G$2:$G$3000,MATCH($A2789,EXTRATO!$A$2:$A$3000,0))="","",INDEX(EXTRATO!$G$2:$G$3000,MATCH($A2789,EXTRATO!$A$2:$A$3000,0))))</f>
        <v/>
      </c>
      <c r="H2789" s="86" t="str">
        <f>IF(A2789="","",IF(INDEX(EXTRATO!$F$2:$F$3000,MATCH($A2789,EXTRATO!$A$2:$A$3000,0))="","",INDEX(EXTRATO!$F$2:$F$3000,MATCH($A2789,EXTRATO!$A$2:$A$3000,0))))</f>
        <v/>
      </c>
      <c r="I2789" s="88" t="str">
        <f>IF(A2789="","",IF(INDEX(EXTRATO!$H$2:$H$3000,MATCH($A2789,EXTRATO!$A$2:$A$3000,0))="","",INDEX(EXTRATO!$H$2:$H$3000,MATCH($A2789,EXTRATO!$A$2:$A$3000,0))))</f>
        <v/>
      </c>
      <c r="J2789" s="86" t="str">
        <f t="shared" si="73"/>
        <v/>
      </c>
      <c r="K2789" s="86" t="str">
        <f>IF(AND(A2789="",D2789="",E2789="",F2789=""),"",IF(D2789="","SEM CATEGORIA",IF(E2789="","SEM SUBCATEGORIA",IF(COUNTIFS(CADASTROS!$L$7:$L$93,D2789,CADASTROS!$D$7:$D$93,E2789)=0,"INCOMPATÍVEL","OK"))))</f>
        <v/>
      </c>
    </row>
    <row r="2790" spans="1:11" ht="30" hidden="1" customHeight="1" x14ac:dyDescent="0.25">
      <c r="A2790" s="86" t="str">
        <f>IF(COUNTIF(EXTRATO!$A$2:$A$3000,"BAN-02647")=0,"","BAN-02647")</f>
        <v/>
      </c>
      <c r="B2790" s="85" t="str">
        <f>IF(A2790="","",IF(INDEX(EXTRATO!$C$2:$C$3000,MATCH($A2790,EXTRATO!$A$2:$A$3000,0))="","",INDEX(EXTRATO!$C$2:$C$3000,MATCH($A2790,EXTRATO!$A$2:$A$3000,0))))</f>
        <v/>
      </c>
      <c r="C2790" s="86" t="str">
        <f t="shared" si="74"/>
        <v/>
      </c>
      <c r="D2790" s="81"/>
      <c r="E2790" s="79"/>
      <c r="F2790" s="80" t="str">
        <f>IF(A2790="","",SUMIF(EXTRATO!$A$2:$A$3000,$A2790,EXTRATO!$J$2:$J$3000)+SUMIF(EXTRATO!$A$2:$A$3000,$A2790,EXTRATO!$K$2:$K$3000)+SUMIF(EXTRATO!$A$2:$A$3000,$A2790,EXTRATO!$L$2:$L$3000)+SUMIF(EXTRATO!$A$2:$A$3000,$A2790,EXTRATO!$M$2:$M$3000))</f>
        <v/>
      </c>
      <c r="G2790" s="81" t="str">
        <f>IF(A2790="","",IF(INDEX(EXTRATO!$G$2:$G$3000,MATCH($A2790,EXTRATO!$A$2:$A$3000,0))="","",INDEX(EXTRATO!$G$2:$G$3000,MATCH($A2790,EXTRATO!$A$2:$A$3000,0))))</f>
        <v/>
      </c>
      <c r="H2790" s="86" t="str">
        <f>IF(A2790="","",IF(INDEX(EXTRATO!$F$2:$F$3000,MATCH($A2790,EXTRATO!$A$2:$A$3000,0))="","",INDEX(EXTRATO!$F$2:$F$3000,MATCH($A2790,EXTRATO!$A$2:$A$3000,0))))</f>
        <v/>
      </c>
      <c r="I2790" s="88" t="str">
        <f>IF(A2790="","",IF(INDEX(EXTRATO!$H$2:$H$3000,MATCH($A2790,EXTRATO!$A$2:$A$3000,0))="","",INDEX(EXTRATO!$H$2:$H$3000,MATCH($A2790,EXTRATO!$A$2:$A$3000,0))))</f>
        <v/>
      </c>
      <c r="J2790" s="86" t="str">
        <f t="shared" si="73"/>
        <v/>
      </c>
      <c r="K2790" s="86" t="str">
        <f>IF(AND(A2790="",D2790="",E2790="",F2790=""),"",IF(D2790="","SEM CATEGORIA",IF(E2790="","SEM SUBCATEGORIA",IF(COUNTIFS(CADASTROS!$L$7:$L$93,D2790,CADASTROS!$D$7:$D$93,E2790)=0,"INCOMPATÍVEL","OK"))))</f>
        <v/>
      </c>
    </row>
    <row r="2791" spans="1:11" ht="30" hidden="1" customHeight="1" x14ac:dyDescent="0.25">
      <c r="A2791" s="86" t="str">
        <f>IF(COUNTIF(EXTRATO!$A$2:$A$3000,"BAN-02648")=0,"","BAN-02648")</f>
        <v/>
      </c>
      <c r="B2791" s="85" t="str">
        <f>IF(A2791="","",IF(INDEX(EXTRATO!$C$2:$C$3000,MATCH($A2791,EXTRATO!$A$2:$A$3000,0))="","",INDEX(EXTRATO!$C$2:$C$3000,MATCH($A2791,EXTRATO!$A$2:$A$3000,0))))</f>
        <v/>
      </c>
      <c r="C2791" s="86" t="str">
        <f t="shared" si="74"/>
        <v/>
      </c>
      <c r="D2791" s="81"/>
      <c r="E2791" s="79"/>
      <c r="F2791" s="80" t="str">
        <f>IF(A2791="","",SUMIF(EXTRATO!$A$2:$A$3000,$A2791,EXTRATO!$J$2:$J$3000)+SUMIF(EXTRATO!$A$2:$A$3000,$A2791,EXTRATO!$K$2:$K$3000)+SUMIF(EXTRATO!$A$2:$A$3000,$A2791,EXTRATO!$L$2:$L$3000)+SUMIF(EXTRATO!$A$2:$A$3000,$A2791,EXTRATO!$M$2:$M$3000))</f>
        <v/>
      </c>
      <c r="G2791" s="81" t="str">
        <f>IF(A2791="","",IF(INDEX(EXTRATO!$G$2:$G$3000,MATCH($A2791,EXTRATO!$A$2:$A$3000,0))="","",INDEX(EXTRATO!$G$2:$G$3000,MATCH($A2791,EXTRATO!$A$2:$A$3000,0))))</f>
        <v/>
      </c>
      <c r="H2791" s="86" t="str">
        <f>IF(A2791="","",IF(INDEX(EXTRATO!$F$2:$F$3000,MATCH($A2791,EXTRATO!$A$2:$A$3000,0))="","",INDEX(EXTRATO!$F$2:$F$3000,MATCH($A2791,EXTRATO!$A$2:$A$3000,0))))</f>
        <v/>
      </c>
      <c r="I2791" s="88" t="str">
        <f>IF(A2791="","",IF(INDEX(EXTRATO!$H$2:$H$3000,MATCH($A2791,EXTRATO!$A$2:$A$3000,0))="","",INDEX(EXTRATO!$H$2:$H$3000,MATCH($A2791,EXTRATO!$A$2:$A$3000,0))))</f>
        <v/>
      </c>
      <c r="J2791" s="86" t="str">
        <f t="shared" si="73"/>
        <v/>
      </c>
      <c r="K2791" s="86" t="str">
        <f>IF(AND(A2791="",D2791="",E2791="",F2791=""),"",IF(D2791="","SEM CATEGORIA",IF(E2791="","SEM SUBCATEGORIA",IF(COUNTIFS(CADASTROS!$L$7:$L$93,D2791,CADASTROS!$D$7:$D$93,E2791)=0,"INCOMPATÍVEL","OK"))))</f>
        <v/>
      </c>
    </row>
    <row r="2792" spans="1:11" ht="30" hidden="1" customHeight="1" x14ac:dyDescent="0.25">
      <c r="A2792" s="86" t="str">
        <f>IF(COUNTIF(EXTRATO!$A$2:$A$3000,"BAN-02649")=0,"","BAN-02649")</f>
        <v/>
      </c>
      <c r="B2792" s="85" t="str">
        <f>IF(A2792="","",IF(INDEX(EXTRATO!$C$2:$C$3000,MATCH($A2792,EXTRATO!$A$2:$A$3000,0))="","",INDEX(EXTRATO!$C$2:$C$3000,MATCH($A2792,EXTRATO!$A$2:$A$3000,0))))</f>
        <v/>
      </c>
      <c r="C2792" s="86" t="str">
        <f t="shared" si="74"/>
        <v/>
      </c>
      <c r="D2792" s="81"/>
      <c r="E2792" s="79"/>
      <c r="F2792" s="80" t="str">
        <f>IF(A2792="","",SUMIF(EXTRATO!$A$2:$A$3000,$A2792,EXTRATO!$J$2:$J$3000)+SUMIF(EXTRATO!$A$2:$A$3000,$A2792,EXTRATO!$K$2:$K$3000)+SUMIF(EXTRATO!$A$2:$A$3000,$A2792,EXTRATO!$L$2:$L$3000)+SUMIF(EXTRATO!$A$2:$A$3000,$A2792,EXTRATO!$M$2:$M$3000))</f>
        <v/>
      </c>
      <c r="G2792" s="81" t="str">
        <f>IF(A2792="","",IF(INDEX(EXTRATO!$G$2:$G$3000,MATCH($A2792,EXTRATO!$A$2:$A$3000,0))="","",INDEX(EXTRATO!$G$2:$G$3000,MATCH($A2792,EXTRATO!$A$2:$A$3000,0))))</f>
        <v/>
      </c>
      <c r="H2792" s="86" t="str">
        <f>IF(A2792="","",IF(INDEX(EXTRATO!$F$2:$F$3000,MATCH($A2792,EXTRATO!$A$2:$A$3000,0))="","",INDEX(EXTRATO!$F$2:$F$3000,MATCH($A2792,EXTRATO!$A$2:$A$3000,0))))</f>
        <v/>
      </c>
      <c r="I2792" s="88" t="str">
        <f>IF(A2792="","",IF(INDEX(EXTRATO!$H$2:$H$3000,MATCH($A2792,EXTRATO!$A$2:$A$3000,0))="","",INDEX(EXTRATO!$H$2:$H$3000,MATCH($A2792,EXTRATO!$A$2:$A$3000,0))))</f>
        <v/>
      </c>
      <c r="J2792" s="86" t="str">
        <f t="shared" si="73"/>
        <v/>
      </c>
      <c r="K2792" s="86" t="str">
        <f>IF(AND(A2792="",D2792="",E2792="",F2792=""),"",IF(D2792="","SEM CATEGORIA",IF(E2792="","SEM SUBCATEGORIA",IF(COUNTIFS(CADASTROS!$L$7:$L$93,D2792,CADASTROS!$D$7:$D$93,E2792)=0,"INCOMPATÍVEL","OK"))))</f>
        <v/>
      </c>
    </row>
    <row r="2793" spans="1:11" ht="30" hidden="1" customHeight="1" x14ac:dyDescent="0.25">
      <c r="A2793" s="86" t="str">
        <f>IF(COUNTIF(EXTRATO!$A$2:$A$3000,"BAN-02650")=0,"","BAN-02650")</f>
        <v/>
      </c>
      <c r="B2793" s="85" t="str">
        <f>IF(A2793="","",IF(INDEX(EXTRATO!$C$2:$C$3000,MATCH($A2793,EXTRATO!$A$2:$A$3000,0))="","",INDEX(EXTRATO!$C$2:$C$3000,MATCH($A2793,EXTRATO!$A$2:$A$3000,0))))</f>
        <v/>
      </c>
      <c r="C2793" s="86" t="str">
        <f t="shared" si="74"/>
        <v/>
      </c>
      <c r="D2793" s="81"/>
      <c r="E2793" s="79"/>
      <c r="F2793" s="80" t="str">
        <f>IF(A2793="","",SUMIF(EXTRATO!$A$2:$A$3000,$A2793,EXTRATO!$J$2:$J$3000)+SUMIF(EXTRATO!$A$2:$A$3000,$A2793,EXTRATO!$K$2:$K$3000)+SUMIF(EXTRATO!$A$2:$A$3000,$A2793,EXTRATO!$L$2:$L$3000)+SUMIF(EXTRATO!$A$2:$A$3000,$A2793,EXTRATO!$M$2:$M$3000))</f>
        <v/>
      </c>
      <c r="G2793" s="81" t="str">
        <f>IF(A2793="","",IF(INDEX(EXTRATO!$G$2:$G$3000,MATCH($A2793,EXTRATO!$A$2:$A$3000,0))="","",INDEX(EXTRATO!$G$2:$G$3000,MATCH($A2793,EXTRATO!$A$2:$A$3000,0))))</f>
        <v/>
      </c>
      <c r="H2793" s="86" t="str">
        <f>IF(A2793="","",IF(INDEX(EXTRATO!$F$2:$F$3000,MATCH($A2793,EXTRATO!$A$2:$A$3000,0))="","",INDEX(EXTRATO!$F$2:$F$3000,MATCH($A2793,EXTRATO!$A$2:$A$3000,0))))</f>
        <v/>
      </c>
      <c r="I2793" s="88" t="str">
        <f>IF(A2793="","",IF(INDEX(EXTRATO!$H$2:$H$3000,MATCH($A2793,EXTRATO!$A$2:$A$3000,0))="","",INDEX(EXTRATO!$H$2:$H$3000,MATCH($A2793,EXTRATO!$A$2:$A$3000,0))))</f>
        <v/>
      </c>
      <c r="J2793" s="86" t="str">
        <f t="shared" si="73"/>
        <v/>
      </c>
      <c r="K2793" s="86" t="str">
        <f>IF(AND(A2793="",D2793="",E2793="",F2793=""),"",IF(D2793="","SEM CATEGORIA",IF(E2793="","SEM SUBCATEGORIA",IF(COUNTIFS(CADASTROS!$L$7:$L$93,D2793,CADASTROS!$D$7:$D$93,E2793)=0,"INCOMPATÍVEL","OK"))))</f>
        <v/>
      </c>
    </row>
    <row r="2794" spans="1:11" ht="30" hidden="1" customHeight="1" x14ac:dyDescent="0.25">
      <c r="A2794" s="86" t="str">
        <f>IF(COUNTIF(EXTRATO!$A$2:$A$3000,"BAN-02651")=0,"","BAN-02651")</f>
        <v/>
      </c>
      <c r="B2794" s="85" t="str">
        <f>IF(A2794="","",IF(INDEX(EXTRATO!$C$2:$C$3000,MATCH($A2794,EXTRATO!$A$2:$A$3000,0))="","",INDEX(EXTRATO!$C$2:$C$3000,MATCH($A2794,EXTRATO!$A$2:$A$3000,0))))</f>
        <v/>
      </c>
      <c r="C2794" s="86" t="str">
        <f t="shared" si="74"/>
        <v/>
      </c>
      <c r="D2794" s="81"/>
      <c r="E2794" s="79"/>
      <c r="F2794" s="80" t="str">
        <f>IF(A2794="","",SUMIF(EXTRATO!$A$2:$A$3000,$A2794,EXTRATO!$J$2:$J$3000)+SUMIF(EXTRATO!$A$2:$A$3000,$A2794,EXTRATO!$K$2:$K$3000)+SUMIF(EXTRATO!$A$2:$A$3000,$A2794,EXTRATO!$L$2:$L$3000)+SUMIF(EXTRATO!$A$2:$A$3000,$A2794,EXTRATO!$M$2:$M$3000))</f>
        <v/>
      </c>
      <c r="G2794" s="81" t="str">
        <f>IF(A2794="","",IF(INDEX(EXTRATO!$G$2:$G$3000,MATCH($A2794,EXTRATO!$A$2:$A$3000,0))="","",INDEX(EXTRATO!$G$2:$G$3000,MATCH($A2794,EXTRATO!$A$2:$A$3000,0))))</f>
        <v/>
      </c>
      <c r="H2794" s="86" t="str">
        <f>IF(A2794="","",IF(INDEX(EXTRATO!$F$2:$F$3000,MATCH($A2794,EXTRATO!$A$2:$A$3000,0))="","",INDEX(EXTRATO!$F$2:$F$3000,MATCH($A2794,EXTRATO!$A$2:$A$3000,0))))</f>
        <v/>
      </c>
      <c r="I2794" s="88" t="str">
        <f>IF(A2794="","",IF(INDEX(EXTRATO!$H$2:$H$3000,MATCH($A2794,EXTRATO!$A$2:$A$3000,0))="","",INDEX(EXTRATO!$H$2:$H$3000,MATCH($A2794,EXTRATO!$A$2:$A$3000,0))))</f>
        <v/>
      </c>
      <c r="J2794" s="86" t="str">
        <f t="shared" si="73"/>
        <v/>
      </c>
      <c r="K2794" s="86" t="str">
        <f>IF(AND(A2794="",D2794="",E2794="",F2794=""),"",IF(D2794="","SEM CATEGORIA",IF(E2794="","SEM SUBCATEGORIA",IF(COUNTIFS(CADASTROS!$L$7:$L$93,D2794,CADASTROS!$D$7:$D$93,E2794)=0,"INCOMPATÍVEL","OK"))))</f>
        <v/>
      </c>
    </row>
    <row r="2795" spans="1:11" ht="30" hidden="1" customHeight="1" x14ac:dyDescent="0.25">
      <c r="A2795" s="86" t="str">
        <f>IF(COUNTIF(EXTRATO!$A$2:$A$3000,"BAN-02652")=0,"","BAN-02652")</f>
        <v/>
      </c>
      <c r="B2795" s="85" t="str">
        <f>IF(A2795="","",IF(INDEX(EXTRATO!$C$2:$C$3000,MATCH($A2795,EXTRATO!$A$2:$A$3000,0))="","",INDEX(EXTRATO!$C$2:$C$3000,MATCH($A2795,EXTRATO!$A$2:$A$3000,0))))</f>
        <v/>
      </c>
      <c r="C2795" s="86" t="str">
        <f t="shared" si="74"/>
        <v/>
      </c>
      <c r="D2795" s="81"/>
      <c r="E2795" s="79"/>
      <c r="F2795" s="80" t="str">
        <f>IF(A2795="","",SUMIF(EXTRATO!$A$2:$A$3000,$A2795,EXTRATO!$J$2:$J$3000)+SUMIF(EXTRATO!$A$2:$A$3000,$A2795,EXTRATO!$K$2:$K$3000)+SUMIF(EXTRATO!$A$2:$A$3000,$A2795,EXTRATO!$L$2:$L$3000)+SUMIF(EXTRATO!$A$2:$A$3000,$A2795,EXTRATO!$M$2:$M$3000))</f>
        <v/>
      </c>
      <c r="G2795" s="81" t="str">
        <f>IF(A2795="","",IF(INDEX(EXTRATO!$G$2:$G$3000,MATCH($A2795,EXTRATO!$A$2:$A$3000,0))="","",INDEX(EXTRATO!$G$2:$G$3000,MATCH($A2795,EXTRATO!$A$2:$A$3000,0))))</f>
        <v/>
      </c>
      <c r="H2795" s="86" t="str">
        <f>IF(A2795="","",IF(INDEX(EXTRATO!$F$2:$F$3000,MATCH($A2795,EXTRATO!$A$2:$A$3000,0))="","",INDEX(EXTRATO!$F$2:$F$3000,MATCH($A2795,EXTRATO!$A$2:$A$3000,0))))</f>
        <v/>
      </c>
      <c r="I2795" s="88" t="str">
        <f>IF(A2795="","",IF(INDEX(EXTRATO!$H$2:$H$3000,MATCH($A2795,EXTRATO!$A$2:$A$3000,0))="","",INDEX(EXTRATO!$H$2:$H$3000,MATCH($A2795,EXTRATO!$A$2:$A$3000,0))))</f>
        <v/>
      </c>
      <c r="J2795" s="86" t="str">
        <f t="shared" si="73"/>
        <v/>
      </c>
      <c r="K2795" s="86" t="str">
        <f>IF(AND(A2795="",D2795="",E2795="",F2795=""),"",IF(D2795="","SEM CATEGORIA",IF(E2795="","SEM SUBCATEGORIA",IF(COUNTIFS(CADASTROS!$L$7:$L$93,D2795,CADASTROS!$D$7:$D$93,E2795)=0,"INCOMPATÍVEL","OK"))))</f>
        <v/>
      </c>
    </row>
    <row r="2796" spans="1:11" ht="30" hidden="1" customHeight="1" x14ac:dyDescent="0.25">
      <c r="A2796" s="86" t="str">
        <f>IF(COUNTIF(EXTRATO!$A$2:$A$3000,"BAN-02653")=0,"","BAN-02653")</f>
        <v/>
      </c>
      <c r="B2796" s="85" t="str">
        <f>IF(A2796="","",IF(INDEX(EXTRATO!$C$2:$C$3000,MATCH($A2796,EXTRATO!$A$2:$A$3000,0))="","",INDEX(EXTRATO!$C$2:$C$3000,MATCH($A2796,EXTRATO!$A$2:$A$3000,0))))</f>
        <v/>
      </c>
      <c r="C2796" s="86" t="str">
        <f t="shared" si="74"/>
        <v/>
      </c>
      <c r="D2796" s="81"/>
      <c r="E2796" s="79"/>
      <c r="F2796" s="80" t="str">
        <f>IF(A2796="","",SUMIF(EXTRATO!$A$2:$A$3000,$A2796,EXTRATO!$J$2:$J$3000)+SUMIF(EXTRATO!$A$2:$A$3000,$A2796,EXTRATO!$K$2:$K$3000)+SUMIF(EXTRATO!$A$2:$A$3000,$A2796,EXTRATO!$L$2:$L$3000)+SUMIF(EXTRATO!$A$2:$A$3000,$A2796,EXTRATO!$M$2:$M$3000))</f>
        <v/>
      </c>
      <c r="G2796" s="81" t="str">
        <f>IF(A2796="","",IF(INDEX(EXTRATO!$G$2:$G$3000,MATCH($A2796,EXTRATO!$A$2:$A$3000,0))="","",INDEX(EXTRATO!$G$2:$G$3000,MATCH($A2796,EXTRATO!$A$2:$A$3000,0))))</f>
        <v/>
      </c>
      <c r="H2796" s="86" t="str">
        <f>IF(A2796="","",IF(INDEX(EXTRATO!$F$2:$F$3000,MATCH($A2796,EXTRATO!$A$2:$A$3000,0))="","",INDEX(EXTRATO!$F$2:$F$3000,MATCH($A2796,EXTRATO!$A$2:$A$3000,0))))</f>
        <v/>
      </c>
      <c r="I2796" s="88" t="str">
        <f>IF(A2796="","",IF(INDEX(EXTRATO!$H$2:$H$3000,MATCH($A2796,EXTRATO!$A$2:$A$3000,0))="","",INDEX(EXTRATO!$H$2:$H$3000,MATCH($A2796,EXTRATO!$A$2:$A$3000,0))))</f>
        <v/>
      </c>
      <c r="J2796" s="86" t="str">
        <f t="shared" ref="J2796:J2859" si="75">IF(A2796="","",IF(K2796="OK","MANUAL","PENDENTE"))</f>
        <v/>
      </c>
      <c r="K2796" s="86" t="str">
        <f>IF(AND(A2796="",D2796="",E2796="",F2796=""),"",IF(D2796="","SEM CATEGORIA",IF(E2796="","SEM SUBCATEGORIA",IF(COUNTIFS(CADASTROS!$L$7:$L$93,D2796,CADASTROS!$D$7:$D$93,E2796)=0,"INCOMPATÍVEL","OK"))))</f>
        <v/>
      </c>
    </row>
    <row r="2797" spans="1:11" ht="30" hidden="1" customHeight="1" x14ac:dyDescent="0.25">
      <c r="A2797" s="86" t="str">
        <f>IF(COUNTIF(EXTRATO!$A$2:$A$3000,"BAN-02654")=0,"","BAN-02654")</f>
        <v/>
      </c>
      <c r="B2797" s="85" t="str">
        <f>IF(A2797="","",IF(INDEX(EXTRATO!$C$2:$C$3000,MATCH($A2797,EXTRATO!$A$2:$A$3000,0))="","",INDEX(EXTRATO!$C$2:$C$3000,MATCH($A2797,EXTRATO!$A$2:$A$3000,0))))</f>
        <v/>
      </c>
      <c r="C2797" s="86" t="str">
        <f t="shared" si="74"/>
        <v/>
      </c>
      <c r="D2797" s="81"/>
      <c r="E2797" s="79"/>
      <c r="F2797" s="80" t="str">
        <f>IF(A2797="","",SUMIF(EXTRATO!$A$2:$A$3000,$A2797,EXTRATO!$J$2:$J$3000)+SUMIF(EXTRATO!$A$2:$A$3000,$A2797,EXTRATO!$K$2:$K$3000)+SUMIF(EXTRATO!$A$2:$A$3000,$A2797,EXTRATO!$L$2:$L$3000)+SUMIF(EXTRATO!$A$2:$A$3000,$A2797,EXTRATO!$M$2:$M$3000))</f>
        <v/>
      </c>
      <c r="G2797" s="81" t="str">
        <f>IF(A2797="","",IF(INDEX(EXTRATO!$G$2:$G$3000,MATCH($A2797,EXTRATO!$A$2:$A$3000,0))="","",INDEX(EXTRATO!$G$2:$G$3000,MATCH($A2797,EXTRATO!$A$2:$A$3000,0))))</f>
        <v/>
      </c>
      <c r="H2797" s="86" t="str">
        <f>IF(A2797="","",IF(INDEX(EXTRATO!$F$2:$F$3000,MATCH($A2797,EXTRATO!$A$2:$A$3000,0))="","",INDEX(EXTRATO!$F$2:$F$3000,MATCH($A2797,EXTRATO!$A$2:$A$3000,0))))</f>
        <v/>
      </c>
      <c r="I2797" s="88" t="str">
        <f>IF(A2797="","",IF(INDEX(EXTRATO!$H$2:$H$3000,MATCH($A2797,EXTRATO!$A$2:$A$3000,0))="","",INDEX(EXTRATO!$H$2:$H$3000,MATCH($A2797,EXTRATO!$A$2:$A$3000,0))))</f>
        <v/>
      </c>
      <c r="J2797" s="86" t="str">
        <f t="shared" si="75"/>
        <v/>
      </c>
      <c r="K2797" s="86" t="str">
        <f>IF(AND(A2797="",D2797="",E2797="",F2797=""),"",IF(D2797="","SEM CATEGORIA",IF(E2797="","SEM SUBCATEGORIA",IF(COUNTIFS(CADASTROS!$L$7:$L$93,D2797,CADASTROS!$D$7:$D$93,E2797)=0,"INCOMPATÍVEL","OK"))))</f>
        <v/>
      </c>
    </row>
    <row r="2798" spans="1:11" ht="30" hidden="1" customHeight="1" x14ac:dyDescent="0.25">
      <c r="A2798" s="86" t="str">
        <f>IF(COUNTIF(EXTRATO!$A$2:$A$3000,"BAN-02655")=0,"","BAN-02655")</f>
        <v/>
      </c>
      <c r="B2798" s="85" t="str">
        <f>IF(A2798="","",IF(INDEX(EXTRATO!$C$2:$C$3000,MATCH($A2798,EXTRATO!$A$2:$A$3000,0))="","",INDEX(EXTRATO!$C$2:$C$3000,MATCH($A2798,EXTRATO!$A$2:$A$3000,0))))</f>
        <v/>
      </c>
      <c r="C2798" s="86" t="str">
        <f t="shared" si="74"/>
        <v/>
      </c>
      <c r="D2798" s="81"/>
      <c r="E2798" s="79"/>
      <c r="F2798" s="80" t="str">
        <f>IF(A2798="","",SUMIF(EXTRATO!$A$2:$A$3000,$A2798,EXTRATO!$J$2:$J$3000)+SUMIF(EXTRATO!$A$2:$A$3000,$A2798,EXTRATO!$K$2:$K$3000)+SUMIF(EXTRATO!$A$2:$A$3000,$A2798,EXTRATO!$L$2:$L$3000)+SUMIF(EXTRATO!$A$2:$A$3000,$A2798,EXTRATO!$M$2:$M$3000))</f>
        <v/>
      </c>
      <c r="G2798" s="81" t="str">
        <f>IF(A2798="","",IF(INDEX(EXTRATO!$G$2:$G$3000,MATCH($A2798,EXTRATO!$A$2:$A$3000,0))="","",INDEX(EXTRATO!$G$2:$G$3000,MATCH($A2798,EXTRATO!$A$2:$A$3000,0))))</f>
        <v/>
      </c>
      <c r="H2798" s="86" t="str">
        <f>IF(A2798="","",IF(INDEX(EXTRATO!$F$2:$F$3000,MATCH($A2798,EXTRATO!$A$2:$A$3000,0))="","",INDEX(EXTRATO!$F$2:$F$3000,MATCH($A2798,EXTRATO!$A$2:$A$3000,0))))</f>
        <v/>
      </c>
      <c r="I2798" s="88" t="str">
        <f>IF(A2798="","",IF(INDEX(EXTRATO!$H$2:$H$3000,MATCH($A2798,EXTRATO!$A$2:$A$3000,0))="","",INDEX(EXTRATO!$H$2:$H$3000,MATCH($A2798,EXTRATO!$A$2:$A$3000,0))))</f>
        <v/>
      </c>
      <c r="J2798" s="86" t="str">
        <f t="shared" si="75"/>
        <v/>
      </c>
      <c r="K2798" s="86" t="str">
        <f>IF(AND(A2798="",D2798="",E2798="",F2798=""),"",IF(D2798="","SEM CATEGORIA",IF(E2798="","SEM SUBCATEGORIA",IF(COUNTIFS(CADASTROS!$L$7:$L$93,D2798,CADASTROS!$D$7:$D$93,E2798)=0,"INCOMPATÍVEL","OK"))))</f>
        <v/>
      </c>
    </row>
    <row r="2799" spans="1:11" ht="30" hidden="1" customHeight="1" x14ac:dyDescent="0.25">
      <c r="A2799" s="86" t="str">
        <f>IF(COUNTIF(EXTRATO!$A$2:$A$3000,"BAN-02656")=0,"","BAN-02656")</f>
        <v/>
      </c>
      <c r="B2799" s="85" t="str">
        <f>IF(A2799="","",IF(INDEX(EXTRATO!$C$2:$C$3000,MATCH($A2799,EXTRATO!$A$2:$A$3000,0))="","",INDEX(EXTRATO!$C$2:$C$3000,MATCH($A2799,EXTRATO!$A$2:$A$3000,0))))</f>
        <v/>
      </c>
      <c r="C2799" s="86" t="str">
        <f t="shared" si="74"/>
        <v/>
      </c>
      <c r="D2799" s="81"/>
      <c r="E2799" s="79"/>
      <c r="F2799" s="80" t="str">
        <f>IF(A2799="","",SUMIF(EXTRATO!$A$2:$A$3000,$A2799,EXTRATO!$J$2:$J$3000)+SUMIF(EXTRATO!$A$2:$A$3000,$A2799,EXTRATO!$K$2:$K$3000)+SUMIF(EXTRATO!$A$2:$A$3000,$A2799,EXTRATO!$L$2:$L$3000)+SUMIF(EXTRATO!$A$2:$A$3000,$A2799,EXTRATO!$M$2:$M$3000))</f>
        <v/>
      </c>
      <c r="G2799" s="81" t="str">
        <f>IF(A2799="","",IF(INDEX(EXTRATO!$G$2:$G$3000,MATCH($A2799,EXTRATO!$A$2:$A$3000,0))="","",INDEX(EXTRATO!$G$2:$G$3000,MATCH($A2799,EXTRATO!$A$2:$A$3000,0))))</f>
        <v/>
      </c>
      <c r="H2799" s="86" t="str">
        <f>IF(A2799="","",IF(INDEX(EXTRATO!$F$2:$F$3000,MATCH($A2799,EXTRATO!$A$2:$A$3000,0))="","",INDEX(EXTRATO!$F$2:$F$3000,MATCH($A2799,EXTRATO!$A$2:$A$3000,0))))</f>
        <v/>
      </c>
      <c r="I2799" s="88" t="str">
        <f>IF(A2799="","",IF(INDEX(EXTRATO!$H$2:$H$3000,MATCH($A2799,EXTRATO!$A$2:$A$3000,0))="","",INDEX(EXTRATO!$H$2:$H$3000,MATCH($A2799,EXTRATO!$A$2:$A$3000,0))))</f>
        <v/>
      </c>
      <c r="J2799" s="86" t="str">
        <f t="shared" si="75"/>
        <v/>
      </c>
      <c r="K2799" s="86" t="str">
        <f>IF(AND(A2799="",D2799="",E2799="",F2799=""),"",IF(D2799="","SEM CATEGORIA",IF(E2799="","SEM SUBCATEGORIA",IF(COUNTIFS(CADASTROS!$L$7:$L$93,D2799,CADASTROS!$D$7:$D$93,E2799)=0,"INCOMPATÍVEL","OK"))))</f>
        <v/>
      </c>
    </row>
    <row r="2800" spans="1:11" ht="30" hidden="1" customHeight="1" x14ac:dyDescent="0.25">
      <c r="A2800" s="86" t="str">
        <f>IF(COUNTIF(EXTRATO!$A$2:$A$3000,"BAN-02657")=0,"","BAN-02657")</f>
        <v/>
      </c>
      <c r="B2800" s="85" t="str">
        <f>IF(A2800="","",IF(INDEX(EXTRATO!$C$2:$C$3000,MATCH($A2800,EXTRATO!$A$2:$A$3000,0))="","",INDEX(EXTRATO!$C$2:$C$3000,MATCH($A2800,EXTRATO!$A$2:$A$3000,0))))</f>
        <v/>
      </c>
      <c r="C2800" s="86" t="str">
        <f t="shared" si="74"/>
        <v/>
      </c>
      <c r="D2800" s="81"/>
      <c r="E2800" s="79"/>
      <c r="F2800" s="80" t="str">
        <f>IF(A2800="","",SUMIF(EXTRATO!$A$2:$A$3000,$A2800,EXTRATO!$J$2:$J$3000)+SUMIF(EXTRATO!$A$2:$A$3000,$A2800,EXTRATO!$K$2:$K$3000)+SUMIF(EXTRATO!$A$2:$A$3000,$A2800,EXTRATO!$L$2:$L$3000)+SUMIF(EXTRATO!$A$2:$A$3000,$A2800,EXTRATO!$M$2:$M$3000))</f>
        <v/>
      </c>
      <c r="G2800" s="81" t="str">
        <f>IF(A2800="","",IF(INDEX(EXTRATO!$G$2:$G$3000,MATCH($A2800,EXTRATO!$A$2:$A$3000,0))="","",INDEX(EXTRATO!$G$2:$G$3000,MATCH($A2800,EXTRATO!$A$2:$A$3000,0))))</f>
        <v/>
      </c>
      <c r="H2800" s="86" t="str">
        <f>IF(A2800="","",IF(INDEX(EXTRATO!$F$2:$F$3000,MATCH($A2800,EXTRATO!$A$2:$A$3000,0))="","",INDEX(EXTRATO!$F$2:$F$3000,MATCH($A2800,EXTRATO!$A$2:$A$3000,0))))</f>
        <v/>
      </c>
      <c r="I2800" s="88" t="str">
        <f>IF(A2800="","",IF(INDEX(EXTRATO!$H$2:$H$3000,MATCH($A2800,EXTRATO!$A$2:$A$3000,0))="","",INDEX(EXTRATO!$H$2:$H$3000,MATCH($A2800,EXTRATO!$A$2:$A$3000,0))))</f>
        <v/>
      </c>
      <c r="J2800" s="86" t="str">
        <f t="shared" si="75"/>
        <v/>
      </c>
      <c r="K2800" s="86" t="str">
        <f>IF(AND(A2800="",D2800="",E2800="",F2800=""),"",IF(D2800="","SEM CATEGORIA",IF(E2800="","SEM SUBCATEGORIA",IF(COUNTIFS(CADASTROS!$L$7:$L$93,D2800,CADASTROS!$D$7:$D$93,E2800)=0,"INCOMPATÍVEL","OK"))))</f>
        <v/>
      </c>
    </row>
    <row r="2801" spans="1:11" ht="30" hidden="1" customHeight="1" x14ac:dyDescent="0.25">
      <c r="A2801" s="86" t="str">
        <f>IF(COUNTIF(EXTRATO!$A$2:$A$3000,"BAN-02658")=0,"","BAN-02658")</f>
        <v/>
      </c>
      <c r="B2801" s="85" t="str">
        <f>IF(A2801="","",IF(INDEX(EXTRATO!$C$2:$C$3000,MATCH($A2801,EXTRATO!$A$2:$A$3000,0))="","",INDEX(EXTRATO!$C$2:$C$3000,MATCH($A2801,EXTRATO!$A$2:$A$3000,0))))</f>
        <v/>
      </c>
      <c r="C2801" s="86" t="str">
        <f t="shared" si="74"/>
        <v/>
      </c>
      <c r="D2801" s="81"/>
      <c r="E2801" s="79"/>
      <c r="F2801" s="80" t="str">
        <f>IF(A2801="","",SUMIF(EXTRATO!$A$2:$A$3000,$A2801,EXTRATO!$J$2:$J$3000)+SUMIF(EXTRATO!$A$2:$A$3000,$A2801,EXTRATO!$K$2:$K$3000)+SUMIF(EXTRATO!$A$2:$A$3000,$A2801,EXTRATO!$L$2:$L$3000)+SUMIF(EXTRATO!$A$2:$A$3000,$A2801,EXTRATO!$M$2:$M$3000))</f>
        <v/>
      </c>
      <c r="G2801" s="81" t="str">
        <f>IF(A2801="","",IF(INDEX(EXTRATO!$G$2:$G$3000,MATCH($A2801,EXTRATO!$A$2:$A$3000,0))="","",INDEX(EXTRATO!$G$2:$G$3000,MATCH($A2801,EXTRATO!$A$2:$A$3000,0))))</f>
        <v/>
      </c>
      <c r="H2801" s="86" t="str">
        <f>IF(A2801="","",IF(INDEX(EXTRATO!$F$2:$F$3000,MATCH($A2801,EXTRATO!$A$2:$A$3000,0))="","",INDEX(EXTRATO!$F$2:$F$3000,MATCH($A2801,EXTRATO!$A$2:$A$3000,0))))</f>
        <v/>
      </c>
      <c r="I2801" s="88" t="str">
        <f>IF(A2801="","",IF(INDEX(EXTRATO!$H$2:$H$3000,MATCH($A2801,EXTRATO!$A$2:$A$3000,0))="","",INDEX(EXTRATO!$H$2:$H$3000,MATCH($A2801,EXTRATO!$A$2:$A$3000,0))))</f>
        <v/>
      </c>
      <c r="J2801" s="86" t="str">
        <f t="shared" si="75"/>
        <v/>
      </c>
      <c r="K2801" s="86" t="str">
        <f>IF(AND(A2801="",D2801="",E2801="",F2801=""),"",IF(D2801="","SEM CATEGORIA",IF(E2801="","SEM SUBCATEGORIA",IF(COUNTIFS(CADASTROS!$L$7:$L$93,D2801,CADASTROS!$D$7:$D$93,E2801)=0,"INCOMPATÍVEL","OK"))))</f>
        <v/>
      </c>
    </row>
    <row r="2802" spans="1:11" ht="30" hidden="1" customHeight="1" x14ac:dyDescent="0.25">
      <c r="A2802" s="86" t="str">
        <f>IF(COUNTIF(EXTRATO!$A$2:$A$3000,"BAN-02659")=0,"","BAN-02659")</f>
        <v/>
      </c>
      <c r="B2802" s="85" t="str">
        <f>IF(A2802="","",IF(INDEX(EXTRATO!$C$2:$C$3000,MATCH($A2802,EXTRATO!$A$2:$A$3000,0))="","",INDEX(EXTRATO!$C$2:$C$3000,MATCH($A2802,EXTRATO!$A$2:$A$3000,0))))</f>
        <v/>
      </c>
      <c r="C2802" s="86" t="str">
        <f t="shared" si="74"/>
        <v/>
      </c>
      <c r="D2802" s="81"/>
      <c r="E2802" s="79"/>
      <c r="F2802" s="80" t="str">
        <f>IF(A2802="","",SUMIF(EXTRATO!$A$2:$A$3000,$A2802,EXTRATO!$J$2:$J$3000)+SUMIF(EXTRATO!$A$2:$A$3000,$A2802,EXTRATO!$K$2:$K$3000)+SUMIF(EXTRATO!$A$2:$A$3000,$A2802,EXTRATO!$L$2:$L$3000)+SUMIF(EXTRATO!$A$2:$A$3000,$A2802,EXTRATO!$M$2:$M$3000))</f>
        <v/>
      </c>
      <c r="G2802" s="81" t="str">
        <f>IF(A2802="","",IF(INDEX(EXTRATO!$G$2:$G$3000,MATCH($A2802,EXTRATO!$A$2:$A$3000,0))="","",INDEX(EXTRATO!$G$2:$G$3000,MATCH($A2802,EXTRATO!$A$2:$A$3000,0))))</f>
        <v/>
      </c>
      <c r="H2802" s="86" t="str">
        <f>IF(A2802="","",IF(INDEX(EXTRATO!$F$2:$F$3000,MATCH($A2802,EXTRATO!$A$2:$A$3000,0))="","",INDEX(EXTRATO!$F$2:$F$3000,MATCH($A2802,EXTRATO!$A$2:$A$3000,0))))</f>
        <v/>
      </c>
      <c r="I2802" s="88" t="str">
        <f>IF(A2802="","",IF(INDEX(EXTRATO!$H$2:$H$3000,MATCH($A2802,EXTRATO!$A$2:$A$3000,0))="","",INDEX(EXTRATO!$H$2:$H$3000,MATCH($A2802,EXTRATO!$A$2:$A$3000,0))))</f>
        <v/>
      </c>
      <c r="J2802" s="86" t="str">
        <f t="shared" si="75"/>
        <v/>
      </c>
      <c r="K2802" s="86" t="str">
        <f>IF(AND(A2802="",D2802="",E2802="",F2802=""),"",IF(D2802="","SEM CATEGORIA",IF(E2802="","SEM SUBCATEGORIA",IF(COUNTIFS(CADASTROS!$L$7:$L$93,D2802,CADASTROS!$D$7:$D$93,E2802)=0,"INCOMPATÍVEL","OK"))))</f>
        <v/>
      </c>
    </row>
    <row r="2803" spans="1:11" ht="30" hidden="1" customHeight="1" x14ac:dyDescent="0.25">
      <c r="A2803" s="86" t="str">
        <f>IF(COUNTIF(EXTRATO!$A$2:$A$3000,"BAN-02660")=0,"","BAN-02660")</f>
        <v/>
      </c>
      <c r="B2803" s="85" t="str">
        <f>IF(A2803="","",IF(INDEX(EXTRATO!$C$2:$C$3000,MATCH($A2803,EXTRATO!$A$2:$A$3000,0))="","",INDEX(EXTRATO!$C$2:$C$3000,MATCH($A2803,EXTRATO!$A$2:$A$3000,0))))</f>
        <v/>
      </c>
      <c r="C2803" s="86" t="str">
        <f t="shared" si="74"/>
        <v/>
      </c>
      <c r="D2803" s="81"/>
      <c r="E2803" s="79"/>
      <c r="F2803" s="80" t="str">
        <f>IF(A2803="","",SUMIF(EXTRATO!$A$2:$A$3000,$A2803,EXTRATO!$J$2:$J$3000)+SUMIF(EXTRATO!$A$2:$A$3000,$A2803,EXTRATO!$K$2:$K$3000)+SUMIF(EXTRATO!$A$2:$A$3000,$A2803,EXTRATO!$L$2:$L$3000)+SUMIF(EXTRATO!$A$2:$A$3000,$A2803,EXTRATO!$M$2:$M$3000))</f>
        <v/>
      </c>
      <c r="G2803" s="81" t="str">
        <f>IF(A2803="","",IF(INDEX(EXTRATO!$G$2:$G$3000,MATCH($A2803,EXTRATO!$A$2:$A$3000,0))="","",INDEX(EXTRATO!$G$2:$G$3000,MATCH($A2803,EXTRATO!$A$2:$A$3000,0))))</f>
        <v/>
      </c>
      <c r="H2803" s="86" t="str">
        <f>IF(A2803="","",IF(INDEX(EXTRATO!$F$2:$F$3000,MATCH($A2803,EXTRATO!$A$2:$A$3000,0))="","",INDEX(EXTRATO!$F$2:$F$3000,MATCH($A2803,EXTRATO!$A$2:$A$3000,0))))</f>
        <v/>
      </c>
      <c r="I2803" s="88" t="str">
        <f>IF(A2803="","",IF(INDEX(EXTRATO!$H$2:$H$3000,MATCH($A2803,EXTRATO!$A$2:$A$3000,0))="","",INDEX(EXTRATO!$H$2:$H$3000,MATCH($A2803,EXTRATO!$A$2:$A$3000,0))))</f>
        <v/>
      </c>
      <c r="J2803" s="86" t="str">
        <f t="shared" si="75"/>
        <v/>
      </c>
      <c r="K2803" s="86" t="str">
        <f>IF(AND(A2803="",D2803="",E2803="",F2803=""),"",IF(D2803="","SEM CATEGORIA",IF(E2803="","SEM SUBCATEGORIA",IF(COUNTIFS(CADASTROS!$L$7:$L$93,D2803,CADASTROS!$D$7:$D$93,E2803)=0,"INCOMPATÍVEL","OK"))))</f>
        <v/>
      </c>
    </row>
    <row r="2804" spans="1:11" ht="30" hidden="1" customHeight="1" x14ac:dyDescent="0.25">
      <c r="A2804" s="86" t="str">
        <f>IF(COUNTIF(EXTRATO!$A$2:$A$3000,"BAN-02661")=0,"","BAN-02661")</f>
        <v/>
      </c>
      <c r="B2804" s="85" t="str">
        <f>IF(A2804="","",IF(INDEX(EXTRATO!$C$2:$C$3000,MATCH($A2804,EXTRATO!$A$2:$A$3000,0))="","",INDEX(EXTRATO!$C$2:$C$3000,MATCH($A2804,EXTRATO!$A$2:$A$3000,0))))</f>
        <v/>
      </c>
      <c r="C2804" s="86" t="str">
        <f t="shared" si="74"/>
        <v/>
      </c>
      <c r="D2804" s="81"/>
      <c r="E2804" s="79"/>
      <c r="F2804" s="80" t="str">
        <f>IF(A2804="","",SUMIF(EXTRATO!$A$2:$A$3000,$A2804,EXTRATO!$J$2:$J$3000)+SUMIF(EXTRATO!$A$2:$A$3000,$A2804,EXTRATO!$K$2:$K$3000)+SUMIF(EXTRATO!$A$2:$A$3000,$A2804,EXTRATO!$L$2:$L$3000)+SUMIF(EXTRATO!$A$2:$A$3000,$A2804,EXTRATO!$M$2:$M$3000))</f>
        <v/>
      </c>
      <c r="G2804" s="81" t="str">
        <f>IF(A2804="","",IF(INDEX(EXTRATO!$G$2:$G$3000,MATCH($A2804,EXTRATO!$A$2:$A$3000,0))="","",INDEX(EXTRATO!$G$2:$G$3000,MATCH($A2804,EXTRATO!$A$2:$A$3000,0))))</f>
        <v/>
      </c>
      <c r="H2804" s="86" t="str">
        <f>IF(A2804="","",IF(INDEX(EXTRATO!$F$2:$F$3000,MATCH($A2804,EXTRATO!$A$2:$A$3000,0))="","",INDEX(EXTRATO!$F$2:$F$3000,MATCH($A2804,EXTRATO!$A$2:$A$3000,0))))</f>
        <v/>
      </c>
      <c r="I2804" s="88" t="str">
        <f>IF(A2804="","",IF(INDEX(EXTRATO!$H$2:$H$3000,MATCH($A2804,EXTRATO!$A$2:$A$3000,0))="","",INDEX(EXTRATO!$H$2:$H$3000,MATCH($A2804,EXTRATO!$A$2:$A$3000,0))))</f>
        <v/>
      </c>
      <c r="J2804" s="86" t="str">
        <f t="shared" si="75"/>
        <v/>
      </c>
      <c r="K2804" s="86" t="str">
        <f>IF(AND(A2804="",D2804="",E2804="",F2804=""),"",IF(D2804="","SEM CATEGORIA",IF(E2804="","SEM SUBCATEGORIA",IF(COUNTIFS(CADASTROS!$L$7:$L$93,D2804,CADASTROS!$D$7:$D$93,E2804)=0,"INCOMPATÍVEL","OK"))))</f>
        <v/>
      </c>
    </row>
    <row r="2805" spans="1:11" ht="30" hidden="1" customHeight="1" x14ac:dyDescent="0.25">
      <c r="A2805" s="86" t="str">
        <f>IF(COUNTIF(EXTRATO!$A$2:$A$3000,"BAN-02662")=0,"","BAN-02662")</f>
        <v/>
      </c>
      <c r="B2805" s="85" t="str">
        <f>IF(A2805="","",IF(INDEX(EXTRATO!$C$2:$C$3000,MATCH($A2805,EXTRATO!$A$2:$A$3000,0))="","",INDEX(EXTRATO!$C$2:$C$3000,MATCH($A2805,EXTRATO!$A$2:$A$3000,0))))</f>
        <v/>
      </c>
      <c r="C2805" s="86" t="str">
        <f t="shared" si="74"/>
        <v/>
      </c>
      <c r="D2805" s="81"/>
      <c r="E2805" s="79"/>
      <c r="F2805" s="80" t="str">
        <f>IF(A2805="","",SUMIF(EXTRATO!$A$2:$A$3000,$A2805,EXTRATO!$J$2:$J$3000)+SUMIF(EXTRATO!$A$2:$A$3000,$A2805,EXTRATO!$K$2:$K$3000)+SUMIF(EXTRATO!$A$2:$A$3000,$A2805,EXTRATO!$L$2:$L$3000)+SUMIF(EXTRATO!$A$2:$A$3000,$A2805,EXTRATO!$M$2:$M$3000))</f>
        <v/>
      </c>
      <c r="G2805" s="81" t="str">
        <f>IF(A2805="","",IF(INDEX(EXTRATO!$G$2:$G$3000,MATCH($A2805,EXTRATO!$A$2:$A$3000,0))="","",INDEX(EXTRATO!$G$2:$G$3000,MATCH($A2805,EXTRATO!$A$2:$A$3000,0))))</f>
        <v/>
      </c>
      <c r="H2805" s="86" t="str">
        <f>IF(A2805="","",IF(INDEX(EXTRATO!$F$2:$F$3000,MATCH($A2805,EXTRATO!$A$2:$A$3000,0))="","",INDEX(EXTRATO!$F$2:$F$3000,MATCH($A2805,EXTRATO!$A$2:$A$3000,0))))</f>
        <v/>
      </c>
      <c r="I2805" s="88" t="str">
        <f>IF(A2805="","",IF(INDEX(EXTRATO!$H$2:$H$3000,MATCH($A2805,EXTRATO!$A$2:$A$3000,0))="","",INDEX(EXTRATO!$H$2:$H$3000,MATCH($A2805,EXTRATO!$A$2:$A$3000,0))))</f>
        <v/>
      </c>
      <c r="J2805" s="86" t="str">
        <f t="shared" si="75"/>
        <v/>
      </c>
      <c r="K2805" s="86" t="str">
        <f>IF(AND(A2805="",D2805="",E2805="",F2805=""),"",IF(D2805="","SEM CATEGORIA",IF(E2805="","SEM SUBCATEGORIA",IF(COUNTIFS(CADASTROS!$L$7:$L$93,D2805,CADASTROS!$D$7:$D$93,E2805)=0,"INCOMPATÍVEL","OK"))))</f>
        <v/>
      </c>
    </row>
    <row r="2806" spans="1:11" ht="30" hidden="1" customHeight="1" x14ac:dyDescent="0.25">
      <c r="A2806" s="86" t="str">
        <f>IF(COUNTIF(EXTRATO!$A$2:$A$3000,"BAN-02663")=0,"","BAN-02663")</f>
        <v/>
      </c>
      <c r="B2806" s="85" t="str">
        <f>IF(A2806="","",IF(INDEX(EXTRATO!$C$2:$C$3000,MATCH($A2806,EXTRATO!$A$2:$A$3000,0))="","",INDEX(EXTRATO!$C$2:$C$3000,MATCH($A2806,EXTRATO!$A$2:$A$3000,0))))</f>
        <v/>
      </c>
      <c r="C2806" s="86" t="str">
        <f t="shared" si="74"/>
        <v/>
      </c>
      <c r="D2806" s="81"/>
      <c r="E2806" s="79"/>
      <c r="F2806" s="80" t="str">
        <f>IF(A2806="","",SUMIF(EXTRATO!$A$2:$A$3000,$A2806,EXTRATO!$J$2:$J$3000)+SUMIF(EXTRATO!$A$2:$A$3000,$A2806,EXTRATO!$K$2:$K$3000)+SUMIF(EXTRATO!$A$2:$A$3000,$A2806,EXTRATO!$L$2:$L$3000)+SUMIF(EXTRATO!$A$2:$A$3000,$A2806,EXTRATO!$M$2:$M$3000))</f>
        <v/>
      </c>
      <c r="G2806" s="81" t="str">
        <f>IF(A2806="","",IF(INDEX(EXTRATO!$G$2:$G$3000,MATCH($A2806,EXTRATO!$A$2:$A$3000,0))="","",INDEX(EXTRATO!$G$2:$G$3000,MATCH($A2806,EXTRATO!$A$2:$A$3000,0))))</f>
        <v/>
      </c>
      <c r="H2806" s="86" t="str">
        <f>IF(A2806="","",IF(INDEX(EXTRATO!$F$2:$F$3000,MATCH($A2806,EXTRATO!$A$2:$A$3000,0))="","",INDEX(EXTRATO!$F$2:$F$3000,MATCH($A2806,EXTRATO!$A$2:$A$3000,0))))</f>
        <v/>
      </c>
      <c r="I2806" s="88" t="str">
        <f>IF(A2806="","",IF(INDEX(EXTRATO!$H$2:$H$3000,MATCH($A2806,EXTRATO!$A$2:$A$3000,0))="","",INDEX(EXTRATO!$H$2:$H$3000,MATCH($A2806,EXTRATO!$A$2:$A$3000,0))))</f>
        <v/>
      </c>
      <c r="J2806" s="86" t="str">
        <f t="shared" si="75"/>
        <v/>
      </c>
      <c r="K2806" s="86" t="str">
        <f>IF(AND(A2806="",D2806="",E2806="",F2806=""),"",IF(D2806="","SEM CATEGORIA",IF(E2806="","SEM SUBCATEGORIA",IF(COUNTIFS(CADASTROS!$L$7:$L$93,D2806,CADASTROS!$D$7:$D$93,E2806)=0,"INCOMPATÍVEL","OK"))))</f>
        <v/>
      </c>
    </row>
    <row r="2807" spans="1:11" ht="30" hidden="1" customHeight="1" x14ac:dyDescent="0.25">
      <c r="A2807" s="86" t="str">
        <f>IF(COUNTIF(EXTRATO!$A$2:$A$3000,"BAN-02664")=0,"","BAN-02664")</f>
        <v/>
      </c>
      <c r="B2807" s="85" t="str">
        <f>IF(A2807="","",IF(INDEX(EXTRATO!$C$2:$C$3000,MATCH($A2807,EXTRATO!$A$2:$A$3000,0))="","",INDEX(EXTRATO!$C$2:$C$3000,MATCH($A2807,EXTRATO!$A$2:$A$3000,0))))</f>
        <v/>
      </c>
      <c r="C2807" s="86" t="str">
        <f t="shared" si="74"/>
        <v/>
      </c>
      <c r="D2807" s="81"/>
      <c r="E2807" s="79"/>
      <c r="F2807" s="80" t="str">
        <f>IF(A2807="","",SUMIF(EXTRATO!$A$2:$A$3000,$A2807,EXTRATO!$J$2:$J$3000)+SUMIF(EXTRATO!$A$2:$A$3000,$A2807,EXTRATO!$K$2:$K$3000)+SUMIF(EXTRATO!$A$2:$A$3000,$A2807,EXTRATO!$L$2:$L$3000)+SUMIF(EXTRATO!$A$2:$A$3000,$A2807,EXTRATO!$M$2:$M$3000))</f>
        <v/>
      </c>
      <c r="G2807" s="81" t="str">
        <f>IF(A2807="","",IF(INDEX(EXTRATO!$G$2:$G$3000,MATCH($A2807,EXTRATO!$A$2:$A$3000,0))="","",INDEX(EXTRATO!$G$2:$G$3000,MATCH($A2807,EXTRATO!$A$2:$A$3000,0))))</f>
        <v/>
      </c>
      <c r="H2807" s="86" t="str">
        <f>IF(A2807="","",IF(INDEX(EXTRATO!$F$2:$F$3000,MATCH($A2807,EXTRATO!$A$2:$A$3000,0))="","",INDEX(EXTRATO!$F$2:$F$3000,MATCH($A2807,EXTRATO!$A$2:$A$3000,0))))</f>
        <v/>
      </c>
      <c r="I2807" s="88" t="str">
        <f>IF(A2807="","",IF(INDEX(EXTRATO!$H$2:$H$3000,MATCH($A2807,EXTRATO!$A$2:$A$3000,0))="","",INDEX(EXTRATO!$H$2:$H$3000,MATCH($A2807,EXTRATO!$A$2:$A$3000,0))))</f>
        <v/>
      </c>
      <c r="J2807" s="86" t="str">
        <f t="shared" si="75"/>
        <v/>
      </c>
      <c r="K2807" s="86" t="str">
        <f>IF(AND(A2807="",D2807="",E2807="",F2807=""),"",IF(D2807="","SEM CATEGORIA",IF(E2807="","SEM SUBCATEGORIA",IF(COUNTIFS(CADASTROS!$L$7:$L$93,D2807,CADASTROS!$D$7:$D$93,E2807)=0,"INCOMPATÍVEL","OK"))))</f>
        <v/>
      </c>
    </row>
    <row r="2808" spans="1:11" ht="30" hidden="1" customHeight="1" x14ac:dyDescent="0.25">
      <c r="A2808" s="86" t="str">
        <f>IF(COUNTIF(EXTRATO!$A$2:$A$3000,"BAN-02665")=0,"","BAN-02665")</f>
        <v/>
      </c>
      <c r="B2808" s="85" t="str">
        <f>IF(A2808="","",IF(INDEX(EXTRATO!$C$2:$C$3000,MATCH($A2808,EXTRATO!$A$2:$A$3000,0))="","",INDEX(EXTRATO!$C$2:$C$3000,MATCH($A2808,EXTRATO!$A$2:$A$3000,0))))</f>
        <v/>
      </c>
      <c r="C2808" s="86" t="str">
        <f t="shared" si="74"/>
        <v/>
      </c>
      <c r="D2808" s="81"/>
      <c r="E2808" s="79"/>
      <c r="F2808" s="80" t="str">
        <f>IF(A2808="","",SUMIF(EXTRATO!$A$2:$A$3000,$A2808,EXTRATO!$J$2:$J$3000)+SUMIF(EXTRATO!$A$2:$A$3000,$A2808,EXTRATO!$K$2:$K$3000)+SUMIF(EXTRATO!$A$2:$A$3000,$A2808,EXTRATO!$L$2:$L$3000)+SUMIF(EXTRATO!$A$2:$A$3000,$A2808,EXTRATO!$M$2:$M$3000))</f>
        <v/>
      </c>
      <c r="G2808" s="81" t="str">
        <f>IF(A2808="","",IF(INDEX(EXTRATO!$G$2:$G$3000,MATCH($A2808,EXTRATO!$A$2:$A$3000,0))="","",INDEX(EXTRATO!$G$2:$G$3000,MATCH($A2808,EXTRATO!$A$2:$A$3000,0))))</f>
        <v/>
      </c>
      <c r="H2808" s="86" t="str">
        <f>IF(A2808="","",IF(INDEX(EXTRATO!$F$2:$F$3000,MATCH($A2808,EXTRATO!$A$2:$A$3000,0))="","",INDEX(EXTRATO!$F$2:$F$3000,MATCH($A2808,EXTRATO!$A$2:$A$3000,0))))</f>
        <v/>
      </c>
      <c r="I2808" s="88" t="str">
        <f>IF(A2808="","",IF(INDEX(EXTRATO!$H$2:$H$3000,MATCH($A2808,EXTRATO!$A$2:$A$3000,0))="","",INDEX(EXTRATO!$H$2:$H$3000,MATCH($A2808,EXTRATO!$A$2:$A$3000,0))))</f>
        <v/>
      </c>
      <c r="J2808" s="86" t="str">
        <f t="shared" si="75"/>
        <v/>
      </c>
      <c r="K2808" s="86" t="str">
        <f>IF(AND(A2808="",D2808="",E2808="",F2808=""),"",IF(D2808="","SEM CATEGORIA",IF(E2808="","SEM SUBCATEGORIA",IF(COUNTIFS(CADASTROS!$L$7:$L$93,D2808,CADASTROS!$D$7:$D$93,E2808)=0,"INCOMPATÍVEL","OK"))))</f>
        <v/>
      </c>
    </row>
    <row r="2809" spans="1:11" ht="30" hidden="1" customHeight="1" x14ac:dyDescent="0.25">
      <c r="A2809" s="86" t="str">
        <f>IF(COUNTIF(EXTRATO!$A$2:$A$3000,"BAN-02666")=0,"","BAN-02666")</f>
        <v/>
      </c>
      <c r="B2809" s="85" t="str">
        <f>IF(A2809="","",IF(INDEX(EXTRATO!$C$2:$C$3000,MATCH($A2809,EXTRATO!$A$2:$A$3000,0))="","",INDEX(EXTRATO!$C$2:$C$3000,MATCH($A2809,EXTRATO!$A$2:$A$3000,0))))</f>
        <v/>
      </c>
      <c r="C2809" s="86" t="str">
        <f t="shared" si="74"/>
        <v/>
      </c>
      <c r="D2809" s="81"/>
      <c r="E2809" s="79"/>
      <c r="F2809" s="80" t="str">
        <f>IF(A2809="","",SUMIF(EXTRATO!$A$2:$A$3000,$A2809,EXTRATO!$J$2:$J$3000)+SUMIF(EXTRATO!$A$2:$A$3000,$A2809,EXTRATO!$K$2:$K$3000)+SUMIF(EXTRATO!$A$2:$A$3000,$A2809,EXTRATO!$L$2:$L$3000)+SUMIF(EXTRATO!$A$2:$A$3000,$A2809,EXTRATO!$M$2:$M$3000))</f>
        <v/>
      </c>
      <c r="G2809" s="81" t="str">
        <f>IF(A2809="","",IF(INDEX(EXTRATO!$G$2:$G$3000,MATCH($A2809,EXTRATO!$A$2:$A$3000,0))="","",INDEX(EXTRATO!$G$2:$G$3000,MATCH($A2809,EXTRATO!$A$2:$A$3000,0))))</f>
        <v/>
      </c>
      <c r="H2809" s="86" t="str">
        <f>IF(A2809="","",IF(INDEX(EXTRATO!$F$2:$F$3000,MATCH($A2809,EXTRATO!$A$2:$A$3000,0))="","",INDEX(EXTRATO!$F$2:$F$3000,MATCH($A2809,EXTRATO!$A$2:$A$3000,0))))</f>
        <v/>
      </c>
      <c r="I2809" s="88" t="str">
        <f>IF(A2809="","",IF(INDEX(EXTRATO!$H$2:$H$3000,MATCH($A2809,EXTRATO!$A$2:$A$3000,0))="","",INDEX(EXTRATO!$H$2:$H$3000,MATCH($A2809,EXTRATO!$A$2:$A$3000,0))))</f>
        <v/>
      </c>
      <c r="J2809" s="86" t="str">
        <f t="shared" si="75"/>
        <v/>
      </c>
      <c r="K2809" s="86" t="str">
        <f>IF(AND(A2809="",D2809="",E2809="",F2809=""),"",IF(D2809="","SEM CATEGORIA",IF(E2809="","SEM SUBCATEGORIA",IF(COUNTIFS(CADASTROS!$L$7:$L$93,D2809,CADASTROS!$D$7:$D$93,E2809)=0,"INCOMPATÍVEL","OK"))))</f>
        <v/>
      </c>
    </row>
    <row r="2810" spans="1:11" ht="30" hidden="1" customHeight="1" x14ac:dyDescent="0.25">
      <c r="A2810" s="86" t="str">
        <f>IF(COUNTIF(EXTRATO!$A$2:$A$3000,"BAN-02667")=0,"","BAN-02667")</f>
        <v/>
      </c>
      <c r="B2810" s="85" t="str">
        <f>IF(A2810="","",IF(INDEX(EXTRATO!$C$2:$C$3000,MATCH($A2810,EXTRATO!$A$2:$A$3000,0))="","",INDEX(EXTRATO!$C$2:$C$3000,MATCH($A2810,EXTRATO!$A$2:$A$3000,0))))</f>
        <v/>
      </c>
      <c r="C2810" s="86" t="str">
        <f t="shared" si="74"/>
        <v/>
      </c>
      <c r="D2810" s="81"/>
      <c r="E2810" s="79"/>
      <c r="F2810" s="80" t="str">
        <f>IF(A2810="","",SUMIF(EXTRATO!$A$2:$A$3000,$A2810,EXTRATO!$J$2:$J$3000)+SUMIF(EXTRATO!$A$2:$A$3000,$A2810,EXTRATO!$K$2:$K$3000)+SUMIF(EXTRATO!$A$2:$A$3000,$A2810,EXTRATO!$L$2:$L$3000)+SUMIF(EXTRATO!$A$2:$A$3000,$A2810,EXTRATO!$M$2:$M$3000))</f>
        <v/>
      </c>
      <c r="G2810" s="81" t="str">
        <f>IF(A2810="","",IF(INDEX(EXTRATO!$G$2:$G$3000,MATCH($A2810,EXTRATO!$A$2:$A$3000,0))="","",INDEX(EXTRATO!$G$2:$G$3000,MATCH($A2810,EXTRATO!$A$2:$A$3000,0))))</f>
        <v/>
      </c>
      <c r="H2810" s="86" t="str">
        <f>IF(A2810="","",IF(INDEX(EXTRATO!$F$2:$F$3000,MATCH($A2810,EXTRATO!$A$2:$A$3000,0))="","",INDEX(EXTRATO!$F$2:$F$3000,MATCH($A2810,EXTRATO!$A$2:$A$3000,0))))</f>
        <v/>
      </c>
      <c r="I2810" s="88" t="str">
        <f>IF(A2810="","",IF(INDEX(EXTRATO!$H$2:$H$3000,MATCH($A2810,EXTRATO!$A$2:$A$3000,0))="","",INDEX(EXTRATO!$H$2:$H$3000,MATCH($A2810,EXTRATO!$A$2:$A$3000,0))))</f>
        <v/>
      </c>
      <c r="J2810" s="86" t="str">
        <f t="shared" si="75"/>
        <v/>
      </c>
      <c r="K2810" s="86" t="str">
        <f>IF(AND(A2810="",D2810="",E2810="",F2810=""),"",IF(D2810="","SEM CATEGORIA",IF(E2810="","SEM SUBCATEGORIA",IF(COUNTIFS(CADASTROS!$L$7:$L$93,D2810,CADASTROS!$D$7:$D$93,E2810)=0,"INCOMPATÍVEL","OK"))))</f>
        <v/>
      </c>
    </row>
    <row r="2811" spans="1:11" ht="30" hidden="1" customHeight="1" x14ac:dyDescent="0.25">
      <c r="A2811" s="86" t="str">
        <f>IF(COUNTIF(EXTRATO!$A$2:$A$3000,"BAN-02668")=0,"","BAN-02668")</f>
        <v/>
      </c>
      <c r="B2811" s="85" t="str">
        <f>IF(A2811="","",IF(INDEX(EXTRATO!$C$2:$C$3000,MATCH($A2811,EXTRATO!$A$2:$A$3000,0))="","",INDEX(EXTRATO!$C$2:$C$3000,MATCH($A2811,EXTRATO!$A$2:$A$3000,0))))</f>
        <v/>
      </c>
      <c r="C2811" s="86" t="str">
        <f t="shared" si="74"/>
        <v/>
      </c>
      <c r="D2811" s="81"/>
      <c r="E2811" s="79"/>
      <c r="F2811" s="80" t="str">
        <f>IF(A2811="","",SUMIF(EXTRATO!$A$2:$A$3000,$A2811,EXTRATO!$J$2:$J$3000)+SUMIF(EXTRATO!$A$2:$A$3000,$A2811,EXTRATO!$K$2:$K$3000)+SUMIF(EXTRATO!$A$2:$A$3000,$A2811,EXTRATO!$L$2:$L$3000)+SUMIF(EXTRATO!$A$2:$A$3000,$A2811,EXTRATO!$M$2:$M$3000))</f>
        <v/>
      </c>
      <c r="G2811" s="81" t="str">
        <f>IF(A2811="","",IF(INDEX(EXTRATO!$G$2:$G$3000,MATCH($A2811,EXTRATO!$A$2:$A$3000,0))="","",INDEX(EXTRATO!$G$2:$G$3000,MATCH($A2811,EXTRATO!$A$2:$A$3000,0))))</f>
        <v/>
      </c>
      <c r="H2811" s="86" t="str">
        <f>IF(A2811="","",IF(INDEX(EXTRATO!$F$2:$F$3000,MATCH($A2811,EXTRATO!$A$2:$A$3000,0))="","",INDEX(EXTRATO!$F$2:$F$3000,MATCH($A2811,EXTRATO!$A$2:$A$3000,0))))</f>
        <v/>
      </c>
      <c r="I2811" s="88" t="str">
        <f>IF(A2811="","",IF(INDEX(EXTRATO!$H$2:$H$3000,MATCH($A2811,EXTRATO!$A$2:$A$3000,0))="","",INDEX(EXTRATO!$H$2:$H$3000,MATCH($A2811,EXTRATO!$A$2:$A$3000,0))))</f>
        <v/>
      </c>
      <c r="J2811" s="86" t="str">
        <f t="shared" si="75"/>
        <v/>
      </c>
      <c r="K2811" s="86" t="str">
        <f>IF(AND(A2811="",D2811="",E2811="",F2811=""),"",IF(D2811="","SEM CATEGORIA",IF(E2811="","SEM SUBCATEGORIA",IF(COUNTIFS(CADASTROS!$L$7:$L$93,D2811,CADASTROS!$D$7:$D$93,E2811)=0,"INCOMPATÍVEL","OK"))))</f>
        <v/>
      </c>
    </row>
    <row r="2812" spans="1:11" ht="30" hidden="1" customHeight="1" x14ac:dyDescent="0.25">
      <c r="A2812" s="86" t="str">
        <f>IF(COUNTIF(EXTRATO!$A$2:$A$3000,"BAN-02669")=0,"","BAN-02669")</f>
        <v/>
      </c>
      <c r="B2812" s="85" t="str">
        <f>IF(A2812="","",IF(INDEX(EXTRATO!$C$2:$C$3000,MATCH($A2812,EXTRATO!$A$2:$A$3000,0))="","",INDEX(EXTRATO!$C$2:$C$3000,MATCH($A2812,EXTRATO!$A$2:$A$3000,0))))</f>
        <v/>
      </c>
      <c r="C2812" s="86" t="str">
        <f t="shared" si="74"/>
        <v/>
      </c>
      <c r="D2812" s="81"/>
      <c r="E2812" s="79"/>
      <c r="F2812" s="80" t="str">
        <f>IF(A2812="","",SUMIF(EXTRATO!$A$2:$A$3000,$A2812,EXTRATO!$J$2:$J$3000)+SUMIF(EXTRATO!$A$2:$A$3000,$A2812,EXTRATO!$K$2:$K$3000)+SUMIF(EXTRATO!$A$2:$A$3000,$A2812,EXTRATO!$L$2:$L$3000)+SUMIF(EXTRATO!$A$2:$A$3000,$A2812,EXTRATO!$M$2:$M$3000))</f>
        <v/>
      </c>
      <c r="G2812" s="81" t="str">
        <f>IF(A2812="","",IF(INDEX(EXTRATO!$G$2:$G$3000,MATCH($A2812,EXTRATO!$A$2:$A$3000,0))="","",INDEX(EXTRATO!$G$2:$G$3000,MATCH($A2812,EXTRATO!$A$2:$A$3000,0))))</f>
        <v/>
      </c>
      <c r="H2812" s="86" t="str">
        <f>IF(A2812="","",IF(INDEX(EXTRATO!$F$2:$F$3000,MATCH($A2812,EXTRATO!$A$2:$A$3000,0))="","",INDEX(EXTRATO!$F$2:$F$3000,MATCH($A2812,EXTRATO!$A$2:$A$3000,0))))</f>
        <v/>
      </c>
      <c r="I2812" s="88" t="str">
        <f>IF(A2812="","",IF(INDEX(EXTRATO!$H$2:$H$3000,MATCH($A2812,EXTRATO!$A$2:$A$3000,0))="","",INDEX(EXTRATO!$H$2:$H$3000,MATCH($A2812,EXTRATO!$A$2:$A$3000,0))))</f>
        <v/>
      </c>
      <c r="J2812" s="86" t="str">
        <f t="shared" si="75"/>
        <v/>
      </c>
      <c r="K2812" s="86" t="str">
        <f>IF(AND(A2812="",D2812="",E2812="",F2812=""),"",IF(D2812="","SEM CATEGORIA",IF(E2812="","SEM SUBCATEGORIA",IF(COUNTIFS(CADASTROS!$L$7:$L$93,D2812,CADASTROS!$D$7:$D$93,E2812)=0,"INCOMPATÍVEL","OK"))))</f>
        <v/>
      </c>
    </row>
    <row r="2813" spans="1:11" ht="30" hidden="1" customHeight="1" x14ac:dyDescent="0.25">
      <c r="A2813" s="86" t="str">
        <f>IF(COUNTIF(EXTRATO!$A$2:$A$3000,"BAN-02670")=0,"","BAN-02670")</f>
        <v/>
      </c>
      <c r="B2813" s="85" t="str">
        <f>IF(A2813="","",IF(INDEX(EXTRATO!$C$2:$C$3000,MATCH($A2813,EXTRATO!$A$2:$A$3000,0))="","",INDEX(EXTRATO!$C$2:$C$3000,MATCH($A2813,EXTRATO!$A$2:$A$3000,0))))</f>
        <v/>
      </c>
      <c r="C2813" s="86" t="str">
        <f t="shared" si="74"/>
        <v/>
      </c>
      <c r="D2813" s="81"/>
      <c r="E2813" s="79"/>
      <c r="F2813" s="80" t="str">
        <f>IF(A2813="","",SUMIF(EXTRATO!$A$2:$A$3000,$A2813,EXTRATO!$J$2:$J$3000)+SUMIF(EXTRATO!$A$2:$A$3000,$A2813,EXTRATO!$K$2:$K$3000)+SUMIF(EXTRATO!$A$2:$A$3000,$A2813,EXTRATO!$L$2:$L$3000)+SUMIF(EXTRATO!$A$2:$A$3000,$A2813,EXTRATO!$M$2:$M$3000))</f>
        <v/>
      </c>
      <c r="G2813" s="81" t="str">
        <f>IF(A2813="","",IF(INDEX(EXTRATO!$G$2:$G$3000,MATCH($A2813,EXTRATO!$A$2:$A$3000,0))="","",INDEX(EXTRATO!$G$2:$G$3000,MATCH($A2813,EXTRATO!$A$2:$A$3000,0))))</f>
        <v/>
      </c>
      <c r="H2813" s="86" t="str">
        <f>IF(A2813="","",IF(INDEX(EXTRATO!$F$2:$F$3000,MATCH($A2813,EXTRATO!$A$2:$A$3000,0))="","",INDEX(EXTRATO!$F$2:$F$3000,MATCH($A2813,EXTRATO!$A$2:$A$3000,0))))</f>
        <v/>
      </c>
      <c r="I2813" s="88" t="str">
        <f>IF(A2813="","",IF(INDEX(EXTRATO!$H$2:$H$3000,MATCH($A2813,EXTRATO!$A$2:$A$3000,0))="","",INDEX(EXTRATO!$H$2:$H$3000,MATCH($A2813,EXTRATO!$A$2:$A$3000,0))))</f>
        <v/>
      </c>
      <c r="J2813" s="86" t="str">
        <f t="shared" si="75"/>
        <v/>
      </c>
      <c r="K2813" s="86" t="str">
        <f>IF(AND(A2813="",D2813="",E2813="",F2813=""),"",IF(D2813="","SEM CATEGORIA",IF(E2813="","SEM SUBCATEGORIA",IF(COUNTIFS(CADASTROS!$L$7:$L$93,D2813,CADASTROS!$D$7:$D$93,E2813)=0,"INCOMPATÍVEL","OK"))))</f>
        <v/>
      </c>
    </row>
    <row r="2814" spans="1:11" ht="30" hidden="1" customHeight="1" x14ac:dyDescent="0.25">
      <c r="A2814" s="86" t="str">
        <f>IF(COUNTIF(EXTRATO!$A$2:$A$3000,"BAN-02671")=0,"","BAN-02671")</f>
        <v/>
      </c>
      <c r="B2814" s="85" t="str">
        <f>IF(A2814="","",IF(INDEX(EXTRATO!$C$2:$C$3000,MATCH($A2814,EXTRATO!$A$2:$A$3000,0))="","",INDEX(EXTRATO!$C$2:$C$3000,MATCH($A2814,EXTRATO!$A$2:$A$3000,0))))</f>
        <v/>
      </c>
      <c r="C2814" s="86" t="str">
        <f t="shared" si="74"/>
        <v/>
      </c>
      <c r="D2814" s="81"/>
      <c r="E2814" s="79"/>
      <c r="F2814" s="80" t="str">
        <f>IF(A2814="","",SUMIF(EXTRATO!$A$2:$A$3000,$A2814,EXTRATO!$J$2:$J$3000)+SUMIF(EXTRATO!$A$2:$A$3000,$A2814,EXTRATO!$K$2:$K$3000)+SUMIF(EXTRATO!$A$2:$A$3000,$A2814,EXTRATO!$L$2:$L$3000)+SUMIF(EXTRATO!$A$2:$A$3000,$A2814,EXTRATO!$M$2:$M$3000))</f>
        <v/>
      </c>
      <c r="G2814" s="81" t="str">
        <f>IF(A2814="","",IF(INDEX(EXTRATO!$G$2:$G$3000,MATCH($A2814,EXTRATO!$A$2:$A$3000,0))="","",INDEX(EXTRATO!$G$2:$G$3000,MATCH($A2814,EXTRATO!$A$2:$A$3000,0))))</f>
        <v/>
      </c>
      <c r="H2814" s="86" t="str">
        <f>IF(A2814="","",IF(INDEX(EXTRATO!$F$2:$F$3000,MATCH($A2814,EXTRATO!$A$2:$A$3000,0))="","",INDEX(EXTRATO!$F$2:$F$3000,MATCH($A2814,EXTRATO!$A$2:$A$3000,0))))</f>
        <v/>
      </c>
      <c r="I2814" s="88" t="str">
        <f>IF(A2814="","",IF(INDEX(EXTRATO!$H$2:$H$3000,MATCH($A2814,EXTRATO!$A$2:$A$3000,0))="","",INDEX(EXTRATO!$H$2:$H$3000,MATCH($A2814,EXTRATO!$A$2:$A$3000,0))))</f>
        <v/>
      </c>
      <c r="J2814" s="86" t="str">
        <f t="shared" si="75"/>
        <v/>
      </c>
      <c r="K2814" s="86" t="str">
        <f>IF(AND(A2814="",D2814="",E2814="",F2814=""),"",IF(D2814="","SEM CATEGORIA",IF(E2814="","SEM SUBCATEGORIA",IF(COUNTIFS(CADASTROS!$L$7:$L$93,D2814,CADASTROS!$D$7:$D$93,E2814)=0,"INCOMPATÍVEL","OK"))))</f>
        <v/>
      </c>
    </row>
    <row r="2815" spans="1:11" ht="30" hidden="1" customHeight="1" x14ac:dyDescent="0.25">
      <c r="A2815" s="86" t="str">
        <f>IF(COUNTIF(EXTRATO!$A$2:$A$3000,"BAN-02672")=0,"","BAN-02672")</f>
        <v/>
      </c>
      <c r="B2815" s="85" t="str">
        <f>IF(A2815="","",IF(INDEX(EXTRATO!$C$2:$C$3000,MATCH($A2815,EXTRATO!$A$2:$A$3000,0))="","",INDEX(EXTRATO!$C$2:$C$3000,MATCH($A2815,EXTRATO!$A$2:$A$3000,0))))</f>
        <v/>
      </c>
      <c r="C2815" s="86" t="str">
        <f t="shared" si="74"/>
        <v/>
      </c>
      <c r="D2815" s="81"/>
      <c r="E2815" s="79"/>
      <c r="F2815" s="80" t="str">
        <f>IF(A2815="","",SUMIF(EXTRATO!$A$2:$A$3000,$A2815,EXTRATO!$J$2:$J$3000)+SUMIF(EXTRATO!$A$2:$A$3000,$A2815,EXTRATO!$K$2:$K$3000)+SUMIF(EXTRATO!$A$2:$A$3000,$A2815,EXTRATO!$L$2:$L$3000)+SUMIF(EXTRATO!$A$2:$A$3000,$A2815,EXTRATO!$M$2:$M$3000))</f>
        <v/>
      </c>
      <c r="G2815" s="81" t="str">
        <f>IF(A2815="","",IF(INDEX(EXTRATO!$G$2:$G$3000,MATCH($A2815,EXTRATO!$A$2:$A$3000,0))="","",INDEX(EXTRATO!$G$2:$G$3000,MATCH($A2815,EXTRATO!$A$2:$A$3000,0))))</f>
        <v/>
      </c>
      <c r="H2815" s="86" t="str">
        <f>IF(A2815="","",IF(INDEX(EXTRATO!$F$2:$F$3000,MATCH($A2815,EXTRATO!$A$2:$A$3000,0))="","",INDEX(EXTRATO!$F$2:$F$3000,MATCH($A2815,EXTRATO!$A$2:$A$3000,0))))</f>
        <v/>
      </c>
      <c r="I2815" s="88" t="str">
        <f>IF(A2815="","",IF(INDEX(EXTRATO!$H$2:$H$3000,MATCH($A2815,EXTRATO!$A$2:$A$3000,0))="","",INDEX(EXTRATO!$H$2:$H$3000,MATCH($A2815,EXTRATO!$A$2:$A$3000,0))))</f>
        <v/>
      </c>
      <c r="J2815" s="86" t="str">
        <f t="shared" si="75"/>
        <v/>
      </c>
      <c r="K2815" s="86" t="str">
        <f>IF(AND(A2815="",D2815="",E2815="",F2815=""),"",IF(D2815="","SEM CATEGORIA",IF(E2815="","SEM SUBCATEGORIA",IF(COUNTIFS(CADASTROS!$L$7:$L$93,D2815,CADASTROS!$D$7:$D$93,E2815)=0,"INCOMPATÍVEL","OK"))))</f>
        <v/>
      </c>
    </row>
    <row r="2816" spans="1:11" ht="30" hidden="1" customHeight="1" x14ac:dyDescent="0.25">
      <c r="A2816" s="86" t="str">
        <f>IF(COUNTIF(EXTRATO!$A$2:$A$3000,"BAN-02673")=0,"","BAN-02673")</f>
        <v/>
      </c>
      <c r="B2816" s="85" t="str">
        <f>IF(A2816="","",IF(INDEX(EXTRATO!$C$2:$C$3000,MATCH($A2816,EXTRATO!$A$2:$A$3000,0))="","",INDEX(EXTRATO!$C$2:$C$3000,MATCH($A2816,EXTRATO!$A$2:$A$3000,0))))</f>
        <v/>
      </c>
      <c r="C2816" s="86" t="str">
        <f t="shared" si="74"/>
        <v/>
      </c>
      <c r="D2816" s="81"/>
      <c r="E2816" s="79"/>
      <c r="F2816" s="80" t="str">
        <f>IF(A2816="","",SUMIF(EXTRATO!$A$2:$A$3000,$A2816,EXTRATO!$J$2:$J$3000)+SUMIF(EXTRATO!$A$2:$A$3000,$A2816,EXTRATO!$K$2:$K$3000)+SUMIF(EXTRATO!$A$2:$A$3000,$A2816,EXTRATO!$L$2:$L$3000)+SUMIF(EXTRATO!$A$2:$A$3000,$A2816,EXTRATO!$M$2:$M$3000))</f>
        <v/>
      </c>
      <c r="G2816" s="81" t="str">
        <f>IF(A2816="","",IF(INDEX(EXTRATO!$G$2:$G$3000,MATCH($A2816,EXTRATO!$A$2:$A$3000,0))="","",INDEX(EXTRATO!$G$2:$G$3000,MATCH($A2816,EXTRATO!$A$2:$A$3000,0))))</f>
        <v/>
      </c>
      <c r="H2816" s="86" t="str">
        <f>IF(A2816="","",IF(INDEX(EXTRATO!$F$2:$F$3000,MATCH($A2816,EXTRATO!$A$2:$A$3000,0))="","",INDEX(EXTRATO!$F$2:$F$3000,MATCH($A2816,EXTRATO!$A$2:$A$3000,0))))</f>
        <v/>
      </c>
      <c r="I2816" s="88" t="str">
        <f>IF(A2816="","",IF(INDEX(EXTRATO!$H$2:$H$3000,MATCH($A2816,EXTRATO!$A$2:$A$3000,0))="","",INDEX(EXTRATO!$H$2:$H$3000,MATCH($A2816,EXTRATO!$A$2:$A$3000,0))))</f>
        <v/>
      </c>
      <c r="J2816" s="86" t="str">
        <f t="shared" si="75"/>
        <v/>
      </c>
      <c r="K2816" s="86" t="str">
        <f>IF(AND(A2816="",D2816="",E2816="",F2816=""),"",IF(D2816="","SEM CATEGORIA",IF(E2816="","SEM SUBCATEGORIA",IF(COUNTIFS(CADASTROS!$L$7:$L$93,D2816,CADASTROS!$D$7:$D$93,E2816)=0,"INCOMPATÍVEL","OK"))))</f>
        <v/>
      </c>
    </row>
    <row r="2817" spans="1:11" ht="30" hidden="1" customHeight="1" x14ac:dyDescent="0.25">
      <c r="A2817" s="86" t="str">
        <f>IF(COUNTIF(EXTRATO!$A$2:$A$3000,"BAN-02674")=0,"","BAN-02674")</f>
        <v/>
      </c>
      <c r="B2817" s="85" t="str">
        <f>IF(A2817="","",IF(INDEX(EXTRATO!$C$2:$C$3000,MATCH($A2817,EXTRATO!$A$2:$A$3000,0))="","",INDEX(EXTRATO!$C$2:$C$3000,MATCH($A2817,EXTRATO!$A$2:$A$3000,0))))</f>
        <v/>
      </c>
      <c r="C2817" s="86" t="str">
        <f t="shared" si="74"/>
        <v/>
      </c>
      <c r="D2817" s="81"/>
      <c r="E2817" s="79"/>
      <c r="F2817" s="80" t="str">
        <f>IF(A2817="","",SUMIF(EXTRATO!$A$2:$A$3000,$A2817,EXTRATO!$J$2:$J$3000)+SUMIF(EXTRATO!$A$2:$A$3000,$A2817,EXTRATO!$K$2:$K$3000)+SUMIF(EXTRATO!$A$2:$A$3000,$A2817,EXTRATO!$L$2:$L$3000)+SUMIF(EXTRATO!$A$2:$A$3000,$A2817,EXTRATO!$M$2:$M$3000))</f>
        <v/>
      </c>
      <c r="G2817" s="81" t="str">
        <f>IF(A2817="","",IF(INDEX(EXTRATO!$G$2:$G$3000,MATCH($A2817,EXTRATO!$A$2:$A$3000,0))="","",INDEX(EXTRATO!$G$2:$G$3000,MATCH($A2817,EXTRATO!$A$2:$A$3000,0))))</f>
        <v/>
      </c>
      <c r="H2817" s="86" t="str">
        <f>IF(A2817="","",IF(INDEX(EXTRATO!$F$2:$F$3000,MATCH($A2817,EXTRATO!$A$2:$A$3000,0))="","",INDEX(EXTRATO!$F$2:$F$3000,MATCH($A2817,EXTRATO!$A$2:$A$3000,0))))</f>
        <v/>
      </c>
      <c r="I2817" s="88" t="str">
        <f>IF(A2817="","",IF(INDEX(EXTRATO!$H$2:$H$3000,MATCH($A2817,EXTRATO!$A$2:$A$3000,0))="","",INDEX(EXTRATO!$H$2:$H$3000,MATCH($A2817,EXTRATO!$A$2:$A$3000,0))))</f>
        <v/>
      </c>
      <c r="J2817" s="86" t="str">
        <f t="shared" si="75"/>
        <v/>
      </c>
      <c r="K2817" s="86" t="str">
        <f>IF(AND(A2817="",D2817="",E2817="",F2817=""),"",IF(D2817="","SEM CATEGORIA",IF(E2817="","SEM SUBCATEGORIA",IF(COUNTIFS(CADASTROS!$L$7:$L$93,D2817,CADASTROS!$D$7:$D$93,E2817)=0,"INCOMPATÍVEL","OK"))))</f>
        <v/>
      </c>
    </row>
    <row r="2818" spans="1:11" ht="30" hidden="1" customHeight="1" x14ac:dyDescent="0.25">
      <c r="A2818" s="86" t="str">
        <f>IF(COUNTIF(EXTRATO!$A$2:$A$3000,"BAN-02675")=0,"","BAN-02675")</f>
        <v/>
      </c>
      <c r="B2818" s="85" t="str">
        <f>IF(A2818="","",IF(INDEX(EXTRATO!$C$2:$C$3000,MATCH($A2818,EXTRATO!$A$2:$A$3000,0))="","",INDEX(EXTRATO!$C$2:$C$3000,MATCH($A2818,EXTRATO!$A$2:$A$3000,0))))</f>
        <v/>
      </c>
      <c r="C2818" s="86" t="str">
        <f t="shared" si="74"/>
        <v/>
      </c>
      <c r="D2818" s="81"/>
      <c r="E2818" s="79"/>
      <c r="F2818" s="80" t="str">
        <f>IF(A2818="","",SUMIF(EXTRATO!$A$2:$A$3000,$A2818,EXTRATO!$J$2:$J$3000)+SUMIF(EXTRATO!$A$2:$A$3000,$A2818,EXTRATO!$K$2:$K$3000)+SUMIF(EXTRATO!$A$2:$A$3000,$A2818,EXTRATO!$L$2:$L$3000)+SUMIF(EXTRATO!$A$2:$A$3000,$A2818,EXTRATO!$M$2:$M$3000))</f>
        <v/>
      </c>
      <c r="G2818" s="81" t="str">
        <f>IF(A2818="","",IF(INDEX(EXTRATO!$G$2:$G$3000,MATCH($A2818,EXTRATO!$A$2:$A$3000,0))="","",INDEX(EXTRATO!$G$2:$G$3000,MATCH($A2818,EXTRATO!$A$2:$A$3000,0))))</f>
        <v/>
      </c>
      <c r="H2818" s="86" t="str">
        <f>IF(A2818="","",IF(INDEX(EXTRATO!$F$2:$F$3000,MATCH($A2818,EXTRATO!$A$2:$A$3000,0))="","",INDEX(EXTRATO!$F$2:$F$3000,MATCH($A2818,EXTRATO!$A$2:$A$3000,0))))</f>
        <v/>
      </c>
      <c r="I2818" s="88" t="str">
        <f>IF(A2818="","",IF(INDEX(EXTRATO!$H$2:$H$3000,MATCH($A2818,EXTRATO!$A$2:$A$3000,0))="","",INDEX(EXTRATO!$H$2:$H$3000,MATCH($A2818,EXTRATO!$A$2:$A$3000,0))))</f>
        <v/>
      </c>
      <c r="J2818" s="86" t="str">
        <f t="shared" si="75"/>
        <v/>
      </c>
      <c r="K2818" s="86" t="str">
        <f>IF(AND(A2818="",D2818="",E2818="",F2818=""),"",IF(D2818="","SEM CATEGORIA",IF(E2818="","SEM SUBCATEGORIA",IF(COUNTIFS(CADASTROS!$L$7:$L$93,D2818,CADASTROS!$D$7:$D$93,E2818)=0,"INCOMPATÍVEL","OK"))))</f>
        <v/>
      </c>
    </row>
    <row r="2819" spans="1:11" ht="30" hidden="1" customHeight="1" x14ac:dyDescent="0.25">
      <c r="A2819" s="86" t="str">
        <f>IF(COUNTIF(EXTRATO!$A$2:$A$3000,"BAN-02676")=0,"","BAN-02676")</f>
        <v/>
      </c>
      <c r="B2819" s="85" t="str">
        <f>IF(A2819="","",IF(INDEX(EXTRATO!$C$2:$C$3000,MATCH($A2819,EXTRATO!$A$2:$A$3000,0))="","",INDEX(EXTRATO!$C$2:$C$3000,MATCH($A2819,EXTRATO!$A$2:$A$3000,0))))</f>
        <v/>
      </c>
      <c r="C2819" s="86" t="str">
        <f t="shared" si="74"/>
        <v/>
      </c>
      <c r="D2819" s="81"/>
      <c r="E2819" s="79"/>
      <c r="F2819" s="80" t="str">
        <f>IF(A2819="","",SUMIF(EXTRATO!$A$2:$A$3000,$A2819,EXTRATO!$J$2:$J$3000)+SUMIF(EXTRATO!$A$2:$A$3000,$A2819,EXTRATO!$K$2:$K$3000)+SUMIF(EXTRATO!$A$2:$A$3000,$A2819,EXTRATO!$L$2:$L$3000)+SUMIF(EXTRATO!$A$2:$A$3000,$A2819,EXTRATO!$M$2:$M$3000))</f>
        <v/>
      </c>
      <c r="G2819" s="81" t="str">
        <f>IF(A2819="","",IF(INDEX(EXTRATO!$G$2:$G$3000,MATCH($A2819,EXTRATO!$A$2:$A$3000,0))="","",INDEX(EXTRATO!$G$2:$G$3000,MATCH($A2819,EXTRATO!$A$2:$A$3000,0))))</f>
        <v/>
      </c>
      <c r="H2819" s="86" t="str">
        <f>IF(A2819="","",IF(INDEX(EXTRATO!$F$2:$F$3000,MATCH($A2819,EXTRATO!$A$2:$A$3000,0))="","",INDEX(EXTRATO!$F$2:$F$3000,MATCH($A2819,EXTRATO!$A$2:$A$3000,0))))</f>
        <v/>
      </c>
      <c r="I2819" s="88" t="str">
        <f>IF(A2819="","",IF(INDEX(EXTRATO!$H$2:$H$3000,MATCH($A2819,EXTRATO!$A$2:$A$3000,0))="","",INDEX(EXTRATO!$H$2:$H$3000,MATCH($A2819,EXTRATO!$A$2:$A$3000,0))))</f>
        <v/>
      </c>
      <c r="J2819" s="86" t="str">
        <f t="shared" si="75"/>
        <v/>
      </c>
      <c r="K2819" s="86" t="str">
        <f>IF(AND(A2819="",D2819="",E2819="",F2819=""),"",IF(D2819="","SEM CATEGORIA",IF(E2819="","SEM SUBCATEGORIA",IF(COUNTIFS(CADASTROS!$L$7:$L$93,D2819,CADASTROS!$D$7:$D$93,E2819)=0,"INCOMPATÍVEL","OK"))))</f>
        <v/>
      </c>
    </row>
    <row r="2820" spans="1:11" ht="30" hidden="1" customHeight="1" x14ac:dyDescent="0.25">
      <c r="A2820" s="86" t="str">
        <f>IF(COUNTIF(EXTRATO!$A$2:$A$3000,"BAN-02677")=0,"","BAN-02677")</f>
        <v/>
      </c>
      <c r="B2820" s="85" t="str">
        <f>IF(A2820="","",IF(INDEX(EXTRATO!$C$2:$C$3000,MATCH($A2820,EXTRATO!$A$2:$A$3000,0))="","",INDEX(EXTRATO!$C$2:$C$3000,MATCH($A2820,EXTRATO!$A$2:$A$3000,0))))</f>
        <v/>
      </c>
      <c r="C2820" s="86" t="str">
        <f t="shared" si="74"/>
        <v/>
      </c>
      <c r="D2820" s="81"/>
      <c r="E2820" s="79"/>
      <c r="F2820" s="80" t="str">
        <f>IF(A2820="","",SUMIF(EXTRATO!$A$2:$A$3000,$A2820,EXTRATO!$J$2:$J$3000)+SUMIF(EXTRATO!$A$2:$A$3000,$A2820,EXTRATO!$K$2:$K$3000)+SUMIF(EXTRATO!$A$2:$A$3000,$A2820,EXTRATO!$L$2:$L$3000)+SUMIF(EXTRATO!$A$2:$A$3000,$A2820,EXTRATO!$M$2:$M$3000))</f>
        <v/>
      </c>
      <c r="G2820" s="81" t="str">
        <f>IF(A2820="","",IF(INDEX(EXTRATO!$G$2:$G$3000,MATCH($A2820,EXTRATO!$A$2:$A$3000,0))="","",INDEX(EXTRATO!$G$2:$G$3000,MATCH($A2820,EXTRATO!$A$2:$A$3000,0))))</f>
        <v/>
      </c>
      <c r="H2820" s="86" t="str">
        <f>IF(A2820="","",IF(INDEX(EXTRATO!$F$2:$F$3000,MATCH($A2820,EXTRATO!$A$2:$A$3000,0))="","",INDEX(EXTRATO!$F$2:$F$3000,MATCH($A2820,EXTRATO!$A$2:$A$3000,0))))</f>
        <v/>
      </c>
      <c r="I2820" s="88" t="str">
        <f>IF(A2820="","",IF(INDEX(EXTRATO!$H$2:$H$3000,MATCH($A2820,EXTRATO!$A$2:$A$3000,0))="","",INDEX(EXTRATO!$H$2:$H$3000,MATCH($A2820,EXTRATO!$A$2:$A$3000,0))))</f>
        <v/>
      </c>
      <c r="J2820" s="86" t="str">
        <f t="shared" si="75"/>
        <v/>
      </c>
      <c r="K2820" s="86" t="str">
        <f>IF(AND(A2820="",D2820="",E2820="",F2820=""),"",IF(D2820="","SEM CATEGORIA",IF(E2820="","SEM SUBCATEGORIA",IF(COUNTIFS(CADASTROS!$L$7:$L$93,D2820,CADASTROS!$D$7:$D$93,E2820)=0,"INCOMPATÍVEL","OK"))))</f>
        <v/>
      </c>
    </row>
    <row r="2821" spans="1:11" ht="30" hidden="1" customHeight="1" x14ac:dyDescent="0.25">
      <c r="A2821" s="86" t="str">
        <f>IF(COUNTIF(EXTRATO!$A$2:$A$3000,"BAN-02678")=0,"","BAN-02678")</f>
        <v/>
      </c>
      <c r="B2821" s="85" t="str">
        <f>IF(A2821="","",IF(INDEX(EXTRATO!$C$2:$C$3000,MATCH($A2821,EXTRATO!$A$2:$A$3000,0))="","",INDEX(EXTRATO!$C$2:$C$3000,MATCH($A2821,EXTRATO!$A$2:$A$3000,0))))</f>
        <v/>
      </c>
      <c r="C2821" s="86" t="str">
        <f t="shared" si="74"/>
        <v/>
      </c>
      <c r="D2821" s="81"/>
      <c r="E2821" s="79"/>
      <c r="F2821" s="80" t="str">
        <f>IF(A2821="","",SUMIF(EXTRATO!$A$2:$A$3000,$A2821,EXTRATO!$J$2:$J$3000)+SUMIF(EXTRATO!$A$2:$A$3000,$A2821,EXTRATO!$K$2:$K$3000)+SUMIF(EXTRATO!$A$2:$A$3000,$A2821,EXTRATO!$L$2:$L$3000)+SUMIF(EXTRATO!$A$2:$A$3000,$A2821,EXTRATO!$M$2:$M$3000))</f>
        <v/>
      </c>
      <c r="G2821" s="81" t="str">
        <f>IF(A2821="","",IF(INDEX(EXTRATO!$G$2:$G$3000,MATCH($A2821,EXTRATO!$A$2:$A$3000,0))="","",INDEX(EXTRATO!$G$2:$G$3000,MATCH($A2821,EXTRATO!$A$2:$A$3000,0))))</f>
        <v/>
      </c>
      <c r="H2821" s="86" t="str">
        <f>IF(A2821="","",IF(INDEX(EXTRATO!$F$2:$F$3000,MATCH($A2821,EXTRATO!$A$2:$A$3000,0))="","",INDEX(EXTRATO!$F$2:$F$3000,MATCH($A2821,EXTRATO!$A$2:$A$3000,0))))</f>
        <v/>
      </c>
      <c r="I2821" s="88" t="str">
        <f>IF(A2821="","",IF(INDEX(EXTRATO!$H$2:$H$3000,MATCH($A2821,EXTRATO!$A$2:$A$3000,0))="","",INDEX(EXTRATO!$H$2:$H$3000,MATCH($A2821,EXTRATO!$A$2:$A$3000,0))))</f>
        <v/>
      </c>
      <c r="J2821" s="86" t="str">
        <f t="shared" si="75"/>
        <v/>
      </c>
      <c r="K2821" s="86" t="str">
        <f>IF(AND(A2821="",D2821="",E2821="",F2821=""),"",IF(D2821="","SEM CATEGORIA",IF(E2821="","SEM SUBCATEGORIA",IF(COUNTIFS(CADASTROS!$L$7:$L$93,D2821,CADASTROS!$D$7:$D$93,E2821)=0,"INCOMPATÍVEL","OK"))))</f>
        <v/>
      </c>
    </row>
    <row r="2822" spans="1:11" ht="30" hidden="1" customHeight="1" x14ac:dyDescent="0.25">
      <c r="A2822" s="86" t="str">
        <f>IF(COUNTIF(EXTRATO!$A$2:$A$3000,"BAN-02679")=0,"","BAN-02679")</f>
        <v/>
      </c>
      <c r="B2822" s="85" t="str">
        <f>IF(A2822="","",IF(INDEX(EXTRATO!$C$2:$C$3000,MATCH($A2822,EXTRATO!$A$2:$A$3000,0))="","",INDEX(EXTRATO!$C$2:$C$3000,MATCH($A2822,EXTRATO!$A$2:$A$3000,0))))</f>
        <v/>
      </c>
      <c r="C2822" s="86" t="str">
        <f t="shared" si="74"/>
        <v/>
      </c>
      <c r="D2822" s="81"/>
      <c r="E2822" s="79"/>
      <c r="F2822" s="80" t="str">
        <f>IF(A2822="","",SUMIF(EXTRATO!$A$2:$A$3000,$A2822,EXTRATO!$J$2:$J$3000)+SUMIF(EXTRATO!$A$2:$A$3000,$A2822,EXTRATO!$K$2:$K$3000)+SUMIF(EXTRATO!$A$2:$A$3000,$A2822,EXTRATO!$L$2:$L$3000)+SUMIF(EXTRATO!$A$2:$A$3000,$A2822,EXTRATO!$M$2:$M$3000))</f>
        <v/>
      </c>
      <c r="G2822" s="81" t="str">
        <f>IF(A2822="","",IF(INDEX(EXTRATO!$G$2:$G$3000,MATCH($A2822,EXTRATO!$A$2:$A$3000,0))="","",INDEX(EXTRATO!$G$2:$G$3000,MATCH($A2822,EXTRATO!$A$2:$A$3000,0))))</f>
        <v/>
      </c>
      <c r="H2822" s="86" t="str">
        <f>IF(A2822="","",IF(INDEX(EXTRATO!$F$2:$F$3000,MATCH($A2822,EXTRATO!$A$2:$A$3000,0))="","",INDEX(EXTRATO!$F$2:$F$3000,MATCH($A2822,EXTRATO!$A$2:$A$3000,0))))</f>
        <v/>
      </c>
      <c r="I2822" s="88" t="str">
        <f>IF(A2822="","",IF(INDEX(EXTRATO!$H$2:$H$3000,MATCH($A2822,EXTRATO!$A$2:$A$3000,0))="","",INDEX(EXTRATO!$H$2:$H$3000,MATCH($A2822,EXTRATO!$A$2:$A$3000,0))))</f>
        <v/>
      </c>
      <c r="J2822" s="86" t="str">
        <f t="shared" si="75"/>
        <v/>
      </c>
      <c r="K2822" s="86" t="str">
        <f>IF(AND(A2822="",D2822="",E2822="",F2822=""),"",IF(D2822="","SEM CATEGORIA",IF(E2822="","SEM SUBCATEGORIA",IF(COUNTIFS(CADASTROS!$L$7:$L$93,D2822,CADASTROS!$D$7:$D$93,E2822)=0,"INCOMPATÍVEL","OK"))))</f>
        <v/>
      </c>
    </row>
    <row r="2823" spans="1:11" ht="30" hidden="1" customHeight="1" x14ac:dyDescent="0.25">
      <c r="A2823" s="86" t="str">
        <f>IF(COUNTIF(EXTRATO!$A$2:$A$3000,"BAN-02680")=0,"","BAN-02680")</f>
        <v/>
      </c>
      <c r="B2823" s="85" t="str">
        <f>IF(A2823="","",IF(INDEX(EXTRATO!$C$2:$C$3000,MATCH($A2823,EXTRATO!$A$2:$A$3000,0))="","",INDEX(EXTRATO!$C$2:$C$3000,MATCH($A2823,EXTRATO!$A$2:$A$3000,0))))</f>
        <v/>
      </c>
      <c r="C2823" s="86" t="str">
        <f t="shared" si="74"/>
        <v/>
      </c>
      <c r="D2823" s="81"/>
      <c r="E2823" s="79"/>
      <c r="F2823" s="80" t="str">
        <f>IF(A2823="","",SUMIF(EXTRATO!$A$2:$A$3000,$A2823,EXTRATO!$J$2:$J$3000)+SUMIF(EXTRATO!$A$2:$A$3000,$A2823,EXTRATO!$K$2:$K$3000)+SUMIF(EXTRATO!$A$2:$A$3000,$A2823,EXTRATO!$L$2:$L$3000)+SUMIF(EXTRATO!$A$2:$A$3000,$A2823,EXTRATO!$M$2:$M$3000))</f>
        <v/>
      </c>
      <c r="G2823" s="81" t="str">
        <f>IF(A2823="","",IF(INDEX(EXTRATO!$G$2:$G$3000,MATCH($A2823,EXTRATO!$A$2:$A$3000,0))="","",INDEX(EXTRATO!$G$2:$G$3000,MATCH($A2823,EXTRATO!$A$2:$A$3000,0))))</f>
        <v/>
      </c>
      <c r="H2823" s="86" t="str">
        <f>IF(A2823="","",IF(INDEX(EXTRATO!$F$2:$F$3000,MATCH($A2823,EXTRATO!$A$2:$A$3000,0))="","",INDEX(EXTRATO!$F$2:$F$3000,MATCH($A2823,EXTRATO!$A$2:$A$3000,0))))</f>
        <v/>
      </c>
      <c r="I2823" s="88" t="str">
        <f>IF(A2823="","",IF(INDEX(EXTRATO!$H$2:$H$3000,MATCH($A2823,EXTRATO!$A$2:$A$3000,0))="","",INDEX(EXTRATO!$H$2:$H$3000,MATCH($A2823,EXTRATO!$A$2:$A$3000,0))))</f>
        <v/>
      </c>
      <c r="J2823" s="86" t="str">
        <f t="shared" si="75"/>
        <v/>
      </c>
      <c r="K2823" s="86" t="str">
        <f>IF(AND(A2823="",D2823="",E2823="",F2823=""),"",IF(D2823="","SEM CATEGORIA",IF(E2823="","SEM SUBCATEGORIA",IF(COUNTIFS(CADASTROS!$L$7:$L$93,D2823,CADASTROS!$D$7:$D$93,E2823)=0,"INCOMPATÍVEL","OK"))))</f>
        <v/>
      </c>
    </row>
    <row r="2824" spans="1:11" ht="30" hidden="1" customHeight="1" x14ac:dyDescent="0.25">
      <c r="A2824" s="86" t="str">
        <f>IF(COUNTIF(EXTRATO!$A$2:$A$3000,"BAN-02681")=0,"","BAN-02681")</f>
        <v/>
      </c>
      <c r="B2824" s="85" t="str">
        <f>IF(A2824="","",IF(INDEX(EXTRATO!$C$2:$C$3000,MATCH($A2824,EXTRATO!$A$2:$A$3000,0))="","",INDEX(EXTRATO!$C$2:$C$3000,MATCH($A2824,EXTRATO!$A$2:$A$3000,0))))</f>
        <v/>
      </c>
      <c r="C2824" s="86" t="str">
        <f t="shared" si="74"/>
        <v/>
      </c>
      <c r="D2824" s="81"/>
      <c r="E2824" s="79"/>
      <c r="F2824" s="80" t="str">
        <f>IF(A2824="","",SUMIF(EXTRATO!$A$2:$A$3000,$A2824,EXTRATO!$J$2:$J$3000)+SUMIF(EXTRATO!$A$2:$A$3000,$A2824,EXTRATO!$K$2:$K$3000)+SUMIF(EXTRATO!$A$2:$A$3000,$A2824,EXTRATO!$L$2:$L$3000)+SUMIF(EXTRATO!$A$2:$A$3000,$A2824,EXTRATO!$M$2:$M$3000))</f>
        <v/>
      </c>
      <c r="G2824" s="81" t="str">
        <f>IF(A2824="","",IF(INDEX(EXTRATO!$G$2:$G$3000,MATCH($A2824,EXTRATO!$A$2:$A$3000,0))="","",INDEX(EXTRATO!$G$2:$G$3000,MATCH($A2824,EXTRATO!$A$2:$A$3000,0))))</f>
        <v/>
      </c>
      <c r="H2824" s="86" t="str">
        <f>IF(A2824="","",IF(INDEX(EXTRATO!$F$2:$F$3000,MATCH($A2824,EXTRATO!$A$2:$A$3000,0))="","",INDEX(EXTRATO!$F$2:$F$3000,MATCH($A2824,EXTRATO!$A$2:$A$3000,0))))</f>
        <v/>
      </c>
      <c r="I2824" s="88" t="str">
        <f>IF(A2824="","",IF(INDEX(EXTRATO!$H$2:$H$3000,MATCH($A2824,EXTRATO!$A$2:$A$3000,0))="","",INDEX(EXTRATO!$H$2:$H$3000,MATCH($A2824,EXTRATO!$A$2:$A$3000,0))))</f>
        <v/>
      </c>
      <c r="J2824" s="86" t="str">
        <f t="shared" si="75"/>
        <v/>
      </c>
      <c r="K2824" s="86" t="str">
        <f>IF(AND(A2824="",D2824="",E2824="",F2824=""),"",IF(D2824="","SEM CATEGORIA",IF(E2824="","SEM SUBCATEGORIA",IF(COUNTIFS(CADASTROS!$L$7:$L$93,D2824,CADASTROS!$D$7:$D$93,E2824)=0,"INCOMPATÍVEL","OK"))))</f>
        <v/>
      </c>
    </row>
    <row r="2825" spans="1:11" ht="30" hidden="1" customHeight="1" x14ac:dyDescent="0.25">
      <c r="A2825" s="86" t="str">
        <f>IF(COUNTIF(EXTRATO!$A$2:$A$3000,"BAN-02682")=0,"","BAN-02682")</f>
        <v/>
      </c>
      <c r="B2825" s="85" t="str">
        <f>IF(A2825="","",IF(INDEX(EXTRATO!$C$2:$C$3000,MATCH($A2825,EXTRATO!$A$2:$A$3000,0))="","",INDEX(EXTRATO!$C$2:$C$3000,MATCH($A2825,EXTRATO!$A$2:$A$3000,0))))</f>
        <v/>
      </c>
      <c r="C2825" s="86" t="str">
        <f t="shared" si="74"/>
        <v/>
      </c>
      <c r="D2825" s="81"/>
      <c r="E2825" s="79"/>
      <c r="F2825" s="80" t="str">
        <f>IF(A2825="","",SUMIF(EXTRATO!$A$2:$A$3000,$A2825,EXTRATO!$J$2:$J$3000)+SUMIF(EXTRATO!$A$2:$A$3000,$A2825,EXTRATO!$K$2:$K$3000)+SUMIF(EXTRATO!$A$2:$A$3000,$A2825,EXTRATO!$L$2:$L$3000)+SUMIF(EXTRATO!$A$2:$A$3000,$A2825,EXTRATO!$M$2:$M$3000))</f>
        <v/>
      </c>
      <c r="G2825" s="81" t="str">
        <f>IF(A2825="","",IF(INDEX(EXTRATO!$G$2:$G$3000,MATCH($A2825,EXTRATO!$A$2:$A$3000,0))="","",INDEX(EXTRATO!$G$2:$G$3000,MATCH($A2825,EXTRATO!$A$2:$A$3000,0))))</f>
        <v/>
      </c>
      <c r="H2825" s="86" t="str">
        <f>IF(A2825="","",IF(INDEX(EXTRATO!$F$2:$F$3000,MATCH($A2825,EXTRATO!$A$2:$A$3000,0))="","",INDEX(EXTRATO!$F$2:$F$3000,MATCH($A2825,EXTRATO!$A$2:$A$3000,0))))</f>
        <v/>
      </c>
      <c r="I2825" s="88" t="str">
        <f>IF(A2825="","",IF(INDEX(EXTRATO!$H$2:$H$3000,MATCH($A2825,EXTRATO!$A$2:$A$3000,0))="","",INDEX(EXTRATO!$H$2:$H$3000,MATCH($A2825,EXTRATO!$A$2:$A$3000,0))))</f>
        <v/>
      </c>
      <c r="J2825" s="86" t="str">
        <f t="shared" si="75"/>
        <v/>
      </c>
      <c r="K2825" s="86" t="str">
        <f>IF(AND(A2825="",D2825="",E2825="",F2825=""),"",IF(D2825="","SEM CATEGORIA",IF(E2825="","SEM SUBCATEGORIA",IF(COUNTIFS(CADASTROS!$L$7:$L$93,D2825,CADASTROS!$D$7:$D$93,E2825)=0,"INCOMPATÍVEL","OK"))))</f>
        <v/>
      </c>
    </row>
    <row r="2826" spans="1:11" ht="30" hidden="1" customHeight="1" x14ac:dyDescent="0.25">
      <c r="A2826" s="86" t="str">
        <f>IF(COUNTIF(EXTRATO!$A$2:$A$3000,"BAN-02683")=0,"","BAN-02683")</f>
        <v/>
      </c>
      <c r="B2826" s="85" t="str">
        <f>IF(A2826="","",IF(INDEX(EXTRATO!$C$2:$C$3000,MATCH($A2826,EXTRATO!$A$2:$A$3000,0))="","",INDEX(EXTRATO!$C$2:$C$3000,MATCH($A2826,EXTRATO!$A$2:$A$3000,0))))</f>
        <v/>
      </c>
      <c r="C2826" s="86" t="str">
        <f t="shared" si="74"/>
        <v/>
      </c>
      <c r="D2826" s="81"/>
      <c r="E2826" s="79"/>
      <c r="F2826" s="80" t="str">
        <f>IF(A2826="","",SUMIF(EXTRATO!$A$2:$A$3000,$A2826,EXTRATO!$J$2:$J$3000)+SUMIF(EXTRATO!$A$2:$A$3000,$A2826,EXTRATO!$K$2:$K$3000)+SUMIF(EXTRATO!$A$2:$A$3000,$A2826,EXTRATO!$L$2:$L$3000)+SUMIF(EXTRATO!$A$2:$A$3000,$A2826,EXTRATO!$M$2:$M$3000))</f>
        <v/>
      </c>
      <c r="G2826" s="81" t="str">
        <f>IF(A2826="","",IF(INDEX(EXTRATO!$G$2:$G$3000,MATCH($A2826,EXTRATO!$A$2:$A$3000,0))="","",INDEX(EXTRATO!$G$2:$G$3000,MATCH($A2826,EXTRATO!$A$2:$A$3000,0))))</f>
        <v/>
      </c>
      <c r="H2826" s="86" t="str">
        <f>IF(A2826="","",IF(INDEX(EXTRATO!$F$2:$F$3000,MATCH($A2826,EXTRATO!$A$2:$A$3000,0))="","",INDEX(EXTRATO!$F$2:$F$3000,MATCH($A2826,EXTRATO!$A$2:$A$3000,0))))</f>
        <v/>
      </c>
      <c r="I2826" s="88" t="str">
        <f>IF(A2826="","",IF(INDEX(EXTRATO!$H$2:$H$3000,MATCH($A2826,EXTRATO!$A$2:$A$3000,0))="","",INDEX(EXTRATO!$H$2:$H$3000,MATCH($A2826,EXTRATO!$A$2:$A$3000,0))))</f>
        <v/>
      </c>
      <c r="J2826" s="86" t="str">
        <f t="shared" si="75"/>
        <v/>
      </c>
      <c r="K2826" s="86" t="str">
        <f>IF(AND(A2826="",D2826="",E2826="",F2826=""),"",IF(D2826="","SEM CATEGORIA",IF(E2826="","SEM SUBCATEGORIA",IF(COUNTIFS(CADASTROS!$L$7:$L$93,D2826,CADASTROS!$D$7:$D$93,E2826)=0,"INCOMPATÍVEL","OK"))))</f>
        <v/>
      </c>
    </row>
    <row r="2827" spans="1:11" ht="30" hidden="1" customHeight="1" x14ac:dyDescent="0.25">
      <c r="A2827" s="86" t="str">
        <f>IF(COUNTIF(EXTRATO!$A$2:$A$3000,"BAN-02684")=0,"","BAN-02684")</f>
        <v/>
      </c>
      <c r="B2827" s="85" t="str">
        <f>IF(A2827="","",IF(INDEX(EXTRATO!$C$2:$C$3000,MATCH($A2827,EXTRATO!$A$2:$A$3000,0))="","",INDEX(EXTRATO!$C$2:$C$3000,MATCH($A2827,EXTRATO!$A$2:$A$3000,0))))</f>
        <v/>
      </c>
      <c r="C2827" s="86" t="str">
        <f t="shared" si="74"/>
        <v/>
      </c>
      <c r="D2827" s="81"/>
      <c r="E2827" s="79"/>
      <c r="F2827" s="80" t="str">
        <f>IF(A2827="","",SUMIF(EXTRATO!$A$2:$A$3000,$A2827,EXTRATO!$J$2:$J$3000)+SUMIF(EXTRATO!$A$2:$A$3000,$A2827,EXTRATO!$K$2:$K$3000)+SUMIF(EXTRATO!$A$2:$A$3000,$A2827,EXTRATO!$L$2:$L$3000)+SUMIF(EXTRATO!$A$2:$A$3000,$A2827,EXTRATO!$M$2:$M$3000))</f>
        <v/>
      </c>
      <c r="G2827" s="81" t="str">
        <f>IF(A2827="","",IF(INDEX(EXTRATO!$G$2:$G$3000,MATCH($A2827,EXTRATO!$A$2:$A$3000,0))="","",INDEX(EXTRATO!$G$2:$G$3000,MATCH($A2827,EXTRATO!$A$2:$A$3000,0))))</f>
        <v/>
      </c>
      <c r="H2827" s="86" t="str">
        <f>IF(A2827="","",IF(INDEX(EXTRATO!$F$2:$F$3000,MATCH($A2827,EXTRATO!$A$2:$A$3000,0))="","",INDEX(EXTRATO!$F$2:$F$3000,MATCH($A2827,EXTRATO!$A$2:$A$3000,0))))</f>
        <v/>
      </c>
      <c r="I2827" s="88" t="str">
        <f>IF(A2827="","",IF(INDEX(EXTRATO!$H$2:$H$3000,MATCH($A2827,EXTRATO!$A$2:$A$3000,0))="","",INDEX(EXTRATO!$H$2:$H$3000,MATCH($A2827,EXTRATO!$A$2:$A$3000,0))))</f>
        <v/>
      </c>
      <c r="J2827" s="86" t="str">
        <f t="shared" si="75"/>
        <v/>
      </c>
      <c r="K2827" s="86" t="str">
        <f>IF(AND(A2827="",D2827="",E2827="",F2827=""),"",IF(D2827="","SEM CATEGORIA",IF(E2827="","SEM SUBCATEGORIA",IF(COUNTIFS(CADASTROS!$L$7:$L$93,D2827,CADASTROS!$D$7:$D$93,E2827)=0,"INCOMPATÍVEL","OK"))))</f>
        <v/>
      </c>
    </row>
    <row r="2828" spans="1:11" ht="30" hidden="1" customHeight="1" x14ac:dyDescent="0.25">
      <c r="A2828" s="86" t="str">
        <f>IF(COUNTIF(EXTRATO!$A$2:$A$3000,"BAN-02685")=0,"","BAN-02685")</f>
        <v/>
      </c>
      <c r="B2828" s="85" t="str">
        <f>IF(A2828="","",IF(INDEX(EXTRATO!$C$2:$C$3000,MATCH($A2828,EXTRATO!$A$2:$A$3000,0))="","",INDEX(EXTRATO!$C$2:$C$3000,MATCH($A2828,EXTRATO!$A$2:$A$3000,0))))</f>
        <v/>
      </c>
      <c r="C2828" s="86" t="str">
        <f t="shared" si="74"/>
        <v/>
      </c>
      <c r="D2828" s="81"/>
      <c r="E2828" s="79"/>
      <c r="F2828" s="80" t="str">
        <f>IF(A2828="","",SUMIF(EXTRATO!$A$2:$A$3000,$A2828,EXTRATO!$J$2:$J$3000)+SUMIF(EXTRATO!$A$2:$A$3000,$A2828,EXTRATO!$K$2:$K$3000)+SUMIF(EXTRATO!$A$2:$A$3000,$A2828,EXTRATO!$L$2:$L$3000)+SUMIF(EXTRATO!$A$2:$A$3000,$A2828,EXTRATO!$M$2:$M$3000))</f>
        <v/>
      </c>
      <c r="G2828" s="81" t="str">
        <f>IF(A2828="","",IF(INDEX(EXTRATO!$G$2:$G$3000,MATCH($A2828,EXTRATO!$A$2:$A$3000,0))="","",INDEX(EXTRATO!$G$2:$G$3000,MATCH($A2828,EXTRATO!$A$2:$A$3000,0))))</f>
        <v/>
      </c>
      <c r="H2828" s="86" t="str">
        <f>IF(A2828="","",IF(INDEX(EXTRATO!$F$2:$F$3000,MATCH($A2828,EXTRATO!$A$2:$A$3000,0))="","",INDEX(EXTRATO!$F$2:$F$3000,MATCH($A2828,EXTRATO!$A$2:$A$3000,0))))</f>
        <v/>
      </c>
      <c r="I2828" s="88" t="str">
        <f>IF(A2828="","",IF(INDEX(EXTRATO!$H$2:$H$3000,MATCH($A2828,EXTRATO!$A$2:$A$3000,0))="","",INDEX(EXTRATO!$H$2:$H$3000,MATCH($A2828,EXTRATO!$A$2:$A$3000,0))))</f>
        <v/>
      </c>
      <c r="J2828" s="86" t="str">
        <f t="shared" si="75"/>
        <v/>
      </c>
      <c r="K2828" s="86" t="str">
        <f>IF(AND(A2828="",D2828="",E2828="",F2828=""),"",IF(D2828="","SEM CATEGORIA",IF(E2828="","SEM SUBCATEGORIA",IF(COUNTIFS(CADASTROS!$L$7:$L$93,D2828,CADASTROS!$D$7:$D$93,E2828)=0,"INCOMPATÍVEL","OK"))))</f>
        <v/>
      </c>
    </row>
    <row r="2829" spans="1:11" ht="30" hidden="1" customHeight="1" x14ac:dyDescent="0.25">
      <c r="A2829" s="86" t="str">
        <f>IF(COUNTIF(EXTRATO!$A$2:$A$3000,"BAN-02686")=0,"","BAN-02686")</f>
        <v/>
      </c>
      <c r="B2829" s="85" t="str">
        <f>IF(A2829="","",IF(INDEX(EXTRATO!$C$2:$C$3000,MATCH($A2829,EXTRATO!$A$2:$A$3000,0))="","",INDEX(EXTRATO!$C$2:$C$3000,MATCH($A2829,EXTRATO!$A$2:$A$3000,0))))</f>
        <v/>
      </c>
      <c r="C2829" s="86" t="str">
        <f t="shared" si="74"/>
        <v/>
      </c>
      <c r="D2829" s="81"/>
      <c r="E2829" s="79"/>
      <c r="F2829" s="80" t="str">
        <f>IF(A2829="","",SUMIF(EXTRATO!$A$2:$A$3000,$A2829,EXTRATO!$J$2:$J$3000)+SUMIF(EXTRATO!$A$2:$A$3000,$A2829,EXTRATO!$K$2:$K$3000)+SUMIF(EXTRATO!$A$2:$A$3000,$A2829,EXTRATO!$L$2:$L$3000)+SUMIF(EXTRATO!$A$2:$A$3000,$A2829,EXTRATO!$M$2:$M$3000))</f>
        <v/>
      </c>
      <c r="G2829" s="81" t="str">
        <f>IF(A2829="","",IF(INDEX(EXTRATO!$G$2:$G$3000,MATCH($A2829,EXTRATO!$A$2:$A$3000,0))="","",INDEX(EXTRATO!$G$2:$G$3000,MATCH($A2829,EXTRATO!$A$2:$A$3000,0))))</f>
        <v/>
      </c>
      <c r="H2829" s="86" t="str">
        <f>IF(A2829="","",IF(INDEX(EXTRATO!$F$2:$F$3000,MATCH($A2829,EXTRATO!$A$2:$A$3000,0))="","",INDEX(EXTRATO!$F$2:$F$3000,MATCH($A2829,EXTRATO!$A$2:$A$3000,0))))</f>
        <v/>
      </c>
      <c r="I2829" s="88" t="str">
        <f>IF(A2829="","",IF(INDEX(EXTRATO!$H$2:$H$3000,MATCH($A2829,EXTRATO!$A$2:$A$3000,0))="","",INDEX(EXTRATO!$H$2:$H$3000,MATCH($A2829,EXTRATO!$A$2:$A$3000,0))))</f>
        <v/>
      </c>
      <c r="J2829" s="86" t="str">
        <f t="shared" si="75"/>
        <v/>
      </c>
      <c r="K2829" s="86" t="str">
        <f>IF(AND(A2829="",D2829="",E2829="",F2829=""),"",IF(D2829="","SEM CATEGORIA",IF(E2829="","SEM SUBCATEGORIA",IF(COUNTIFS(CADASTROS!$L$7:$L$93,D2829,CADASTROS!$D$7:$D$93,E2829)=0,"INCOMPATÍVEL","OK"))))</f>
        <v/>
      </c>
    </row>
    <row r="2830" spans="1:11" ht="30" hidden="1" customHeight="1" x14ac:dyDescent="0.25">
      <c r="A2830" s="86" t="str">
        <f>IF(COUNTIF(EXTRATO!$A$2:$A$3000,"BAN-02687")=0,"","BAN-02687")</f>
        <v/>
      </c>
      <c r="B2830" s="85" t="str">
        <f>IF(A2830="","",IF(INDEX(EXTRATO!$C$2:$C$3000,MATCH($A2830,EXTRATO!$A$2:$A$3000,0))="","",INDEX(EXTRATO!$C$2:$C$3000,MATCH($A2830,EXTRATO!$A$2:$A$3000,0))))</f>
        <v/>
      </c>
      <c r="C2830" s="86" t="str">
        <f t="shared" si="74"/>
        <v/>
      </c>
      <c r="D2830" s="81"/>
      <c r="E2830" s="79"/>
      <c r="F2830" s="80" t="str">
        <f>IF(A2830="","",SUMIF(EXTRATO!$A$2:$A$3000,$A2830,EXTRATO!$J$2:$J$3000)+SUMIF(EXTRATO!$A$2:$A$3000,$A2830,EXTRATO!$K$2:$K$3000)+SUMIF(EXTRATO!$A$2:$A$3000,$A2830,EXTRATO!$L$2:$L$3000)+SUMIF(EXTRATO!$A$2:$A$3000,$A2830,EXTRATO!$M$2:$M$3000))</f>
        <v/>
      </c>
      <c r="G2830" s="81" t="str">
        <f>IF(A2830="","",IF(INDEX(EXTRATO!$G$2:$G$3000,MATCH($A2830,EXTRATO!$A$2:$A$3000,0))="","",INDEX(EXTRATO!$G$2:$G$3000,MATCH($A2830,EXTRATO!$A$2:$A$3000,0))))</f>
        <v/>
      </c>
      <c r="H2830" s="86" t="str">
        <f>IF(A2830="","",IF(INDEX(EXTRATO!$F$2:$F$3000,MATCH($A2830,EXTRATO!$A$2:$A$3000,0))="","",INDEX(EXTRATO!$F$2:$F$3000,MATCH($A2830,EXTRATO!$A$2:$A$3000,0))))</f>
        <v/>
      </c>
      <c r="I2830" s="88" t="str">
        <f>IF(A2830="","",IF(INDEX(EXTRATO!$H$2:$H$3000,MATCH($A2830,EXTRATO!$A$2:$A$3000,0))="","",INDEX(EXTRATO!$H$2:$H$3000,MATCH($A2830,EXTRATO!$A$2:$A$3000,0))))</f>
        <v/>
      </c>
      <c r="J2830" s="86" t="str">
        <f t="shared" si="75"/>
        <v/>
      </c>
      <c r="K2830" s="86" t="str">
        <f>IF(AND(A2830="",D2830="",E2830="",F2830=""),"",IF(D2830="","SEM CATEGORIA",IF(E2830="","SEM SUBCATEGORIA",IF(COUNTIFS(CADASTROS!$L$7:$L$93,D2830,CADASTROS!$D$7:$D$93,E2830)=0,"INCOMPATÍVEL","OK"))))</f>
        <v/>
      </c>
    </row>
    <row r="2831" spans="1:11" ht="30" hidden="1" customHeight="1" x14ac:dyDescent="0.25">
      <c r="A2831" s="86" t="str">
        <f>IF(COUNTIF(EXTRATO!$A$2:$A$3000,"BAN-02688")=0,"","BAN-02688")</f>
        <v/>
      </c>
      <c r="B2831" s="85" t="str">
        <f>IF(A2831="","",IF(INDEX(EXTRATO!$C$2:$C$3000,MATCH($A2831,EXTRATO!$A$2:$A$3000,0))="","",INDEX(EXTRATO!$C$2:$C$3000,MATCH($A2831,EXTRATO!$A$2:$A$3000,0))))</f>
        <v/>
      </c>
      <c r="C2831" s="86" t="str">
        <f t="shared" si="74"/>
        <v/>
      </c>
      <c r="D2831" s="81"/>
      <c r="E2831" s="79"/>
      <c r="F2831" s="80" t="str">
        <f>IF(A2831="","",SUMIF(EXTRATO!$A$2:$A$3000,$A2831,EXTRATO!$J$2:$J$3000)+SUMIF(EXTRATO!$A$2:$A$3000,$A2831,EXTRATO!$K$2:$K$3000)+SUMIF(EXTRATO!$A$2:$A$3000,$A2831,EXTRATO!$L$2:$L$3000)+SUMIF(EXTRATO!$A$2:$A$3000,$A2831,EXTRATO!$M$2:$M$3000))</f>
        <v/>
      </c>
      <c r="G2831" s="81" t="str">
        <f>IF(A2831="","",IF(INDEX(EXTRATO!$G$2:$G$3000,MATCH($A2831,EXTRATO!$A$2:$A$3000,0))="","",INDEX(EXTRATO!$G$2:$G$3000,MATCH($A2831,EXTRATO!$A$2:$A$3000,0))))</f>
        <v/>
      </c>
      <c r="H2831" s="86" t="str">
        <f>IF(A2831="","",IF(INDEX(EXTRATO!$F$2:$F$3000,MATCH($A2831,EXTRATO!$A$2:$A$3000,0))="","",INDEX(EXTRATO!$F$2:$F$3000,MATCH($A2831,EXTRATO!$A$2:$A$3000,0))))</f>
        <v/>
      </c>
      <c r="I2831" s="88" t="str">
        <f>IF(A2831="","",IF(INDEX(EXTRATO!$H$2:$H$3000,MATCH($A2831,EXTRATO!$A$2:$A$3000,0))="","",INDEX(EXTRATO!$H$2:$H$3000,MATCH($A2831,EXTRATO!$A$2:$A$3000,0))))</f>
        <v/>
      </c>
      <c r="J2831" s="86" t="str">
        <f t="shared" si="75"/>
        <v/>
      </c>
      <c r="K2831" s="86" t="str">
        <f>IF(AND(A2831="",D2831="",E2831="",F2831=""),"",IF(D2831="","SEM CATEGORIA",IF(E2831="","SEM SUBCATEGORIA",IF(COUNTIFS(CADASTROS!$L$7:$L$93,D2831,CADASTROS!$D$7:$D$93,E2831)=0,"INCOMPATÍVEL","OK"))))</f>
        <v/>
      </c>
    </row>
    <row r="2832" spans="1:11" ht="30" hidden="1" customHeight="1" x14ac:dyDescent="0.25">
      <c r="A2832" s="86" t="str">
        <f>IF(COUNTIF(EXTRATO!$A$2:$A$3000,"BAN-02689")=0,"","BAN-02689")</f>
        <v/>
      </c>
      <c r="B2832" s="85" t="str">
        <f>IF(A2832="","",IF(INDEX(EXTRATO!$C$2:$C$3000,MATCH($A2832,EXTRATO!$A$2:$A$3000,0))="","",INDEX(EXTRATO!$C$2:$C$3000,MATCH($A2832,EXTRATO!$A$2:$A$3000,0))))</f>
        <v/>
      </c>
      <c r="C2832" s="86" t="str">
        <f t="shared" si="74"/>
        <v/>
      </c>
      <c r="D2832" s="81"/>
      <c r="E2832" s="79"/>
      <c r="F2832" s="80" t="str">
        <f>IF(A2832="","",SUMIF(EXTRATO!$A$2:$A$3000,$A2832,EXTRATO!$J$2:$J$3000)+SUMIF(EXTRATO!$A$2:$A$3000,$A2832,EXTRATO!$K$2:$K$3000)+SUMIF(EXTRATO!$A$2:$A$3000,$A2832,EXTRATO!$L$2:$L$3000)+SUMIF(EXTRATO!$A$2:$A$3000,$A2832,EXTRATO!$M$2:$M$3000))</f>
        <v/>
      </c>
      <c r="G2832" s="81" t="str">
        <f>IF(A2832="","",IF(INDEX(EXTRATO!$G$2:$G$3000,MATCH($A2832,EXTRATO!$A$2:$A$3000,0))="","",INDEX(EXTRATO!$G$2:$G$3000,MATCH($A2832,EXTRATO!$A$2:$A$3000,0))))</f>
        <v/>
      </c>
      <c r="H2832" s="86" t="str">
        <f>IF(A2832="","",IF(INDEX(EXTRATO!$F$2:$F$3000,MATCH($A2832,EXTRATO!$A$2:$A$3000,0))="","",INDEX(EXTRATO!$F$2:$F$3000,MATCH($A2832,EXTRATO!$A$2:$A$3000,0))))</f>
        <v/>
      </c>
      <c r="I2832" s="88" t="str">
        <f>IF(A2832="","",IF(INDEX(EXTRATO!$H$2:$H$3000,MATCH($A2832,EXTRATO!$A$2:$A$3000,0))="","",INDEX(EXTRATO!$H$2:$H$3000,MATCH($A2832,EXTRATO!$A$2:$A$3000,0))))</f>
        <v/>
      </c>
      <c r="J2832" s="86" t="str">
        <f t="shared" si="75"/>
        <v/>
      </c>
      <c r="K2832" s="86" t="str">
        <f>IF(AND(A2832="",D2832="",E2832="",F2832=""),"",IF(D2832="","SEM CATEGORIA",IF(E2832="","SEM SUBCATEGORIA",IF(COUNTIFS(CADASTROS!$L$7:$L$93,D2832,CADASTROS!$D$7:$D$93,E2832)=0,"INCOMPATÍVEL","OK"))))</f>
        <v/>
      </c>
    </row>
    <row r="2833" spans="1:11" ht="30" hidden="1" customHeight="1" x14ac:dyDescent="0.25">
      <c r="A2833" s="86" t="str">
        <f>IF(COUNTIF(EXTRATO!$A$2:$A$3000,"BAN-02690")=0,"","BAN-02690")</f>
        <v/>
      </c>
      <c r="B2833" s="85" t="str">
        <f>IF(A2833="","",IF(INDEX(EXTRATO!$C$2:$C$3000,MATCH($A2833,EXTRATO!$A$2:$A$3000,0))="","",INDEX(EXTRATO!$C$2:$C$3000,MATCH($A2833,EXTRATO!$A$2:$A$3000,0))))</f>
        <v/>
      </c>
      <c r="C2833" s="86" t="str">
        <f t="shared" si="74"/>
        <v/>
      </c>
      <c r="D2833" s="81"/>
      <c r="E2833" s="79"/>
      <c r="F2833" s="80" t="str">
        <f>IF(A2833="","",SUMIF(EXTRATO!$A$2:$A$3000,$A2833,EXTRATO!$J$2:$J$3000)+SUMIF(EXTRATO!$A$2:$A$3000,$A2833,EXTRATO!$K$2:$K$3000)+SUMIF(EXTRATO!$A$2:$A$3000,$A2833,EXTRATO!$L$2:$L$3000)+SUMIF(EXTRATO!$A$2:$A$3000,$A2833,EXTRATO!$M$2:$M$3000))</f>
        <v/>
      </c>
      <c r="G2833" s="81" t="str">
        <f>IF(A2833="","",IF(INDEX(EXTRATO!$G$2:$G$3000,MATCH($A2833,EXTRATO!$A$2:$A$3000,0))="","",INDEX(EXTRATO!$G$2:$G$3000,MATCH($A2833,EXTRATO!$A$2:$A$3000,0))))</f>
        <v/>
      </c>
      <c r="H2833" s="86" t="str">
        <f>IF(A2833="","",IF(INDEX(EXTRATO!$F$2:$F$3000,MATCH($A2833,EXTRATO!$A$2:$A$3000,0))="","",INDEX(EXTRATO!$F$2:$F$3000,MATCH($A2833,EXTRATO!$A$2:$A$3000,0))))</f>
        <v/>
      </c>
      <c r="I2833" s="88" t="str">
        <f>IF(A2833="","",IF(INDEX(EXTRATO!$H$2:$H$3000,MATCH($A2833,EXTRATO!$A$2:$A$3000,0))="","",INDEX(EXTRATO!$H$2:$H$3000,MATCH($A2833,EXTRATO!$A$2:$A$3000,0))))</f>
        <v/>
      </c>
      <c r="J2833" s="86" t="str">
        <f t="shared" si="75"/>
        <v/>
      </c>
      <c r="K2833" s="86" t="str">
        <f>IF(AND(A2833="",D2833="",E2833="",F2833=""),"",IF(D2833="","SEM CATEGORIA",IF(E2833="","SEM SUBCATEGORIA",IF(COUNTIFS(CADASTROS!$L$7:$L$93,D2833,CADASTROS!$D$7:$D$93,E2833)=0,"INCOMPATÍVEL","OK"))))</f>
        <v/>
      </c>
    </row>
    <row r="2834" spans="1:11" ht="30" hidden="1" customHeight="1" x14ac:dyDescent="0.25">
      <c r="A2834" s="86" t="str">
        <f>IF(COUNTIF(EXTRATO!$A$2:$A$3000,"BAN-02691")=0,"","BAN-02691")</f>
        <v/>
      </c>
      <c r="B2834" s="85" t="str">
        <f>IF(A2834="","",IF(INDEX(EXTRATO!$C$2:$C$3000,MATCH($A2834,EXTRATO!$A$2:$A$3000,0))="","",INDEX(EXTRATO!$C$2:$C$3000,MATCH($A2834,EXTRATO!$A$2:$A$3000,0))))</f>
        <v/>
      </c>
      <c r="C2834" s="86" t="str">
        <f t="shared" si="74"/>
        <v/>
      </c>
      <c r="D2834" s="81"/>
      <c r="E2834" s="79"/>
      <c r="F2834" s="80" t="str">
        <f>IF(A2834="","",SUMIF(EXTRATO!$A$2:$A$3000,$A2834,EXTRATO!$J$2:$J$3000)+SUMIF(EXTRATO!$A$2:$A$3000,$A2834,EXTRATO!$K$2:$K$3000)+SUMIF(EXTRATO!$A$2:$A$3000,$A2834,EXTRATO!$L$2:$L$3000)+SUMIF(EXTRATO!$A$2:$A$3000,$A2834,EXTRATO!$M$2:$M$3000))</f>
        <v/>
      </c>
      <c r="G2834" s="81" t="str">
        <f>IF(A2834="","",IF(INDEX(EXTRATO!$G$2:$G$3000,MATCH($A2834,EXTRATO!$A$2:$A$3000,0))="","",INDEX(EXTRATO!$G$2:$G$3000,MATCH($A2834,EXTRATO!$A$2:$A$3000,0))))</f>
        <v/>
      </c>
      <c r="H2834" s="86" t="str">
        <f>IF(A2834="","",IF(INDEX(EXTRATO!$F$2:$F$3000,MATCH($A2834,EXTRATO!$A$2:$A$3000,0))="","",INDEX(EXTRATO!$F$2:$F$3000,MATCH($A2834,EXTRATO!$A$2:$A$3000,0))))</f>
        <v/>
      </c>
      <c r="I2834" s="88" t="str">
        <f>IF(A2834="","",IF(INDEX(EXTRATO!$H$2:$H$3000,MATCH($A2834,EXTRATO!$A$2:$A$3000,0))="","",INDEX(EXTRATO!$H$2:$H$3000,MATCH($A2834,EXTRATO!$A$2:$A$3000,0))))</f>
        <v/>
      </c>
      <c r="J2834" s="86" t="str">
        <f t="shared" si="75"/>
        <v/>
      </c>
      <c r="K2834" s="86" t="str">
        <f>IF(AND(A2834="",D2834="",E2834="",F2834=""),"",IF(D2834="","SEM CATEGORIA",IF(E2834="","SEM SUBCATEGORIA",IF(COUNTIFS(CADASTROS!$L$7:$L$93,D2834,CADASTROS!$D$7:$D$93,E2834)=0,"INCOMPATÍVEL","OK"))))</f>
        <v/>
      </c>
    </row>
    <row r="2835" spans="1:11" ht="30" hidden="1" customHeight="1" x14ac:dyDescent="0.25">
      <c r="A2835" s="86" t="str">
        <f>IF(COUNTIF(EXTRATO!$A$2:$A$3000,"BAN-02692")=0,"","BAN-02692")</f>
        <v/>
      </c>
      <c r="B2835" s="85" t="str">
        <f>IF(A2835="","",IF(INDEX(EXTRATO!$C$2:$C$3000,MATCH($A2835,EXTRATO!$A$2:$A$3000,0))="","",INDEX(EXTRATO!$C$2:$C$3000,MATCH($A2835,EXTRATO!$A$2:$A$3000,0))))</f>
        <v/>
      </c>
      <c r="C2835" s="86" t="str">
        <f t="shared" si="74"/>
        <v/>
      </c>
      <c r="D2835" s="81"/>
      <c r="E2835" s="79"/>
      <c r="F2835" s="80" t="str">
        <f>IF(A2835="","",SUMIF(EXTRATO!$A$2:$A$3000,$A2835,EXTRATO!$J$2:$J$3000)+SUMIF(EXTRATO!$A$2:$A$3000,$A2835,EXTRATO!$K$2:$K$3000)+SUMIF(EXTRATO!$A$2:$A$3000,$A2835,EXTRATO!$L$2:$L$3000)+SUMIF(EXTRATO!$A$2:$A$3000,$A2835,EXTRATO!$M$2:$M$3000))</f>
        <v/>
      </c>
      <c r="G2835" s="81" t="str">
        <f>IF(A2835="","",IF(INDEX(EXTRATO!$G$2:$G$3000,MATCH($A2835,EXTRATO!$A$2:$A$3000,0))="","",INDEX(EXTRATO!$G$2:$G$3000,MATCH($A2835,EXTRATO!$A$2:$A$3000,0))))</f>
        <v/>
      </c>
      <c r="H2835" s="86" t="str">
        <f>IF(A2835="","",IF(INDEX(EXTRATO!$F$2:$F$3000,MATCH($A2835,EXTRATO!$A$2:$A$3000,0))="","",INDEX(EXTRATO!$F$2:$F$3000,MATCH($A2835,EXTRATO!$A$2:$A$3000,0))))</f>
        <v/>
      </c>
      <c r="I2835" s="88" t="str">
        <f>IF(A2835="","",IF(INDEX(EXTRATO!$H$2:$H$3000,MATCH($A2835,EXTRATO!$A$2:$A$3000,0))="","",INDEX(EXTRATO!$H$2:$H$3000,MATCH($A2835,EXTRATO!$A$2:$A$3000,0))))</f>
        <v/>
      </c>
      <c r="J2835" s="86" t="str">
        <f t="shared" si="75"/>
        <v/>
      </c>
      <c r="K2835" s="86" t="str">
        <f>IF(AND(A2835="",D2835="",E2835="",F2835=""),"",IF(D2835="","SEM CATEGORIA",IF(E2835="","SEM SUBCATEGORIA",IF(COUNTIFS(CADASTROS!$L$7:$L$93,D2835,CADASTROS!$D$7:$D$93,E2835)=0,"INCOMPATÍVEL","OK"))))</f>
        <v/>
      </c>
    </row>
    <row r="2836" spans="1:11" ht="30" hidden="1" customHeight="1" x14ac:dyDescent="0.25">
      <c r="A2836" s="86" t="str">
        <f>IF(COUNTIF(EXTRATO!$A$2:$A$3000,"BAN-02693")=0,"","BAN-02693")</f>
        <v/>
      </c>
      <c r="B2836" s="85" t="str">
        <f>IF(A2836="","",IF(INDEX(EXTRATO!$C$2:$C$3000,MATCH($A2836,EXTRATO!$A$2:$A$3000,0))="","",INDEX(EXTRATO!$C$2:$C$3000,MATCH($A2836,EXTRATO!$A$2:$A$3000,0))))</f>
        <v/>
      </c>
      <c r="C2836" s="86" t="str">
        <f t="shared" si="74"/>
        <v/>
      </c>
      <c r="D2836" s="81"/>
      <c r="E2836" s="79"/>
      <c r="F2836" s="80" t="str">
        <f>IF(A2836="","",SUMIF(EXTRATO!$A$2:$A$3000,$A2836,EXTRATO!$J$2:$J$3000)+SUMIF(EXTRATO!$A$2:$A$3000,$A2836,EXTRATO!$K$2:$K$3000)+SUMIF(EXTRATO!$A$2:$A$3000,$A2836,EXTRATO!$L$2:$L$3000)+SUMIF(EXTRATO!$A$2:$A$3000,$A2836,EXTRATO!$M$2:$M$3000))</f>
        <v/>
      </c>
      <c r="G2836" s="81" t="str">
        <f>IF(A2836="","",IF(INDEX(EXTRATO!$G$2:$G$3000,MATCH($A2836,EXTRATO!$A$2:$A$3000,0))="","",INDEX(EXTRATO!$G$2:$G$3000,MATCH($A2836,EXTRATO!$A$2:$A$3000,0))))</f>
        <v/>
      </c>
      <c r="H2836" s="86" t="str">
        <f>IF(A2836="","",IF(INDEX(EXTRATO!$F$2:$F$3000,MATCH($A2836,EXTRATO!$A$2:$A$3000,0))="","",INDEX(EXTRATO!$F$2:$F$3000,MATCH($A2836,EXTRATO!$A$2:$A$3000,0))))</f>
        <v/>
      </c>
      <c r="I2836" s="88" t="str">
        <f>IF(A2836="","",IF(INDEX(EXTRATO!$H$2:$H$3000,MATCH($A2836,EXTRATO!$A$2:$A$3000,0))="","",INDEX(EXTRATO!$H$2:$H$3000,MATCH($A2836,EXTRATO!$A$2:$A$3000,0))))</f>
        <v/>
      </c>
      <c r="J2836" s="86" t="str">
        <f t="shared" si="75"/>
        <v/>
      </c>
      <c r="K2836" s="86" t="str">
        <f>IF(AND(A2836="",D2836="",E2836="",F2836=""),"",IF(D2836="","SEM CATEGORIA",IF(E2836="","SEM SUBCATEGORIA",IF(COUNTIFS(CADASTROS!$L$7:$L$93,D2836,CADASTROS!$D$7:$D$93,E2836)=0,"INCOMPATÍVEL","OK"))))</f>
        <v/>
      </c>
    </row>
    <row r="2837" spans="1:11" ht="30" hidden="1" customHeight="1" x14ac:dyDescent="0.25">
      <c r="A2837" s="86" t="str">
        <f>IF(COUNTIF(EXTRATO!$A$2:$A$3000,"BAN-02694")=0,"","BAN-02694")</f>
        <v/>
      </c>
      <c r="B2837" s="85" t="str">
        <f>IF(A2837="","",IF(INDEX(EXTRATO!$C$2:$C$3000,MATCH($A2837,EXTRATO!$A$2:$A$3000,0))="","",INDEX(EXTRATO!$C$2:$C$3000,MATCH($A2837,EXTRATO!$A$2:$A$3000,0))))</f>
        <v/>
      </c>
      <c r="C2837" s="86" t="str">
        <f t="shared" ref="C2837:C2900" si="76">IF(B2837="","",MONTH(B2837))</f>
        <v/>
      </c>
      <c r="D2837" s="81"/>
      <c r="E2837" s="79"/>
      <c r="F2837" s="80" t="str">
        <f>IF(A2837="","",SUMIF(EXTRATO!$A$2:$A$3000,$A2837,EXTRATO!$J$2:$J$3000)+SUMIF(EXTRATO!$A$2:$A$3000,$A2837,EXTRATO!$K$2:$K$3000)+SUMIF(EXTRATO!$A$2:$A$3000,$A2837,EXTRATO!$L$2:$L$3000)+SUMIF(EXTRATO!$A$2:$A$3000,$A2837,EXTRATO!$M$2:$M$3000))</f>
        <v/>
      </c>
      <c r="G2837" s="81" t="str">
        <f>IF(A2837="","",IF(INDEX(EXTRATO!$G$2:$G$3000,MATCH($A2837,EXTRATO!$A$2:$A$3000,0))="","",INDEX(EXTRATO!$G$2:$G$3000,MATCH($A2837,EXTRATO!$A$2:$A$3000,0))))</f>
        <v/>
      </c>
      <c r="H2837" s="86" t="str">
        <f>IF(A2837="","",IF(INDEX(EXTRATO!$F$2:$F$3000,MATCH($A2837,EXTRATO!$A$2:$A$3000,0))="","",INDEX(EXTRATO!$F$2:$F$3000,MATCH($A2837,EXTRATO!$A$2:$A$3000,0))))</f>
        <v/>
      </c>
      <c r="I2837" s="88" t="str">
        <f>IF(A2837="","",IF(INDEX(EXTRATO!$H$2:$H$3000,MATCH($A2837,EXTRATO!$A$2:$A$3000,0))="","",INDEX(EXTRATO!$H$2:$H$3000,MATCH($A2837,EXTRATO!$A$2:$A$3000,0))))</f>
        <v/>
      </c>
      <c r="J2837" s="86" t="str">
        <f t="shared" si="75"/>
        <v/>
      </c>
      <c r="K2837" s="86" t="str">
        <f>IF(AND(A2837="",D2837="",E2837="",F2837=""),"",IF(D2837="","SEM CATEGORIA",IF(E2837="","SEM SUBCATEGORIA",IF(COUNTIFS(CADASTROS!$L$7:$L$93,D2837,CADASTROS!$D$7:$D$93,E2837)=0,"INCOMPATÍVEL","OK"))))</f>
        <v/>
      </c>
    </row>
    <row r="2838" spans="1:11" ht="30" hidden="1" customHeight="1" x14ac:dyDescent="0.25">
      <c r="A2838" s="86" t="str">
        <f>IF(COUNTIF(EXTRATO!$A$2:$A$3000,"BAN-02695")=0,"","BAN-02695")</f>
        <v/>
      </c>
      <c r="B2838" s="85" t="str">
        <f>IF(A2838="","",IF(INDEX(EXTRATO!$C$2:$C$3000,MATCH($A2838,EXTRATO!$A$2:$A$3000,0))="","",INDEX(EXTRATO!$C$2:$C$3000,MATCH($A2838,EXTRATO!$A$2:$A$3000,0))))</f>
        <v/>
      </c>
      <c r="C2838" s="86" t="str">
        <f t="shared" si="76"/>
        <v/>
      </c>
      <c r="D2838" s="81"/>
      <c r="E2838" s="79"/>
      <c r="F2838" s="80" t="str">
        <f>IF(A2838="","",SUMIF(EXTRATO!$A$2:$A$3000,$A2838,EXTRATO!$J$2:$J$3000)+SUMIF(EXTRATO!$A$2:$A$3000,$A2838,EXTRATO!$K$2:$K$3000)+SUMIF(EXTRATO!$A$2:$A$3000,$A2838,EXTRATO!$L$2:$L$3000)+SUMIF(EXTRATO!$A$2:$A$3000,$A2838,EXTRATO!$M$2:$M$3000))</f>
        <v/>
      </c>
      <c r="G2838" s="81" t="str">
        <f>IF(A2838="","",IF(INDEX(EXTRATO!$G$2:$G$3000,MATCH($A2838,EXTRATO!$A$2:$A$3000,0))="","",INDEX(EXTRATO!$G$2:$G$3000,MATCH($A2838,EXTRATO!$A$2:$A$3000,0))))</f>
        <v/>
      </c>
      <c r="H2838" s="86" t="str">
        <f>IF(A2838="","",IF(INDEX(EXTRATO!$F$2:$F$3000,MATCH($A2838,EXTRATO!$A$2:$A$3000,0))="","",INDEX(EXTRATO!$F$2:$F$3000,MATCH($A2838,EXTRATO!$A$2:$A$3000,0))))</f>
        <v/>
      </c>
      <c r="I2838" s="88" t="str">
        <f>IF(A2838="","",IF(INDEX(EXTRATO!$H$2:$H$3000,MATCH($A2838,EXTRATO!$A$2:$A$3000,0))="","",INDEX(EXTRATO!$H$2:$H$3000,MATCH($A2838,EXTRATO!$A$2:$A$3000,0))))</f>
        <v/>
      </c>
      <c r="J2838" s="86" t="str">
        <f t="shared" si="75"/>
        <v/>
      </c>
      <c r="K2838" s="86" t="str">
        <f>IF(AND(A2838="",D2838="",E2838="",F2838=""),"",IF(D2838="","SEM CATEGORIA",IF(E2838="","SEM SUBCATEGORIA",IF(COUNTIFS(CADASTROS!$L$7:$L$93,D2838,CADASTROS!$D$7:$D$93,E2838)=0,"INCOMPATÍVEL","OK"))))</f>
        <v/>
      </c>
    </row>
    <row r="2839" spans="1:11" ht="30" hidden="1" customHeight="1" x14ac:dyDescent="0.25">
      <c r="A2839" s="86" t="str">
        <f>IF(COUNTIF(EXTRATO!$A$2:$A$3000,"BAN-02696")=0,"","BAN-02696")</f>
        <v/>
      </c>
      <c r="B2839" s="85" t="str">
        <f>IF(A2839="","",IF(INDEX(EXTRATO!$C$2:$C$3000,MATCH($A2839,EXTRATO!$A$2:$A$3000,0))="","",INDEX(EXTRATO!$C$2:$C$3000,MATCH($A2839,EXTRATO!$A$2:$A$3000,0))))</f>
        <v/>
      </c>
      <c r="C2839" s="86" t="str">
        <f t="shared" si="76"/>
        <v/>
      </c>
      <c r="D2839" s="81"/>
      <c r="E2839" s="79"/>
      <c r="F2839" s="80" t="str">
        <f>IF(A2839="","",SUMIF(EXTRATO!$A$2:$A$3000,$A2839,EXTRATO!$J$2:$J$3000)+SUMIF(EXTRATO!$A$2:$A$3000,$A2839,EXTRATO!$K$2:$K$3000)+SUMIF(EXTRATO!$A$2:$A$3000,$A2839,EXTRATO!$L$2:$L$3000)+SUMIF(EXTRATO!$A$2:$A$3000,$A2839,EXTRATO!$M$2:$M$3000))</f>
        <v/>
      </c>
      <c r="G2839" s="81" t="str">
        <f>IF(A2839="","",IF(INDEX(EXTRATO!$G$2:$G$3000,MATCH($A2839,EXTRATO!$A$2:$A$3000,0))="","",INDEX(EXTRATO!$G$2:$G$3000,MATCH($A2839,EXTRATO!$A$2:$A$3000,0))))</f>
        <v/>
      </c>
      <c r="H2839" s="86" t="str">
        <f>IF(A2839="","",IF(INDEX(EXTRATO!$F$2:$F$3000,MATCH($A2839,EXTRATO!$A$2:$A$3000,0))="","",INDEX(EXTRATO!$F$2:$F$3000,MATCH($A2839,EXTRATO!$A$2:$A$3000,0))))</f>
        <v/>
      </c>
      <c r="I2839" s="88" t="str">
        <f>IF(A2839="","",IF(INDEX(EXTRATO!$H$2:$H$3000,MATCH($A2839,EXTRATO!$A$2:$A$3000,0))="","",INDEX(EXTRATO!$H$2:$H$3000,MATCH($A2839,EXTRATO!$A$2:$A$3000,0))))</f>
        <v/>
      </c>
      <c r="J2839" s="86" t="str">
        <f t="shared" si="75"/>
        <v/>
      </c>
      <c r="K2839" s="86" t="str">
        <f>IF(AND(A2839="",D2839="",E2839="",F2839=""),"",IF(D2839="","SEM CATEGORIA",IF(E2839="","SEM SUBCATEGORIA",IF(COUNTIFS(CADASTROS!$L$7:$L$93,D2839,CADASTROS!$D$7:$D$93,E2839)=0,"INCOMPATÍVEL","OK"))))</f>
        <v/>
      </c>
    </row>
    <row r="2840" spans="1:11" ht="30" hidden="1" customHeight="1" x14ac:dyDescent="0.25">
      <c r="A2840" s="86" t="str">
        <f>IF(COUNTIF(EXTRATO!$A$2:$A$3000,"BAN-02697")=0,"","BAN-02697")</f>
        <v/>
      </c>
      <c r="B2840" s="85" t="str">
        <f>IF(A2840="","",IF(INDEX(EXTRATO!$C$2:$C$3000,MATCH($A2840,EXTRATO!$A$2:$A$3000,0))="","",INDEX(EXTRATO!$C$2:$C$3000,MATCH($A2840,EXTRATO!$A$2:$A$3000,0))))</f>
        <v/>
      </c>
      <c r="C2840" s="86" t="str">
        <f t="shared" si="76"/>
        <v/>
      </c>
      <c r="D2840" s="81"/>
      <c r="E2840" s="79"/>
      <c r="F2840" s="80" t="str">
        <f>IF(A2840="","",SUMIF(EXTRATO!$A$2:$A$3000,$A2840,EXTRATO!$J$2:$J$3000)+SUMIF(EXTRATO!$A$2:$A$3000,$A2840,EXTRATO!$K$2:$K$3000)+SUMIF(EXTRATO!$A$2:$A$3000,$A2840,EXTRATO!$L$2:$L$3000)+SUMIF(EXTRATO!$A$2:$A$3000,$A2840,EXTRATO!$M$2:$M$3000))</f>
        <v/>
      </c>
      <c r="G2840" s="81" t="str">
        <f>IF(A2840="","",IF(INDEX(EXTRATO!$G$2:$G$3000,MATCH($A2840,EXTRATO!$A$2:$A$3000,0))="","",INDEX(EXTRATO!$G$2:$G$3000,MATCH($A2840,EXTRATO!$A$2:$A$3000,0))))</f>
        <v/>
      </c>
      <c r="H2840" s="86" t="str">
        <f>IF(A2840="","",IF(INDEX(EXTRATO!$F$2:$F$3000,MATCH($A2840,EXTRATO!$A$2:$A$3000,0))="","",INDEX(EXTRATO!$F$2:$F$3000,MATCH($A2840,EXTRATO!$A$2:$A$3000,0))))</f>
        <v/>
      </c>
      <c r="I2840" s="88" t="str">
        <f>IF(A2840="","",IF(INDEX(EXTRATO!$H$2:$H$3000,MATCH($A2840,EXTRATO!$A$2:$A$3000,0))="","",INDEX(EXTRATO!$H$2:$H$3000,MATCH($A2840,EXTRATO!$A$2:$A$3000,0))))</f>
        <v/>
      </c>
      <c r="J2840" s="86" t="str">
        <f t="shared" si="75"/>
        <v/>
      </c>
      <c r="K2840" s="86" t="str">
        <f>IF(AND(A2840="",D2840="",E2840="",F2840=""),"",IF(D2840="","SEM CATEGORIA",IF(E2840="","SEM SUBCATEGORIA",IF(COUNTIFS(CADASTROS!$L$7:$L$93,D2840,CADASTROS!$D$7:$D$93,E2840)=0,"INCOMPATÍVEL","OK"))))</f>
        <v/>
      </c>
    </row>
    <row r="2841" spans="1:11" ht="30" hidden="1" customHeight="1" x14ac:dyDescent="0.25">
      <c r="A2841" s="86" t="str">
        <f>IF(COUNTIF(EXTRATO!$A$2:$A$3000,"BAN-02698")=0,"","BAN-02698")</f>
        <v/>
      </c>
      <c r="B2841" s="85" t="str">
        <f>IF(A2841="","",IF(INDEX(EXTRATO!$C$2:$C$3000,MATCH($A2841,EXTRATO!$A$2:$A$3000,0))="","",INDEX(EXTRATO!$C$2:$C$3000,MATCH($A2841,EXTRATO!$A$2:$A$3000,0))))</f>
        <v/>
      </c>
      <c r="C2841" s="86" t="str">
        <f t="shared" si="76"/>
        <v/>
      </c>
      <c r="D2841" s="81"/>
      <c r="E2841" s="79"/>
      <c r="F2841" s="80" t="str">
        <f>IF(A2841="","",SUMIF(EXTRATO!$A$2:$A$3000,$A2841,EXTRATO!$J$2:$J$3000)+SUMIF(EXTRATO!$A$2:$A$3000,$A2841,EXTRATO!$K$2:$K$3000)+SUMIF(EXTRATO!$A$2:$A$3000,$A2841,EXTRATO!$L$2:$L$3000)+SUMIF(EXTRATO!$A$2:$A$3000,$A2841,EXTRATO!$M$2:$M$3000))</f>
        <v/>
      </c>
      <c r="G2841" s="81" t="str">
        <f>IF(A2841="","",IF(INDEX(EXTRATO!$G$2:$G$3000,MATCH($A2841,EXTRATO!$A$2:$A$3000,0))="","",INDEX(EXTRATO!$G$2:$G$3000,MATCH($A2841,EXTRATO!$A$2:$A$3000,0))))</f>
        <v/>
      </c>
      <c r="H2841" s="86" t="str">
        <f>IF(A2841="","",IF(INDEX(EXTRATO!$F$2:$F$3000,MATCH($A2841,EXTRATO!$A$2:$A$3000,0))="","",INDEX(EXTRATO!$F$2:$F$3000,MATCH($A2841,EXTRATO!$A$2:$A$3000,0))))</f>
        <v/>
      </c>
      <c r="I2841" s="88" t="str">
        <f>IF(A2841="","",IF(INDEX(EXTRATO!$H$2:$H$3000,MATCH($A2841,EXTRATO!$A$2:$A$3000,0))="","",INDEX(EXTRATO!$H$2:$H$3000,MATCH($A2841,EXTRATO!$A$2:$A$3000,0))))</f>
        <v/>
      </c>
      <c r="J2841" s="86" t="str">
        <f t="shared" si="75"/>
        <v/>
      </c>
      <c r="K2841" s="86" t="str">
        <f>IF(AND(A2841="",D2841="",E2841="",F2841=""),"",IF(D2841="","SEM CATEGORIA",IF(E2841="","SEM SUBCATEGORIA",IF(COUNTIFS(CADASTROS!$L$7:$L$93,D2841,CADASTROS!$D$7:$D$93,E2841)=0,"INCOMPATÍVEL","OK"))))</f>
        <v/>
      </c>
    </row>
    <row r="2842" spans="1:11" ht="30" hidden="1" customHeight="1" x14ac:dyDescent="0.25">
      <c r="A2842" s="86" t="str">
        <f>IF(COUNTIF(EXTRATO!$A$2:$A$3000,"BAN-02699")=0,"","BAN-02699")</f>
        <v/>
      </c>
      <c r="B2842" s="85" t="str">
        <f>IF(A2842="","",IF(INDEX(EXTRATO!$C$2:$C$3000,MATCH($A2842,EXTRATO!$A$2:$A$3000,0))="","",INDEX(EXTRATO!$C$2:$C$3000,MATCH($A2842,EXTRATO!$A$2:$A$3000,0))))</f>
        <v/>
      </c>
      <c r="C2842" s="86" t="str">
        <f t="shared" si="76"/>
        <v/>
      </c>
      <c r="D2842" s="81"/>
      <c r="E2842" s="79"/>
      <c r="F2842" s="80" t="str">
        <f>IF(A2842="","",SUMIF(EXTRATO!$A$2:$A$3000,$A2842,EXTRATO!$J$2:$J$3000)+SUMIF(EXTRATO!$A$2:$A$3000,$A2842,EXTRATO!$K$2:$K$3000)+SUMIF(EXTRATO!$A$2:$A$3000,$A2842,EXTRATO!$L$2:$L$3000)+SUMIF(EXTRATO!$A$2:$A$3000,$A2842,EXTRATO!$M$2:$M$3000))</f>
        <v/>
      </c>
      <c r="G2842" s="81" t="str">
        <f>IF(A2842="","",IF(INDEX(EXTRATO!$G$2:$G$3000,MATCH($A2842,EXTRATO!$A$2:$A$3000,0))="","",INDEX(EXTRATO!$G$2:$G$3000,MATCH($A2842,EXTRATO!$A$2:$A$3000,0))))</f>
        <v/>
      </c>
      <c r="H2842" s="86" t="str">
        <f>IF(A2842="","",IF(INDEX(EXTRATO!$F$2:$F$3000,MATCH($A2842,EXTRATO!$A$2:$A$3000,0))="","",INDEX(EXTRATO!$F$2:$F$3000,MATCH($A2842,EXTRATO!$A$2:$A$3000,0))))</f>
        <v/>
      </c>
      <c r="I2842" s="88" t="str">
        <f>IF(A2842="","",IF(INDEX(EXTRATO!$H$2:$H$3000,MATCH($A2842,EXTRATO!$A$2:$A$3000,0))="","",INDEX(EXTRATO!$H$2:$H$3000,MATCH($A2842,EXTRATO!$A$2:$A$3000,0))))</f>
        <v/>
      </c>
      <c r="J2842" s="86" t="str">
        <f t="shared" si="75"/>
        <v/>
      </c>
      <c r="K2842" s="86" t="str">
        <f>IF(AND(A2842="",D2842="",E2842="",F2842=""),"",IF(D2842="","SEM CATEGORIA",IF(E2842="","SEM SUBCATEGORIA",IF(COUNTIFS(CADASTROS!$L$7:$L$93,D2842,CADASTROS!$D$7:$D$93,E2842)=0,"INCOMPATÍVEL","OK"))))</f>
        <v/>
      </c>
    </row>
    <row r="2843" spans="1:11" ht="30" hidden="1" customHeight="1" x14ac:dyDescent="0.25">
      <c r="A2843" s="86" t="str">
        <f>IF(COUNTIF(EXTRATO!$A$2:$A$3000,"BAN-02700")=0,"","BAN-02700")</f>
        <v/>
      </c>
      <c r="B2843" s="85" t="str">
        <f>IF(A2843="","",IF(INDEX(EXTRATO!$C$2:$C$3000,MATCH($A2843,EXTRATO!$A$2:$A$3000,0))="","",INDEX(EXTRATO!$C$2:$C$3000,MATCH($A2843,EXTRATO!$A$2:$A$3000,0))))</f>
        <v/>
      </c>
      <c r="C2843" s="86" t="str">
        <f t="shared" si="76"/>
        <v/>
      </c>
      <c r="D2843" s="81"/>
      <c r="E2843" s="79"/>
      <c r="F2843" s="80" t="str">
        <f>IF(A2843="","",SUMIF(EXTRATO!$A$2:$A$3000,$A2843,EXTRATO!$J$2:$J$3000)+SUMIF(EXTRATO!$A$2:$A$3000,$A2843,EXTRATO!$K$2:$K$3000)+SUMIF(EXTRATO!$A$2:$A$3000,$A2843,EXTRATO!$L$2:$L$3000)+SUMIF(EXTRATO!$A$2:$A$3000,$A2843,EXTRATO!$M$2:$M$3000))</f>
        <v/>
      </c>
      <c r="G2843" s="81" t="str">
        <f>IF(A2843="","",IF(INDEX(EXTRATO!$G$2:$G$3000,MATCH($A2843,EXTRATO!$A$2:$A$3000,0))="","",INDEX(EXTRATO!$G$2:$G$3000,MATCH($A2843,EXTRATO!$A$2:$A$3000,0))))</f>
        <v/>
      </c>
      <c r="H2843" s="86" t="str">
        <f>IF(A2843="","",IF(INDEX(EXTRATO!$F$2:$F$3000,MATCH($A2843,EXTRATO!$A$2:$A$3000,0))="","",INDEX(EXTRATO!$F$2:$F$3000,MATCH($A2843,EXTRATO!$A$2:$A$3000,0))))</f>
        <v/>
      </c>
      <c r="I2843" s="88" t="str">
        <f>IF(A2843="","",IF(INDEX(EXTRATO!$H$2:$H$3000,MATCH($A2843,EXTRATO!$A$2:$A$3000,0))="","",INDEX(EXTRATO!$H$2:$H$3000,MATCH($A2843,EXTRATO!$A$2:$A$3000,0))))</f>
        <v/>
      </c>
      <c r="J2843" s="86" t="str">
        <f t="shared" si="75"/>
        <v/>
      </c>
      <c r="K2843" s="86" t="str">
        <f>IF(AND(A2843="",D2843="",E2843="",F2843=""),"",IF(D2843="","SEM CATEGORIA",IF(E2843="","SEM SUBCATEGORIA",IF(COUNTIFS(CADASTROS!$L$7:$L$93,D2843,CADASTROS!$D$7:$D$93,E2843)=0,"INCOMPATÍVEL","OK"))))</f>
        <v/>
      </c>
    </row>
    <row r="2844" spans="1:11" ht="30" hidden="1" customHeight="1" x14ac:dyDescent="0.25">
      <c r="A2844" s="86" t="str">
        <f>IF(COUNTIF(EXTRATO!$A$2:$A$3000,"BAN-02701")=0,"","BAN-02701")</f>
        <v/>
      </c>
      <c r="B2844" s="85" t="str">
        <f>IF(A2844="","",IF(INDEX(EXTRATO!$C$2:$C$3000,MATCH($A2844,EXTRATO!$A$2:$A$3000,0))="","",INDEX(EXTRATO!$C$2:$C$3000,MATCH($A2844,EXTRATO!$A$2:$A$3000,0))))</f>
        <v/>
      </c>
      <c r="C2844" s="86" t="str">
        <f t="shared" si="76"/>
        <v/>
      </c>
      <c r="D2844" s="81"/>
      <c r="E2844" s="79"/>
      <c r="F2844" s="80" t="str">
        <f>IF(A2844="","",SUMIF(EXTRATO!$A$2:$A$3000,$A2844,EXTRATO!$J$2:$J$3000)+SUMIF(EXTRATO!$A$2:$A$3000,$A2844,EXTRATO!$K$2:$K$3000)+SUMIF(EXTRATO!$A$2:$A$3000,$A2844,EXTRATO!$L$2:$L$3000)+SUMIF(EXTRATO!$A$2:$A$3000,$A2844,EXTRATO!$M$2:$M$3000))</f>
        <v/>
      </c>
      <c r="G2844" s="81" t="str">
        <f>IF(A2844="","",IF(INDEX(EXTRATO!$G$2:$G$3000,MATCH($A2844,EXTRATO!$A$2:$A$3000,0))="","",INDEX(EXTRATO!$G$2:$G$3000,MATCH($A2844,EXTRATO!$A$2:$A$3000,0))))</f>
        <v/>
      </c>
      <c r="H2844" s="86" t="str">
        <f>IF(A2844="","",IF(INDEX(EXTRATO!$F$2:$F$3000,MATCH($A2844,EXTRATO!$A$2:$A$3000,0))="","",INDEX(EXTRATO!$F$2:$F$3000,MATCH($A2844,EXTRATO!$A$2:$A$3000,0))))</f>
        <v/>
      </c>
      <c r="I2844" s="88" t="str">
        <f>IF(A2844="","",IF(INDEX(EXTRATO!$H$2:$H$3000,MATCH($A2844,EXTRATO!$A$2:$A$3000,0))="","",INDEX(EXTRATO!$H$2:$H$3000,MATCH($A2844,EXTRATO!$A$2:$A$3000,0))))</f>
        <v/>
      </c>
      <c r="J2844" s="86" t="str">
        <f t="shared" si="75"/>
        <v/>
      </c>
      <c r="K2844" s="86" t="str">
        <f>IF(AND(A2844="",D2844="",E2844="",F2844=""),"",IF(D2844="","SEM CATEGORIA",IF(E2844="","SEM SUBCATEGORIA",IF(COUNTIFS(CADASTROS!$L$7:$L$93,D2844,CADASTROS!$D$7:$D$93,E2844)=0,"INCOMPATÍVEL","OK"))))</f>
        <v/>
      </c>
    </row>
    <row r="2845" spans="1:11" ht="30" hidden="1" customHeight="1" x14ac:dyDescent="0.25">
      <c r="A2845" s="86" t="str">
        <f>IF(COUNTIF(EXTRATO!$A$2:$A$3000,"BAN-02702")=0,"","BAN-02702")</f>
        <v/>
      </c>
      <c r="B2845" s="85" t="str">
        <f>IF(A2845="","",IF(INDEX(EXTRATO!$C$2:$C$3000,MATCH($A2845,EXTRATO!$A$2:$A$3000,0))="","",INDEX(EXTRATO!$C$2:$C$3000,MATCH($A2845,EXTRATO!$A$2:$A$3000,0))))</f>
        <v/>
      </c>
      <c r="C2845" s="86" t="str">
        <f t="shared" si="76"/>
        <v/>
      </c>
      <c r="D2845" s="81"/>
      <c r="E2845" s="79"/>
      <c r="F2845" s="80" t="str">
        <f>IF(A2845="","",SUMIF(EXTRATO!$A$2:$A$3000,$A2845,EXTRATO!$J$2:$J$3000)+SUMIF(EXTRATO!$A$2:$A$3000,$A2845,EXTRATO!$K$2:$K$3000)+SUMIF(EXTRATO!$A$2:$A$3000,$A2845,EXTRATO!$L$2:$L$3000)+SUMIF(EXTRATO!$A$2:$A$3000,$A2845,EXTRATO!$M$2:$M$3000))</f>
        <v/>
      </c>
      <c r="G2845" s="81" t="str">
        <f>IF(A2845="","",IF(INDEX(EXTRATO!$G$2:$G$3000,MATCH($A2845,EXTRATO!$A$2:$A$3000,0))="","",INDEX(EXTRATO!$G$2:$G$3000,MATCH($A2845,EXTRATO!$A$2:$A$3000,0))))</f>
        <v/>
      </c>
      <c r="H2845" s="86" t="str">
        <f>IF(A2845="","",IF(INDEX(EXTRATO!$F$2:$F$3000,MATCH($A2845,EXTRATO!$A$2:$A$3000,0))="","",INDEX(EXTRATO!$F$2:$F$3000,MATCH($A2845,EXTRATO!$A$2:$A$3000,0))))</f>
        <v/>
      </c>
      <c r="I2845" s="88" t="str">
        <f>IF(A2845="","",IF(INDEX(EXTRATO!$H$2:$H$3000,MATCH($A2845,EXTRATO!$A$2:$A$3000,0))="","",INDEX(EXTRATO!$H$2:$H$3000,MATCH($A2845,EXTRATO!$A$2:$A$3000,0))))</f>
        <v/>
      </c>
      <c r="J2845" s="86" t="str">
        <f t="shared" si="75"/>
        <v/>
      </c>
      <c r="K2845" s="86" t="str">
        <f>IF(AND(A2845="",D2845="",E2845="",F2845=""),"",IF(D2845="","SEM CATEGORIA",IF(E2845="","SEM SUBCATEGORIA",IF(COUNTIFS(CADASTROS!$L$7:$L$93,D2845,CADASTROS!$D$7:$D$93,E2845)=0,"INCOMPATÍVEL","OK"))))</f>
        <v/>
      </c>
    </row>
    <row r="2846" spans="1:11" ht="30" hidden="1" customHeight="1" x14ac:dyDescent="0.25">
      <c r="A2846" s="86" t="str">
        <f>IF(COUNTIF(EXTRATO!$A$2:$A$3000,"BAN-02703")=0,"","BAN-02703")</f>
        <v/>
      </c>
      <c r="B2846" s="85" t="str">
        <f>IF(A2846="","",IF(INDEX(EXTRATO!$C$2:$C$3000,MATCH($A2846,EXTRATO!$A$2:$A$3000,0))="","",INDEX(EXTRATO!$C$2:$C$3000,MATCH($A2846,EXTRATO!$A$2:$A$3000,0))))</f>
        <v/>
      </c>
      <c r="C2846" s="86" t="str">
        <f t="shared" si="76"/>
        <v/>
      </c>
      <c r="D2846" s="81"/>
      <c r="E2846" s="79"/>
      <c r="F2846" s="80" t="str">
        <f>IF(A2846="","",SUMIF(EXTRATO!$A$2:$A$3000,$A2846,EXTRATO!$J$2:$J$3000)+SUMIF(EXTRATO!$A$2:$A$3000,$A2846,EXTRATO!$K$2:$K$3000)+SUMIF(EXTRATO!$A$2:$A$3000,$A2846,EXTRATO!$L$2:$L$3000)+SUMIF(EXTRATO!$A$2:$A$3000,$A2846,EXTRATO!$M$2:$M$3000))</f>
        <v/>
      </c>
      <c r="G2846" s="81" t="str">
        <f>IF(A2846="","",IF(INDEX(EXTRATO!$G$2:$G$3000,MATCH($A2846,EXTRATO!$A$2:$A$3000,0))="","",INDEX(EXTRATO!$G$2:$G$3000,MATCH($A2846,EXTRATO!$A$2:$A$3000,0))))</f>
        <v/>
      </c>
      <c r="H2846" s="86" t="str">
        <f>IF(A2846="","",IF(INDEX(EXTRATO!$F$2:$F$3000,MATCH($A2846,EXTRATO!$A$2:$A$3000,0))="","",INDEX(EXTRATO!$F$2:$F$3000,MATCH($A2846,EXTRATO!$A$2:$A$3000,0))))</f>
        <v/>
      </c>
      <c r="I2846" s="88" t="str">
        <f>IF(A2846="","",IF(INDEX(EXTRATO!$H$2:$H$3000,MATCH($A2846,EXTRATO!$A$2:$A$3000,0))="","",INDEX(EXTRATO!$H$2:$H$3000,MATCH($A2846,EXTRATO!$A$2:$A$3000,0))))</f>
        <v/>
      </c>
      <c r="J2846" s="86" t="str">
        <f t="shared" si="75"/>
        <v/>
      </c>
      <c r="K2846" s="86" t="str">
        <f>IF(AND(A2846="",D2846="",E2846="",F2846=""),"",IF(D2846="","SEM CATEGORIA",IF(E2846="","SEM SUBCATEGORIA",IF(COUNTIFS(CADASTROS!$L$7:$L$93,D2846,CADASTROS!$D$7:$D$93,E2846)=0,"INCOMPATÍVEL","OK"))))</f>
        <v/>
      </c>
    </row>
    <row r="2847" spans="1:11" ht="30" hidden="1" customHeight="1" x14ac:dyDescent="0.25">
      <c r="A2847" s="86" t="str">
        <f>IF(COUNTIF(EXTRATO!$A$2:$A$3000,"BAN-02704")=0,"","BAN-02704")</f>
        <v/>
      </c>
      <c r="B2847" s="85" t="str">
        <f>IF(A2847="","",IF(INDEX(EXTRATO!$C$2:$C$3000,MATCH($A2847,EXTRATO!$A$2:$A$3000,0))="","",INDEX(EXTRATO!$C$2:$C$3000,MATCH($A2847,EXTRATO!$A$2:$A$3000,0))))</f>
        <v/>
      </c>
      <c r="C2847" s="86" t="str">
        <f t="shared" si="76"/>
        <v/>
      </c>
      <c r="D2847" s="81"/>
      <c r="E2847" s="79"/>
      <c r="F2847" s="80" t="str">
        <f>IF(A2847="","",SUMIF(EXTRATO!$A$2:$A$3000,$A2847,EXTRATO!$J$2:$J$3000)+SUMIF(EXTRATO!$A$2:$A$3000,$A2847,EXTRATO!$K$2:$K$3000)+SUMIF(EXTRATO!$A$2:$A$3000,$A2847,EXTRATO!$L$2:$L$3000)+SUMIF(EXTRATO!$A$2:$A$3000,$A2847,EXTRATO!$M$2:$M$3000))</f>
        <v/>
      </c>
      <c r="G2847" s="81" t="str">
        <f>IF(A2847="","",IF(INDEX(EXTRATO!$G$2:$G$3000,MATCH($A2847,EXTRATO!$A$2:$A$3000,0))="","",INDEX(EXTRATO!$G$2:$G$3000,MATCH($A2847,EXTRATO!$A$2:$A$3000,0))))</f>
        <v/>
      </c>
      <c r="H2847" s="86" t="str">
        <f>IF(A2847="","",IF(INDEX(EXTRATO!$F$2:$F$3000,MATCH($A2847,EXTRATO!$A$2:$A$3000,0))="","",INDEX(EXTRATO!$F$2:$F$3000,MATCH($A2847,EXTRATO!$A$2:$A$3000,0))))</f>
        <v/>
      </c>
      <c r="I2847" s="88" t="str">
        <f>IF(A2847="","",IF(INDEX(EXTRATO!$H$2:$H$3000,MATCH($A2847,EXTRATO!$A$2:$A$3000,0))="","",INDEX(EXTRATO!$H$2:$H$3000,MATCH($A2847,EXTRATO!$A$2:$A$3000,0))))</f>
        <v/>
      </c>
      <c r="J2847" s="86" t="str">
        <f t="shared" si="75"/>
        <v/>
      </c>
      <c r="K2847" s="86" t="str">
        <f>IF(AND(A2847="",D2847="",E2847="",F2847=""),"",IF(D2847="","SEM CATEGORIA",IF(E2847="","SEM SUBCATEGORIA",IF(COUNTIFS(CADASTROS!$L$7:$L$93,D2847,CADASTROS!$D$7:$D$93,E2847)=0,"INCOMPATÍVEL","OK"))))</f>
        <v/>
      </c>
    </row>
    <row r="2848" spans="1:11" ht="30" hidden="1" customHeight="1" x14ac:dyDescent="0.25">
      <c r="A2848" s="86" t="str">
        <f>IF(COUNTIF(EXTRATO!$A$2:$A$3000,"BAN-02705")=0,"","BAN-02705")</f>
        <v/>
      </c>
      <c r="B2848" s="85" t="str">
        <f>IF(A2848="","",IF(INDEX(EXTRATO!$C$2:$C$3000,MATCH($A2848,EXTRATO!$A$2:$A$3000,0))="","",INDEX(EXTRATO!$C$2:$C$3000,MATCH($A2848,EXTRATO!$A$2:$A$3000,0))))</f>
        <v/>
      </c>
      <c r="C2848" s="86" t="str">
        <f t="shared" si="76"/>
        <v/>
      </c>
      <c r="D2848" s="81"/>
      <c r="E2848" s="79"/>
      <c r="F2848" s="80" t="str">
        <f>IF(A2848="","",SUMIF(EXTRATO!$A$2:$A$3000,$A2848,EXTRATO!$J$2:$J$3000)+SUMIF(EXTRATO!$A$2:$A$3000,$A2848,EXTRATO!$K$2:$K$3000)+SUMIF(EXTRATO!$A$2:$A$3000,$A2848,EXTRATO!$L$2:$L$3000)+SUMIF(EXTRATO!$A$2:$A$3000,$A2848,EXTRATO!$M$2:$M$3000))</f>
        <v/>
      </c>
      <c r="G2848" s="81" t="str">
        <f>IF(A2848="","",IF(INDEX(EXTRATO!$G$2:$G$3000,MATCH($A2848,EXTRATO!$A$2:$A$3000,0))="","",INDEX(EXTRATO!$G$2:$G$3000,MATCH($A2848,EXTRATO!$A$2:$A$3000,0))))</f>
        <v/>
      </c>
      <c r="H2848" s="86" t="str">
        <f>IF(A2848="","",IF(INDEX(EXTRATO!$F$2:$F$3000,MATCH($A2848,EXTRATO!$A$2:$A$3000,0))="","",INDEX(EXTRATO!$F$2:$F$3000,MATCH($A2848,EXTRATO!$A$2:$A$3000,0))))</f>
        <v/>
      </c>
      <c r="I2848" s="88" t="str">
        <f>IF(A2848="","",IF(INDEX(EXTRATO!$H$2:$H$3000,MATCH($A2848,EXTRATO!$A$2:$A$3000,0))="","",INDEX(EXTRATO!$H$2:$H$3000,MATCH($A2848,EXTRATO!$A$2:$A$3000,0))))</f>
        <v/>
      </c>
      <c r="J2848" s="86" t="str">
        <f t="shared" si="75"/>
        <v/>
      </c>
      <c r="K2848" s="86" t="str">
        <f>IF(AND(A2848="",D2848="",E2848="",F2848=""),"",IF(D2848="","SEM CATEGORIA",IF(E2848="","SEM SUBCATEGORIA",IF(COUNTIFS(CADASTROS!$L$7:$L$93,D2848,CADASTROS!$D$7:$D$93,E2848)=0,"INCOMPATÍVEL","OK"))))</f>
        <v/>
      </c>
    </row>
    <row r="2849" spans="1:11" ht="30" hidden="1" customHeight="1" x14ac:dyDescent="0.25">
      <c r="A2849" s="86" t="str">
        <f>IF(COUNTIF(EXTRATO!$A$2:$A$3000,"BAN-02706")=0,"","BAN-02706")</f>
        <v/>
      </c>
      <c r="B2849" s="85" t="str">
        <f>IF(A2849="","",IF(INDEX(EXTRATO!$C$2:$C$3000,MATCH($A2849,EXTRATO!$A$2:$A$3000,0))="","",INDEX(EXTRATO!$C$2:$C$3000,MATCH($A2849,EXTRATO!$A$2:$A$3000,0))))</f>
        <v/>
      </c>
      <c r="C2849" s="86" t="str">
        <f t="shared" si="76"/>
        <v/>
      </c>
      <c r="D2849" s="81"/>
      <c r="E2849" s="79"/>
      <c r="F2849" s="80" t="str">
        <f>IF(A2849="","",SUMIF(EXTRATO!$A$2:$A$3000,$A2849,EXTRATO!$J$2:$J$3000)+SUMIF(EXTRATO!$A$2:$A$3000,$A2849,EXTRATO!$K$2:$K$3000)+SUMIF(EXTRATO!$A$2:$A$3000,$A2849,EXTRATO!$L$2:$L$3000)+SUMIF(EXTRATO!$A$2:$A$3000,$A2849,EXTRATO!$M$2:$M$3000))</f>
        <v/>
      </c>
      <c r="G2849" s="81" t="str">
        <f>IF(A2849="","",IF(INDEX(EXTRATO!$G$2:$G$3000,MATCH($A2849,EXTRATO!$A$2:$A$3000,0))="","",INDEX(EXTRATO!$G$2:$G$3000,MATCH($A2849,EXTRATO!$A$2:$A$3000,0))))</f>
        <v/>
      </c>
      <c r="H2849" s="86" t="str">
        <f>IF(A2849="","",IF(INDEX(EXTRATO!$F$2:$F$3000,MATCH($A2849,EXTRATO!$A$2:$A$3000,0))="","",INDEX(EXTRATO!$F$2:$F$3000,MATCH($A2849,EXTRATO!$A$2:$A$3000,0))))</f>
        <v/>
      </c>
      <c r="I2849" s="88" t="str">
        <f>IF(A2849="","",IF(INDEX(EXTRATO!$H$2:$H$3000,MATCH($A2849,EXTRATO!$A$2:$A$3000,0))="","",INDEX(EXTRATO!$H$2:$H$3000,MATCH($A2849,EXTRATO!$A$2:$A$3000,0))))</f>
        <v/>
      </c>
      <c r="J2849" s="86" t="str">
        <f t="shared" si="75"/>
        <v/>
      </c>
      <c r="K2849" s="86" t="str">
        <f>IF(AND(A2849="",D2849="",E2849="",F2849=""),"",IF(D2849="","SEM CATEGORIA",IF(E2849="","SEM SUBCATEGORIA",IF(COUNTIFS(CADASTROS!$L$7:$L$93,D2849,CADASTROS!$D$7:$D$93,E2849)=0,"INCOMPATÍVEL","OK"))))</f>
        <v/>
      </c>
    </row>
    <row r="2850" spans="1:11" ht="30" hidden="1" customHeight="1" x14ac:dyDescent="0.25">
      <c r="A2850" s="86" t="str">
        <f>IF(COUNTIF(EXTRATO!$A$2:$A$3000,"BAN-02707")=0,"","BAN-02707")</f>
        <v/>
      </c>
      <c r="B2850" s="85" t="str">
        <f>IF(A2850="","",IF(INDEX(EXTRATO!$C$2:$C$3000,MATCH($A2850,EXTRATO!$A$2:$A$3000,0))="","",INDEX(EXTRATO!$C$2:$C$3000,MATCH($A2850,EXTRATO!$A$2:$A$3000,0))))</f>
        <v/>
      </c>
      <c r="C2850" s="86" t="str">
        <f t="shared" si="76"/>
        <v/>
      </c>
      <c r="D2850" s="81"/>
      <c r="E2850" s="79"/>
      <c r="F2850" s="80" t="str">
        <f>IF(A2850="","",SUMIF(EXTRATO!$A$2:$A$3000,$A2850,EXTRATO!$J$2:$J$3000)+SUMIF(EXTRATO!$A$2:$A$3000,$A2850,EXTRATO!$K$2:$K$3000)+SUMIF(EXTRATO!$A$2:$A$3000,$A2850,EXTRATO!$L$2:$L$3000)+SUMIF(EXTRATO!$A$2:$A$3000,$A2850,EXTRATO!$M$2:$M$3000))</f>
        <v/>
      </c>
      <c r="G2850" s="81" t="str">
        <f>IF(A2850="","",IF(INDEX(EXTRATO!$G$2:$G$3000,MATCH($A2850,EXTRATO!$A$2:$A$3000,0))="","",INDEX(EXTRATO!$G$2:$G$3000,MATCH($A2850,EXTRATO!$A$2:$A$3000,0))))</f>
        <v/>
      </c>
      <c r="H2850" s="86" t="str">
        <f>IF(A2850="","",IF(INDEX(EXTRATO!$F$2:$F$3000,MATCH($A2850,EXTRATO!$A$2:$A$3000,0))="","",INDEX(EXTRATO!$F$2:$F$3000,MATCH($A2850,EXTRATO!$A$2:$A$3000,0))))</f>
        <v/>
      </c>
      <c r="I2850" s="88" t="str">
        <f>IF(A2850="","",IF(INDEX(EXTRATO!$H$2:$H$3000,MATCH($A2850,EXTRATO!$A$2:$A$3000,0))="","",INDEX(EXTRATO!$H$2:$H$3000,MATCH($A2850,EXTRATO!$A$2:$A$3000,0))))</f>
        <v/>
      </c>
      <c r="J2850" s="86" t="str">
        <f t="shared" si="75"/>
        <v/>
      </c>
      <c r="K2850" s="86" t="str">
        <f>IF(AND(A2850="",D2850="",E2850="",F2850=""),"",IF(D2850="","SEM CATEGORIA",IF(E2850="","SEM SUBCATEGORIA",IF(COUNTIFS(CADASTROS!$L$7:$L$93,D2850,CADASTROS!$D$7:$D$93,E2850)=0,"INCOMPATÍVEL","OK"))))</f>
        <v/>
      </c>
    </row>
    <row r="2851" spans="1:11" ht="30" hidden="1" customHeight="1" x14ac:dyDescent="0.25">
      <c r="A2851" s="86" t="str">
        <f>IF(COUNTIF(EXTRATO!$A$2:$A$3000,"BAN-02708")=0,"","BAN-02708")</f>
        <v/>
      </c>
      <c r="B2851" s="85" t="str">
        <f>IF(A2851="","",IF(INDEX(EXTRATO!$C$2:$C$3000,MATCH($A2851,EXTRATO!$A$2:$A$3000,0))="","",INDEX(EXTRATO!$C$2:$C$3000,MATCH($A2851,EXTRATO!$A$2:$A$3000,0))))</f>
        <v/>
      </c>
      <c r="C2851" s="86" t="str">
        <f t="shared" si="76"/>
        <v/>
      </c>
      <c r="D2851" s="81"/>
      <c r="E2851" s="79"/>
      <c r="F2851" s="80" t="str">
        <f>IF(A2851="","",SUMIF(EXTRATO!$A$2:$A$3000,$A2851,EXTRATO!$J$2:$J$3000)+SUMIF(EXTRATO!$A$2:$A$3000,$A2851,EXTRATO!$K$2:$K$3000)+SUMIF(EXTRATO!$A$2:$A$3000,$A2851,EXTRATO!$L$2:$L$3000)+SUMIF(EXTRATO!$A$2:$A$3000,$A2851,EXTRATO!$M$2:$M$3000))</f>
        <v/>
      </c>
      <c r="G2851" s="81" t="str">
        <f>IF(A2851="","",IF(INDEX(EXTRATO!$G$2:$G$3000,MATCH($A2851,EXTRATO!$A$2:$A$3000,0))="","",INDEX(EXTRATO!$G$2:$G$3000,MATCH($A2851,EXTRATO!$A$2:$A$3000,0))))</f>
        <v/>
      </c>
      <c r="H2851" s="86" t="str">
        <f>IF(A2851="","",IF(INDEX(EXTRATO!$F$2:$F$3000,MATCH($A2851,EXTRATO!$A$2:$A$3000,0))="","",INDEX(EXTRATO!$F$2:$F$3000,MATCH($A2851,EXTRATO!$A$2:$A$3000,0))))</f>
        <v/>
      </c>
      <c r="I2851" s="88" t="str">
        <f>IF(A2851="","",IF(INDEX(EXTRATO!$H$2:$H$3000,MATCH($A2851,EXTRATO!$A$2:$A$3000,0))="","",INDEX(EXTRATO!$H$2:$H$3000,MATCH($A2851,EXTRATO!$A$2:$A$3000,0))))</f>
        <v/>
      </c>
      <c r="J2851" s="86" t="str">
        <f t="shared" si="75"/>
        <v/>
      </c>
      <c r="K2851" s="86" t="str">
        <f>IF(AND(A2851="",D2851="",E2851="",F2851=""),"",IF(D2851="","SEM CATEGORIA",IF(E2851="","SEM SUBCATEGORIA",IF(COUNTIFS(CADASTROS!$L$7:$L$93,D2851,CADASTROS!$D$7:$D$93,E2851)=0,"INCOMPATÍVEL","OK"))))</f>
        <v/>
      </c>
    </row>
    <row r="2852" spans="1:11" ht="30" hidden="1" customHeight="1" x14ac:dyDescent="0.25">
      <c r="A2852" s="86" t="str">
        <f>IF(COUNTIF(EXTRATO!$A$2:$A$3000,"BAN-02709")=0,"","BAN-02709")</f>
        <v/>
      </c>
      <c r="B2852" s="85" t="str">
        <f>IF(A2852="","",IF(INDEX(EXTRATO!$C$2:$C$3000,MATCH($A2852,EXTRATO!$A$2:$A$3000,0))="","",INDEX(EXTRATO!$C$2:$C$3000,MATCH($A2852,EXTRATO!$A$2:$A$3000,0))))</f>
        <v/>
      </c>
      <c r="C2852" s="86" t="str">
        <f t="shared" si="76"/>
        <v/>
      </c>
      <c r="D2852" s="81"/>
      <c r="E2852" s="79"/>
      <c r="F2852" s="80" t="str">
        <f>IF(A2852="","",SUMIF(EXTRATO!$A$2:$A$3000,$A2852,EXTRATO!$J$2:$J$3000)+SUMIF(EXTRATO!$A$2:$A$3000,$A2852,EXTRATO!$K$2:$K$3000)+SUMIF(EXTRATO!$A$2:$A$3000,$A2852,EXTRATO!$L$2:$L$3000)+SUMIF(EXTRATO!$A$2:$A$3000,$A2852,EXTRATO!$M$2:$M$3000))</f>
        <v/>
      </c>
      <c r="G2852" s="81" t="str">
        <f>IF(A2852="","",IF(INDEX(EXTRATO!$G$2:$G$3000,MATCH($A2852,EXTRATO!$A$2:$A$3000,0))="","",INDEX(EXTRATO!$G$2:$G$3000,MATCH($A2852,EXTRATO!$A$2:$A$3000,0))))</f>
        <v/>
      </c>
      <c r="H2852" s="86" t="str">
        <f>IF(A2852="","",IF(INDEX(EXTRATO!$F$2:$F$3000,MATCH($A2852,EXTRATO!$A$2:$A$3000,0))="","",INDEX(EXTRATO!$F$2:$F$3000,MATCH($A2852,EXTRATO!$A$2:$A$3000,0))))</f>
        <v/>
      </c>
      <c r="I2852" s="88" t="str">
        <f>IF(A2852="","",IF(INDEX(EXTRATO!$H$2:$H$3000,MATCH($A2852,EXTRATO!$A$2:$A$3000,0))="","",INDEX(EXTRATO!$H$2:$H$3000,MATCH($A2852,EXTRATO!$A$2:$A$3000,0))))</f>
        <v/>
      </c>
      <c r="J2852" s="86" t="str">
        <f t="shared" si="75"/>
        <v/>
      </c>
      <c r="K2852" s="86" t="str">
        <f>IF(AND(A2852="",D2852="",E2852="",F2852=""),"",IF(D2852="","SEM CATEGORIA",IF(E2852="","SEM SUBCATEGORIA",IF(COUNTIFS(CADASTROS!$L$7:$L$93,D2852,CADASTROS!$D$7:$D$93,E2852)=0,"INCOMPATÍVEL","OK"))))</f>
        <v/>
      </c>
    </row>
    <row r="2853" spans="1:11" ht="30" hidden="1" customHeight="1" x14ac:dyDescent="0.25">
      <c r="A2853" s="86" t="str">
        <f>IF(COUNTIF(EXTRATO!$A$2:$A$3000,"BAN-02710")=0,"","BAN-02710")</f>
        <v/>
      </c>
      <c r="B2853" s="85" t="str">
        <f>IF(A2853="","",IF(INDEX(EXTRATO!$C$2:$C$3000,MATCH($A2853,EXTRATO!$A$2:$A$3000,0))="","",INDEX(EXTRATO!$C$2:$C$3000,MATCH($A2853,EXTRATO!$A$2:$A$3000,0))))</f>
        <v/>
      </c>
      <c r="C2853" s="86" t="str">
        <f t="shared" si="76"/>
        <v/>
      </c>
      <c r="D2853" s="81"/>
      <c r="E2853" s="79"/>
      <c r="F2853" s="80" t="str">
        <f>IF(A2853="","",SUMIF(EXTRATO!$A$2:$A$3000,$A2853,EXTRATO!$J$2:$J$3000)+SUMIF(EXTRATO!$A$2:$A$3000,$A2853,EXTRATO!$K$2:$K$3000)+SUMIF(EXTRATO!$A$2:$A$3000,$A2853,EXTRATO!$L$2:$L$3000)+SUMIF(EXTRATO!$A$2:$A$3000,$A2853,EXTRATO!$M$2:$M$3000))</f>
        <v/>
      </c>
      <c r="G2853" s="81" t="str">
        <f>IF(A2853="","",IF(INDEX(EXTRATO!$G$2:$G$3000,MATCH($A2853,EXTRATO!$A$2:$A$3000,0))="","",INDEX(EXTRATO!$G$2:$G$3000,MATCH($A2853,EXTRATO!$A$2:$A$3000,0))))</f>
        <v/>
      </c>
      <c r="H2853" s="86" t="str">
        <f>IF(A2853="","",IF(INDEX(EXTRATO!$F$2:$F$3000,MATCH($A2853,EXTRATO!$A$2:$A$3000,0))="","",INDEX(EXTRATO!$F$2:$F$3000,MATCH($A2853,EXTRATO!$A$2:$A$3000,0))))</f>
        <v/>
      </c>
      <c r="I2853" s="88" t="str">
        <f>IF(A2853="","",IF(INDEX(EXTRATO!$H$2:$H$3000,MATCH($A2853,EXTRATO!$A$2:$A$3000,0))="","",INDEX(EXTRATO!$H$2:$H$3000,MATCH($A2853,EXTRATO!$A$2:$A$3000,0))))</f>
        <v/>
      </c>
      <c r="J2853" s="86" t="str">
        <f t="shared" si="75"/>
        <v/>
      </c>
      <c r="K2853" s="86" t="str">
        <f>IF(AND(A2853="",D2853="",E2853="",F2853=""),"",IF(D2853="","SEM CATEGORIA",IF(E2853="","SEM SUBCATEGORIA",IF(COUNTIFS(CADASTROS!$L$7:$L$93,D2853,CADASTROS!$D$7:$D$93,E2853)=0,"INCOMPATÍVEL","OK"))))</f>
        <v/>
      </c>
    </row>
    <row r="2854" spans="1:11" ht="30" hidden="1" customHeight="1" x14ac:dyDescent="0.25">
      <c r="A2854" s="86" t="str">
        <f>IF(COUNTIF(EXTRATO!$A$2:$A$3000,"BAN-02711")=0,"","BAN-02711")</f>
        <v/>
      </c>
      <c r="B2854" s="85" t="str">
        <f>IF(A2854="","",IF(INDEX(EXTRATO!$C$2:$C$3000,MATCH($A2854,EXTRATO!$A$2:$A$3000,0))="","",INDEX(EXTRATO!$C$2:$C$3000,MATCH($A2854,EXTRATO!$A$2:$A$3000,0))))</f>
        <v/>
      </c>
      <c r="C2854" s="86" t="str">
        <f t="shared" si="76"/>
        <v/>
      </c>
      <c r="D2854" s="81"/>
      <c r="E2854" s="79"/>
      <c r="F2854" s="80" t="str">
        <f>IF(A2854="","",SUMIF(EXTRATO!$A$2:$A$3000,$A2854,EXTRATO!$J$2:$J$3000)+SUMIF(EXTRATO!$A$2:$A$3000,$A2854,EXTRATO!$K$2:$K$3000)+SUMIF(EXTRATO!$A$2:$A$3000,$A2854,EXTRATO!$L$2:$L$3000)+SUMIF(EXTRATO!$A$2:$A$3000,$A2854,EXTRATO!$M$2:$M$3000))</f>
        <v/>
      </c>
      <c r="G2854" s="81" t="str">
        <f>IF(A2854="","",IF(INDEX(EXTRATO!$G$2:$G$3000,MATCH($A2854,EXTRATO!$A$2:$A$3000,0))="","",INDEX(EXTRATO!$G$2:$G$3000,MATCH($A2854,EXTRATO!$A$2:$A$3000,0))))</f>
        <v/>
      </c>
      <c r="H2854" s="86" t="str">
        <f>IF(A2854="","",IF(INDEX(EXTRATO!$F$2:$F$3000,MATCH($A2854,EXTRATO!$A$2:$A$3000,0))="","",INDEX(EXTRATO!$F$2:$F$3000,MATCH($A2854,EXTRATO!$A$2:$A$3000,0))))</f>
        <v/>
      </c>
      <c r="I2854" s="88" t="str">
        <f>IF(A2854="","",IF(INDEX(EXTRATO!$H$2:$H$3000,MATCH($A2854,EXTRATO!$A$2:$A$3000,0))="","",INDEX(EXTRATO!$H$2:$H$3000,MATCH($A2854,EXTRATO!$A$2:$A$3000,0))))</f>
        <v/>
      </c>
      <c r="J2854" s="86" t="str">
        <f t="shared" si="75"/>
        <v/>
      </c>
      <c r="K2854" s="86" t="str">
        <f>IF(AND(A2854="",D2854="",E2854="",F2854=""),"",IF(D2854="","SEM CATEGORIA",IF(E2854="","SEM SUBCATEGORIA",IF(COUNTIFS(CADASTROS!$L$7:$L$93,D2854,CADASTROS!$D$7:$D$93,E2854)=0,"INCOMPATÍVEL","OK"))))</f>
        <v/>
      </c>
    </row>
    <row r="2855" spans="1:11" ht="30" hidden="1" customHeight="1" x14ac:dyDescent="0.25">
      <c r="A2855" s="86" t="str">
        <f>IF(COUNTIF(EXTRATO!$A$2:$A$3000,"BAN-02712")=0,"","BAN-02712")</f>
        <v/>
      </c>
      <c r="B2855" s="85" t="str">
        <f>IF(A2855="","",IF(INDEX(EXTRATO!$C$2:$C$3000,MATCH($A2855,EXTRATO!$A$2:$A$3000,0))="","",INDEX(EXTRATO!$C$2:$C$3000,MATCH($A2855,EXTRATO!$A$2:$A$3000,0))))</f>
        <v/>
      </c>
      <c r="C2855" s="86" t="str">
        <f t="shared" si="76"/>
        <v/>
      </c>
      <c r="D2855" s="81"/>
      <c r="E2855" s="79"/>
      <c r="F2855" s="80" t="str">
        <f>IF(A2855="","",SUMIF(EXTRATO!$A$2:$A$3000,$A2855,EXTRATO!$J$2:$J$3000)+SUMIF(EXTRATO!$A$2:$A$3000,$A2855,EXTRATO!$K$2:$K$3000)+SUMIF(EXTRATO!$A$2:$A$3000,$A2855,EXTRATO!$L$2:$L$3000)+SUMIF(EXTRATO!$A$2:$A$3000,$A2855,EXTRATO!$M$2:$M$3000))</f>
        <v/>
      </c>
      <c r="G2855" s="81" t="str">
        <f>IF(A2855="","",IF(INDEX(EXTRATO!$G$2:$G$3000,MATCH($A2855,EXTRATO!$A$2:$A$3000,0))="","",INDEX(EXTRATO!$G$2:$G$3000,MATCH($A2855,EXTRATO!$A$2:$A$3000,0))))</f>
        <v/>
      </c>
      <c r="H2855" s="86" t="str">
        <f>IF(A2855="","",IF(INDEX(EXTRATO!$F$2:$F$3000,MATCH($A2855,EXTRATO!$A$2:$A$3000,0))="","",INDEX(EXTRATO!$F$2:$F$3000,MATCH($A2855,EXTRATO!$A$2:$A$3000,0))))</f>
        <v/>
      </c>
      <c r="I2855" s="88" t="str">
        <f>IF(A2855="","",IF(INDEX(EXTRATO!$H$2:$H$3000,MATCH($A2855,EXTRATO!$A$2:$A$3000,0))="","",INDEX(EXTRATO!$H$2:$H$3000,MATCH($A2855,EXTRATO!$A$2:$A$3000,0))))</f>
        <v/>
      </c>
      <c r="J2855" s="86" t="str">
        <f t="shared" si="75"/>
        <v/>
      </c>
      <c r="K2855" s="86" t="str">
        <f>IF(AND(A2855="",D2855="",E2855="",F2855=""),"",IF(D2855="","SEM CATEGORIA",IF(E2855="","SEM SUBCATEGORIA",IF(COUNTIFS(CADASTROS!$L$7:$L$93,D2855,CADASTROS!$D$7:$D$93,E2855)=0,"INCOMPATÍVEL","OK"))))</f>
        <v/>
      </c>
    </row>
    <row r="2856" spans="1:11" ht="30" hidden="1" customHeight="1" x14ac:dyDescent="0.25">
      <c r="A2856" s="86" t="str">
        <f>IF(COUNTIF(EXTRATO!$A$2:$A$3000,"BAN-02713")=0,"","BAN-02713")</f>
        <v/>
      </c>
      <c r="B2856" s="85" t="str">
        <f>IF(A2856="","",IF(INDEX(EXTRATO!$C$2:$C$3000,MATCH($A2856,EXTRATO!$A$2:$A$3000,0))="","",INDEX(EXTRATO!$C$2:$C$3000,MATCH($A2856,EXTRATO!$A$2:$A$3000,0))))</f>
        <v/>
      </c>
      <c r="C2856" s="86" t="str">
        <f t="shared" si="76"/>
        <v/>
      </c>
      <c r="D2856" s="81"/>
      <c r="E2856" s="79"/>
      <c r="F2856" s="80" t="str">
        <f>IF(A2856="","",SUMIF(EXTRATO!$A$2:$A$3000,$A2856,EXTRATO!$J$2:$J$3000)+SUMIF(EXTRATO!$A$2:$A$3000,$A2856,EXTRATO!$K$2:$K$3000)+SUMIF(EXTRATO!$A$2:$A$3000,$A2856,EXTRATO!$L$2:$L$3000)+SUMIF(EXTRATO!$A$2:$A$3000,$A2856,EXTRATO!$M$2:$M$3000))</f>
        <v/>
      </c>
      <c r="G2856" s="81" t="str">
        <f>IF(A2856="","",IF(INDEX(EXTRATO!$G$2:$G$3000,MATCH($A2856,EXTRATO!$A$2:$A$3000,0))="","",INDEX(EXTRATO!$G$2:$G$3000,MATCH($A2856,EXTRATO!$A$2:$A$3000,0))))</f>
        <v/>
      </c>
      <c r="H2856" s="86" t="str">
        <f>IF(A2856="","",IF(INDEX(EXTRATO!$F$2:$F$3000,MATCH($A2856,EXTRATO!$A$2:$A$3000,0))="","",INDEX(EXTRATO!$F$2:$F$3000,MATCH($A2856,EXTRATO!$A$2:$A$3000,0))))</f>
        <v/>
      </c>
      <c r="I2856" s="88" t="str">
        <f>IF(A2856="","",IF(INDEX(EXTRATO!$H$2:$H$3000,MATCH($A2856,EXTRATO!$A$2:$A$3000,0))="","",INDEX(EXTRATO!$H$2:$H$3000,MATCH($A2856,EXTRATO!$A$2:$A$3000,0))))</f>
        <v/>
      </c>
      <c r="J2856" s="86" t="str">
        <f t="shared" si="75"/>
        <v/>
      </c>
      <c r="K2856" s="86" t="str">
        <f>IF(AND(A2856="",D2856="",E2856="",F2856=""),"",IF(D2856="","SEM CATEGORIA",IF(E2856="","SEM SUBCATEGORIA",IF(COUNTIFS(CADASTROS!$L$7:$L$93,D2856,CADASTROS!$D$7:$D$93,E2856)=0,"INCOMPATÍVEL","OK"))))</f>
        <v/>
      </c>
    </row>
    <row r="2857" spans="1:11" ht="30" hidden="1" customHeight="1" x14ac:dyDescent="0.25">
      <c r="A2857" s="86" t="str">
        <f>IF(COUNTIF(EXTRATO!$A$2:$A$3000,"BAN-02714")=0,"","BAN-02714")</f>
        <v/>
      </c>
      <c r="B2857" s="85" t="str">
        <f>IF(A2857="","",IF(INDEX(EXTRATO!$C$2:$C$3000,MATCH($A2857,EXTRATO!$A$2:$A$3000,0))="","",INDEX(EXTRATO!$C$2:$C$3000,MATCH($A2857,EXTRATO!$A$2:$A$3000,0))))</f>
        <v/>
      </c>
      <c r="C2857" s="86" t="str">
        <f t="shared" si="76"/>
        <v/>
      </c>
      <c r="D2857" s="81"/>
      <c r="E2857" s="79"/>
      <c r="F2857" s="80" t="str">
        <f>IF(A2857="","",SUMIF(EXTRATO!$A$2:$A$3000,$A2857,EXTRATO!$J$2:$J$3000)+SUMIF(EXTRATO!$A$2:$A$3000,$A2857,EXTRATO!$K$2:$K$3000)+SUMIF(EXTRATO!$A$2:$A$3000,$A2857,EXTRATO!$L$2:$L$3000)+SUMIF(EXTRATO!$A$2:$A$3000,$A2857,EXTRATO!$M$2:$M$3000))</f>
        <v/>
      </c>
      <c r="G2857" s="81" t="str">
        <f>IF(A2857="","",IF(INDEX(EXTRATO!$G$2:$G$3000,MATCH($A2857,EXTRATO!$A$2:$A$3000,0))="","",INDEX(EXTRATO!$G$2:$G$3000,MATCH($A2857,EXTRATO!$A$2:$A$3000,0))))</f>
        <v/>
      </c>
      <c r="H2857" s="86" t="str">
        <f>IF(A2857="","",IF(INDEX(EXTRATO!$F$2:$F$3000,MATCH($A2857,EXTRATO!$A$2:$A$3000,0))="","",INDEX(EXTRATO!$F$2:$F$3000,MATCH($A2857,EXTRATO!$A$2:$A$3000,0))))</f>
        <v/>
      </c>
      <c r="I2857" s="88" t="str">
        <f>IF(A2857="","",IF(INDEX(EXTRATO!$H$2:$H$3000,MATCH($A2857,EXTRATO!$A$2:$A$3000,0))="","",INDEX(EXTRATO!$H$2:$H$3000,MATCH($A2857,EXTRATO!$A$2:$A$3000,0))))</f>
        <v/>
      </c>
      <c r="J2857" s="86" t="str">
        <f t="shared" si="75"/>
        <v/>
      </c>
      <c r="K2857" s="86" t="str">
        <f>IF(AND(A2857="",D2857="",E2857="",F2857=""),"",IF(D2857="","SEM CATEGORIA",IF(E2857="","SEM SUBCATEGORIA",IF(COUNTIFS(CADASTROS!$L$7:$L$93,D2857,CADASTROS!$D$7:$D$93,E2857)=0,"INCOMPATÍVEL","OK"))))</f>
        <v/>
      </c>
    </row>
    <row r="2858" spans="1:11" ht="30" hidden="1" customHeight="1" x14ac:dyDescent="0.25">
      <c r="A2858" s="86" t="str">
        <f>IF(COUNTIF(EXTRATO!$A$2:$A$3000,"BAN-02715")=0,"","BAN-02715")</f>
        <v/>
      </c>
      <c r="B2858" s="85" t="str">
        <f>IF(A2858="","",IF(INDEX(EXTRATO!$C$2:$C$3000,MATCH($A2858,EXTRATO!$A$2:$A$3000,0))="","",INDEX(EXTRATO!$C$2:$C$3000,MATCH($A2858,EXTRATO!$A$2:$A$3000,0))))</f>
        <v/>
      </c>
      <c r="C2858" s="86" t="str">
        <f t="shared" si="76"/>
        <v/>
      </c>
      <c r="D2858" s="81"/>
      <c r="E2858" s="79"/>
      <c r="F2858" s="80" t="str">
        <f>IF(A2858="","",SUMIF(EXTRATO!$A$2:$A$3000,$A2858,EXTRATO!$J$2:$J$3000)+SUMIF(EXTRATO!$A$2:$A$3000,$A2858,EXTRATO!$K$2:$K$3000)+SUMIF(EXTRATO!$A$2:$A$3000,$A2858,EXTRATO!$L$2:$L$3000)+SUMIF(EXTRATO!$A$2:$A$3000,$A2858,EXTRATO!$M$2:$M$3000))</f>
        <v/>
      </c>
      <c r="G2858" s="81" t="str">
        <f>IF(A2858="","",IF(INDEX(EXTRATO!$G$2:$G$3000,MATCH($A2858,EXTRATO!$A$2:$A$3000,0))="","",INDEX(EXTRATO!$G$2:$G$3000,MATCH($A2858,EXTRATO!$A$2:$A$3000,0))))</f>
        <v/>
      </c>
      <c r="H2858" s="86" t="str">
        <f>IF(A2858="","",IF(INDEX(EXTRATO!$F$2:$F$3000,MATCH($A2858,EXTRATO!$A$2:$A$3000,0))="","",INDEX(EXTRATO!$F$2:$F$3000,MATCH($A2858,EXTRATO!$A$2:$A$3000,0))))</f>
        <v/>
      </c>
      <c r="I2858" s="88" t="str">
        <f>IF(A2858="","",IF(INDEX(EXTRATO!$H$2:$H$3000,MATCH($A2858,EXTRATO!$A$2:$A$3000,0))="","",INDEX(EXTRATO!$H$2:$H$3000,MATCH($A2858,EXTRATO!$A$2:$A$3000,0))))</f>
        <v/>
      </c>
      <c r="J2858" s="86" t="str">
        <f t="shared" si="75"/>
        <v/>
      </c>
      <c r="K2858" s="86" t="str">
        <f>IF(AND(A2858="",D2858="",E2858="",F2858=""),"",IF(D2858="","SEM CATEGORIA",IF(E2858="","SEM SUBCATEGORIA",IF(COUNTIFS(CADASTROS!$L$7:$L$93,D2858,CADASTROS!$D$7:$D$93,E2858)=0,"INCOMPATÍVEL","OK"))))</f>
        <v/>
      </c>
    </row>
    <row r="2859" spans="1:11" ht="30" hidden="1" customHeight="1" x14ac:dyDescent="0.25">
      <c r="A2859" s="86" t="str">
        <f>IF(COUNTIF(EXTRATO!$A$2:$A$3000,"BAN-02716")=0,"","BAN-02716")</f>
        <v/>
      </c>
      <c r="B2859" s="85" t="str">
        <f>IF(A2859="","",IF(INDEX(EXTRATO!$C$2:$C$3000,MATCH($A2859,EXTRATO!$A$2:$A$3000,0))="","",INDEX(EXTRATO!$C$2:$C$3000,MATCH($A2859,EXTRATO!$A$2:$A$3000,0))))</f>
        <v/>
      </c>
      <c r="C2859" s="86" t="str">
        <f t="shared" si="76"/>
        <v/>
      </c>
      <c r="D2859" s="81"/>
      <c r="E2859" s="79"/>
      <c r="F2859" s="80" t="str">
        <f>IF(A2859="","",SUMIF(EXTRATO!$A$2:$A$3000,$A2859,EXTRATO!$J$2:$J$3000)+SUMIF(EXTRATO!$A$2:$A$3000,$A2859,EXTRATO!$K$2:$K$3000)+SUMIF(EXTRATO!$A$2:$A$3000,$A2859,EXTRATO!$L$2:$L$3000)+SUMIF(EXTRATO!$A$2:$A$3000,$A2859,EXTRATO!$M$2:$M$3000))</f>
        <v/>
      </c>
      <c r="G2859" s="81" t="str">
        <f>IF(A2859="","",IF(INDEX(EXTRATO!$G$2:$G$3000,MATCH($A2859,EXTRATO!$A$2:$A$3000,0))="","",INDEX(EXTRATO!$G$2:$G$3000,MATCH($A2859,EXTRATO!$A$2:$A$3000,0))))</f>
        <v/>
      </c>
      <c r="H2859" s="86" t="str">
        <f>IF(A2859="","",IF(INDEX(EXTRATO!$F$2:$F$3000,MATCH($A2859,EXTRATO!$A$2:$A$3000,0))="","",INDEX(EXTRATO!$F$2:$F$3000,MATCH($A2859,EXTRATO!$A$2:$A$3000,0))))</f>
        <v/>
      </c>
      <c r="I2859" s="88" t="str">
        <f>IF(A2859="","",IF(INDEX(EXTRATO!$H$2:$H$3000,MATCH($A2859,EXTRATO!$A$2:$A$3000,0))="","",INDEX(EXTRATO!$H$2:$H$3000,MATCH($A2859,EXTRATO!$A$2:$A$3000,0))))</f>
        <v/>
      </c>
      <c r="J2859" s="86" t="str">
        <f t="shared" si="75"/>
        <v/>
      </c>
      <c r="K2859" s="86" t="str">
        <f>IF(AND(A2859="",D2859="",E2859="",F2859=""),"",IF(D2859="","SEM CATEGORIA",IF(E2859="","SEM SUBCATEGORIA",IF(COUNTIFS(CADASTROS!$L$7:$L$93,D2859,CADASTROS!$D$7:$D$93,E2859)=0,"INCOMPATÍVEL","OK"))))</f>
        <v/>
      </c>
    </row>
    <row r="2860" spans="1:11" ht="30" hidden="1" customHeight="1" x14ac:dyDescent="0.25">
      <c r="A2860" s="86" t="str">
        <f>IF(COUNTIF(EXTRATO!$A$2:$A$3000,"BAN-02717")=0,"","BAN-02717")</f>
        <v/>
      </c>
      <c r="B2860" s="85" t="str">
        <f>IF(A2860="","",IF(INDEX(EXTRATO!$C$2:$C$3000,MATCH($A2860,EXTRATO!$A$2:$A$3000,0))="","",INDEX(EXTRATO!$C$2:$C$3000,MATCH($A2860,EXTRATO!$A$2:$A$3000,0))))</f>
        <v/>
      </c>
      <c r="C2860" s="86" t="str">
        <f t="shared" si="76"/>
        <v/>
      </c>
      <c r="D2860" s="81"/>
      <c r="E2860" s="79"/>
      <c r="F2860" s="80" t="str">
        <f>IF(A2860="","",SUMIF(EXTRATO!$A$2:$A$3000,$A2860,EXTRATO!$J$2:$J$3000)+SUMIF(EXTRATO!$A$2:$A$3000,$A2860,EXTRATO!$K$2:$K$3000)+SUMIF(EXTRATO!$A$2:$A$3000,$A2860,EXTRATO!$L$2:$L$3000)+SUMIF(EXTRATO!$A$2:$A$3000,$A2860,EXTRATO!$M$2:$M$3000))</f>
        <v/>
      </c>
      <c r="G2860" s="81" t="str">
        <f>IF(A2860="","",IF(INDEX(EXTRATO!$G$2:$G$3000,MATCH($A2860,EXTRATO!$A$2:$A$3000,0))="","",INDEX(EXTRATO!$G$2:$G$3000,MATCH($A2860,EXTRATO!$A$2:$A$3000,0))))</f>
        <v/>
      </c>
      <c r="H2860" s="86" t="str">
        <f>IF(A2860="","",IF(INDEX(EXTRATO!$F$2:$F$3000,MATCH($A2860,EXTRATO!$A$2:$A$3000,0))="","",INDEX(EXTRATO!$F$2:$F$3000,MATCH($A2860,EXTRATO!$A$2:$A$3000,0))))</f>
        <v/>
      </c>
      <c r="I2860" s="88" t="str">
        <f>IF(A2860="","",IF(INDEX(EXTRATO!$H$2:$H$3000,MATCH($A2860,EXTRATO!$A$2:$A$3000,0))="","",INDEX(EXTRATO!$H$2:$H$3000,MATCH($A2860,EXTRATO!$A$2:$A$3000,0))))</f>
        <v/>
      </c>
      <c r="J2860" s="86" t="str">
        <f t="shared" ref="J2860:J2923" si="77">IF(A2860="","",IF(K2860="OK","MANUAL","PENDENTE"))</f>
        <v/>
      </c>
      <c r="K2860" s="86" t="str">
        <f>IF(AND(A2860="",D2860="",E2860="",F2860=""),"",IF(D2860="","SEM CATEGORIA",IF(E2860="","SEM SUBCATEGORIA",IF(COUNTIFS(CADASTROS!$L$7:$L$93,D2860,CADASTROS!$D$7:$D$93,E2860)=0,"INCOMPATÍVEL","OK"))))</f>
        <v/>
      </c>
    </row>
    <row r="2861" spans="1:11" ht="30" hidden="1" customHeight="1" x14ac:dyDescent="0.25">
      <c r="A2861" s="86" t="str">
        <f>IF(COUNTIF(EXTRATO!$A$2:$A$3000,"BAN-02718")=0,"","BAN-02718")</f>
        <v/>
      </c>
      <c r="B2861" s="85" t="str">
        <f>IF(A2861="","",IF(INDEX(EXTRATO!$C$2:$C$3000,MATCH($A2861,EXTRATO!$A$2:$A$3000,0))="","",INDEX(EXTRATO!$C$2:$C$3000,MATCH($A2861,EXTRATO!$A$2:$A$3000,0))))</f>
        <v/>
      </c>
      <c r="C2861" s="86" t="str">
        <f t="shared" si="76"/>
        <v/>
      </c>
      <c r="D2861" s="81"/>
      <c r="E2861" s="79"/>
      <c r="F2861" s="80" t="str">
        <f>IF(A2861="","",SUMIF(EXTRATO!$A$2:$A$3000,$A2861,EXTRATO!$J$2:$J$3000)+SUMIF(EXTRATO!$A$2:$A$3000,$A2861,EXTRATO!$K$2:$K$3000)+SUMIF(EXTRATO!$A$2:$A$3000,$A2861,EXTRATO!$L$2:$L$3000)+SUMIF(EXTRATO!$A$2:$A$3000,$A2861,EXTRATO!$M$2:$M$3000))</f>
        <v/>
      </c>
      <c r="G2861" s="81" t="str">
        <f>IF(A2861="","",IF(INDEX(EXTRATO!$G$2:$G$3000,MATCH($A2861,EXTRATO!$A$2:$A$3000,0))="","",INDEX(EXTRATO!$G$2:$G$3000,MATCH($A2861,EXTRATO!$A$2:$A$3000,0))))</f>
        <v/>
      </c>
      <c r="H2861" s="86" t="str">
        <f>IF(A2861="","",IF(INDEX(EXTRATO!$F$2:$F$3000,MATCH($A2861,EXTRATO!$A$2:$A$3000,0))="","",INDEX(EXTRATO!$F$2:$F$3000,MATCH($A2861,EXTRATO!$A$2:$A$3000,0))))</f>
        <v/>
      </c>
      <c r="I2861" s="88" t="str">
        <f>IF(A2861="","",IF(INDEX(EXTRATO!$H$2:$H$3000,MATCH($A2861,EXTRATO!$A$2:$A$3000,0))="","",INDEX(EXTRATO!$H$2:$H$3000,MATCH($A2861,EXTRATO!$A$2:$A$3000,0))))</f>
        <v/>
      </c>
      <c r="J2861" s="86" t="str">
        <f t="shared" si="77"/>
        <v/>
      </c>
      <c r="K2861" s="86" t="str">
        <f>IF(AND(A2861="",D2861="",E2861="",F2861=""),"",IF(D2861="","SEM CATEGORIA",IF(E2861="","SEM SUBCATEGORIA",IF(COUNTIFS(CADASTROS!$L$7:$L$93,D2861,CADASTROS!$D$7:$D$93,E2861)=0,"INCOMPATÍVEL","OK"))))</f>
        <v/>
      </c>
    </row>
    <row r="2862" spans="1:11" ht="30" hidden="1" customHeight="1" x14ac:dyDescent="0.25">
      <c r="A2862" s="86" t="str">
        <f>IF(COUNTIF(EXTRATO!$A$2:$A$3000,"BAN-02719")=0,"","BAN-02719")</f>
        <v/>
      </c>
      <c r="B2862" s="85" t="str">
        <f>IF(A2862="","",IF(INDEX(EXTRATO!$C$2:$C$3000,MATCH($A2862,EXTRATO!$A$2:$A$3000,0))="","",INDEX(EXTRATO!$C$2:$C$3000,MATCH($A2862,EXTRATO!$A$2:$A$3000,0))))</f>
        <v/>
      </c>
      <c r="C2862" s="86" t="str">
        <f t="shared" si="76"/>
        <v/>
      </c>
      <c r="D2862" s="81"/>
      <c r="E2862" s="79"/>
      <c r="F2862" s="80" t="str">
        <f>IF(A2862="","",SUMIF(EXTRATO!$A$2:$A$3000,$A2862,EXTRATO!$J$2:$J$3000)+SUMIF(EXTRATO!$A$2:$A$3000,$A2862,EXTRATO!$K$2:$K$3000)+SUMIF(EXTRATO!$A$2:$A$3000,$A2862,EXTRATO!$L$2:$L$3000)+SUMIF(EXTRATO!$A$2:$A$3000,$A2862,EXTRATO!$M$2:$M$3000))</f>
        <v/>
      </c>
      <c r="G2862" s="81" t="str">
        <f>IF(A2862="","",IF(INDEX(EXTRATO!$G$2:$G$3000,MATCH($A2862,EXTRATO!$A$2:$A$3000,0))="","",INDEX(EXTRATO!$G$2:$G$3000,MATCH($A2862,EXTRATO!$A$2:$A$3000,0))))</f>
        <v/>
      </c>
      <c r="H2862" s="86" t="str">
        <f>IF(A2862="","",IF(INDEX(EXTRATO!$F$2:$F$3000,MATCH($A2862,EXTRATO!$A$2:$A$3000,0))="","",INDEX(EXTRATO!$F$2:$F$3000,MATCH($A2862,EXTRATO!$A$2:$A$3000,0))))</f>
        <v/>
      </c>
      <c r="I2862" s="88" t="str">
        <f>IF(A2862="","",IF(INDEX(EXTRATO!$H$2:$H$3000,MATCH($A2862,EXTRATO!$A$2:$A$3000,0))="","",INDEX(EXTRATO!$H$2:$H$3000,MATCH($A2862,EXTRATO!$A$2:$A$3000,0))))</f>
        <v/>
      </c>
      <c r="J2862" s="86" t="str">
        <f t="shared" si="77"/>
        <v/>
      </c>
      <c r="K2862" s="86" t="str">
        <f>IF(AND(A2862="",D2862="",E2862="",F2862=""),"",IF(D2862="","SEM CATEGORIA",IF(E2862="","SEM SUBCATEGORIA",IF(COUNTIFS(CADASTROS!$L$7:$L$93,D2862,CADASTROS!$D$7:$D$93,E2862)=0,"INCOMPATÍVEL","OK"))))</f>
        <v/>
      </c>
    </row>
    <row r="2863" spans="1:11" ht="30" hidden="1" customHeight="1" x14ac:dyDescent="0.25">
      <c r="A2863" s="86" t="str">
        <f>IF(COUNTIF(EXTRATO!$A$2:$A$3000,"BAN-02720")=0,"","BAN-02720")</f>
        <v/>
      </c>
      <c r="B2863" s="85" t="str">
        <f>IF(A2863="","",IF(INDEX(EXTRATO!$C$2:$C$3000,MATCH($A2863,EXTRATO!$A$2:$A$3000,0))="","",INDEX(EXTRATO!$C$2:$C$3000,MATCH($A2863,EXTRATO!$A$2:$A$3000,0))))</f>
        <v/>
      </c>
      <c r="C2863" s="86" t="str">
        <f t="shared" si="76"/>
        <v/>
      </c>
      <c r="D2863" s="81"/>
      <c r="E2863" s="79"/>
      <c r="F2863" s="80" t="str">
        <f>IF(A2863="","",SUMIF(EXTRATO!$A$2:$A$3000,$A2863,EXTRATO!$J$2:$J$3000)+SUMIF(EXTRATO!$A$2:$A$3000,$A2863,EXTRATO!$K$2:$K$3000)+SUMIF(EXTRATO!$A$2:$A$3000,$A2863,EXTRATO!$L$2:$L$3000)+SUMIF(EXTRATO!$A$2:$A$3000,$A2863,EXTRATO!$M$2:$M$3000))</f>
        <v/>
      </c>
      <c r="G2863" s="81" t="str">
        <f>IF(A2863="","",IF(INDEX(EXTRATO!$G$2:$G$3000,MATCH($A2863,EXTRATO!$A$2:$A$3000,0))="","",INDEX(EXTRATO!$G$2:$G$3000,MATCH($A2863,EXTRATO!$A$2:$A$3000,0))))</f>
        <v/>
      </c>
      <c r="H2863" s="86" t="str">
        <f>IF(A2863="","",IF(INDEX(EXTRATO!$F$2:$F$3000,MATCH($A2863,EXTRATO!$A$2:$A$3000,0))="","",INDEX(EXTRATO!$F$2:$F$3000,MATCH($A2863,EXTRATO!$A$2:$A$3000,0))))</f>
        <v/>
      </c>
      <c r="I2863" s="88" t="str">
        <f>IF(A2863="","",IF(INDEX(EXTRATO!$H$2:$H$3000,MATCH($A2863,EXTRATO!$A$2:$A$3000,0))="","",INDEX(EXTRATO!$H$2:$H$3000,MATCH($A2863,EXTRATO!$A$2:$A$3000,0))))</f>
        <v/>
      </c>
      <c r="J2863" s="86" t="str">
        <f t="shared" si="77"/>
        <v/>
      </c>
      <c r="K2863" s="86" t="str">
        <f>IF(AND(A2863="",D2863="",E2863="",F2863=""),"",IF(D2863="","SEM CATEGORIA",IF(E2863="","SEM SUBCATEGORIA",IF(COUNTIFS(CADASTROS!$L$7:$L$93,D2863,CADASTROS!$D$7:$D$93,E2863)=0,"INCOMPATÍVEL","OK"))))</f>
        <v/>
      </c>
    </row>
    <row r="2864" spans="1:11" ht="30" hidden="1" customHeight="1" x14ac:dyDescent="0.25">
      <c r="A2864" s="86" t="str">
        <f>IF(COUNTIF(EXTRATO!$A$2:$A$3000,"BAN-02721")=0,"","BAN-02721")</f>
        <v/>
      </c>
      <c r="B2864" s="85" t="str">
        <f>IF(A2864="","",IF(INDEX(EXTRATO!$C$2:$C$3000,MATCH($A2864,EXTRATO!$A$2:$A$3000,0))="","",INDEX(EXTRATO!$C$2:$C$3000,MATCH($A2864,EXTRATO!$A$2:$A$3000,0))))</f>
        <v/>
      </c>
      <c r="C2864" s="86" t="str">
        <f t="shared" si="76"/>
        <v/>
      </c>
      <c r="D2864" s="81"/>
      <c r="E2864" s="79"/>
      <c r="F2864" s="80" t="str">
        <f>IF(A2864="","",SUMIF(EXTRATO!$A$2:$A$3000,$A2864,EXTRATO!$J$2:$J$3000)+SUMIF(EXTRATO!$A$2:$A$3000,$A2864,EXTRATO!$K$2:$K$3000)+SUMIF(EXTRATO!$A$2:$A$3000,$A2864,EXTRATO!$L$2:$L$3000)+SUMIF(EXTRATO!$A$2:$A$3000,$A2864,EXTRATO!$M$2:$M$3000))</f>
        <v/>
      </c>
      <c r="G2864" s="81" t="str">
        <f>IF(A2864="","",IF(INDEX(EXTRATO!$G$2:$G$3000,MATCH($A2864,EXTRATO!$A$2:$A$3000,0))="","",INDEX(EXTRATO!$G$2:$G$3000,MATCH($A2864,EXTRATO!$A$2:$A$3000,0))))</f>
        <v/>
      </c>
      <c r="H2864" s="86" t="str">
        <f>IF(A2864="","",IF(INDEX(EXTRATO!$F$2:$F$3000,MATCH($A2864,EXTRATO!$A$2:$A$3000,0))="","",INDEX(EXTRATO!$F$2:$F$3000,MATCH($A2864,EXTRATO!$A$2:$A$3000,0))))</f>
        <v/>
      </c>
      <c r="I2864" s="88" t="str">
        <f>IF(A2864="","",IF(INDEX(EXTRATO!$H$2:$H$3000,MATCH($A2864,EXTRATO!$A$2:$A$3000,0))="","",INDEX(EXTRATO!$H$2:$H$3000,MATCH($A2864,EXTRATO!$A$2:$A$3000,0))))</f>
        <v/>
      </c>
      <c r="J2864" s="86" t="str">
        <f t="shared" si="77"/>
        <v/>
      </c>
      <c r="K2864" s="86" t="str">
        <f>IF(AND(A2864="",D2864="",E2864="",F2864=""),"",IF(D2864="","SEM CATEGORIA",IF(E2864="","SEM SUBCATEGORIA",IF(COUNTIFS(CADASTROS!$L$7:$L$93,D2864,CADASTROS!$D$7:$D$93,E2864)=0,"INCOMPATÍVEL","OK"))))</f>
        <v/>
      </c>
    </row>
    <row r="2865" spans="1:11" ht="30" hidden="1" customHeight="1" x14ac:dyDescent="0.25">
      <c r="A2865" s="86" t="str">
        <f>IF(COUNTIF(EXTRATO!$A$2:$A$3000,"BAN-02722")=0,"","BAN-02722")</f>
        <v/>
      </c>
      <c r="B2865" s="85" t="str">
        <f>IF(A2865="","",IF(INDEX(EXTRATO!$C$2:$C$3000,MATCH($A2865,EXTRATO!$A$2:$A$3000,0))="","",INDEX(EXTRATO!$C$2:$C$3000,MATCH($A2865,EXTRATO!$A$2:$A$3000,0))))</f>
        <v/>
      </c>
      <c r="C2865" s="86" t="str">
        <f t="shared" si="76"/>
        <v/>
      </c>
      <c r="D2865" s="81"/>
      <c r="E2865" s="79"/>
      <c r="F2865" s="80" t="str">
        <f>IF(A2865="","",SUMIF(EXTRATO!$A$2:$A$3000,$A2865,EXTRATO!$J$2:$J$3000)+SUMIF(EXTRATO!$A$2:$A$3000,$A2865,EXTRATO!$K$2:$K$3000)+SUMIF(EXTRATO!$A$2:$A$3000,$A2865,EXTRATO!$L$2:$L$3000)+SUMIF(EXTRATO!$A$2:$A$3000,$A2865,EXTRATO!$M$2:$M$3000))</f>
        <v/>
      </c>
      <c r="G2865" s="81" t="str">
        <f>IF(A2865="","",IF(INDEX(EXTRATO!$G$2:$G$3000,MATCH($A2865,EXTRATO!$A$2:$A$3000,0))="","",INDEX(EXTRATO!$G$2:$G$3000,MATCH($A2865,EXTRATO!$A$2:$A$3000,0))))</f>
        <v/>
      </c>
      <c r="H2865" s="86" t="str">
        <f>IF(A2865="","",IF(INDEX(EXTRATO!$F$2:$F$3000,MATCH($A2865,EXTRATO!$A$2:$A$3000,0))="","",INDEX(EXTRATO!$F$2:$F$3000,MATCH($A2865,EXTRATO!$A$2:$A$3000,0))))</f>
        <v/>
      </c>
      <c r="I2865" s="88" t="str">
        <f>IF(A2865="","",IF(INDEX(EXTRATO!$H$2:$H$3000,MATCH($A2865,EXTRATO!$A$2:$A$3000,0))="","",INDEX(EXTRATO!$H$2:$H$3000,MATCH($A2865,EXTRATO!$A$2:$A$3000,0))))</f>
        <v/>
      </c>
      <c r="J2865" s="86" t="str">
        <f t="shared" si="77"/>
        <v/>
      </c>
      <c r="K2865" s="86" t="str">
        <f>IF(AND(A2865="",D2865="",E2865="",F2865=""),"",IF(D2865="","SEM CATEGORIA",IF(E2865="","SEM SUBCATEGORIA",IF(COUNTIFS(CADASTROS!$L$7:$L$93,D2865,CADASTROS!$D$7:$D$93,E2865)=0,"INCOMPATÍVEL","OK"))))</f>
        <v/>
      </c>
    </row>
    <row r="2866" spans="1:11" ht="30" hidden="1" customHeight="1" x14ac:dyDescent="0.25">
      <c r="A2866" s="86" t="str">
        <f>IF(COUNTIF(EXTRATO!$A$2:$A$3000,"BAN-02723")=0,"","BAN-02723")</f>
        <v/>
      </c>
      <c r="B2866" s="85" t="str">
        <f>IF(A2866="","",IF(INDEX(EXTRATO!$C$2:$C$3000,MATCH($A2866,EXTRATO!$A$2:$A$3000,0))="","",INDEX(EXTRATO!$C$2:$C$3000,MATCH($A2866,EXTRATO!$A$2:$A$3000,0))))</f>
        <v/>
      </c>
      <c r="C2866" s="86" t="str">
        <f t="shared" si="76"/>
        <v/>
      </c>
      <c r="D2866" s="81"/>
      <c r="E2866" s="79"/>
      <c r="F2866" s="80" t="str">
        <f>IF(A2866="","",SUMIF(EXTRATO!$A$2:$A$3000,$A2866,EXTRATO!$J$2:$J$3000)+SUMIF(EXTRATO!$A$2:$A$3000,$A2866,EXTRATO!$K$2:$K$3000)+SUMIF(EXTRATO!$A$2:$A$3000,$A2866,EXTRATO!$L$2:$L$3000)+SUMIF(EXTRATO!$A$2:$A$3000,$A2866,EXTRATO!$M$2:$M$3000))</f>
        <v/>
      </c>
      <c r="G2866" s="81" t="str">
        <f>IF(A2866="","",IF(INDEX(EXTRATO!$G$2:$G$3000,MATCH($A2866,EXTRATO!$A$2:$A$3000,0))="","",INDEX(EXTRATO!$G$2:$G$3000,MATCH($A2866,EXTRATO!$A$2:$A$3000,0))))</f>
        <v/>
      </c>
      <c r="H2866" s="86" t="str">
        <f>IF(A2866="","",IF(INDEX(EXTRATO!$F$2:$F$3000,MATCH($A2866,EXTRATO!$A$2:$A$3000,0))="","",INDEX(EXTRATO!$F$2:$F$3000,MATCH($A2866,EXTRATO!$A$2:$A$3000,0))))</f>
        <v/>
      </c>
      <c r="I2866" s="88" t="str">
        <f>IF(A2866="","",IF(INDEX(EXTRATO!$H$2:$H$3000,MATCH($A2866,EXTRATO!$A$2:$A$3000,0))="","",INDEX(EXTRATO!$H$2:$H$3000,MATCH($A2866,EXTRATO!$A$2:$A$3000,0))))</f>
        <v/>
      </c>
      <c r="J2866" s="86" t="str">
        <f t="shared" si="77"/>
        <v/>
      </c>
      <c r="K2866" s="86" t="str">
        <f>IF(AND(A2866="",D2866="",E2866="",F2866=""),"",IF(D2866="","SEM CATEGORIA",IF(E2866="","SEM SUBCATEGORIA",IF(COUNTIFS(CADASTROS!$L$7:$L$93,D2866,CADASTROS!$D$7:$D$93,E2866)=0,"INCOMPATÍVEL","OK"))))</f>
        <v/>
      </c>
    </row>
    <row r="2867" spans="1:11" ht="30" hidden="1" customHeight="1" x14ac:dyDescent="0.25">
      <c r="A2867" s="86" t="str">
        <f>IF(COUNTIF(EXTRATO!$A$2:$A$3000,"BAN-02724")=0,"","BAN-02724")</f>
        <v/>
      </c>
      <c r="B2867" s="85" t="str">
        <f>IF(A2867="","",IF(INDEX(EXTRATO!$C$2:$C$3000,MATCH($A2867,EXTRATO!$A$2:$A$3000,0))="","",INDEX(EXTRATO!$C$2:$C$3000,MATCH($A2867,EXTRATO!$A$2:$A$3000,0))))</f>
        <v/>
      </c>
      <c r="C2867" s="86" t="str">
        <f t="shared" si="76"/>
        <v/>
      </c>
      <c r="D2867" s="81"/>
      <c r="E2867" s="79"/>
      <c r="F2867" s="80" t="str">
        <f>IF(A2867="","",SUMIF(EXTRATO!$A$2:$A$3000,$A2867,EXTRATO!$J$2:$J$3000)+SUMIF(EXTRATO!$A$2:$A$3000,$A2867,EXTRATO!$K$2:$K$3000)+SUMIF(EXTRATO!$A$2:$A$3000,$A2867,EXTRATO!$L$2:$L$3000)+SUMIF(EXTRATO!$A$2:$A$3000,$A2867,EXTRATO!$M$2:$M$3000))</f>
        <v/>
      </c>
      <c r="G2867" s="81" t="str">
        <f>IF(A2867="","",IF(INDEX(EXTRATO!$G$2:$G$3000,MATCH($A2867,EXTRATO!$A$2:$A$3000,0))="","",INDEX(EXTRATO!$G$2:$G$3000,MATCH($A2867,EXTRATO!$A$2:$A$3000,0))))</f>
        <v/>
      </c>
      <c r="H2867" s="86" t="str">
        <f>IF(A2867="","",IF(INDEX(EXTRATO!$F$2:$F$3000,MATCH($A2867,EXTRATO!$A$2:$A$3000,0))="","",INDEX(EXTRATO!$F$2:$F$3000,MATCH($A2867,EXTRATO!$A$2:$A$3000,0))))</f>
        <v/>
      </c>
      <c r="I2867" s="88" t="str">
        <f>IF(A2867="","",IF(INDEX(EXTRATO!$H$2:$H$3000,MATCH($A2867,EXTRATO!$A$2:$A$3000,0))="","",INDEX(EXTRATO!$H$2:$H$3000,MATCH($A2867,EXTRATO!$A$2:$A$3000,0))))</f>
        <v/>
      </c>
      <c r="J2867" s="86" t="str">
        <f t="shared" si="77"/>
        <v/>
      </c>
      <c r="K2867" s="86" t="str">
        <f>IF(AND(A2867="",D2867="",E2867="",F2867=""),"",IF(D2867="","SEM CATEGORIA",IF(E2867="","SEM SUBCATEGORIA",IF(COUNTIFS(CADASTROS!$L$7:$L$93,D2867,CADASTROS!$D$7:$D$93,E2867)=0,"INCOMPATÍVEL","OK"))))</f>
        <v/>
      </c>
    </row>
    <row r="2868" spans="1:11" ht="30" hidden="1" customHeight="1" x14ac:dyDescent="0.25">
      <c r="A2868" s="86" t="str">
        <f>IF(COUNTIF(EXTRATO!$A$2:$A$3000,"BAN-02725")=0,"","BAN-02725")</f>
        <v/>
      </c>
      <c r="B2868" s="85" t="str">
        <f>IF(A2868="","",IF(INDEX(EXTRATO!$C$2:$C$3000,MATCH($A2868,EXTRATO!$A$2:$A$3000,0))="","",INDEX(EXTRATO!$C$2:$C$3000,MATCH($A2868,EXTRATO!$A$2:$A$3000,0))))</f>
        <v/>
      </c>
      <c r="C2868" s="86" t="str">
        <f t="shared" si="76"/>
        <v/>
      </c>
      <c r="D2868" s="81"/>
      <c r="E2868" s="79"/>
      <c r="F2868" s="80" t="str">
        <f>IF(A2868="","",SUMIF(EXTRATO!$A$2:$A$3000,$A2868,EXTRATO!$J$2:$J$3000)+SUMIF(EXTRATO!$A$2:$A$3000,$A2868,EXTRATO!$K$2:$K$3000)+SUMIF(EXTRATO!$A$2:$A$3000,$A2868,EXTRATO!$L$2:$L$3000)+SUMIF(EXTRATO!$A$2:$A$3000,$A2868,EXTRATO!$M$2:$M$3000))</f>
        <v/>
      </c>
      <c r="G2868" s="81" t="str">
        <f>IF(A2868="","",IF(INDEX(EXTRATO!$G$2:$G$3000,MATCH($A2868,EXTRATO!$A$2:$A$3000,0))="","",INDEX(EXTRATO!$G$2:$G$3000,MATCH($A2868,EXTRATO!$A$2:$A$3000,0))))</f>
        <v/>
      </c>
      <c r="H2868" s="86" t="str">
        <f>IF(A2868="","",IF(INDEX(EXTRATO!$F$2:$F$3000,MATCH($A2868,EXTRATO!$A$2:$A$3000,0))="","",INDEX(EXTRATO!$F$2:$F$3000,MATCH($A2868,EXTRATO!$A$2:$A$3000,0))))</f>
        <v/>
      </c>
      <c r="I2868" s="88" t="str">
        <f>IF(A2868="","",IF(INDEX(EXTRATO!$H$2:$H$3000,MATCH($A2868,EXTRATO!$A$2:$A$3000,0))="","",INDEX(EXTRATO!$H$2:$H$3000,MATCH($A2868,EXTRATO!$A$2:$A$3000,0))))</f>
        <v/>
      </c>
      <c r="J2868" s="86" t="str">
        <f t="shared" si="77"/>
        <v/>
      </c>
      <c r="K2868" s="86" t="str">
        <f>IF(AND(A2868="",D2868="",E2868="",F2868=""),"",IF(D2868="","SEM CATEGORIA",IF(E2868="","SEM SUBCATEGORIA",IF(COUNTIFS(CADASTROS!$L$7:$L$93,D2868,CADASTROS!$D$7:$D$93,E2868)=0,"INCOMPATÍVEL","OK"))))</f>
        <v/>
      </c>
    </row>
    <row r="2869" spans="1:11" ht="30" hidden="1" customHeight="1" x14ac:dyDescent="0.25">
      <c r="A2869" s="86" t="str">
        <f>IF(COUNTIF(EXTRATO!$A$2:$A$3000,"BAN-02726")=0,"","BAN-02726")</f>
        <v/>
      </c>
      <c r="B2869" s="85" t="str">
        <f>IF(A2869="","",IF(INDEX(EXTRATO!$C$2:$C$3000,MATCH($A2869,EXTRATO!$A$2:$A$3000,0))="","",INDEX(EXTRATO!$C$2:$C$3000,MATCH($A2869,EXTRATO!$A$2:$A$3000,0))))</f>
        <v/>
      </c>
      <c r="C2869" s="86" t="str">
        <f t="shared" si="76"/>
        <v/>
      </c>
      <c r="D2869" s="81"/>
      <c r="E2869" s="79"/>
      <c r="F2869" s="80" t="str">
        <f>IF(A2869="","",SUMIF(EXTRATO!$A$2:$A$3000,$A2869,EXTRATO!$J$2:$J$3000)+SUMIF(EXTRATO!$A$2:$A$3000,$A2869,EXTRATO!$K$2:$K$3000)+SUMIF(EXTRATO!$A$2:$A$3000,$A2869,EXTRATO!$L$2:$L$3000)+SUMIF(EXTRATO!$A$2:$A$3000,$A2869,EXTRATO!$M$2:$M$3000))</f>
        <v/>
      </c>
      <c r="G2869" s="81" t="str">
        <f>IF(A2869="","",IF(INDEX(EXTRATO!$G$2:$G$3000,MATCH($A2869,EXTRATO!$A$2:$A$3000,0))="","",INDEX(EXTRATO!$G$2:$G$3000,MATCH($A2869,EXTRATO!$A$2:$A$3000,0))))</f>
        <v/>
      </c>
      <c r="H2869" s="86" t="str">
        <f>IF(A2869="","",IF(INDEX(EXTRATO!$F$2:$F$3000,MATCH($A2869,EXTRATO!$A$2:$A$3000,0))="","",INDEX(EXTRATO!$F$2:$F$3000,MATCH($A2869,EXTRATO!$A$2:$A$3000,0))))</f>
        <v/>
      </c>
      <c r="I2869" s="88" t="str">
        <f>IF(A2869="","",IF(INDEX(EXTRATO!$H$2:$H$3000,MATCH($A2869,EXTRATO!$A$2:$A$3000,0))="","",INDEX(EXTRATO!$H$2:$H$3000,MATCH($A2869,EXTRATO!$A$2:$A$3000,0))))</f>
        <v/>
      </c>
      <c r="J2869" s="86" t="str">
        <f t="shared" si="77"/>
        <v/>
      </c>
      <c r="K2869" s="86" t="str">
        <f>IF(AND(A2869="",D2869="",E2869="",F2869=""),"",IF(D2869="","SEM CATEGORIA",IF(E2869="","SEM SUBCATEGORIA",IF(COUNTIFS(CADASTROS!$L$7:$L$93,D2869,CADASTROS!$D$7:$D$93,E2869)=0,"INCOMPATÍVEL","OK"))))</f>
        <v/>
      </c>
    </row>
    <row r="2870" spans="1:11" ht="30" hidden="1" customHeight="1" x14ac:dyDescent="0.25">
      <c r="A2870" s="86" t="str">
        <f>IF(COUNTIF(EXTRATO!$A$2:$A$3000,"BAN-02727")=0,"","BAN-02727")</f>
        <v/>
      </c>
      <c r="B2870" s="85" t="str">
        <f>IF(A2870="","",IF(INDEX(EXTRATO!$C$2:$C$3000,MATCH($A2870,EXTRATO!$A$2:$A$3000,0))="","",INDEX(EXTRATO!$C$2:$C$3000,MATCH($A2870,EXTRATO!$A$2:$A$3000,0))))</f>
        <v/>
      </c>
      <c r="C2870" s="86" t="str">
        <f t="shared" si="76"/>
        <v/>
      </c>
      <c r="D2870" s="81"/>
      <c r="E2870" s="79"/>
      <c r="F2870" s="80" t="str">
        <f>IF(A2870="","",SUMIF(EXTRATO!$A$2:$A$3000,$A2870,EXTRATO!$J$2:$J$3000)+SUMIF(EXTRATO!$A$2:$A$3000,$A2870,EXTRATO!$K$2:$K$3000)+SUMIF(EXTRATO!$A$2:$A$3000,$A2870,EXTRATO!$L$2:$L$3000)+SUMIF(EXTRATO!$A$2:$A$3000,$A2870,EXTRATO!$M$2:$M$3000))</f>
        <v/>
      </c>
      <c r="G2870" s="81" t="str">
        <f>IF(A2870="","",IF(INDEX(EXTRATO!$G$2:$G$3000,MATCH($A2870,EXTRATO!$A$2:$A$3000,0))="","",INDEX(EXTRATO!$G$2:$G$3000,MATCH($A2870,EXTRATO!$A$2:$A$3000,0))))</f>
        <v/>
      </c>
      <c r="H2870" s="86" t="str">
        <f>IF(A2870="","",IF(INDEX(EXTRATO!$F$2:$F$3000,MATCH($A2870,EXTRATO!$A$2:$A$3000,0))="","",INDEX(EXTRATO!$F$2:$F$3000,MATCH($A2870,EXTRATO!$A$2:$A$3000,0))))</f>
        <v/>
      </c>
      <c r="I2870" s="88" t="str">
        <f>IF(A2870="","",IF(INDEX(EXTRATO!$H$2:$H$3000,MATCH($A2870,EXTRATO!$A$2:$A$3000,0))="","",INDEX(EXTRATO!$H$2:$H$3000,MATCH($A2870,EXTRATO!$A$2:$A$3000,0))))</f>
        <v/>
      </c>
      <c r="J2870" s="86" t="str">
        <f t="shared" si="77"/>
        <v/>
      </c>
      <c r="K2870" s="86" t="str">
        <f>IF(AND(A2870="",D2870="",E2870="",F2870=""),"",IF(D2870="","SEM CATEGORIA",IF(E2870="","SEM SUBCATEGORIA",IF(COUNTIFS(CADASTROS!$L$7:$L$93,D2870,CADASTROS!$D$7:$D$93,E2870)=0,"INCOMPATÍVEL","OK"))))</f>
        <v/>
      </c>
    </row>
    <row r="2871" spans="1:11" ht="30" hidden="1" customHeight="1" x14ac:dyDescent="0.25">
      <c r="A2871" s="86" t="str">
        <f>IF(COUNTIF(EXTRATO!$A$2:$A$3000,"BAN-02728")=0,"","BAN-02728")</f>
        <v/>
      </c>
      <c r="B2871" s="85" t="str">
        <f>IF(A2871="","",IF(INDEX(EXTRATO!$C$2:$C$3000,MATCH($A2871,EXTRATO!$A$2:$A$3000,0))="","",INDEX(EXTRATO!$C$2:$C$3000,MATCH($A2871,EXTRATO!$A$2:$A$3000,0))))</f>
        <v/>
      </c>
      <c r="C2871" s="86" t="str">
        <f t="shared" si="76"/>
        <v/>
      </c>
      <c r="D2871" s="81"/>
      <c r="E2871" s="79"/>
      <c r="F2871" s="80" t="str">
        <f>IF(A2871="","",SUMIF(EXTRATO!$A$2:$A$3000,$A2871,EXTRATO!$J$2:$J$3000)+SUMIF(EXTRATO!$A$2:$A$3000,$A2871,EXTRATO!$K$2:$K$3000)+SUMIF(EXTRATO!$A$2:$A$3000,$A2871,EXTRATO!$L$2:$L$3000)+SUMIF(EXTRATO!$A$2:$A$3000,$A2871,EXTRATO!$M$2:$M$3000))</f>
        <v/>
      </c>
      <c r="G2871" s="81" t="str">
        <f>IF(A2871="","",IF(INDEX(EXTRATO!$G$2:$G$3000,MATCH($A2871,EXTRATO!$A$2:$A$3000,0))="","",INDEX(EXTRATO!$G$2:$G$3000,MATCH($A2871,EXTRATO!$A$2:$A$3000,0))))</f>
        <v/>
      </c>
      <c r="H2871" s="86" t="str">
        <f>IF(A2871="","",IF(INDEX(EXTRATO!$F$2:$F$3000,MATCH($A2871,EXTRATO!$A$2:$A$3000,0))="","",INDEX(EXTRATO!$F$2:$F$3000,MATCH($A2871,EXTRATO!$A$2:$A$3000,0))))</f>
        <v/>
      </c>
      <c r="I2871" s="88" t="str">
        <f>IF(A2871="","",IF(INDEX(EXTRATO!$H$2:$H$3000,MATCH($A2871,EXTRATO!$A$2:$A$3000,0))="","",INDEX(EXTRATO!$H$2:$H$3000,MATCH($A2871,EXTRATO!$A$2:$A$3000,0))))</f>
        <v/>
      </c>
      <c r="J2871" s="86" t="str">
        <f t="shared" si="77"/>
        <v/>
      </c>
      <c r="K2871" s="86" t="str">
        <f>IF(AND(A2871="",D2871="",E2871="",F2871=""),"",IF(D2871="","SEM CATEGORIA",IF(E2871="","SEM SUBCATEGORIA",IF(COUNTIFS(CADASTROS!$L$7:$L$93,D2871,CADASTROS!$D$7:$D$93,E2871)=0,"INCOMPATÍVEL","OK"))))</f>
        <v/>
      </c>
    </row>
    <row r="2872" spans="1:11" ht="30" hidden="1" customHeight="1" x14ac:dyDescent="0.25">
      <c r="A2872" s="86" t="str">
        <f>IF(COUNTIF(EXTRATO!$A$2:$A$3000,"BAN-02729")=0,"","BAN-02729")</f>
        <v/>
      </c>
      <c r="B2872" s="85" t="str">
        <f>IF(A2872="","",IF(INDEX(EXTRATO!$C$2:$C$3000,MATCH($A2872,EXTRATO!$A$2:$A$3000,0))="","",INDEX(EXTRATO!$C$2:$C$3000,MATCH($A2872,EXTRATO!$A$2:$A$3000,0))))</f>
        <v/>
      </c>
      <c r="C2872" s="86" t="str">
        <f t="shared" si="76"/>
        <v/>
      </c>
      <c r="D2872" s="81"/>
      <c r="E2872" s="79"/>
      <c r="F2872" s="80" t="str">
        <f>IF(A2872="","",SUMIF(EXTRATO!$A$2:$A$3000,$A2872,EXTRATO!$J$2:$J$3000)+SUMIF(EXTRATO!$A$2:$A$3000,$A2872,EXTRATO!$K$2:$K$3000)+SUMIF(EXTRATO!$A$2:$A$3000,$A2872,EXTRATO!$L$2:$L$3000)+SUMIF(EXTRATO!$A$2:$A$3000,$A2872,EXTRATO!$M$2:$M$3000))</f>
        <v/>
      </c>
      <c r="G2872" s="81" t="str">
        <f>IF(A2872="","",IF(INDEX(EXTRATO!$G$2:$G$3000,MATCH($A2872,EXTRATO!$A$2:$A$3000,0))="","",INDEX(EXTRATO!$G$2:$G$3000,MATCH($A2872,EXTRATO!$A$2:$A$3000,0))))</f>
        <v/>
      </c>
      <c r="H2872" s="86" t="str">
        <f>IF(A2872="","",IF(INDEX(EXTRATO!$F$2:$F$3000,MATCH($A2872,EXTRATO!$A$2:$A$3000,0))="","",INDEX(EXTRATO!$F$2:$F$3000,MATCH($A2872,EXTRATO!$A$2:$A$3000,0))))</f>
        <v/>
      </c>
      <c r="I2872" s="88" t="str">
        <f>IF(A2872="","",IF(INDEX(EXTRATO!$H$2:$H$3000,MATCH($A2872,EXTRATO!$A$2:$A$3000,0))="","",INDEX(EXTRATO!$H$2:$H$3000,MATCH($A2872,EXTRATO!$A$2:$A$3000,0))))</f>
        <v/>
      </c>
      <c r="J2872" s="86" t="str">
        <f t="shared" si="77"/>
        <v/>
      </c>
      <c r="K2872" s="86" t="str">
        <f>IF(AND(A2872="",D2872="",E2872="",F2872=""),"",IF(D2872="","SEM CATEGORIA",IF(E2872="","SEM SUBCATEGORIA",IF(COUNTIFS(CADASTROS!$L$7:$L$93,D2872,CADASTROS!$D$7:$D$93,E2872)=0,"INCOMPATÍVEL","OK"))))</f>
        <v/>
      </c>
    </row>
    <row r="2873" spans="1:11" ht="30" hidden="1" customHeight="1" x14ac:dyDescent="0.25">
      <c r="A2873" s="86" t="str">
        <f>IF(COUNTIF(EXTRATO!$A$2:$A$3000,"BAN-02730")=0,"","BAN-02730")</f>
        <v/>
      </c>
      <c r="B2873" s="85" t="str">
        <f>IF(A2873="","",IF(INDEX(EXTRATO!$C$2:$C$3000,MATCH($A2873,EXTRATO!$A$2:$A$3000,0))="","",INDEX(EXTRATO!$C$2:$C$3000,MATCH($A2873,EXTRATO!$A$2:$A$3000,0))))</f>
        <v/>
      </c>
      <c r="C2873" s="86" t="str">
        <f t="shared" si="76"/>
        <v/>
      </c>
      <c r="D2873" s="81"/>
      <c r="E2873" s="79"/>
      <c r="F2873" s="80" t="str">
        <f>IF(A2873="","",SUMIF(EXTRATO!$A$2:$A$3000,$A2873,EXTRATO!$J$2:$J$3000)+SUMIF(EXTRATO!$A$2:$A$3000,$A2873,EXTRATO!$K$2:$K$3000)+SUMIF(EXTRATO!$A$2:$A$3000,$A2873,EXTRATO!$L$2:$L$3000)+SUMIF(EXTRATO!$A$2:$A$3000,$A2873,EXTRATO!$M$2:$M$3000))</f>
        <v/>
      </c>
      <c r="G2873" s="81" t="str">
        <f>IF(A2873="","",IF(INDEX(EXTRATO!$G$2:$G$3000,MATCH($A2873,EXTRATO!$A$2:$A$3000,0))="","",INDEX(EXTRATO!$G$2:$G$3000,MATCH($A2873,EXTRATO!$A$2:$A$3000,0))))</f>
        <v/>
      </c>
      <c r="H2873" s="86" t="str">
        <f>IF(A2873="","",IF(INDEX(EXTRATO!$F$2:$F$3000,MATCH($A2873,EXTRATO!$A$2:$A$3000,0))="","",INDEX(EXTRATO!$F$2:$F$3000,MATCH($A2873,EXTRATO!$A$2:$A$3000,0))))</f>
        <v/>
      </c>
      <c r="I2873" s="88" t="str">
        <f>IF(A2873="","",IF(INDEX(EXTRATO!$H$2:$H$3000,MATCH($A2873,EXTRATO!$A$2:$A$3000,0))="","",INDEX(EXTRATO!$H$2:$H$3000,MATCH($A2873,EXTRATO!$A$2:$A$3000,0))))</f>
        <v/>
      </c>
      <c r="J2873" s="86" t="str">
        <f t="shared" si="77"/>
        <v/>
      </c>
      <c r="K2873" s="86" t="str">
        <f>IF(AND(A2873="",D2873="",E2873="",F2873=""),"",IF(D2873="","SEM CATEGORIA",IF(E2873="","SEM SUBCATEGORIA",IF(COUNTIFS(CADASTROS!$L$7:$L$93,D2873,CADASTROS!$D$7:$D$93,E2873)=0,"INCOMPATÍVEL","OK"))))</f>
        <v/>
      </c>
    </row>
    <row r="2874" spans="1:11" ht="30" hidden="1" customHeight="1" x14ac:dyDescent="0.25">
      <c r="A2874" s="86" t="str">
        <f>IF(COUNTIF(EXTRATO!$A$2:$A$3000,"BAN-02731")=0,"","BAN-02731")</f>
        <v/>
      </c>
      <c r="B2874" s="85" t="str">
        <f>IF(A2874="","",IF(INDEX(EXTRATO!$C$2:$C$3000,MATCH($A2874,EXTRATO!$A$2:$A$3000,0))="","",INDEX(EXTRATO!$C$2:$C$3000,MATCH($A2874,EXTRATO!$A$2:$A$3000,0))))</f>
        <v/>
      </c>
      <c r="C2874" s="86" t="str">
        <f t="shared" si="76"/>
        <v/>
      </c>
      <c r="D2874" s="81"/>
      <c r="E2874" s="79"/>
      <c r="F2874" s="80" t="str">
        <f>IF(A2874="","",SUMIF(EXTRATO!$A$2:$A$3000,$A2874,EXTRATO!$J$2:$J$3000)+SUMIF(EXTRATO!$A$2:$A$3000,$A2874,EXTRATO!$K$2:$K$3000)+SUMIF(EXTRATO!$A$2:$A$3000,$A2874,EXTRATO!$L$2:$L$3000)+SUMIF(EXTRATO!$A$2:$A$3000,$A2874,EXTRATO!$M$2:$M$3000))</f>
        <v/>
      </c>
      <c r="G2874" s="81" t="str">
        <f>IF(A2874="","",IF(INDEX(EXTRATO!$G$2:$G$3000,MATCH($A2874,EXTRATO!$A$2:$A$3000,0))="","",INDEX(EXTRATO!$G$2:$G$3000,MATCH($A2874,EXTRATO!$A$2:$A$3000,0))))</f>
        <v/>
      </c>
      <c r="H2874" s="86" t="str">
        <f>IF(A2874="","",IF(INDEX(EXTRATO!$F$2:$F$3000,MATCH($A2874,EXTRATO!$A$2:$A$3000,0))="","",INDEX(EXTRATO!$F$2:$F$3000,MATCH($A2874,EXTRATO!$A$2:$A$3000,0))))</f>
        <v/>
      </c>
      <c r="I2874" s="88" t="str">
        <f>IF(A2874="","",IF(INDEX(EXTRATO!$H$2:$H$3000,MATCH($A2874,EXTRATO!$A$2:$A$3000,0))="","",INDEX(EXTRATO!$H$2:$H$3000,MATCH($A2874,EXTRATO!$A$2:$A$3000,0))))</f>
        <v/>
      </c>
      <c r="J2874" s="86" t="str">
        <f t="shared" si="77"/>
        <v/>
      </c>
      <c r="K2874" s="86" t="str">
        <f>IF(AND(A2874="",D2874="",E2874="",F2874=""),"",IF(D2874="","SEM CATEGORIA",IF(E2874="","SEM SUBCATEGORIA",IF(COUNTIFS(CADASTROS!$L$7:$L$93,D2874,CADASTROS!$D$7:$D$93,E2874)=0,"INCOMPATÍVEL","OK"))))</f>
        <v/>
      </c>
    </row>
    <row r="2875" spans="1:11" ht="30" hidden="1" customHeight="1" x14ac:dyDescent="0.25">
      <c r="A2875" s="86" t="str">
        <f>IF(COUNTIF(EXTRATO!$A$2:$A$3000,"BAN-02732")=0,"","BAN-02732")</f>
        <v/>
      </c>
      <c r="B2875" s="85" t="str">
        <f>IF(A2875="","",IF(INDEX(EXTRATO!$C$2:$C$3000,MATCH($A2875,EXTRATO!$A$2:$A$3000,0))="","",INDEX(EXTRATO!$C$2:$C$3000,MATCH($A2875,EXTRATO!$A$2:$A$3000,0))))</f>
        <v/>
      </c>
      <c r="C2875" s="86" t="str">
        <f t="shared" si="76"/>
        <v/>
      </c>
      <c r="D2875" s="81"/>
      <c r="E2875" s="79"/>
      <c r="F2875" s="80" t="str">
        <f>IF(A2875="","",SUMIF(EXTRATO!$A$2:$A$3000,$A2875,EXTRATO!$J$2:$J$3000)+SUMIF(EXTRATO!$A$2:$A$3000,$A2875,EXTRATO!$K$2:$K$3000)+SUMIF(EXTRATO!$A$2:$A$3000,$A2875,EXTRATO!$L$2:$L$3000)+SUMIF(EXTRATO!$A$2:$A$3000,$A2875,EXTRATO!$M$2:$M$3000))</f>
        <v/>
      </c>
      <c r="G2875" s="81" t="str">
        <f>IF(A2875="","",IF(INDEX(EXTRATO!$G$2:$G$3000,MATCH($A2875,EXTRATO!$A$2:$A$3000,0))="","",INDEX(EXTRATO!$G$2:$G$3000,MATCH($A2875,EXTRATO!$A$2:$A$3000,0))))</f>
        <v/>
      </c>
      <c r="H2875" s="86" t="str">
        <f>IF(A2875="","",IF(INDEX(EXTRATO!$F$2:$F$3000,MATCH($A2875,EXTRATO!$A$2:$A$3000,0))="","",INDEX(EXTRATO!$F$2:$F$3000,MATCH($A2875,EXTRATO!$A$2:$A$3000,0))))</f>
        <v/>
      </c>
      <c r="I2875" s="88" t="str">
        <f>IF(A2875="","",IF(INDEX(EXTRATO!$H$2:$H$3000,MATCH($A2875,EXTRATO!$A$2:$A$3000,0))="","",INDEX(EXTRATO!$H$2:$H$3000,MATCH($A2875,EXTRATO!$A$2:$A$3000,0))))</f>
        <v/>
      </c>
      <c r="J2875" s="86" t="str">
        <f t="shared" si="77"/>
        <v/>
      </c>
      <c r="K2875" s="86" t="str">
        <f>IF(AND(A2875="",D2875="",E2875="",F2875=""),"",IF(D2875="","SEM CATEGORIA",IF(E2875="","SEM SUBCATEGORIA",IF(COUNTIFS(CADASTROS!$L$7:$L$93,D2875,CADASTROS!$D$7:$D$93,E2875)=0,"INCOMPATÍVEL","OK"))))</f>
        <v/>
      </c>
    </row>
    <row r="2876" spans="1:11" ht="30" hidden="1" customHeight="1" x14ac:dyDescent="0.25">
      <c r="A2876" s="86" t="str">
        <f>IF(COUNTIF(EXTRATO!$A$2:$A$3000,"BAN-02733")=0,"","BAN-02733")</f>
        <v/>
      </c>
      <c r="B2876" s="85" t="str">
        <f>IF(A2876="","",IF(INDEX(EXTRATO!$C$2:$C$3000,MATCH($A2876,EXTRATO!$A$2:$A$3000,0))="","",INDEX(EXTRATO!$C$2:$C$3000,MATCH($A2876,EXTRATO!$A$2:$A$3000,0))))</f>
        <v/>
      </c>
      <c r="C2876" s="86" t="str">
        <f t="shared" si="76"/>
        <v/>
      </c>
      <c r="D2876" s="81"/>
      <c r="E2876" s="79"/>
      <c r="F2876" s="80" t="str">
        <f>IF(A2876="","",SUMIF(EXTRATO!$A$2:$A$3000,$A2876,EXTRATO!$J$2:$J$3000)+SUMIF(EXTRATO!$A$2:$A$3000,$A2876,EXTRATO!$K$2:$K$3000)+SUMIF(EXTRATO!$A$2:$A$3000,$A2876,EXTRATO!$L$2:$L$3000)+SUMIF(EXTRATO!$A$2:$A$3000,$A2876,EXTRATO!$M$2:$M$3000))</f>
        <v/>
      </c>
      <c r="G2876" s="81" t="str">
        <f>IF(A2876="","",IF(INDEX(EXTRATO!$G$2:$G$3000,MATCH($A2876,EXTRATO!$A$2:$A$3000,0))="","",INDEX(EXTRATO!$G$2:$G$3000,MATCH($A2876,EXTRATO!$A$2:$A$3000,0))))</f>
        <v/>
      </c>
      <c r="H2876" s="86" t="str">
        <f>IF(A2876="","",IF(INDEX(EXTRATO!$F$2:$F$3000,MATCH($A2876,EXTRATO!$A$2:$A$3000,0))="","",INDEX(EXTRATO!$F$2:$F$3000,MATCH($A2876,EXTRATO!$A$2:$A$3000,0))))</f>
        <v/>
      </c>
      <c r="I2876" s="88" t="str">
        <f>IF(A2876="","",IF(INDEX(EXTRATO!$H$2:$H$3000,MATCH($A2876,EXTRATO!$A$2:$A$3000,0))="","",INDEX(EXTRATO!$H$2:$H$3000,MATCH($A2876,EXTRATO!$A$2:$A$3000,0))))</f>
        <v/>
      </c>
      <c r="J2876" s="86" t="str">
        <f t="shared" si="77"/>
        <v/>
      </c>
      <c r="K2876" s="86" t="str">
        <f>IF(AND(A2876="",D2876="",E2876="",F2876=""),"",IF(D2876="","SEM CATEGORIA",IF(E2876="","SEM SUBCATEGORIA",IF(COUNTIFS(CADASTROS!$L$7:$L$93,D2876,CADASTROS!$D$7:$D$93,E2876)=0,"INCOMPATÍVEL","OK"))))</f>
        <v/>
      </c>
    </row>
    <row r="2877" spans="1:11" ht="30" hidden="1" customHeight="1" x14ac:dyDescent="0.25">
      <c r="A2877" s="86" t="str">
        <f>IF(COUNTIF(EXTRATO!$A$2:$A$3000,"BAN-02734")=0,"","BAN-02734")</f>
        <v/>
      </c>
      <c r="B2877" s="85" t="str">
        <f>IF(A2877="","",IF(INDEX(EXTRATO!$C$2:$C$3000,MATCH($A2877,EXTRATO!$A$2:$A$3000,0))="","",INDEX(EXTRATO!$C$2:$C$3000,MATCH($A2877,EXTRATO!$A$2:$A$3000,0))))</f>
        <v/>
      </c>
      <c r="C2877" s="86" t="str">
        <f t="shared" si="76"/>
        <v/>
      </c>
      <c r="D2877" s="81"/>
      <c r="E2877" s="79"/>
      <c r="F2877" s="80" t="str">
        <f>IF(A2877="","",SUMIF(EXTRATO!$A$2:$A$3000,$A2877,EXTRATO!$J$2:$J$3000)+SUMIF(EXTRATO!$A$2:$A$3000,$A2877,EXTRATO!$K$2:$K$3000)+SUMIF(EXTRATO!$A$2:$A$3000,$A2877,EXTRATO!$L$2:$L$3000)+SUMIF(EXTRATO!$A$2:$A$3000,$A2877,EXTRATO!$M$2:$M$3000))</f>
        <v/>
      </c>
      <c r="G2877" s="81" t="str">
        <f>IF(A2877="","",IF(INDEX(EXTRATO!$G$2:$G$3000,MATCH($A2877,EXTRATO!$A$2:$A$3000,0))="","",INDEX(EXTRATO!$G$2:$G$3000,MATCH($A2877,EXTRATO!$A$2:$A$3000,0))))</f>
        <v/>
      </c>
      <c r="H2877" s="86" t="str">
        <f>IF(A2877="","",IF(INDEX(EXTRATO!$F$2:$F$3000,MATCH($A2877,EXTRATO!$A$2:$A$3000,0))="","",INDEX(EXTRATO!$F$2:$F$3000,MATCH($A2877,EXTRATO!$A$2:$A$3000,0))))</f>
        <v/>
      </c>
      <c r="I2877" s="88" t="str">
        <f>IF(A2877="","",IF(INDEX(EXTRATO!$H$2:$H$3000,MATCH($A2877,EXTRATO!$A$2:$A$3000,0))="","",INDEX(EXTRATO!$H$2:$H$3000,MATCH($A2877,EXTRATO!$A$2:$A$3000,0))))</f>
        <v/>
      </c>
      <c r="J2877" s="86" t="str">
        <f t="shared" si="77"/>
        <v/>
      </c>
      <c r="K2877" s="86" t="str">
        <f>IF(AND(A2877="",D2877="",E2877="",F2877=""),"",IF(D2877="","SEM CATEGORIA",IF(E2877="","SEM SUBCATEGORIA",IF(COUNTIFS(CADASTROS!$L$7:$L$93,D2877,CADASTROS!$D$7:$D$93,E2877)=0,"INCOMPATÍVEL","OK"))))</f>
        <v/>
      </c>
    </row>
    <row r="2878" spans="1:11" ht="30" hidden="1" customHeight="1" x14ac:dyDescent="0.25">
      <c r="A2878" s="86" t="str">
        <f>IF(COUNTIF(EXTRATO!$A$2:$A$3000,"BAN-02735")=0,"","BAN-02735")</f>
        <v/>
      </c>
      <c r="B2878" s="85" t="str">
        <f>IF(A2878="","",IF(INDEX(EXTRATO!$C$2:$C$3000,MATCH($A2878,EXTRATO!$A$2:$A$3000,0))="","",INDEX(EXTRATO!$C$2:$C$3000,MATCH($A2878,EXTRATO!$A$2:$A$3000,0))))</f>
        <v/>
      </c>
      <c r="C2878" s="86" t="str">
        <f t="shared" si="76"/>
        <v/>
      </c>
      <c r="D2878" s="81"/>
      <c r="E2878" s="79"/>
      <c r="F2878" s="80" t="str">
        <f>IF(A2878="","",SUMIF(EXTRATO!$A$2:$A$3000,$A2878,EXTRATO!$J$2:$J$3000)+SUMIF(EXTRATO!$A$2:$A$3000,$A2878,EXTRATO!$K$2:$K$3000)+SUMIF(EXTRATO!$A$2:$A$3000,$A2878,EXTRATO!$L$2:$L$3000)+SUMIF(EXTRATO!$A$2:$A$3000,$A2878,EXTRATO!$M$2:$M$3000))</f>
        <v/>
      </c>
      <c r="G2878" s="81" t="str">
        <f>IF(A2878="","",IF(INDEX(EXTRATO!$G$2:$G$3000,MATCH($A2878,EXTRATO!$A$2:$A$3000,0))="","",INDEX(EXTRATO!$G$2:$G$3000,MATCH($A2878,EXTRATO!$A$2:$A$3000,0))))</f>
        <v/>
      </c>
      <c r="H2878" s="86" t="str">
        <f>IF(A2878="","",IF(INDEX(EXTRATO!$F$2:$F$3000,MATCH($A2878,EXTRATO!$A$2:$A$3000,0))="","",INDEX(EXTRATO!$F$2:$F$3000,MATCH($A2878,EXTRATO!$A$2:$A$3000,0))))</f>
        <v/>
      </c>
      <c r="I2878" s="88" t="str">
        <f>IF(A2878="","",IF(INDEX(EXTRATO!$H$2:$H$3000,MATCH($A2878,EXTRATO!$A$2:$A$3000,0))="","",INDEX(EXTRATO!$H$2:$H$3000,MATCH($A2878,EXTRATO!$A$2:$A$3000,0))))</f>
        <v/>
      </c>
      <c r="J2878" s="86" t="str">
        <f t="shared" si="77"/>
        <v/>
      </c>
      <c r="K2878" s="86" t="str">
        <f>IF(AND(A2878="",D2878="",E2878="",F2878=""),"",IF(D2878="","SEM CATEGORIA",IF(E2878="","SEM SUBCATEGORIA",IF(COUNTIFS(CADASTROS!$L$7:$L$93,D2878,CADASTROS!$D$7:$D$93,E2878)=0,"INCOMPATÍVEL","OK"))))</f>
        <v/>
      </c>
    </row>
    <row r="2879" spans="1:11" ht="30" hidden="1" customHeight="1" x14ac:dyDescent="0.25">
      <c r="A2879" s="86" t="str">
        <f>IF(COUNTIF(EXTRATO!$A$2:$A$3000,"BAN-02736")=0,"","BAN-02736")</f>
        <v/>
      </c>
      <c r="B2879" s="85" t="str">
        <f>IF(A2879="","",IF(INDEX(EXTRATO!$C$2:$C$3000,MATCH($A2879,EXTRATO!$A$2:$A$3000,0))="","",INDEX(EXTRATO!$C$2:$C$3000,MATCH($A2879,EXTRATO!$A$2:$A$3000,0))))</f>
        <v/>
      </c>
      <c r="C2879" s="86" t="str">
        <f t="shared" si="76"/>
        <v/>
      </c>
      <c r="D2879" s="81"/>
      <c r="E2879" s="79"/>
      <c r="F2879" s="80" t="str">
        <f>IF(A2879="","",SUMIF(EXTRATO!$A$2:$A$3000,$A2879,EXTRATO!$J$2:$J$3000)+SUMIF(EXTRATO!$A$2:$A$3000,$A2879,EXTRATO!$K$2:$K$3000)+SUMIF(EXTRATO!$A$2:$A$3000,$A2879,EXTRATO!$L$2:$L$3000)+SUMIF(EXTRATO!$A$2:$A$3000,$A2879,EXTRATO!$M$2:$M$3000))</f>
        <v/>
      </c>
      <c r="G2879" s="81" t="str">
        <f>IF(A2879="","",IF(INDEX(EXTRATO!$G$2:$G$3000,MATCH($A2879,EXTRATO!$A$2:$A$3000,0))="","",INDEX(EXTRATO!$G$2:$G$3000,MATCH($A2879,EXTRATO!$A$2:$A$3000,0))))</f>
        <v/>
      </c>
      <c r="H2879" s="86" t="str">
        <f>IF(A2879="","",IF(INDEX(EXTRATO!$F$2:$F$3000,MATCH($A2879,EXTRATO!$A$2:$A$3000,0))="","",INDEX(EXTRATO!$F$2:$F$3000,MATCH($A2879,EXTRATO!$A$2:$A$3000,0))))</f>
        <v/>
      </c>
      <c r="I2879" s="88" t="str">
        <f>IF(A2879="","",IF(INDEX(EXTRATO!$H$2:$H$3000,MATCH($A2879,EXTRATO!$A$2:$A$3000,0))="","",INDEX(EXTRATO!$H$2:$H$3000,MATCH($A2879,EXTRATO!$A$2:$A$3000,0))))</f>
        <v/>
      </c>
      <c r="J2879" s="86" t="str">
        <f t="shared" si="77"/>
        <v/>
      </c>
      <c r="K2879" s="86" t="str">
        <f>IF(AND(A2879="",D2879="",E2879="",F2879=""),"",IF(D2879="","SEM CATEGORIA",IF(E2879="","SEM SUBCATEGORIA",IF(COUNTIFS(CADASTROS!$L$7:$L$93,D2879,CADASTROS!$D$7:$D$93,E2879)=0,"INCOMPATÍVEL","OK"))))</f>
        <v/>
      </c>
    </row>
    <row r="2880" spans="1:11" ht="30" hidden="1" customHeight="1" x14ac:dyDescent="0.25">
      <c r="A2880" s="86" t="str">
        <f>IF(COUNTIF(EXTRATO!$A$2:$A$3000,"BAN-02737")=0,"","BAN-02737")</f>
        <v/>
      </c>
      <c r="B2880" s="85" t="str">
        <f>IF(A2880="","",IF(INDEX(EXTRATO!$C$2:$C$3000,MATCH($A2880,EXTRATO!$A$2:$A$3000,0))="","",INDEX(EXTRATO!$C$2:$C$3000,MATCH($A2880,EXTRATO!$A$2:$A$3000,0))))</f>
        <v/>
      </c>
      <c r="C2880" s="86" t="str">
        <f t="shared" si="76"/>
        <v/>
      </c>
      <c r="D2880" s="81"/>
      <c r="E2880" s="79"/>
      <c r="F2880" s="80" t="str">
        <f>IF(A2880="","",SUMIF(EXTRATO!$A$2:$A$3000,$A2880,EXTRATO!$J$2:$J$3000)+SUMIF(EXTRATO!$A$2:$A$3000,$A2880,EXTRATO!$K$2:$K$3000)+SUMIF(EXTRATO!$A$2:$A$3000,$A2880,EXTRATO!$L$2:$L$3000)+SUMIF(EXTRATO!$A$2:$A$3000,$A2880,EXTRATO!$M$2:$M$3000))</f>
        <v/>
      </c>
      <c r="G2880" s="81" t="str">
        <f>IF(A2880="","",IF(INDEX(EXTRATO!$G$2:$G$3000,MATCH($A2880,EXTRATO!$A$2:$A$3000,0))="","",INDEX(EXTRATO!$G$2:$G$3000,MATCH($A2880,EXTRATO!$A$2:$A$3000,0))))</f>
        <v/>
      </c>
      <c r="H2880" s="86" t="str">
        <f>IF(A2880="","",IF(INDEX(EXTRATO!$F$2:$F$3000,MATCH($A2880,EXTRATO!$A$2:$A$3000,0))="","",INDEX(EXTRATO!$F$2:$F$3000,MATCH($A2880,EXTRATO!$A$2:$A$3000,0))))</f>
        <v/>
      </c>
      <c r="I2880" s="88" t="str">
        <f>IF(A2880="","",IF(INDEX(EXTRATO!$H$2:$H$3000,MATCH($A2880,EXTRATO!$A$2:$A$3000,0))="","",INDEX(EXTRATO!$H$2:$H$3000,MATCH($A2880,EXTRATO!$A$2:$A$3000,0))))</f>
        <v/>
      </c>
      <c r="J2880" s="86" t="str">
        <f t="shared" si="77"/>
        <v/>
      </c>
      <c r="K2880" s="86" t="str">
        <f>IF(AND(A2880="",D2880="",E2880="",F2880=""),"",IF(D2880="","SEM CATEGORIA",IF(E2880="","SEM SUBCATEGORIA",IF(COUNTIFS(CADASTROS!$L$7:$L$93,D2880,CADASTROS!$D$7:$D$93,E2880)=0,"INCOMPATÍVEL","OK"))))</f>
        <v/>
      </c>
    </row>
    <row r="2881" spans="1:11" ht="30" hidden="1" customHeight="1" x14ac:dyDescent="0.25">
      <c r="A2881" s="86" t="str">
        <f>IF(COUNTIF(EXTRATO!$A$2:$A$3000,"BAN-02738")=0,"","BAN-02738")</f>
        <v/>
      </c>
      <c r="B2881" s="85" t="str">
        <f>IF(A2881="","",IF(INDEX(EXTRATO!$C$2:$C$3000,MATCH($A2881,EXTRATO!$A$2:$A$3000,0))="","",INDEX(EXTRATO!$C$2:$C$3000,MATCH($A2881,EXTRATO!$A$2:$A$3000,0))))</f>
        <v/>
      </c>
      <c r="C2881" s="86" t="str">
        <f t="shared" si="76"/>
        <v/>
      </c>
      <c r="D2881" s="81"/>
      <c r="E2881" s="79"/>
      <c r="F2881" s="80" t="str">
        <f>IF(A2881="","",SUMIF(EXTRATO!$A$2:$A$3000,$A2881,EXTRATO!$J$2:$J$3000)+SUMIF(EXTRATO!$A$2:$A$3000,$A2881,EXTRATO!$K$2:$K$3000)+SUMIF(EXTRATO!$A$2:$A$3000,$A2881,EXTRATO!$L$2:$L$3000)+SUMIF(EXTRATO!$A$2:$A$3000,$A2881,EXTRATO!$M$2:$M$3000))</f>
        <v/>
      </c>
      <c r="G2881" s="81" t="str">
        <f>IF(A2881="","",IF(INDEX(EXTRATO!$G$2:$G$3000,MATCH($A2881,EXTRATO!$A$2:$A$3000,0))="","",INDEX(EXTRATO!$G$2:$G$3000,MATCH($A2881,EXTRATO!$A$2:$A$3000,0))))</f>
        <v/>
      </c>
      <c r="H2881" s="86" t="str">
        <f>IF(A2881="","",IF(INDEX(EXTRATO!$F$2:$F$3000,MATCH($A2881,EXTRATO!$A$2:$A$3000,0))="","",INDEX(EXTRATO!$F$2:$F$3000,MATCH($A2881,EXTRATO!$A$2:$A$3000,0))))</f>
        <v/>
      </c>
      <c r="I2881" s="88" t="str">
        <f>IF(A2881="","",IF(INDEX(EXTRATO!$H$2:$H$3000,MATCH($A2881,EXTRATO!$A$2:$A$3000,0))="","",INDEX(EXTRATO!$H$2:$H$3000,MATCH($A2881,EXTRATO!$A$2:$A$3000,0))))</f>
        <v/>
      </c>
      <c r="J2881" s="86" t="str">
        <f t="shared" si="77"/>
        <v/>
      </c>
      <c r="K2881" s="86" t="str">
        <f>IF(AND(A2881="",D2881="",E2881="",F2881=""),"",IF(D2881="","SEM CATEGORIA",IF(E2881="","SEM SUBCATEGORIA",IF(COUNTIFS(CADASTROS!$L$7:$L$93,D2881,CADASTROS!$D$7:$D$93,E2881)=0,"INCOMPATÍVEL","OK"))))</f>
        <v/>
      </c>
    </row>
    <row r="2882" spans="1:11" ht="30" hidden="1" customHeight="1" x14ac:dyDescent="0.25">
      <c r="A2882" s="86" t="str">
        <f>IF(COUNTIF(EXTRATO!$A$2:$A$3000,"BAN-02739")=0,"","BAN-02739")</f>
        <v/>
      </c>
      <c r="B2882" s="85" t="str">
        <f>IF(A2882="","",IF(INDEX(EXTRATO!$C$2:$C$3000,MATCH($A2882,EXTRATO!$A$2:$A$3000,0))="","",INDEX(EXTRATO!$C$2:$C$3000,MATCH($A2882,EXTRATO!$A$2:$A$3000,0))))</f>
        <v/>
      </c>
      <c r="C2882" s="86" t="str">
        <f t="shared" si="76"/>
        <v/>
      </c>
      <c r="D2882" s="81"/>
      <c r="E2882" s="79"/>
      <c r="F2882" s="80" t="str">
        <f>IF(A2882="","",SUMIF(EXTRATO!$A$2:$A$3000,$A2882,EXTRATO!$J$2:$J$3000)+SUMIF(EXTRATO!$A$2:$A$3000,$A2882,EXTRATO!$K$2:$K$3000)+SUMIF(EXTRATO!$A$2:$A$3000,$A2882,EXTRATO!$L$2:$L$3000)+SUMIF(EXTRATO!$A$2:$A$3000,$A2882,EXTRATO!$M$2:$M$3000))</f>
        <v/>
      </c>
      <c r="G2882" s="81" t="str">
        <f>IF(A2882="","",IF(INDEX(EXTRATO!$G$2:$G$3000,MATCH($A2882,EXTRATO!$A$2:$A$3000,0))="","",INDEX(EXTRATO!$G$2:$G$3000,MATCH($A2882,EXTRATO!$A$2:$A$3000,0))))</f>
        <v/>
      </c>
      <c r="H2882" s="86" t="str">
        <f>IF(A2882="","",IF(INDEX(EXTRATO!$F$2:$F$3000,MATCH($A2882,EXTRATO!$A$2:$A$3000,0))="","",INDEX(EXTRATO!$F$2:$F$3000,MATCH($A2882,EXTRATO!$A$2:$A$3000,0))))</f>
        <v/>
      </c>
      <c r="I2882" s="88" t="str">
        <f>IF(A2882="","",IF(INDEX(EXTRATO!$H$2:$H$3000,MATCH($A2882,EXTRATO!$A$2:$A$3000,0))="","",INDEX(EXTRATO!$H$2:$H$3000,MATCH($A2882,EXTRATO!$A$2:$A$3000,0))))</f>
        <v/>
      </c>
      <c r="J2882" s="86" t="str">
        <f t="shared" si="77"/>
        <v/>
      </c>
      <c r="K2882" s="86" t="str">
        <f>IF(AND(A2882="",D2882="",E2882="",F2882=""),"",IF(D2882="","SEM CATEGORIA",IF(E2882="","SEM SUBCATEGORIA",IF(COUNTIFS(CADASTROS!$L$7:$L$93,D2882,CADASTROS!$D$7:$D$93,E2882)=0,"INCOMPATÍVEL","OK"))))</f>
        <v/>
      </c>
    </row>
    <row r="2883" spans="1:11" ht="30" hidden="1" customHeight="1" x14ac:dyDescent="0.25">
      <c r="A2883" s="86" t="str">
        <f>IF(COUNTIF(EXTRATO!$A$2:$A$3000,"BAN-02740")=0,"","BAN-02740")</f>
        <v/>
      </c>
      <c r="B2883" s="85" t="str">
        <f>IF(A2883="","",IF(INDEX(EXTRATO!$C$2:$C$3000,MATCH($A2883,EXTRATO!$A$2:$A$3000,0))="","",INDEX(EXTRATO!$C$2:$C$3000,MATCH($A2883,EXTRATO!$A$2:$A$3000,0))))</f>
        <v/>
      </c>
      <c r="C2883" s="86" t="str">
        <f t="shared" si="76"/>
        <v/>
      </c>
      <c r="D2883" s="81"/>
      <c r="E2883" s="79"/>
      <c r="F2883" s="80" t="str">
        <f>IF(A2883="","",SUMIF(EXTRATO!$A$2:$A$3000,$A2883,EXTRATO!$J$2:$J$3000)+SUMIF(EXTRATO!$A$2:$A$3000,$A2883,EXTRATO!$K$2:$K$3000)+SUMIF(EXTRATO!$A$2:$A$3000,$A2883,EXTRATO!$L$2:$L$3000)+SUMIF(EXTRATO!$A$2:$A$3000,$A2883,EXTRATO!$M$2:$M$3000))</f>
        <v/>
      </c>
      <c r="G2883" s="81" t="str">
        <f>IF(A2883="","",IF(INDEX(EXTRATO!$G$2:$G$3000,MATCH($A2883,EXTRATO!$A$2:$A$3000,0))="","",INDEX(EXTRATO!$G$2:$G$3000,MATCH($A2883,EXTRATO!$A$2:$A$3000,0))))</f>
        <v/>
      </c>
      <c r="H2883" s="86" t="str">
        <f>IF(A2883="","",IF(INDEX(EXTRATO!$F$2:$F$3000,MATCH($A2883,EXTRATO!$A$2:$A$3000,0))="","",INDEX(EXTRATO!$F$2:$F$3000,MATCH($A2883,EXTRATO!$A$2:$A$3000,0))))</f>
        <v/>
      </c>
      <c r="I2883" s="88" t="str">
        <f>IF(A2883="","",IF(INDEX(EXTRATO!$H$2:$H$3000,MATCH($A2883,EXTRATO!$A$2:$A$3000,0))="","",INDEX(EXTRATO!$H$2:$H$3000,MATCH($A2883,EXTRATO!$A$2:$A$3000,0))))</f>
        <v/>
      </c>
      <c r="J2883" s="86" t="str">
        <f t="shared" si="77"/>
        <v/>
      </c>
      <c r="K2883" s="86" t="str">
        <f>IF(AND(A2883="",D2883="",E2883="",F2883=""),"",IF(D2883="","SEM CATEGORIA",IF(E2883="","SEM SUBCATEGORIA",IF(COUNTIFS(CADASTROS!$L$7:$L$93,D2883,CADASTROS!$D$7:$D$93,E2883)=0,"INCOMPATÍVEL","OK"))))</f>
        <v/>
      </c>
    </row>
    <row r="2884" spans="1:11" ht="30" hidden="1" customHeight="1" x14ac:dyDescent="0.25">
      <c r="A2884" s="86" t="str">
        <f>IF(COUNTIF(EXTRATO!$A$2:$A$3000,"BAN-02741")=0,"","BAN-02741")</f>
        <v/>
      </c>
      <c r="B2884" s="85" t="str">
        <f>IF(A2884="","",IF(INDEX(EXTRATO!$C$2:$C$3000,MATCH($A2884,EXTRATO!$A$2:$A$3000,0))="","",INDEX(EXTRATO!$C$2:$C$3000,MATCH($A2884,EXTRATO!$A$2:$A$3000,0))))</f>
        <v/>
      </c>
      <c r="C2884" s="86" t="str">
        <f t="shared" si="76"/>
        <v/>
      </c>
      <c r="D2884" s="81"/>
      <c r="E2884" s="79"/>
      <c r="F2884" s="80" t="str">
        <f>IF(A2884="","",SUMIF(EXTRATO!$A$2:$A$3000,$A2884,EXTRATO!$J$2:$J$3000)+SUMIF(EXTRATO!$A$2:$A$3000,$A2884,EXTRATO!$K$2:$K$3000)+SUMIF(EXTRATO!$A$2:$A$3000,$A2884,EXTRATO!$L$2:$L$3000)+SUMIF(EXTRATO!$A$2:$A$3000,$A2884,EXTRATO!$M$2:$M$3000))</f>
        <v/>
      </c>
      <c r="G2884" s="81" t="str">
        <f>IF(A2884="","",IF(INDEX(EXTRATO!$G$2:$G$3000,MATCH($A2884,EXTRATO!$A$2:$A$3000,0))="","",INDEX(EXTRATO!$G$2:$G$3000,MATCH($A2884,EXTRATO!$A$2:$A$3000,0))))</f>
        <v/>
      </c>
      <c r="H2884" s="86" t="str">
        <f>IF(A2884="","",IF(INDEX(EXTRATO!$F$2:$F$3000,MATCH($A2884,EXTRATO!$A$2:$A$3000,0))="","",INDEX(EXTRATO!$F$2:$F$3000,MATCH($A2884,EXTRATO!$A$2:$A$3000,0))))</f>
        <v/>
      </c>
      <c r="I2884" s="88" t="str">
        <f>IF(A2884="","",IF(INDEX(EXTRATO!$H$2:$H$3000,MATCH($A2884,EXTRATO!$A$2:$A$3000,0))="","",INDEX(EXTRATO!$H$2:$H$3000,MATCH($A2884,EXTRATO!$A$2:$A$3000,0))))</f>
        <v/>
      </c>
      <c r="J2884" s="86" t="str">
        <f t="shared" si="77"/>
        <v/>
      </c>
      <c r="K2884" s="86" t="str">
        <f>IF(AND(A2884="",D2884="",E2884="",F2884=""),"",IF(D2884="","SEM CATEGORIA",IF(E2884="","SEM SUBCATEGORIA",IF(COUNTIFS(CADASTROS!$L$7:$L$93,D2884,CADASTROS!$D$7:$D$93,E2884)=0,"INCOMPATÍVEL","OK"))))</f>
        <v/>
      </c>
    </row>
    <row r="2885" spans="1:11" ht="30" hidden="1" customHeight="1" x14ac:dyDescent="0.25">
      <c r="A2885" s="86" t="str">
        <f>IF(COUNTIF(EXTRATO!$A$2:$A$3000,"BAN-02742")=0,"","BAN-02742")</f>
        <v/>
      </c>
      <c r="B2885" s="85" t="str">
        <f>IF(A2885="","",IF(INDEX(EXTRATO!$C$2:$C$3000,MATCH($A2885,EXTRATO!$A$2:$A$3000,0))="","",INDEX(EXTRATO!$C$2:$C$3000,MATCH($A2885,EXTRATO!$A$2:$A$3000,0))))</f>
        <v/>
      </c>
      <c r="C2885" s="86" t="str">
        <f t="shared" si="76"/>
        <v/>
      </c>
      <c r="D2885" s="81"/>
      <c r="E2885" s="79"/>
      <c r="F2885" s="80" t="str">
        <f>IF(A2885="","",SUMIF(EXTRATO!$A$2:$A$3000,$A2885,EXTRATO!$J$2:$J$3000)+SUMIF(EXTRATO!$A$2:$A$3000,$A2885,EXTRATO!$K$2:$K$3000)+SUMIF(EXTRATO!$A$2:$A$3000,$A2885,EXTRATO!$L$2:$L$3000)+SUMIF(EXTRATO!$A$2:$A$3000,$A2885,EXTRATO!$M$2:$M$3000))</f>
        <v/>
      </c>
      <c r="G2885" s="81" t="str">
        <f>IF(A2885="","",IF(INDEX(EXTRATO!$G$2:$G$3000,MATCH($A2885,EXTRATO!$A$2:$A$3000,0))="","",INDEX(EXTRATO!$G$2:$G$3000,MATCH($A2885,EXTRATO!$A$2:$A$3000,0))))</f>
        <v/>
      </c>
      <c r="H2885" s="86" t="str">
        <f>IF(A2885="","",IF(INDEX(EXTRATO!$F$2:$F$3000,MATCH($A2885,EXTRATO!$A$2:$A$3000,0))="","",INDEX(EXTRATO!$F$2:$F$3000,MATCH($A2885,EXTRATO!$A$2:$A$3000,0))))</f>
        <v/>
      </c>
      <c r="I2885" s="88" t="str">
        <f>IF(A2885="","",IF(INDEX(EXTRATO!$H$2:$H$3000,MATCH($A2885,EXTRATO!$A$2:$A$3000,0))="","",INDEX(EXTRATO!$H$2:$H$3000,MATCH($A2885,EXTRATO!$A$2:$A$3000,0))))</f>
        <v/>
      </c>
      <c r="J2885" s="86" t="str">
        <f t="shared" si="77"/>
        <v/>
      </c>
      <c r="K2885" s="86" t="str">
        <f>IF(AND(A2885="",D2885="",E2885="",F2885=""),"",IF(D2885="","SEM CATEGORIA",IF(E2885="","SEM SUBCATEGORIA",IF(COUNTIFS(CADASTROS!$L$7:$L$93,D2885,CADASTROS!$D$7:$D$93,E2885)=0,"INCOMPATÍVEL","OK"))))</f>
        <v/>
      </c>
    </row>
    <row r="2886" spans="1:11" ht="30" hidden="1" customHeight="1" x14ac:dyDescent="0.25">
      <c r="A2886" s="86" t="str">
        <f>IF(COUNTIF(EXTRATO!$A$2:$A$3000,"BAN-02743")=0,"","BAN-02743")</f>
        <v/>
      </c>
      <c r="B2886" s="85" t="str">
        <f>IF(A2886="","",IF(INDEX(EXTRATO!$C$2:$C$3000,MATCH($A2886,EXTRATO!$A$2:$A$3000,0))="","",INDEX(EXTRATO!$C$2:$C$3000,MATCH($A2886,EXTRATO!$A$2:$A$3000,0))))</f>
        <v/>
      </c>
      <c r="C2886" s="86" t="str">
        <f t="shared" si="76"/>
        <v/>
      </c>
      <c r="D2886" s="81"/>
      <c r="E2886" s="79"/>
      <c r="F2886" s="80" t="str">
        <f>IF(A2886="","",SUMIF(EXTRATO!$A$2:$A$3000,$A2886,EXTRATO!$J$2:$J$3000)+SUMIF(EXTRATO!$A$2:$A$3000,$A2886,EXTRATO!$K$2:$K$3000)+SUMIF(EXTRATO!$A$2:$A$3000,$A2886,EXTRATO!$L$2:$L$3000)+SUMIF(EXTRATO!$A$2:$A$3000,$A2886,EXTRATO!$M$2:$M$3000))</f>
        <v/>
      </c>
      <c r="G2886" s="81" t="str">
        <f>IF(A2886="","",IF(INDEX(EXTRATO!$G$2:$G$3000,MATCH($A2886,EXTRATO!$A$2:$A$3000,0))="","",INDEX(EXTRATO!$G$2:$G$3000,MATCH($A2886,EXTRATO!$A$2:$A$3000,0))))</f>
        <v/>
      </c>
      <c r="H2886" s="86" t="str">
        <f>IF(A2886="","",IF(INDEX(EXTRATO!$F$2:$F$3000,MATCH($A2886,EXTRATO!$A$2:$A$3000,0))="","",INDEX(EXTRATO!$F$2:$F$3000,MATCH($A2886,EXTRATO!$A$2:$A$3000,0))))</f>
        <v/>
      </c>
      <c r="I2886" s="88" t="str">
        <f>IF(A2886="","",IF(INDEX(EXTRATO!$H$2:$H$3000,MATCH($A2886,EXTRATO!$A$2:$A$3000,0))="","",INDEX(EXTRATO!$H$2:$H$3000,MATCH($A2886,EXTRATO!$A$2:$A$3000,0))))</f>
        <v/>
      </c>
      <c r="J2886" s="86" t="str">
        <f t="shared" si="77"/>
        <v/>
      </c>
      <c r="K2886" s="86" t="str">
        <f>IF(AND(A2886="",D2886="",E2886="",F2886=""),"",IF(D2886="","SEM CATEGORIA",IF(E2886="","SEM SUBCATEGORIA",IF(COUNTIFS(CADASTROS!$L$7:$L$93,D2886,CADASTROS!$D$7:$D$93,E2886)=0,"INCOMPATÍVEL","OK"))))</f>
        <v/>
      </c>
    </row>
    <row r="2887" spans="1:11" ht="30" hidden="1" customHeight="1" x14ac:dyDescent="0.25">
      <c r="A2887" s="86" t="str">
        <f>IF(COUNTIF(EXTRATO!$A$2:$A$3000,"BAN-02744")=0,"","BAN-02744")</f>
        <v/>
      </c>
      <c r="B2887" s="85" t="str">
        <f>IF(A2887="","",IF(INDEX(EXTRATO!$C$2:$C$3000,MATCH($A2887,EXTRATO!$A$2:$A$3000,0))="","",INDEX(EXTRATO!$C$2:$C$3000,MATCH($A2887,EXTRATO!$A$2:$A$3000,0))))</f>
        <v/>
      </c>
      <c r="C2887" s="86" t="str">
        <f t="shared" si="76"/>
        <v/>
      </c>
      <c r="D2887" s="81"/>
      <c r="E2887" s="79"/>
      <c r="F2887" s="80" t="str">
        <f>IF(A2887="","",SUMIF(EXTRATO!$A$2:$A$3000,$A2887,EXTRATO!$J$2:$J$3000)+SUMIF(EXTRATO!$A$2:$A$3000,$A2887,EXTRATO!$K$2:$K$3000)+SUMIF(EXTRATO!$A$2:$A$3000,$A2887,EXTRATO!$L$2:$L$3000)+SUMIF(EXTRATO!$A$2:$A$3000,$A2887,EXTRATO!$M$2:$M$3000))</f>
        <v/>
      </c>
      <c r="G2887" s="81" t="str">
        <f>IF(A2887="","",IF(INDEX(EXTRATO!$G$2:$G$3000,MATCH($A2887,EXTRATO!$A$2:$A$3000,0))="","",INDEX(EXTRATO!$G$2:$G$3000,MATCH($A2887,EXTRATO!$A$2:$A$3000,0))))</f>
        <v/>
      </c>
      <c r="H2887" s="86" t="str">
        <f>IF(A2887="","",IF(INDEX(EXTRATO!$F$2:$F$3000,MATCH($A2887,EXTRATO!$A$2:$A$3000,0))="","",INDEX(EXTRATO!$F$2:$F$3000,MATCH($A2887,EXTRATO!$A$2:$A$3000,0))))</f>
        <v/>
      </c>
      <c r="I2887" s="88" t="str">
        <f>IF(A2887="","",IF(INDEX(EXTRATO!$H$2:$H$3000,MATCH($A2887,EXTRATO!$A$2:$A$3000,0))="","",INDEX(EXTRATO!$H$2:$H$3000,MATCH($A2887,EXTRATO!$A$2:$A$3000,0))))</f>
        <v/>
      </c>
      <c r="J2887" s="86" t="str">
        <f t="shared" si="77"/>
        <v/>
      </c>
      <c r="K2887" s="86" t="str">
        <f>IF(AND(A2887="",D2887="",E2887="",F2887=""),"",IF(D2887="","SEM CATEGORIA",IF(E2887="","SEM SUBCATEGORIA",IF(COUNTIFS(CADASTROS!$L$7:$L$93,D2887,CADASTROS!$D$7:$D$93,E2887)=0,"INCOMPATÍVEL","OK"))))</f>
        <v/>
      </c>
    </row>
    <row r="2888" spans="1:11" ht="30" hidden="1" customHeight="1" x14ac:dyDescent="0.25">
      <c r="A2888" s="86" t="str">
        <f>IF(COUNTIF(EXTRATO!$A$2:$A$3000,"BAN-02745")=0,"","BAN-02745")</f>
        <v/>
      </c>
      <c r="B2888" s="85" t="str">
        <f>IF(A2888="","",IF(INDEX(EXTRATO!$C$2:$C$3000,MATCH($A2888,EXTRATO!$A$2:$A$3000,0))="","",INDEX(EXTRATO!$C$2:$C$3000,MATCH($A2888,EXTRATO!$A$2:$A$3000,0))))</f>
        <v/>
      </c>
      <c r="C2888" s="86" t="str">
        <f t="shared" si="76"/>
        <v/>
      </c>
      <c r="D2888" s="81"/>
      <c r="E2888" s="79"/>
      <c r="F2888" s="80" t="str">
        <f>IF(A2888="","",SUMIF(EXTRATO!$A$2:$A$3000,$A2888,EXTRATO!$J$2:$J$3000)+SUMIF(EXTRATO!$A$2:$A$3000,$A2888,EXTRATO!$K$2:$K$3000)+SUMIF(EXTRATO!$A$2:$A$3000,$A2888,EXTRATO!$L$2:$L$3000)+SUMIF(EXTRATO!$A$2:$A$3000,$A2888,EXTRATO!$M$2:$M$3000))</f>
        <v/>
      </c>
      <c r="G2888" s="81" t="str">
        <f>IF(A2888="","",IF(INDEX(EXTRATO!$G$2:$G$3000,MATCH($A2888,EXTRATO!$A$2:$A$3000,0))="","",INDEX(EXTRATO!$G$2:$G$3000,MATCH($A2888,EXTRATO!$A$2:$A$3000,0))))</f>
        <v/>
      </c>
      <c r="H2888" s="86" t="str">
        <f>IF(A2888="","",IF(INDEX(EXTRATO!$F$2:$F$3000,MATCH($A2888,EXTRATO!$A$2:$A$3000,0))="","",INDEX(EXTRATO!$F$2:$F$3000,MATCH($A2888,EXTRATO!$A$2:$A$3000,0))))</f>
        <v/>
      </c>
      <c r="I2888" s="88" t="str">
        <f>IF(A2888="","",IF(INDEX(EXTRATO!$H$2:$H$3000,MATCH($A2888,EXTRATO!$A$2:$A$3000,0))="","",INDEX(EXTRATO!$H$2:$H$3000,MATCH($A2888,EXTRATO!$A$2:$A$3000,0))))</f>
        <v/>
      </c>
      <c r="J2888" s="86" t="str">
        <f t="shared" si="77"/>
        <v/>
      </c>
      <c r="K2888" s="86" t="str">
        <f>IF(AND(A2888="",D2888="",E2888="",F2888=""),"",IF(D2888="","SEM CATEGORIA",IF(E2888="","SEM SUBCATEGORIA",IF(COUNTIFS(CADASTROS!$L$7:$L$93,D2888,CADASTROS!$D$7:$D$93,E2888)=0,"INCOMPATÍVEL","OK"))))</f>
        <v/>
      </c>
    </row>
    <row r="2889" spans="1:11" ht="30" hidden="1" customHeight="1" x14ac:dyDescent="0.25">
      <c r="A2889" s="86" t="str">
        <f>IF(COUNTIF(EXTRATO!$A$2:$A$3000,"BAN-02746")=0,"","BAN-02746")</f>
        <v/>
      </c>
      <c r="B2889" s="85" t="str">
        <f>IF(A2889="","",IF(INDEX(EXTRATO!$C$2:$C$3000,MATCH($A2889,EXTRATO!$A$2:$A$3000,0))="","",INDEX(EXTRATO!$C$2:$C$3000,MATCH($A2889,EXTRATO!$A$2:$A$3000,0))))</f>
        <v/>
      </c>
      <c r="C2889" s="86" t="str">
        <f t="shared" si="76"/>
        <v/>
      </c>
      <c r="D2889" s="81"/>
      <c r="E2889" s="79"/>
      <c r="F2889" s="80" t="str">
        <f>IF(A2889="","",SUMIF(EXTRATO!$A$2:$A$3000,$A2889,EXTRATO!$J$2:$J$3000)+SUMIF(EXTRATO!$A$2:$A$3000,$A2889,EXTRATO!$K$2:$K$3000)+SUMIF(EXTRATO!$A$2:$A$3000,$A2889,EXTRATO!$L$2:$L$3000)+SUMIF(EXTRATO!$A$2:$A$3000,$A2889,EXTRATO!$M$2:$M$3000))</f>
        <v/>
      </c>
      <c r="G2889" s="81" t="str">
        <f>IF(A2889="","",IF(INDEX(EXTRATO!$G$2:$G$3000,MATCH($A2889,EXTRATO!$A$2:$A$3000,0))="","",INDEX(EXTRATO!$G$2:$G$3000,MATCH($A2889,EXTRATO!$A$2:$A$3000,0))))</f>
        <v/>
      </c>
      <c r="H2889" s="86" t="str">
        <f>IF(A2889="","",IF(INDEX(EXTRATO!$F$2:$F$3000,MATCH($A2889,EXTRATO!$A$2:$A$3000,0))="","",INDEX(EXTRATO!$F$2:$F$3000,MATCH($A2889,EXTRATO!$A$2:$A$3000,0))))</f>
        <v/>
      </c>
      <c r="I2889" s="88" t="str">
        <f>IF(A2889="","",IF(INDEX(EXTRATO!$H$2:$H$3000,MATCH($A2889,EXTRATO!$A$2:$A$3000,0))="","",INDEX(EXTRATO!$H$2:$H$3000,MATCH($A2889,EXTRATO!$A$2:$A$3000,0))))</f>
        <v/>
      </c>
      <c r="J2889" s="86" t="str">
        <f t="shared" si="77"/>
        <v/>
      </c>
      <c r="K2889" s="86" t="str">
        <f>IF(AND(A2889="",D2889="",E2889="",F2889=""),"",IF(D2889="","SEM CATEGORIA",IF(E2889="","SEM SUBCATEGORIA",IF(COUNTIFS(CADASTROS!$L$7:$L$93,D2889,CADASTROS!$D$7:$D$93,E2889)=0,"INCOMPATÍVEL","OK"))))</f>
        <v/>
      </c>
    </row>
    <row r="2890" spans="1:11" ht="30" hidden="1" customHeight="1" x14ac:dyDescent="0.25">
      <c r="A2890" s="86" t="str">
        <f>IF(COUNTIF(EXTRATO!$A$2:$A$3000,"BAN-02747")=0,"","BAN-02747")</f>
        <v/>
      </c>
      <c r="B2890" s="85" t="str">
        <f>IF(A2890="","",IF(INDEX(EXTRATO!$C$2:$C$3000,MATCH($A2890,EXTRATO!$A$2:$A$3000,0))="","",INDEX(EXTRATO!$C$2:$C$3000,MATCH($A2890,EXTRATO!$A$2:$A$3000,0))))</f>
        <v/>
      </c>
      <c r="C2890" s="86" t="str">
        <f t="shared" si="76"/>
        <v/>
      </c>
      <c r="D2890" s="81"/>
      <c r="E2890" s="79"/>
      <c r="F2890" s="80" t="str">
        <f>IF(A2890="","",SUMIF(EXTRATO!$A$2:$A$3000,$A2890,EXTRATO!$J$2:$J$3000)+SUMIF(EXTRATO!$A$2:$A$3000,$A2890,EXTRATO!$K$2:$K$3000)+SUMIF(EXTRATO!$A$2:$A$3000,$A2890,EXTRATO!$L$2:$L$3000)+SUMIF(EXTRATO!$A$2:$A$3000,$A2890,EXTRATO!$M$2:$M$3000))</f>
        <v/>
      </c>
      <c r="G2890" s="81" t="str">
        <f>IF(A2890="","",IF(INDEX(EXTRATO!$G$2:$G$3000,MATCH($A2890,EXTRATO!$A$2:$A$3000,0))="","",INDEX(EXTRATO!$G$2:$G$3000,MATCH($A2890,EXTRATO!$A$2:$A$3000,0))))</f>
        <v/>
      </c>
      <c r="H2890" s="86" t="str">
        <f>IF(A2890="","",IF(INDEX(EXTRATO!$F$2:$F$3000,MATCH($A2890,EXTRATO!$A$2:$A$3000,0))="","",INDEX(EXTRATO!$F$2:$F$3000,MATCH($A2890,EXTRATO!$A$2:$A$3000,0))))</f>
        <v/>
      </c>
      <c r="I2890" s="88" t="str">
        <f>IF(A2890="","",IF(INDEX(EXTRATO!$H$2:$H$3000,MATCH($A2890,EXTRATO!$A$2:$A$3000,0))="","",INDEX(EXTRATO!$H$2:$H$3000,MATCH($A2890,EXTRATO!$A$2:$A$3000,0))))</f>
        <v/>
      </c>
      <c r="J2890" s="86" t="str">
        <f t="shared" si="77"/>
        <v/>
      </c>
      <c r="K2890" s="86" t="str">
        <f>IF(AND(A2890="",D2890="",E2890="",F2890=""),"",IF(D2890="","SEM CATEGORIA",IF(E2890="","SEM SUBCATEGORIA",IF(COUNTIFS(CADASTROS!$L$7:$L$93,D2890,CADASTROS!$D$7:$D$93,E2890)=0,"INCOMPATÍVEL","OK"))))</f>
        <v/>
      </c>
    </row>
    <row r="2891" spans="1:11" ht="30" hidden="1" customHeight="1" x14ac:dyDescent="0.25">
      <c r="A2891" s="86" t="str">
        <f>IF(COUNTIF(EXTRATO!$A$2:$A$3000,"BAN-02748")=0,"","BAN-02748")</f>
        <v/>
      </c>
      <c r="B2891" s="85" t="str">
        <f>IF(A2891="","",IF(INDEX(EXTRATO!$C$2:$C$3000,MATCH($A2891,EXTRATO!$A$2:$A$3000,0))="","",INDEX(EXTRATO!$C$2:$C$3000,MATCH($A2891,EXTRATO!$A$2:$A$3000,0))))</f>
        <v/>
      </c>
      <c r="C2891" s="86" t="str">
        <f t="shared" si="76"/>
        <v/>
      </c>
      <c r="D2891" s="81"/>
      <c r="E2891" s="79"/>
      <c r="F2891" s="80" t="str">
        <f>IF(A2891="","",SUMIF(EXTRATO!$A$2:$A$3000,$A2891,EXTRATO!$J$2:$J$3000)+SUMIF(EXTRATO!$A$2:$A$3000,$A2891,EXTRATO!$K$2:$K$3000)+SUMIF(EXTRATO!$A$2:$A$3000,$A2891,EXTRATO!$L$2:$L$3000)+SUMIF(EXTRATO!$A$2:$A$3000,$A2891,EXTRATO!$M$2:$M$3000))</f>
        <v/>
      </c>
      <c r="G2891" s="81" t="str">
        <f>IF(A2891="","",IF(INDEX(EXTRATO!$G$2:$G$3000,MATCH($A2891,EXTRATO!$A$2:$A$3000,0))="","",INDEX(EXTRATO!$G$2:$G$3000,MATCH($A2891,EXTRATO!$A$2:$A$3000,0))))</f>
        <v/>
      </c>
      <c r="H2891" s="86" t="str">
        <f>IF(A2891="","",IF(INDEX(EXTRATO!$F$2:$F$3000,MATCH($A2891,EXTRATO!$A$2:$A$3000,0))="","",INDEX(EXTRATO!$F$2:$F$3000,MATCH($A2891,EXTRATO!$A$2:$A$3000,0))))</f>
        <v/>
      </c>
      <c r="I2891" s="88" t="str">
        <f>IF(A2891="","",IF(INDEX(EXTRATO!$H$2:$H$3000,MATCH($A2891,EXTRATO!$A$2:$A$3000,0))="","",INDEX(EXTRATO!$H$2:$H$3000,MATCH($A2891,EXTRATO!$A$2:$A$3000,0))))</f>
        <v/>
      </c>
      <c r="J2891" s="86" t="str">
        <f t="shared" si="77"/>
        <v/>
      </c>
      <c r="K2891" s="86" t="str">
        <f>IF(AND(A2891="",D2891="",E2891="",F2891=""),"",IF(D2891="","SEM CATEGORIA",IF(E2891="","SEM SUBCATEGORIA",IF(COUNTIFS(CADASTROS!$L$7:$L$93,D2891,CADASTROS!$D$7:$D$93,E2891)=0,"INCOMPATÍVEL","OK"))))</f>
        <v/>
      </c>
    </row>
    <row r="2892" spans="1:11" ht="30" hidden="1" customHeight="1" x14ac:dyDescent="0.25">
      <c r="A2892" s="86" t="str">
        <f>IF(COUNTIF(EXTRATO!$A$2:$A$3000,"BAN-02749")=0,"","BAN-02749")</f>
        <v/>
      </c>
      <c r="B2892" s="85" t="str">
        <f>IF(A2892="","",IF(INDEX(EXTRATO!$C$2:$C$3000,MATCH($A2892,EXTRATO!$A$2:$A$3000,0))="","",INDEX(EXTRATO!$C$2:$C$3000,MATCH($A2892,EXTRATO!$A$2:$A$3000,0))))</f>
        <v/>
      </c>
      <c r="C2892" s="86" t="str">
        <f t="shared" si="76"/>
        <v/>
      </c>
      <c r="D2892" s="81"/>
      <c r="E2892" s="79"/>
      <c r="F2892" s="80" t="str">
        <f>IF(A2892="","",SUMIF(EXTRATO!$A$2:$A$3000,$A2892,EXTRATO!$J$2:$J$3000)+SUMIF(EXTRATO!$A$2:$A$3000,$A2892,EXTRATO!$K$2:$K$3000)+SUMIF(EXTRATO!$A$2:$A$3000,$A2892,EXTRATO!$L$2:$L$3000)+SUMIF(EXTRATO!$A$2:$A$3000,$A2892,EXTRATO!$M$2:$M$3000))</f>
        <v/>
      </c>
      <c r="G2892" s="81" t="str">
        <f>IF(A2892="","",IF(INDEX(EXTRATO!$G$2:$G$3000,MATCH($A2892,EXTRATO!$A$2:$A$3000,0))="","",INDEX(EXTRATO!$G$2:$G$3000,MATCH($A2892,EXTRATO!$A$2:$A$3000,0))))</f>
        <v/>
      </c>
      <c r="H2892" s="86" t="str">
        <f>IF(A2892="","",IF(INDEX(EXTRATO!$F$2:$F$3000,MATCH($A2892,EXTRATO!$A$2:$A$3000,0))="","",INDEX(EXTRATO!$F$2:$F$3000,MATCH($A2892,EXTRATO!$A$2:$A$3000,0))))</f>
        <v/>
      </c>
      <c r="I2892" s="88" t="str">
        <f>IF(A2892="","",IF(INDEX(EXTRATO!$H$2:$H$3000,MATCH($A2892,EXTRATO!$A$2:$A$3000,0))="","",INDEX(EXTRATO!$H$2:$H$3000,MATCH($A2892,EXTRATO!$A$2:$A$3000,0))))</f>
        <v/>
      </c>
      <c r="J2892" s="86" t="str">
        <f t="shared" si="77"/>
        <v/>
      </c>
      <c r="K2892" s="86" t="str">
        <f>IF(AND(A2892="",D2892="",E2892="",F2892=""),"",IF(D2892="","SEM CATEGORIA",IF(E2892="","SEM SUBCATEGORIA",IF(COUNTIFS(CADASTROS!$L$7:$L$93,D2892,CADASTROS!$D$7:$D$93,E2892)=0,"INCOMPATÍVEL","OK"))))</f>
        <v/>
      </c>
    </row>
    <row r="2893" spans="1:11" ht="30" hidden="1" customHeight="1" x14ac:dyDescent="0.25">
      <c r="A2893" s="86" t="str">
        <f>IF(COUNTIF(EXTRATO!$A$2:$A$3000,"BAN-02750")=0,"","BAN-02750")</f>
        <v/>
      </c>
      <c r="B2893" s="85" t="str">
        <f>IF(A2893="","",IF(INDEX(EXTRATO!$C$2:$C$3000,MATCH($A2893,EXTRATO!$A$2:$A$3000,0))="","",INDEX(EXTRATO!$C$2:$C$3000,MATCH($A2893,EXTRATO!$A$2:$A$3000,0))))</f>
        <v/>
      </c>
      <c r="C2893" s="86" t="str">
        <f t="shared" si="76"/>
        <v/>
      </c>
      <c r="D2893" s="81"/>
      <c r="E2893" s="79"/>
      <c r="F2893" s="80" t="str">
        <f>IF(A2893="","",SUMIF(EXTRATO!$A$2:$A$3000,$A2893,EXTRATO!$J$2:$J$3000)+SUMIF(EXTRATO!$A$2:$A$3000,$A2893,EXTRATO!$K$2:$K$3000)+SUMIF(EXTRATO!$A$2:$A$3000,$A2893,EXTRATO!$L$2:$L$3000)+SUMIF(EXTRATO!$A$2:$A$3000,$A2893,EXTRATO!$M$2:$M$3000))</f>
        <v/>
      </c>
      <c r="G2893" s="81" t="str">
        <f>IF(A2893="","",IF(INDEX(EXTRATO!$G$2:$G$3000,MATCH($A2893,EXTRATO!$A$2:$A$3000,0))="","",INDEX(EXTRATO!$G$2:$G$3000,MATCH($A2893,EXTRATO!$A$2:$A$3000,0))))</f>
        <v/>
      </c>
      <c r="H2893" s="86" t="str">
        <f>IF(A2893="","",IF(INDEX(EXTRATO!$F$2:$F$3000,MATCH($A2893,EXTRATO!$A$2:$A$3000,0))="","",INDEX(EXTRATO!$F$2:$F$3000,MATCH($A2893,EXTRATO!$A$2:$A$3000,0))))</f>
        <v/>
      </c>
      <c r="I2893" s="88" t="str">
        <f>IF(A2893="","",IF(INDEX(EXTRATO!$H$2:$H$3000,MATCH($A2893,EXTRATO!$A$2:$A$3000,0))="","",INDEX(EXTRATO!$H$2:$H$3000,MATCH($A2893,EXTRATO!$A$2:$A$3000,0))))</f>
        <v/>
      </c>
      <c r="J2893" s="86" t="str">
        <f t="shared" si="77"/>
        <v/>
      </c>
      <c r="K2893" s="86" t="str">
        <f>IF(AND(A2893="",D2893="",E2893="",F2893=""),"",IF(D2893="","SEM CATEGORIA",IF(E2893="","SEM SUBCATEGORIA",IF(COUNTIFS(CADASTROS!$L$7:$L$93,D2893,CADASTROS!$D$7:$D$93,E2893)=0,"INCOMPATÍVEL","OK"))))</f>
        <v/>
      </c>
    </row>
    <row r="2894" spans="1:11" ht="30" hidden="1" customHeight="1" x14ac:dyDescent="0.25">
      <c r="A2894" s="86" t="str">
        <f>IF(COUNTIF(EXTRATO!$A$2:$A$3000,"BAN-02751")=0,"","BAN-02751")</f>
        <v/>
      </c>
      <c r="B2894" s="85" t="str">
        <f>IF(A2894="","",IF(INDEX(EXTRATO!$C$2:$C$3000,MATCH($A2894,EXTRATO!$A$2:$A$3000,0))="","",INDEX(EXTRATO!$C$2:$C$3000,MATCH($A2894,EXTRATO!$A$2:$A$3000,0))))</f>
        <v/>
      </c>
      <c r="C2894" s="86" t="str">
        <f t="shared" si="76"/>
        <v/>
      </c>
      <c r="D2894" s="81"/>
      <c r="E2894" s="79"/>
      <c r="F2894" s="80" t="str">
        <f>IF(A2894="","",SUMIF(EXTRATO!$A$2:$A$3000,$A2894,EXTRATO!$J$2:$J$3000)+SUMIF(EXTRATO!$A$2:$A$3000,$A2894,EXTRATO!$K$2:$K$3000)+SUMIF(EXTRATO!$A$2:$A$3000,$A2894,EXTRATO!$L$2:$L$3000)+SUMIF(EXTRATO!$A$2:$A$3000,$A2894,EXTRATO!$M$2:$M$3000))</f>
        <v/>
      </c>
      <c r="G2894" s="81" t="str">
        <f>IF(A2894="","",IF(INDEX(EXTRATO!$G$2:$G$3000,MATCH($A2894,EXTRATO!$A$2:$A$3000,0))="","",INDEX(EXTRATO!$G$2:$G$3000,MATCH($A2894,EXTRATO!$A$2:$A$3000,0))))</f>
        <v/>
      </c>
      <c r="H2894" s="86" t="str">
        <f>IF(A2894="","",IF(INDEX(EXTRATO!$F$2:$F$3000,MATCH($A2894,EXTRATO!$A$2:$A$3000,0))="","",INDEX(EXTRATO!$F$2:$F$3000,MATCH($A2894,EXTRATO!$A$2:$A$3000,0))))</f>
        <v/>
      </c>
      <c r="I2894" s="88" t="str">
        <f>IF(A2894="","",IF(INDEX(EXTRATO!$H$2:$H$3000,MATCH($A2894,EXTRATO!$A$2:$A$3000,0))="","",INDEX(EXTRATO!$H$2:$H$3000,MATCH($A2894,EXTRATO!$A$2:$A$3000,0))))</f>
        <v/>
      </c>
      <c r="J2894" s="86" t="str">
        <f t="shared" si="77"/>
        <v/>
      </c>
      <c r="K2894" s="86" t="str">
        <f>IF(AND(A2894="",D2894="",E2894="",F2894=""),"",IF(D2894="","SEM CATEGORIA",IF(E2894="","SEM SUBCATEGORIA",IF(COUNTIFS(CADASTROS!$L$7:$L$93,D2894,CADASTROS!$D$7:$D$93,E2894)=0,"INCOMPATÍVEL","OK"))))</f>
        <v/>
      </c>
    </row>
    <row r="2895" spans="1:11" ht="30" hidden="1" customHeight="1" x14ac:dyDescent="0.25">
      <c r="A2895" s="86" t="str">
        <f>IF(COUNTIF(EXTRATO!$A$2:$A$3000,"BAN-02752")=0,"","BAN-02752")</f>
        <v/>
      </c>
      <c r="B2895" s="85" t="str">
        <f>IF(A2895="","",IF(INDEX(EXTRATO!$C$2:$C$3000,MATCH($A2895,EXTRATO!$A$2:$A$3000,0))="","",INDEX(EXTRATO!$C$2:$C$3000,MATCH($A2895,EXTRATO!$A$2:$A$3000,0))))</f>
        <v/>
      </c>
      <c r="C2895" s="86" t="str">
        <f t="shared" si="76"/>
        <v/>
      </c>
      <c r="D2895" s="81"/>
      <c r="E2895" s="79"/>
      <c r="F2895" s="80" t="str">
        <f>IF(A2895="","",SUMIF(EXTRATO!$A$2:$A$3000,$A2895,EXTRATO!$J$2:$J$3000)+SUMIF(EXTRATO!$A$2:$A$3000,$A2895,EXTRATO!$K$2:$K$3000)+SUMIF(EXTRATO!$A$2:$A$3000,$A2895,EXTRATO!$L$2:$L$3000)+SUMIF(EXTRATO!$A$2:$A$3000,$A2895,EXTRATO!$M$2:$M$3000))</f>
        <v/>
      </c>
      <c r="G2895" s="81" t="str">
        <f>IF(A2895="","",IF(INDEX(EXTRATO!$G$2:$G$3000,MATCH($A2895,EXTRATO!$A$2:$A$3000,0))="","",INDEX(EXTRATO!$G$2:$G$3000,MATCH($A2895,EXTRATO!$A$2:$A$3000,0))))</f>
        <v/>
      </c>
      <c r="H2895" s="86" t="str">
        <f>IF(A2895="","",IF(INDEX(EXTRATO!$F$2:$F$3000,MATCH($A2895,EXTRATO!$A$2:$A$3000,0))="","",INDEX(EXTRATO!$F$2:$F$3000,MATCH($A2895,EXTRATO!$A$2:$A$3000,0))))</f>
        <v/>
      </c>
      <c r="I2895" s="88" t="str">
        <f>IF(A2895="","",IF(INDEX(EXTRATO!$H$2:$H$3000,MATCH($A2895,EXTRATO!$A$2:$A$3000,0))="","",INDEX(EXTRATO!$H$2:$H$3000,MATCH($A2895,EXTRATO!$A$2:$A$3000,0))))</f>
        <v/>
      </c>
      <c r="J2895" s="86" t="str">
        <f t="shared" si="77"/>
        <v/>
      </c>
      <c r="K2895" s="86" t="str">
        <f>IF(AND(A2895="",D2895="",E2895="",F2895=""),"",IF(D2895="","SEM CATEGORIA",IF(E2895="","SEM SUBCATEGORIA",IF(COUNTIFS(CADASTROS!$L$7:$L$93,D2895,CADASTROS!$D$7:$D$93,E2895)=0,"INCOMPATÍVEL","OK"))))</f>
        <v/>
      </c>
    </row>
    <row r="2896" spans="1:11" ht="30" hidden="1" customHeight="1" x14ac:dyDescent="0.25">
      <c r="A2896" s="86" t="str">
        <f>IF(COUNTIF(EXTRATO!$A$2:$A$3000,"BAN-02753")=0,"","BAN-02753")</f>
        <v/>
      </c>
      <c r="B2896" s="85" t="str">
        <f>IF(A2896="","",IF(INDEX(EXTRATO!$C$2:$C$3000,MATCH($A2896,EXTRATO!$A$2:$A$3000,0))="","",INDEX(EXTRATO!$C$2:$C$3000,MATCH($A2896,EXTRATO!$A$2:$A$3000,0))))</f>
        <v/>
      </c>
      <c r="C2896" s="86" t="str">
        <f t="shared" si="76"/>
        <v/>
      </c>
      <c r="D2896" s="81"/>
      <c r="E2896" s="79"/>
      <c r="F2896" s="80" t="str">
        <f>IF(A2896="","",SUMIF(EXTRATO!$A$2:$A$3000,$A2896,EXTRATO!$J$2:$J$3000)+SUMIF(EXTRATO!$A$2:$A$3000,$A2896,EXTRATO!$K$2:$K$3000)+SUMIF(EXTRATO!$A$2:$A$3000,$A2896,EXTRATO!$L$2:$L$3000)+SUMIF(EXTRATO!$A$2:$A$3000,$A2896,EXTRATO!$M$2:$M$3000))</f>
        <v/>
      </c>
      <c r="G2896" s="81" t="str">
        <f>IF(A2896="","",IF(INDEX(EXTRATO!$G$2:$G$3000,MATCH($A2896,EXTRATO!$A$2:$A$3000,0))="","",INDEX(EXTRATO!$G$2:$G$3000,MATCH($A2896,EXTRATO!$A$2:$A$3000,0))))</f>
        <v/>
      </c>
      <c r="H2896" s="86" t="str">
        <f>IF(A2896="","",IF(INDEX(EXTRATO!$F$2:$F$3000,MATCH($A2896,EXTRATO!$A$2:$A$3000,0))="","",INDEX(EXTRATO!$F$2:$F$3000,MATCH($A2896,EXTRATO!$A$2:$A$3000,0))))</f>
        <v/>
      </c>
      <c r="I2896" s="88" t="str">
        <f>IF(A2896="","",IF(INDEX(EXTRATO!$H$2:$H$3000,MATCH($A2896,EXTRATO!$A$2:$A$3000,0))="","",INDEX(EXTRATO!$H$2:$H$3000,MATCH($A2896,EXTRATO!$A$2:$A$3000,0))))</f>
        <v/>
      </c>
      <c r="J2896" s="86" t="str">
        <f t="shared" si="77"/>
        <v/>
      </c>
      <c r="K2896" s="86" t="str">
        <f>IF(AND(A2896="",D2896="",E2896="",F2896=""),"",IF(D2896="","SEM CATEGORIA",IF(E2896="","SEM SUBCATEGORIA",IF(COUNTIFS(CADASTROS!$L$7:$L$93,D2896,CADASTROS!$D$7:$D$93,E2896)=0,"INCOMPATÍVEL","OK"))))</f>
        <v/>
      </c>
    </row>
    <row r="2897" spans="1:11" ht="30" hidden="1" customHeight="1" x14ac:dyDescent="0.25">
      <c r="A2897" s="86" t="str">
        <f>IF(COUNTIF(EXTRATO!$A$2:$A$3000,"BAN-02754")=0,"","BAN-02754")</f>
        <v/>
      </c>
      <c r="B2897" s="85" t="str">
        <f>IF(A2897="","",IF(INDEX(EXTRATO!$C$2:$C$3000,MATCH($A2897,EXTRATO!$A$2:$A$3000,0))="","",INDEX(EXTRATO!$C$2:$C$3000,MATCH($A2897,EXTRATO!$A$2:$A$3000,0))))</f>
        <v/>
      </c>
      <c r="C2897" s="86" t="str">
        <f t="shared" si="76"/>
        <v/>
      </c>
      <c r="D2897" s="81"/>
      <c r="E2897" s="79"/>
      <c r="F2897" s="80" t="str">
        <f>IF(A2897="","",SUMIF(EXTRATO!$A$2:$A$3000,$A2897,EXTRATO!$J$2:$J$3000)+SUMIF(EXTRATO!$A$2:$A$3000,$A2897,EXTRATO!$K$2:$K$3000)+SUMIF(EXTRATO!$A$2:$A$3000,$A2897,EXTRATO!$L$2:$L$3000)+SUMIF(EXTRATO!$A$2:$A$3000,$A2897,EXTRATO!$M$2:$M$3000))</f>
        <v/>
      </c>
      <c r="G2897" s="81" t="str">
        <f>IF(A2897="","",IF(INDEX(EXTRATO!$G$2:$G$3000,MATCH($A2897,EXTRATO!$A$2:$A$3000,0))="","",INDEX(EXTRATO!$G$2:$G$3000,MATCH($A2897,EXTRATO!$A$2:$A$3000,0))))</f>
        <v/>
      </c>
      <c r="H2897" s="86" t="str">
        <f>IF(A2897="","",IF(INDEX(EXTRATO!$F$2:$F$3000,MATCH($A2897,EXTRATO!$A$2:$A$3000,0))="","",INDEX(EXTRATO!$F$2:$F$3000,MATCH($A2897,EXTRATO!$A$2:$A$3000,0))))</f>
        <v/>
      </c>
      <c r="I2897" s="88" t="str">
        <f>IF(A2897="","",IF(INDEX(EXTRATO!$H$2:$H$3000,MATCH($A2897,EXTRATO!$A$2:$A$3000,0))="","",INDEX(EXTRATO!$H$2:$H$3000,MATCH($A2897,EXTRATO!$A$2:$A$3000,0))))</f>
        <v/>
      </c>
      <c r="J2897" s="86" t="str">
        <f t="shared" si="77"/>
        <v/>
      </c>
      <c r="K2897" s="86" t="str">
        <f>IF(AND(A2897="",D2897="",E2897="",F2897=""),"",IF(D2897="","SEM CATEGORIA",IF(E2897="","SEM SUBCATEGORIA",IF(COUNTIFS(CADASTROS!$L$7:$L$93,D2897,CADASTROS!$D$7:$D$93,E2897)=0,"INCOMPATÍVEL","OK"))))</f>
        <v/>
      </c>
    </row>
    <row r="2898" spans="1:11" ht="30" hidden="1" customHeight="1" x14ac:dyDescent="0.25">
      <c r="A2898" s="86" t="str">
        <f>IF(COUNTIF(EXTRATO!$A$2:$A$3000,"BAN-02755")=0,"","BAN-02755")</f>
        <v/>
      </c>
      <c r="B2898" s="85" t="str">
        <f>IF(A2898="","",IF(INDEX(EXTRATO!$C$2:$C$3000,MATCH($A2898,EXTRATO!$A$2:$A$3000,0))="","",INDEX(EXTRATO!$C$2:$C$3000,MATCH($A2898,EXTRATO!$A$2:$A$3000,0))))</f>
        <v/>
      </c>
      <c r="C2898" s="86" t="str">
        <f t="shared" si="76"/>
        <v/>
      </c>
      <c r="D2898" s="81"/>
      <c r="E2898" s="79"/>
      <c r="F2898" s="80" t="str">
        <f>IF(A2898="","",SUMIF(EXTRATO!$A$2:$A$3000,$A2898,EXTRATO!$J$2:$J$3000)+SUMIF(EXTRATO!$A$2:$A$3000,$A2898,EXTRATO!$K$2:$K$3000)+SUMIF(EXTRATO!$A$2:$A$3000,$A2898,EXTRATO!$L$2:$L$3000)+SUMIF(EXTRATO!$A$2:$A$3000,$A2898,EXTRATO!$M$2:$M$3000))</f>
        <v/>
      </c>
      <c r="G2898" s="81" t="str">
        <f>IF(A2898="","",IF(INDEX(EXTRATO!$G$2:$G$3000,MATCH($A2898,EXTRATO!$A$2:$A$3000,0))="","",INDEX(EXTRATO!$G$2:$G$3000,MATCH($A2898,EXTRATO!$A$2:$A$3000,0))))</f>
        <v/>
      </c>
      <c r="H2898" s="86" t="str">
        <f>IF(A2898="","",IF(INDEX(EXTRATO!$F$2:$F$3000,MATCH($A2898,EXTRATO!$A$2:$A$3000,0))="","",INDEX(EXTRATO!$F$2:$F$3000,MATCH($A2898,EXTRATO!$A$2:$A$3000,0))))</f>
        <v/>
      </c>
      <c r="I2898" s="88" t="str">
        <f>IF(A2898="","",IF(INDEX(EXTRATO!$H$2:$H$3000,MATCH($A2898,EXTRATO!$A$2:$A$3000,0))="","",INDEX(EXTRATO!$H$2:$H$3000,MATCH($A2898,EXTRATO!$A$2:$A$3000,0))))</f>
        <v/>
      </c>
      <c r="J2898" s="86" t="str">
        <f t="shared" si="77"/>
        <v/>
      </c>
      <c r="K2898" s="86" t="str">
        <f>IF(AND(A2898="",D2898="",E2898="",F2898=""),"",IF(D2898="","SEM CATEGORIA",IF(E2898="","SEM SUBCATEGORIA",IF(COUNTIFS(CADASTROS!$L$7:$L$93,D2898,CADASTROS!$D$7:$D$93,E2898)=0,"INCOMPATÍVEL","OK"))))</f>
        <v/>
      </c>
    </row>
    <row r="2899" spans="1:11" ht="30" hidden="1" customHeight="1" x14ac:dyDescent="0.25">
      <c r="A2899" s="86" t="str">
        <f>IF(COUNTIF(EXTRATO!$A$2:$A$3000,"BAN-02756")=0,"","BAN-02756")</f>
        <v/>
      </c>
      <c r="B2899" s="85" t="str">
        <f>IF(A2899="","",IF(INDEX(EXTRATO!$C$2:$C$3000,MATCH($A2899,EXTRATO!$A$2:$A$3000,0))="","",INDEX(EXTRATO!$C$2:$C$3000,MATCH($A2899,EXTRATO!$A$2:$A$3000,0))))</f>
        <v/>
      </c>
      <c r="C2899" s="86" t="str">
        <f t="shared" si="76"/>
        <v/>
      </c>
      <c r="D2899" s="81"/>
      <c r="E2899" s="79"/>
      <c r="F2899" s="80" t="str">
        <f>IF(A2899="","",SUMIF(EXTRATO!$A$2:$A$3000,$A2899,EXTRATO!$J$2:$J$3000)+SUMIF(EXTRATO!$A$2:$A$3000,$A2899,EXTRATO!$K$2:$K$3000)+SUMIF(EXTRATO!$A$2:$A$3000,$A2899,EXTRATO!$L$2:$L$3000)+SUMIF(EXTRATO!$A$2:$A$3000,$A2899,EXTRATO!$M$2:$M$3000))</f>
        <v/>
      </c>
      <c r="G2899" s="81" t="str">
        <f>IF(A2899="","",IF(INDEX(EXTRATO!$G$2:$G$3000,MATCH($A2899,EXTRATO!$A$2:$A$3000,0))="","",INDEX(EXTRATO!$G$2:$G$3000,MATCH($A2899,EXTRATO!$A$2:$A$3000,0))))</f>
        <v/>
      </c>
      <c r="H2899" s="86" t="str">
        <f>IF(A2899="","",IF(INDEX(EXTRATO!$F$2:$F$3000,MATCH($A2899,EXTRATO!$A$2:$A$3000,0))="","",INDEX(EXTRATO!$F$2:$F$3000,MATCH($A2899,EXTRATO!$A$2:$A$3000,0))))</f>
        <v/>
      </c>
      <c r="I2899" s="88" t="str">
        <f>IF(A2899="","",IF(INDEX(EXTRATO!$H$2:$H$3000,MATCH($A2899,EXTRATO!$A$2:$A$3000,0))="","",INDEX(EXTRATO!$H$2:$H$3000,MATCH($A2899,EXTRATO!$A$2:$A$3000,0))))</f>
        <v/>
      </c>
      <c r="J2899" s="86" t="str">
        <f t="shared" si="77"/>
        <v/>
      </c>
      <c r="K2899" s="86" t="str">
        <f>IF(AND(A2899="",D2899="",E2899="",F2899=""),"",IF(D2899="","SEM CATEGORIA",IF(E2899="","SEM SUBCATEGORIA",IF(COUNTIFS(CADASTROS!$L$7:$L$93,D2899,CADASTROS!$D$7:$D$93,E2899)=0,"INCOMPATÍVEL","OK"))))</f>
        <v/>
      </c>
    </row>
    <row r="2900" spans="1:11" ht="30" hidden="1" customHeight="1" x14ac:dyDescent="0.25">
      <c r="A2900" s="86" t="str">
        <f>IF(COUNTIF(EXTRATO!$A$2:$A$3000,"BAN-02757")=0,"","BAN-02757")</f>
        <v/>
      </c>
      <c r="B2900" s="85" t="str">
        <f>IF(A2900="","",IF(INDEX(EXTRATO!$C$2:$C$3000,MATCH($A2900,EXTRATO!$A$2:$A$3000,0))="","",INDEX(EXTRATO!$C$2:$C$3000,MATCH($A2900,EXTRATO!$A$2:$A$3000,0))))</f>
        <v/>
      </c>
      <c r="C2900" s="86" t="str">
        <f t="shared" si="76"/>
        <v/>
      </c>
      <c r="D2900" s="81"/>
      <c r="E2900" s="79"/>
      <c r="F2900" s="80" t="str">
        <f>IF(A2900="","",SUMIF(EXTRATO!$A$2:$A$3000,$A2900,EXTRATO!$J$2:$J$3000)+SUMIF(EXTRATO!$A$2:$A$3000,$A2900,EXTRATO!$K$2:$K$3000)+SUMIF(EXTRATO!$A$2:$A$3000,$A2900,EXTRATO!$L$2:$L$3000)+SUMIF(EXTRATO!$A$2:$A$3000,$A2900,EXTRATO!$M$2:$M$3000))</f>
        <v/>
      </c>
      <c r="G2900" s="81" t="str">
        <f>IF(A2900="","",IF(INDEX(EXTRATO!$G$2:$G$3000,MATCH($A2900,EXTRATO!$A$2:$A$3000,0))="","",INDEX(EXTRATO!$G$2:$G$3000,MATCH($A2900,EXTRATO!$A$2:$A$3000,0))))</f>
        <v/>
      </c>
      <c r="H2900" s="86" t="str">
        <f>IF(A2900="","",IF(INDEX(EXTRATO!$F$2:$F$3000,MATCH($A2900,EXTRATO!$A$2:$A$3000,0))="","",INDEX(EXTRATO!$F$2:$F$3000,MATCH($A2900,EXTRATO!$A$2:$A$3000,0))))</f>
        <v/>
      </c>
      <c r="I2900" s="88" t="str">
        <f>IF(A2900="","",IF(INDEX(EXTRATO!$H$2:$H$3000,MATCH($A2900,EXTRATO!$A$2:$A$3000,0))="","",INDEX(EXTRATO!$H$2:$H$3000,MATCH($A2900,EXTRATO!$A$2:$A$3000,0))))</f>
        <v/>
      </c>
      <c r="J2900" s="86" t="str">
        <f t="shared" si="77"/>
        <v/>
      </c>
      <c r="K2900" s="86" t="str">
        <f>IF(AND(A2900="",D2900="",E2900="",F2900=""),"",IF(D2900="","SEM CATEGORIA",IF(E2900="","SEM SUBCATEGORIA",IF(COUNTIFS(CADASTROS!$L$7:$L$93,D2900,CADASTROS!$D$7:$D$93,E2900)=0,"INCOMPATÍVEL","OK"))))</f>
        <v/>
      </c>
    </row>
    <row r="2901" spans="1:11" ht="30" hidden="1" customHeight="1" x14ac:dyDescent="0.25">
      <c r="A2901" s="86" t="str">
        <f>IF(COUNTIF(EXTRATO!$A$2:$A$3000,"BAN-02758")=0,"","BAN-02758")</f>
        <v/>
      </c>
      <c r="B2901" s="85" t="str">
        <f>IF(A2901="","",IF(INDEX(EXTRATO!$C$2:$C$3000,MATCH($A2901,EXTRATO!$A$2:$A$3000,0))="","",INDEX(EXTRATO!$C$2:$C$3000,MATCH($A2901,EXTRATO!$A$2:$A$3000,0))))</f>
        <v/>
      </c>
      <c r="C2901" s="86" t="str">
        <f t="shared" ref="C2901:C2964" si="78">IF(B2901="","",MONTH(B2901))</f>
        <v/>
      </c>
      <c r="D2901" s="81"/>
      <c r="E2901" s="79"/>
      <c r="F2901" s="80" t="str">
        <f>IF(A2901="","",SUMIF(EXTRATO!$A$2:$A$3000,$A2901,EXTRATO!$J$2:$J$3000)+SUMIF(EXTRATO!$A$2:$A$3000,$A2901,EXTRATO!$K$2:$K$3000)+SUMIF(EXTRATO!$A$2:$A$3000,$A2901,EXTRATO!$L$2:$L$3000)+SUMIF(EXTRATO!$A$2:$A$3000,$A2901,EXTRATO!$M$2:$M$3000))</f>
        <v/>
      </c>
      <c r="G2901" s="81" t="str">
        <f>IF(A2901="","",IF(INDEX(EXTRATO!$G$2:$G$3000,MATCH($A2901,EXTRATO!$A$2:$A$3000,0))="","",INDEX(EXTRATO!$G$2:$G$3000,MATCH($A2901,EXTRATO!$A$2:$A$3000,0))))</f>
        <v/>
      </c>
      <c r="H2901" s="86" t="str">
        <f>IF(A2901="","",IF(INDEX(EXTRATO!$F$2:$F$3000,MATCH($A2901,EXTRATO!$A$2:$A$3000,0))="","",INDEX(EXTRATO!$F$2:$F$3000,MATCH($A2901,EXTRATO!$A$2:$A$3000,0))))</f>
        <v/>
      </c>
      <c r="I2901" s="88" t="str">
        <f>IF(A2901="","",IF(INDEX(EXTRATO!$H$2:$H$3000,MATCH($A2901,EXTRATO!$A$2:$A$3000,0))="","",INDEX(EXTRATO!$H$2:$H$3000,MATCH($A2901,EXTRATO!$A$2:$A$3000,0))))</f>
        <v/>
      </c>
      <c r="J2901" s="86" t="str">
        <f t="shared" si="77"/>
        <v/>
      </c>
      <c r="K2901" s="86" t="str">
        <f>IF(AND(A2901="",D2901="",E2901="",F2901=""),"",IF(D2901="","SEM CATEGORIA",IF(E2901="","SEM SUBCATEGORIA",IF(COUNTIFS(CADASTROS!$L$7:$L$93,D2901,CADASTROS!$D$7:$D$93,E2901)=0,"INCOMPATÍVEL","OK"))))</f>
        <v/>
      </c>
    </row>
    <row r="2902" spans="1:11" ht="30" hidden="1" customHeight="1" x14ac:dyDescent="0.25">
      <c r="A2902" s="86" t="str">
        <f>IF(COUNTIF(EXTRATO!$A$2:$A$3000,"BAN-02759")=0,"","BAN-02759")</f>
        <v/>
      </c>
      <c r="B2902" s="85" t="str">
        <f>IF(A2902="","",IF(INDEX(EXTRATO!$C$2:$C$3000,MATCH($A2902,EXTRATO!$A$2:$A$3000,0))="","",INDEX(EXTRATO!$C$2:$C$3000,MATCH($A2902,EXTRATO!$A$2:$A$3000,0))))</f>
        <v/>
      </c>
      <c r="C2902" s="86" t="str">
        <f t="shared" si="78"/>
        <v/>
      </c>
      <c r="D2902" s="81"/>
      <c r="E2902" s="79"/>
      <c r="F2902" s="80" t="str">
        <f>IF(A2902="","",SUMIF(EXTRATO!$A$2:$A$3000,$A2902,EXTRATO!$J$2:$J$3000)+SUMIF(EXTRATO!$A$2:$A$3000,$A2902,EXTRATO!$K$2:$K$3000)+SUMIF(EXTRATO!$A$2:$A$3000,$A2902,EXTRATO!$L$2:$L$3000)+SUMIF(EXTRATO!$A$2:$A$3000,$A2902,EXTRATO!$M$2:$M$3000))</f>
        <v/>
      </c>
      <c r="G2902" s="81" t="str">
        <f>IF(A2902="","",IF(INDEX(EXTRATO!$G$2:$G$3000,MATCH($A2902,EXTRATO!$A$2:$A$3000,0))="","",INDEX(EXTRATO!$G$2:$G$3000,MATCH($A2902,EXTRATO!$A$2:$A$3000,0))))</f>
        <v/>
      </c>
      <c r="H2902" s="86" t="str">
        <f>IF(A2902="","",IF(INDEX(EXTRATO!$F$2:$F$3000,MATCH($A2902,EXTRATO!$A$2:$A$3000,0))="","",INDEX(EXTRATO!$F$2:$F$3000,MATCH($A2902,EXTRATO!$A$2:$A$3000,0))))</f>
        <v/>
      </c>
      <c r="I2902" s="88" t="str">
        <f>IF(A2902="","",IF(INDEX(EXTRATO!$H$2:$H$3000,MATCH($A2902,EXTRATO!$A$2:$A$3000,0))="","",INDEX(EXTRATO!$H$2:$H$3000,MATCH($A2902,EXTRATO!$A$2:$A$3000,0))))</f>
        <v/>
      </c>
      <c r="J2902" s="86" t="str">
        <f t="shared" si="77"/>
        <v/>
      </c>
      <c r="K2902" s="86" t="str">
        <f>IF(AND(A2902="",D2902="",E2902="",F2902=""),"",IF(D2902="","SEM CATEGORIA",IF(E2902="","SEM SUBCATEGORIA",IF(COUNTIFS(CADASTROS!$L$7:$L$93,D2902,CADASTROS!$D$7:$D$93,E2902)=0,"INCOMPATÍVEL","OK"))))</f>
        <v/>
      </c>
    </row>
    <row r="2903" spans="1:11" ht="30" hidden="1" customHeight="1" x14ac:dyDescent="0.25">
      <c r="A2903" s="86" t="str">
        <f>IF(COUNTIF(EXTRATO!$A$2:$A$3000,"BAN-02760")=0,"","BAN-02760")</f>
        <v/>
      </c>
      <c r="B2903" s="85" t="str">
        <f>IF(A2903="","",IF(INDEX(EXTRATO!$C$2:$C$3000,MATCH($A2903,EXTRATO!$A$2:$A$3000,0))="","",INDEX(EXTRATO!$C$2:$C$3000,MATCH($A2903,EXTRATO!$A$2:$A$3000,0))))</f>
        <v/>
      </c>
      <c r="C2903" s="86" t="str">
        <f t="shared" si="78"/>
        <v/>
      </c>
      <c r="D2903" s="81"/>
      <c r="E2903" s="79"/>
      <c r="F2903" s="80" t="str">
        <f>IF(A2903="","",SUMIF(EXTRATO!$A$2:$A$3000,$A2903,EXTRATO!$J$2:$J$3000)+SUMIF(EXTRATO!$A$2:$A$3000,$A2903,EXTRATO!$K$2:$K$3000)+SUMIF(EXTRATO!$A$2:$A$3000,$A2903,EXTRATO!$L$2:$L$3000)+SUMIF(EXTRATO!$A$2:$A$3000,$A2903,EXTRATO!$M$2:$M$3000))</f>
        <v/>
      </c>
      <c r="G2903" s="81" t="str">
        <f>IF(A2903="","",IF(INDEX(EXTRATO!$G$2:$G$3000,MATCH($A2903,EXTRATO!$A$2:$A$3000,0))="","",INDEX(EXTRATO!$G$2:$G$3000,MATCH($A2903,EXTRATO!$A$2:$A$3000,0))))</f>
        <v/>
      </c>
      <c r="H2903" s="86" t="str">
        <f>IF(A2903="","",IF(INDEX(EXTRATO!$F$2:$F$3000,MATCH($A2903,EXTRATO!$A$2:$A$3000,0))="","",INDEX(EXTRATO!$F$2:$F$3000,MATCH($A2903,EXTRATO!$A$2:$A$3000,0))))</f>
        <v/>
      </c>
      <c r="I2903" s="88" t="str">
        <f>IF(A2903="","",IF(INDEX(EXTRATO!$H$2:$H$3000,MATCH($A2903,EXTRATO!$A$2:$A$3000,0))="","",INDEX(EXTRATO!$H$2:$H$3000,MATCH($A2903,EXTRATO!$A$2:$A$3000,0))))</f>
        <v/>
      </c>
      <c r="J2903" s="86" t="str">
        <f t="shared" si="77"/>
        <v/>
      </c>
      <c r="K2903" s="86" t="str">
        <f>IF(AND(A2903="",D2903="",E2903="",F2903=""),"",IF(D2903="","SEM CATEGORIA",IF(E2903="","SEM SUBCATEGORIA",IF(COUNTIFS(CADASTROS!$L$7:$L$93,D2903,CADASTROS!$D$7:$D$93,E2903)=0,"INCOMPATÍVEL","OK"))))</f>
        <v/>
      </c>
    </row>
    <row r="2904" spans="1:11" ht="30" hidden="1" customHeight="1" x14ac:dyDescent="0.25">
      <c r="A2904" s="86" t="str">
        <f>IF(COUNTIF(EXTRATO!$A$2:$A$3000,"BAN-02761")=0,"","BAN-02761")</f>
        <v/>
      </c>
      <c r="B2904" s="85" t="str">
        <f>IF(A2904="","",IF(INDEX(EXTRATO!$C$2:$C$3000,MATCH($A2904,EXTRATO!$A$2:$A$3000,0))="","",INDEX(EXTRATO!$C$2:$C$3000,MATCH($A2904,EXTRATO!$A$2:$A$3000,0))))</f>
        <v/>
      </c>
      <c r="C2904" s="86" t="str">
        <f t="shared" si="78"/>
        <v/>
      </c>
      <c r="D2904" s="81"/>
      <c r="E2904" s="79"/>
      <c r="F2904" s="80" t="str">
        <f>IF(A2904="","",SUMIF(EXTRATO!$A$2:$A$3000,$A2904,EXTRATO!$J$2:$J$3000)+SUMIF(EXTRATO!$A$2:$A$3000,$A2904,EXTRATO!$K$2:$K$3000)+SUMIF(EXTRATO!$A$2:$A$3000,$A2904,EXTRATO!$L$2:$L$3000)+SUMIF(EXTRATO!$A$2:$A$3000,$A2904,EXTRATO!$M$2:$M$3000))</f>
        <v/>
      </c>
      <c r="G2904" s="81" t="str">
        <f>IF(A2904="","",IF(INDEX(EXTRATO!$G$2:$G$3000,MATCH($A2904,EXTRATO!$A$2:$A$3000,0))="","",INDEX(EXTRATO!$G$2:$G$3000,MATCH($A2904,EXTRATO!$A$2:$A$3000,0))))</f>
        <v/>
      </c>
      <c r="H2904" s="86" t="str">
        <f>IF(A2904="","",IF(INDEX(EXTRATO!$F$2:$F$3000,MATCH($A2904,EXTRATO!$A$2:$A$3000,0))="","",INDEX(EXTRATO!$F$2:$F$3000,MATCH($A2904,EXTRATO!$A$2:$A$3000,0))))</f>
        <v/>
      </c>
      <c r="I2904" s="88" t="str">
        <f>IF(A2904="","",IF(INDEX(EXTRATO!$H$2:$H$3000,MATCH($A2904,EXTRATO!$A$2:$A$3000,0))="","",INDEX(EXTRATO!$H$2:$H$3000,MATCH($A2904,EXTRATO!$A$2:$A$3000,0))))</f>
        <v/>
      </c>
      <c r="J2904" s="86" t="str">
        <f t="shared" si="77"/>
        <v/>
      </c>
      <c r="K2904" s="86" t="str">
        <f>IF(AND(A2904="",D2904="",E2904="",F2904=""),"",IF(D2904="","SEM CATEGORIA",IF(E2904="","SEM SUBCATEGORIA",IF(COUNTIFS(CADASTROS!$L$7:$L$93,D2904,CADASTROS!$D$7:$D$93,E2904)=0,"INCOMPATÍVEL","OK"))))</f>
        <v/>
      </c>
    </row>
    <row r="2905" spans="1:11" ht="30" hidden="1" customHeight="1" x14ac:dyDescent="0.25">
      <c r="A2905" s="86" t="str">
        <f>IF(COUNTIF(EXTRATO!$A$2:$A$3000,"BAN-02762")=0,"","BAN-02762")</f>
        <v/>
      </c>
      <c r="B2905" s="85" t="str">
        <f>IF(A2905="","",IF(INDEX(EXTRATO!$C$2:$C$3000,MATCH($A2905,EXTRATO!$A$2:$A$3000,0))="","",INDEX(EXTRATO!$C$2:$C$3000,MATCH($A2905,EXTRATO!$A$2:$A$3000,0))))</f>
        <v/>
      </c>
      <c r="C2905" s="86" t="str">
        <f t="shared" si="78"/>
        <v/>
      </c>
      <c r="D2905" s="81"/>
      <c r="E2905" s="79"/>
      <c r="F2905" s="80" t="str">
        <f>IF(A2905="","",SUMIF(EXTRATO!$A$2:$A$3000,$A2905,EXTRATO!$J$2:$J$3000)+SUMIF(EXTRATO!$A$2:$A$3000,$A2905,EXTRATO!$K$2:$K$3000)+SUMIF(EXTRATO!$A$2:$A$3000,$A2905,EXTRATO!$L$2:$L$3000)+SUMIF(EXTRATO!$A$2:$A$3000,$A2905,EXTRATO!$M$2:$M$3000))</f>
        <v/>
      </c>
      <c r="G2905" s="81" t="str">
        <f>IF(A2905="","",IF(INDEX(EXTRATO!$G$2:$G$3000,MATCH($A2905,EXTRATO!$A$2:$A$3000,0))="","",INDEX(EXTRATO!$G$2:$G$3000,MATCH($A2905,EXTRATO!$A$2:$A$3000,0))))</f>
        <v/>
      </c>
      <c r="H2905" s="86" t="str">
        <f>IF(A2905="","",IF(INDEX(EXTRATO!$F$2:$F$3000,MATCH($A2905,EXTRATO!$A$2:$A$3000,0))="","",INDEX(EXTRATO!$F$2:$F$3000,MATCH($A2905,EXTRATO!$A$2:$A$3000,0))))</f>
        <v/>
      </c>
      <c r="I2905" s="88" t="str">
        <f>IF(A2905="","",IF(INDEX(EXTRATO!$H$2:$H$3000,MATCH($A2905,EXTRATO!$A$2:$A$3000,0))="","",INDEX(EXTRATO!$H$2:$H$3000,MATCH($A2905,EXTRATO!$A$2:$A$3000,0))))</f>
        <v/>
      </c>
      <c r="J2905" s="86" t="str">
        <f t="shared" si="77"/>
        <v/>
      </c>
      <c r="K2905" s="86" t="str">
        <f>IF(AND(A2905="",D2905="",E2905="",F2905=""),"",IF(D2905="","SEM CATEGORIA",IF(E2905="","SEM SUBCATEGORIA",IF(COUNTIFS(CADASTROS!$L$7:$L$93,D2905,CADASTROS!$D$7:$D$93,E2905)=0,"INCOMPATÍVEL","OK"))))</f>
        <v/>
      </c>
    </row>
    <row r="2906" spans="1:11" ht="30" hidden="1" customHeight="1" x14ac:dyDescent="0.25">
      <c r="A2906" s="86" t="str">
        <f>IF(COUNTIF(EXTRATO!$A$2:$A$3000,"BAN-02763")=0,"","BAN-02763")</f>
        <v/>
      </c>
      <c r="B2906" s="85" t="str">
        <f>IF(A2906="","",IF(INDEX(EXTRATO!$C$2:$C$3000,MATCH($A2906,EXTRATO!$A$2:$A$3000,0))="","",INDEX(EXTRATO!$C$2:$C$3000,MATCH($A2906,EXTRATO!$A$2:$A$3000,0))))</f>
        <v/>
      </c>
      <c r="C2906" s="86" t="str">
        <f t="shared" si="78"/>
        <v/>
      </c>
      <c r="D2906" s="81"/>
      <c r="E2906" s="79"/>
      <c r="F2906" s="80" t="str">
        <f>IF(A2906="","",SUMIF(EXTRATO!$A$2:$A$3000,$A2906,EXTRATO!$J$2:$J$3000)+SUMIF(EXTRATO!$A$2:$A$3000,$A2906,EXTRATO!$K$2:$K$3000)+SUMIF(EXTRATO!$A$2:$A$3000,$A2906,EXTRATO!$L$2:$L$3000)+SUMIF(EXTRATO!$A$2:$A$3000,$A2906,EXTRATO!$M$2:$M$3000))</f>
        <v/>
      </c>
      <c r="G2906" s="81" t="str">
        <f>IF(A2906="","",IF(INDEX(EXTRATO!$G$2:$G$3000,MATCH($A2906,EXTRATO!$A$2:$A$3000,0))="","",INDEX(EXTRATO!$G$2:$G$3000,MATCH($A2906,EXTRATO!$A$2:$A$3000,0))))</f>
        <v/>
      </c>
      <c r="H2906" s="86" t="str">
        <f>IF(A2906="","",IF(INDEX(EXTRATO!$F$2:$F$3000,MATCH($A2906,EXTRATO!$A$2:$A$3000,0))="","",INDEX(EXTRATO!$F$2:$F$3000,MATCH($A2906,EXTRATO!$A$2:$A$3000,0))))</f>
        <v/>
      </c>
      <c r="I2906" s="88" t="str">
        <f>IF(A2906="","",IF(INDEX(EXTRATO!$H$2:$H$3000,MATCH($A2906,EXTRATO!$A$2:$A$3000,0))="","",INDEX(EXTRATO!$H$2:$H$3000,MATCH($A2906,EXTRATO!$A$2:$A$3000,0))))</f>
        <v/>
      </c>
      <c r="J2906" s="86" t="str">
        <f t="shared" si="77"/>
        <v/>
      </c>
      <c r="K2906" s="86" t="str">
        <f>IF(AND(A2906="",D2906="",E2906="",F2906=""),"",IF(D2906="","SEM CATEGORIA",IF(E2906="","SEM SUBCATEGORIA",IF(COUNTIFS(CADASTROS!$L$7:$L$93,D2906,CADASTROS!$D$7:$D$93,E2906)=0,"INCOMPATÍVEL","OK"))))</f>
        <v/>
      </c>
    </row>
    <row r="2907" spans="1:11" ht="30" hidden="1" customHeight="1" x14ac:dyDescent="0.25">
      <c r="A2907" s="86" t="str">
        <f>IF(COUNTIF(EXTRATO!$A$2:$A$3000,"BAN-02764")=0,"","BAN-02764")</f>
        <v/>
      </c>
      <c r="B2907" s="85" t="str">
        <f>IF(A2907="","",IF(INDEX(EXTRATO!$C$2:$C$3000,MATCH($A2907,EXTRATO!$A$2:$A$3000,0))="","",INDEX(EXTRATO!$C$2:$C$3000,MATCH($A2907,EXTRATO!$A$2:$A$3000,0))))</f>
        <v/>
      </c>
      <c r="C2907" s="86" t="str">
        <f t="shared" si="78"/>
        <v/>
      </c>
      <c r="D2907" s="81"/>
      <c r="E2907" s="79"/>
      <c r="F2907" s="80" t="str">
        <f>IF(A2907="","",SUMIF(EXTRATO!$A$2:$A$3000,$A2907,EXTRATO!$J$2:$J$3000)+SUMIF(EXTRATO!$A$2:$A$3000,$A2907,EXTRATO!$K$2:$K$3000)+SUMIF(EXTRATO!$A$2:$A$3000,$A2907,EXTRATO!$L$2:$L$3000)+SUMIF(EXTRATO!$A$2:$A$3000,$A2907,EXTRATO!$M$2:$M$3000))</f>
        <v/>
      </c>
      <c r="G2907" s="81" t="str">
        <f>IF(A2907="","",IF(INDEX(EXTRATO!$G$2:$G$3000,MATCH($A2907,EXTRATO!$A$2:$A$3000,0))="","",INDEX(EXTRATO!$G$2:$G$3000,MATCH($A2907,EXTRATO!$A$2:$A$3000,0))))</f>
        <v/>
      </c>
      <c r="H2907" s="86" t="str">
        <f>IF(A2907="","",IF(INDEX(EXTRATO!$F$2:$F$3000,MATCH($A2907,EXTRATO!$A$2:$A$3000,0))="","",INDEX(EXTRATO!$F$2:$F$3000,MATCH($A2907,EXTRATO!$A$2:$A$3000,0))))</f>
        <v/>
      </c>
      <c r="I2907" s="88" t="str">
        <f>IF(A2907="","",IF(INDEX(EXTRATO!$H$2:$H$3000,MATCH($A2907,EXTRATO!$A$2:$A$3000,0))="","",INDEX(EXTRATO!$H$2:$H$3000,MATCH($A2907,EXTRATO!$A$2:$A$3000,0))))</f>
        <v/>
      </c>
      <c r="J2907" s="86" t="str">
        <f t="shared" si="77"/>
        <v/>
      </c>
      <c r="K2907" s="86" t="str">
        <f>IF(AND(A2907="",D2907="",E2907="",F2907=""),"",IF(D2907="","SEM CATEGORIA",IF(E2907="","SEM SUBCATEGORIA",IF(COUNTIFS(CADASTROS!$L$7:$L$93,D2907,CADASTROS!$D$7:$D$93,E2907)=0,"INCOMPATÍVEL","OK"))))</f>
        <v/>
      </c>
    </row>
    <row r="2908" spans="1:11" ht="30" hidden="1" customHeight="1" x14ac:dyDescent="0.25">
      <c r="A2908" s="86" t="str">
        <f>IF(COUNTIF(EXTRATO!$A$2:$A$3000,"BAN-02765")=0,"","BAN-02765")</f>
        <v/>
      </c>
      <c r="B2908" s="85" t="str">
        <f>IF(A2908="","",IF(INDEX(EXTRATO!$C$2:$C$3000,MATCH($A2908,EXTRATO!$A$2:$A$3000,0))="","",INDEX(EXTRATO!$C$2:$C$3000,MATCH($A2908,EXTRATO!$A$2:$A$3000,0))))</f>
        <v/>
      </c>
      <c r="C2908" s="86" t="str">
        <f t="shared" si="78"/>
        <v/>
      </c>
      <c r="D2908" s="81"/>
      <c r="E2908" s="79"/>
      <c r="F2908" s="80" t="str">
        <f>IF(A2908="","",SUMIF(EXTRATO!$A$2:$A$3000,$A2908,EXTRATO!$J$2:$J$3000)+SUMIF(EXTRATO!$A$2:$A$3000,$A2908,EXTRATO!$K$2:$K$3000)+SUMIF(EXTRATO!$A$2:$A$3000,$A2908,EXTRATO!$L$2:$L$3000)+SUMIF(EXTRATO!$A$2:$A$3000,$A2908,EXTRATO!$M$2:$M$3000))</f>
        <v/>
      </c>
      <c r="G2908" s="81" t="str">
        <f>IF(A2908="","",IF(INDEX(EXTRATO!$G$2:$G$3000,MATCH($A2908,EXTRATO!$A$2:$A$3000,0))="","",INDEX(EXTRATO!$G$2:$G$3000,MATCH($A2908,EXTRATO!$A$2:$A$3000,0))))</f>
        <v/>
      </c>
      <c r="H2908" s="86" t="str">
        <f>IF(A2908="","",IF(INDEX(EXTRATO!$F$2:$F$3000,MATCH($A2908,EXTRATO!$A$2:$A$3000,0))="","",INDEX(EXTRATO!$F$2:$F$3000,MATCH($A2908,EXTRATO!$A$2:$A$3000,0))))</f>
        <v/>
      </c>
      <c r="I2908" s="88" t="str">
        <f>IF(A2908="","",IF(INDEX(EXTRATO!$H$2:$H$3000,MATCH($A2908,EXTRATO!$A$2:$A$3000,0))="","",INDEX(EXTRATO!$H$2:$H$3000,MATCH($A2908,EXTRATO!$A$2:$A$3000,0))))</f>
        <v/>
      </c>
      <c r="J2908" s="86" t="str">
        <f t="shared" si="77"/>
        <v/>
      </c>
      <c r="K2908" s="86" t="str">
        <f>IF(AND(A2908="",D2908="",E2908="",F2908=""),"",IF(D2908="","SEM CATEGORIA",IF(E2908="","SEM SUBCATEGORIA",IF(COUNTIFS(CADASTROS!$L$7:$L$93,D2908,CADASTROS!$D$7:$D$93,E2908)=0,"INCOMPATÍVEL","OK"))))</f>
        <v/>
      </c>
    </row>
    <row r="2909" spans="1:11" ht="30" hidden="1" customHeight="1" x14ac:dyDescent="0.25">
      <c r="A2909" s="86" t="str">
        <f>IF(COUNTIF(EXTRATO!$A$2:$A$3000,"BAN-02766")=0,"","BAN-02766")</f>
        <v/>
      </c>
      <c r="B2909" s="85" t="str">
        <f>IF(A2909="","",IF(INDEX(EXTRATO!$C$2:$C$3000,MATCH($A2909,EXTRATO!$A$2:$A$3000,0))="","",INDEX(EXTRATO!$C$2:$C$3000,MATCH($A2909,EXTRATO!$A$2:$A$3000,0))))</f>
        <v/>
      </c>
      <c r="C2909" s="86" t="str">
        <f t="shared" si="78"/>
        <v/>
      </c>
      <c r="D2909" s="81"/>
      <c r="E2909" s="79"/>
      <c r="F2909" s="80" t="str">
        <f>IF(A2909="","",SUMIF(EXTRATO!$A$2:$A$3000,$A2909,EXTRATO!$J$2:$J$3000)+SUMIF(EXTRATO!$A$2:$A$3000,$A2909,EXTRATO!$K$2:$K$3000)+SUMIF(EXTRATO!$A$2:$A$3000,$A2909,EXTRATO!$L$2:$L$3000)+SUMIF(EXTRATO!$A$2:$A$3000,$A2909,EXTRATO!$M$2:$M$3000))</f>
        <v/>
      </c>
      <c r="G2909" s="81" t="str">
        <f>IF(A2909="","",IF(INDEX(EXTRATO!$G$2:$G$3000,MATCH($A2909,EXTRATO!$A$2:$A$3000,0))="","",INDEX(EXTRATO!$G$2:$G$3000,MATCH($A2909,EXTRATO!$A$2:$A$3000,0))))</f>
        <v/>
      </c>
      <c r="H2909" s="86" t="str">
        <f>IF(A2909="","",IF(INDEX(EXTRATO!$F$2:$F$3000,MATCH($A2909,EXTRATO!$A$2:$A$3000,0))="","",INDEX(EXTRATO!$F$2:$F$3000,MATCH($A2909,EXTRATO!$A$2:$A$3000,0))))</f>
        <v/>
      </c>
      <c r="I2909" s="88" t="str">
        <f>IF(A2909="","",IF(INDEX(EXTRATO!$H$2:$H$3000,MATCH($A2909,EXTRATO!$A$2:$A$3000,0))="","",INDEX(EXTRATO!$H$2:$H$3000,MATCH($A2909,EXTRATO!$A$2:$A$3000,0))))</f>
        <v/>
      </c>
      <c r="J2909" s="86" t="str">
        <f t="shared" si="77"/>
        <v/>
      </c>
      <c r="K2909" s="86" t="str">
        <f>IF(AND(A2909="",D2909="",E2909="",F2909=""),"",IF(D2909="","SEM CATEGORIA",IF(E2909="","SEM SUBCATEGORIA",IF(COUNTIFS(CADASTROS!$L$7:$L$93,D2909,CADASTROS!$D$7:$D$93,E2909)=0,"INCOMPATÍVEL","OK"))))</f>
        <v/>
      </c>
    </row>
    <row r="2910" spans="1:11" ht="30" hidden="1" customHeight="1" x14ac:dyDescent="0.25">
      <c r="A2910" s="86" t="str">
        <f>IF(COUNTIF(EXTRATO!$A$2:$A$3000,"BAN-02767")=0,"","BAN-02767")</f>
        <v/>
      </c>
      <c r="B2910" s="85" t="str">
        <f>IF(A2910="","",IF(INDEX(EXTRATO!$C$2:$C$3000,MATCH($A2910,EXTRATO!$A$2:$A$3000,0))="","",INDEX(EXTRATO!$C$2:$C$3000,MATCH($A2910,EXTRATO!$A$2:$A$3000,0))))</f>
        <v/>
      </c>
      <c r="C2910" s="86" t="str">
        <f t="shared" si="78"/>
        <v/>
      </c>
      <c r="D2910" s="81"/>
      <c r="E2910" s="79"/>
      <c r="F2910" s="80" t="str">
        <f>IF(A2910="","",SUMIF(EXTRATO!$A$2:$A$3000,$A2910,EXTRATO!$J$2:$J$3000)+SUMIF(EXTRATO!$A$2:$A$3000,$A2910,EXTRATO!$K$2:$K$3000)+SUMIF(EXTRATO!$A$2:$A$3000,$A2910,EXTRATO!$L$2:$L$3000)+SUMIF(EXTRATO!$A$2:$A$3000,$A2910,EXTRATO!$M$2:$M$3000))</f>
        <v/>
      </c>
      <c r="G2910" s="81" t="str">
        <f>IF(A2910="","",IF(INDEX(EXTRATO!$G$2:$G$3000,MATCH($A2910,EXTRATO!$A$2:$A$3000,0))="","",INDEX(EXTRATO!$G$2:$G$3000,MATCH($A2910,EXTRATO!$A$2:$A$3000,0))))</f>
        <v/>
      </c>
      <c r="H2910" s="86" t="str">
        <f>IF(A2910="","",IF(INDEX(EXTRATO!$F$2:$F$3000,MATCH($A2910,EXTRATO!$A$2:$A$3000,0))="","",INDEX(EXTRATO!$F$2:$F$3000,MATCH($A2910,EXTRATO!$A$2:$A$3000,0))))</f>
        <v/>
      </c>
      <c r="I2910" s="88" t="str">
        <f>IF(A2910="","",IF(INDEX(EXTRATO!$H$2:$H$3000,MATCH($A2910,EXTRATO!$A$2:$A$3000,0))="","",INDEX(EXTRATO!$H$2:$H$3000,MATCH($A2910,EXTRATO!$A$2:$A$3000,0))))</f>
        <v/>
      </c>
      <c r="J2910" s="86" t="str">
        <f t="shared" si="77"/>
        <v/>
      </c>
      <c r="K2910" s="86" t="str">
        <f>IF(AND(A2910="",D2910="",E2910="",F2910=""),"",IF(D2910="","SEM CATEGORIA",IF(E2910="","SEM SUBCATEGORIA",IF(COUNTIFS(CADASTROS!$L$7:$L$93,D2910,CADASTROS!$D$7:$D$93,E2910)=0,"INCOMPATÍVEL","OK"))))</f>
        <v/>
      </c>
    </row>
    <row r="2911" spans="1:11" ht="30" hidden="1" customHeight="1" x14ac:dyDescent="0.25">
      <c r="A2911" s="86" t="str">
        <f>IF(COUNTIF(EXTRATO!$A$2:$A$3000,"BAN-02768")=0,"","BAN-02768")</f>
        <v/>
      </c>
      <c r="B2911" s="85" t="str">
        <f>IF(A2911="","",IF(INDEX(EXTRATO!$C$2:$C$3000,MATCH($A2911,EXTRATO!$A$2:$A$3000,0))="","",INDEX(EXTRATO!$C$2:$C$3000,MATCH($A2911,EXTRATO!$A$2:$A$3000,0))))</f>
        <v/>
      </c>
      <c r="C2911" s="86" t="str">
        <f t="shared" si="78"/>
        <v/>
      </c>
      <c r="D2911" s="81"/>
      <c r="E2911" s="79"/>
      <c r="F2911" s="80" t="str">
        <f>IF(A2911="","",SUMIF(EXTRATO!$A$2:$A$3000,$A2911,EXTRATO!$J$2:$J$3000)+SUMIF(EXTRATO!$A$2:$A$3000,$A2911,EXTRATO!$K$2:$K$3000)+SUMIF(EXTRATO!$A$2:$A$3000,$A2911,EXTRATO!$L$2:$L$3000)+SUMIF(EXTRATO!$A$2:$A$3000,$A2911,EXTRATO!$M$2:$M$3000))</f>
        <v/>
      </c>
      <c r="G2911" s="81" t="str">
        <f>IF(A2911="","",IF(INDEX(EXTRATO!$G$2:$G$3000,MATCH($A2911,EXTRATO!$A$2:$A$3000,0))="","",INDEX(EXTRATO!$G$2:$G$3000,MATCH($A2911,EXTRATO!$A$2:$A$3000,0))))</f>
        <v/>
      </c>
      <c r="H2911" s="86" t="str">
        <f>IF(A2911="","",IF(INDEX(EXTRATO!$F$2:$F$3000,MATCH($A2911,EXTRATO!$A$2:$A$3000,0))="","",INDEX(EXTRATO!$F$2:$F$3000,MATCH($A2911,EXTRATO!$A$2:$A$3000,0))))</f>
        <v/>
      </c>
      <c r="I2911" s="88" t="str">
        <f>IF(A2911="","",IF(INDEX(EXTRATO!$H$2:$H$3000,MATCH($A2911,EXTRATO!$A$2:$A$3000,0))="","",INDEX(EXTRATO!$H$2:$H$3000,MATCH($A2911,EXTRATO!$A$2:$A$3000,0))))</f>
        <v/>
      </c>
      <c r="J2911" s="86" t="str">
        <f t="shared" si="77"/>
        <v/>
      </c>
      <c r="K2911" s="86" t="str">
        <f>IF(AND(A2911="",D2911="",E2911="",F2911=""),"",IF(D2911="","SEM CATEGORIA",IF(E2911="","SEM SUBCATEGORIA",IF(COUNTIFS(CADASTROS!$L$7:$L$93,D2911,CADASTROS!$D$7:$D$93,E2911)=0,"INCOMPATÍVEL","OK"))))</f>
        <v/>
      </c>
    </row>
    <row r="2912" spans="1:11" ht="30" hidden="1" customHeight="1" x14ac:dyDescent="0.25">
      <c r="A2912" s="86" t="str">
        <f>IF(COUNTIF(EXTRATO!$A$2:$A$3000,"BAN-02769")=0,"","BAN-02769")</f>
        <v/>
      </c>
      <c r="B2912" s="85" t="str">
        <f>IF(A2912="","",IF(INDEX(EXTRATO!$C$2:$C$3000,MATCH($A2912,EXTRATO!$A$2:$A$3000,0))="","",INDEX(EXTRATO!$C$2:$C$3000,MATCH($A2912,EXTRATO!$A$2:$A$3000,0))))</f>
        <v/>
      </c>
      <c r="C2912" s="86" t="str">
        <f t="shared" si="78"/>
        <v/>
      </c>
      <c r="D2912" s="81"/>
      <c r="E2912" s="79"/>
      <c r="F2912" s="80" t="str">
        <f>IF(A2912="","",SUMIF(EXTRATO!$A$2:$A$3000,$A2912,EXTRATO!$J$2:$J$3000)+SUMIF(EXTRATO!$A$2:$A$3000,$A2912,EXTRATO!$K$2:$K$3000)+SUMIF(EXTRATO!$A$2:$A$3000,$A2912,EXTRATO!$L$2:$L$3000)+SUMIF(EXTRATO!$A$2:$A$3000,$A2912,EXTRATO!$M$2:$M$3000))</f>
        <v/>
      </c>
      <c r="G2912" s="81" t="str">
        <f>IF(A2912="","",IF(INDEX(EXTRATO!$G$2:$G$3000,MATCH($A2912,EXTRATO!$A$2:$A$3000,0))="","",INDEX(EXTRATO!$G$2:$G$3000,MATCH($A2912,EXTRATO!$A$2:$A$3000,0))))</f>
        <v/>
      </c>
      <c r="H2912" s="86" t="str">
        <f>IF(A2912="","",IF(INDEX(EXTRATO!$F$2:$F$3000,MATCH($A2912,EXTRATO!$A$2:$A$3000,0))="","",INDEX(EXTRATO!$F$2:$F$3000,MATCH($A2912,EXTRATO!$A$2:$A$3000,0))))</f>
        <v/>
      </c>
      <c r="I2912" s="88" t="str">
        <f>IF(A2912="","",IF(INDEX(EXTRATO!$H$2:$H$3000,MATCH($A2912,EXTRATO!$A$2:$A$3000,0))="","",INDEX(EXTRATO!$H$2:$H$3000,MATCH($A2912,EXTRATO!$A$2:$A$3000,0))))</f>
        <v/>
      </c>
      <c r="J2912" s="86" t="str">
        <f t="shared" si="77"/>
        <v/>
      </c>
      <c r="K2912" s="86" t="str">
        <f>IF(AND(A2912="",D2912="",E2912="",F2912=""),"",IF(D2912="","SEM CATEGORIA",IF(E2912="","SEM SUBCATEGORIA",IF(COUNTIFS(CADASTROS!$L$7:$L$93,D2912,CADASTROS!$D$7:$D$93,E2912)=0,"INCOMPATÍVEL","OK"))))</f>
        <v/>
      </c>
    </row>
    <row r="2913" spans="1:11" ht="30" hidden="1" customHeight="1" x14ac:dyDescent="0.25">
      <c r="A2913" s="86" t="str">
        <f>IF(COUNTIF(EXTRATO!$A$2:$A$3000,"BAN-02770")=0,"","BAN-02770")</f>
        <v/>
      </c>
      <c r="B2913" s="85" t="str">
        <f>IF(A2913="","",IF(INDEX(EXTRATO!$C$2:$C$3000,MATCH($A2913,EXTRATO!$A$2:$A$3000,0))="","",INDEX(EXTRATO!$C$2:$C$3000,MATCH($A2913,EXTRATO!$A$2:$A$3000,0))))</f>
        <v/>
      </c>
      <c r="C2913" s="86" t="str">
        <f t="shared" si="78"/>
        <v/>
      </c>
      <c r="D2913" s="81"/>
      <c r="E2913" s="79"/>
      <c r="F2913" s="80" t="str">
        <f>IF(A2913="","",SUMIF(EXTRATO!$A$2:$A$3000,$A2913,EXTRATO!$J$2:$J$3000)+SUMIF(EXTRATO!$A$2:$A$3000,$A2913,EXTRATO!$K$2:$K$3000)+SUMIF(EXTRATO!$A$2:$A$3000,$A2913,EXTRATO!$L$2:$L$3000)+SUMIF(EXTRATO!$A$2:$A$3000,$A2913,EXTRATO!$M$2:$M$3000))</f>
        <v/>
      </c>
      <c r="G2913" s="81" t="str">
        <f>IF(A2913="","",IF(INDEX(EXTRATO!$G$2:$G$3000,MATCH($A2913,EXTRATO!$A$2:$A$3000,0))="","",INDEX(EXTRATO!$G$2:$G$3000,MATCH($A2913,EXTRATO!$A$2:$A$3000,0))))</f>
        <v/>
      </c>
      <c r="H2913" s="86" t="str">
        <f>IF(A2913="","",IF(INDEX(EXTRATO!$F$2:$F$3000,MATCH($A2913,EXTRATO!$A$2:$A$3000,0))="","",INDEX(EXTRATO!$F$2:$F$3000,MATCH($A2913,EXTRATO!$A$2:$A$3000,0))))</f>
        <v/>
      </c>
      <c r="I2913" s="88" t="str">
        <f>IF(A2913="","",IF(INDEX(EXTRATO!$H$2:$H$3000,MATCH($A2913,EXTRATO!$A$2:$A$3000,0))="","",INDEX(EXTRATO!$H$2:$H$3000,MATCH($A2913,EXTRATO!$A$2:$A$3000,0))))</f>
        <v/>
      </c>
      <c r="J2913" s="86" t="str">
        <f t="shared" si="77"/>
        <v/>
      </c>
      <c r="K2913" s="86" t="str">
        <f>IF(AND(A2913="",D2913="",E2913="",F2913=""),"",IF(D2913="","SEM CATEGORIA",IF(E2913="","SEM SUBCATEGORIA",IF(COUNTIFS(CADASTROS!$L$7:$L$93,D2913,CADASTROS!$D$7:$D$93,E2913)=0,"INCOMPATÍVEL","OK"))))</f>
        <v/>
      </c>
    </row>
    <row r="2914" spans="1:11" ht="30" hidden="1" customHeight="1" x14ac:dyDescent="0.25">
      <c r="A2914" s="86" t="str">
        <f>IF(COUNTIF(EXTRATO!$A$2:$A$3000,"BAN-02771")=0,"","BAN-02771")</f>
        <v/>
      </c>
      <c r="B2914" s="85" t="str">
        <f>IF(A2914="","",IF(INDEX(EXTRATO!$C$2:$C$3000,MATCH($A2914,EXTRATO!$A$2:$A$3000,0))="","",INDEX(EXTRATO!$C$2:$C$3000,MATCH($A2914,EXTRATO!$A$2:$A$3000,0))))</f>
        <v/>
      </c>
      <c r="C2914" s="86" t="str">
        <f t="shared" si="78"/>
        <v/>
      </c>
      <c r="D2914" s="81"/>
      <c r="E2914" s="79"/>
      <c r="F2914" s="80" t="str">
        <f>IF(A2914="","",SUMIF(EXTRATO!$A$2:$A$3000,$A2914,EXTRATO!$J$2:$J$3000)+SUMIF(EXTRATO!$A$2:$A$3000,$A2914,EXTRATO!$K$2:$K$3000)+SUMIF(EXTRATO!$A$2:$A$3000,$A2914,EXTRATO!$L$2:$L$3000)+SUMIF(EXTRATO!$A$2:$A$3000,$A2914,EXTRATO!$M$2:$M$3000))</f>
        <v/>
      </c>
      <c r="G2914" s="81" t="str">
        <f>IF(A2914="","",IF(INDEX(EXTRATO!$G$2:$G$3000,MATCH($A2914,EXTRATO!$A$2:$A$3000,0))="","",INDEX(EXTRATO!$G$2:$G$3000,MATCH($A2914,EXTRATO!$A$2:$A$3000,0))))</f>
        <v/>
      </c>
      <c r="H2914" s="86" t="str">
        <f>IF(A2914="","",IF(INDEX(EXTRATO!$F$2:$F$3000,MATCH($A2914,EXTRATO!$A$2:$A$3000,0))="","",INDEX(EXTRATO!$F$2:$F$3000,MATCH($A2914,EXTRATO!$A$2:$A$3000,0))))</f>
        <v/>
      </c>
      <c r="I2914" s="88" t="str">
        <f>IF(A2914="","",IF(INDEX(EXTRATO!$H$2:$H$3000,MATCH($A2914,EXTRATO!$A$2:$A$3000,0))="","",INDEX(EXTRATO!$H$2:$H$3000,MATCH($A2914,EXTRATO!$A$2:$A$3000,0))))</f>
        <v/>
      </c>
      <c r="J2914" s="86" t="str">
        <f t="shared" si="77"/>
        <v/>
      </c>
      <c r="K2914" s="86" t="str">
        <f>IF(AND(A2914="",D2914="",E2914="",F2914=""),"",IF(D2914="","SEM CATEGORIA",IF(E2914="","SEM SUBCATEGORIA",IF(COUNTIFS(CADASTROS!$L$7:$L$93,D2914,CADASTROS!$D$7:$D$93,E2914)=0,"INCOMPATÍVEL","OK"))))</f>
        <v/>
      </c>
    </row>
    <row r="2915" spans="1:11" ht="30" hidden="1" customHeight="1" x14ac:dyDescent="0.25">
      <c r="A2915" s="86" t="str">
        <f>IF(COUNTIF(EXTRATO!$A$2:$A$3000,"BAN-02772")=0,"","BAN-02772")</f>
        <v/>
      </c>
      <c r="B2915" s="85" t="str">
        <f>IF(A2915="","",IF(INDEX(EXTRATO!$C$2:$C$3000,MATCH($A2915,EXTRATO!$A$2:$A$3000,0))="","",INDEX(EXTRATO!$C$2:$C$3000,MATCH($A2915,EXTRATO!$A$2:$A$3000,0))))</f>
        <v/>
      </c>
      <c r="C2915" s="86" t="str">
        <f t="shared" si="78"/>
        <v/>
      </c>
      <c r="D2915" s="81"/>
      <c r="E2915" s="79"/>
      <c r="F2915" s="80" t="str">
        <f>IF(A2915="","",SUMIF(EXTRATO!$A$2:$A$3000,$A2915,EXTRATO!$J$2:$J$3000)+SUMIF(EXTRATO!$A$2:$A$3000,$A2915,EXTRATO!$K$2:$K$3000)+SUMIF(EXTRATO!$A$2:$A$3000,$A2915,EXTRATO!$L$2:$L$3000)+SUMIF(EXTRATO!$A$2:$A$3000,$A2915,EXTRATO!$M$2:$M$3000))</f>
        <v/>
      </c>
      <c r="G2915" s="81" t="str">
        <f>IF(A2915="","",IF(INDEX(EXTRATO!$G$2:$G$3000,MATCH($A2915,EXTRATO!$A$2:$A$3000,0))="","",INDEX(EXTRATO!$G$2:$G$3000,MATCH($A2915,EXTRATO!$A$2:$A$3000,0))))</f>
        <v/>
      </c>
      <c r="H2915" s="86" t="str">
        <f>IF(A2915="","",IF(INDEX(EXTRATO!$F$2:$F$3000,MATCH($A2915,EXTRATO!$A$2:$A$3000,0))="","",INDEX(EXTRATO!$F$2:$F$3000,MATCH($A2915,EXTRATO!$A$2:$A$3000,0))))</f>
        <v/>
      </c>
      <c r="I2915" s="88" t="str">
        <f>IF(A2915="","",IF(INDEX(EXTRATO!$H$2:$H$3000,MATCH($A2915,EXTRATO!$A$2:$A$3000,0))="","",INDEX(EXTRATO!$H$2:$H$3000,MATCH($A2915,EXTRATO!$A$2:$A$3000,0))))</f>
        <v/>
      </c>
      <c r="J2915" s="86" t="str">
        <f t="shared" si="77"/>
        <v/>
      </c>
      <c r="K2915" s="86" t="str">
        <f>IF(AND(A2915="",D2915="",E2915="",F2915=""),"",IF(D2915="","SEM CATEGORIA",IF(E2915="","SEM SUBCATEGORIA",IF(COUNTIFS(CADASTROS!$L$7:$L$93,D2915,CADASTROS!$D$7:$D$93,E2915)=0,"INCOMPATÍVEL","OK"))))</f>
        <v/>
      </c>
    </row>
    <row r="2916" spans="1:11" ht="30" hidden="1" customHeight="1" x14ac:dyDescent="0.25">
      <c r="A2916" s="86" t="str">
        <f>IF(COUNTIF(EXTRATO!$A$2:$A$3000,"BAN-02773")=0,"","BAN-02773")</f>
        <v/>
      </c>
      <c r="B2916" s="85" t="str">
        <f>IF(A2916="","",IF(INDEX(EXTRATO!$C$2:$C$3000,MATCH($A2916,EXTRATO!$A$2:$A$3000,0))="","",INDEX(EXTRATO!$C$2:$C$3000,MATCH($A2916,EXTRATO!$A$2:$A$3000,0))))</f>
        <v/>
      </c>
      <c r="C2916" s="86" t="str">
        <f t="shared" si="78"/>
        <v/>
      </c>
      <c r="D2916" s="81"/>
      <c r="E2916" s="79"/>
      <c r="F2916" s="80" t="str">
        <f>IF(A2916="","",SUMIF(EXTRATO!$A$2:$A$3000,$A2916,EXTRATO!$J$2:$J$3000)+SUMIF(EXTRATO!$A$2:$A$3000,$A2916,EXTRATO!$K$2:$K$3000)+SUMIF(EXTRATO!$A$2:$A$3000,$A2916,EXTRATO!$L$2:$L$3000)+SUMIF(EXTRATO!$A$2:$A$3000,$A2916,EXTRATO!$M$2:$M$3000))</f>
        <v/>
      </c>
      <c r="G2916" s="81" t="str">
        <f>IF(A2916="","",IF(INDEX(EXTRATO!$G$2:$G$3000,MATCH($A2916,EXTRATO!$A$2:$A$3000,0))="","",INDEX(EXTRATO!$G$2:$G$3000,MATCH($A2916,EXTRATO!$A$2:$A$3000,0))))</f>
        <v/>
      </c>
      <c r="H2916" s="86" t="str">
        <f>IF(A2916="","",IF(INDEX(EXTRATO!$F$2:$F$3000,MATCH($A2916,EXTRATO!$A$2:$A$3000,0))="","",INDEX(EXTRATO!$F$2:$F$3000,MATCH($A2916,EXTRATO!$A$2:$A$3000,0))))</f>
        <v/>
      </c>
      <c r="I2916" s="88" t="str">
        <f>IF(A2916="","",IF(INDEX(EXTRATO!$H$2:$H$3000,MATCH($A2916,EXTRATO!$A$2:$A$3000,0))="","",INDEX(EXTRATO!$H$2:$H$3000,MATCH($A2916,EXTRATO!$A$2:$A$3000,0))))</f>
        <v/>
      </c>
      <c r="J2916" s="86" t="str">
        <f t="shared" si="77"/>
        <v/>
      </c>
      <c r="K2916" s="86" t="str">
        <f>IF(AND(A2916="",D2916="",E2916="",F2916=""),"",IF(D2916="","SEM CATEGORIA",IF(E2916="","SEM SUBCATEGORIA",IF(COUNTIFS(CADASTROS!$L$7:$L$93,D2916,CADASTROS!$D$7:$D$93,E2916)=0,"INCOMPATÍVEL","OK"))))</f>
        <v/>
      </c>
    </row>
    <row r="2917" spans="1:11" ht="30" hidden="1" customHeight="1" x14ac:dyDescent="0.25">
      <c r="A2917" s="86" t="str">
        <f>IF(COUNTIF(EXTRATO!$A$2:$A$3000,"BAN-02774")=0,"","BAN-02774")</f>
        <v/>
      </c>
      <c r="B2917" s="85" t="str">
        <f>IF(A2917="","",IF(INDEX(EXTRATO!$C$2:$C$3000,MATCH($A2917,EXTRATO!$A$2:$A$3000,0))="","",INDEX(EXTRATO!$C$2:$C$3000,MATCH($A2917,EXTRATO!$A$2:$A$3000,0))))</f>
        <v/>
      </c>
      <c r="C2917" s="86" t="str">
        <f t="shared" si="78"/>
        <v/>
      </c>
      <c r="D2917" s="81"/>
      <c r="E2917" s="79"/>
      <c r="F2917" s="80" t="str">
        <f>IF(A2917="","",SUMIF(EXTRATO!$A$2:$A$3000,$A2917,EXTRATO!$J$2:$J$3000)+SUMIF(EXTRATO!$A$2:$A$3000,$A2917,EXTRATO!$K$2:$K$3000)+SUMIF(EXTRATO!$A$2:$A$3000,$A2917,EXTRATO!$L$2:$L$3000)+SUMIF(EXTRATO!$A$2:$A$3000,$A2917,EXTRATO!$M$2:$M$3000))</f>
        <v/>
      </c>
      <c r="G2917" s="81" t="str">
        <f>IF(A2917="","",IF(INDEX(EXTRATO!$G$2:$G$3000,MATCH($A2917,EXTRATO!$A$2:$A$3000,0))="","",INDEX(EXTRATO!$G$2:$G$3000,MATCH($A2917,EXTRATO!$A$2:$A$3000,0))))</f>
        <v/>
      </c>
      <c r="H2917" s="86" t="str">
        <f>IF(A2917="","",IF(INDEX(EXTRATO!$F$2:$F$3000,MATCH($A2917,EXTRATO!$A$2:$A$3000,0))="","",INDEX(EXTRATO!$F$2:$F$3000,MATCH($A2917,EXTRATO!$A$2:$A$3000,0))))</f>
        <v/>
      </c>
      <c r="I2917" s="88" t="str">
        <f>IF(A2917="","",IF(INDEX(EXTRATO!$H$2:$H$3000,MATCH($A2917,EXTRATO!$A$2:$A$3000,0))="","",INDEX(EXTRATO!$H$2:$H$3000,MATCH($A2917,EXTRATO!$A$2:$A$3000,0))))</f>
        <v/>
      </c>
      <c r="J2917" s="86" t="str">
        <f t="shared" si="77"/>
        <v/>
      </c>
      <c r="K2917" s="86" t="str">
        <f>IF(AND(A2917="",D2917="",E2917="",F2917=""),"",IF(D2917="","SEM CATEGORIA",IF(E2917="","SEM SUBCATEGORIA",IF(COUNTIFS(CADASTROS!$L$7:$L$93,D2917,CADASTROS!$D$7:$D$93,E2917)=0,"INCOMPATÍVEL","OK"))))</f>
        <v/>
      </c>
    </row>
    <row r="2918" spans="1:11" ht="30" hidden="1" customHeight="1" x14ac:dyDescent="0.25">
      <c r="A2918" s="86" t="str">
        <f>IF(COUNTIF(EXTRATO!$A$2:$A$3000,"BAN-02775")=0,"","BAN-02775")</f>
        <v/>
      </c>
      <c r="B2918" s="85" t="str">
        <f>IF(A2918="","",IF(INDEX(EXTRATO!$C$2:$C$3000,MATCH($A2918,EXTRATO!$A$2:$A$3000,0))="","",INDEX(EXTRATO!$C$2:$C$3000,MATCH($A2918,EXTRATO!$A$2:$A$3000,0))))</f>
        <v/>
      </c>
      <c r="C2918" s="86" t="str">
        <f t="shared" si="78"/>
        <v/>
      </c>
      <c r="D2918" s="81"/>
      <c r="E2918" s="79"/>
      <c r="F2918" s="80" t="str">
        <f>IF(A2918="","",SUMIF(EXTRATO!$A$2:$A$3000,$A2918,EXTRATO!$J$2:$J$3000)+SUMIF(EXTRATO!$A$2:$A$3000,$A2918,EXTRATO!$K$2:$K$3000)+SUMIF(EXTRATO!$A$2:$A$3000,$A2918,EXTRATO!$L$2:$L$3000)+SUMIF(EXTRATO!$A$2:$A$3000,$A2918,EXTRATO!$M$2:$M$3000))</f>
        <v/>
      </c>
      <c r="G2918" s="81" t="str">
        <f>IF(A2918="","",IF(INDEX(EXTRATO!$G$2:$G$3000,MATCH($A2918,EXTRATO!$A$2:$A$3000,0))="","",INDEX(EXTRATO!$G$2:$G$3000,MATCH($A2918,EXTRATO!$A$2:$A$3000,0))))</f>
        <v/>
      </c>
      <c r="H2918" s="86" t="str">
        <f>IF(A2918="","",IF(INDEX(EXTRATO!$F$2:$F$3000,MATCH($A2918,EXTRATO!$A$2:$A$3000,0))="","",INDEX(EXTRATO!$F$2:$F$3000,MATCH($A2918,EXTRATO!$A$2:$A$3000,0))))</f>
        <v/>
      </c>
      <c r="I2918" s="88" t="str">
        <f>IF(A2918="","",IF(INDEX(EXTRATO!$H$2:$H$3000,MATCH($A2918,EXTRATO!$A$2:$A$3000,0))="","",INDEX(EXTRATO!$H$2:$H$3000,MATCH($A2918,EXTRATO!$A$2:$A$3000,0))))</f>
        <v/>
      </c>
      <c r="J2918" s="86" t="str">
        <f t="shared" si="77"/>
        <v/>
      </c>
      <c r="K2918" s="86" t="str">
        <f>IF(AND(A2918="",D2918="",E2918="",F2918=""),"",IF(D2918="","SEM CATEGORIA",IF(E2918="","SEM SUBCATEGORIA",IF(COUNTIFS(CADASTROS!$L$7:$L$93,D2918,CADASTROS!$D$7:$D$93,E2918)=0,"INCOMPATÍVEL","OK"))))</f>
        <v/>
      </c>
    </row>
    <row r="2919" spans="1:11" ht="30" hidden="1" customHeight="1" x14ac:dyDescent="0.25">
      <c r="A2919" s="86" t="str">
        <f>IF(COUNTIF(EXTRATO!$A$2:$A$3000,"BAN-02776")=0,"","BAN-02776")</f>
        <v/>
      </c>
      <c r="B2919" s="85" t="str">
        <f>IF(A2919="","",IF(INDEX(EXTRATO!$C$2:$C$3000,MATCH($A2919,EXTRATO!$A$2:$A$3000,0))="","",INDEX(EXTRATO!$C$2:$C$3000,MATCH($A2919,EXTRATO!$A$2:$A$3000,0))))</f>
        <v/>
      </c>
      <c r="C2919" s="86" t="str">
        <f t="shared" si="78"/>
        <v/>
      </c>
      <c r="D2919" s="81"/>
      <c r="E2919" s="79"/>
      <c r="F2919" s="80" t="str">
        <f>IF(A2919="","",SUMIF(EXTRATO!$A$2:$A$3000,$A2919,EXTRATO!$J$2:$J$3000)+SUMIF(EXTRATO!$A$2:$A$3000,$A2919,EXTRATO!$K$2:$K$3000)+SUMIF(EXTRATO!$A$2:$A$3000,$A2919,EXTRATO!$L$2:$L$3000)+SUMIF(EXTRATO!$A$2:$A$3000,$A2919,EXTRATO!$M$2:$M$3000))</f>
        <v/>
      </c>
      <c r="G2919" s="81" t="str">
        <f>IF(A2919="","",IF(INDEX(EXTRATO!$G$2:$G$3000,MATCH($A2919,EXTRATO!$A$2:$A$3000,0))="","",INDEX(EXTRATO!$G$2:$G$3000,MATCH($A2919,EXTRATO!$A$2:$A$3000,0))))</f>
        <v/>
      </c>
      <c r="H2919" s="86" t="str">
        <f>IF(A2919="","",IF(INDEX(EXTRATO!$F$2:$F$3000,MATCH($A2919,EXTRATO!$A$2:$A$3000,0))="","",INDEX(EXTRATO!$F$2:$F$3000,MATCH($A2919,EXTRATO!$A$2:$A$3000,0))))</f>
        <v/>
      </c>
      <c r="I2919" s="88" t="str">
        <f>IF(A2919="","",IF(INDEX(EXTRATO!$H$2:$H$3000,MATCH($A2919,EXTRATO!$A$2:$A$3000,0))="","",INDEX(EXTRATO!$H$2:$H$3000,MATCH($A2919,EXTRATO!$A$2:$A$3000,0))))</f>
        <v/>
      </c>
      <c r="J2919" s="86" t="str">
        <f t="shared" si="77"/>
        <v/>
      </c>
      <c r="K2919" s="86" t="str">
        <f>IF(AND(A2919="",D2919="",E2919="",F2919=""),"",IF(D2919="","SEM CATEGORIA",IF(E2919="","SEM SUBCATEGORIA",IF(COUNTIFS(CADASTROS!$L$7:$L$93,D2919,CADASTROS!$D$7:$D$93,E2919)=0,"INCOMPATÍVEL","OK"))))</f>
        <v/>
      </c>
    </row>
    <row r="2920" spans="1:11" ht="30" hidden="1" customHeight="1" x14ac:dyDescent="0.25">
      <c r="A2920" s="86" t="str">
        <f>IF(COUNTIF(EXTRATO!$A$2:$A$3000,"BAN-02777")=0,"","BAN-02777")</f>
        <v/>
      </c>
      <c r="B2920" s="85" t="str">
        <f>IF(A2920="","",IF(INDEX(EXTRATO!$C$2:$C$3000,MATCH($A2920,EXTRATO!$A$2:$A$3000,0))="","",INDEX(EXTRATO!$C$2:$C$3000,MATCH($A2920,EXTRATO!$A$2:$A$3000,0))))</f>
        <v/>
      </c>
      <c r="C2920" s="86" t="str">
        <f t="shared" si="78"/>
        <v/>
      </c>
      <c r="D2920" s="81"/>
      <c r="E2920" s="79"/>
      <c r="F2920" s="80" t="str">
        <f>IF(A2920="","",SUMIF(EXTRATO!$A$2:$A$3000,$A2920,EXTRATO!$J$2:$J$3000)+SUMIF(EXTRATO!$A$2:$A$3000,$A2920,EXTRATO!$K$2:$K$3000)+SUMIF(EXTRATO!$A$2:$A$3000,$A2920,EXTRATO!$L$2:$L$3000)+SUMIF(EXTRATO!$A$2:$A$3000,$A2920,EXTRATO!$M$2:$M$3000))</f>
        <v/>
      </c>
      <c r="G2920" s="81" t="str">
        <f>IF(A2920="","",IF(INDEX(EXTRATO!$G$2:$G$3000,MATCH($A2920,EXTRATO!$A$2:$A$3000,0))="","",INDEX(EXTRATO!$G$2:$G$3000,MATCH($A2920,EXTRATO!$A$2:$A$3000,0))))</f>
        <v/>
      </c>
      <c r="H2920" s="86" t="str">
        <f>IF(A2920="","",IF(INDEX(EXTRATO!$F$2:$F$3000,MATCH($A2920,EXTRATO!$A$2:$A$3000,0))="","",INDEX(EXTRATO!$F$2:$F$3000,MATCH($A2920,EXTRATO!$A$2:$A$3000,0))))</f>
        <v/>
      </c>
      <c r="I2920" s="88" t="str">
        <f>IF(A2920="","",IF(INDEX(EXTRATO!$H$2:$H$3000,MATCH($A2920,EXTRATO!$A$2:$A$3000,0))="","",INDEX(EXTRATO!$H$2:$H$3000,MATCH($A2920,EXTRATO!$A$2:$A$3000,0))))</f>
        <v/>
      </c>
      <c r="J2920" s="86" t="str">
        <f t="shared" si="77"/>
        <v/>
      </c>
      <c r="K2920" s="86" t="str">
        <f>IF(AND(A2920="",D2920="",E2920="",F2920=""),"",IF(D2920="","SEM CATEGORIA",IF(E2920="","SEM SUBCATEGORIA",IF(COUNTIFS(CADASTROS!$L$7:$L$93,D2920,CADASTROS!$D$7:$D$93,E2920)=0,"INCOMPATÍVEL","OK"))))</f>
        <v/>
      </c>
    </row>
    <row r="2921" spans="1:11" ht="30" hidden="1" customHeight="1" x14ac:dyDescent="0.25">
      <c r="A2921" s="86" t="str">
        <f>IF(COUNTIF(EXTRATO!$A$2:$A$3000,"BAN-02778")=0,"","BAN-02778")</f>
        <v/>
      </c>
      <c r="B2921" s="85" t="str">
        <f>IF(A2921="","",IF(INDEX(EXTRATO!$C$2:$C$3000,MATCH($A2921,EXTRATO!$A$2:$A$3000,0))="","",INDEX(EXTRATO!$C$2:$C$3000,MATCH($A2921,EXTRATO!$A$2:$A$3000,0))))</f>
        <v/>
      </c>
      <c r="C2921" s="86" t="str">
        <f t="shared" si="78"/>
        <v/>
      </c>
      <c r="D2921" s="81"/>
      <c r="E2921" s="79"/>
      <c r="F2921" s="80" t="str">
        <f>IF(A2921="","",SUMIF(EXTRATO!$A$2:$A$3000,$A2921,EXTRATO!$J$2:$J$3000)+SUMIF(EXTRATO!$A$2:$A$3000,$A2921,EXTRATO!$K$2:$K$3000)+SUMIF(EXTRATO!$A$2:$A$3000,$A2921,EXTRATO!$L$2:$L$3000)+SUMIF(EXTRATO!$A$2:$A$3000,$A2921,EXTRATO!$M$2:$M$3000))</f>
        <v/>
      </c>
      <c r="G2921" s="81" t="str">
        <f>IF(A2921="","",IF(INDEX(EXTRATO!$G$2:$G$3000,MATCH($A2921,EXTRATO!$A$2:$A$3000,0))="","",INDEX(EXTRATO!$G$2:$G$3000,MATCH($A2921,EXTRATO!$A$2:$A$3000,0))))</f>
        <v/>
      </c>
      <c r="H2921" s="86" t="str">
        <f>IF(A2921="","",IF(INDEX(EXTRATO!$F$2:$F$3000,MATCH($A2921,EXTRATO!$A$2:$A$3000,0))="","",INDEX(EXTRATO!$F$2:$F$3000,MATCH($A2921,EXTRATO!$A$2:$A$3000,0))))</f>
        <v/>
      </c>
      <c r="I2921" s="88" t="str">
        <f>IF(A2921="","",IF(INDEX(EXTRATO!$H$2:$H$3000,MATCH($A2921,EXTRATO!$A$2:$A$3000,0))="","",INDEX(EXTRATO!$H$2:$H$3000,MATCH($A2921,EXTRATO!$A$2:$A$3000,0))))</f>
        <v/>
      </c>
      <c r="J2921" s="86" t="str">
        <f t="shared" si="77"/>
        <v/>
      </c>
      <c r="K2921" s="86" t="str">
        <f>IF(AND(A2921="",D2921="",E2921="",F2921=""),"",IF(D2921="","SEM CATEGORIA",IF(E2921="","SEM SUBCATEGORIA",IF(COUNTIFS(CADASTROS!$L$7:$L$93,D2921,CADASTROS!$D$7:$D$93,E2921)=0,"INCOMPATÍVEL","OK"))))</f>
        <v/>
      </c>
    </row>
    <row r="2922" spans="1:11" ht="30" hidden="1" customHeight="1" x14ac:dyDescent="0.25">
      <c r="A2922" s="86" t="str">
        <f>IF(COUNTIF(EXTRATO!$A$2:$A$3000,"BAN-02779")=0,"","BAN-02779")</f>
        <v/>
      </c>
      <c r="B2922" s="85" t="str">
        <f>IF(A2922="","",IF(INDEX(EXTRATO!$C$2:$C$3000,MATCH($A2922,EXTRATO!$A$2:$A$3000,0))="","",INDEX(EXTRATO!$C$2:$C$3000,MATCH($A2922,EXTRATO!$A$2:$A$3000,0))))</f>
        <v/>
      </c>
      <c r="C2922" s="86" t="str">
        <f t="shared" si="78"/>
        <v/>
      </c>
      <c r="D2922" s="81"/>
      <c r="E2922" s="79"/>
      <c r="F2922" s="80" t="str">
        <f>IF(A2922="","",SUMIF(EXTRATO!$A$2:$A$3000,$A2922,EXTRATO!$J$2:$J$3000)+SUMIF(EXTRATO!$A$2:$A$3000,$A2922,EXTRATO!$K$2:$K$3000)+SUMIF(EXTRATO!$A$2:$A$3000,$A2922,EXTRATO!$L$2:$L$3000)+SUMIF(EXTRATO!$A$2:$A$3000,$A2922,EXTRATO!$M$2:$M$3000))</f>
        <v/>
      </c>
      <c r="G2922" s="81" t="str">
        <f>IF(A2922="","",IF(INDEX(EXTRATO!$G$2:$G$3000,MATCH($A2922,EXTRATO!$A$2:$A$3000,0))="","",INDEX(EXTRATO!$G$2:$G$3000,MATCH($A2922,EXTRATO!$A$2:$A$3000,0))))</f>
        <v/>
      </c>
      <c r="H2922" s="86" t="str">
        <f>IF(A2922="","",IF(INDEX(EXTRATO!$F$2:$F$3000,MATCH($A2922,EXTRATO!$A$2:$A$3000,0))="","",INDEX(EXTRATO!$F$2:$F$3000,MATCH($A2922,EXTRATO!$A$2:$A$3000,0))))</f>
        <v/>
      </c>
      <c r="I2922" s="88" t="str">
        <f>IF(A2922="","",IF(INDEX(EXTRATO!$H$2:$H$3000,MATCH($A2922,EXTRATO!$A$2:$A$3000,0))="","",INDEX(EXTRATO!$H$2:$H$3000,MATCH($A2922,EXTRATO!$A$2:$A$3000,0))))</f>
        <v/>
      </c>
      <c r="J2922" s="86" t="str">
        <f t="shared" si="77"/>
        <v/>
      </c>
      <c r="K2922" s="86" t="str">
        <f>IF(AND(A2922="",D2922="",E2922="",F2922=""),"",IF(D2922="","SEM CATEGORIA",IF(E2922="","SEM SUBCATEGORIA",IF(COUNTIFS(CADASTROS!$L$7:$L$93,D2922,CADASTROS!$D$7:$D$93,E2922)=0,"INCOMPATÍVEL","OK"))))</f>
        <v/>
      </c>
    </row>
    <row r="2923" spans="1:11" ht="30" hidden="1" customHeight="1" x14ac:dyDescent="0.25">
      <c r="A2923" s="86" t="str">
        <f>IF(COUNTIF(EXTRATO!$A$2:$A$3000,"BAN-02780")=0,"","BAN-02780")</f>
        <v/>
      </c>
      <c r="B2923" s="85" t="str">
        <f>IF(A2923="","",IF(INDEX(EXTRATO!$C$2:$C$3000,MATCH($A2923,EXTRATO!$A$2:$A$3000,0))="","",INDEX(EXTRATO!$C$2:$C$3000,MATCH($A2923,EXTRATO!$A$2:$A$3000,0))))</f>
        <v/>
      </c>
      <c r="C2923" s="86" t="str">
        <f t="shared" si="78"/>
        <v/>
      </c>
      <c r="D2923" s="81"/>
      <c r="E2923" s="79"/>
      <c r="F2923" s="80" t="str">
        <f>IF(A2923="","",SUMIF(EXTRATO!$A$2:$A$3000,$A2923,EXTRATO!$J$2:$J$3000)+SUMIF(EXTRATO!$A$2:$A$3000,$A2923,EXTRATO!$K$2:$K$3000)+SUMIF(EXTRATO!$A$2:$A$3000,$A2923,EXTRATO!$L$2:$L$3000)+SUMIF(EXTRATO!$A$2:$A$3000,$A2923,EXTRATO!$M$2:$M$3000))</f>
        <v/>
      </c>
      <c r="G2923" s="81" t="str">
        <f>IF(A2923="","",IF(INDEX(EXTRATO!$G$2:$G$3000,MATCH($A2923,EXTRATO!$A$2:$A$3000,0))="","",INDEX(EXTRATO!$G$2:$G$3000,MATCH($A2923,EXTRATO!$A$2:$A$3000,0))))</f>
        <v/>
      </c>
      <c r="H2923" s="86" t="str">
        <f>IF(A2923="","",IF(INDEX(EXTRATO!$F$2:$F$3000,MATCH($A2923,EXTRATO!$A$2:$A$3000,0))="","",INDEX(EXTRATO!$F$2:$F$3000,MATCH($A2923,EXTRATO!$A$2:$A$3000,0))))</f>
        <v/>
      </c>
      <c r="I2923" s="88" t="str">
        <f>IF(A2923="","",IF(INDEX(EXTRATO!$H$2:$H$3000,MATCH($A2923,EXTRATO!$A$2:$A$3000,0))="","",INDEX(EXTRATO!$H$2:$H$3000,MATCH($A2923,EXTRATO!$A$2:$A$3000,0))))</f>
        <v/>
      </c>
      <c r="J2923" s="86" t="str">
        <f t="shared" si="77"/>
        <v/>
      </c>
      <c r="K2923" s="86" t="str">
        <f>IF(AND(A2923="",D2923="",E2923="",F2923=""),"",IF(D2923="","SEM CATEGORIA",IF(E2923="","SEM SUBCATEGORIA",IF(COUNTIFS(CADASTROS!$L$7:$L$93,D2923,CADASTROS!$D$7:$D$93,E2923)=0,"INCOMPATÍVEL","OK"))))</f>
        <v/>
      </c>
    </row>
    <row r="2924" spans="1:11" ht="30" hidden="1" customHeight="1" x14ac:dyDescent="0.25">
      <c r="A2924" s="86" t="str">
        <f>IF(COUNTIF(EXTRATO!$A$2:$A$3000,"BAN-02781")=0,"","BAN-02781")</f>
        <v/>
      </c>
      <c r="B2924" s="85" t="str">
        <f>IF(A2924="","",IF(INDEX(EXTRATO!$C$2:$C$3000,MATCH($A2924,EXTRATO!$A$2:$A$3000,0))="","",INDEX(EXTRATO!$C$2:$C$3000,MATCH($A2924,EXTRATO!$A$2:$A$3000,0))))</f>
        <v/>
      </c>
      <c r="C2924" s="86" t="str">
        <f t="shared" si="78"/>
        <v/>
      </c>
      <c r="D2924" s="81"/>
      <c r="E2924" s="79"/>
      <c r="F2924" s="80" t="str">
        <f>IF(A2924="","",SUMIF(EXTRATO!$A$2:$A$3000,$A2924,EXTRATO!$J$2:$J$3000)+SUMIF(EXTRATO!$A$2:$A$3000,$A2924,EXTRATO!$K$2:$K$3000)+SUMIF(EXTRATO!$A$2:$A$3000,$A2924,EXTRATO!$L$2:$L$3000)+SUMIF(EXTRATO!$A$2:$A$3000,$A2924,EXTRATO!$M$2:$M$3000))</f>
        <v/>
      </c>
      <c r="G2924" s="81" t="str">
        <f>IF(A2924="","",IF(INDEX(EXTRATO!$G$2:$G$3000,MATCH($A2924,EXTRATO!$A$2:$A$3000,0))="","",INDEX(EXTRATO!$G$2:$G$3000,MATCH($A2924,EXTRATO!$A$2:$A$3000,0))))</f>
        <v/>
      </c>
      <c r="H2924" s="86" t="str">
        <f>IF(A2924="","",IF(INDEX(EXTRATO!$F$2:$F$3000,MATCH($A2924,EXTRATO!$A$2:$A$3000,0))="","",INDEX(EXTRATO!$F$2:$F$3000,MATCH($A2924,EXTRATO!$A$2:$A$3000,0))))</f>
        <v/>
      </c>
      <c r="I2924" s="88" t="str">
        <f>IF(A2924="","",IF(INDEX(EXTRATO!$H$2:$H$3000,MATCH($A2924,EXTRATO!$A$2:$A$3000,0))="","",INDEX(EXTRATO!$H$2:$H$3000,MATCH($A2924,EXTRATO!$A$2:$A$3000,0))))</f>
        <v/>
      </c>
      <c r="J2924" s="86" t="str">
        <f t="shared" ref="J2924:J2987" si="79">IF(A2924="","",IF(K2924="OK","MANUAL","PENDENTE"))</f>
        <v/>
      </c>
      <c r="K2924" s="86" t="str">
        <f>IF(AND(A2924="",D2924="",E2924="",F2924=""),"",IF(D2924="","SEM CATEGORIA",IF(E2924="","SEM SUBCATEGORIA",IF(COUNTIFS(CADASTROS!$L$7:$L$93,D2924,CADASTROS!$D$7:$D$93,E2924)=0,"INCOMPATÍVEL","OK"))))</f>
        <v/>
      </c>
    </row>
    <row r="2925" spans="1:11" ht="30" hidden="1" customHeight="1" x14ac:dyDescent="0.25">
      <c r="A2925" s="86" t="str">
        <f>IF(COUNTIF(EXTRATO!$A$2:$A$3000,"BAN-02782")=0,"","BAN-02782")</f>
        <v/>
      </c>
      <c r="B2925" s="85" t="str">
        <f>IF(A2925="","",IF(INDEX(EXTRATO!$C$2:$C$3000,MATCH($A2925,EXTRATO!$A$2:$A$3000,0))="","",INDEX(EXTRATO!$C$2:$C$3000,MATCH($A2925,EXTRATO!$A$2:$A$3000,0))))</f>
        <v/>
      </c>
      <c r="C2925" s="86" t="str">
        <f t="shared" si="78"/>
        <v/>
      </c>
      <c r="D2925" s="81"/>
      <c r="E2925" s="79"/>
      <c r="F2925" s="80" t="str">
        <f>IF(A2925="","",SUMIF(EXTRATO!$A$2:$A$3000,$A2925,EXTRATO!$J$2:$J$3000)+SUMIF(EXTRATO!$A$2:$A$3000,$A2925,EXTRATO!$K$2:$K$3000)+SUMIF(EXTRATO!$A$2:$A$3000,$A2925,EXTRATO!$L$2:$L$3000)+SUMIF(EXTRATO!$A$2:$A$3000,$A2925,EXTRATO!$M$2:$M$3000))</f>
        <v/>
      </c>
      <c r="G2925" s="81" t="str">
        <f>IF(A2925="","",IF(INDEX(EXTRATO!$G$2:$G$3000,MATCH($A2925,EXTRATO!$A$2:$A$3000,0))="","",INDEX(EXTRATO!$G$2:$G$3000,MATCH($A2925,EXTRATO!$A$2:$A$3000,0))))</f>
        <v/>
      </c>
      <c r="H2925" s="86" t="str">
        <f>IF(A2925="","",IF(INDEX(EXTRATO!$F$2:$F$3000,MATCH($A2925,EXTRATO!$A$2:$A$3000,0))="","",INDEX(EXTRATO!$F$2:$F$3000,MATCH($A2925,EXTRATO!$A$2:$A$3000,0))))</f>
        <v/>
      </c>
      <c r="I2925" s="88" t="str">
        <f>IF(A2925="","",IF(INDEX(EXTRATO!$H$2:$H$3000,MATCH($A2925,EXTRATO!$A$2:$A$3000,0))="","",INDEX(EXTRATO!$H$2:$H$3000,MATCH($A2925,EXTRATO!$A$2:$A$3000,0))))</f>
        <v/>
      </c>
      <c r="J2925" s="86" t="str">
        <f t="shared" si="79"/>
        <v/>
      </c>
      <c r="K2925" s="86" t="str">
        <f>IF(AND(A2925="",D2925="",E2925="",F2925=""),"",IF(D2925="","SEM CATEGORIA",IF(E2925="","SEM SUBCATEGORIA",IF(COUNTIFS(CADASTROS!$L$7:$L$93,D2925,CADASTROS!$D$7:$D$93,E2925)=0,"INCOMPATÍVEL","OK"))))</f>
        <v/>
      </c>
    </row>
    <row r="2926" spans="1:11" ht="30" hidden="1" customHeight="1" x14ac:dyDescent="0.25">
      <c r="A2926" s="86" t="str">
        <f>IF(COUNTIF(EXTRATO!$A$2:$A$3000,"BAN-02783")=0,"","BAN-02783")</f>
        <v/>
      </c>
      <c r="B2926" s="85" t="str">
        <f>IF(A2926="","",IF(INDEX(EXTRATO!$C$2:$C$3000,MATCH($A2926,EXTRATO!$A$2:$A$3000,0))="","",INDEX(EXTRATO!$C$2:$C$3000,MATCH($A2926,EXTRATO!$A$2:$A$3000,0))))</f>
        <v/>
      </c>
      <c r="C2926" s="86" t="str">
        <f t="shared" si="78"/>
        <v/>
      </c>
      <c r="D2926" s="81"/>
      <c r="E2926" s="79"/>
      <c r="F2926" s="80" t="str">
        <f>IF(A2926="","",SUMIF(EXTRATO!$A$2:$A$3000,$A2926,EXTRATO!$J$2:$J$3000)+SUMIF(EXTRATO!$A$2:$A$3000,$A2926,EXTRATO!$K$2:$K$3000)+SUMIF(EXTRATO!$A$2:$A$3000,$A2926,EXTRATO!$L$2:$L$3000)+SUMIF(EXTRATO!$A$2:$A$3000,$A2926,EXTRATO!$M$2:$M$3000))</f>
        <v/>
      </c>
      <c r="G2926" s="81" t="str">
        <f>IF(A2926="","",IF(INDEX(EXTRATO!$G$2:$G$3000,MATCH($A2926,EXTRATO!$A$2:$A$3000,0))="","",INDEX(EXTRATO!$G$2:$G$3000,MATCH($A2926,EXTRATO!$A$2:$A$3000,0))))</f>
        <v/>
      </c>
      <c r="H2926" s="86" t="str">
        <f>IF(A2926="","",IF(INDEX(EXTRATO!$F$2:$F$3000,MATCH($A2926,EXTRATO!$A$2:$A$3000,0))="","",INDEX(EXTRATO!$F$2:$F$3000,MATCH($A2926,EXTRATO!$A$2:$A$3000,0))))</f>
        <v/>
      </c>
      <c r="I2926" s="88" t="str">
        <f>IF(A2926="","",IF(INDEX(EXTRATO!$H$2:$H$3000,MATCH($A2926,EXTRATO!$A$2:$A$3000,0))="","",INDEX(EXTRATO!$H$2:$H$3000,MATCH($A2926,EXTRATO!$A$2:$A$3000,0))))</f>
        <v/>
      </c>
      <c r="J2926" s="86" t="str">
        <f t="shared" si="79"/>
        <v/>
      </c>
      <c r="K2926" s="86" t="str">
        <f>IF(AND(A2926="",D2926="",E2926="",F2926=""),"",IF(D2926="","SEM CATEGORIA",IF(E2926="","SEM SUBCATEGORIA",IF(COUNTIFS(CADASTROS!$L$7:$L$93,D2926,CADASTROS!$D$7:$D$93,E2926)=0,"INCOMPATÍVEL","OK"))))</f>
        <v/>
      </c>
    </row>
    <row r="2927" spans="1:11" ht="30" hidden="1" customHeight="1" x14ac:dyDescent="0.25">
      <c r="A2927" s="86" t="str">
        <f>IF(COUNTIF(EXTRATO!$A$2:$A$3000,"BAN-02784")=0,"","BAN-02784")</f>
        <v/>
      </c>
      <c r="B2927" s="85" t="str">
        <f>IF(A2927="","",IF(INDEX(EXTRATO!$C$2:$C$3000,MATCH($A2927,EXTRATO!$A$2:$A$3000,0))="","",INDEX(EXTRATO!$C$2:$C$3000,MATCH($A2927,EXTRATO!$A$2:$A$3000,0))))</f>
        <v/>
      </c>
      <c r="C2927" s="86" t="str">
        <f t="shared" si="78"/>
        <v/>
      </c>
      <c r="D2927" s="81"/>
      <c r="E2927" s="79"/>
      <c r="F2927" s="80" t="str">
        <f>IF(A2927="","",SUMIF(EXTRATO!$A$2:$A$3000,$A2927,EXTRATO!$J$2:$J$3000)+SUMIF(EXTRATO!$A$2:$A$3000,$A2927,EXTRATO!$K$2:$K$3000)+SUMIF(EXTRATO!$A$2:$A$3000,$A2927,EXTRATO!$L$2:$L$3000)+SUMIF(EXTRATO!$A$2:$A$3000,$A2927,EXTRATO!$M$2:$M$3000))</f>
        <v/>
      </c>
      <c r="G2927" s="81" t="str">
        <f>IF(A2927="","",IF(INDEX(EXTRATO!$G$2:$G$3000,MATCH($A2927,EXTRATO!$A$2:$A$3000,0))="","",INDEX(EXTRATO!$G$2:$G$3000,MATCH($A2927,EXTRATO!$A$2:$A$3000,0))))</f>
        <v/>
      </c>
      <c r="H2927" s="86" t="str">
        <f>IF(A2927="","",IF(INDEX(EXTRATO!$F$2:$F$3000,MATCH($A2927,EXTRATO!$A$2:$A$3000,0))="","",INDEX(EXTRATO!$F$2:$F$3000,MATCH($A2927,EXTRATO!$A$2:$A$3000,0))))</f>
        <v/>
      </c>
      <c r="I2927" s="88" t="str">
        <f>IF(A2927="","",IF(INDEX(EXTRATO!$H$2:$H$3000,MATCH($A2927,EXTRATO!$A$2:$A$3000,0))="","",INDEX(EXTRATO!$H$2:$H$3000,MATCH($A2927,EXTRATO!$A$2:$A$3000,0))))</f>
        <v/>
      </c>
      <c r="J2927" s="86" t="str">
        <f t="shared" si="79"/>
        <v/>
      </c>
      <c r="K2927" s="86" t="str">
        <f>IF(AND(A2927="",D2927="",E2927="",F2927=""),"",IF(D2927="","SEM CATEGORIA",IF(E2927="","SEM SUBCATEGORIA",IF(COUNTIFS(CADASTROS!$L$7:$L$93,D2927,CADASTROS!$D$7:$D$93,E2927)=0,"INCOMPATÍVEL","OK"))))</f>
        <v/>
      </c>
    </row>
    <row r="2928" spans="1:11" ht="30" hidden="1" customHeight="1" x14ac:dyDescent="0.25">
      <c r="A2928" s="86" t="str">
        <f>IF(COUNTIF(EXTRATO!$A$2:$A$3000,"BAN-02785")=0,"","BAN-02785")</f>
        <v/>
      </c>
      <c r="B2928" s="85" t="str">
        <f>IF(A2928="","",IF(INDEX(EXTRATO!$C$2:$C$3000,MATCH($A2928,EXTRATO!$A$2:$A$3000,0))="","",INDEX(EXTRATO!$C$2:$C$3000,MATCH($A2928,EXTRATO!$A$2:$A$3000,0))))</f>
        <v/>
      </c>
      <c r="C2928" s="86" t="str">
        <f t="shared" si="78"/>
        <v/>
      </c>
      <c r="D2928" s="81"/>
      <c r="E2928" s="79"/>
      <c r="F2928" s="80" t="str">
        <f>IF(A2928="","",SUMIF(EXTRATO!$A$2:$A$3000,$A2928,EXTRATO!$J$2:$J$3000)+SUMIF(EXTRATO!$A$2:$A$3000,$A2928,EXTRATO!$K$2:$K$3000)+SUMIF(EXTRATO!$A$2:$A$3000,$A2928,EXTRATO!$L$2:$L$3000)+SUMIF(EXTRATO!$A$2:$A$3000,$A2928,EXTRATO!$M$2:$M$3000))</f>
        <v/>
      </c>
      <c r="G2928" s="81" t="str">
        <f>IF(A2928="","",IF(INDEX(EXTRATO!$G$2:$G$3000,MATCH($A2928,EXTRATO!$A$2:$A$3000,0))="","",INDEX(EXTRATO!$G$2:$G$3000,MATCH($A2928,EXTRATO!$A$2:$A$3000,0))))</f>
        <v/>
      </c>
      <c r="H2928" s="86" t="str">
        <f>IF(A2928="","",IF(INDEX(EXTRATO!$F$2:$F$3000,MATCH($A2928,EXTRATO!$A$2:$A$3000,0))="","",INDEX(EXTRATO!$F$2:$F$3000,MATCH($A2928,EXTRATO!$A$2:$A$3000,0))))</f>
        <v/>
      </c>
      <c r="I2928" s="88" t="str">
        <f>IF(A2928="","",IF(INDEX(EXTRATO!$H$2:$H$3000,MATCH($A2928,EXTRATO!$A$2:$A$3000,0))="","",INDEX(EXTRATO!$H$2:$H$3000,MATCH($A2928,EXTRATO!$A$2:$A$3000,0))))</f>
        <v/>
      </c>
      <c r="J2928" s="86" t="str">
        <f t="shared" si="79"/>
        <v/>
      </c>
      <c r="K2928" s="86" t="str">
        <f>IF(AND(A2928="",D2928="",E2928="",F2928=""),"",IF(D2928="","SEM CATEGORIA",IF(E2928="","SEM SUBCATEGORIA",IF(COUNTIFS(CADASTROS!$L$7:$L$93,D2928,CADASTROS!$D$7:$D$93,E2928)=0,"INCOMPATÍVEL","OK"))))</f>
        <v/>
      </c>
    </row>
    <row r="2929" spans="1:11" ht="30" hidden="1" customHeight="1" x14ac:dyDescent="0.25">
      <c r="A2929" s="86" t="str">
        <f>IF(COUNTIF(EXTRATO!$A$2:$A$3000,"BAN-02786")=0,"","BAN-02786")</f>
        <v/>
      </c>
      <c r="B2929" s="85" t="str">
        <f>IF(A2929="","",IF(INDEX(EXTRATO!$C$2:$C$3000,MATCH($A2929,EXTRATO!$A$2:$A$3000,0))="","",INDEX(EXTRATO!$C$2:$C$3000,MATCH($A2929,EXTRATO!$A$2:$A$3000,0))))</f>
        <v/>
      </c>
      <c r="C2929" s="86" t="str">
        <f t="shared" si="78"/>
        <v/>
      </c>
      <c r="D2929" s="81"/>
      <c r="E2929" s="79"/>
      <c r="F2929" s="80" t="str">
        <f>IF(A2929="","",SUMIF(EXTRATO!$A$2:$A$3000,$A2929,EXTRATO!$J$2:$J$3000)+SUMIF(EXTRATO!$A$2:$A$3000,$A2929,EXTRATO!$K$2:$K$3000)+SUMIF(EXTRATO!$A$2:$A$3000,$A2929,EXTRATO!$L$2:$L$3000)+SUMIF(EXTRATO!$A$2:$A$3000,$A2929,EXTRATO!$M$2:$M$3000))</f>
        <v/>
      </c>
      <c r="G2929" s="81" t="str">
        <f>IF(A2929="","",IF(INDEX(EXTRATO!$G$2:$G$3000,MATCH($A2929,EXTRATO!$A$2:$A$3000,0))="","",INDEX(EXTRATO!$G$2:$G$3000,MATCH($A2929,EXTRATO!$A$2:$A$3000,0))))</f>
        <v/>
      </c>
      <c r="H2929" s="86" t="str">
        <f>IF(A2929="","",IF(INDEX(EXTRATO!$F$2:$F$3000,MATCH($A2929,EXTRATO!$A$2:$A$3000,0))="","",INDEX(EXTRATO!$F$2:$F$3000,MATCH($A2929,EXTRATO!$A$2:$A$3000,0))))</f>
        <v/>
      </c>
      <c r="I2929" s="88" t="str">
        <f>IF(A2929="","",IF(INDEX(EXTRATO!$H$2:$H$3000,MATCH($A2929,EXTRATO!$A$2:$A$3000,0))="","",INDEX(EXTRATO!$H$2:$H$3000,MATCH($A2929,EXTRATO!$A$2:$A$3000,0))))</f>
        <v/>
      </c>
      <c r="J2929" s="86" t="str">
        <f t="shared" si="79"/>
        <v/>
      </c>
      <c r="K2929" s="86" t="str">
        <f>IF(AND(A2929="",D2929="",E2929="",F2929=""),"",IF(D2929="","SEM CATEGORIA",IF(E2929="","SEM SUBCATEGORIA",IF(COUNTIFS(CADASTROS!$L$7:$L$93,D2929,CADASTROS!$D$7:$D$93,E2929)=0,"INCOMPATÍVEL","OK"))))</f>
        <v/>
      </c>
    </row>
    <row r="2930" spans="1:11" ht="30" hidden="1" customHeight="1" x14ac:dyDescent="0.25">
      <c r="A2930" s="86" t="str">
        <f>IF(COUNTIF(EXTRATO!$A$2:$A$3000,"BAN-02787")=0,"","BAN-02787")</f>
        <v/>
      </c>
      <c r="B2930" s="85" t="str">
        <f>IF(A2930="","",IF(INDEX(EXTRATO!$C$2:$C$3000,MATCH($A2930,EXTRATO!$A$2:$A$3000,0))="","",INDEX(EXTRATO!$C$2:$C$3000,MATCH($A2930,EXTRATO!$A$2:$A$3000,0))))</f>
        <v/>
      </c>
      <c r="C2930" s="86" t="str">
        <f t="shared" si="78"/>
        <v/>
      </c>
      <c r="D2930" s="81"/>
      <c r="E2930" s="79"/>
      <c r="F2930" s="80" t="str">
        <f>IF(A2930="","",SUMIF(EXTRATO!$A$2:$A$3000,$A2930,EXTRATO!$J$2:$J$3000)+SUMIF(EXTRATO!$A$2:$A$3000,$A2930,EXTRATO!$K$2:$K$3000)+SUMIF(EXTRATO!$A$2:$A$3000,$A2930,EXTRATO!$L$2:$L$3000)+SUMIF(EXTRATO!$A$2:$A$3000,$A2930,EXTRATO!$M$2:$M$3000))</f>
        <v/>
      </c>
      <c r="G2930" s="81" t="str">
        <f>IF(A2930="","",IF(INDEX(EXTRATO!$G$2:$G$3000,MATCH($A2930,EXTRATO!$A$2:$A$3000,0))="","",INDEX(EXTRATO!$G$2:$G$3000,MATCH($A2930,EXTRATO!$A$2:$A$3000,0))))</f>
        <v/>
      </c>
      <c r="H2930" s="86" t="str">
        <f>IF(A2930="","",IF(INDEX(EXTRATO!$F$2:$F$3000,MATCH($A2930,EXTRATO!$A$2:$A$3000,0))="","",INDEX(EXTRATO!$F$2:$F$3000,MATCH($A2930,EXTRATO!$A$2:$A$3000,0))))</f>
        <v/>
      </c>
      <c r="I2930" s="88" t="str">
        <f>IF(A2930="","",IF(INDEX(EXTRATO!$H$2:$H$3000,MATCH($A2930,EXTRATO!$A$2:$A$3000,0))="","",INDEX(EXTRATO!$H$2:$H$3000,MATCH($A2930,EXTRATO!$A$2:$A$3000,0))))</f>
        <v/>
      </c>
      <c r="J2930" s="86" t="str">
        <f t="shared" si="79"/>
        <v/>
      </c>
      <c r="K2930" s="86" t="str">
        <f>IF(AND(A2930="",D2930="",E2930="",F2930=""),"",IF(D2930="","SEM CATEGORIA",IF(E2930="","SEM SUBCATEGORIA",IF(COUNTIFS(CADASTROS!$L$7:$L$93,D2930,CADASTROS!$D$7:$D$93,E2930)=0,"INCOMPATÍVEL","OK"))))</f>
        <v/>
      </c>
    </row>
    <row r="2931" spans="1:11" ht="30" hidden="1" customHeight="1" x14ac:dyDescent="0.25">
      <c r="A2931" s="86" t="str">
        <f>IF(COUNTIF(EXTRATO!$A$2:$A$3000,"BAN-02788")=0,"","BAN-02788")</f>
        <v/>
      </c>
      <c r="B2931" s="85" t="str">
        <f>IF(A2931="","",IF(INDEX(EXTRATO!$C$2:$C$3000,MATCH($A2931,EXTRATO!$A$2:$A$3000,0))="","",INDEX(EXTRATO!$C$2:$C$3000,MATCH($A2931,EXTRATO!$A$2:$A$3000,0))))</f>
        <v/>
      </c>
      <c r="C2931" s="86" t="str">
        <f t="shared" si="78"/>
        <v/>
      </c>
      <c r="D2931" s="81"/>
      <c r="E2931" s="79"/>
      <c r="F2931" s="80" t="str">
        <f>IF(A2931="","",SUMIF(EXTRATO!$A$2:$A$3000,$A2931,EXTRATO!$J$2:$J$3000)+SUMIF(EXTRATO!$A$2:$A$3000,$A2931,EXTRATO!$K$2:$K$3000)+SUMIF(EXTRATO!$A$2:$A$3000,$A2931,EXTRATO!$L$2:$L$3000)+SUMIF(EXTRATO!$A$2:$A$3000,$A2931,EXTRATO!$M$2:$M$3000))</f>
        <v/>
      </c>
      <c r="G2931" s="81" t="str">
        <f>IF(A2931="","",IF(INDEX(EXTRATO!$G$2:$G$3000,MATCH($A2931,EXTRATO!$A$2:$A$3000,0))="","",INDEX(EXTRATO!$G$2:$G$3000,MATCH($A2931,EXTRATO!$A$2:$A$3000,0))))</f>
        <v/>
      </c>
      <c r="H2931" s="86" t="str">
        <f>IF(A2931="","",IF(INDEX(EXTRATO!$F$2:$F$3000,MATCH($A2931,EXTRATO!$A$2:$A$3000,0))="","",INDEX(EXTRATO!$F$2:$F$3000,MATCH($A2931,EXTRATO!$A$2:$A$3000,0))))</f>
        <v/>
      </c>
      <c r="I2931" s="88" t="str">
        <f>IF(A2931="","",IF(INDEX(EXTRATO!$H$2:$H$3000,MATCH($A2931,EXTRATO!$A$2:$A$3000,0))="","",INDEX(EXTRATO!$H$2:$H$3000,MATCH($A2931,EXTRATO!$A$2:$A$3000,0))))</f>
        <v/>
      </c>
      <c r="J2931" s="86" t="str">
        <f t="shared" si="79"/>
        <v/>
      </c>
      <c r="K2931" s="86" t="str">
        <f>IF(AND(A2931="",D2931="",E2931="",F2931=""),"",IF(D2931="","SEM CATEGORIA",IF(E2931="","SEM SUBCATEGORIA",IF(COUNTIFS(CADASTROS!$L$7:$L$93,D2931,CADASTROS!$D$7:$D$93,E2931)=0,"INCOMPATÍVEL","OK"))))</f>
        <v/>
      </c>
    </row>
    <row r="2932" spans="1:11" ht="30" hidden="1" customHeight="1" x14ac:dyDescent="0.25">
      <c r="A2932" s="86" t="str">
        <f>IF(COUNTIF(EXTRATO!$A$2:$A$3000,"BAN-02789")=0,"","BAN-02789")</f>
        <v/>
      </c>
      <c r="B2932" s="85" t="str">
        <f>IF(A2932="","",IF(INDEX(EXTRATO!$C$2:$C$3000,MATCH($A2932,EXTRATO!$A$2:$A$3000,0))="","",INDEX(EXTRATO!$C$2:$C$3000,MATCH($A2932,EXTRATO!$A$2:$A$3000,0))))</f>
        <v/>
      </c>
      <c r="C2932" s="86" t="str">
        <f t="shared" si="78"/>
        <v/>
      </c>
      <c r="D2932" s="81"/>
      <c r="E2932" s="79"/>
      <c r="F2932" s="80" t="str">
        <f>IF(A2932="","",SUMIF(EXTRATO!$A$2:$A$3000,$A2932,EXTRATO!$J$2:$J$3000)+SUMIF(EXTRATO!$A$2:$A$3000,$A2932,EXTRATO!$K$2:$K$3000)+SUMIF(EXTRATO!$A$2:$A$3000,$A2932,EXTRATO!$L$2:$L$3000)+SUMIF(EXTRATO!$A$2:$A$3000,$A2932,EXTRATO!$M$2:$M$3000))</f>
        <v/>
      </c>
      <c r="G2932" s="81" t="str">
        <f>IF(A2932="","",IF(INDEX(EXTRATO!$G$2:$G$3000,MATCH($A2932,EXTRATO!$A$2:$A$3000,0))="","",INDEX(EXTRATO!$G$2:$G$3000,MATCH($A2932,EXTRATO!$A$2:$A$3000,0))))</f>
        <v/>
      </c>
      <c r="H2932" s="86" t="str">
        <f>IF(A2932="","",IF(INDEX(EXTRATO!$F$2:$F$3000,MATCH($A2932,EXTRATO!$A$2:$A$3000,0))="","",INDEX(EXTRATO!$F$2:$F$3000,MATCH($A2932,EXTRATO!$A$2:$A$3000,0))))</f>
        <v/>
      </c>
      <c r="I2932" s="88" t="str">
        <f>IF(A2932="","",IF(INDEX(EXTRATO!$H$2:$H$3000,MATCH($A2932,EXTRATO!$A$2:$A$3000,0))="","",INDEX(EXTRATO!$H$2:$H$3000,MATCH($A2932,EXTRATO!$A$2:$A$3000,0))))</f>
        <v/>
      </c>
      <c r="J2932" s="86" t="str">
        <f t="shared" si="79"/>
        <v/>
      </c>
      <c r="K2932" s="86" t="str">
        <f>IF(AND(A2932="",D2932="",E2932="",F2932=""),"",IF(D2932="","SEM CATEGORIA",IF(E2932="","SEM SUBCATEGORIA",IF(COUNTIFS(CADASTROS!$L$7:$L$93,D2932,CADASTROS!$D$7:$D$93,E2932)=0,"INCOMPATÍVEL","OK"))))</f>
        <v/>
      </c>
    </row>
    <row r="2933" spans="1:11" ht="30" hidden="1" customHeight="1" x14ac:dyDescent="0.25">
      <c r="A2933" s="86" t="str">
        <f>IF(COUNTIF(EXTRATO!$A$2:$A$3000,"BAN-02790")=0,"","BAN-02790")</f>
        <v/>
      </c>
      <c r="B2933" s="85" t="str">
        <f>IF(A2933="","",IF(INDEX(EXTRATO!$C$2:$C$3000,MATCH($A2933,EXTRATO!$A$2:$A$3000,0))="","",INDEX(EXTRATO!$C$2:$C$3000,MATCH($A2933,EXTRATO!$A$2:$A$3000,0))))</f>
        <v/>
      </c>
      <c r="C2933" s="86" t="str">
        <f t="shared" si="78"/>
        <v/>
      </c>
      <c r="D2933" s="81"/>
      <c r="E2933" s="79"/>
      <c r="F2933" s="80" t="str">
        <f>IF(A2933="","",SUMIF(EXTRATO!$A$2:$A$3000,$A2933,EXTRATO!$J$2:$J$3000)+SUMIF(EXTRATO!$A$2:$A$3000,$A2933,EXTRATO!$K$2:$K$3000)+SUMIF(EXTRATO!$A$2:$A$3000,$A2933,EXTRATO!$L$2:$L$3000)+SUMIF(EXTRATO!$A$2:$A$3000,$A2933,EXTRATO!$M$2:$M$3000))</f>
        <v/>
      </c>
      <c r="G2933" s="81" t="str">
        <f>IF(A2933="","",IF(INDEX(EXTRATO!$G$2:$G$3000,MATCH($A2933,EXTRATO!$A$2:$A$3000,0))="","",INDEX(EXTRATO!$G$2:$G$3000,MATCH($A2933,EXTRATO!$A$2:$A$3000,0))))</f>
        <v/>
      </c>
      <c r="H2933" s="86" t="str">
        <f>IF(A2933="","",IF(INDEX(EXTRATO!$F$2:$F$3000,MATCH($A2933,EXTRATO!$A$2:$A$3000,0))="","",INDEX(EXTRATO!$F$2:$F$3000,MATCH($A2933,EXTRATO!$A$2:$A$3000,0))))</f>
        <v/>
      </c>
      <c r="I2933" s="88" t="str">
        <f>IF(A2933="","",IF(INDEX(EXTRATO!$H$2:$H$3000,MATCH($A2933,EXTRATO!$A$2:$A$3000,0))="","",INDEX(EXTRATO!$H$2:$H$3000,MATCH($A2933,EXTRATO!$A$2:$A$3000,0))))</f>
        <v/>
      </c>
      <c r="J2933" s="86" t="str">
        <f t="shared" si="79"/>
        <v/>
      </c>
      <c r="K2933" s="86" t="str">
        <f>IF(AND(A2933="",D2933="",E2933="",F2933=""),"",IF(D2933="","SEM CATEGORIA",IF(E2933="","SEM SUBCATEGORIA",IF(COUNTIFS(CADASTROS!$L$7:$L$93,D2933,CADASTROS!$D$7:$D$93,E2933)=0,"INCOMPATÍVEL","OK"))))</f>
        <v/>
      </c>
    </row>
    <row r="2934" spans="1:11" ht="30" hidden="1" customHeight="1" x14ac:dyDescent="0.25">
      <c r="A2934" s="86" t="str">
        <f>IF(COUNTIF(EXTRATO!$A$2:$A$3000,"BAN-02791")=0,"","BAN-02791")</f>
        <v/>
      </c>
      <c r="B2934" s="85" t="str">
        <f>IF(A2934="","",IF(INDEX(EXTRATO!$C$2:$C$3000,MATCH($A2934,EXTRATO!$A$2:$A$3000,0))="","",INDEX(EXTRATO!$C$2:$C$3000,MATCH($A2934,EXTRATO!$A$2:$A$3000,0))))</f>
        <v/>
      </c>
      <c r="C2934" s="86" t="str">
        <f t="shared" si="78"/>
        <v/>
      </c>
      <c r="D2934" s="81"/>
      <c r="E2934" s="79"/>
      <c r="F2934" s="80" t="str">
        <f>IF(A2934="","",SUMIF(EXTRATO!$A$2:$A$3000,$A2934,EXTRATO!$J$2:$J$3000)+SUMIF(EXTRATO!$A$2:$A$3000,$A2934,EXTRATO!$K$2:$K$3000)+SUMIF(EXTRATO!$A$2:$A$3000,$A2934,EXTRATO!$L$2:$L$3000)+SUMIF(EXTRATO!$A$2:$A$3000,$A2934,EXTRATO!$M$2:$M$3000))</f>
        <v/>
      </c>
      <c r="G2934" s="81" t="str">
        <f>IF(A2934="","",IF(INDEX(EXTRATO!$G$2:$G$3000,MATCH($A2934,EXTRATO!$A$2:$A$3000,0))="","",INDEX(EXTRATO!$G$2:$G$3000,MATCH($A2934,EXTRATO!$A$2:$A$3000,0))))</f>
        <v/>
      </c>
      <c r="H2934" s="86" t="str">
        <f>IF(A2934="","",IF(INDEX(EXTRATO!$F$2:$F$3000,MATCH($A2934,EXTRATO!$A$2:$A$3000,0))="","",INDEX(EXTRATO!$F$2:$F$3000,MATCH($A2934,EXTRATO!$A$2:$A$3000,0))))</f>
        <v/>
      </c>
      <c r="I2934" s="88" t="str">
        <f>IF(A2934="","",IF(INDEX(EXTRATO!$H$2:$H$3000,MATCH($A2934,EXTRATO!$A$2:$A$3000,0))="","",INDEX(EXTRATO!$H$2:$H$3000,MATCH($A2934,EXTRATO!$A$2:$A$3000,0))))</f>
        <v/>
      </c>
      <c r="J2934" s="86" t="str">
        <f t="shared" si="79"/>
        <v/>
      </c>
      <c r="K2934" s="86" t="str">
        <f>IF(AND(A2934="",D2934="",E2934="",F2934=""),"",IF(D2934="","SEM CATEGORIA",IF(E2934="","SEM SUBCATEGORIA",IF(COUNTIFS(CADASTROS!$L$7:$L$93,D2934,CADASTROS!$D$7:$D$93,E2934)=0,"INCOMPATÍVEL","OK"))))</f>
        <v/>
      </c>
    </row>
    <row r="2935" spans="1:11" ht="30" hidden="1" customHeight="1" x14ac:dyDescent="0.25">
      <c r="A2935" s="86" t="str">
        <f>IF(COUNTIF(EXTRATO!$A$2:$A$3000,"BAN-02792")=0,"","BAN-02792")</f>
        <v/>
      </c>
      <c r="B2935" s="85" t="str">
        <f>IF(A2935="","",IF(INDEX(EXTRATO!$C$2:$C$3000,MATCH($A2935,EXTRATO!$A$2:$A$3000,0))="","",INDEX(EXTRATO!$C$2:$C$3000,MATCH($A2935,EXTRATO!$A$2:$A$3000,0))))</f>
        <v/>
      </c>
      <c r="C2935" s="86" t="str">
        <f t="shared" si="78"/>
        <v/>
      </c>
      <c r="D2935" s="81"/>
      <c r="E2935" s="79"/>
      <c r="F2935" s="80" t="str">
        <f>IF(A2935="","",SUMIF(EXTRATO!$A$2:$A$3000,$A2935,EXTRATO!$J$2:$J$3000)+SUMIF(EXTRATO!$A$2:$A$3000,$A2935,EXTRATO!$K$2:$K$3000)+SUMIF(EXTRATO!$A$2:$A$3000,$A2935,EXTRATO!$L$2:$L$3000)+SUMIF(EXTRATO!$A$2:$A$3000,$A2935,EXTRATO!$M$2:$M$3000))</f>
        <v/>
      </c>
      <c r="G2935" s="81" t="str">
        <f>IF(A2935="","",IF(INDEX(EXTRATO!$G$2:$G$3000,MATCH($A2935,EXTRATO!$A$2:$A$3000,0))="","",INDEX(EXTRATO!$G$2:$G$3000,MATCH($A2935,EXTRATO!$A$2:$A$3000,0))))</f>
        <v/>
      </c>
      <c r="H2935" s="86" t="str">
        <f>IF(A2935="","",IF(INDEX(EXTRATO!$F$2:$F$3000,MATCH($A2935,EXTRATO!$A$2:$A$3000,0))="","",INDEX(EXTRATO!$F$2:$F$3000,MATCH($A2935,EXTRATO!$A$2:$A$3000,0))))</f>
        <v/>
      </c>
      <c r="I2935" s="88" t="str">
        <f>IF(A2935="","",IF(INDEX(EXTRATO!$H$2:$H$3000,MATCH($A2935,EXTRATO!$A$2:$A$3000,0))="","",INDEX(EXTRATO!$H$2:$H$3000,MATCH($A2935,EXTRATO!$A$2:$A$3000,0))))</f>
        <v/>
      </c>
      <c r="J2935" s="86" t="str">
        <f t="shared" si="79"/>
        <v/>
      </c>
      <c r="K2935" s="86" t="str">
        <f>IF(AND(A2935="",D2935="",E2935="",F2935=""),"",IF(D2935="","SEM CATEGORIA",IF(E2935="","SEM SUBCATEGORIA",IF(COUNTIFS(CADASTROS!$L$7:$L$93,D2935,CADASTROS!$D$7:$D$93,E2935)=0,"INCOMPATÍVEL","OK"))))</f>
        <v/>
      </c>
    </row>
    <row r="2936" spans="1:11" ht="30" hidden="1" customHeight="1" x14ac:dyDescent="0.25">
      <c r="A2936" s="86" t="str">
        <f>IF(COUNTIF(EXTRATO!$A$2:$A$3000,"BAN-02793")=0,"","BAN-02793")</f>
        <v/>
      </c>
      <c r="B2936" s="85" t="str">
        <f>IF(A2936="","",IF(INDEX(EXTRATO!$C$2:$C$3000,MATCH($A2936,EXTRATO!$A$2:$A$3000,0))="","",INDEX(EXTRATO!$C$2:$C$3000,MATCH($A2936,EXTRATO!$A$2:$A$3000,0))))</f>
        <v/>
      </c>
      <c r="C2936" s="86" t="str">
        <f t="shared" si="78"/>
        <v/>
      </c>
      <c r="D2936" s="81"/>
      <c r="E2936" s="79"/>
      <c r="F2936" s="80" t="str">
        <f>IF(A2936="","",SUMIF(EXTRATO!$A$2:$A$3000,$A2936,EXTRATO!$J$2:$J$3000)+SUMIF(EXTRATO!$A$2:$A$3000,$A2936,EXTRATO!$K$2:$K$3000)+SUMIF(EXTRATO!$A$2:$A$3000,$A2936,EXTRATO!$L$2:$L$3000)+SUMIF(EXTRATO!$A$2:$A$3000,$A2936,EXTRATO!$M$2:$M$3000))</f>
        <v/>
      </c>
      <c r="G2936" s="81" t="str">
        <f>IF(A2936="","",IF(INDEX(EXTRATO!$G$2:$G$3000,MATCH($A2936,EXTRATO!$A$2:$A$3000,0))="","",INDEX(EXTRATO!$G$2:$G$3000,MATCH($A2936,EXTRATO!$A$2:$A$3000,0))))</f>
        <v/>
      </c>
      <c r="H2936" s="86" t="str">
        <f>IF(A2936="","",IF(INDEX(EXTRATO!$F$2:$F$3000,MATCH($A2936,EXTRATO!$A$2:$A$3000,0))="","",INDEX(EXTRATO!$F$2:$F$3000,MATCH($A2936,EXTRATO!$A$2:$A$3000,0))))</f>
        <v/>
      </c>
      <c r="I2936" s="88" t="str">
        <f>IF(A2936="","",IF(INDEX(EXTRATO!$H$2:$H$3000,MATCH($A2936,EXTRATO!$A$2:$A$3000,0))="","",INDEX(EXTRATO!$H$2:$H$3000,MATCH($A2936,EXTRATO!$A$2:$A$3000,0))))</f>
        <v/>
      </c>
      <c r="J2936" s="86" t="str">
        <f t="shared" si="79"/>
        <v/>
      </c>
      <c r="K2936" s="86" t="str">
        <f>IF(AND(A2936="",D2936="",E2936="",F2936=""),"",IF(D2936="","SEM CATEGORIA",IF(E2936="","SEM SUBCATEGORIA",IF(COUNTIFS(CADASTROS!$L$7:$L$93,D2936,CADASTROS!$D$7:$D$93,E2936)=0,"INCOMPATÍVEL","OK"))))</f>
        <v/>
      </c>
    </row>
    <row r="2937" spans="1:11" ht="30" hidden="1" customHeight="1" x14ac:dyDescent="0.25">
      <c r="A2937" s="86" t="str">
        <f>IF(COUNTIF(EXTRATO!$A$2:$A$3000,"BAN-02794")=0,"","BAN-02794")</f>
        <v/>
      </c>
      <c r="B2937" s="85" t="str">
        <f>IF(A2937="","",IF(INDEX(EXTRATO!$C$2:$C$3000,MATCH($A2937,EXTRATO!$A$2:$A$3000,0))="","",INDEX(EXTRATO!$C$2:$C$3000,MATCH($A2937,EXTRATO!$A$2:$A$3000,0))))</f>
        <v/>
      </c>
      <c r="C2937" s="86" t="str">
        <f t="shared" si="78"/>
        <v/>
      </c>
      <c r="D2937" s="81"/>
      <c r="E2937" s="79"/>
      <c r="F2937" s="80" t="str">
        <f>IF(A2937="","",SUMIF(EXTRATO!$A$2:$A$3000,$A2937,EXTRATO!$J$2:$J$3000)+SUMIF(EXTRATO!$A$2:$A$3000,$A2937,EXTRATO!$K$2:$K$3000)+SUMIF(EXTRATO!$A$2:$A$3000,$A2937,EXTRATO!$L$2:$L$3000)+SUMIF(EXTRATO!$A$2:$A$3000,$A2937,EXTRATO!$M$2:$M$3000))</f>
        <v/>
      </c>
      <c r="G2937" s="81" t="str">
        <f>IF(A2937="","",IF(INDEX(EXTRATO!$G$2:$G$3000,MATCH($A2937,EXTRATO!$A$2:$A$3000,0))="","",INDEX(EXTRATO!$G$2:$G$3000,MATCH($A2937,EXTRATO!$A$2:$A$3000,0))))</f>
        <v/>
      </c>
      <c r="H2937" s="86" t="str">
        <f>IF(A2937="","",IF(INDEX(EXTRATO!$F$2:$F$3000,MATCH($A2937,EXTRATO!$A$2:$A$3000,0))="","",INDEX(EXTRATO!$F$2:$F$3000,MATCH($A2937,EXTRATO!$A$2:$A$3000,0))))</f>
        <v/>
      </c>
      <c r="I2937" s="88" t="str">
        <f>IF(A2937="","",IF(INDEX(EXTRATO!$H$2:$H$3000,MATCH($A2937,EXTRATO!$A$2:$A$3000,0))="","",INDEX(EXTRATO!$H$2:$H$3000,MATCH($A2937,EXTRATO!$A$2:$A$3000,0))))</f>
        <v/>
      </c>
      <c r="J2937" s="86" t="str">
        <f t="shared" si="79"/>
        <v/>
      </c>
      <c r="K2937" s="86" t="str">
        <f>IF(AND(A2937="",D2937="",E2937="",F2937=""),"",IF(D2937="","SEM CATEGORIA",IF(E2937="","SEM SUBCATEGORIA",IF(COUNTIFS(CADASTROS!$L$7:$L$93,D2937,CADASTROS!$D$7:$D$93,E2937)=0,"INCOMPATÍVEL","OK"))))</f>
        <v/>
      </c>
    </row>
    <row r="2938" spans="1:11" ht="30" hidden="1" customHeight="1" x14ac:dyDescent="0.25">
      <c r="A2938" s="86" t="str">
        <f>IF(COUNTIF(EXTRATO!$A$2:$A$3000,"BAN-02795")=0,"","BAN-02795")</f>
        <v/>
      </c>
      <c r="B2938" s="85" t="str">
        <f>IF(A2938="","",IF(INDEX(EXTRATO!$C$2:$C$3000,MATCH($A2938,EXTRATO!$A$2:$A$3000,0))="","",INDEX(EXTRATO!$C$2:$C$3000,MATCH($A2938,EXTRATO!$A$2:$A$3000,0))))</f>
        <v/>
      </c>
      <c r="C2938" s="86" t="str">
        <f t="shared" si="78"/>
        <v/>
      </c>
      <c r="D2938" s="81"/>
      <c r="E2938" s="79"/>
      <c r="F2938" s="80" t="str">
        <f>IF(A2938="","",SUMIF(EXTRATO!$A$2:$A$3000,$A2938,EXTRATO!$J$2:$J$3000)+SUMIF(EXTRATO!$A$2:$A$3000,$A2938,EXTRATO!$K$2:$K$3000)+SUMIF(EXTRATO!$A$2:$A$3000,$A2938,EXTRATO!$L$2:$L$3000)+SUMIF(EXTRATO!$A$2:$A$3000,$A2938,EXTRATO!$M$2:$M$3000))</f>
        <v/>
      </c>
      <c r="G2938" s="81" t="str">
        <f>IF(A2938="","",IF(INDEX(EXTRATO!$G$2:$G$3000,MATCH($A2938,EXTRATO!$A$2:$A$3000,0))="","",INDEX(EXTRATO!$G$2:$G$3000,MATCH($A2938,EXTRATO!$A$2:$A$3000,0))))</f>
        <v/>
      </c>
      <c r="H2938" s="86" t="str">
        <f>IF(A2938="","",IF(INDEX(EXTRATO!$F$2:$F$3000,MATCH($A2938,EXTRATO!$A$2:$A$3000,0))="","",INDEX(EXTRATO!$F$2:$F$3000,MATCH($A2938,EXTRATO!$A$2:$A$3000,0))))</f>
        <v/>
      </c>
      <c r="I2938" s="88" t="str">
        <f>IF(A2938="","",IF(INDEX(EXTRATO!$H$2:$H$3000,MATCH($A2938,EXTRATO!$A$2:$A$3000,0))="","",INDEX(EXTRATO!$H$2:$H$3000,MATCH($A2938,EXTRATO!$A$2:$A$3000,0))))</f>
        <v/>
      </c>
      <c r="J2938" s="86" t="str">
        <f t="shared" si="79"/>
        <v/>
      </c>
      <c r="K2938" s="86" t="str">
        <f>IF(AND(A2938="",D2938="",E2938="",F2938=""),"",IF(D2938="","SEM CATEGORIA",IF(E2938="","SEM SUBCATEGORIA",IF(COUNTIFS(CADASTROS!$L$7:$L$93,D2938,CADASTROS!$D$7:$D$93,E2938)=0,"INCOMPATÍVEL","OK"))))</f>
        <v/>
      </c>
    </row>
    <row r="2939" spans="1:11" ht="30" hidden="1" customHeight="1" x14ac:dyDescent="0.25">
      <c r="A2939" s="86" t="str">
        <f>IF(COUNTIF(EXTRATO!$A$2:$A$3000,"BAN-02796")=0,"","BAN-02796")</f>
        <v/>
      </c>
      <c r="B2939" s="85" t="str">
        <f>IF(A2939="","",IF(INDEX(EXTRATO!$C$2:$C$3000,MATCH($A2939,EXTRATO!$A$2:$A$3000,0))="","",INDEX(EXTRATO!$C$2:$C$3000,MATCH($A2939,EXTRATO!$A$2:$A$3000,0))))</f>
        <v/>
      </c>
      <c r="C2939" s="86" t="str">
        <f t="shared" si="78"/>
        <v/>
      </c>
      <c r="D2939" s="81"/>
      <c r="E2939" s="79"/>
      <c r="F2939" s="80" t="str">
        <f>IF(A2939="","",SUMIF(EXTRATO!$A$2:$A$3000,$A2939,EXTRATO!$J$2:$J$3000)+SUMIF(EXTRATO!$A$2:$A$3000,$A2939,EXTRATO!$K$2:$K$3000)+SUMIF(EXTRATO!$A$2:$A$3000,$A2939,EXTRATO!$L$2:$L$3000)+SUMIF(EXTRATO!$A$2:$A$3000,$A2939,EXTRATO!$M$2:$M$3000))</f>
        <v/>
      </c>
      <c r="G2939" s="81" t="str">
        <f>IF(A2939="","",IF(INDEX(EXTRATO!$G$2:$G$3000,MATCH($A2939,EXTRATO!$A$2:$A$3000,0))="","",INDEX(EXTRATO!$G$2:$G$3000,MATCH($A2939,EXTRATO!$A$2:$A$3000,0))))</f>
        <v/>
      </c>
      <c r="H2939" s="86" t="str">
        <f>IF(A2939="","",IF(INDEX(EXTRATO!$F$2:$F$3000,MATCH($A2939,EXTRATO!$A$2:$A$3000,0))="","",INDEX(EXTRATO!$F$2:$F$3000,MATCH($A2939,EXTRATO!$A$2:$A$3000,0))))</f>
        <v/>
      </c>
      <c r="I2939" s="88" t="str">
        <f>IF(A2939="","",IF(INDEX(EXTRATO!$H$2:$H$3000,MATCH($A2939,EXTRATO!$A$2:$A$3000,0))="","",INDEX(EXTRATO!$H$2:$H$3000,MATCH($A2939,EXTRATO!$A$2:$A$3000,0))))</f>
        <v/>
      </c>
      <c r="J2939" s="86" t="str">
        <f t="shared" si="79"/>
        <v/>
      </c>
      <c r="K2939" s="86" t="str">
        <f>IF(AND(A2939="",D2939="",E2939="",F2939=""),"",IF(D2939="","SEM CATEGORIA",IF(E2939="","SEM SUBCATEGORIA",IF(COUNTIFS(CADASTROS!$L$7:$L$93,D2939,CADASTROS!$D$7:$D$93,E2939)=0,"INCOMPATÍVEL","OK"))))</f>
        <v/>
      </c>
    </row>
    <row r="2940" spans="1:11" ht="30" hidden="1" customHeight="1" x14ac:dyDescent="0.25">
      <c r="A2940" s="86" t="str">
        <f>IF(COUNTIF(EXTRATO!$A$2:$A$3000,"BAN-02797")=0,"","BAN-02797")</f>
        <v/>
      </c>
      <c r="B2940" s="85" t="str">
        <f>IF(A2940="","",IF(INDEX(EXTRATO!$C$2:$C$3000,MATCH($A2940,EXTRATO!$A$2:$A$3000,0))="","",INDEX(EXTRATO!$C$2:$C$3000,MATCH($A2940,EXTRATO!$A$2:$A$3000,0))))</f>
        <v/>
      </c>
      <c r="C2940" s="86" t="str">
        <f t="shared" si="78"/>
        <v/>
      </c>
      <c r="D2940" s="81"/>
      <c r="E2940" s="79"/>
      <c r="F2940" s="80" t="str">
        <f>IF(A2940="","",SUMIF(EXTRATO!$A$2:$A$3000,$A2940,EXTRATO!$J$2:$J$3000)+SUMIF(EXTRATO!$A$2:$A$3000,$A2940,EXTRATO!$K$2:$K$3000)+SUMIF(EXTRATO!$A$2:$A$3000,$A2940,EXTRATO!$L$2:$L$3000)+SUMIF(EXTRATO!$A$2:$A$3000,$A2940,EXTRATO!$M$2:$M$3000))</f>
        <v/>
      </c>
      <c r="G2940" s="81" t="str">
        <f>IF(A2940="","",IF(INDEX(EXTRATO!$G$2:$G$3000,MATCH($A2940,EXTRATO!$A$2:$A$3000,0))="","",INDEX(EXTRATO!$G$2:$G$3000,MATCH($A2940,EXTRATO!$A$2:$A$3000,0))))</f>
        <v/>
      </c>
      <c r="H2940" s="86" t="str">
        <f>IF(A2940="","",IF(INDEX(EXTRATO!$F$2:$F$3000,MATCH($A2940,EXTRATO!$A$2:$A$3000,0))="","",INDEX(EXTRATO!$F$2:$F$3000,MATCH($A2940,EXTRATO!$A$2:$A$3000,0))))</f>
        <v/>
      </c>
      <c r="I2940" s="88" t="str">
        <f>IF(A2940="","",IF(INDEX(EXTRATO!$H$2:$H$3000,MATCH($A2940,EXTRATO!$A$2:$A$3000,0))="","",INDEX(EXTRATO!$H$2:$H$3000,MATCH($A2940,EXTRATO!$A$2:$A$3000,0))))</f>
        <v/>
      </c>
      <c r="J2940" s="86" t="str">
        <f t="shared" si="79"/>
        <v/>
      </c>
      <c r="K2940" s="86" t="str">
        <f>IF(AND(A2940="",D2940="",E2940="",F2940=""),"",IF(D2940="","SEM CATEGORIA",IF(E2940="","SEM SUBCATEGORIA",IF(COUNTIFS(CADASTROS!$L$7:$L$93,D2940,CADASTROS!$D$7:$D$93,E2940)=0,"INCOMPATÍVEL","OK"))))</f>
        <v/>
      </c>
    </row>
    <row r="2941" spans="1:11" ht="30" hidden="1" customHeight="1" x14ac:dyDescent="0.25">
      <c r="A2941" s="86" t="str">
        <f>IF(COUNTIF(EXTRATO!$A$2:$A$3000,"BAN-02798")=0,"","BAN-02798")</f>
        <v/>
      </c>
      <c r="B2941" s="85" t="str">
        <f>IF(A2941="","",IF(INDEX(EXTRATO!$C$2:$C$3000,MATCH($A2941,EXTRATO!$A$2:$A$3000,0))="","",INDEX(EXTRATO!$C$2:$C$3000,MATCH($A2941,EXTRATO!$A$2:$A$3000,0))))</f>
        <v/>
      </c>
      <c r="C2941" s="86" t="str">
        <f t="shared" si="78"/>
        <v/>
      </c>
      <c r="D2941" s="81"/>
      <c r="E2941" s="79"/>
      <c r="F2941" s="80" t="str">
        <f>IF(A2941="","",SUMIF(EXTRATO!$A$2:$A$3000,$A2941,EXTRATO!$J$2:$J$3000)+SUMIF(EXTRATO!$A$2:$A$3000,$A2941,EXTRATO!$K$2:$K$3000)+SUMIF(EXTRATO!$A$2:$A$3000,$A2941,EXTRATO!$L$2:$L$3000)+SUMIF(EXTRATO!$A$2:$A$3000,$A2941,EXTRATO!$M$2:$M$3000))</f>
        <v/>
      </c>
      <c r="G2941" s="81" t="str">
        <f>IF(A2941="","",IF(INDEX(EXTRATO!$G$2:$G$3000,MATCH($A2941,EXTRATO!$A$2:$A$3000,0))="","",INDEX(EXTRATO!$G$2:$G$3000,MATCH($A2941,EXTRATO!$A$2:$A$3000,0))))</f>
        <v/>
      </c>
      <c r="H2941" s="86" t="str">
        <f>IF(A2941="","",IF(INDEX(EXTRATO!$F$2:$F$3000,MATCH($A2941,EXTRATO!$A$2:$A$3000,0))="","",INDEX(EXTRATO!$F$2:$F$3000,MATCH($A2941,EXTRATO!$A$2:$A$3000,0))))</f>
        <v/>
      </c>
      <c r="I2941" s="88" t="str">
        <f>IF(A2941="","",IF(INDEX(EXTRATO!$H$2:$H$3000,MATCH($A2941,EXTRATO!$A$2:$A$3000,0))="","",INDEX(EXTRATO!$H$2:$H$3000,MATCH($A2941,EXTRATO!$A$2:$A$3000,0))))</f>
        <v/>
      </c>
      <c r="J2941" s="86" t="str">
        <f t="shared" si="79"/>
        <v/>
      </c>
      <c r="K2941" s="86" t="str">
        <f>IF(AND(A2941="",D2941="",E2941="",F2941=""),"",IF(D2941="","SEM CATEGORIA",IF(E2941="","SEM SUBCATEGORIA",IF(COUNTIFS(CADASTROS!$L$7:$L$93,D2941,CADASTROS!$D$7:$D$93,E2941)=0,"INCOMPATÍVEL","OK"))))</f>
        <v/>
      </c>
    </row>
    <row r="2942" spans="1:11" ht="30" hidden="1" customHeight="1" x14ac:dyDescent="0.25">
      <c r="A2942" s="86" t="str">
        <f>IF(COUNTIF(EXTRATO!$A$2:$A$3000,"BAN-02799")=0,"","BAN-02799")</f>
        <v/>
      </c>
      <c r="B2942" s="85" t="str">
        <f>IF(A2942="","",IF(INDEX(EXTRATO!$C$2:$C$3000,MATCH($A2942,EXTRATO!$A$2:$A$3000,0))="","",INDEX(EXTRATO!$C$2:$C$3000,MATCH($A2942,EXTRATO!$A$2:$A$3000,0))))</f>
        <v/>
      </c>
      <c r="C2942" s="86" t="str">
        <f t="shared" si="78"/>
        <v/>
      </c>
      <c r="D2942" s="81"/>
      <c r="E2942" s="79"/>
      <c r="F2942" s="80" t="str">
        <f>IF(A2942="","",SUMIF(EXTRATO!$A$2:$A$3000,$A2942,EXTRATO!$J$2:$J$3000)+SUMIF(EXTRATO!$A$2:$A$3000,$A2942,EXTRATO!$K$2:$K$3000)+SUMIF(EXTRATO!$A$2:$A$3000,$A2942,EXTRATO!$L$2:$L$3000)+SUMIF(EXTRATO!$A$2:$A$3000,$A2942,EXTRATO!$M$2:$M$3000))</f>
        <v/>
      </c>
      <c r="G2942" s="81" t="str">
        <f>IF(A2942="","",IF(INDEX(EXTRATO!$G$2:$G$3000,MATCH($A2942,EXTRATO!$A$2:$A$3000,0))="","",INDEX(EXTRATO!$G$2:$G$3000,MATCH($A2942,EXTRATO!$A$2:$A$3000,0))))</f>
        <v/>
      </c>
      <c r="H2942" s="86" t="str">
        <f>IF(A2942="","",IF(INDEX(EXTRATO!$F$2:$F$3000,MATCH($A2942,EXTRATO!$A$2:$A$3000,0))="","",INDEX(EXTRATO!$F$2:$F$3000,MATCH($A2942,EXTRATO!$A$2:$A$3000,0))))</f>
        <v/>
      </c>
      <c r="I2942" s="88" t="str">
        <f>IF(A2942="","",IF(INDEX(EXTRATO!$H$2:$H$3000,MATCH($A2942,EXTRATO!$A$2:$A$3000,0))="","",INDEX(EXTRATO!$H$2:$H$3000,MATCH($A2942,EXTRATO!$A$2:$A$3000,0))))</f>
        <v/>
      </c>
      <c r="J2942" s="86" t="str">
        <f t="shared" si="79"/>
        <v/>
      </c>
      <c r="K2942" s="86" t="str">
        <f>IF(AND(A2942="",D2942="",E2942="",F2942=""),"",IF(D2942="","SEM CATEGORIA",IF(E2942="","SEM SUBCATEGORIA",IF(COUNTIFS(CADASTROS!$L$7:$L$93,D2942,CADASTROS!$D$7:$D$93,E2942)=0,"INCOMPATÍVEL","OK"))))</f>
        <v/>
      </c>
    </row>
    <row r="2943" spans="1:11" ht="30" hidden="1" customHeight="1" x14ac:dyDescent="0.25">
      <c r="A2943" s="86" t="str">
        <f>IF(COUNTIF(EXTRATO!$A$2:$A$3000,"BAN-02800")=0,"","BAN-02800")</f>
        <v/>
      </c>
      <c r="B2943" s="85" t="str">
        <f>IF(A2943="","",IF(INDEX(EXTRATO!$C$2:$C$3000,MATCH($A2943,EXTRATO!$A$2:$A$3000,0))="","",INDEX(EXTRATO!$C$2:$C$3000,MATCH($A2943,EXTRATO!$A$2:$A$3000,0))))</f>
        <v/>
      </c>
      <c r="C2943" s="86" t="str">
        <f t="shared" si="78"/>
        <v/>
      </c>
      <c r="D2943" s="81"/>
      <c r="E2943" s="79"/>
      <c r="F2943" s="80" t="str">
        <f>IF(A2943="","",SUMIF(EXTRATO!$A$2:$A$3000,$A2943,EXTRATO!$J$2:$J$3000)+SUMIF(EXTRATO!$A$2:$A$3000,$A2943,EXTRATO!$K$2:$K$3000)+SUMIF(EXTRATO!$A$2:$A$3000,$A2943,EXTRATO!$L$2:$L$3000)+SUMIF(EXTRATO!$A$2:$A$3000,$A2943,EXTRATO!$M$2:$M$3000))</f>
        <v/>
      </c>
      <c r="G2943" s="81" t="str">
        <f>IF(A2943="","",IF(INDEX(EXTRATO!$G$2:$G$3000,MATCH($A2943,EXTRATO!$A$2:$A$3000,0))="","",INDEX(EXTRATO!$G$2:$G$3000,MATCH($A2943,EXTRATO!$A$2:$A$3000,0))))</f>
        <v/>
      </c>
      <c r="H2943" s="86" t="str">
        <f>IF(A2943="","",IF(INDEX(EXTRATO!$F$2:$F$3000,MATCH($A2943,EXTRATO!$A$2:$A$3000,0))="","",INDEX(EXTRATO!$F$2:$F$3000,MATCH($A2943,EXTRATO!$A$2:$A$3000,0))))</f>
        <v/>
      </c>
      <c r="I2943" s="88" t="str">
        <f>IF(A2943="","",IF(INDEX(EXTRATO!$H$2:$H$3000,MATCH($A2943,EXTRATO!$A$2:$A$3000,0))="","",INDEX(EXTRATO!$H$2:$H$3000,MATCH($A2943,EXTRATO!$A$2:$A$3000,0))))</f>
        <v/>
      </c>
      <c r="J2943" s="86" t="str">
        <f t="shared" si="79"/>
        <v/>
      </c>
      <c r="K2943" s="86" t="str">
        <f>IF(AND(A2943="",D2943="",E2943="",F2943=""),"",IF(D2943="","SEM CATEGORIA",IF(E2943="","SEM SUBCATEGORIA",IF(COUNTIFS(CADASTROS!$L$7:$L$93,D2943,CADASTROS!$D$7:$D$93,E2943)=0,"INCOMPATÍVEL","OK"))))</f>
        <v/>
      </c>
    </row>
    <row r="2944" spans="1:11" ht="30" hidden="1" customHeight="1" x14ac:dyDescent="0.25">
      <c r="A2944" s="86" t="str">
        <f>IF(COUNTIF(EXTRATO!$A$2:$A$3000,"BAN-02801")=0,"","BAN-02801")</f>
        <v/>
      </c>
      <c r="B2944" s="85" t="str">
        <f>IF(A2944="","",IF(INDEX(EXTRATO!$C$2:$C$3000,MATCH($A2944,EXTRATO!$A$2:$A$3000,0))="","",INDEX(EXTRATO!$C$2:$C$3000,MATCH($A2944,EXTRATO!$A$2:$A$3000,0))))</f>
        <v/>
      </c>
      <c r="C2944" s="86" t="str">
        <f t="shared" si="78"/>
        <v/>
      </c>
      <c r="D2944" s="81"/>
      <c r="E2944" s="79"/>
      <c r="F2944" s="80" t="str">
        <f>IF(A2944="","",SUMIF(EXTRATO!$A$2:$A$3000,$A2944,EXTRATO!$J$2:$J$3000)+SUMIF(EXTRATO!$A$2:$A$3000,$A2944,EXTRATO!$K$2:$K$3000)+SUMIF(EXTRATO!$A$2:$A$3000,$A2944,EXTRATO!$L$2:$L$3000)+SUMIF(EXTRATO!$A$2:$A$3000,$A2944,EXTRATO!$M$2:$M$3000))</f>
        <v/>
      </c>
      <c r="G2944" s="81" t="str">
        <f>IF(A2944="","",IF(INDEX(EXTRATO!$G$2:$G$3000,MATCH($A2944,EXTRATO!$A$2:$A$3000,0))="","",INDEX(EXTRATO!$G$2:$G$3000,MATCH($A2944,EXTRATO!$A$2:$A$3000,0))))</f>
        <v/>
      </c>
      <c r="H2944" s="86" t="str">
        <f>IF(A2944="","",IF(INDEX(EXTRATO!$F$2:$F$3000,MATCH($A2944,EXTRATO!$A$2:$A$3000,0))="","",INDEX(EXTRATO!$F$2:$F$3000,MATCH($A2944,EXTRATO!$A$2:$A$3000,0))))</f>
        <v/>
      </c>
      <c r="I2944" s="88" t="str">
        <f>IF(A2944="","",IF(INDEX(EXTRATO!$H$2:$H$3000,MATCH($A2944,EXTRATO!$A$2:$A$3000,0))="","",INDEX(EXTRATO!$H$2:$H$3000,MATCH($A2944,EXTRATO!$A$2:$A$3000,0))))</f>
        <v/>
      </c>
      <c r="J2944" s="86" t="str">
        <f t="shared" si="79"/>
        <v/>
      </c>
      <c r="K2944" s="86" t="str">
        <f>IF(AND(A2944="",D2944="",E2944="",F2944=""),"",IF(D2944="","SEM CATEGORIA",IF(E2944="","SEM SUBCATEGORIA",IF(COUNTIFS(CADASTROS!$L$7:$L$93,D2944,CADASTROS!$D$7:$D$93,E2944)=0,"INCOMPATÍVEL","OK"))))</f>
        <v/>
      </c>
    </row>
    <row r="2945" spans="1:11" ht="30" hidden="1" customHeight="1" x14ac:dyDescent="0.25">
      <c r="A2945" s="86" t="str">
        <f>IF(COUNTIF(EXTRATO!$A$2:$A$3000,"BAN-02802")=0,"","BAN-02802")</f>
        <v/>
      </c>
      <c r="B2945" s="85" t="str">
        <f>IF(A2945="","",IF(INDEX(EXTRATO!$C$2:$C$3000,MATCH($A2945,EXTRATO!$A$2:$A$3000,0))="","",INDEX(EXTRATO!$C$2:$C$3000,MATCH($A2945,EXTRATO!$A$2:$A$3000,0))))</f>
        <v/>
      </c>
      <c r="C2945" s="86" t="str">
        <f t="shared" si="78"/>
        <v/>
      </c>
      <c r="D2945" s="81"/>
      <c r="E2945" s="79"/>
      <c r="F2945" s="80" t="str">
        <f>IF(A2945="","",SUMIF(EXTRATO!$A$2:$A$3000,$A2945,EXTRATO!$J$2:$J$3000)+SUMIF(EXTRATO!$A$2:$A$3000,$A2945,EXTRATO!$K$2:$K$3000)+SUMIF(EXTRATO!$A$2:$A$3000,$A2945,EXTRATO!$L$2:$L$3000)+SUMIF(EXTRATO!$A$2:$A$3000,$A2945,EXTRATO!$M$2:$M$3000))</f>
        <v/>
      </c>
      <c r="G2945" s="81" t="str">
        <f>IF(A2945="","",IF(INDEX(EXTRATO!$G$2:$G$3000,MATCH($A2945,EXTRATO!$A$2:$A$3000,0))="","",INDEX(EXTRATO!$G$2:$G$3000,MATCH($A2945,EXTRATO!$A$2:$A$3000,0))))</f>
        <v/>
      </c>
      <c r="H2945" s="86" t="str">
        <f>IF(A2945="","",IF(INDEX(EXTRATO!$F$2:$F$3000,MATCH($A2945,EXTRATO!$A$2:$A$3000,0))="","",INDEX(EXTRATO!$F$2:$F$3000,MATCH($A2945,EXTRATO!$A$2:$A$3000,0))))</f>
        <v/>
      </c>
      <c r="I2945" s="88" t="str">
        <f>IF(A2945="","",IF(INDEX(EXTRATO!$H$2:$H$3000,MATCH($A2945,EXTRATO!$A$2:$A$3000,0))="","",INDEX(EXTRATO!$H$2:$H$3000,MATCH($A2945,EXTRATO!$A$2:$A$3000,0))))</f>
        <v/>
      </c>
      <c r="J2945" s="86" t="str">
        <f t="shared" si="79"/>
        <v/>
      </c>
      <c r="K2945" s="86" t="str">
        <f>IF(AND(A2945="",D2945="",E2945="",F2945=""),"",IF(D2945="","SEM CATEGORIA",IF(E2945="","SEM SUBCATEGORIA",IF(COUNTIFS(CADASTROS!$L$7:$L$93,D2945,CADASTROS!$D$7:$D$93,E2945)=0,"INCOMPATÍVEL","OK"))))</f>
        <v/>
      </c>
    </row>
    <row r="2946" spans="1:11" ht="30" hidden="1" customHeight="1" x14ac:dyDescent="0.25">
      <c r="A2946" s="86" t="str">
        <f>IF(COUNTIF(EXTRATO!$A$2:$A$3000,"BAN-02803")=0,"","BAN-02803")</f>
        <v/>
      </c>
      <c r="B2946" s="85" t="str">
        <f>IF(A2946="","",IF(INDEX(EXTRATO!$C$2:$C$3000,MATCH($A2946,EXTRATO!$A$2:$A$3000,0))="","",INDEX(EXTRATO!$C$2:$C$3000,MATCH($A2946,EXTRATO!$A$2:$A$3000,0))))</f>
        <v/>
      </c>
      <c r="C2946" s="86" t="str">
        <f t="shared" si="78"/>
        <v/>
      </c>
      <c r="D2946" s="81"/>
      <c r="E2946" s="79"/>
      <c r="F2946" s="80" t="str">
        <f>IF(A2946="","",SUMIF(EXTRATO!$A$2:$A$3000,$A2946,EXTRATO!$J$2:$J$3000)+SUMIF(EXTRATO!$A$2:$A$3000,$A2946,EXTRATO!$K$2:$K$3000)+SUMIF(EXTRATO!$A$2:$A$3000,$A2946,EXTRATO!$L$2:$L$3000)+SUMIF(EXTRATO!$A$2:$A$3000,$A2946,EXTRATO!$M$2:$M$3000))</f>
        <v/>
      </c>
      <c r="G2946" s="81" t="str">
        <f>IF(A2946="","",IF(INDEX(EXTRATO!$G$2:$G$3000,MATCH($A2946,EXTRATO!$A$2:$A$3000,0))="","",INDEX(EXTRATO!$G$2:$G$3000,MATCH($A2946,EXTRATO!$A$2:$A$3000,0))))</f>
        <v/>
      </c>
      <c r="H2946" s="86" t="str">
        <f>IF(A2946="","",IF(INDEX(EXTRATO!$F$2:$F$3000,MATCH($A2946,EXTRATO!$A$2:$A$3000,0))="","",INDEX(EXTRATO!$F$2:$F$3000,MATCH($A2946,EXTRATO!$A$2:$A$3000,0))))</f>
        <v/>
      </c>
      <c r="I2946" s="88" t="str">
        <f>IF(A2946="","",IF(INDEX(EXTRATO!$H$2:$H$3000,MATCH($A2946,EXTRATO!$A$2:$A$3000,0))="","",INDEX(EXTRATO!$H$2:$H$3000,MATCH($A2946,EXTRATO!$A$2:$A$3000,0))))</f>
        <v/>
      </c>
      <c r="J2946" s="86" t="str">
        <f t="shared" si="79"/>
        <v/>
      </c>
      <c r="K2946" s="86" t="str">
        <f>IF(AND(A2946="",D2946="",E2946="",F2946=""),"",IF(D2946="","SEM CATEGORIA",IF(E2946="","SEM SUBCATEGORIA",IF(COUNTIFS(CADASTROS!$L$7:$L$93,D2946,CADASTROS!$D$7:$D$93,E2946)=0,"INCOMPATÍVEL","OK"))))</f>
        <v/>
      </c>
    </row>
    <row r="2947" spans="1:11" ht="30" hidden="1" customHeight="1" x14ac:dyDescent="0.25">
      <c r="A2947" s="86" t="str">
        <f>IF(COUNTIF(EXTRATO!$A$2:$A$3000,"BAN-02804")=0,"","BAN-02804")</f>
        <v/>
      </c>
      <c r="B2947" s="85" t="str">
        <f>IF(A2947="","",IF(INDEX(EXTRATO!$C$2:$C$3000,MATCH($A2947,EXTRATO!$A$2:$A$3000,0))="","",INDEX(EXTRATO!$C$2:$C$3000,MATCH($A2947,EXTRATO!$A$2:$A$3000,0))))</f>
        <v/>
      </c>
      <c r="C2947" s="86" t="str">
        <f t="shared" si="78"/>
        <v/>
      </c>
      <c r="D2947" s="81"/>
      <c r="E2947" s="79"/>
      <c r="F2947" s="80" t="str">
        <f>IF(A2947="","",SUMIF(EXTRATO!$A$2:$A$3000,$A2947,EXTRATO!$J$2:$J$3000)+SUMIF(EXTRATO!$A$2:$A$3000,$A2947,EXTRATO!$K$2:$K$3000)+SUMIF(EXTRATO!$A$2:$A$3000,$A2947,EXTRATO!$L$2:$L$3000)+SUMIF(EXTRATO!$A$2:$A$3000,$A2947,EXTRATO!$M$2:$M$3000))</f>
        <v/>
      </c>
      <c r="G2947" s="81" t="str">
        <f>IF(A2947="","",IF(INDEX(EXTRATO!$G$2:$G$3000,MATCH($A2947,EXTRATO!$A$2:$A$3000,0))="","",INDEX(EXTRATO!$G$2:$G$3000,MATCH($A2947,EXTRATO!$A$2:$A$3000,0))))</f>
        <v/>
      </c>
      <c r="H2947" s="86" t="str">
        <f>IF(A2947="","",IF(INDEX(EXTRATO!$F$2:$F$3000,MATCH($A2947,EXTRATO!$A$2:$A$3000,0))="","",INDEX(EXTRATO!$F$2:$F$3000,MATCH($A2947,EXTRATO!$A$2:$A$3000,0))))</f>
        <v/>
      </c>
      <c r="I2947" s="88" t="str">
        <f>IF(A2947="","",IF(INDEX(EXTRATO!$H$2:$H$3000,MATCH($A2947,EXTRATO!$A$2:$A$3000,0))="","",INDEX(EXTRATO!$H$2:$H$3000,MATCH($A2947,EXTRATO!$A$2:$A$3000,0))))</f>
        <v/>
      </c>
      <c r="J2947" s="86" t="str">
        <f t="shared" si="79"/>
        <v/>
      </c>
      <c r="K2947" s="86" t="str">
        <f>IF(AND(A2947="",D2947="",E2947="",F2947=""),"",IF(D2947="","SEM CATEGORIA",IF(E2947="","SEM SUBCATEGORIA",IF(COUNTIFS(CADASTROS!$L$7:$L$93,D2947,CADASTROS!$D$7:$D$93,E2947)=0,"INCOMPATÍVEL","OK"))))</f>
        <v/>
      </c>
    </row>
    <row r="2948" spans="1:11" ht="30" hidden="1" customHeight="1" x14ac:dyDescent="0.25">
      <c r="A2948" s="86" t="str">
        <f>IF(COUNTIF(EXTRATO!$A$2:$A$3000,"BAN-02805")=0,"","BAN-02805")</f>
        <v/>
      </c>
      <c r="B2948" s="85" t="str">
        <f>IF(A2948="","",IF(INDEX(EXTRATO!$C$2:$C$3000,MATCH($A2948,EXTRATO!$A$2:$A$3000,0))="","",INDEX(EXTRATO!$C$2:$C$3000,MATCH($A2948,EXTRATO!$A$2:$A$3000,0))))</f>
        <v/>
      </c>
      <c r="C2948" s="86" t="str">
        <f t="shared" si="78"/>
        <v/>
      </c>
      <c r="D2948" s="81"/>
      <c r="E2948" s="79"/>
      <c r="F2948" s="80" t="str">
        <f>IF(A2948="","",SUMIF(EXTRATO!$A$2:$A$3000,$A2948,EXTRATO!$J$2:$J$3000)+SUMIF(EXTRATO!$A$2:$A$3000,$A2948,EXTRATO!$K$2:$K$3000)+SUMIF(EXTRATO!$A$2:$A$3000,$A2948,EXTRATO!$L$2:$L$3000)+SUMIF(EXTRATO!$A$2:$A$3000,$A2948,EXTRATO!$M$2:$M$3000))</f>
        <v/>
      </c>
      <c r="G2948" s="81" t="str">
        <f>IF(A2948="","",IF(INDEX(EXTRATO!$G$2:$G$3000,MATCH($A2948,EXTRATO!$A$2:$A$3000,0))="","",INDEX(EXTRATO!$G$2:$G$3000,MATCH($A2948,EXTRATO!$A$2:$A$3000,0))))</f>
        <v/>
      </c>
      <c r="H2948" s="86" t="str">
        <f>IF(A2948="","",IF(INDEX(EXTRATO!$F$2:$F$3000,MATCH($A2948,EXTRATO!$A$2:$A$3000,0))="","",INDEX(EXTRATO!$F$2:$F$3000,MATCH($A2948,EXTRATO!$A$2:$A$3000,0))))</f>
        <v/>
      </c>
      <c r="I2948" s="88" t="str">
        <f>IF(A2948="","",IF(INDEX(EXTRATO!$H$2:$H$3000,MATCH($A2948,EXTRATO!$A$2:$A$3000,0))="","",INDEX(EXTRATO!$H$2:$H$3000,MATCH($A2948,EXTRATO!$A$2:$A$3000,0))))</f>
        <v/>
      </c>
      <c r="J2948" s="86" t="str">
        <f t="shared" si="79"/>
        <v/>
      </c>
      <c r="K2948" s="86" t="str">
        <f>IF(AND(A2948="",D2948="",E2948="",F2948=""),"",IF(D2948="","SEM CATEGORIA",IF(E2948="","SEM SUBCATEGORIA",IF(COUNTIFS(CADASTROS!$L$7:$L$93,D2948,CADASTROS!$D$7:$D$93,E2948)=0,"INCOMPATÍVEL","OK"))))</f>
        <v/>
      </c>
    </row>
    <row r="2949" spans="1:11" ht="30" hidden="1" customHeight="1" x14ac:dyDescent="0.25">
      <c r="A2949" s="86" t="str">
        <f>IF(COUNTIF(EXTRATO!$A$2:$A$3000,"BAN-02806")=0,"","BAN-02806")</f>
        <v/>
      </c>
      <c r="B2949" s="85" t="str">
        <f>IF(A2949="","",IF(INDEX(EXTRATO!$C$2:$C$3000,MATCH($A2949,EXTRATO!$A$2:$A$3000,0))="","",INDEX(EXTRATO!$C$2:$C$3000,MATCH($A2949,EXTRATO!$A$2:$A$3000,0))))</f>
        <v/>
      </c>
      <c r="C2949" s="86" t="str">
        <f t="shared" si="78"/>
        <v/>
      </c>
      <c r="D2949" s="81"/>
      <c r="E2949" s="79"/>
      <c r="F2949" s="80" t="str">
        <f>IF(A2949="","",SUMIF(EXTRATO!$A$2:$A$3000,$A2949,EXTRATO!$J$2:$J$3000)+SUMIF(EXTRATO!$A$2:$A$3000,$A2949,EXTRATO!$K$2:$K$3000)+SUMIF(EXTRATO!$A$2:$A$3000,$A2949,EXTRATO!$L$2:$L$3000)+SUMIF(EXTRATO!$A$2:$A$3000,$A2949,EXTRATO!$M$2:$M$3000))</f>
        <v/>
      </c>
      <c r="G2949" s="81" t="str">
        <f>IF(A2949="","",IF(INDEX(EXTRATO!$G$2:$G$3000,MATCH($A2949,EXTRATO!$A$2:$A$3000,0))="","",INDEX(EXTRATO!$G$2:$G$3000,MATCH($A2949,EXTRATO!$A$2:$A$3000,0))))</f>
        <v/>
      </c>
      <c r="H2949" s="86" t="str">
        <f>IF(A2949="","",IF(INDEX(EXTRATO!$F$2:$F$3000,MATCH($A2949,EXTRATO!$A$2:$A$3000,0))="","",INDEX(EXTRATO!$F$2:$F$3000,MATCH($A2949,EXTRATO!$A$2:$A$3000,0))))</f>
        <v/>
      </c>
      <c r="I2949" s="88" t="str">
        <f>IF(A2949="","",IF(INDEX(EXTRATO!$H$2:$H$3000,MATCH($A2949,EXTRATO!$A$2:$A$3000,0))="","",INDEX(EXTRATO!$H$2:$H$3000,MATCH($A2949,EXTRATO!$A$2:$A$3000,0))))</f>
        <v/>
      </c>
      <c r="J2949" s="86" t="str">
        <f t="shared" si="79"/>
        <v/>
      </c>
      <c r="K2949" s="86" t="str">
        <f>IF(AND(A2949="",D2949="",E2949="",F2949=""),"",IF(D2949="","SEM CATEGORIA",IF(E2949="","SEM SUBCATEGORIA",IF(COUNTIFS(CADASTROS!$L$7:$L$93,D2949,CADASTROS!$D$7:$D$93,E2949)=0,"INCOMPATÍVEL","OK"))))</f>
        <v/>
      </c>
    </row>
    <row r="2950" spans="1:11" ht="30" hidden="1" customHeight="1" x14ac:dyDescent="0.25">
      <c r="A2950" s="86" t="str">
        <f>IF(COUNTIF(EXTRATO!$A$2:$A$3000,"BAN-02807")=0,"","BAN-02807")</f>
        <v/>
      </c>
      <c r="B2950" s="85" t="str">
        <f>IF(A2950="","",IF(INDEX(EXTRATO!$C$2:$C$3000,MATCH($A2950,EXTRATO!$A$2:$A$3000,0))="","",INDEX(EXTRATO!$C$2:$C$3000,MATCH($A2950,EXTRATO!$A$2:$A$3000,0))))</f>
        <v/>
      </c>
      <c r="C2950" s="86" t="str">
        <f t="shared" si="78"/>
        <v/>
      </c>
      <c r="D2950" s="81"/>
      <c r="E2950" s="79"/>
      <c r="F2950" s="80" t="str">
        <f>IF(A2950="","",SUMIF(EXTRATO!$A$2:$A$3000,$A2950,EXTRATO!$J$2:$J$3000)+SUMIF(EXTRATO!$A$2:$A$3000,$A2950,EXTRATO!$K$2:$K$3000)+SUMIF(EXTRATO!$A$2:$A$3000,$A2950,EXTRATO!$L$2:$L$3000)+SUMIF(EXTRATO!$A$2:$A$3000,$A2950,EXTRATO!$M$2:$M$3000))</f>
        <v/>
      </c>
      <c r="G2950" s="81" t="str">
        <f>IF(A2950="","",IF(INDEX(EXTRATO!$G$2:$G$3000,MATCH($A2950,EXTRATO!$A$2:$A$3000,0))="","",INDEX(EXTRATO!$G$2:$G$3000,MATCH($A2950,EXTRATO!$A$2:$A$3000,0))))</f>
        <v/>
      </c>
      <c r="H2950" s="86" t="str">
        <f>IF(A2950="","",IF(INDEX(EXTRATO!$F$2:$F$3000,MATCH($A2950,EXTRATO!$A$2:$A$3000,0))="","",INDEX(EXTRATO!$F$2:$F$3000,MATCH($A2950,EXTRATO!$A$2:$A$3000,0))))</f>
        <v/>
      </c>
      <c r="I2950" s="88" t="str">
        <f>IF(A2950="","",IF(INDEX(EXTRATO!$H$2:$H$3000,MATCH($A2950,EXTRATO!$A$2:$A$3000,0))="","",INDEX(EXTRATO!$H$2:$H$3000,MATCH($A2950,EXTRATO!$A$2:$A$3000,0))))</f>
        <v/>
      </c>
      <c r="J2950" s="86" t="str">
        <f t="shared" si="79"/>
        <v/>
      </c>
      <c r="K2950" s="86" t="str">
        <f>IF(AND(A2950="",D2950="",E2950="",F2950=""),"",IF(D2950="","SEM CATEGORIA",IF(E2950="","SEM SUBCATEGORIA",IF(COUNTIFS(CADASTROS!$L$7:$L$93,D2950,CADASTROS!$D$7:$D$93,E2950)=0,"INCOMPATÍVEL","OK"))))</f>
        <v/>
      </c>
    </row>
    <row r="2951" spans="1:11" ht="30" hidden="1" customHeight="1" x14ac:dyDescent="0.25">
      <c r="A2951" s="86" t="str">
        <f>IF(COUNTIF(EXTRATO!$A$2:$A$3000,"BAN-02808")=0,"","BAN-02808")</f>
        <v/>
      </c>
      <c r="B2951" s="85" t="str">
        <f>IF(A2951="","",IF(INDEX(EXTRATO!$C$2:$C$3000,MATCH($A2951,EXTRATO!$A$2:$A$3000,0))="","",INDEX(EXTRATO!$C$2:$C$3000,MATCH($A2951,EXTRATO!$A$2:$A$3000,0))))</f>
        <v/>
      </c>
      <c r="C2951" s="86" t="str">
        <f t="shared" si="78"/>
        <v/>
      </c>
      <c r="D2951" s="81"/>
      <c r="E2951" s="79"/>
      <c r="F2951" s="80" t="str">
        <f>IF(A2951="","",SUMIF(EXTRATO!$A$2:$A$3000,$A2951,EXTRATO!$J$2:$J$3000)+SUMIF(EXTRATO!$A$2:$A$3000,$A2951,EXTRATO!$K$2:$K$3000)+SUMIF(EXTRATO!$A$2:$A$3000,$A2951,EXTRATO!$L$2:$L$3000)+SUMIF(EXTRATO!$A$2:$A$3000,$A2951,EXTRATO!$M$2:$M$3000))</f>
        <v/>
      </c>
      <c r="G2951" s="81" t="str">
        <f>IF(A2951="","",IF(INDEX(EXTRATO!$G$2:$G$3000,MATCH($A2951,EXTRATO!$A$2:$A$3000,0))="","",INDEX(EXTRATO!$G$2:$G$3000,MATCH($A2951,EXTRATO!$A$2:$A$3000,0))))</f>
        <v/>
      </c>
      <c r="H2951" s="86" t="str">
        <f>IF(A2951="","",IF(INDEX(EXTRATO!$F$2:$F$3000,MATCH($A2951,EXTRATO!$A$2:$A$3000,0))="","",INDEX(EXTRATO!$F$2:$F$3000,MATCH($A2951,EXTRATO!$A$2:$A$3000,0))))</f>
        <v/>
      </c>
      <c r="I2951" s="88" t="str">
        <f>IF(A2951="","",IF(INDEX(EXTRATO!$H$2:$H$3000,MATCH($A2951,EXTRATO!$A$2:$A$3000,0))="","",INDEX(EXTRATO!$H$2:$H$3000,MATCH($A2951,EXTRATO!$A$2:$A$3000,0))))</f>
        <v/>
      </c>
      <c r="J2951" s="86" t="str">
        <f t="shared" si="79"/>
        <v/>
      </c>
      <c r="K2951" s="86" t="str">
        <f>IF(AND(A2951="",D2951="",E2951="",F2951=""),"",IF(D2951="","SEM CATEGORIA",IF(E2951="","SEM SUBCATEGORIA",IF(COUNTIFS(CADASTROS!$L$7:$L$93,D2951,CADASTROS!$D$7:$D$93,E2951)=0,"INCOMPATÍVEL","OK"))))</f>
        <v/>
      </c>
    </row>
    <row r="2952" spans="1:11" ht="30" hidden="1" customHeight="1" x14ac:dyDescent="0.25">
      <c r="A2952" s="86" t="str">
        <f>IF(COUNTIF(EXTRATO!$A$2:$A$3000,"BAN-02809")=0,"","BAN-02809")</f>
        <v/>
      </c>
      <c r="B2952" s="85" t="str">
        <f>IF(A2952="","",IF(INDEX(EXTRATO!$C$2:$C$3000,MATCH($A2952,EXTRATO!$A$2:$A$3000,0))="","",INDEX(EXTRATO!$C$2:$C$3000,MATCH($A2952,EXTRATO!$A$2:$A$3000,0))))</f>
        <v/>
      </c>
      <c r="C2952" s="86" t="str">
        <f t="shared" si="78"/>
        <v/>
      </c>
      <c r="D2952" s="81"/>
      <c r="E2952" s="79"/>
      <c r="F2952" s="80" t="str">
        <f>IF(A2952="","",SUMIF(EXTRATO!$A$2:$A$3000,$A2952,EXTRATO!$J$2:$J$3000)+SUMIF(EXTRATO!$A$2:$A$3000,$A2952,EXTRATO!$K$2:$K$3000)+SUMIF(EXTRATO!$A$2:$A$3000,$A2952,EXTRATO!$L$2:$L$3000)+SUMIF(EXTRATO!$A$2:$A$3000,$A2952,EXTRATO!$M$2:$M$3000))</f>
        <v/>
      </c>
      <c r="G2952" s="81" t="str">
        <f>IF(A2952="","",IF(INDEX(EXTRATO!$G$2:$G$3000,MATCH($A2952,EXTRATO!$A$2:$A$3000,0))="","",INDEX(EXTRATO!$G$2:$G$3000,MATCH($A2952,EXTRATO!$A$2:$A$3000,0))))</f>
        <v/>
      </c>
      <c r="H2952" s="86" t="str">
        <f>IF(A2952="","",IF(INDEX(EXTRATO!$F$2:$F$3000,MATCH($A2952,EXTRATO!$A$2:$A$3000,0))="","",INDEX(EXTRATO!$F$2:$F$3000,MATCH($A2952,EXTRATO!$A$2:$A$3000,0))))</f>
        <v/>
      </c>
      <c r="I2952" s="88" t="str">
        <f>IF(A2952="","",IF(INDEX(EXTRATO!$H$2:$H$3000,MATCH($A2952,EXTRATO!$A$2:$A$3000,0))="","",INDEX(EXTRATO!$H$2:$H$3000,MATCH($A2952,EXTRATO!$A$2:$A$3000,0))))</f>
        <v/>
      </c>
      <c r="J2952" s="86" t="str">
        <f t="shared" si="79"/>
        <v/>
      </c>
      <c r="K2952" s="86" t="str">
        <f>IF(AND(A2952="",D2952="",E2952="",F2952=""),"",IF(D2952="","SEM CATEGORIA",IF(E2952="","SEM SUBCATEGORIA",IF(COUNTIFS(CADASTROS!$L$7:$L$93,D2952,CADASTROS!$D$7:$D$93,E2952)=0,"INCOMPATÍVEL","OK"))))</f>
        <v/>
      </c>
    </row>
    <row r="2953" spans="1:11" ht="30" hidden="1" customHeight="1" x14ac:dyDescent="0.25">
      <c r="A2953" s="86" t="str">
        <f>IF(COUNTIF(EXTRATO!$A$2:$A$3000,"BAN-02810")=0,"","BAN-02810")</f>
        <v/>
      </c>
      <c r="B2953" s="85" t="str">
        <f>IF(A2953="","",IF(INDEX(EXTRATO!$C$2:$C$3000,MATCH($A2953,EXTRATO!$A$2:$A$3000,0))="","",INDEX(EXTRATO!$C$2:$C$3000,MATCH($A2953,EXTRATO!$A$2:$A$3000,0))))</f>
        <v/>
      </c>
      <c r="C2953" s="86" t="str">
        <f t="shared" si="78"/>
        <v/>
      </c>
      <c r="D2953" s="81"/>
      <c r="E2953" s="79"/>
      <c r="F2953" s="80" t="str">
        <f>IF(A2953="","",SUMIF(EXTRATO!$A$2:$A$3000,$A2953,EXTRATO!$J$2:$J$3000)+SUMIF(EXTRATO!$A$2:$A$3000,$A2953,EXTRATO!$K$2:$K$3000)+SUMIF(EXTRATO!$A$2:$A$3000,$A2953,EXTRATO!$L$2:$L$3000)+SUMIF(EXTRATO!$A$2:$A$3000,$A2953,EXTRATO!$M$2:$M$3000))</f>
        <v/>
      </c>
      <c r="G2953" s="81" t="str">
        <f>IF(A2953="","",IF(INDEX(EXTRATO!$G$2:$G$3000,MATCH($A2953,EXTRATO!$A$2:$A$3000,0))="","",INDEX(EXTRATO!$G$2:$G$3000,MATCH($A2953,EXTRATO!$A$2:$A$3000,0))))</f>
        <v/>
      </c>
      <c r="H2953" s="86" t="str">
        <f>IF(A2953="","",IF(INDEX(EXTRATO!$F$2:$F$3000,MATCH($A2953,EXTRATO!$A$2:$A$3000,0))="","",INDEX(EXTRATO!$F$2:$F$3000,MATCH($A2953,EXTRATO!$A$2:$A$3000,0))))</f>
        <v/>
      </c>
      <c r="I2953" s="88" t="str">
        <f>IF(A2953="","",IF(INDEX(EXTRATO!$H$2:$H$3000,MATCH($A2953,EXTRATO!$A$2:$A$3000,0))="","",INDEX(EXTRATO!$H$2:$H$3000,MATCH($A2953,EXTRATO!$A$2:$A$3000,0))))</f>
        <v/>
      </c>
      <c r="J2953" s="86" t="str">
        <f t="shared" si="79"/>
        <v/>
      </c>
      <c r="K2953" s="86" t="str">
        <f>IF(AND(A2953="",D2953="",E2953="",F2953=""),"",IF(D2953="","SEM CATEGORIA",IF(E2953="","SEM SUBCATEGORIA",IF(COUNTIFS(CADASTROS!$L$7:$L$93,D2953,CADASTROS!$D$7:$D$93,E2953)=0,"INCOMPATÍVEL","OK"))))</f>
        <v/>
      </c>
    </row>
    <row r="2954" spans="1:11" ht="30" hidden="1" customHeight="1" x14ac:dyDescent="0.25">
      <c r="A2954" s="86" t="str">
        <f>IF(COUNTIF(EXTRATO!$A$2:$A$3000,"BAN-02811")=0,"","BAN-02811")</f>
        <v/>
      </c>
      <c r="B2954" s="85" t="str">
        <f>IF(A2954="","",IF(INDEX(EXTRATO!$C$2:$C$3000,MATCH($A2954,EXTRATO!$A$2:$A$3000,0))="","",INDEX(EXTRATO!$C$2:$C$3000,MATCH($A2954,EXTRATO!$A$2:$A$3000,0))))</f>
        <v/>
      </c>
      <c r="C2954" s="86" t="str">
        <f t="shared" si="78"/>
        <v/>
      </c>
      <c r="D2954" s="81"/>
      <c r="E2954" s="79"/>
      <c r="F2954" s="80" t="str">
        <f>IF(A2954="","",SUMIF(EXTRATO!$A$2:$A$3000,$A2954,EXTRATO!$J$2:$J$3000)+SUMIF(EXTRATO!$A$2:$A$3000,$A2954,EXTRATO!$K$2:$K$3000)+SUMIF(EXTRATO!$A$2:$A$3000,$A2954,EXTRATO!$L$2:$L$3000)+SUMIF(EXTRATO!$A$2:$A$3000,$A2954,EXTRATO!$M$2:$M$3000))</f>
        <v/>
      </c>
      <c r="G2954" s="81" t="str">
        <f>IF(A2954="","",IF(INDEX(EXTRATO!$G$2:$G$3000,MATCH($A2954,EXTRATO!$A$2:$A$3000,0))="","",INDEX(EXTRATO!$G$2:$G$3000,MATCH($A2954,EXTRATO!$A$2:$A$3000,0))))</f>
        <v/>
      </c>
      <c r="H2954" s="86" t="str">
        <f>IF(A2954="","",IF(INDEX(EXTRATO!$F$2:$F$3000,MATCH($A2954,EXTRATO!$A$2:$A$3000,0))="","",INDEX(EXTRATO!$F$2:$F$3000,MATCH($A2954,EXTRATO!$A$2:$A$3000,0))))</f>
        <v/>
      </c>
      <c r="I2954" s="88" t="str">
        <f>IF(A2954="","",IF(INDEX(EXTRATO!$H$2:$H$3000,MATCH($A2954,EXTRATO!$A$2:$A$3000,0))="","",INDEX(EXTRATO!$H$2:$H$3000,MATCH($A2954,EXTRATO!$A$2:$A$3000,0))))</f>
        <v/>
      </c>
      <c r="J2954" s="86" t="str">
        <f t="shared" si="79"/>
        <v/>
      </c>
      <c r="K2954" s="86" t="str">
        <f>IF(AND(A2954="",D2954="",E2954="",F2954=""),"",IF(D2954="","SEM CATEGORIA",IF(E2954="","SEM SUBCATEGORIA",IF(COUNTIFS(CADASTROS!$L$7:$L$93,D2954,CADASTROS!$D$7:$D$93,E2954)=0,"INCOMPATÍVEL","OK"))))</f>
        <v/>
      </c>
    </row>
    <row r="2955" spans="1:11" ht="30" hidden="1" customHeight="1" x14ac:dyDescent="0.25">
      <c r="A2955" s="86" t="str">
        <f>IF(COUNTIF(EXTRATO!$A$2:$A$3000,"BAN-02812")=0,"","BAN-02812")</f>
        <v/>
      </c>
      <c r="B2955" s="85" t="str">
        <f>IF(A2955="","",IF(INDEX(EXTRATO!$C$2:$C$3000,MATCH($A2955,EXTRATO!$A$2:$A$3000,0))="","",INDEX(EXTRATO!$C$2:$C$3000,MATCH($A2955,EXTRATO!$A$2:$A$3000,0))))</f>
        <v/>
      </c>
      <c r="C2955" s="86" t="str">
        <f t="shared" si="78"/>
        <v/>
      </c>
      <c r="D2955" s="81"/>
      <c r="E2955" s="79"/>
      <c r="F2955" s="80" t="str">
        <f>IF(A2955="","",SUMIF(EXTRATO!$A$2:$A$3000,$A2955,EXTRATO!$J$2:$J$3000)+SUMIF(EXTRATO!$A$2:$A$3000,$A2955,EXTRATO!$K$2:$K$3000)+SUMIF(EXTRATO!$A$2:$A$3000,$A2955,EXTRATO!$L$2:$L$3000)+SUMIF(EXTRATO!$A$2:$A$3000,$A2955,EXTRATO!$M$2:$M$3000))</f>
        <v/>
      </c>
      <c r="G2955" s="81" t="str">
        <f>IF(A2955="","",IF(INDEX(EXTRATO!$G$2:$G$3000,MATCH($A2955,EXTRATO!$A$2:$A$3000,0))="","",INDEX(EXTRATO!$G$2:$G$3000,MATCH($A2955,EXTRATO!$A$2:$A$3000,0))))</f>
        <v/>
      </c>
      <c r="H2955" s="86" t="str">
        <f>IF(A2955="","",IF(INDEX(EXTRATO!$F$2:$F$3000,MATCH($A2955,EXTRATO!$A$2:$A$3000,0))="","",INDEX(EXTRATO!$F$2:$F$3000,MATCH($A2955,EXTRATO!$A$2:$A$3000,0))))</f>
        <v/>
      </c>
      <c r="I2955" s="88" t="str">
        <f>IF(A2955="","",IF(INDEX(EXTRATO!$H$2:$H$3000,MATCH($A2955,EXTRATO!$A$2:$A$3000,0))="","",INDEX(EXTRATO!$H$2:$H$3000,MATCH($A2955,EXTRATO!$A$2:$A$3000,0))))</f>
        <v/>
      </c>
      <c r="J2955" s="86" t="str">
        <f t="shared" si="79"/>
        <v/>
      </c>
      <c r="K2955" s="86" t="str">
        <f>IF(AND(A2955="",D2955="",E2955="",F2955=""),"",IF(D2955="","SEM CATEGORIA",IF(E2955="","SEM SUBCATEGORIA",IF(COUNTIFS(CADASTROS!$L$7:$L$93,D2955,CADASTROS!$D$7:$D$93,E2955)=0,"INCOMPATÍVEL","OK"))))</f>
        <v/>
      </c>
    </row>
    <row r="2956" spans="1:11" ht="30" hidden="1" customHeight="1" x14ac:dyDescent="0.25">
      <c r="A2956" s="86" t="str">
        <f>IF(COUNTIF(EXTRATO!$A$2:$A$3000,"BAN-02813")=0,"","BAN-02813")</f>
        <v/>
      </c>
      <c r="B2956" s="85" t="str">
        <f>IF(A2956="","",IF(INDEX(EXTRATO!$C$2:$C$3000,MATCH($A2956,EXTRATO!$A$2:$A$3000,0))="","",INDEX(EXTRATO!$C$2:$C$3000,MATCH($A2956,EXTRATO!$A$2:$A$3000,0))))</f>
        <v/>
      </c>
      <c r="C2956" s="86" t="str">
        <f t="shared" si="78"/>
        <v/>
      </c>
      <c r="D2956" s="81"/>
      <c r="E2956" s="79"/>
      <c r="F2956" s="80" t="str">
        <f>IF(A2956="","",SUMIF(EXTRATO!$A$2:$A$3000,$A2956,EXTRATO!$J$2:$J$3000)+SUMIF(EXTRATO!$A$2:$A$3000,$A2956,EXTRATO!$K$2:$K$3000)+SUMIF(EXTRATO!$A$2:$A$3000,$A2956,EXTRATO!$L$2:$L$3000)+SUMIF(EXTRATO!$A$2:$A$3000,$A2956,EXTRATO!$M$2:$M$3000))</f>
        <v/>
      </c>
      <c r="G2956" s="81" t="str">
        <f>IF(A2956="","",IF(INDEX(EXTRATO!$G$2:$G$3000,MATCH($A2956,EXTRATO!$A$2:$A$3000,0))="","",INDEX(EXTRATO!$G$2:$G$3000,MATCH($A2956,EXTRATO!$A$2:$A$3000,0))))</f>
        <v/>
      </c>
      <c r="H2956" s="86" t="str">
        <f>IF(A2956="","",IF(INDEX(EXTRATO!$F$2:$F$3000,MATCH($A2956,EXTRATO!$A$2:$A$3000,0))="","",INDEX(EXTRATO!$F$2:$F$3000,MATCH($A2956,EXTRATO!$A$2:$A$3000,0))))</f>
        <v/>
      </c>
      <c r="I2956" s="88" t="str">
        <f>IF(A2956="","",IF(INDEX(EXTRATO!$H$2:$H$3000,MATCH($A2956,EXTRATO!$A$2:$A$3000,0))="","",INDEX(EXTRATO!$H$2:$H$3000,MATCH($A2956,EXTRATO!$A$2:$A$3000,0))))</f>
        <v/>
      </c>
      <c r="J2956" s="86" t="str">
        <f t="shared" si="79"/>
        <v/>
      </c>
      <c r="K2956" s="86" t="str">
        <f>IF(AND(A2956="",D2956="",E2956="",F2956=""),"",IF(D2956="","SEM CATEGORIA",IF(E2956="","SEM SUBCATEGORIA",IF(COUNTIFS(CADASTROS!$L$7:$L$93,D2956,CADASTROS!$D$7:$D$93,E2956)=0,"INCOMPATÍVEL","OK"))))</f>
        <v/>
      </c>
    </row>
    <row r="2957" spans="1:11" ht="30" hidden="1" customHeight="1" x14ac:dyDescent="0.25">
      <c r="A2957" s="86" t="str">
        <f>IF(COUNTIF(EXTRATO!$A$2:$A$3000,"BAN-02814")=0,"","BAN-02814")</f>
        <v/>
      </c>
      <c r="B2957" s="85" t="str">
        <f>IF(A2957="","",IF(INDEX(EXTRATO!$C$2:$C$3000,MATCH($A2957,EXTRATO!$A$2:$A$3000,0))="","",INDEX(EXTRATO!$C$2:$C$3000,MATCH($A2957,EXTRATO!$A$2:$A$3000,0))))</f>
        <v/>
      </c>
      <c r="C2957" s="86" t="str">
        <f t="shared" si="78"/>
        <v/>
      </c>
      <c r="D2957" s="81"/>
      <c r="E2957" s="79"/>
      <c r="F2957" s="80" t="str">
        <f>IF(A2957="","",SUMIF(EXTRATO!$A$2:$A$3000,$A2957,EXTRATO!$J$2:$J$3000)+SUMIF(EXTRATO!$A$2:$A$3000,$A2957,EXTRATO!$K$2:$K$3000)+SUMIF(EXTRATO!$A$2:$A$3000,$A2957,EXTRATO!$L$2:$L$3000)+SUMIF(EXTRATO!$A$2:$A$3000,$A2957,EXTRATO!$M$2:$M$3000))</f>
        <v/>
      </c>
      <c r="G2957" s="81" t="str">
        <f>IF(A2957="","",IF(INDEX(EXTRATO!$G$2:$G$3000,MATCH($A2957,EXTRATO!$A$2:$A$3000,0))="","",INDEX(EXTRATO!$G$2:$G$3000,MATCH($A2957,EXTRATO!$A$2:$A$3000,0))))</f>
        <v/>
      </c>
      <c r="H2957" s="86" t="str">
        <f>IF(A2957="","",IF(INDEX(EXTRATO!$F$2:$F$3000,MATCH($A2957,EXTRATO!$A$2:$A$3000,0))="","",INDEX(EXTRATO!$F$2:$F$3000,MATCH($A2957,EXTRATO!$A$2:$A$3000,0))))</f>
        <v/>
      </c>
      <c r="I2957" s="88" t="str">
        <f>IF(A2957="","",IF(INDEX(EXTRATO!$H$2:$H$3000,MATCH($A2957,EXTRATO!$A$2:$A$3000,0))="","",INDEX(EXTRATO!$H$2:$H$3000,MATCH($A2957,EXTRATO!$A$2:$A$3000,0))))</f>
        <v/>
      </c>
      <c r="J2957" s="86" t="str">
        <f t="shared" si="79"/>
        <v/>
      </c>
      <c r="K2957" s="86" t="str">
        <f>IF(AND(A2957="",D2957="",E2957="",F2957=""),"",IF(D2957="","SEM CATEGORIA",IF(E2957="","SEM SUBCATEGORIA",IF(COUNTIFS(CADASTROS!$L$7:$L$93,D2957,CADASTROS!$D$7:$D$93,E2957)=0,"INCOMPATÍVEL","OK"))))</f>
        <v/>
      </c>
    </row>
    <row r="2958" spans="1:11" ht="30" hidden="1" customHeight="1" x14ac:dyDescent="0.25">
      <c r="A2958" s="86" t="str">
        <f>IF(COUNTIF(EXTRATO!$A$2:$A$3000,"BAN-02815")=0,"","BAN-02815")</f>
        <v/>
      </c>
      <c r="B2958" s="85" t="str">
        <f>IF(A2958="","",IF(INDEX(EXTRATO!$C$2:$C$3000,MATCH($A2958,EXTRATO!$A$2:$A$3000,0))="","",INDEX(EXTRATO!$C$2:$C$3000,MATCH($A2958,EXTRATO!$A$2:$A$3000,0))))</f>
        <v/>
      </c>
      <c r="C2958" s="86" t="str">
        <f t="shared" si="78"/>
        <v/>
      </c>
      <c r="D2958" s="81"/>
      <c r="E2958" s="79"/>
      <c r="F2958" s="80" t="str">
        <f>IF(A2958="","",SUMIF(EXTRATO!$A$2:$A$3000,$A2958,EXTRATO!$J$2:$J$3000)+SUMIF(EXTRATO!$A$2:$A$3000,$A2958,EXTRATO!$K$2:$K$3000)+SUMIF(EXTRATO!$A$2:$A$3000,$A2958,EXTRATO!$L$2:$L$3000)+SUMIF(EXTRATO!$A$2:$A$3000,$A2958,EXTRATO!$M$2:$M$3000))</f>
        <v/>
      </c>
      <c r="G2958" s="81" t="str">
        <f>IF(A2958="","",IF(INDEX(EXTRATO!$G$2:$G$3000,MATCH($A2958,EXTRATO!$A$2:$A$3000,0))="","",INDEX(EXTRATO!$G$2:$G$3000,MATCH($A2958,EXTRATO!$A$2:$A$3000,0))))</f>
        <v/>
      </c>
      <c r="H2958" s="86" t="str">
        <f>IF(A2958="","",IF(INDEX(EXTRATO!$F$2:$F$3000,MATCH($A2958,EXTRATO!$A$2:$A$3000,0))="","",INDEX(EXTRATO!$F$2:$F$3000,MATCH($A2958,EXTRATO!$A$2:$A$3000,0))))</f>
        <v/>
      </c>
      <c r="I2958" s="88" t="str">
        <f>IF(A2958="","",IF(INDEX(EXTRATO!$H$2:$H$3000,MATCH($A2958,EXTRATO!$A$2:$A$3000,0))="","",INDEX(EXTRATO!$H$2:$H$3000,MATCH($A2958,EXTRATO!$A$2:$A$3000,0))))</f>
        <v/>
      </c>
      <c r="J2958" s="86" t="str">
        <f t="shared" si="79"/>
        <v/>
      </c>
      <c r="K2958" s="86" t="str">
        <f>IF(AND(A2958="",D2958="",E2958="",F2958=""),"",IF(D2958="","SEM CATEGORIA",IF(E2958="","SEM SUBCATEGORIA",IF(COUNTIFS(CADASTROS!$L$7:$L$93,D2958,CADASTROS!$D$7:$D$93,E2958)=0,"INCOMPATÍVEL","OK"))))</f>
        <v/>
      </c>
    </row>
    <row r="2959" spans="1:11" ht="30" hidden="1" customHeight="1" x14ac:dyDescent="0.25">
      <c r="A2959" s="86" t="str">
        <f>IF(COUNTIF(EXTRATO!$A$2:$A$3000,"BAN-02816")=0,"","BAN-02816")</f>
        <v/>
      </c>
      <c r="B2959" s="85" t="str">
        <f>IF(A2959="","",IF(INDEX(EXTRATO!$C$2:$C$3000,MATCH($A2959,EXTRATO!$A$2:$A$3000,0))="","",INDEX(EXTRATO!$C$2:$C$3000,MATCH($A2959,EXTRATO!$A$2:$A$3000,0))))</f>
        <v/>
      </c>
      <c r="C2959" s="86" t="str">
        <f t="shared" si="78"/>
        <v/>
      </c>
      <c r="D2959" s="81"/>
      <c r="E2959" s="79"/>
      <c r="F2959" s="80" t="str">
        <f>IF(A2959="","",SUMIF(EXTRATO!$A$2:$A$3000,$A2959,EXTRATO!$J$2:$J$3000)+SUMIF(EXTRATO!$A$2:$A$3000,$A2959,EXTRATO!$K$2:$K$3000)+SUMIF(EXTRATO!$A$2:$A$3000,$A2959,EXTRATO!$L$2:$L$3000)+SUMIF(EXTRATO!$A$2:$A$3000,$A2959,EXTRATO!$M$2:$M$3000))</f>
        <v/>
      </c>
      <c r="G2959" s="81" t="str">
        <f>IF(A2959="","",IF(INDEX(EXTRATO!$G$2:$G$3000,MATCH($A2959,EXTRATO!$A$2:$A$3000,0))="","",INDEX(EXTRATO!$G$2:$G$3000,MATCH($A2959,EXTRATO!$A$2:$A$3000,0))))</f>
        <v/>
      </c>
      <c r="H2959" s="86" t="str">
        <f>IF(A2959="","",IF(INDEX(EXTRATO!$F$2:$F$3000,MATCH($A2959,EXTRATO!$A$2:$A$3000,0))="","",INDEX(EXTRATO!$F$2:$F$3000,MATCH($A2959,EXTRATO!$A$2:$A$3000,0))))</f>
        <v/>
      </c>
      <c r="I2959" s="88" t="str">
        <f>IF(A2959="","",IF(INDEX(EXTRATO!$H$2:$H$3000,MATCH($A2959,EXTRATO!$A$2:$A$3000,0))="","",INDEX(EXTRATO!$H$2:$H$3000,MATCH($A2959,EXTRATO!$A$2:$A$3000,0))))</f>
        <v/>
      </c>
      <c r="J2959" s="86" t="str">
        <f t="shared" si="79"/>
        <v/>
      </c>
      <c r="K2959" s="86" t="str">
        <f>IF(AND(A2959="",D2959="",E2959="",F2959=""),"",IF(D2959="","SEM CATEGORIA",IF(E2959="","SEM SUBCATEGORIA",IF(COUNTIFS(CADASTROS!$L$7:$L$93,D2959,CADASTROS!$D$7:$D$93,E2959)=0,"INCOMPATÍVEL","OK"))))</f>
        <v/>
      </c>
    </row>
    <row r="2960" spans="1:11" ht="30" hidden="1" customHeight="1" x14ac:dyDescent="0.25">
      <c r="A2960" s="86" t="str">
        <f>IF(COUNTIF(EXTRATO!$A$2:$A$3000,"BAN-02817")=0,"","BAN-02817")</f>
        <v/>
      </c>
      <c r="B2960" s="85" t="str">
        <f>IF(A2960="","",IF(INDEX(EXTRATO!$C$2:$C$3000,MATCH($A2960,EXTRATO!$A$2:$A$3000,0))="","",INDEX(EXTRATO!$C$2:$C$3000,MATCH($A2960,EXTRATO!$A$2:$A$3000,0))))</f>
        <v/>
      </c>
      <c r="C2960" s="86" t="str">
        <f t="shared" si="78"/>
        <v/>
      </c>
      <c r="D2960" s="81"/>
      <c r="E2960" s="79"/>
      <c r="F2960" s="80" t="str">
        <f>IF(A2960="","",SUMIF(EXTRATO!$A$2:$A$3000,$A2960,EXTRATO!$J$2:$J$3000)+SUMIF(EXTRATO!$A$2:$A$3000,$A2960,EXTRATO!$K$2:$K$3000)+SUMIF(EXTRATO!$A$2:$A$3000,$A2960,EXTRATO!$L$2:$L$3000)+SUMIF(EXTRATO!$A$2:$A$3000,$A2960,EXTRATO!$M$2:$M$3000))</f>
        <v/>
      </c>
      <c r="G2960" s="81" t="str">
        <f>IF(A2960="","",IF(INDEX(EXTRATO!$G$2:$G$3000,MATCH($A2960,EXTRATO!$A$2:$A$3000,0))="","",INDEX(EXTRATO!$G$2:$G$3000,MATCH($A2960,EXTRATO!$A$2:$A$3000,0))))</f>
        <v/>
      </c>
      <c r="H2960" s="86" t="str">
        <f>IF(A2960="","",IF(INDEX(EXTRATO!$F$2:$F$3000,MATCH($A2960,EXTRATO!$A$2:$A$3000,0))="","",INDEX(EXTRATO!$F$2:$F$3000,MATCH($A2960,EXTRATO!$A$2:$A$3000,0))))</f>
        <v/>
      </c>
      <c r="I2960" s="88" t="str">
        <f>IF(A2960="","",IF(INDEX(EXTRATO!$H$2:$H$3000,MATCH($A2960,EXTRATO!$A$2:$A$3000,0))="","",INDEX(EXTRATO!$H$2:$H$3000,MATCH($A2960,EXTRATO!$A$2:$A$3000,0))))</f>
        <v/>
      </c>
      <c r="J2960" s="86" t="str">
        <f t="shared" si="79"/>
        <v/>
      </c>
      <c r="K2960" s="86" t="str">
        <f>IF(AND(A2960="",D2960="",E2960="",F2960=""),"",IF(D2960="","SEM CATEGORIA",IF(E2960="","SEM SUBCATEGORIA",IF(COUNTIFS(CADASTROS!$L$7:$L$93,D2960,CADASTROS!$D$7:$D$93,E2960)=0,"INCOMPATÍVEL","OK"))))</f>
        <v/>
      </c>
    </row>
    <row r="2961" spans="1:11" ht="30" hidden="1" customHeight="1" x14ac:dyDescent="0.25">
      <c r="A2961" s="86" t="str">
        <f>IF(COUNTIF(EXTRATO!$A$2:$A$3000,"BAN-02818")=0,"","BAN-02818")</f>
        <v/>
      </c>
      <c r="B2961" s="85" t="str">
        <f>IF(A2961="","",IF(INDEX(EXTRATO!$C$2:$C$3000,MATCH($A2961,EXTRATO!$A$2:$A$3000,0))="","",INDEX(EXTRATO!$C$2:$C$3000,MATCH($A2961,EXTRATO!$A$2:$A$3000,0))))</f>
        <v/>
      </c>
      <c r="C2961" s="86" t="str">
        <f t="shared" si="78"/>
        <v/>
      </c>
      <c r="D2961" s="81"/>
      <c r="E2961" s="79"/>
      <c r="F2961" s="80" t="str">
        <f>IF(A2961="","",SUMIF(EXTRATO!$A$2:$A$3000,$A2961,EXTRATO!$J$2:$J$3000)+SUMIF(EXTRATO!$A$2:$A$3000,$A2961,EXTRATO!$K$2:$K$3000)+SUMIF(EXTRATO!$A$2:$A$3000,$A2961,EXTRATO!$L$2:$L$3000)+SUMIF(EXTRATO!$A$2:$A$3000,$A2961,EXTRATO!$M$2:$M$3000))</f>
        <v/>
      </c>
      <c r="G2961" s="81" t="str">
        <f>IF(A2961="","",IF(INDEX(EXTRATO!$G$2:$G$3000,MATCH($A2961,EXTRATO!$A$2:$A$3000,0))="","",INDEX(EXTRATO!$G$2:$G$3000,MATCH($A2961,EXTRATO!$A$2:$A$3000,0))))</f>
        <v/>
      </c>
      <c r="H2961" s="86" t="str">
        <f>IF(A2961="","",IF(INDEX(EXTRATO!$F$2:$F$3000,MATCH($A2961,EXTRATO!$A$2:$A$3000,0))="","",INDEX(EXTRATO!$F$2:$F$3000,MATCH($A2961,EXTRATO!$A$2:$A$3000,0))))</f>
        <v/>
      </c>
      <c r="I2961" s="88" t="str">
        <f>IF(A2961="","",IF(INDEX(EXTRATO!$H$2:$H$3000,MATCH($A2961,EXTRATO!$A$2:$A$3000,0))="","",INDEX(EXTRATO!$H$2:$H$3000,MATCH($A2961,EXTRATO!$A$2:$A$3000,0))))</f>
        <v/>
      </c>
      <c r="J2961" s="86" t="str">
        <f t="shared" si="79"/>
        <v/>
      </c>
      <c r="K2961" s="86" t="str">
        <f>IF(AND(A2961="",D2961="",E2961="",F2961=""),"",IF(D2961="","SEM CATEGORIA",IF(E2961="","SEM SUBCATEGORIA",IF(COUNTIFS(CADASTROS!$L$7:$L$93,D2961,CADASTROS!$D$7:$D$93,E2961)=0,"INCOMPATÍVEL","OK"))))</f>
        <v/>
      </c>
    </row>
    <row r="2962" spans="1:11" ht="30" hidden="1" customHeight="1" x14ac:dyDescent="0.25">
      <c r="A2962" s="86" t="str">
        <f>IF(COUNTIF(EXTRATO!$A$2:$A$3000,"BAN-02819")=0,"","BAN-02819")</f>
        <v/>
      </c>
      <c r="B2962" s="85" t="str">
        <f>IF(A2962="","",IF(INDEX(EXTRATO!$C$2:$C$3000,MATCH($A2962,EXTRATO!$A$2:$A$3000,0))="","",INDEX(EXTRATO!$C$2:$C$3000,MATCH($A2962,EXTRATO!$A$2:$A$3000,0))))</f>
        <v/>
      </c>
      <c r="C2962" s="86" t="str">
        <f t="shared" si="78"/>
        <v/>
      </c>
      <c r="D2962" s="81"/>
      <c r="E2962" s="79"/>
      <c r="F2962" s="80" t="str">
        <f>IF(A2962="","",SUMIF(EXTRATO!$A$2:$A$3000,$A2962,EXTRATO!$J$2:$J$3000)+SUMIF(EXTRATO!$A$2:$A$3000,$A2962,EXTRATO!$K$2:$K$3000)+SUMIF(EXTRATO!$A$2:$A$3000,$A2962,EXTRATO!$L$2:$L$3000)+SUMIF(EXTRATO!$A$2:$A$3000,$A2962,EXTRATO!$M$2:$M$3000))</f>
        <v/>
      </c>
      <c r="G2962" s="81" t="str">
        <f>IF(A2962="","",IF(INDEX(EXTRATO!$G$2:$G$3000,MATCH($A2962,EXTRATO!$A$2:$A$3000,0))="","",INDEX(EXTRATO!$G$2:$G$3000,MATCH($A2962,EXTRATO!$A$2:$A$3000,0))))</f>
        <v/>
      </c>
      <c r="H2962" s="86" t="str">
        <f>IF(A2962="","",IF(INDEX(EXTRATO!$F$2:$F$3000,MATCH($A2962,EXTRATO!$A$2:$A$3000,0))="","",INDEX(EXTRATO!$F$2:$F$3000,MATCH($A2962,EXTRATO!$A$2:$A$3000,0))))</f>
        <v/>
      </c>
      <c r="I2962" s="88" t="str">
        <f>IF(A2962="","",IF(INDEX(EXTRATO!$H$2:$H$3000,MATCH($A2962,EXTRATO!$A$2:$A$3000,0))="","",INDEX(EXTRATO!$H$2:$H$3000,MATCH($A2962,EXTRATO!$A$2:$A$3000,0))))</f>
        <v/>
      </c>
      <c r="J2962" s="86" t="str">
        <f t="shared" si="79"/>
        <v/>
      </c>
      <c r="K2962" s="86" t="str">
        <f>IF(AND(A2962="",D2962="",E2962="",F2962=""),"",IF(D2962="","SEM CATEGORIA",IF(E2962="","SEM SUBCATEGORIA",IF(COUNTIFS(CADASTROS!$L$7:$L$93,D2962,CADASTROS!$D$7:$D$93,E2962)=0,"INCOMPATÍVEL","OK"))))</f>
        <v/>
      </c>
    </row>
    <row r="2963" spans="1:11" ht="30" hidden="1" customHeight="1" x14ac:dyDescent="0.25">
      <c r="A2963" s="86" t="str">
        <f>IF(COUNTIF(EXTRATO!$A$2:$A$3000,"BAN-02820")=0,"","BAN-02820")</f>
        <v/>
      </c>
      <c r="B2963" s="85" t="str">
        <f>IF(A2963="","",IF(INDEX(EXTRATO!$C$2:$C$3000,MATCH($A2963,EXTRATO!$A$2:$A$3000,0))="","",INDEX(EXTRATO!$C$2:$C$3000,MATCH($A2963,EXTRATO!$A$2:$A$3000,0))))</f>
        <v/>
      </c>
      <c r="C2963" s="86" t="str">
        <f t="shared" si="78"/>
        <v/>
      </c>
      <c r="D2963" s="81"/>
      <c r="E2963" s="79"/>
      <c r="F2963" s="80" t="str">
        <f>IF(A2963="","",SUMIF(EXTRATO!$A$2:$A$3000,$A2963,EXTRATO!$J$2:$J$3000)+SUMIF(EXTRATO!$A$2:$A$3000,$A2963,EXTRATO!$K$2:$K$3000)+SUMIF(EXTRATO!$A$2:$A$3000,$A2963,EXTRATO!$L$2:$L$3000)+SUMIF(EXTRATO!$A$2:$A$3000,$A2963,EXTRATO!$M$2:$M$3000))</f>
        <v/>
      </c>
      <c r="G2963" s="81" t="str">
        <f>IF(A2963="","",IF(INDEX(EXTRATO!$G$2:$G$3000,MATCH($A2963,EXTRATO!$A$2:$A$3000,0))="","",INDEX(EXTRATO!$G$2:$G$3000,MATCH($A2963,EXTRATO!$A$2:$A$3000,0))))</f>
        <v/>
      </c>
      <c r="H2963" s="86" t="str">
        <f>IF(A2963="","",IF(INDEX(EXTRATO!$F$2:$F$3000,MATCH($A2963,EXTRATO!$A$2:$A$3000,0))="","",INDEX(EXTRATO!$F$2:$F$3000,MATCH($A2963,EXTRATO!$A$2:$A$3000,0))))</f>
        <v/>
      </c>
      <c r="I2963" s="88" t="str">
        <f>IF(A2963="","",IF(INDEX(EXTRATO!$H$2:$H$3000,MATCH($A2963,EXTRATO!$A$2:$A$3000,0))="","",INDEX(EXTRATO!$H$2:$H$3000,MATCH($A2963,EXTRATO!$A$2:$A$3000,0))))</f>
        <v/>
      </c>
      <c r="J2963" s="86" t="str">
        <f t="shared" si="79"/>
        <v/>
      </c>
      <c r="K2963" s="86" t="str">
        <f>IF(AND(A2963="",D2963="",E2963="",F2963=""),"",IF(D2963="","SEM CATEGORIA",IF(E2963="","SEM SUBCATEGORIA",IF(COUNTIFS(CADASTROS!$L$7:$L$93,D2963,CADASTROS!$D$7:$D$93,E2963)=0,"INCOMPATÍVEL","OK"))))</f>
        <v/>
      </c>
    </row>
    <row r="2964" spans="1:11" ht="30" hidden="1" customHeight="1" x14ac:dyDescent="0.25">
      <c r="A2964" s="86" t="str">
        <f>IF(COUNTIF(EXTRATO!$A$2:$A$3000,"BAN-02821")=0,"","BAN-02821")</f>
        <v/>
      </c>
      <c r="B2964" s="85" t="str">
        <f>IF(A2964="","",IF(INDEX(EXTRATO!$C$2:$C$3000,MATCH($A2964,EXTRATO!$A$2:$A$3000,0))="","",INDEX(EXTRATO!$C$2:$C$3000,MATCH($A2964,EXTRATO!$A$2:$A$3000,0))))</f>
        <v/>
      </c>
      <c r="C2964" s="86" t="str">
        <f t="shared" si="78"/>
        <v/>
      </c>
      <c r="D2964" s="81"/>
      <c r="E2964" s="79"/>
      <c r="F2964" s="80" t="str">
        <f>IF(A2964="","",SUMIF(EXTRATO!$A$2:$A$3000,$A2964,EXTRATO!$J$2:$J$3000)+SUMIF(EXTRATO!$A$2:$A$3000,$A2964,EXTRATO!$K$2:$K$3000)+SUMIF(EXTRATO!$A$2:$A$3000,$A2964,EXTRATO!$L$2:$L$3000)+SUMIF(EXTRATO!$A$2:$A$3000,$A2964,EXTRATO!$M$2:$M$3000))</f>
        <v/>
      </c>
      <c r="G2964" s="81" t="str">
        <f>IF(A2964="","",IF(INDEX(EXTRATO!$G$2:$G$3000,MATCH($A2964,EXTRATO!$A$2:$A$3000,0))="","",INDEX(EXTRATO!$G$2:$G$3000,MATCH($A2964,EXTRATO!$A$2:$A$3000,0))))</f>
        <v/>
      </c>
      <c r="H2964" s="86" t="str">
        <f>IF(A2964="","",IF(INDEX(EXTRATO!$F$2:$F$3000,MATCH($A2964,EXTRATO!$A$2:$A$3000,0))="","",INDEX(EXTRATO!$F$2:$F$3000,MATCH($A2964,EXTRATO!$A$2:$A$3000,0))))</f>
        <v/>
      </c>
      <c r="I2964" s="88" t="str">
        <f>IF(A2964="","",IF(INDEX(EXTRATO!$H$2:$H$3000,MATCH($A2964,EXTRATO!$A$2:$A$3000,0))="","",INDEX(EXTRATO!$H$2:$H$3000,MATCH($A2964,EXTRATO!$A$2:$A$3000,0))))</f>
        <v/>
      </c>
      <c r="J2964" s="86" t="str">
        <f t="shared" si="79"/>
        <v/>
      </c>
      <c r="K2964" s="86" t="str">
        <f>IF(AND(A2964="",D2964="",E2964="",F2964=""),"",IF(D2964="","SEM CATEGORIA",IF(E2964="","SEM SUBCATEGORIA",IF(COUNTIFS(CADASTROS!$L$7:$L$93,D2964,CADASTROS!$D$7:$D$93,E2964)=0,"INCOMPATÍVEL","OK"))))</f>
        <v/>
      </c>
    </row>
    <row r="2965" spans="1:11" ht="30" hidden="1" customHeight="1" x14ac:dyDescent="0.25">
      <c r="A2965" s="86" t="str">
        <f>IF(COUNTIF(EXTRATO!$A$2:$A$3000,"BAN-02822")=0,"","BAN-02822")</f>
        <v/>
      </c>
      <c r="B2965" s="85" t="str">
        <f>IF(A2965="","",IF(INDEX(EXTRATO!$C$2:$C$3000,MATCH($A2965,EXTRATO!$A$2:$A$3000,0))="","",INDEX(EXTRATO!$C$2:$C$3000,MATCH($A2965,EXTRATO!$A$2:$A$3000,0))))</f>
        <v/>
      </c>
      <c r="C2965" s="86" t="str">
        <f t="shared" ref="C2965:C3028" si="80">IF(B2965="","",MONTH(B2965))</f>
        <v/>
      </c>
      <c r="D2965" s="81"/>
      <c r="E2965" s="79"/>
      <c r="F2965" s="80" t="str">
        <f>IF(A2965="","",SUMIF(EXTRATO!$A$2:$A$3000,$A2965,EXTRATO!$J$2:$J$3000)+SUMIF(EXTRATO!$A$2:$A$3000,$A2965,EXTRATO!$K$2:$K$3000)+SUMIF(EXTRATO!$A$2:$A$3000,$A2965,EXTRATO!$L$2:$L$3000)+SUMIF(EXTRATO!$A$2:$A$3000,$A2965,EXTRATO!$M$2:$M$3000))</f>
        <v/>
      </c>
      <c r="G2965" s="81" t="str">
        <f>IF(A2965="","",IF(INDEX(EXTRATO!$G$2:$G$3000,MATCH($A2965,EXTRATO!$A$2:$A$3000,0))="","",INDEX(EXTRATO!$G$2:$G$3000,MATCH($A2965,EXTRATO!$A$2:$A$3000,0))))</f>
        <v/>
      </c>
      <c r="H2965" s="86" t="str">
        <f>IF(A2965="","",IF(INDEX(EXTRATO!$F$2:$F$3000,MATCH($A2965,EXTRATO!$A$2:$A$3000,0))="","",INDEX(EXTRATO!$F$2:$F$3000,MATCH($A2965,EXTRATO!$A$2:$A$3000,0))))</f>
        <v/>
      </c>
      <c r="I2965" s="88" t="str">
        <f>IF(A2965="","",IF(INDEX(EXTRATO!$H$2:$H$3000,MATCH($A2965,EXTRATO!$A$2:$A$3000,0))="","",INDEX(EXTRATO!$H$2:$H$3000,MATCH($A2965,EXTRATO!$A$2:$A$3000,0))))</f>
        <v/>
      </c>
      <c r="J2965" s="86" t="str">
        <f t="shared" si="79"/>
        <v/>
      </c>
      <c r="K2965" s="86" t="str">
        <f>IF(AND(A2965="",D2965="",E2965="",F2965=""),"",IF(D2965="","SEM CATEGORIA",IF(E2965="","SEM SUBCATEGORIA",IF(COUNTIFS(CADASTROS!$L$7:$L$93,D2965,CADASTROS!$D$7:$D$93,E2965)=0,"INCOMPATÍVEL","OK"))))</f>
        <v/>
      </c>
    </row>
    <row r="2966" spans="1:11" ht="30" hidden="1" customHeight="1" x14ac:dyDescent="0.25">
      <c r="A2966" s="86" t="str">
        <f>IF(COUNTIF(EXTRATO!$A$2:$A$3000,"BAN-02823")=0,"","BAN-02823")</f>
        <v/>
      </c>
      <c r="B2966" s="85" t="str">
        <f>IF(A2966="","",IF(INDEX(EXTRATO!$C$2:$C$3000,MATCH($A2966,EXTRATO!$A$2:$A$3000,0))="","",INDEX(EXTRATO!$C$2:$C$3000,MATCH($A2966,EXTRATO!$A$2:$A$3000,0))))</f>
        <v/>
      </c>
      <c r="C2966" s="86" t="str">
        <f t="shared" si="80"/>
        <v/>
      </c>
      <c r="D2966" s="81"/>
      <c r="E2966" s="79"/>
      <c r="F2966" s="80" t="str">
        <f>IF(A2966="","",SUMIF(EXTRATO!$A$2:$A$3000,$A2966,EXTRATO!$J$2:$J$3000)+SUMIF(EXTRATO!$A$2:$A$3000,$A2966,EXTRATO!$K$2:$K$3000)+SUMIF(EXTRATO!$A$2:$A$3000,$A2966,EXTRATO!$L$2:$L$3000)+SUMIF(EXTRATO!$A$2:$A$3000,$A2966,EXTRATO!$M$2:$M$3000))</f>
        <v/>
      </c>
      <c r="G2966" s="81" t="str">
        <f>IF(A2966="","",IF(INDEX(EXTRATO!$G$2:$G$3000,MATCH($A2966,EXTRATO!$A$2:$A$3000,0))="","",INDEX(EXTRATO!$G$2:$G$3000,MATCH($A2966,EXTRATO!$A$2:$A$3000,0))))</f>
        <v/>
      </c>
      <c r="H2966" s="86" t="str">
        <f>IF(A2966="","",IF(INDEX(EXTRATO!$F$2:$F$3000,MATCH($A2966,EXTRATO!$A$2:$A$3000,0))="","",INDEX(EXTRATO!$F$2:$F$3000,MATCH($A2966,EXTRATO!$A$2:$A$3000,0))))</f>
        <v/>
      </c>
      <c r="I2966" s="88" t="str">
        <f>IF(A2966="","",IF(INDEX(EXTRATO!$H$2:$H$3000,MATCH($A2966,EXTRATO!$A$2:$A$3000,0))="","",INDEX(EXTRATO!$H$2:$H$3000,MATCH($A2966,EXTRATO!$A$2:$A$3000,0))))</f>
        <v/>
      </c>
      <c r="J2966" s="86" t="str">
        <f t="shared" si="79"/>
        <v/>
      </c>
      <c r="K2966" s="86" t="str">
        <f>IF(AND(A2966="",D2966="",E2966="",F2966=""),"",IF(D2966="","SEM CATEGORIA",IF(E2966="","SEM SUBCATEGORIA",IF(COUNTIFS(CADASTROS!$L$7:$L$93,D2966,CADASTROS!$D$7:$D$93,E2966)=0,"INCOMPATÍVEL","OK"))))</f>
        <v/>
      </c>
    </row>
    <row r="2967" spans="1:11" ht="30" hidden="1" customHeight="1" x14ac:dyDescent="0.25">
      <c r="A2967" s="86" t="str">
        <f>IF(COUNTIF(EXTRATO!$A$2:$A$3000,"BAN-02824")=0,"","BAN-02824")</f>
        <v/>
      </c>
      <c r="B2967" s="85" t="str">
        <f>IF(A2967="","",IF(INDEX(EXTRATO!$C$2:$C$3000,MATCH($A2967,EXTRATO!$A$2:$A$3000,0))="","",INDEX(EXTRATO!$C$2:$C$3000,MATCH($A2967,EXTRATO!$A$2:$A$3000,0))))</f>
        <v/>
      </c>
      <c r="C2967" s="86" t="str">
        <f t="shared" si="80"/>
        <v/>
      </c>
      <c r="D2967" s="81"/>
      <c r="E2967" s="79"/>
      <c r="F2967" s="80" t="str">
        <f>IF(A2967="","",SUMIF(EXTRATO!$A$2:$A$3000,$A2967,EXTRATO!$J$2:$J$3000)+SUMIF(EXTRATO!$A$2:$A$3000,$A2967,EXTRATO!$K$2:$K$3000)+SUMIF(EXTRATO!$A$2:$A$3000,$A2967,EXTRATO!$L$2:$L$3000)+SUMIF(EXTRATO!$A$2:$A$3000,$A2967,EXTRATO!$M$2:$M$3000))</f>
        <v/>
      </c>
      <c r="G2967" s="81" t="str">
        <f>IF(A2967="","",IF(INDEX(EXTRATO!$G$2:$G$3000,MATCH($A2967,EXTRATO!$A$2:$A$3000,0))="","",INDEX(EXTRATO!$G$2:$G$3000,MATCH($A2967,EXTRATO!$A$2:$A$3000,0))))</f>
        <v/>
      </c>
      <c r="H2967" s="86" t="str">
        <f>IF(A2967="","",IF(INDEX(EXTRATO!$F$2:$F$3000,MATCH($A2967,EXTRATO!$A$2:$A$3000,0))="","",INDEX(EXTRATO!$F$2:$F$3000,MATCH($A2967,EXTRATO!$A$2:$A$3000,0))))</f>
        <v/>
      </c>
      <c r="I2967" s="88" t="str">
        <f>IF(A2967="","",IF(INDEX(EXTRATO!$H$2:$H$3000,MATCH($A2967,EXTRATO!$A$2:$A$3000,0))="","",INDEX(EXTRATO!$H$2:$H$3000,MATCH($A2967,EXTRATO!$A$2:$A$3000,0))))</f>
        <v/>
      </c>
      <c r="J2967" s="86" t="str">
        <f t="shared" si="79"/>
        <v/>
      </c>
      <c r="K2967" s="86" t="str">
        <f>IF(AND(A2967="",D2967="",E2967="",F2967=""),"",IF(D2967="","SEM CATEGORIA",IF(E2967="","SEM SUBCATEGORIA",IF(COUNTIFS(CADASTROS!$L$7:$L$93,D2967,CADASTROS!$D$7:$D$93,E2967)=0,"INCOMPATÍVEL","OK"))))</f>
        <v/>
      </c>
    </row>
    <row r="2968" spans="1:11" ht="30" hidden="1" customHeight="1" x14ac:dyDescent="0.25">
      <c r="A2968" s="86" t="str">
        <f>IF(COUNTIF(EXTRATO!$A$2:$A$3000,"BAN-02825")=0,"","BAN-02825")</f>
        <v/>
      </c>
      <c r="B2968" s="85" t="str">
        <f>IF(A2968="","",IF(INDEX(EXTRATO!$C$2:$C$3000,MATCH($A2968,EXTRATO!$A$2:$A$3000,0))="","",INDEX(EXTRATO!$C$2:$C$3000,MATCH($A2968,EXTRATO!$A$2:$A$3000,0))))</f>
        <v/>
      </c>
      <c r="C2968" s="86" t="str">
        <f t="shared" si="80"/>
        <v/>
      </c>
      <c r="D2968" s="81"/>
      <c r="E2968" s="79"/>
      <c r="F2968" s="80" t="str">
        <f>IF(A2968="","",SUMIF(EXTRATO!$A$2:$A$3000,$A2968,EXTRATO!$J$2:$J$3000)+SUMIF(EXTRATO!$A$2:$A$3000,$A2968,EXTRATO!$K$2:$K$3000)+SUMIF(EXTRATO!$A$2:$A$3000,$A2968,EXTRATO!$L$2:$L$3000)+SUMIF(EXTRATO!$A$2:$A$3000,$A2968,EXTRATO!$M$2:$M$3000))</f>
        <v/>
      </c>
      <c r="G2968" s="81" t="str">
        <f>IF(A2968="","",IF(INDEX(EXTRATO!$G$2:$G$3000,MATCH($A2968,EXTRATO!$A$2:$A$3000,0))="","",INDEX(EXTRATO!$G$2:$G$3000,MATCH($A2968,EXTRATO!$A$2:$A$3000,0))))</f>
        <v/>
      </c>
      <c r="H2968" s="86" t="str">
        <f>IF(A2968="","",IF(INDEX(EXTRATO!$F$2:$F$3000,MATCH($A2968,EXTRATO!$A$2:$A$3000,0))="","",INDEX(EXTRATO!$F$2:$F$3000,MATCH($A2968,EXTRATO!$A$2:$A$3000,0))))</f>
        <v/>
      </c>
      <c r="I2968" s="88" t="str">
        <f>IF(A2968="","",IF(INDEX(EXTRATO!$H$2:$H$3000,MATCH($A2968,EXTRATO!$A$2:$A$3000,0))="","",INDEX(EXTRATO!$H$2:$H$3000,MATCH($A2968,EXTRATO!$A$2:$A$3000,0))))</f>
        <v/>
      </c>
      <c r="J2968" s="86" t="str">
        <f t="shared" si="79"/>
        <v/>
      </c>
      <c r="K2968" s="86" t="str">
        <f>IF(AND(A2968="",D2968="",E2968="",F2968=""),"",IF(D2968="","SEM CATEGORIA",IF(E2968="","SEM SUBCATEGORIA",IF(COUNTIFS(CADASTROS!$L$7:$L$93,D2968,CADASTROS!$D$7:$D$93,E2968)=0,"INCOMPATÍVEL","OK"))))</f>
        <v/>
      </c>
    </row>
    <row r="2969" spans="1:11" ht="30" hidden="1" customHeight="1" x14ac:dyDescent="0.25">
      <c r="A2969" s="86" t="str">
        <f>IF(COUNTIF(EXTRATO!$A$2:$A$3000,"BAN-02826")=0,"","BAN-02826")</f>
        <v/>
      </c>
      <c r="B2969" s="85" t="str">
        <f>IF(A2969="","",IF(INDEX(EXTRATO!$C$2:$C$3000,MATCH($A2969,EXTRATO!$A$2:$A$3000,0))="","",INDEX(EXTRATO!$C$2:$C$3000,MATCH($A2969,EXTRATO!$A$2:$A$3000,0))))</f>
        <v/>
      </c>
      <c r="C2969" s="86" t="str">
        <f t="shared" si="80"/>
        <v/>
      </c>
      <c r="D2969" s="81"/>
      <c r="E2969" s="79"/>
      <c r="F2969" s="80" t="str">
        <f>IF(A2969="","",SUMIF(EXTRATO!$A$2:$A$3000,$A2969,EXTRATO!$J$2:$J$3000)+SUMIF(EXTRATO!$A$2:$A$3000,$A2969,EXTRATO!$K$2:$K$3000)+SUMIF(EXTRATO!$A$2:$A$3000,$A2969,EXTRATO!$L$2:$L$3000)+SUMIF(EXTRATO!$A$2:$A$3000,$A2969,EXTRATO!$M$2:$M$3000))</f>
        <v/>
      </c>
      <c r="G2969" s="81" t="str">
        <f>IF(A2969="","",IF(INDEX(EXTRATO!$G$2:$G$3000,MATCH($A2969,EXTRATO!$A$2:$A$3000,0))="","",INDEX(EXTRATO!$G$2:$G$3000,MATCH($A2969,EXTRATO!$A$2:$A$3000,0))))</f>
        <v/>
      </c>
      <c r="H2969" s="86" t="str">
        <f>IF(A2969="","",IF(INDEX(EXTRATO!$F$2:$F$3000,MATCH($A2969,EXTRATO!$A$2:$A$3000,0))="","",INDEX(EXTRATO!$F$2:$F$3000,MATCH($A2969,EXTRATO!$A$2:$A$3000,0))))</f>
        <v/>
      </c>
      <c r="I2969" s="88" t="str">
        <f>IF(A2969="","",IF(INDEX(EXTRATO!$H$2:$H$3000,MATCH($A2969,EXTRATO!$A$2:$A$3000,0))="","",INDEX(EXTRATO!$H$2:$H$3000,MATCH($A2969,EXTRATO!$A$2:$A$3000,0))))</f>
        <v/>
      </c>
      <c r="J2969" s="86" t="str">
        <f t="shared" si="79"/>
        <v/>
      </c>
      <c r="K2969" s="86" t="str">
        <f>IF(AND(A2969="",D2969="",E2969="",F2969=""),"",IF(D2969="","SEM CATEGORIA",IF(E2969="","SEM SUBCATEGORIA",IF(COUNTIFS(CADASTROS!$L$7:$L$93,D2969,CADASTROS!$D$7:$D$93,E2969)=0,"INCOMPATÍVEL","OK"))))</f>
        <v/>
      </c>
    </row>
    <row r="2970" spans="1:11" ht="30" hidden="1" customHeight="1" x14ac:dyDescent="0.25">
      <c r="A2970" s="86" t="str">
        <f>IF(COUNTIF(EXTRATO!$A$2:$A$3000,"BAN-02827")=0,"","BAN-02827")</f>
        <v/>
      </c>
      <c r="B2970" s="85" t="str">
        <f>IF(A2970="","",IF(INDEX(EXTRATO!$C$2:$C$3000,MATCH($A2970,EXTRATO!$A$2:$A$3000,0))="","",INDEX(EXTRATO!$C$2:$C$3000,MATCH($A2970,EXTRATO!$A$2:$A$3000,0))))</f>
        <v/>
      </c>
      <c r="C2970" s="86" t="str">
        <f t="shared" si="80"/>
        <v/>
      </c>
      <c r="D2970" s="81"/>
      <c r="E2970" s="79"/>
      <c r="F2970" s="80" t="str">
        <f>IF(A2970="","",SUMIF(EXTRATO!$A$2:$A$3000,$A2970,EXTRATO!$J$2:$J$3000)+SUMIF(EXTRATO!$A$2:$A$3000,$A2970,EXTRATO!$K$2:$K$3000)+SUMIF(EXTRATO!$A$2:$A$3000,$A2970,EXTRATO!$L$2:$L$3000)+SUMIF(EXTRATO!$A$2:$A$3000,$A2970,EXTRATO!$M$2:$M$3000))</f>
        <v/>
      </c>
      <c r="G2970" s="81" t="str">
        <f>IF(A2970="","",IF(INDEX(EXTRATO!$G$2:$G$3000,MATCH($A2970,EXTRATO!$A$2:$A$3000,0))="","",INDEX(EXTRATO!$G$2:$G$3000,MATCH($A2970,EXTRATO!$A$2:$A$3000,0))))</f>
        <v/>
      </c>
      <c r="H2970" s="86" t="str">
        <f>IF(A2970="","",IF(INDEX(EXTRATO!$F$2:$F$3000,MATCH($A2970,EXTRATO!$A$2:$A$3000,0))="","",INDEX(EXTRATO!$F$2:$F$3000,MATCH($A2970,EXTRATO!$A$2:$A$3000,0))))</f>
        <v/>
      </c>
      <c r="I2970" s="88" t="str">
        <f>IF(A2970="","",IF(INDEX(EXTRATO!$H$2:$H$3000,MATCH($A2970,EXTRATO!$A$2:$A$3000,0))="","",INDEX(EXTRATO!$H$2:$H$3000,MATCH($A2970,EXTRATO!$A$2:$A$3000,0))))</f>
        <v/>
      </c>
      <c r="J2970" s="86" t="str">
        <f t="shared" si="79"/>
        <v/>
      </c>
      <c r="K2970" s="86" t="str">
        <f>IF(AND(A2970="",D2970="",E2970="",F2970=""),"",IF(D2970="","SEM CATEGORIA",IF(E2970="","SEM SUBCATEGORIA",IF(COUNTIFS(CADASTROS!$L$7:$L$93,D2970,CADASTROS!$D$7:$D$93,E2970)=0,"INCOMPATÍVEL","OK"))))</f>
        <v/>
      </c>
    </row>
    <row r="2971" spans="1:11" ht="30" hidden="1" customHeight="1" x14ac:dyDescent="0.25">
      <c r="A2971" s="86" t="str">
        <f>IF(COUNTIF(EXTRATO!$A$2:$A$3000,"BAN-02828")=0,"","BAN-02828")</f>
        <v/>
      </c>
      <c r="B2971" s="85" t="str">
        <f>IF(A2971="","",IF(INDEX(EXTRATO!$C$2:$C$3000,MATCH($A2971,EXTRATO!$A$2:$A$3000,0))="","",INDEX(EXTRATO!$C$2:$C$3000,MATCH($A2971,EXTRATO!$A$2:$A$3000,0))))</f>
        <v/>
      </c>
      <c r="C2971" s="86" t="str">
        <f t="shared" si="80"/>
        <v/>
      </c>
      <c r="D2971" s="81"/>
      <c r="E2971" s="79"/>
      <c r="F2971" s="80" t="str">
        <f>IF(A2971="","",SUMIF(EXTRATO!$A$2:$A$3000,$A2971,EXTRATO!$J$2:$J$3000)+SUMIF(EXTRATO!$A$2:$A$3000,$A2971,EXTRATO!$K$2:$K$3000)+SUMIF(EXTRATO!$A$2:$A$3000,$A2971,EXTRATO!$L$2:$L$3000)+SUMIF(EXTRATO!$A$2:$A$3000,$A2971,EXTRATO!$M$2:$M$3000))</f>
        <v/>
      </c>
      <c r="G2971" s="81" t="str">
        <f>IF(A2971="","",IF(INDEX(EXTRATO!$G$2:$G$3000,MATCH($A2971,EXTRATO!$A$2:$A$3000,0))="","",INDEX(EXTRATO!$G$2:$G$3000,MATCH($A2971,EXTRATO!$A$2:$A$3000,0))))</f>
        <v/>
      </c>
      <c r="H2971" s="86" t="str">
        <f>IF(A2971="","",IF(INDEX(EXTRATO!$F$2:$F$3000,MATCH($A2971,EXTRATO!$A$2:$A$3000,0))="","",INDEX(EXTRATO!$F$2:$F$3000,MATCH($A2971,EXTRATO!$A$2:$A$3000,0))))</f>
        <v/>
      </c>
      <c r="I2971" s="88" t="str">
        <f>IF(A2971="","",IF(INDEX(EXTRATO!$H$2:$H$3000,MATCH($A2971,EXTRATO!$A$2:$A$3000,0))="","",INDEX(EXTRATO!$H$2:$H$3000,MATCH($A2971,EXTRATO!$A$2:$A$3000,0))))</f>
        <v/>
      </c>
      <c r="J2971" s="86" t="str">
        <f t="shared" si="79"/>
        <v/>
      </c>
      <c r="K2971" s="86" t="str">
        <f>IF(AND(A2971="",D2971="",E2971="",F2971=""),"",IF(D2971="","SEM CATEGORIA",IF(E2971="","SEM SUBCATEGORIA",IF(COUNTIFS(CADASTROS!$L$7:$L$93,D2971,CADASTROS!$D$7:$D$93,E2971)=0,"INCOMPATÍVEL","OK"))))</f>
        <v/>
      </c>
    </row>
    <row r="2972" spans="1:11" ht="30" hidden="1" customHeight="1" x14ac:dyDescent="0.25">
      <c r="A2972" s="86" t="str">
        <f>IF(COUNTIF(EXTRATO!$A$2:$A$3000,"BAN-02829")=0,"","BAN-02829")</f>
        <v/>
      </c>
      <c r="B2972" s="85" t="str">
        <f>IF(A2972="","",IF(INDEX(EXTRATO!$C$2:$C$3000,MATCH($A2972,EXTRATO!$A$2:$A$3000,0))="","",INDEX(EXTRATO!$C$2:$C$3000,MATCH($A2972,EXTRATO!$A$2:$A$3000,0))))</f>
        <v/>
      </c>
      <c r="C2972" s="86" t="str">
        <f t="shared" si="80"/>
        <v/>
      </c>
      <c r="D2972" s="81"/>
      <c r="E2972" s="79"/>
      <c r="F2972" s="80" t="str">
        <f>IF(A2972="","",SUMIF(EXTRATO!$A$2:$A$3000,$A2972,EXTRATO!$J$2:$J$3000)+SUMIF(EXTRATO!$A$2:$A$3000,$A2972,EXTRATO!$K$2:$K$3000)+SUMIF(EXTRATO!$A$2:$A$3000,$A2972,EXTRATO!$L$2:$L$3000)+SUMIF(EXTRATO!$A$2:$A$3000,$A2972,EXTRATO!$M$2:$M$3000))</f>
        <v/>
      </c>
      <c r="G2972" s="81" t="str">
        <f>IF(A2972="","",IF(INDEX(EXTRATO!$G$2:$G$3000,MATCH($A2972,EXTRATO!$A$2:$A$3000,0))="","",INDEX(EXTRATO!$G$2:$G$3000,MATCH($A2972,EXTRATO!$A$2:$A$3000,0))))</f>
        <v/>
      </c>
      <c r="H2972" s="86" t="str">
        <f>IF(A2972="","",IF(INDEX(EXTRATO!$F$2:$F$3000,MATCH($A2972,EXTRATO!$A$2:$A$3000,0))="","",INDEX(EXTRATO!$F$2:$F$3000,MATCH($A2972,EXTRATO!$A$2:$A$3000,0))))</f>
        <v/>
      </c>
      <c r="I2972" s="88" t="str">
        <f>IF(A2972="","",IF(INDEX(EXTRATO!$H$2:$H$3000,MATCH($A2972,EXTRATO!$A$2:$A$3000,0))="","",INDEX(EXTRATO!$H$2:$H$3000,MATCH($A2972,EXTRATO!$A$2:$A$3000,0))))</f>
        <v/>
      </c>
      <c r="J2972" s="86" t="str">
        <f t="shared" si="79"/>
        <v/>
      </c>
      <c r="K2972" s="86" t="str">
        <f>IF(AND(A2972="",D2972="",E2972="",F2972=""),"",IF(D2972="","SEM CATEGORIA",IF(E2972="","SEM SUBCATEGORIA",IF(COUNTIFS(CADASTROS!$L$7:$L$93,D2972,CADASTROS!$D$7:$D$93,E2972)=0,"INCOMPATÍVEL","OK"))))</f>
        <v/>
      </c>
    </row>
    <row r="2973" spans="1:11" ht="30" hidden="1" customHeight="1" x14ac:dyDescent="0.25">
      <c r="A2973" s="86" t="str">
        <f>IF(COUNTIF(EXTRATO!$A$2:$A$3000,"BAN-02830")=0,"","BAN-02830")</f>
        <v/>
      </c>
      <c r="B2973" s="85" t="str">
        <f>IF(A2973="","",IF(INDEX(EXTRATO!$C$2:$C$3000,MATCH($A2973,EXTRATO!$A$2:$A$3000,0))="","",INDEX(EXTRATO!$C$2:$C$3000,MATCH($A2973,EXTRATO!$A$2:$A$3000,0))))</f>
        <v/>
      </c>
      <c r="C2973" s="86" t="str">
        <f t="shared" si="80"/>
        <v/>
      </c>
      <c r="D2973" s="81"/>
      <c r="E2973" s="79"/>
      <c r="F2973" s="80" t="str">
        <f>IF(A2973="","",SUMIF(EXTRATO!$A$2:$A$3000,$A2973,EXTRATO!$J$2:$J$3000)+SUMIF(EXTRATO!$A$2:$A$3000,$A2973,EXTRATO!$K$2:$K$3000)+SUMIF(EXTRATO!$A$2:$A$3000,$A2973,EXTRATO!$L$2:$L$3000)+SUMIF(EXTRATO!$A$2:$A$3000,$A2973,EXTRATO!$M$2:$M$3000))</f>
        <v/>
      </c>
      <c r="G2973" s="81" t="str">
        <f>IF(A2973="","",IF(INDEX(EXTRATO!$G$2:$G$3000,MATCH($A2973,EXTRATO!$A$2:$A$3000,0))="","",INDEX(EXTRATO!$G$2:$G$3000,MATCH($A2973,EXTRATO!$A$2:$A$3000,0))))</f>
        <v/>
      </c>
      <c r="H2973" s="86" t="str">
        <f>IF(A2973="","",IF(INDEX(EXTRATO!$F$2:$F$3000,MATCH($A2973,EXTRATO!$A$2:$A$3000,0))="","",INDEX(EXTRATO!$F$2:$F$3000,MATCH($A2973,EXTRATO!$A$2:$A$3000,0))))</f>
        <v/>
      </c>
      <c r="I2973" s="88" t="str">
        <f>IF(A2973="","",IF(INDEX(EXTRATO!$H$2:$H$3000,MATCH($A2973,EXTRATO!$A$2:$A$3000,0))="","",INDEX(EXTRATO!$H$2:$H$3000,MATCH($A2973,EXTRATO!$A$2:$A$3000,0))))</f>
        <v/>
      </c>
      <c r="J2973" s="86" t="str">
        <f t="shared" si="79"/>
        <v/>
      </c>
      <c r="K2973" s="86" t="str">
        <f>IF(AND(A2973="",D2973="",E2973="",F2973=""),"",IF(D2973="","SEM CATEGORIA",IF(E2973="","SEM SUBCATEGORIA",IF(COUNTIFS(CADASTROS!$L$7:$L$93,D2973,CADASTROS!$D$7:$D$93,E2973)=0,"INCOMPATÍVEL","OK"))))</f>
        <v/>
      </c>
    </row>
    <row r="2974" spans="1:11" ht="30" hidden="1" customHeight="1" x14ac:dyDescent="0.25">
      <c r="A2974" s="86" t="str">
        <f>IF(COUNTIF(EXTRATO!$A$2:$A$3000,"BAN-02831")=0,"","BAN-02831")</f>
        <v/>
      </c>
      <c r="B2974" s="85" t="str">
        <f>IF(A2974="","",IF(INDEX(EXTRATO!$C$2:$C$3000,MATCH($A2974,EXTRATO!$A$2:$A$3000,0))="","",INDEX(EXTRATO!$C$2:$C$3000,MATCH($A2974,EXTRATO!$A$2:$A$3000,0))))</f>
        <v/>
      </c>
      <c r="C2974" s="86" t="str">
        <f t="shared" si="80"/>
        <v/>
      </c>
      <c r="D2974" s="81"/>
      <c r="E2974" s="79"/>
      <c r="F2974" s="80" t="str">
        <f>IF(A2974="","",SUMIF(EXTRATO!$A$2:$A$3000,$A2974,EXTRATO!$J$2:$J$3000)+SUMIF(EXTRATO!$A$2:$A$3000,$A2974,EXTRATO!$K$2:$K$3000)+SUMIF(EXTRATO!$A$2:$A$3000,$A2974,EXTRATO!$L$2:$L$3000)+SUMIF(EXTRATO!$A$2:$A$3000,$A2974,EXTRATO!$M$2:$M$3000))</f>
        <v/>
      </c>
      <c r="G2974" s="81" t="str">
        <f>IF(A2974="","",IF(INDEX(EXTRATO!$G$2:$G$3000,MATCH($A2974,EXTRATO!$A$2:$A$3000,0))="","",INDEX(EXTRATO!$G$2:$G$3000,MATCH($A2974,EXTRATO!$A$2:$A$3000,0))))</f>
        <v/>
      </c>
      <c r="H2974" s="86" t="str">
        <f>IF(A2974="","",IF(INDEX(EXTRATO!$F$2:$F$3000,MATCH($A2974,EXTRATO!$A$2:$A$3000,0))="","",INDEX(EXTRATO!$F$2:$F$3000,MATCH($A2974,EXTRATO!$A$2:$A$3000,0))))</f>
        <v/>
      </c>
      <c r="I2974" s="88" t="str">
        <f>IF(A2974="","",IF(INDEX(EXTRATO!$H$2:$H$3000,MATCH($A2974,EXTRATO!$A$2:$A$3000,0))="","",INDEX(EXTRATO!$H$2:$H$3000,MATCH($A2974,EXTRATO!$A$2:$A$3000,0))))</f>
        <v/>
      </c>
      <c r="J2974" s="86" t="str">
        <f t="shared" si="79"/>
        <v/>
      </c>
      <c r="K2974" s="86" t="str">
        <f>IF(AND(A2974="",D2974="",E2974="",F2974=""),"",IF(D2974="","SEM CATEGORIA",IF(E2974="","SEM SUBCATEGORIA",IF(COUNTIFS(CADASTROS!$L$7:$L$93,D2974,CADASTROS!$D$7:$D$93,E2974)=0,"INCOMPATÍVEL","OK"))))</f>
        <v/>
      </c>
    </row>
    <row r="2975" spans="1:11" ht="30" hidden="1" customHeight="1" x14ac:dyDescent="0.25">
      <c r="A2975" s="86" t="str">
        <f>IF(COUNTIF(EXTRATO!$A$2:$A$3000,"BAN-02832")=0,"","BAN-02832")</f>
        <v/>
      </c>
      <c r="B2975" s="85" t="str">
        <f>IF(A2975="","",IF(INDEX(EXTRATO!$C$2:$C$3000,MATCH($A2975,EXTRATO!$A$2:$A$3000,0))="","",INDEX(EXTRATO!$C$2:$C$3000,MATCH($A2975,EXTRATO!$A$2:$A$3000,0))))</f>
        <v/>
      </c>
      <c r="C2975" s="86" t="str">
        <f t="shared" si="80"/>
        <v/>
      </c>
      <c r="D2975" s="81"/>
      <c r="E2975" s="79"/>
      <c r="F2975" s="80" t="str">
        <f>IF(A2975="","",SUMIF(EXTRATO!$A$2:$A$3000,$A2975,EXTRATO!$J$2:$J$3000)+SUMIF(EXTRATO!$A$2:$A$3000,$A2975,EXTRATO!$K$2:$K$3000)+SUMIF(EXTRATO!$A$2:$A$3000,$A2975,EXTRATO!$L$2:$L$3000)+SUMIF(EXTRATO!$A$2:$A$3000,$A2975,EXTRATO!$M$2:$M$3000))</f>
        <v/>
      </c>
      <c r="G2975" s="81" t="str">
        <f>IF(A2975="","",IF(INDEX(EXTRATO!$G$2:$G$3000,MATCH($A2975,EXTRATO!$A$2:$A$3000,0))="","",INDEX(EXTRATO!$G$2:$G$3000,MATCH($A2975,EXTRATO!$A$2:$A$3000,0))))</f>
        <v/>
      </c>
      <c r="H2975" s="86" t="str">
        <f>IF(A2975="","",IF(INDEX(EXTRATO!$F$2:$F$3000,MATCH($A2975,EXTRATO!$A$2:$A$3000,0))="","",INDEX(EXTRATO!$F$2:$F$3000,MATCH($A2975,EXTRATO!$A$2:$A$3000,0))))</f>
        <v/>
      </c>
      <c r="I2975" s="88" t="str">
        <f>IF(A2975="","",IF(INDEX(EXTRATO!$H$2:$H$3000,MATCH($A2975,EXTRATO!$A$2:$A$3000,0))="","",INDEX(EXTRATO!$H$2:$H$3000,MATCH($A2975,EXTRATO!$A$2:$A$3000,0))))</f>
        <v/>
      </c>
      <c r="J2975" s="86" t="str">
        <f t="shared" si="79"/>
        <v/>
      </c>
      <c r="K2975" s="86" t="str">
        <f>IF(AND(A2975="",D2975="",E2975="",F2975=""),"",IF(D2975="","SEM CATEGORIA",IF(E2975="","SEM SUBCATEGORIA",IF(COUNTIFS(CADASTROS!$L$7:$L$93,D2975,CADASTROS!$D$7:$D$93,E2975)=0,"INCOMPATÍVEL","OK"))))</f>
        <v/>
      </c>
    </row>
    <row r="2976" spans="1:11" ht="30" hidden="1" customHeight="1" x14ac:dyDescent="0.25">
      <c r="A2976" s="86" t="str">
        <f>IF(COUNTIF(EXTRATO!$A$2:$A$3000,"BAN-02833")=0,"","BAN-02833")</f>
        <v/>
      </c>
      <c r="B2976" s="85" t="str">
        <f>IF(A2976="","",IF(INDEX(EXTRATO!$C$2:$C$3000,MATCH($A2976,EXTRATO!$A$2:$A$3000,0))="","",INDEX(EXTRATO!$C$2:$C$3000,MATCH($A2976,EXTRATO!$A$2:$A$3000,0))))</f>
        <v/>
      </c>
      <c r="C2976" s="86" t="str">
        <f t="shared" si="80"/>
        <v/>
      </c>
      <c r="D2976" s="81"/>
      <c r="E2976" s="79"/>
      <c r="F2976" s="80" t="str">
        <f>IF(A2976="","",SUMIF(EXTRATO!$A$2:$A$3000,$A2976,EXTRATO!$J$2:$J$3000)+SUMIF(EXTRATO!$A$2:$A$3000,$A2976,EXTRATO!$K$2:$K$3000)+SUMIF(EXTRATO!$A$2:$A$3000,$A2976,EXTRATO!$L$2:$L$3000)+SUMIF(EXTRATO!$A$2:$A$3000,$A2976,EXTRATO!$M$2:$M$3000))</f>
        <v/>
      </c>
      <c r="G2976" s="81" t="str">
        <f>IF(A2976="","",IF(INDEX(EXTRATO!$G$2:$G$3000,MATCH($A2976,EXTRATO!$A$2:$A$3000,0))="","",INDEX(EXTRATO!$G$2:$G$3000,MATCH($A2976,EXTRATO!$A$2:$A$3000,0))))</f>
        <v/>
      </c>
      <c r="H2976" s="86" t="str">
        <f>IF(A2976="","",IF(INDEX(EXTRATO!$F$2:$F$3000,MATCH($A2976,EXTRATO!$A$2:$A$3000,0))="","",INDEX(EXTRATO!$F$2:$F$3000,MATCH($A2976,EXTRATO!$A$2:$A$3000,0))))</f>
        <v/>
      </c>
      <c r="I2976" s="88" t="str">
        <f>IF(A2976="","",IF(INDEX(EXTRATO!$H$2:$H$3000,MATCH($A2976,EXTRATO!$A$2:$A$3000,0))="","",INDEX(EXTRATO!$H$2:$H$3000,MATCH($A2976,EXTRATO!$A$2:$A$3000,0))))</f>
        <v/>
      </c>
      <c r="J2976" s="86" t="str">
        <f t="shared" si="79"/>
        <v/>
      </c>
      <c r="K2976" s="86" t="str">
        <f>IF(AND(A2976="",D2976="",E2976="",F2976=""),"",IF(D2976="","SEM CATEGORIA",IF(E2976="","SEM SUBCATEGORIA",IF(COUNTIFS(CADASTROS!$L$7:$L$93,D2976,CADASTROS!$D$7:$D$93,E2976)=0,"INCOMPATÍVEL","OK"))))</f>
        <v/>
      </c>
    </row>
    <row r="2977" spans="1:11" ht="30" hidden="1" customHeight="1" x14ac:dyDescent="0.25">
      <c r="A2977" s="86" t="str">
        <f>IF(COUNTIF(EXTRATO!$A$2:$A$3000,"BAN-02834")=0,"","BAN-02834")</f>
        <v/>
      </c>
      <c r="B2977" s="85" t="str">
        <f>IF(A2977="","",IF(INDEX(EXTRATO!$C$2:$C$3000,MATCH($A2977,EXTRATO!$A$2:$A$3000,0))="","",INDEX(EXTRATO!$C$2:$C$3000,MATCH($A2977,EXTRATO!$A$2:$A$3000,0))))</f>
        <v/>
      </c>
      <c r="C2977" s="86" t="str">
        <f t="shared" si="80"/>
        <v/>
      </c>
      <c r="D2977" s="81"/>
      <c r="E2977" s="79"/>
      <c r="F2977" s="80" t="str">
        <f>IF(A2977="","",SUMIF(EXTRATO!$A$2:$A$3000,$A2977,EXTRATO!$J$2:$J$3000)+SUMIF(EXTRATO!$A$2:$A$3000,$A2977,EXTRATO!$K$2:$K$3000)+SUMIF(EXTRATO!$A$2:$A$3000,$A2977,EXTRATO!$L$2:$L$3000)+SUMIF(EXTRATO!$A$2:$A$3000,$A2977,EXTRATO!$M$2:$M$3000))</f>
        <v/>
      </c>
      <c r="G2977" s="81" t="str">
        <f>IF(A2977="","",IF(INDEX(EXTRATO!$G$2:$G$3000,MATCH($A2977,EXTRATO!$A$2:$A$3000,0))="","",INDEX(EXTRATO!$G$2:$G$3000,MATCH($A2977,EXTRATO!$A$2:$A$3000,0))))</f>
        <v/>
      </c>
      <c r="H2977" s="86" t="str">
        <f>IF(A2977="","",IF(INDEX(EXTRATO!$F$2:$F$3000,MATCH($A2977,EXTRATO!$A$2:$A$3000,0))="","",INDEX(EXTRATO!$F$2:$F$3000,MATCH($A2977,EXTRATO!$A$2:$A$3000,0))))</f>
        <v/>
      </c>
      <c r="I2977" s="88" t="str">
        <f>IF(A2977="","",IF(INDEX(EXTRATO!$H$2:$H$3000,MATCH($A2977,EXTRATO!$A$2:$A$3000,0))="","",INDEX(EXTRATO!$H$2:$H$3000,MATCH($A2977,EXTRATO!$A$2:$A$3000,0))))</f>
        <v/>
      </c>
      <c r="J2977" s="86" t="str">
        <f t="shared" si="79"/>
        <v/>
      </c>
      <c r="K2977" s="86" t="str">
        <f>IF(AND(A2977="",D2977="",E2977="",F2977=""),"",IF(D2977="","SEM CATEGORIA",IF(E2977="","SEM SUBCATEGORIA",IF(COUNTIFS(CADASTROS!$L$7:$L$93,D2977,CADASTROS!$D$7:$D$93,E2977)=0,"INCOMPATÍVEL","OK"))))</f>
        <v/>
      </c>
    </row>
    <row r="2978" spans="1:11" ht="30" hidden="1" customHeight="1" x14ac:dyDescent="0.25">
      <c r="A2978" s="86" t="str">
        <f>IF(COUNTIF(EXTRATO!$A$2:$A$3000,"BAN-02835")=0,"","BAN-02835")</f>
        <v/>
      </c>
      <c r="B2978" s="85" t="str">
        <f>IF(A2978="","",IF(INDEX(EXTRATO!$C$2:$C$3000,MATCH($A2978,EXTRATO!$A$2:$A$3000,0))="","",INDEX(EXTRATO!$C$2:$C$3000,MATCH($A2978,EXTRATO!$A$2:$A$3000,0))))</f>
        <v/>
      </c>
      <c r="C2978" s="86" t="str">
        <f t="shared" si="80"/>
        <v/>
      </c>
      <c r="D2978" s="81"/>
      <c r="E2978" s="79"/>
      <c r="F2978" s="80" t="str">
        <f>IF(A2978="","",SUMIF(EXTRATO!$A$2:$A$3000,$A2978,EXTRATO!$J$2:$J$3000)+SUMIF(EXTRATO!$A$2:$A$3000,$A2978,EXTRATO!$K$2:$K$3000)+SUMIF(EXTRATO!$A$2:$A$3000,$A2978,EXTRATO!$L$2:$L$3000)+SUMIF(EXTRATO!$A$2:$A$3000,$A2978,EXTRATO!$M$2:$M$3000))</f>
        <v/>
      </c>
      <c r="G2978" s="81" t="str">
        <f>IF(A2978="","",IF(INDEX(EXTRATO!$G$2:$G$3000,MATCH($A2978,EXTRATO!$A$2:$A$3000,0))="","",INDEX(EXTRATO!$G$2:$G$3000,MATCH($A2978,EXTRATO!$A$2:$A$3000,0))))</f>
        <v/>
      </c>
      <c r="H2978" s="86" t="str">
        <f>IF(A2978="","",IF(INDEX(EXTRATO!$F$2:$F$3000,MATCH($A2978,EXTRATO!$A$2:$A$3000,0))="","",INDEX(EXTRATO!$F$2:$F$3000,MATCH($A2978,EXTRATO!$A$2:$A$3000,0))))</f>
        <v/>
      </c>
      <c r="I2978" s="88" t="str">
        <f>IF(A2978="","",IF(INDEX(EXTRATO!$H$2:$H$3000,MATCH($A2978,EXTRATO!$A$2:$A$3000,0))="","",INDEX(EXTRATO!$H$2:$H$3000,MATCH($A2978,EXTRATO!$A$2:$A$3000,0))))</f>
        <v/>
      </c>
      <c r="J2978" s="86" t="str">
        <f t="shared" si="79"/>
        <v/>
      </c>
      <c r="K2978" s="86" t="str">
        <f>IF(AND(A2978="",D2978="",E2978="",F2978=""),"",IF(D2978="","SEM CATEGORIA",IF(E2978="","SEM SUBCATEGORIA",IF(COUNTIFS(CADASTROS!$L$7:$L$93,D2978,CADASTROS!$D$7:$D$93,E2978)=0,"INCOMPATÍVEL","OK"))))</f>
        <v/>
      </c>
    </row>
    <row r="2979" spans="1:11" ht="30" hidden="1" customHeight="1" x14ac:dyDescent="0.25">
      <c r="A2979" s="86" t="str">
        <f>IF(COUNTIF(EXTRATO!$A$2:$A$3000,"BAN-02836")=0,"","BAN-02836")</f>
        <v/>
      </c>
      <c r="B2979" s="85" t="str">
        <f>IF(A2979="","",IF(INDEX(EXTRATO!$C$2:$C$3000,MATCH($A2979,EXTRATO!$A$2:$A$3000,0))="","",INDEX(EXTRATO!$C$2:$C$3000,MATCH($A2979,EXTRATO!$A$2:$A$3000,0))))</f>
        <v/>
      </c>
      <c r="C2979" s="86" t="str">
        <f t="shared" si="80"/>
        <v/>
      </c>
      <c r="D2979" s="81"/>
      <c r="E2979" s="79"/>
      <c r="F2979" s="80" t="str">
        <f>IF(A2979="","",SUMIF(EXTRATO!$A$2:$A$3000,$A2979,EXTRATO!$J$2:$J$3000)+SUMIF(EXTRATO!$A$2:$A$3000,$A2979,EXTRATO!$K$2:$K$3000)+SUMIF(EXTRATO!$A$2:$A$3000,$A2979,EXTRATO!$L$2:$L$3000)+SUMIF(EXTRATO!$A$2:$A$3000,$A2979,EXTRATO!$M$2:$M$3000))</f>
        <v/>
      </c>
      <c r="G2979" s="81" t="str">
        <f>IF(A2979="","",IF(INDEX(EXTRATO!$G$2:$G$3000,MATCH($A2979,EXTRATO!$A$2:$A$3000,0))="","",INDEX(EXTRATO!$G$2:$G$3000,MATCH($A2979,EXTRATO!$A$2:$A$3000,0))))</f>
        <v/>
      </c>
      <c r="H2979" s="86" t="str">
        <f>IF(A2979="","",IF(INDEX(EXTRATO!$F$2:$F$3000,MATCH($A2979,EXTRATO!$A$2:$A$3000,0))="","",INDEX(EXTRATO!$F$2:$F$3000,MATCH($A2979,EXTRATO!$A$2:$A$3000,0))))</f>
        <v/>
      </c>
      <c r="I2979" s="88" t="str">
        <f>IF(A2979="","",IF(INDEX(EXTRATO!$H$2:$H$3000,MATCH($A2979,EXTRATO!$A$2:$A$3000,0))="","",INDEX(EXTRATO!$H$2:$H$3000,MATCH($A2979,EXTRATO!$A$2:$A$3000,0))))</f>
        <v/>
      </c>
      <c r="J2979" s="86" t="str">
        <f t="shared" si="79"/>
        <v/>
      </c>
      <c r="K2979" s="86" t="str">
        <f>IF(AND(A2979="",D2979="",E2979="",F2979=""),"",IF(D2979="","SEM CATEGORIA",IF(E2979="","SEM SUBCATEGORIA",IF(COUNTIFS(CADASTROS!$L$7:$L$93,D2979,CADASTROS!$D$7:$D$93,E2979)=0,"INCOMPATÍVEL","OK"))))</f>
        <v/>
      </c>
    </row>
    <row r="2980" spans="1:11" ht="30" hidden="1" customHeight="1" x14ac:dyDescent="0.25">
      <c r="A2980" s="86" t="str">
        <f>IF(COUNTIF(EXTRATO!$A$2:$A$3000,"BAN-02837")=0,"","BAN-02837")</f>
        <v/>
      </c>
      <c r="B2980" s="85" t="str">
        <f>IF(A2980="","",IF(INDEX(EXTRATO!$C$2:$C$3000,MATCH($A2980,EXTRATO!$A$2:$A$3000,0))="","",INDEX(EXTRATO!$C$2:$C$3000,MATCH($A2980,EXTRATO!$A$2:$A$3000,0))))</f>
        <v/>
      </c>
      <c r="C2980" s="86" t="str">
        <f t="shared" si="80"/>
        <v/>
      </c>
      <c r="D2980" s="81"/>
      <c r="E2980" s="79"/>
      <c r="F2980" s="80" t="str">
        <f>IF(A2980="","",SUMIF(EXTRATO!$A$2:$A$3000,$A2980,EXTRATO!$J$2:$J$3000)+SUMIF(EXTRATO!$A$2:$A$3000,$A2980,EXTRATO!$K$2:$K$3000)+SUMIF(EXTRATO!$A$2:$A$3000,$A2980,EXTRATO!$L$2:$L$3000)+SUMIF(EXTRATO!$A$2:$A$3000,$A2980,EXTRATO!$M$2:$M$3000))</f>
        <v/>
      </c>
      <c r="G2980" s="81" t="str">
        <f>IF(A2980="","",IF(INDEX(EXTRATO!$G$2:$G$3000,MATCH($A2980,EXTRATO!$A$2:$A$3000,0))="","",INDEX(EXTRATO!$G$2:$G$3000,MATCH($A2980,EXTRATO!$A$2:$A$3000,0))))</f>
        <v/>
      </c>
      <c r="H2980" s="86" t="str">
        <f>IF(A2980="","",IF(INDEX(EXTRATO!$F$2:$F$3000,MATCH($A2980,EXTRATO!$A$2:$A$3000,0))="","",INDEX(EXTRATO!$F$2:$F$3000,MATCH($A2980,EXTRATO!$A$2:$A$3000,0))))</f>
        <v/>
      </c>
      <c r="I2980" s="88" t="str">
        <f>IF(A2980="","",IF(INDEX(EXTRATO!$H$2:$H$3000,MATCH($A2980,EXTRATO!$A$2:$A$3000,0))="","",INDEX(EXTRATO!$H$2:$H$3000,MATCH($A2980,EXTRATO!$A$2:$A$3000,0))))</f>
        <v/>
      </c>
      <c r="J2980" s="86" t="str">
        <f t="shared" si="79"/>
        <v/>
      </c>
      <c r="K2980" s="86" t="str">
        <f>IF(AND(A2980="",D2980="",E2980="",F2980=""),"",IF(D2980="","SEM CATEGORIA",IF(E2980="","SEM SUBCATEGORIA",IF(COUNTIFS(CADASTROS!$L$7:$L$93,D2980,CADASTROS!$D$7:$D$93,E2980)=0,"INCOMPATÍVEL","OK"))))</f>
        <v/>
      </c>
    </row>
    <row r="2981" spans="1:11" ht="30" hidden="1" customHeight="1" x14ac:dyDescent="0.25">
      <c r="A2981" s="86" t="str">
        <f>IF(COUNTIF(EXTRATO!$A$2:$A$3000,"BAN-02838")=0,"","BAN-02838")</f>
        <v/>
      </c>
      <c r="B2981" s="85" t="str">
        <f>IF(A2981="","",IF(INDEX(EXTRATO!$C$2:$C$3000,MATCH($A2981,EXTRATO!$A$2:$A$3000,0))="","",INDEX(EXTRATO!$C$2:$C$3000,MATCH($A2981,EXTRATO!$A$2:$A$3000,0))))</f>
        <v/>
      </c>
      <c r="C2981" s="86" t="str">
        <f t="shared" si="80"/>
        <v/>
      </c>
      <c r="D2981" s="81"/>
      <c r="E2981" s="79"/>
      <c r="F2981" s="80" t="str">
        <f>IF(A2981="","",SUMIF(EXTRATO!$A$2:$A$3000,$A2981,EXTRATO!$J$2:$J$3000)+SUMIF(EXTRATO!$A$2:$A$3000,$A2981,EXTRATO!$K$2:$K$3000)+SUMIF(EXTRATO!$A$2:$A$3000,$A2981,EXTRATO!$L$2:$L$3000)+SUMIF(EXTRATO!$A$2:$A$3000,$A2981,EXTRATO!$M$2:$M$3000))</f>
        <v/>
      </c>
      <c r="G2981" s="81" t="str">
        <f>IF(A2981="","",IF(INDEX(EXTRATO!$G$2:$G$3000,MATCH($A2981,EXTRATO!$A$2:$A$3000,0))="","",INDEX(EXTRATO!$G$2:$G$3000,MATCH($A2981,EXTRATO!$A$2:$A$3000,0))))</f>
        <v/>
      </c>
      <c r="H2981" s="86" t="str">
        <f>IF(A2981="","",IF(INDEX(EXTRATO!$F$2:$F$3000,MATCH($A2981,EXTRATO!$A$2:$A$3000,0))="","",INDEX(EXTRATO!$F$2:$F$3000,MATCH($A2981,EXTRATO!$A$2:$A$3000,0))))</f>
        <v/>
      </c>
      <c r="I2981" s="88" t="str">
        <f>IF(A2981="","",IF(INDEX(EXTRATO!$H$2:$H$3000,MATCH($A2981,EXTRATO!$A$2:$A$3000,0))="","",INDEX(EXTRATO!$H$2:$H$3000,MATCH($A2981,EXTRATO!$A$2:$A$3000,0))))</f>
        <v/>
      </c>
      <c r="J2981" s="86" t="str">
        <f t="shared" si="79"/>
        <v/>
      </c>
      <c r="K2981" s="86" t="str">
        <f>IF(AND(A2981="",D2981="",E2981="",F2981=""),"",IF(D2981="","SEM CATEGORIA",IF(E2981="","SEM SUBCATEGORIA",IF(COUNTIFS(CADASTROS!$L$7:$L$93,D2981,CADASTROS!$D$7:$D$93,E2981)=0,"INCOMPATÍVEL","OK"))))</f>
        <v/>
      </c>
    </row>
    <row r="2982" spans="1:11" ht="30" hidden="1" customHeight="1" x14ac:dyDescent="0.25">
      <c r="A2982" s="86" t="str">
        <f>IF(COUNTIF(EXTRATO!$A$2:$A$3000,"BAN-02839")=0,"","BAN-02839")</f>
        <v/>
      </c>
      <c r="B2982" s="85" t="str">
        <f>IF(A2982="","",IF(INDEX(EXTRATO!$C$2:$C$3000,MATCH($A2982,EXTRATO!$A$2:$A$3000,0))="","",INDEX(EXTRATO!$C$2:$C$3000,MATCH($A2982,EXTRATO!$A$2:$A$3000,0))))</f>
        <v/>
      </c>
      <c r="C2982" s="86" t="str">
        <f t="shared" si="80"/>
        <v/>
      </c>
      <c r="D2982" s="81"/>
      <c r="E2982" s="79"/>
      <c r="F2982" s="80" t="str">
        <f>IF(A2982="","",SUMIF(EXTRATO!$A$2:$A$3000,$A2982,EXTRATO!$J$2:$J$3000)+SUMIF(EXTRATO!$A$2:$A$3000,$A2982,EXTRATO!$K$2:$K$3000)+SUMIF(EXTRATO!$A$2:$A$3000,$A2982,EXTRATO!$L$2:$L$3000)+SUMIF(EXTRATO!$A$2:$A$3000,$A2982,EXTRATO!$M$2:$M$3000))</f>
        <v/>
      </c>
      <c r="G2982" s="81" t="str">
        <f>IF(A2982="","",IF(INDEX(EXTRATO!$G$2:$G$3000,MATCH($A2982,EXTRATO!$A$2:$A$3000,0))="","",INDEX(EXTRATO!$G$2:$G$3000,MATCH($A2982,EXTRATO!$A$2:$A$3000,0))))</f>
        <v/>
      </c>
      <c r="H2982" s="86" t="str">
        <f>IF(A2982="","",IF(INDEX(EXTRATO!$F$2:$F$3000,MATCH($A2982,EXTRATO!$A$2:$A$3000,0))="","",INDEX(EXTRATO!$F$2:$F$3000,MATCH($A2982,EXTRATO!$A$2:$A$3000,0))))</f>
        <v/>
      </c>
      <c r="I2982" s="88" t="str">
        <f>IF(A2982="","",IF(INDEX(EXTRATO!$H$2:$H$3000,MATCH($A2982,EXTRATO!$A$2:$A$3000,0))="","",INDEX(EXTRATO!$H$2:$H$3000,MATCH($A2982,EXTRATO!$A$2:$A$3000,0))))</f>
        <v/>
      </c>
      <c r="J2982" s="86" t="str">
        <f t="shared" si="79"/>
        <v/>
      </c>
      <c r="K2982" s="86" t="str">
        <f>IF(AND(A2982="",D2982="",E2982="",F2982=""),"",IF(D2982="","SEM CATEGORIA",IF(E2982="","SEM SUBCATEGORIA",IF(COUNTIFS(CADASTROS!$L$7:$L$93,D2982,CADASTROS!$D$7:$D$93,E2982)=0,"INCOMPATÍVEL","OK"))))</f>
        <v/>
      </c>
    </row>
    <row r="2983" spans="1:11" ht="30" hidden="1" customHeight="1" x14ac:dyDescent="0.25">
      <c r="A2983" s="86" t="str">
        <f>IF(COUNTIF(EXTRATO!$A$2:$A$3000,"BAN-02840")=0,"","BAN-02840")</f>
        <v/>
      </c>
      <c r="B2983" s="85" t="str">
        <f>IF(A2983="","",IF(INDEX(EXTRATO!$C$2:$C$3000,MATCH($A2983,EXTRATO!$A$2:$A$3000,0))="","",INDEX(EXTRATO!$C$2:$C$3000,MATCH($A2983,EXTRATO!$A$2:$A$3000,0))))</f>
        <v/>
      </c>
      <c r="C2983" s="86" t="str">
        <f t="shared" si="80"/>
        <v/>
      </c>
      <c r="D2983" s="81"/>
      <c r="E2983" s="79"/>
      <c r="F2983" s="80" t="str">
        <f>IF(A2983="","",SUMIF(EXTRATO!$A$2:$A$3000,$A2983,EXTRATO!$J$2:$J$3000)+SUMIF(EXTRATO!$A$2:$A$3000,$A2983,EXTRATO!$K$2:$K$3000)+SUMIF(EXTRATO!$A$2:$A$3000,$A2983,EXTRATO!$L$2:$L$3000)+SUMIF(EXTRATO!$A$2:$A$3000,$A2983,EXTRATO!$M$2:$M$3000))</f>
        <v/>
      </c>
      <c r="G2983" s="81" t="str">
        <f>IF(A2983="","",IF(INDEX(EXTRATO!$G$2:$G$3000,MATCH($A2983,EXTRATO!$A$2:$A$3000,0))="","",INDEX(EXTRATO!$G$2:$G$3000,MATCH($A2983,EXTRATO!$A$2:$A$3000,0))))</f>
        <v/>
      </c>
      <c r="H2983" s="86" t="str">
        <f>IF(A2983="","",IF(INDEX(EXTRATO!$F$2:$F$3000,MATCH($A2983,EXTRATO!$A$2:$A$3000,0))="","",INDEX(EXTRATO!$F$2:$F$3000,MATCH($A2983,EXTRATO!$A$2:$A$3000,0))))</f>
        <v/>
      </c>
      <c r="I2983" s="88" t="str">
        <f>IF(A2983="","",IF(INDEX(EXTRATO!$H$2:$H$3000,MATCH($A2983,EXTRATO!$A$2:$A$3000,0))="","",INDEX(EXTRATO!$H$2:$H$3000,MATCH($A2983,EXTRATO!$A$2:$A$3000,0))))</f>
        <v/>
      </c>
      <c r="J2983" s="86" t="str">
        <f t="shared" si="79"/>
        <v/>
      </c>
      <c r="K2983" s="86" t="str">
        <f>IF(AND(A2983="",D2983="",E2983="",F2983=""),"",IF(D2983="","SEM CATEGORIA",IF(E2983="","SEM SUBCATEGORIA",IF(COUNTIFS(CADASTROS!$L$7:$L$93,D2983,CADASTROS!$D$7:$D$93,E2983)=0,"INCOMPATÍVEL","OK"))))</f>
        <v/>
      </c>
    </row>
    <row r="2984" spans="1:11" ht="30" hidden="1" customHeight="1" x14ac:dyDescent="0.25">
      <c r="A2984" s="86" t="str">
        <f>IF(COUNTIF(EXTRATO!$A$2:$A$3000,"BAN-02841")=0,"","BAN-02841")</f>
        <v/>
      </c>
      <c r="B2984" s="85" t="str">
        <f>IF(A2984="","",IF(INDEX(EXTRATO!$C$2:$C$3000,MATCH($A2984,EXTRATO!$A$2:$A$3000,0))="","",INDEX(EXTRATO!$C$2:$C$3000,MATCH($A2984,EXTRATO!$A$2:$A$3000,0))))</f>
        <v/>
      </c>
      <c r="C2984" s="86" t="str">
        <f t="shared" si="80"/>
        <v/>
      </c>
      <c r="D2984" s="81"/>
      <c r="E2984" s="79"/>
      <c r="F2984" s="80" t="str">
        <f>IF(A2984="","",SUMIF(EXTRATO!$A$2:$A$3000,$A2984,EXTRATO!$J$2:$J$3000)+SUMIF(EXTRATO!$A$2:$A$3000,$A2984,EXTRATO!$K$2:$K$3000)+SUMIF(EXTRATO!$A$2:$A$3000,$A2984,EXTRATO!$L$2:$L$3000)+SUMIF(EXTRATO!$A$2:$A$3000,$A2984,EXTRATO!$M$2:$M$3000))</f>
        <v/>
      </c>
      <c r="G2984" s="81" t="str">
        <f>IF(A2984="","",IF(INDEX(EXTRATO!$G$2:$G$3000,MATCH($A2984,EXTRATO!$A$2:$A$3000,0))="","",INDEX(EXTRATO!$G$2:$G$3000,MATCH($A2984,EXTRATO!$A$2:$A$3000,0))))</f>
        <v/>
      </c>
      <c r="H2984" s="86" t="str">
        <f>IF(A2984="","",IF(INDEX(EXTRATO!$F$2:$F$3000,MATCH($A2984,EXTRATO!$A$2:$A$3000,0))="","",INDEX(EXTRATO!$F$2:$F$3000,MATCH($A2984,EXTRATO!$A$2:$A$3000,0))))</f>
        <v/>
      </c>
      <c r="I2984" s="88" t="str">
        <f>IF(A2984="","",IF(INDEX(EXTRATO!$H$2:$H$3000,MATCH($A2984,EXTRATO!$A$2:$A$3000,0))="","",INDEX(EXTRATO!$H$2:$H$3000,MATCH($A2984,EXTRATO!$A$2:$A$3000,0))))</f>
        <v/>
      </c>
      <c r="J2984" s="86" t="str">
        <f t="shared" si="79"/>
        <v/>
      </c>
      <c r="K2984" s="86" t="str">
        <f>IF(AND(A2984="",D2984="",E2984="",F2984=""),"",IF(D2984="","SEM CATEGORIA",IF(E2984="","SEM SUBCATEGORIA",IF(COUNTIFS(CADASTROS!$L$7:$L$93,D2984,CADASTROS!$D$7:$D$93,E2984)=0,"INCOMPATÍVEL","OK"))))</f>
        <v/>
      </c>
    </row>
    <row r="2985" spans="1:11" ht="30" hidden="1" customHeight="1" x14ac:dyDescent="0.25">
      <c r="A2985" s="86" t="str">
        <f>IF(COUNTIF(EXTRATO!$A$2:$A$3000,"BAN-02842")=0,"","BAN-02842")</f>
        <v/>
      </c>
      <c r="B2985" s="85" t="str">
        <f>IF(A2985="","",IF(INDEX(EXTRATO!$C$2:$C$3000,MATCH($A2985,EXTRATO!$A$2:$A$3000,0))="","",INDEX(EXTRATO!$C$2:$C$3000,MATCH($A2985,EXTRATO!$A$2:$A$3000,0))))</f>
        <v/>
      </c>
      <c r="C2985" s="86" t="str">
        <f t="shared" si="80"/>
        <v/>
      </c>
      <c r="D2985" s="81"/>
      <c r="E2985" s="79"/>
      <c r="F2985" s="80" t="str">
        <f>IF(A2985="","",SUMIF(EXTRATO!$A$2:$A$3000,$A2985,EXTRATO!$J$2:$J$3000)+SUMIF(EXTRATO!$A$2:$A$3000,$A2985,EXTRATO!$K$2:$K$3000)+SUMIF(EXTRATO!$A$2:$A$3000,$A2985,EXTRATO!$L$2:$L$3000)+SUMIF(EXTRATO!$A$2:$A$3000,$A2985,EXTRATO!$M$2:$M$3000))</f>
        <v/>
      </c>
      <c r="G2985" s="81" t="str">
        <f>IF(A2985="","",IF(INDEX(EXTRATO!$G$2:$G$3000,MATCH($A2985,EXTRATO!$A$2:$A$3000,0))="","",INDEX(EXTRATO!$G$2:$G$3000,MATCH($A2985,EXTRATO!$A$2:$A$3000,0))))</f>
        <v/>
      </c>
      <c r="H2985" s="86" t="str">
        <f>IF(A2985="","",IF(INDEX(EXTRATO!$F$2:$F$3000,MATCH($A2985,EXTRATO!$A$2:$A$3000,0))="","",INDEX(EXTRATO!$F$2:$F$3000,MATCH($A2985,EXTRATO!$A$2:$A$3000,0))))</f>
        <v/>
      </c>
      <c r="I2985" s="88" t="str">
        <f>IF(A2985="","",IF(INDEX(EXTRATO!$H$2:$H$3000,MATCH($A2985,EXTRATO!$A$2:$A$3000,0))="","",INDEX(EXTRATO!$H$2:$H$3000,MATCH($A2985,EXTRATO!$A$2:$A$3000,0))))</f>
        <v/>
      </c>
      <c r="J2985" s="86" t="str">
        <f t="shared" si="79"/>
        <v/>
      </c>
      <c r="K2985" s="86" t="str">
        <f>IF(AND(A2985="",D2985="",E2985="",F2985=""),"",IF(D2985="","SEM CATEGORIA",IF(E2985="","SEM SUBCATEGORIA",IF(COUNTIFS(CADASTROS!$L$7:$L$93,D2985,CADASTROS!$D$7:$D$93,E2985)=0,"INCOMPATÍVEL","OK"))))</f>
        <v/>
      </c>
    </row>
    <row r="2986" spans="1:11" ht="30" hidden="1" customHeight="1" x14ac:dyDescent="0.25">
      <c r="A2986" s="86" t="str">
        <f>IF(COUNTIF(EXTRATO!$A$2:$A$3000,"BAN-02843")=0,"","BAN-02843")</f>
        <v/>
      </c>
      <c r="B2986" s="85" t="str">
        <f>IF(A2986="","",IF(INDEX(EXTRATO!$C$2:$C$3000,MATCH($A2986,EXTRATO!$A$2:$A$3000,0))="","",INDEX(EXTRATO!$C$2:$C$3000,MATCH($A2986,EXTRATO!$A$2:$A$3000,0))))</f>
        <v/>
      </c>
      <c r="C2986" s="86" t="str">
        <f t="shared" si="80"/>
        <v/>
      </c>
      <c r="D2986" s="81"/>
      <c r="E2986" s="79"/>
      <c r="F2986" s="80" t="str">
        <f>IF(A2986="","",SUMIF(EXTRATO!$A$2:$A$3000,$A2986,EXTRATO!$J$2:$J$3000)+SUMIF(EXTRATO!$A$2:$A$3000,$A2986,EXTRATO!$K$2:$K$3000)+SUMIF(EXTRATO!$A$2:$A$3000,$A2986,EXTRATO!$L$2:$L$3000)+SUMIF(EXTRATO!$A$2:$A$3000,$A2986,EXTRATO!$M$2:$M$3000))</f>
        <v/>
      </c>
      <c r="G2986" s="81" t="str">
        <f>IF(A2986="","",IF(INDEX(EXTRATO!$G$2:$G$3000,MATCH($A2986,EXTRATO!$A$2:$A$3000,0))="","",INDEX(EXTRATO!$G$2:$G$3000,MATCH($A2986,EXTRATO!$A$2:$A$3000,0))))</f>
        <v/>
      </c>
      <c r="H2986" s="86" t="str">
        <f>IF(A2986="","",IF(INDEX(EXTRATO!$F$2:$F$3000,MATCH($A2986,EXTRATO!$A$2:$A$3000,0))="","",INDEX(EXTRATO!$F$2:$F$3000,MATCH($A2986,EXTRATO!$A$2:$A$3000,0))))</f>
        <v/>
      </c>
      <c r="I2986" s="88" t="str">
        <f>IF(A2986="","",IF(INDEX(EXTRATO!$H$2:$H$3000,MATCH($A2986,EXTRATO!$A$2:$A$3000,0))="","",INDEX(EXTRATO!$H$2:$H$3000,MATCH($A2986,EXTRATO!$A$2:$A$3000,0))))</f>
        <v/>
      </c>
      <c r="J2986" s="86" t="str">
        <f t="shared" si="79"/>
        <v/>
      </c>
      <c r="K2986" s="86" t="str">
        <f>IF(AND(A2986="",D2986="",E2986="",F2986=""),"",IF(D2986="","SEM CATEGORIA",IF(E2986="","SEM SUBCATEGORIA",IF(COUNTIFS(CADASTROS!$L$7:$L$93,D2986,CADASTROS!$D$7:$D$93,E2986)=0,"INCOMPATÍVEL","OK"))))</f>
        <v/>
      </c>
    </row>
    <row r="2987" spans="1:11" ht="30" hidden="1" customHeight="1" x14ac:dyDescent="0.25">
      <c r="A2987" s="86" t="str">
        <f>IF(COUNTIF(EXTRATO!$A$2:$A$3000,"BAN-02844")=0,"","BAN-02844")</f>
        <v/>
      </c>
      <c r="B2987" s="85" t="str">
        <f>IF(A2987="","",IF(INDEX(EXTRATO!$C$2:$C$3000,MATCH($A2987,EXTRATO!$A$2:$A$3000,0))="","",INDEX(EXTRATO!$C$2:$C$3000,MATCH($A2987,EXTRATO!$A$2:$A$3000,0))))</f>
        <v/>
      </c>
      <c r="C2987" s="86" t="str">
        <f t="shared" si="80"/>
        <v/>
      </c>
      <c r="D2987" s="81"/>
      <c r="E2987" s="79"/>
      <c r="F2987" s="80" t="str">
        <f>IF(A2987="","",SUMIF(EXTRATO!$A$2:$A$3000,$A2987,EXTRATO!$J$2:$J$3000)+SUMIF(EXTRATO!$A$2:$A$3000,$A2987,EXTRATO!$K$2:$K$3000)+SUMIF(EXTRATO!$A$2:$A$3000,$A2987,EXTRATO!$L$2:$L$3000)+SUMIF(EXTRATO!$A$2:$A$3000,$A2987,EXTRATO!$M$2:$M$3000))</f>
        <v/>
      </c>
      <c r="G2987" s="81" t="str">
        <f>IF(A2987="","",IF(INDEX(EXTRATO!$G$2:$G$3000,MATCH($A2987,EXTRATO!$A$2:$A$3000,0))="","",INDEX(EXTRATO!$G$2:$G$3000,MATCH($A2987,EXTRATO!$A$2:$A$3000,0))))</f>
        <v/>
      </c>
      <c r="H2987" s="86" t="str">
        <f>IF(A2987="","",IF(INDEX(EXTRATO!$F$2:$F$3000,MATCH($A2987,EXTRATO!$A$2:$A$3000,0))="","",INDEX(EXTRATO!$F$2:$F$3000,MATCH($A2987,EXTRATO!$A$2:$A$3000,0))))</f>
        <v/>
      </c>
      <c r="I2987" s="88" t="str">
        <f>IF(A2987="","",IF(INDEX(EXTRATO!$H$2:$H$3000,MATCH($A2987,EXTRATO!$A$2:$A$3000,0))="","",INDEX(EXTRATO!$H$2:$H$3000,MATCH($A2987,EXTRATO!$A$2:$A$3000,0))))</f>
        <v/>
      </c>
      <c r="J2987" s="86" t="str">
        <f t="shared" si="79"/>
        <v/>
      </c>
      <c r="K2987" s="86" t="str">
        <f>IF(AND(A2987="",D2987="",E2987="",F2987=""),"",IF(D2987="","SEM CATEGORIA",IF(E2987="","SEM SUBCATEGORIA",IF(COUNTIFS(CADASTROS!$L$7:$L$93,D2987,CADASTROS!$D$7:$D$93,E2987)=0,"INCOMPATÍVEL","OK"))))</f>
        <v/>
      </c>
    </row>
    <row r="2988" spans="1:11" ht="30" hidden="1" customHeight="1" x14ac:dyDescent="0.25">
      <c r="A2988" s="86" t="str">
        <f>IF(COUNTIF(EXTRATO!$A$2:$A$3000,"BAN-02845")=0,"","BAN-02845")</f>
        <v/>
      </c>
      <c r="B2988" s="85" t="str">
        <f>IF(A2988="","",IF(INDEX(EXTRATO!$C$2:$C$3000,MATCH($A2988,EXTRATO!$A$2:$A$3000,0))="","",INDEX(EXTRATO!$C$2:$C$3000,MATCH($A2988,EXTRATO!$A$2:$A$3000,0))))</f>
        <v/>
      </c>
      <c r="C2988" s="86" t="str">
        <f t="shared" si="80"/>
        <v/>
      </c>
      <c r="D2988" s="81"/>
      <c r="E2988" s="79"/>
      <c r="F2988" s="80" t="str">
        <f>IF(A2988="","",SUMIF(EXTRATO!$A$2:$A$3000,$A2988,EXTRATO!$J$2:$J$3000)+SUMIF(EXTRATO!$A$2:$A$3000,$A2988,EXTRATO!$K$2:$K$3000)+SUMIF(EXTRATO!$A$2:$A$3000,$A2988,EXTRATO!$L$2:$L$3000)+SUMIF(EXTRATO!$A$2:$A$3000,$A2988,EXTRATO!$M$2:$M$3000))</f>
        <v/>
      </c>
      <c r="G2988" s="81" t="str">
        <f>IF(A2988="","",IF(INDEX(EXTRATO!$G$2:$G$3000,MATCH($A2988,EXTRATO!$A$2:$A$3000,0))="","",INDEX(EXTRATO!$G$2:$G$3000,MATCH($A2988,EXTRATO!$A$2:$A$3000,0))))</f>
        <v/>
      </c>
      <c r="H2988" s="86" t="str">
        <f>IF(A2988="","",IF(INDEX(EXTRATO!$F$2:$F$3000,MATCH($A2988,EXTRATO!$A$2:$A$3000,0))="","",INDEX(EXTRATO!$F$2:$F$3000,MATCH($A2988,EXTRATO!$A$2:$A$3000,0))))</f>
        <v/>
      </c>
      <c r="I2988" s="88" t="str">
        <f>IF(A2988="","",IF(INDEX(EXTRATO!$H$2:$H$3000,MATCH($A2988,EXTRATO!$A$2:$A$3000,0))="","",INDEX(EXTRATO!$H$2:$H$3000,MATCH($A2988,EXTRATO!$A$2:$A$3000,0))))</f>
        <v/>
      </c>
      <c r="J2988" s="86" t="str">
        <f t="shared" ref="J2988:J3051" si="81">IF(A2988="","",IF(K2988="OK","MANUAL","PENDENTE"))</f>
        <v/>
      </c>
      <c r="K2988" s="86" t="str">
        <f>IF(AND(A2988="",D2988="",E2988="",F2988=""),"",IF(D2988="","SEM CATEGORIA",IF(E2988="","SEM SUBCATEGORIA",IF(COUNTIFS(CADASTROS!$L$7:$L$93,D2988,CADASTROS!$D$7:$D$93,E2988)=0,"INCOMPATÍVEL","OK"))))</f>
        <v/>
      </c>
    </row>
    <row r="2989" spans="1:11" ht="30" hidden="1" customHeight="1" x14ac:dyDescent="0.25">
      <c r="A2989" s="86" t="str">
        <f>IF(COUNTIF(EXTRATO!$A$2:$A$3000,"BAN-02846")=0,"","BAN-02846")</f>
        <v/>
      </c>
      <c r="B2989" s="85" t="str">
        <f>IF(A2989="","",IF(INDEX(EXTRATO!$C$2:$C$3000,MATCH($A2989,EXTRATO!$A$2:$A$3000,0))="","",INDEX(EXTRATO!$C$2:$C$3000,MATCH($A2989,EXTRATO!$A$2:$A$3000,0))))</f>
        <v/>
      </c>
      <c r="C2989" s="86" t="str">
        <f t="shared" si="80"/>
        <v/>
      </c>
      <c r="D2989" s="81"/>
      <c r="E2989" s="79"/>
      <c r="F2989" s="80" t="str">
        <f>IF(A2989="","",SUMIF(EXTRATO!$A$2:$A$3000,$A2989,EXTRATO!$J$2:$J$3000)+SUMIF(EXTRATO!$A$2:$A$3000,$A2989,EXTRATO!$K$2:$K$3000)+SUMIF(EXTRATO!$A$2:$A$3000,$A2989,EXTRATO!$L$2:$L$3000)+SUMIF(EXTRATO!$A$2:$A$3000,$A2989,EXTRATO!$M$2:$M$3000))</f>
        <v/>
      </c>
      <c r="G2989" s="81" t="str">
        <f>IF(A2989="","",IF(INDEX(EXTRATO!$G$2:$G$3000,MATCH($A2989,EXTRATO!$A$2:$A$3000,0))="","",INDEX(EXTRATO!$G$2:$G$3000,MATCH($A2989,EXTRATO!$A$2:$A$3000,0))))</f>
        <v/>
      </c>
      <c r="H2989" s="86" t="str">
        <f>IF(A2989="","",IF(INDEX(EXTRATO!$F$2:$F$3000,MATCH($A2989,EXTRATO!$A$2:$A$3000,0))="","",INDEX(EXTRATO!$F$2:$F$3000,MATCH($A2989,EXTRATO!$A$2:$A$3000,0))))</f>
        <v/>
      </c>
      <c r="I2989" s="88" t="str">
        <f>IF(A2989="","",IF(INDEX(EXTRATO!$H$2:$H$3000,MATCH($A2989,EXTRATO!$A$2:$A$3000,0))="","",INDEX(EXTRATO!$H$2:$H$3000,MATCH($A2989,EXTRATO!$A$2:$A$3000,0))))</f>
        <v/>
      </c>
      <c r="J2989" s="86" t="str">
        <f t="shared" si="81"/>
        <v/>
      </c>
      <c r="K2989" s="86" t="str">
        <f>IF(AND(A2989="",D2989="",E2989="",F2989=""),"",IF(D2989="","SEM CATEGORIA",IF(E2989="","SEM SUBCATEGORIA",IF(COUNTIFS(CADASTROS!$L$7:$L$93,D2989,CADASTROS!$D$7:$D$93,E2989)=0,"INCOMPATÍVEL","OK"))))</f>
        <v/>
      </c>
    </row>
    <row r="2990" spans="1:11" ht="30" hidden="1" customHeight="1" x14ac:dyDescent="0.25">
      <c r="A2990" s="86" t="str">
        <f>IF(COUNTIF(EXTRATO!$A$2:$A$3000,"BAN-02847")=0,"","BAN-02847")</f>
        <v/>
      </c>
      <c r="B2990" s="85" t="str">
        <f>IF(A2990="","",IF(INDEX(EXTRATO!$C$2:$C$3000,MATCH($A2990,EXTRATO!$A$2:$A$3000,0))="","",INDEX(EXTRATO!$C$2:$C$3000,MATCH($A2990,EXTRATO!$A$2:$A$3000,0))))</f>
        <v/>
      </c>
      <c r="C2990" s="86" t="str">
        <f t="shared" si="80"/>
        <v/>
      </c>
      <c r="D2990" s="81"/>
      <c r="E2990" s="79"/>
      <c r="F2990" s="80" t="str">
        <f>IF(A2990="","",SUMIF(EXTRATO!$A$2:$A$3000,$A2990,EXTRATO!$J$2:$J$3000)+SUMIF(EXTRATO!$A$2:$A$3000,$A2990,EXTRATO!$K$2:$K$3000)+SUMIF(EXTRATO!$A$2:$A$3000,$A2990,EXTRATO!$L$2:$L$3000)+SUMIF(EXTRATO!$A$2:$A$3000,$A2990,EXTRATO!$M$2:$M$3000))</f>
        <v/>
      </c>
      <c r="G2990" s="81" t="str">
        <f>IF(A2990="","",IF(INDEX(EXTRATO!$G$2:$G$3000,MATCH($A2990,EXTRATO!$A$2:$A$3000,0))="","",INDEX(EXTRATO!$G$2:$G$3000,MATCH($A2990,EXTRATO!$A$2:$A$3000,0))))</f>
        <v/>
      </c>
      <c r="H2990" s="86" t="str">
        <f>IF(A2990="","",IF(INDEX(EXTRATO!$F$2:$F$3000,MATCH($A2990,EXTRATO!$A$2:$A$3000,0))="","",INDEX(EXTRATO!$F$2:$F$3000,MATCH($A2990,EXTRATO!$A$2:$A$3000,0))))</f>
        <v/>
      </c>
      <c r="I2990" s="88" t="str">
        <f>IF(A2990="","",IF(INDEX(EXTRATO!$H$2:$H$3000,MATCH($A2990,EXTRATO!$A$2:$A$3000,0))="","",INDEX(EXTRATO!$H$2:$H$3000,MATCH($A2990,EXTRATO!$A$2:$A$3000,0))))</f>
        <v/>
      </c>
      <c r="J2990" s="86" t="str">
        <f t="shared" si="81"/>
        <v/>
      </c>
      <c r="K2990" s="86" t="str">
        <f>IF(AND(A2990="",D2990="",E2990="",F2990=""),"",IF(D2990="","SEM CATEGORIA",IF(E2990="","SEM SUBCATEGORIA",IF(COUNTIFS(CADASTROS!$L$7:$L$93,D2990,CADASTROS!$D$7:$D$93,E2990)=0,"INCOMPATÍVEL","OK"))))</f>
        <v/>
      </c>
    </row>
    <row r="2991" spans="1:11" ht="30" hidden="1" customHeight="1" x14ac:dyDescent="0.25">
      <c r="A2991" s="86" t="str">
        <f>IF(COUNTIF(EXTRATO!$A$2:$A$3000,"BAN-02848")=0,"","BAN-02848")</f>
        <v/>
      </c>
      <c r="B2991" s="85" t="str">
        <f>IF(A2991="","",IF(INDEX(EXTRATO!$C$2:$C$3000,MATCH($A2991,EXTRATO!$A$2:$A$3000,0))="","",INDEX(EXTRATO!$C$2:$C$3000,MATCH($A2991,EXTRATO!$A$2:$A$3000,0))))</f>
        <v/>
      </c>
      <c r="C2991" s="86" t="str">
        <f t="shared" si="80"/>
        <v/>
      </c>
      <c r="D2991" s="81"/>
      <c r="E2991" s="79"/>
      <c r="F2991" s="80" t="str">
        <f>IF(A2991="","",SUMIF(EXTRATO!$A$2:$A$3000,$A2991,EXTRATO!$J$2:$J$3000)+SUMIF(EXTRATO!$A$2:$A$3000,$A2991,EXTRATO!$K$2:$K$3000)+SUMIF(EXTRATO!$A$2:$A$3000,$A2991,EXTRATO!$L$2:$L$3000)+SUMIF(EXTRATO!$A$2:$A$3000,$A2991,EXTRATO!$M$2:$M$3000))</f>
        <v/>
      </c>
      <c r="G2991" s="81" t="str">
        <f>IF(A2991="","",IF(INDEX(EXTRATO!$G$2:$G$3000,MATCH($A2991,EXTRATO!$A$2:$A$3000,0))="","",INDEX(EXTRATO!$G$2:$G$3000,MATCH($A2991,EXTRATO!$A$2:$A$3000,0))))</f>
        <v/>
      </c>
      <c r="H2991" s="86" t="str">
        <f>IF(A2991="","",IF(INDEX(EXTRATO!$F$2:$F$3000,MATCH($A2991,EXTRATO!$A$2:$A$3000,0))="","",INDEX(EXTRATO!$F$2:$F$3000,MATCH($A2991,EXTRATO!$A$2:$A$3000,0))))</f>
        <v/>
      </c>
      <c r="I2991" s="88" t="str">
        <f>IF(A2991="","",IF(INDEX(EXTRATO!$H$2:$H$3000,MATCH($A2991,EXTRATO!$A$2:$A$3000,0))="","",INDEX(EXTRATO!$H$2:$H$3000,MATCH($A2991,EXTRATO!$A$2:$A$3000,0))))</f>
        <v/>
      </c>
      <c r="J2991" s="86" t="str">
        <f t="shared" si="81"/>
        <v/>
      </c>
      <c r="K2991" s="86" t="str">
        <f>IF(AND(A2991="",D2991="",E2991="",F2991=""),"",IF(D2991="","SEM CATEGORIA",IF(E2991="","SEM SUBCATEGORIA",IF(COUNTIFS(CADASTROS!$L$7:$L$93,D2991,CADASTROS!$D$7:$D$93,E2991)=0,"INCOMPATÍVEL","OK"))))</f>
        <v/>
      </c>
    </row>
    <row r="2992" spans="1:11" ht="30" hidden="1" customHeight="1" x14ac:dyDescent="0.25">
      <c r="A2992" s="86" t="str">
        <f>IF(COUNTIF(EXTRATO!$A$2:$A$3000,"BAN-02849")=0,"","BAN-02849")</f>
        <v/>
      </c>
      <c r="B2992" s="85" t="str">
        <f>IF(A2992="","",IF(INDEX(EXTRATO!$C$2:$C$3000,MATCH($A2992,EXTRATO!$A$2:$A$3000,0))="","",INDEX(EXTRATO!$C$2:$C$3000,MATCH($A2992,EXTRATO!$A$2:$A$3000,0))))</f>
        <v/>
      </c>
      <c r="C2992" s="86" t="str">
        <f t="shared" si="80"/>
        <v/>
      </c>
      <c r="D2992" s="81"/>
      <c r="E2992" s="79"/>
      <c r="F2992" s="80" t="str">
        <f>IF(A2992="","",SUMIF(EXTRATO!$A$2:$A$3000,$A2992,EXTRATO!$J$2:$J$3000)+SUMIF(EXTRATO!$A$2:$A$3000,$A2992,EXTRATO!$K$2:$K$3000)+SUMIF(EXTRATO!$A$2:$A$3000,$A2992,EXTRATO!$L$2:$L$3000)+SUMIF(EXTRATO!$A$2:$A$3000,$A2992,EXTRATO!$M$2:$M$3000))</f>
        <v/>
      </c>
      <c r="G2992" s="81" t="str">
        <f>IF(A2992="","",IF(INDEX(EXTRATO!$G$2:$G$3000,MATCH($A2992,EXTRATO!$A$2:$A$3000,0))="","",INDEX(EXTRATO!$G$2:$G$3000,MATCH($A2992,EXTRATO!$A$2:$A$3000,0))))</f>
        <v/>
      </c>
      <c r="H2992" s="86" t="str">
        <f>IF(A2992="","",IF(INDEX(EXTRATO!$F$2:$F$3000,MATCH($A2992,EXTRATO!$A$2:$A$3000,0))="","",INDEX(EXTRATO!$F$2:$F$3000,MATCH($A2992,EXTRATO!$A$2:$A$3000,0))))</f>
        <v/>
      </c>
      <c r="I2992" s="88" t="str">
        <f>IF(A2992="","",IF(INDEX(EXTRATO!$H$2:$H$3000,MATCH($A2992,EXTRATO!$A$2:$A$3000,0))="","",INDEX(EXTRATO!$H$2:$H$3000,MATCH($A2992,EXTRATO!$A$2:$A$3000,0))))</f>
        <v/>
      </c>
      <c r="J2992" s="86" t="str">
        <f t="shared" si="81"/>
        <v/>
      </c>
      <c r="K2992" s="86" t="str">
        <f>IF(AND(A2992="",D2992="",E2992="",F2992=""),"",IF(D2992="","SEM CATEGORIA",IF(E2992="","SEM SUBCATEGORIA",IF(COUNTIFS(CADASTROS!$L$7:$L$93,D2992,CADASTROS!$D$7:$D$93,E2992)=0,"INCOMPATÍVEL","OK"))))</f>
        <v/>
      </c>
    </row>
    <row r="2993" spans="1:11" ht="30" hidden="1" customHeight="1" x14ac:dyDescent="0.25">
      <c r="A2993" s="86" t="str">
        <f>IF(COUNTIF(EXTRATO!$A$2:$A$3000,"BAN-02850")=0,"","BAN-02850")</f>
        <v/>
      </c>
      <c r="B2993" s="85" t="str">
        <f>IF(A2993="","",IF(INDEX(EXTRATO!$C$2:$C$3000,MATCH($A2993,EXTRATO!$A$2:$A$3000,0))="","",INDEX(EXTRATO!$C$2:$C$3000,MATCH($A2993,EXTRATO!$A$2:$A$3000,0))))</f>
        <v/>
      </c>
      <c r="C2993" s="86" t="str">
        <f t="shared" si="80"/>
        <v/>
      </c>
      <c r="D2993" s="81"/>
      <c r="E2993" s="79"/>
      <c r="F2993" s="80" t="str">
        <f>IF(A2993="","",SUMIF(EXTRATO!$A$2:$A$3000,$A2993,EXTRATO!$J$2:$J$3000)+SUMIF(EXTRATO!$A$2:$A$3000,$A2993,EXTRATO!$K$2:$K$3000)+SUMIF(EXTRATO!$A$2:$A$3000,$A2993,EXTRATO!$L$2:$L$3000)+SUMIF(EXTRATO!$A$2:$A$3000,$A2993,EXTRATO!$M$2:$M$3000))</f>
        <v/>
      </c>
      <c r="G2993" s="81" t="str">
        <f>IF(A2993="","",IF(INDEX(EXTRATO!$G$2:$G$3000,MATCH($A2993,EXTRATO!$A$2:$A$3000,0))="","",INDEX(EXTRATO!$G$2:$G$3000,MATCH($A2993,EXTRATO!$A$2:$A$3000,0))))</f>
        <v/>
      </c>
      <c r="H2993" s="86" t="str">
        <f>IF(A2993="","",IF(INDEX(EXTRATO!$F$2:$F$3000,MATCH($A2993,EXTRATO!$A$2:$A$3000,0))="","",INDEX(EXTRATO!$F$2:$F$3000,MATCH($A2993,EXTRATO!$A$2:$A$3000,0))))</f>
        <v/>
      </c>
      <c r="I2993" s="88" t="str">
        <f>IF(A2993="","",IF(INDEX(EXTRATO!$H$2:$H$3000,MATCH($A2993,EXTRATO!$A$2:$A$3000,0))="","",INDEX(EXTRATO!$H$2:$H$3000,MATCH($A2993,EXTRATO!$A$2:$A$3000,0))))</f>
        <v/>
      </c>
      <c r="J2993" s="86" t="str">
        <f t="shared" si="81"/>
        <v/>
      </c>
      <c r="K2993" s="86" t="str">
        <f>IF(AND(A2993="",D2993="",E2993="",F2993=""),"",IF(D2993="","SEM CATEGORIA",IF(E2993="","SEM SUBCATEGORIA",IF(COUNTIFS(CADASTROS!$L$7:$L$93,D2993,CADASTROS!$D$7:$D$93,E2993)=0,"INCOMPATÍVEL","OK"))))</f>
        <v/>
      </c>
    </row>
    <row r="2994" spans="1:11" ht="30" hidden="1" customHeight="1" x14ac:dyDescent="0.25">
      <c r="A2994" s="86" t="str">
        <f>IF(COUNTIF(EXTRATO!$A$2:$A$3000,"BAN-02851")=0,"","BAN-02851")</f>
        <v/>
      </c>
      <c r="B2994" s="85" t="str">
        <f>IF(A2994="","",IF(INDEX(EXTRATO!$C$2:$C$3000,MATCH($A2994,EXTRATO!$A$2:$A$3000,0))="","",INDEX(EXTRATO!$C$2:$C$3000,MATCH($A2994,EXTRATO!$A$2:$A$3000,0))))</f>
        <v/>
      </c>
      <c r="C2994" s="86" t="str">
        <f t="shared" si="80"/>
        <v/>
      </c>
      <c r="D2994" s="81"/>
      <c r="E2994" s="79"/>
      <c r="F2994" s="80" t="str">
        <f>IF(A2994="","",SUMIF(EXTRATO!$A$2:$A$3000,$A2994,EXTRATO!$J$2:$J$3000)+SUMIF(EXTRATO!$A$2:$A$3000,$A2994,EXTRATO!$K$2:$K$3000)+SUMIF(EXTRATO!$A$2:$A$3000,$A2994,EXTRATO!$L$2:$L$3000)+SUMIF(EXTRATO!$A$2:$A$3000,$A2994,EXTRATO!$M$2:$M$3000))</f>
        <v/>
      </c>
      <c r="G2994" s="81" t="str">
        <f>IF(A2994="","",IF(INDEX(EXTRATO!$G$2:$G$3000,MATCH($A2994,EXTRATO!$A$2:$A$3000,0))="","",INDEX(EXTRATO!$G$2:$G$3000,MATCH($A2994,EXTRATO!$A$2:$A$3000,0))))</f>
        <v/>
      </c>
      <c r="H2994" s="86" t="str">
        <f>IF(A2994="","",IF(INDEX(EXTRATO!$F$2:$F$3000,MATCH($A2994,EXTRATO!$A$2:$A$3000,0))="","",INDEX(EXTRATO!$F$2:$F$3000,MATCH($A2994,EXTRATO!$A$2:$A$3000,0))))</f>
        <v/>
      </c>
      <c r="I2994" s="88" t="str">
        <f>IF(A2994="","",IF(INDEX(EXTRATO!$H$2:$H$3000,MATCH($A2994,EXTRATO!$A$2:$A$3000,0))="","",INDEX(EXTRATO!$H$2:$H$3000,MATCH($A2994,EXTRATO!$A$2:$A$3000,0))))</f>
        <v/>
      </c>
      <c r="J2994" s="86" t="str">
        <f t="shared" si="81"/>
        <v/>
      </c>
      <c r="K2994" s="86" t="str">
        <f>IF(AND(A2994="",D2994="",E2994="",F2994=""),"",IF(D2994="","SEM CATEGORIA",IF(E2994="","SEM SUBCATEGORIA",IF(COUNTIFS(CADASTROS!$L$7:$L$93,D2994,CADASTROS!$D$7:$D$93,E2994)=0,"INCOMPATÍVEL","OK"))))</f>
        <v/>
      </c>
    </row>
    <row r="2995" spans="1:11" ht="30" hidden="1" customHeight="1" x14ac:dyDescent="0.25">
      <c r="A2995" s="86" t="str">
        <f>IF(COUNTIF(EXTRATO!$A$2:$A$3000,"BAN-02852")=0,"","BAN-02852")</f>
        <v/>
      </c>
      <c r="B2995" s="85" t="str">
        <f>IF(A2995="","",IF(INDEX(EXTRATO!$C$2:$C$3000,MATCH($A2995,EXTRATO!$A$2:$A$3000,0))="","",INDEX(EXTRATO!$C$2:$C$3000,MATCH($A2995,EXTRATO!$A$2:$A$3000,0))))</f>
        <v/>
      </c>
      <c r="C2995" s="86" t="str">
        <f t="shared" si="80"/>
        <v/>
      </c>
      <c r="D2995" s="81"/>
      <c r="E2995" s="79"/>
      <c r="F2995" s="80" t="str">
        <f>IF(A2995="","",SUMIF(EXTRATO!$A$2:$A$3000,$A2995,EXTRATO!$J$2:$J$3000)+SUMIF(EXTRATO!$A$2:$A$3000,$A2995,EXTRATO!$K$2:$K$3000)+SUMIF(EXTRATO!$A$2:$A$3000,$A2995,EXTRATO!$L$2:$L$3000)+SUMIF(EXTRATO!$A$2:$A$3000,$A2995,EXTRATO!$M$2:$M$3000))</f>
        <v/>
      </c>
      <c r="G2995" s="81" t="str">
        <f>IF(A2995="","",IF(INDEX(EXTRATO!$G$2:$G$3000,MATCH($A2995,EXTRATO!$A$2:$A$3000,0))="","",INDEX(EXTRATO!$G$2:$G$3000,MATCH($A2995,EXTRATO!$A$2:$A$3000,0))))</f>
        <v/>
      </c>
      <c r="H2995" s="86" t="str">
        <f>IF(A2995="","",IF(INDEX(EXTRATO!$F$2:$F$3000,MATCH($A2995,EXTRATO!$A$2:$A$3000,0))="","",INDEX(EXTRATO!$F$2:$F$3000,MATCH($A2995,EXTRATO!$A$2:$A$3000,0))))</f>
        <v/>
      </c>
      <c r="I2995" s="88" t="str">
        <f>IF(A2995="","",IF(INDEX(EXTRATO!$H$2:$H$3000,MATCH($A2995,EXTRATO!$A$2:$A$3000,0))="","",INDEX(EXTRATO!$H$2:$H$3000,MATCH($A2995,EXTRATO!$A$2:$A$3000,0))))</f>
        <v/>
      </c>
      <c r="J2995" s="86" t="str">
        <f t="shared" si="81"/>
        <v/>
      </c>
      <c r="K2995" s="86" t="str">
        <f>IF(AND(A2995="",D2995="",E2995="",F2995=""),"",IF(D2995="","SEM CATEGORIA",IF(E2995="","SEM SUBCATEGORIA",IF(COUNTIFS(CADASTROS!$L$7:$L$93,D2995,CADASTROS!$D$7:$D$93,E2995)=0,"INCOMPATÍVEL","OK"))))</f>
        <v/>
      </c>
    </row>
    <row r="2996" spans="1:11" ht="30" hidden="1" customHeight="1" x14ac:dyDescent="0.25">
      <c r="A2996" s="86" t="str">
        <f>IF(COUNTIF(EXTRATO!$A$2:$A$3000,"BAN-02853")=0,"","BAN-02853")</f>
        <v/>
      </c>
      <c r="B2996" s="85" t="str">
        <f>IF(A2996="","",IF(INDEX(EXTRATO!$C$2:$C$3000,MATCH($A2996,EXTRATO!$A$2:$A$3000,0))="","",INDEX(EXTRATO!$C$2:$C$3000,MATCH($A2996,EXTRATO!$A$2:$A$3000,0))))</f>
        <v/>
      </c>
      <c r="C2996" s="86" t="str">
        <f t="shared" si="80"/>
        <v/>
      </c>
      <c r="D2996" s="81"/>
      <c r="E2996" s="79"/>
      <c r="F2996" s="80" t="str">
        <f>IF(A2996="","",SUMIF(EXTRATO!$A$2:$A$3000,$A2996,EXTRATO!$J$2:$J$3000)+SUMIF(EXTRATO!$A$2:$A$3000,$A2996,EXTRATO!$K$2:$K$3000)+SUMIF(EXTRATO!$A$2:$A$3000,$A2996,EXTRATO!$L$2:$L$3000)+SUMIF(EXTRATO!$A$2:$A$3000,$A2996,EXTRATO!$M$2:$M$3000))</f>
        <v/>
      </c>
      <c r="G2996" s="81" t="str">
        <f>IF(A2996="","",IF(INDEX(EXTRATO!$G$2:$G$3000,MATCH($A2996,EXTRATO!$A$2:$A$3000,0))="","",INDEX(EXTRATO!$G$2:$G$3000,MATCH($A2996,EXTRATO!$A$2:$A$3000,0))))</f>
        <v/>
      </c>
      <c r="H2996" s="86" t="str">
        <f>IF(A2996="","",IF(INDEX(EXTRATO!$F$2:$F$3000,MATCH($A2996,EXTRATO!$A$2:$A$3000,0))="","",INDEX(EXTRATO!$F$2:$F$3000,MATCH($A2996,EXTRATO!$A$2:$A$3000,0))))</f>
        <v/>
      </c>
      <c r="I2996" s="88" t="str">
        <f>IF(A2996="","",IF(INDEX(EXTRATO!$H$2:$H$3000,MATCH($A2996,EXTRATO!$A$2:$A$3000,0))="","",INDEX(EXTRATO!$H$2:$H$3000,MATCH($A2996,EXTRATO!$A$2:$A$3000,0))))</f>
        <v/>
      </c>
      <c r="J2996" s="86" t="str">
        <f t="shared" si="81"/>
        <v/>
      </c>
      <c r="K2996" s="86" t="str">
        <f>IF(AND(A2996="",D2996="",E2996="",F2996=""),"",IF(D2996="","SEM CATEGORIA",IF(E2996="","SEM SUBCATEGORIA",IF(COUNTIFS(CADASTROS!$L$7:$L$93,D2996,CADASTROS!$D$7:$D$93,E2996)=0,"INCOMPATÍVEL","OK"))))</f>
        <v/>
      </c>
    </row>
    <row r="2997" spans="1:11" ht="30" hidden="1" customHeight="1" x14ac:dyDescent="0.25">
      <c r="A2997" s="86" t="str">
        <f>IF(COUNTIF(EXTRATO!$A$2:$A$3000,"BAN-02854")=0,"","BAN-02854")</f>
        <v/>
      </c>
      <c r="B2997" s="85" t="str">
        <f>IF(A2997="","",IF(INDEX(EXTRATO!$C$2:$C$3000,MATCH($A2997,EXTRATO!$A$2:$A$3000,0))="","",INDEX(EXTRATO!$C$2:$C$3000,MATCH($A2997,EXTRATO!$A$2:$A$3000,0))))</f>
        <v/>
      </c>
      <c r="C2997" s="86" t="str">
        <f t="shared" si="80"/>
        <v/>
      </c>
      <c r="D2997" s="81"/>
      <c r="E2997" s="79"/>
      <c r="F2997" s="80" t="str">
        <f>IF(A2997="","",SUMIF(EXTRATO!$A$2:$A$3000,$A2997,EXTRATO!$J$2:$J$3000)+SUMIF(EXTRATO!$A$2:$A$3000,$A2997,EXTRATO!$K$2:$K$3000)+SUMIF(EXTRATO!$A$2:$A$3000,$A2997,EXTRATO!$L$2:$L$3000)+SUMIF(EXTRATO!$A$2:$A$3000,$A2997,EXTRATO!$M$2:$M$3000))</f>
        <v/>
      </c>
      <c r="G2997" s="81" t="str">
        <f>IF(A2997="","",IF(INDEX(EXTRATO!$G$2:$G$3000,MATCH($A2997,EXTRATO!$A$2:$A$3000,0))="","",INDEX(EXTRATO!$G$2:$G$3000,MATCH($A2997,EXTRATO!$A$2:$A$3000,0))))</f>
        <v/>
      </c>
      <c r="H2997" s="86" t="str">
        <f>IF(A2997="","",IF(INDEX(EXTRATO!$F$2:$F$3000,MATCH($A2997,EXTRATO!$A$2:$A$3000,0))="","",INDEX(EXTRATO!$F$2:$F$3000,MATCH($A2997,EXTRATO!$A$2:$A$3000,0))))</f>
        <v/>
      </c>
      <c r="I2997" s="88" t="str">
        <f>IF(A2997="","",IF(INDEX(EXTRATO!$H$2:$H$3000,MATCH($A2997,EXTRATO!$A$2:$A$3000,0))="","",INDEX(EXTRATO!$H$2:$H$3000,MATCH($A2997,EXTRATO!$A$2:$A$3000,0))))</f>
        <v/>
      </c>
      <c r="J2997" s="86" t="str">
        <f t="shared" si="81"/>
        <v/>
      </c>
      <c r="K2997" s="86" t="str">
        <f>IF(AND(A2997="",D2997="",E2997="",F2997=""),"",IF(D2997="","SEM CATEGORIA",IF(E2997="","SEM SUBCATEGORIA",IF(COUNTIFS(CADASTROS!$L$7:$L$93,D2997,CADASTROS!$D$7:$D$93,E2997)=0,"INCOMPATÍVEL","OK"))))</f>
        <v/>
      </c>
    </row>
    <row r="2998" spans="1:11" ht="30" hidden="1" customHeight="1" x14ac:dyDescent="0.25">
      <c r="A2998" s="86" t="str">
        <f>IF(COUNTIF(EXTRATO!$A$2:$A$3000,"BAN-02855")=0,"","BAN-02855")</f>
        <v/>
      </c>
      <c r="B2998" s="85" t="str">
        <f>IF(A2998="","",IF(INDEX(EXTRATO!$C$2:$C$3000,MATCH($A2998,EXTRATO!$A$2:$A$3000,0))="","",INDEX(EXTRATO!$C$2:$C$3000,MATCH($A2998,EXTRATO!$A$2:$A$3000,0))))</f>
        <v/>
      </c>
      <c r="C2998" s="86" t="str">
        <f t="shared" si="80"/>
        <v/>
      </c>
      <c r="D2998" s="81"/>
      <c r="E2998" s="79"/>
      <c r="F2998" s="80" t="str">
        <f>IF(A2998="","",SUMIF(EXTRATO!$A$2:$A$3000,$A2998,EXTRATO!$J$2:$J$3000)+SUMIF(EXTRATO!$A$2:$A$3000,$A2998,EXTRATO!$K$2:$K$3000)+SUMIF(EXTRATO!$A$2:$A$3000,$A2998,EXTRATO!$L$2:$L$3000)+SUMIF(EXTRATO!$A$2:$A$3000,$A2998,EXTRATO!$M$2:$M$3000))</f>
        <v/>
      </c>
      <c r="G2998" s="81" t="str">
        <f>IF(A2998="","",IF(INDEX(EXTRATO!$G$2:$G$3000,MATCH($A2998,EXTRATO!$A$2:$A$3000,0))="","",INDEX(EXTRATO!$G$2:$G$3000,MATCH($A2998,EXTRATO!$A$2:$A$3000,0))))</f>
        <v/>
      </c>
      <c r="H2998" s="86" t="str">
        <f>IF(A2998="","",IF(INDEX(EXTRATO!$F$2:$F$3000,MATCH($A2998,EXTRATO!$A$2:$A$3000,0))="","",INDEX(EXTRATO!$F$2:$F$3000,MATCH($A2998,EXTRATO!$A$2:$A$3000,0))))</f>
        <v/>
      </c>
      <c r="I2998" s="88" t="str">
        <f>IF(A2998="","",IF(INDEX(EXTRATO!$H$2:$H$3000,MATCH($A2998,EXTRATO!$A$2:$A$3000,0))="","",INDEX(EXTRATO!$H$2:$H$3000,MATCH($A2998,EXTRATO!$A$2:$A$3000,0))))</f>
        <v/>
      </c>
      <c r="J2998" s="86" t="str">
        <f t="shared" si="81"/>
        <v/>
      </c>
      <c r="K2998" s="86" t="str">
        <f>IF(AND(A2998="",D2998="",E2998="",F2998=""),"",IF(D2998="","SEM CATEGORIA",IF(E2998="","SEM SUBCATEGORIA",IF(COUNTIFS(CADASTROS!$L$7:$L$93,D2998,CADASTROS!$D$7:$D$93,E2998)=0,"INCOMPATÍVEL","OK"))))</f>
        <v/>
      </c>
    </row>
    <row r="2999" spans="1:11" ht="30" hidden="1" customHeight="1" x14ac:dyDescent="0.25">
      <c r="A2999" s="86" t="str">
        <f>IF(COUNTIF(EXTRATO!$A$2:$A$3000,"BAN-02856")=0,"","BAN-02856")</f>
        <v/>
      </c>
      <c r="B2999" s="85" t="str">
        <f>IF(A2999="","",IF(INDEX(EXTRATO!$C$2:$C$3000,MATCH($A2999,EXTRATO!$A$2:$A$3000,0))="","",INDEX(EXTRATO!$C$2:$C$3000,MATCH($A2999,EXTRATO!$A$2:$A$3000,0))))</f>
        <v/>
      </c>
      <c r="C2999" s="86" t="str">
        <f t="shared" si="80"/>
        <v/>
      </c>
      <c r="D2999" s="81"/>
      <c r="E2999" s="79"/>
      <c r="F2999" s="80" t="str">
        <f>IF(A2999="","",SUMIF(EXTRATO!$A$2:$A$3000,$A2999,EXTRATO!$J$2:$J$3000)+SUMIF(EXTRATO!$A$2:$A$3000,$A2999,EXTRATO!$K$2:$K$3000)+SUMIF(EXTRATO!$A$2:$A$3000,$A2999,EXTRATO!$L$2:$L$3000)+SUMIF(EXTRATO!$A$2:$A$3000,$A2999,EXTRATO!$M$2:$M$3000))</f>
        <v/>
      </c>
      <c r="G2999" s="81" t="str">
        <f>IF(A2999="","",IF(INDEX(EXTRATO!$G$2:$G$3000,MATCH($A2999,EXTRATO!$A$2:$A$3000,0))="","",INDEX(EXTRATO!$G$2:$G$3000,MATCH($A2999,EXTRATO!$A$2:$A$3000,0))))</f>
        <v/>
      </c>
      <c r="H2999" s="86" t="str">
        <f>IF(A2999="","",IF(INDEX(EXTRATO!$F$2:$F$3000,MATCH($A2999,EXTRATO!$A$2:$A$3000,0))="","",INDEX(EXTRATO!$F$2:$F$3000,MATCH($A2999,EXTRATO!$A$2:$A$3000,0))))</f>
        <v/>
      </c>
      <c r="I2999" s="88" t="str">
        <f>IF(A2999="","",IF(INDEX(EXTRATO!$H$2:$H$3000,MATCH($A2999,EXTRATO!$A$2:$A$3000,0))="","",INDEX(EXTRATO!$H$2:$H$3000,MATCH($A2999,EXTRATO!$A$2:$A$3000,0))))</f>
        <v/>
      </c>
      <c r="J2999" s="86" t="str">
        <f t="shared" si="81"/>
        <v/>
      </c>
      <c r="K2999" s="86" t="str">
        <f>IF(AND(A2999="",D2999="",E2999="",F2999=""),"",IF(D2999="","SEM CATEGORIA",IF(E2999="","SEM SUBCATEGORIA",IF(COUNTIFS(CADASTROS!$L$7:$L$93,D2999,CADASTROS!$D$7:$D$93,E2999)=0,"INCOMPATÍVEL","OK"))))</f>
        <v/>
      </c>
    </row>
    <row r="3000" spans="1:11" ht="30" hidden="1" customHeight="1" x14ac:dyDescent="0.25">
      <c r="A3000" s="86" t="str">
        <f>IF(COUNTIF(EXTRATO!$A$2:$A$3000,"BAN-02857")=0,"","BAN-02857")</f>
        <v/>
      </c>
      <c r="B3000" s="85" t="str">
        <f>IF(A3000="","",IF(INDEX(EXTRATO!$C$2:$C$3000,MATCH($A3000,EXTRATO!$A$2:$A$3000,0))="","",INDEX(EXTRATO!$C$2:$C$3000,MATCH($A3000,EXTRATO!$A$2:$A$3000,0))))</f>
        <v/>
      </c>
      <c r="C3000" s="86" t="str">
        <f t="shared" si="80"/>
        <v/>
      </c>
      <c r="D3000" s="81"/>
      <c r="E3000" s="79"/>
      <c r="F3000" s="80" t="str">
        <f>IF(A3000="","",SUMIF(EXTRATO!$A$2:$A$3000,$A3000,EXTRATO!$J$2:$J$3000)+SUMIF(EXTRATO!$A$2:$A$3000,$A3000,EXTRATO!$K$2:$K$3000)+SUMIF(EXTRATO!$A$2:$A$3000,$A3000,EXTRATO!$L$2:$L$3000)+SUMIF(EXTRATO!$A$2:$A$3000,$A3000,EXTRATO!$M$2:$M$3000))</f>
        <v/>
      </c>
      <c r="G3000" s="81" t="str">
        <f>IF(A3000="","",IF(INDEX(EXTRATO!$G$2:$G$3000,MATCH($A3000,EXTRATO!$A$2:$A$3000,0))="","",INDEX(EXTRATO!$G$2:$G$3000,MATCH($A3000,EXTRATO!$A$2:$A$3000,0))))</f>
        <v/>
      </c>
      <c r="H3000" s="86" t="str">
        <f>IF(A3000="","",IF(INDEX(EXTRATO!$F$2:$F$3000,MATCH($A3000,EXTRATO!$A$2:$A$3000,0))="","",INDEX(EXTRATO!$F$2:$F$3000,MATCH($A3000,EXTRATO!$A$2:$A$3000,0))))</f>
        <v/>
      </c>
      <c r="I3000" s="88" t="str">
        <f>IF(A3000="","",IF(INDEX(EXTRATO!$H$2:$H$3000,MATCH($A3000,EXTRATO!$A$2:$A$3000,0))="","",INDEX(EXTRATO!$H$2:$H$3000,MATCH($A3000,EXTRATO!$A$2:$A$3000,0))))</f>
        <v/>
      </c>
      <c r="J3000" s="86" t="str">
        <f t="shared" si="81"/>
        <v/>
      </c>
      <c r="K3000" s="86" t="str">
        <f>IF(AND(A3000="",D3000="",E3000="",F3000=""),"",IF(D3000="","SEM CATEGORIA",IF(E3000="","SEM SUBCATEGORIA",IF(COUNTIFS(CADASTROS!$L$7:$L$93,D3000,CADASTROS!$D$7:$D$93,E3000)=0,"INCOMPATÍVEL","OK"))))</f>
        <v/>
      </c>
    </row>
    <row r="3001" spans="1:11" ht="30" hidden="1" customHeight="1" x14ac:dyDescent="0.25">
      <c r="A3001" s="86" t="str">
        <f>IF(COUNTIF(EXTRATO!$A$2:$A$3000,"BAN-02858")=0,"","BAN-02858")</f>
        <v/>
      </c>
      <c r="B3001" s="85" t="str">
        <f>IF(A3001="","",IF(INDEX(EXTRATO!$C$2:$C$3000,MATCH($A3001,EXTRATO!$A$2:$A$3000,0))="","",INDEX(EXTRATO!$C$2:$C$3000,MATCH($A3001,EXTRATO!$A$2:$A$3000,0))))</f>
        <v/>
      </c>
      <c r="C3001" s="86" t="str">
        <f t="shared" si="80"/>
        <v/>
      </c>
      <c r="D3001" s="81"/>
      <c r="E3001" s="79"/>
      <c r="F3001" s="80" t="str">
        <f>IF(A3001="","",SUMIF(EXTRATO!$A$2:$A$3000,$A3001,EXTRATO!$J$2:$J$3000)+SUMIF(EXTRATO!$A$2:$A$3000,$A3001,EXTRATO!$K$2:$K$3000)+SUMIF(EXTRATO!$A$2:$A$3000,$A3001,EXTRATO!$L$2:$L$3000)+SUMIF(EXTRATO!$A$2:$A$3000,$A3001,EXTRATO!$M$2:$M$3000))</f>
        <v/>
      </c>
      <c r="G3001" s="81" t="str">
        <f>IF(A3001="","",IF(INDEX(EXTRATO!$G$2:$G$3000,MATCH($A3001,EXTRATO!$A$2:$A$3000,0))="","",INDEX(EXTRATO!$G$2:$G$3000,MATCH($A3001,EXTRATO!$A$2:$A$3000,0))))</f>
        <v/>
      </c>
      <c r="H3001" s="86" t="str">
        <f>IF(A3001="","",IF(INDEX(EXTRATO!$F$2:$F$3000,MATCH($A3001,EXTRATO!$A$2:$A$3000,0))="","",INDEX(EXTRATO!$F$2:$F$3000,MATCH($A3001,EXTRATO!$A$2:$A$3000,0))))</f>
        <v/>
      </c>
      <c r="I3001" s="88" t="str">
        <f>IF(A3001="","",IF(INDEX(EXTRATO!$H$2:$H$3000,MATCH($A3001,EXTRATO!$A$2:$A$3000,0))="","",INDEX(EXTRATO!$H$2:$H$3000,MATCH($A3001,EXTRATO!$A$2:$A$3000,0))))</f>
        <v/>
      </c>
      <c r="J3001" s="86" t="str">
        <f t="shared" si="81"/>
        <v/>
      </c>
      <c r="K3001" s="86" t="str">
        <f>IF(AND(A3001="",D3001="",E3001="",F3001=""),"",IF(D3001="","SEM CATEGORIA",IF(E3001="","SEM SUBCATEGORIA",IF(COUNTIFS(CADASTROS!$L$7:$L$93,D3001,CADASTROS!$D$7:$D$93,E3001)=0,"INCOMPATÍVEL","OK"))))</f>
        <v/>
      </c>
    </row>
    <row r="3002" spans="1:11" ht="30" hidden="1" customHeight="1" x14ac:dyDescent="0.25">
      <c r="A3002" s="86" t="str">
        <f>IF(COUNTIF(EXTRATO!$A$2:$A$3000,"BAN-02859")=0,"","BAN-02859")</f>
        <v/>
      </c>
      <c r="B3002" s="85" t="str">
        <f>IF(A3002="","",IF(INDEX(EXTRATO!$C$2:$C$3000,MATCH($A3002,EXTRATO!$A$2:$A$3000,0))="","",INDEX(EXTRATO!$C$2:$C$3000,MATCH($A3002,EXTRATO!$A$2:$A$3000,0))))</f>
        <v/>
      </c>
      <c r="C3002" s="86" t="str">
        <f t="shared" si="80"/>
        <v/>
      </c>
      <c r="D3002" s="81"/>
      <c r="E3002" s="79"/>
      <c r="F3002" s="80" t="str">
        <f>IF(A3002="","",SUMIF(EXTRATO!$A$2:$A$3000,$A3002,EXTRATO!$J$2:$J$3000)+SUMIF(EXTRATO!$A$2:$A$3000,$A3002,EXTRATO!$K$2:$K$3000)+SUMIF(EXTRATO!$A$2:$A$3000,$A3002,EXTRATO!$L$2:$L$3000)+SUMIF(EXTRATO!$A$2:$A$3000,$A3002,EXTRATO!$M$2:$M$3000))</f>
        <v/>
      </c>
      <c r="G3002" s="81" t="str">
        <f>IF(A3002="","",IF(INDEX(EXTRATO!$G$2:$G$3000,MATCH($A3002,EXTRATO!$A$2:$A$3000,0))="","",INDEX(EXTRATO!$G$2:$G$3000,MATCH($A3002,EXTRATO!$A$2:$A$3000,0))))</f>
        <v/>
      </c>
      <c r="H3002" s="86" t="str">
        <f>IF(A3002="","",IF(INDEX(EXTRATO!$F$2:$F$3000,MATCH($A3002,EXTRATO!$A$2:$A$3000,0))="","",INDEX(EXTRATO!$F$2:$F$3000,MATCH($A3002,EXTRATO!$A$2:$A$3000,0))))</f>
        <v/>
      </c>
      <c r="I3002" s="88" t="str">
        <f>IF(A3002="","",IF(INDEX(EXTRATO!$H$2:$H$3000,MATCH($A3002,EXTRATO!$A$2:$A$3000,0))="","",INDEX(EXTRATO!$H$2:$H$3000,MATCH($A3002,EXTRATO!$A$2:$A$3000,0))))</f>
        <v/>
      </c>
      <c r="J3002" s="86" t="str">
        <f t="shared" si="81"/>
        <v/>
      </c>
      <c r="K3002" s="86" t="str">
        <f>IF(AND(A3002="",D3002="",E3002="",F3002=""),"",IF(D3002="","SEM CATEGORIA",IF(E3002="","SEM SUBCATEGORIA",IF(COUNTIFS(CADASTROS!$L$7:$L$93,D3002,CADASTROS!$D$7:$D$93,E3002)=0,"INCOMPATÍVEL","OK"))))</f>
        <v/>
      </c>
    </row>
    <row r="3003" spans="1:11" ht="30" hidden="1" customHeight="1" x14ac:dyDescent="0.25">
      <c r="A3003" s="86" t="str">
        <f>IF(COUNTIF(EXTRATO!$A$2:$A$3000,"BAN-02860")=0,"","BAN-02860")</f>
        <v/>
      </c>
      <c r="B3003" s="85" t="str">
        <f>IF(A3003="","",IF(INDEX(EXTRATO!$C$2:$C$3000,MATCH($A3003,EXTRATO!$A$2:$A$3000,0))="","",INDEX(EXTRATO!$C$2:$C$3000,MATCH($A3003,EXTRATO!$A$2:$A$3000,0))))</f>
        <v/>
      </c>
      <c r="C3003" s="86" t="str">
        <f t="shared" si="80"/>
        <v/>
      </c>
      <c r="D3003" s="81"/>
      <c r="E3003" s="79"/>
      <c r="F3003" s="80" t="str">
        <f>IF(A3003="","",SUMIF(EXTRATO!$A$2:$A$3000,$A3003,EXTRATO!$J$2:$J$3000)+SUMIF(EXTRATO!$A$2:$A$3000,$A3003,EXTRATO!$K$2:$K$3000)+SUMIF(EXTRATO!$A$2:$A$3000,$A3003,EXTRATO!$L$2:$L$3000)+SUMIF(EXTRATO!$A$2:$A$3000,$A3003,EXTRATO!$M$2:$M$3000))</f>
        <v/>
      </c>
      <c r="G3003" s="81" t="str">
        <f>IF(A3003="","",IF(INDEX(EXTRATO!$G$2:$G$3000,MATCH($A3003,EXTRATO!$A$2:$A$3000,0))="","",INDEX(EXTRATO!$G$2:$G$3000,MATCH($A3003,EXTRATO!$A$2:$A$3000,0))))</f>
        <v/>
      </c>
      <c r="H3003" s="86" t="str">
        <f>IF(A3003="","",IF(INDEX(EXTRATO!$F$2:$F$3000,MATCH($A3003,EXTRATO!$A$2:$A$3000,0))="","",INDEX(EXTRATO!$F$2:$F$3000,MATCH($A3003,EXTRATO!$A$2:$A$3000,0))))</f>
        <v/>
      </c>
      <c r="I3003" s="88" t="str">
        <f>IF(A3003="","",IF(INDEX(EXTRATO!$H$2:$H$3000,MATCH($A3003,EXTRATO!$A$2:$A$3000,0))="","",INDEX(EXTRATO!$H$2:$H$3000,MATCH($A3003,EXTRATO!$A$2:$A$3000,0))))</f>
        <v/>
      </c>
      <c r="J3003" s="86" t="str">
        <f t="shared" si="81"/>
        <v/>
      </c>
      <c r="K3003" s="86" t="str">
        <f>IF(AND(A3003="",D3003="",E3003="",F3003=""),"",IF(D3003="","SEM CATEGORIA",IF(E3003="","SEM SUBCATEGORIA",IF(COUNTIFS(CADASTROS!$L$7:$L$93,D3003,CADASTROS!$D$7:$D$93,E3003)=0,"INCOMPATÍVEL","OK"))))</f>
        <v/>
      </c>
    </row>
    <row r="3004" spans="1:11" ht="30" hidden="1" customHeight="1" x14ac:dyDescent="0.25">
      <c r="A3004" s="86" t="str">
        <f>IF(COUNTIF(EXTRATO!$A$2:$A$3000,"BAN-02861")=0,"","BAN-02861")</f>
        <v/>
      </c>
      <c r="B3004" s="85" t="str">
        <f>IF(A3004="","",IF(INDEX(EXTRATO!$C$2:$C$3000,MATCH($A3004,EXTRATO!$A$2:$A$3000,0))="","",INDEX(EXTRATO!$C$2:$C$3000,MATCH($A3004,EXTRATO!$A$2:$A$3000,0))))</f>
        <v/>
      </c>
      <c r="C3004" s="86" t="str">
        <f t="shared" si="80"/>
        <v/>
      </c>
      <c r="D3004" s="81"/>
      <c r="E3004" s="79"/>
      <c r="F3004" s="80" t="str">
        <f>IF(A3004="","",SUMIF(EXTRATO!$A$2:$A$3000,$A3004,EXTRATO!$J$2:$J$3000)+SUMIF(EXTRATO!$A$2:$A$3000,$A3004,EXTRATO!$K$2:$K$3000)+SUMIF(EXTRATO!$A$2:$A$3000,$A3004,EXTRATO!$L$2:$L$3000)+SUMIF(EXTRATO!$A$2:$A$3000,$A3004,EXTRATO!$M$2:$M$3000))</f>
        <v/>
      </c>
      <c r="G3004" s="81" t="str">
        <f>IF(A3004="","",IF(INDEX(EXTRATO!$G$2:$G$3000,MATCH($A3004,EXTRATO!$A$2:$A$3000,0))="","",INDEX(EXTRATO!$G$2:$G$3000,MATCH($A3004,EXTRATO!$A$2:$A$3000,0))))</f>
        <v/>
      </c>
      <c r="H3004" s="86" t="str">
        <f>IF(A3004="","",IF(INDEX(EXTRATO!$F$2:$F$3000,MATCH($A3004,EXTRATO!$A$2:$A$3000,0))="","",INDEX(EXTRATO!$F$2:$F$3000,MATCH($A3004,EXTRATO!$A$2:$A$3000,0))))</f>
        <v/>
      </c>
      <c r="I3004" s="88" t="str">
        <f>IF(A3004="","",IF(INDEX(EXTRATO!$H$2:$H$3000,MATCH($A3004,EXTRATO!$A$2:$A$3000,0))="","",INDEX(EXTRATO!$H$2:$H$3000,MATCH($A3004,EXTRATO!$A$2:$A$3000,0))))</f>
        <v/>
      </c>
      <c r="J3004" s="86" t="str">
        <f t="shared" si="81"/>
        <v/>
      </c>
      <c r="K3004" s="86" t="str">
        <f>IF(AND(A3004="",D3004="",E3004="",F3004=""),"",IF(D3004="","SEM CATEGORIA",IF(E3004="","SEM SUBCATEGORIA",IF(COUNTIFS(CADASTROS!$L$7:$L$93,D3004,CADASTROS!$D$7:$D$93,E3004)=0,"INCOMPATÍVEL","OK"))))</f>
        <v/>
      </c>
    </row>
    <row r="3005" spans="1:11" ht="30" hidden="1" customHeight="1" x14ac:dyDescent="0.25">
      <c r="A3005" s="86" t="str">
        <f>IF(COUNTIF(EXTRATO!$A$2:$A$3000,"BAN-02862")=0,"","BAN-02862")</f>
        <v/>
      </c>
      <c r="B3005" s="85" t="str">
        <f>IF(A3005="","",IF(INDEX(EXTRATO!$C$2:$C$3000,MATCH($A3005,EXTRATO!$A$2:$A$3000,0))="","",INDEX(EXTRATO!$C$2:$C$3000,MATCH($A3005,EXTRATO!$A$2:$A$3000,0))))</f>
        <v/>
      </c>
      <c r="C3005" s="86" t="str">
        <f t="shared" si="80"/>
        <v/>
      </c>
      <c r="D3005" s="81"/>
      <c r="E3005" s="79"/>
      <c r="F3005" s="80" t="str">
        <f>IF(A3005="","",SUMIF(EXTRATO!$A$2:$A$3000,$A3005,EXTRATO!$J$2:$J$3000)+SUMIF(EXTRATO!$A$2:$A$3000,$A3005,EXTRATO!$K$2:$K$3000)+SUMIF(EXTRATO!$A$2:$A$3000,$A3005,EXTRATO!$L$2:$L$3000)+SUMIF(EXTRATO!$A$2:$A$3000,$A3005,EXTRATO!$M$2:$M$3000))</f>
        <v/>
      </c>
      <c r="G3005" s="81" t="str">
        <f>IF(A3005="","",IF(INDEX(EXTRATO!$G$2:$G$3000,MATCH($A3005,EXTRATO!$A$2:$A$3000,0))="","",INDEX(EXTRATO!$G$2:$G$3000,MATCH($A3005,EXTRATO!$A$2:$A$3000,0))))</f>
        <v/>
      </c>
      <c r="H3005" s="86" t="str">
        <f>IF(A3005="","",IF(INDEX(EXTRATO!$F$2:$F$3000,MATCH($A3005,EXTRATO!$A$2:$A$3000,0))="","",INDEX(EXTRATO!$F$2:$F$3000,MATCH($A3005,EXTRATO!$A$2:$A$3000,0))))</f>
        <v/>
      </c>
      <c r="I3005" s="88" t="str">
        <f>IF(A3005="","",IF(INDEX(EXTRATO!$H$2:$H$3000,MATCH($A3005,EXTRATO!$A$2:$A$3000,0))="","",INDEX(EXTRATO!$H$2:$H$3000,MATCH($A3005,EXTRATO!$A$2:$A$3000,0))))</f>
        <v/>
      </c>
      <c r="J3005" s="86" t="str">
        <f t="shared" si="81"/>
        <v/>
      </c>
      <c r="K3005" s="86" t="str">
        <f>IF(AND(A3005="",D3005="",E3005="",F3005=""),"",IF(D3005="","SEM CATEGORIA",IF(E3005="","SEM SUBCATEGORIA",IF(COUNTIFS(CADASTROS!$L$7:$L$93,D3005,CADASTROS!$D$7:$D$93,E3005)=0,"INCOMPATÍVEL","OK"))))</f>
        <v/>
      </c>
    </row>
    <row r="3006" spans="1:11" ht="30" hidden="1" customHeight="1" x14ac:dyDescent="0.25">
      <c r="A3006" s="86" t="str">
        <f>IF(COUNTIF(EXTRATO!$A$2:$A$3000,"BAN-02863")=0,"","BAN-02863")</f>
        <v/>
      </c>
      <c r="B3006" s="85" t="str">
        <f>IF(A3006="","",IF(INDEX(EXTRATO!$C$2:$C$3000,MATCH($A3006,EXTRATO!$A$2:$A$3000,0))="","",INDEX(EXTRATO!$C$2:$C$3000,MATCH($A3006,EXTRATO!$A$2:$A$3000,0))))</f>
        <v/>
      </c>
      <c r="C3006" s="86" t="str">
        <f t="shared" si="80"/>
        <v/>
      </c>
      <c r="D3006" s="81"/>
      <c r="E3006" s="79"/>
      <c r="F3006" s="80" t="str">
        <f>IF(A3006="","",SUMIF(EXTRATO!$A$2:$A$3000,$A3006,EXTRATO!$J$2:$J$3000)+SUMIF(EXTRATO!$A$2:$A$3000,$A3006,EXTRATO!$K$2:$K$3000)+SUMIF(EXTRATO!$A$2:$A$3000,$A3006,EXTRATO!$L$2:$L$3000)+SUMIF(EXTRATO!$A$2:$A$3000,$A3006,EXTRATO!$M$2:$M$3000))</f>
        <v/>
      </c>
      <c r="G3006" s="81" t="str">
        <f>IF(A3006="","",IF(INDEX(EXTRATO!$G$2:$G$3000,MATCH($A3006,EXTRATO!$A$2:$A$3000,0))="","",INDEX(EXTRATO!$G$2:$G$3000,MATCH($A3006,EXTRATO!$A$2:$A$3000,0))))</f>
        <v/>
      </c>
      <c r="H3006" s="86" t="str">
        <f>IF(A3006="","",IF(INDEX(EXTRATO!$F$2:$F$3000,MATCH($A3006,EXTRATO!$A$2:$A$3000,0))="","",INDEX(EXTRATO!$F$2:$F$3000,MATCH($A3006,EXTRATO!$A$2:$A$3000,0))))</f>
        <v/>
      </c>
      <c r="I3006" s="88" t="str">
        <f>IF(A3006="","",IF(INDEX(EXTRATO!$H$2:$H$3000,MATCH($A3006,EXTRATO!$A$2:$A$3000,0))="","",INDEX(EXTRATO!$H$2:$H$3000,MATCH($A3006,EXTRATO!$A$2:$A$3000,0))))</f>
        <v/>
      </c>
      <c r="J3006" s="86" t="str">
        <f t="shared" si="81"/>
        <v/>
      </c>
      <c r="K3006" s="86" t="str">
        <f>IF(AND(A3006="",D3006="",E3006="",F3006=""),"",IF(D3006="","SEM CATEGORIA",IF(E3006="","SEM SUBCATEGORIA",IF(COUNTIFS(CADASTROS!$L$7:$L$93,D3006,CADASTROS!$D$7:$D$93,E3006)=0,"INCOMPATÍVEL","OK"))))</f>
        <v/>
      </c>
    </row>
    <row r="3007" spans="1:11" ht="30" hidden="1" customHeight="1" x14ac:dyDescent="0.25">
      <c r="A3007" s="86" t="str">
        <f>IF(COUNTIF(EXTRATO!$A$2:$A$3000,"BAN-02864")=0,"","BAN-02864")</f>
        <v/>
      </c>
      <c r="B3007" s="85" t="str">
        <f>IF(A3007="","",IF(INDEX(EXTRATO!$C$2:$C$3000,MATCH($A3007,EXTRATO!$A$2:$A$3000,0))="","",INDEX(EXTRATO!$C$2:$C$3000,MATCH($A3007,EXTRATO!$A$2:$A$3000,0))))</f>
        <v/>
      </c>
      <c r="C3007" s="86" t="str">
        <f t="shared" si="80"/>
        <v/>
      </c>
      <c r="D3007" s="81"/>
      <c r="E3007" s="79"/>
      <c r="F3007" s="80" t="str">
        <f>IF(A3007="","",SUMIF(EXTRATO!$A$2:$A$3000,$A3007,EXTRATO!$J$2:$J$3000)+SUMIF(EXTRATO!$A$2:$A$3000,$A3007,EXTRATO!$K$2:$K$3000)+SUMIF(EXTRATO!$A$2:$A$3000,$A3007,EXTRATO!$L$2:$L$3000)+SUMIF(EXTRATO!$A$2:$A$3000,$A3007,EXTRATO!$M$2:$M$3000))</f>
        <v/>
      </c>
      <c r="G3007" s="81" t="str">
        <f>IF(A3007="","",IF(INDEX(EXTRATO!$G$2:$G$3000,MATCH($A3007,EXTRATO!$A$2:$A$3000,0))="","",INDEX(EXTRATO!$G$2:$G$3000,MATCH($A3007,EXTRATO!$A$2:$A$3000,0))))</f>
        <v/>
      </c>
      <c r="H3007" s="86" t="str">
        <f>IF(A3007="","",IF(INDEX(EXTRATO!$F$2:$F$3000,MATCH($A3007,EXTRATO!$A$2:$A$3000,0))="","",INDEX(EXTRATO!$F$2:$F$3000,MATCH($A3007,EXTRATO!$A$2:$A$3000,0))))</f>
        <v/>
      </c>
      <c r="I3007" s="88" t="str">
        <f>IF(A3007="","",IF(INDEX(EXTRATO!$H$2:$H$3000,MATCH($A3007,EXTRATO!$A$2:$A$3000,0))="","",INDEX(EXTRATO!$H$2:$H$3000,MATCH($A3007,EXTRATO!$A$2:$A$3000,0))))</f>
        <v/>
      </c>
      <c r="J3007" s="86" t="str">
        <f t="shared" si="81"/>
        <v/>
      </c>
      <c r="K3007" s="86" t="str">
        <f>IF(AND(A3007="",D3007="",E3007="",F3007=""),"",IF(D3007="","SEM CATEGORIA",IF(E3007="","SEM SUBCATEGORIA",IF(COUNTIFS(CADASTROS!$L$7:$L$93,D3007,CADASTROS!$D$7:$D$93,E3007)=0,"INCOMPATÍVEL","OK"))))</f>
        <v/>
      </c>
    </row>
    <row r="3008" spans="1:11" ht="30" hidden="1" customHeight="1" x14ac:dyDescent="0.25">
      <c r="A3008" s="86" t="str">
        <f>IF(COUNTIF(EXTRATO!$A$2:$A$3000,"BAN-02865")=0,"","BAN-02865")</f>
        <v/>
      </c>
      <c r="B3008" s="85" t="str">
        <f>IF(A3008="","",IF(INDEX(EXTRATO!$C$2:$C$3000,MATCH($A3008,EXTRATO!$A$2:$A$3000,0))="","",INDEX(EXTRATO!$C$2:$C$3000,MATCH($A3008,EXTRATO!$A$2:$A$3000,0))))</f>
        <v/>
      </c>
      <c r="C3008" s="86" t="str">
        <f t="shared" si="80"/>
        <v/>
      </c>
      <c r="D3008" s="81"/>
      <c r="E3008" s="79"/>
      <c r="F3008" s="80" t="str">
        <f>IF(A3008="","",SUMIF(EXTRATO!$A$2:$A$3000,$A3008,EXTRATO!$J$2:$J$3000)+SUMIF(EXTRATO!$A$2:$A$3000,$A3008,EXTRATO!$K$2:$K$3000)+SUMIF(EXTRATO!$A$2:$A$3000,$A3008,EXTRATO!$L$2:$L$3000)+SUMIF(EXTRATO!$A$2:$A$3000,$A3008,EXTRATO!$M$2:$M$3000))</f>
        <v/>
      </c>
      <c r="G3008" s="81" t="str">
        <f>IF(A3008="","",IF(INDEX(EXTRATO!$G$2:$G$3000,MATCH($A3008,EXTRATO!$A$2:$A$3000,0))="","",INDEX(EXTRATO!$G$2:$G$3000,MATCH($A3008,EXTRATO!$A$2:$A$3000,0))))</f>
        <v/>
      </c>
      <c r="H3008" s="86" t="str">
        <f>IF(A3008="","",IF(INDEX(EXTRATO!$F$2:$F$3000,MATCH($A3008,EXTRATO!$A$2:$A$3000,0))="","",INDEX(EXTRATO!$F$2:$F$3000,MATCH($A3008,EXTRATO!$A$2:$A$3000,0))))</f>
        <v/>
      </c>
      <c r="I3008" s="88" t="str">
        <f>IF(A3008="","",IF(INDEX(EXTRATO!$H$2:$H$3000,MATCH($A3008,EXTRATO!$A$2:$A$3000,0))="","",INDEX(EXTRATO!$H$2:$H$3000,MATCH($A3008,EXTRATO!$A$2:$A$3000,0))))</f>
        <v/>
      </c>
      <c r="J3008" s="86" t="str">
        <f t="shared" si="81"/>
        <v/>
      </c>
      <c r="K3008" s="86" t="str">
        <f>IF(AND(A3008="",D3008="",E3008="",F3008=""),"",IF(D3008="","SEM CATEGORIA",IF(E3008="","SEM SUBCATEGORIA",IF(COUNTIFS(CADASTROS!$L$7:$L$93,D3008,CADASTROS!$D$7:$D$93,E3008)=0,"INCOMPATÍVEL","OK"))))</f>
        <v/>
      </c>
    </row>
    <row r="3009" spans="1:11" ht="30" hidden="1" customHeight="1" x14ac:dyDescent="0.25">
      <c r="A3009" s="86" t="str">
        <f>IF(COUNTIF(EXTRATO!$A$2:$A$3000,"BAN-02866")=0,"","BAN-02866")</f>
        <v/>
      </c>
      <c r="B3009" s="85" t="str">
        <f>IF(A3009="","",IF(INDEX(EXTRATO!$C$2:$C$3000,MATCH($A3009,EXTRATO!$A$2:$A$3000,0))="","",INDEX(EXTRATO!$C$2:$C$3000,MATCH($A3009,EXTRATO!$A$2:$A$3000,0))))</f>
        <v/>
      </c>
      <c r="C3009" s="86" t="str">
        <f t="shared" si="80"/>
        <v/>
      </c>
      <c r="D3009" s="81"/>
      <c r="E3009" s="79"/>
      <c r="F3009" s="80" t="str">
        <f>IF(A3009="","",SUMIF(EXTRATO!$A$2:$A$3000,$A3009,EXTRATO!$J$2:$J$3000)+SUMIF(EXTRATO!$A$2:$A$3000,$A3009,EXTRATO!$K$2:$K$3000)+SUMIF(EXTRATO!$A$2:$A$3000,$A3009,EXTRATO!$L$2:$L$3000)+SUMIF(EXTRATO!$A$2:$A$3000,$A3009,EXTRATO!$M$2:$M$3000))</f>
        <v/>
      </c>
      <c r="G3009" s="81" t="str">
        <f>IF(A3009="","",IF(INDEX(EXTRATO!$G$2:$G$3000,MATCH($A3009,EXTRATO!$A$2:$A$3000,0))="","",INDEX(EXTRATO!$G$2:$G$3000,MATCH($A3009,EXTRATO!$A$2:$A$3000,0))))</f>
        <v/>
      </c>
      <c r="H3009" s="86" t="str">
        <f>IF(A3009="","",IF(INDEX(EXTRATO!$F$2:$F$3000,MATCH($A3009,EXTRATO!$A$2:$A$3000,0))="","",INDEX(EXTRATO!$F$2:$F$3000,MATCH($A3009,EXTRATO!$A$2:$A$3000,0))))</f>
        <v/>
      </c>
      <c r="I3009" s="88" t="str">
        <f>IF(A3009="","",IF(INDEX(EXTRATO!$H$2:$H$3000,MATCH($A3009,EXTRATO!$A$2:$A$3000,0))="","",INDEX(EXTRATO!$H$2:$H$3000,MATCH($A3009,EXTRATO!$A$2:$A$3000,0))))</f>
        <v/>
      </c>
      <c r="J3009" s="86" t="str">
        <f t="shared" si="81"/>
        <v/>
      </c>
      <c r="K3009" s="86" t="str">
        <f>IF(AND(A3009="",D3009="",E3009="",F3009=""),"",IF(D3009="","SEM CATEGORIA",IF(E3009="","SEM SUBCATEGORIA",IF(COUNTIFS(CADASTROS!$L$7:$L$93,D3009,CADASTROS!$D$7:$D$93,E3009)=0,"INCOMPATÍVEL","OK"))))</f>
        <v/>
      </c>
    </row>
    <row r="3010" spans="1:11" ht="30" hidden="1" customHeight="1" x14ac:dyDescent="0.25">
      <c r="A3010" s="86" t="str">
        <f>IF(COUNTIF(EXTRATO!$A$2:$A$3000,"BAN-02867")=0,"","BAN-02867")</f>
        <v/>
      </c>
      <c r="B3010" s="85" t="str">
        <f>IF(A3010="","",IF(INDEX(EXTRATO!$C$2:$C$3000,MATCH($A3010,EXTRATO!$A$2:$A$3000,0))="","",INDEX(EXTRATO!$C$2:$C$3000,MATCH($A3010,EXTRATO!$A$2:$A$3000,0))))</f>
        <v/>
      </c>
      <c r="C3010" s="86" t="str">
        <f t="shared" si="80"/>
        <v/>
      </c>
      <c r="D3010" s="81"/>
      <c r="E3010" s="79"/>
      <c r="F3010" s="80" t="str">
        <f>IF(A3010="","",SUMIF(EXTRATO!$A$2:$A$3000,$A3010,EXTRATO!$J$2:$J$3000)+SUMIF(EXTRATO!$A$2:$A$3000,$A3010,EXTRATO!$K$2:$K$3000)+SUMIF(EXTRATO!$A$2:$A$3000,$A3010,EXTRATO!$L$2:$L$3000)+SUMIF(EXTRATO!$A$2:$A$3000,$A3010,EXTRATO!$M$2:$M$3000))</f>
        <v/>
      </c>
      <c r="G3010" s="81" t="str">
        <f>IF(A3010="","",IF(INDEX(EXTRATO!$G$2:$G$3000,MATCH($A3010,EXTRATO!$A$2:$A$3000,0))="","",INDEX(EXTRATO!$G$2:$G$3000,MATCH($A3010,EXTRATO!$A$2:$A$3000,0))))</f>
        <v/>
      </c>
      <c r="H3010" s="86" t="str">
        <f>IF(A3010="","",IF(INDEX(EXTRATO!$F$2:$F$3000,MATCH($A3010,EXTRATO!$A$2:$A$3000,0))="","",INDEX(EXTRATO!$F$2:$F$3000,MATCH($A3010,EXTRATO!$A$2:$A$3000,0))))</f>
        <v/>
      </c>
      <c r="I3010" s="88" t="str">
        <f>IF(A3010="","",IF(INDEX(EXTRATO!$H$2:$H$3000,MATCH($A3010,EXTRATO!$A$2:$A$3000,0))="","",INDEX(EXTRATO!$H$2:$H$3000,MATCH($A3010,EXTRATO!$A$2:$A$3000,0))))</f>
        <v/>
      </c>
      <c r="J3010" s="86" t="str">
        <f t="shared" si="81"/>
        <v/>
      </c>
      <c r="K3010" s="86" t="str">
        <f>IF(AND(A3010="",D3010="",E3010="",F3010=""),"",IF(D3010="","SEM CATEGORIA",IF(E3010="","SEM SUBCATEGORIA",IF(COUNTIFS(CADASTROS!$L$7:$L$93,D3010,CADASTROS!$D$7:$D$93,E3010)=0,"INCOMPATÍVEL","OK"))))</f>
        <v/>
      </c>
    </row>
    <row r="3011" spans="1:11" ht="30" hidden="1" customHeight="1" x14ac:dyDescent="0.25">
      <c r="A3011" s="86" t="str">
        <f>IF(COUNTIF(EXTRATO!$A$2:$A$3000,"BAN-02868")=0,"","BAN-02868")</f>
        <v/>
      </c>
      <c r="B3011" s="85" t="str">
        <f>IF(A3011="","",IF(INDEX(EXTRATO!$C$2:$C$3000,MATCH($A3011,EXTRATO!$A$2:$A$3000,0))="","",INDEX(EXTRATO!$C$2:$C$3000,MATCH($A3011,EXTRATO!$A$2:$A$3000,0))))</f>
        <v/>
      </c>
      <c r="C3011" s="86" t="str">
        <f t="shared" si="80"/>
        <v/>
      </c>
      <c r="D3011" s="81"/>
      <c r="E3011" s="79"/>
      <c r="F3011" s="80" t="str">
        <f>IF(A3011="","",SUMIF(EXTRATO!$A$2:$A$3000,$A3011,EXTRATO!$J$2:$J$3000)+SUMIF(EXTRATO!$A$2:$A$3000,$A3011,EXTRATO!$K$2:$K$3000)+SUMIF(EXTRATO!$A$2:$A$3000,$A3011,EXTRATO!$L$2:$L$3000)+SUMIF(EXTRATO!$A$2:$A$3000,$A3011,EXTRATO!$M$2:$M$3000))</f>
        <v/>
      </c>
      <c r="G3011" s="81" t="str">
        <f>IF(A3011="","",IF(INDEX(EXTRATO!$G$2:$G$3000,MATCH($A3011,EXTRATO!$A$2:$A$3000,0))="","",INDEX(EXTRATO!$G$2:$G$3000,MATCH($A3011,EXTRATO!$A$2:$A$3000,0))))</f>
        <v/>
      </c>
      <c r="H3011" s="86" t="str">
        <f>IF(A3011="","",IF(INDEX(EXTRATO!$F$2:$F$3000,MATCH($A3011,EXTRATO!$A$2:$A$3000,0))="","",INDEX(EXTRATO!$F$2:$F$3000,MATCH($A3011,EXTRATO!$A$2:$A$3000,0))))</f>
        <v/>
      </c>
      <c r="I3011" s="88" t="str">
        <f>IF(A3011="","",IF(INDEX(EXTRATO!$H$2:$H$3000,MATCH($A3011,EXTRATO!$A$2:$A$3000,0))="","",INDEX(EXTRATO!$H$2:$H$3000,MATCH($A3011,EXTRATO!$A$2:$A$3000,0))))</f>
        <v/>
      </c>
      <c r="J3011" s="86" t="str">
        <f t="shared" si="81"/>
        <v/>
      </c>
      <c r="K3011" s="86" t="str">
        <f>IF(AND(A3011="",D3011="",E3011="",F3011=""),"",IF(D3011="","SEM CATEGORIA",IF(E3011="","SEM SUBCATEGORIA",IF(COUNTIFS(CADASTROS!$L$7:$L$93,D3011,CADASTROS!$D$7:$D$93,E3011)=0,"INCOMPATÍVEL","OK"))))</f>
        <v/>
      </c>
    </row>
    <row r="3012" spans="1:11" ht="30" hidden="1" customHeight="1" x14ac:dyDescent="0.25">
      <c r="A3012" s="86" t="str">
        <f>IF(COUNTIF(EXTRATO!$A$2:$A$3000,"BAN-02869")=0,"","BAN-02869")</f>
        <v/>
      </c>
      <c r="B3012" s="85" t="str">
        <f>IF(A3012="","",IF(INDEX(EXTRATO!$C$2:$C$3000,MATCH($A3012,EXTRATO!$A$2:$A$3000,0))="","",INDEX(EXTRATO!$C$2:$C$3000,MATCH($A3012,EXTRATO!$A$2:$A$3000,0))))</f>
        <v/>
      </c>
      <c r="C3012" s="86" t="str">
        <f t="shared" si="80"/>
        <v/>
      </c>
      <c r="D3012" s="81"/>
      <c r="E3012" s="79"/>
      <c r="F3012" s="80" t="str">
        <f>IF(A3012="","",SUMIF(EXTRATO!$A$2:$A$3000,$A3012,EXTRATO!$J$2:$J$3000)+SUMIF(EXTRATO!$A$2:$A$3000,$A3012,EXTRATO!$K$2:$K$3000)+SUMIF(EXTRATO!$A$2:$A$3000,$A3012,EXTRATO!$L$2:$L$3000)+SUMIF(EXTRATO!$A$2:$A$3000,$A3012,EXTRATO!$M$2:$M$3000))</f>
        <v/>
      </c>
      <c r="G3012" s="81" t="str">
        <f>IF(A3012="","",IF(INDEX(EXTRATO!$G$2:$G$3000,MATCH($A3012,EXTRATO!$A$2:$A$3000,0))="","",INDEX(EXTRATO!$G$2:$G$3000,MATCH($A3012,EXTRATO!$A$2:$A$3000,0))))</f>
        <v/>
      </c>
      <c r="H3012" s="86" t="str">
        <f>IF(A3012="","",IF(INDEX(EXTRATO!$F$2:$F$3000,MATCH($A3012,EXTRATO!$A$2:$A$3000,0))="","",INDEX(EXTRATO!$F$2:$F$3000,MATCH($A3012,EXTRATO!$A$2:$A$3000,0))))</f>
        <v/>
      </c>
      <c r="I3012" s="88" t="str">
        <f>IF(A3012="","",IF(INDEX(EXTRATO!$H$2:$H$3000,MATCH($A3012,EXTRATO!$A$2:$A$3000,0))="","",INDEX(EXTRATO!$H$2:$H$3000,MATCH($A3012,EXTRATO!$A$2:$A$3000,0))))</f>
        <v/>
      </c>
      <c r="J3012" s="86" t="str">
        <f t="shared" si="81"/>
        <v/>
      </c>
      <c r="K3012" s="86" t="str">
        <f>IF(AND(A3012="",D3012="",E3012="",F3012=""),"",IF(D3012="","SEM CATEGORIA",IF(E3012="","SEM SUBCATEGORIA",IF(COUNTIFS(CADASTROS!$L$7:$L$93,D3012,CADASTROS!$D$7:$D$93,E3012)=0,"INCOMPATÍVEL","OK"))))</f>
        <v/>
      </c>
    </row>
    <row r="3013" spans="1:11" ht="30" hidden="1" customHeight="1" x14ac:dyDescent="0.25">
      <c r="A3013" s="86" t="str">
        <f>IF(COUNTIF(EXTRATO!$A$2:$A$3000,"BAN-02870")=0,"","BAN-02870")</f>
        <v/>
      </c>
      <c r="B3013" s="85" t="str">
        <f>IF(A3013="","",IF(INDEX(EXTRATO!$C$2:$C$3000,MATCH($A3013,EXTRATO!$A$2:$A$3000,0))="","",INDEX(EXTRATO!$C$2:$C$3000,MATCH($A3013,EXTRATO!$A$2:$A$3000,0))))</f>
        <v/>
      </c>
      <c r="C3013" s="86" t="str">
        <f t="shared" si="80"/>
        <v/>
      </c>
      <c r="D3013" s="81"/>
      <c r="E3013" s="79"/>
      <c r="F3013" s="80" t="str">
        <f>IF(A3013="","",SUMIF(EXTRATO!$A$2:$A$3000,$A3013,EXTRATO!$J$2:$J$3000)+SUMIF(EXTRATO!$A$2:$A$3000,$A3013,EXTRATO!$K$2:$K$3000)+SUMIF(EXTRATO!$A$2:$A$3000,$A3013,EXTRATO!$L$2:$L$3000)+SUMIF(EXTRATO!$A$2:$A$3000,$A3013,EXTRATO!$M$2:$M$3000))</f>
        <v/>
      </c>
      <c r="G3013" s="81" t="str">
        <f>IF(A3013="","",IF(INDEX(EXTRATO!$G$2:$G$3000,MATCH($A3013,EXTRATO!$A$2:$A$3000,0))="","",INDEX(EXTRATO!$G$2:$G$3000,MATCH($A3013,EXTRATO!$A$2:$A$3000,0))))</f>
        <v/>
      </c>
      <c r="H3013" s="86" t="str">
        <f>IF(A3013="","",IF(INDEX(EXTRATO!$F$2:$F$3000,MATCH($A3013,EXTRATO!$A$2:$A$3000,0))="","",INDEX(EXTRATO!$F$2:$F$3000,MATCH($A3013,EXTRATO!$A$2:$A$3000,0))))</f>
        <v/>
      </c>
      <c r="I3013" s="88" t="str">
        <f>IF(A3013="","",IF(INDEX(EXTRATO!$H$2:$H$3000,MATCH($A3013,EXTRATO!$A$2:$A$3000,0))="","",INDEX(EXTRATO!$H$2:$H$3000,MATCH($A3013,EXTRATO!$A$2:$A$3000,0))))</f>
        <v/>
      </c>
      <c r="J3013" s="86" t="str">
        <f t="shared" si="81"/>
        <v/>
      </c>
      <c r="K3013" s="86" t="str">
        <f>IF(AND(A3013="",D3013="",E3013="",F3013=""),"",IF(D3013="","SEM CATEGORIA",IF(E3013="","SEM SUBCATEGORIA",IF(COUNTIFS(CADASTROS!$L$7:$L$93,D3013,CADASTROS!$D$7:$D$93,E3013)=0,"INCOMPATÍVEL","OK"))))</f>
        <v/>
      </c>
    </row>
    <row r="3014" spans="1:11" ht="30" hidden="1" customHeight="1" x14ac:dyDescent="0.25">
      <c r="A3014" s="86" t="str">
        <f>IF(COUNTIF(EXTRATO!$A$2:$A$3000,"BAN-02871")=0,"","BAN-02871")</f>
        <v/>
      </c>
      <c r="B3014" s="85" t="str">
        <f>IF(A3014="","",IF(INDEX(EXTRATO!$C$2:$C$3000,MATCH($A3014,EXTRATO!$A$2:$A$3000,0))="","",INDEX(EXTRATO!$C$2:$C$3000,MATCH($A3014,EXTRATO!$A$2:$A$3000,0))))</f>
        <v/>
      </c>
      <c r="C3014" s="86" t="str">
        <f t="shared" si="80"/>
        <v/>
      </c>
      <c r="D3014" s="81"/>
      <c r="E3014" s="79"/>
      <c r="F3014" s="80" t="str">
        <f>IF(A3014="","",SUMIF(EXTRATO!$A$2:$A$3000,$A3014,EXTRATO!$J$2:$J$3000)+SUMIF(EXTRATO!$A$2:$A$3000,$A3014,EXTRATO!$K$2:$K$3000)+SUMIF(EXTRATO!$A$2:$A$3000,$A3014,EXTRATO!$L$2:$L$3000)+SUMIF(EXTRATO!$A$2:$A$3000,$A3014,EXTRATO!$M$2:$M$3000))</f>
        <v/>
      </c>
      <c r="G3014" s="81" t="str">
        <f>IF(A3014="","",IF(INDEX(EXTRATO!$G$2:$G$3000,MATCH($A3014,EXTRATO!$A$2:$A$3000,0))="","",INDEX(EXTRATO!$G$2:$G$3000,MATCH($A3014,EXTRATO!$A$2:$A$3000,0))))</f>
        <v/>
      </c>
      <c r="H3014" s="86" t="str">
        <f>IF(A3014="","",IF(INDEX(EXTRATO!$F$2:$F$3000,MATCH($A3014,EXTRATO!$A$2:$A$3000,0))="","",INDEX(EXTRATO!$F$2:$F$3000,MATCH($A3014,EXTRATO!$A$2:$A$3000,0))))</f>
        <v/>
      </c>
      <c r="I3014" s="88" t="str">
        <f>IF(A3014="","",IF(INDEX(EXTRATO!$H$2:$H$3000,MATCH($A3014,EXTRATO!$A$2:$A$3000,0))="","",INDEX(EXTRATO!$H$2:$H$3000,MATCH($A3014,EXTRATO!$A$2:$A$3000,0))))</f>
        <v/>
      </c>
      <c r="J3014" s="86" t="str">
        <f t="shared" si="81"/>
        <v/>
      </c>
      <c r="K3014" s="86" t="str">
        <f>IF(AND(A3014="",D3014="",E3014="",F3014=""),"",IF(D3014="","SEM CATEGORIA",IF(E3014="","SEM SUBCATEGORIA",IF(COUNTIFS(CADASTROS!$L$7:$L$93,D3014,CADASTROS!$D$7:$D$93,E3014)=0,"INCOMPATÍVEL","OK"))))</f>
        <v/>
      </c>
    </row>
    <row r="3015" spans="1:11" ht="30" hidden="1" customHeight="1" x14ac:dyDescent="0.25">
      <c r="A3015" s="86" t="str">
        <f>IF(COUNTIF(EXTRATO!$A$2:$A$3000,"BAN-02872")=0,"","BAN-02872")</f>
        <v/>
      </c>
      <c r="B3015" s="85" t="str">
        <f>IF(A3015="","",IF(INDEX(EXTRATO!$C$2:$C$3000,MATCH($A3015,EXTRATO!$A$2:$A$3000,0))="","",INDEX(EXTRATO!$C$2:$C$3000,MATCH($A3015,EXTRATO!$A$2:$A$3000,0))))</f>
        <v/>
      </c>
      <c r="C3015" s="86" t="str">
        <f t="shared" si="80"/>
        <v/>
      </c>
      <c r="D3015" s="81"/>
      <c r="E3015" s="79"/>
      <c r="F3015" s="80" t="str">
        <f>IF(A3015="","",SUMIF(EXTRATO!$A$2:$A$3000,$A3015,EXTRATO!$J$2:$J$3000)+SUMIF(EXTRATO!$A$2:$A$3000,$A3015,EXTRATO!$K$2:$K$3000)+SUMIF(EXTRATO!$A$2:$A$3000,$A3015,EXTRATO!$L$2:$L$3000)+SUMIF(EXTRATO!$A$2:$A$3000,$A3015,EXTRATO!$M$2:$M$3000))</f>
        <v/>
      </c>
      <c r="G3015" s="81" t="str">
        <f>IF(A3015="","",IF(INDEX(EXTRATO!$G$2:$G$3000,MATCH($A3015,EXTRATO!$A$2:$A$3000,0))="","",INDEX(EXTRATO!$G$2:$G$3000,MATCH($A3015,EXTRATO!$A$2:$A$3000,0))))</f>
        <v/>
      </c>
      <c r="H3015" s="86" t="str">
        <f>IF(A3015="","",IF(INDEX(EXTRATO!$F$2:$F$3000,MATCH($A3015,EXTRATO!$A$2:$A$3000,0))="","",INDEX(EXTRATO!$F$2:$F$3000,MATCH($A3015,EXTRATO!$A$2:$A$3000,0))))</f>
        <v/>
      </c>
      <c r="I3015" s="88" t="str">
        <f>IF(A3015="","",IF(INDEX(EXTRATO!$H$2:$H$3000,MATCH($A3015,EXTRATO!$A$2:$A$3000,0))="","",INDEX(EXTRATO!$H$2:$H$3000,MATCH($A3015,EXTRATO!$A$2:$A$3000,0))))</f>
        <v/>
      </c>
      <c r="J3015" s="86" t="str">
        <f t="shared" si="81"/>
        <v/>
      </c>
      <c r="K3015" s="86" t="str">
        <f>IF(AND(A3015="",D3015="",E3015="",F3015=""),"",IF(D3015="","SEM CATEGORIA",IF(E3015="","SEM SUBCATEGORIA",IF(COUNTIFS(CADASTROS!$L$7:$L$93,D3015,CADASTROS!$D$7:$D$93,E3015)=0,"INCOMPATÍVEL","OK"))))</f>
        <v/>
      </c>
    </row>
    <row r="3016" spans="1:11" ht="30" hidden="1" customHeight="1" x14ac:dyDescent="0.25">
      <c r="A3016" s="86" t="str">
        <f>IF(COUNTIF(EXTRATO!$A$2:$A$3000,"BAN-02873")=0,"","BAN-02873")</f>
        <v/>
      </c>
      <c r="B3016" s="85" t="str">
        <f>IF(A3016="","",IF(INDEX(EXTRATO!$C$2:$C$3000,MATCH($A3016,EXTRATO!$A$2:$A$3000,0))="","",INDEX(EXTRATO!$C$2:$C$3000,MATCH($A3016,EXTRATO!$A$2:$A$3000,0))))</f>
        <v/>
      </c>
      <c r="C3016" s="86" t="str">
        <f t="shared" si="80"/>
        <v/>
      </c>
      <c r="D3016" s="81"/>
      <c r="E3016" s="79"/>
      <c r="F3016" s="80" t="str">
        <f>IF(A3016="","",SUMIF(EXTRATO!$A$2:$A$3000,$A3016,EXTRATO!$J$2:$J$3000)+SUMIF(EXTRATO!$A$2:$A$3000,$A3016,EXTRATO!$K$2:$K$3000)+SUMIF(EXTRATO!$A$2:$A$3000,$A3016,EXTRATO!$L$2:$L$3000)+SUMIF(EXTRATO!$A$2:$A$3000,$A3016,EXTRATO!$M$2:$M$3000))</f>
        <v/>
      </c>
      <c r="G3016" s="81" t="str">
        <f>IF(A3016="","",IF(INDEX(EXTRATO!$G$2:$G$3000,MATCH($A3016,EXTRATO!$A$2:$A$3000,0))="","",INDEX(EXTRATO!$G$2:$G$3000,MATCH($A3016,EXTRATO!$A$2:$A$3000,0))))</f>
        <v/>
      </c>
      <c r="H3016" s="86" t="str">
        <f>IF(A3016="","",IF(INDEX(EXTRATO!$F$2:$F$3000,MATCH($A3016,EXTRATO!$A$2:$A$3000,0))="","",INDEX(EXTRATO!$F$2:$F$3000,MATCH($A3016,EXTRATO!$A$2:$A$3000,0))))</f>
        <v/>
      </c>
      <c r="I3016" s="88" t="str">
        <f>IF(A3016="","",IF(INDEX(EXTRATO!$H$2:$H$3000,MATCH($A3016,EXTRATO!$A$2:$A$3000,0))="","",INDEX(EXTRATO!$H$2:$H$3000,MATCH($A3016,EXTRATO!$A$2:$A$3000,0))))</f>
        <v/>
      </c>
      <c r="J3016" s="86" t="str">
        <f t="shared" si="81"/>
        <v/>
      </c>
      <c r="K3016" s="86" t="str">
        <f>IF(AND(A3016="",D3016="",E3016="",F3016=""),"",IF(D3016="","SEM CATEGORIA",IF(E3016="","SEM SUBCATEGORIA",IF(COUNTIFS(CADASTROS!$L$7:$L$93,D3016,CADASTROS!$D$7:$D$93,E3016)=0,"INCOMPATÍVEL","OK"))))</f>
        <v/>
      </c>
    </row>
    <row r="3017" spans="1:11" ht="30" hidden="1" customHeight="1" x14ac:dyDescent="0.25">
      <c r="A3017" s="86" t="str">
        <f>IF(COUNTIF(EXTRATO!$A$2:$A$3000,"BAN-02874")=0,"","BAN-02874")</f>
        <v/>
      </c>
      <c r="B3017" s="85" t="str">
        <f>IF(A3017="","",IF(INDEX(EXTRATO!$C$2:$C$3000,MATCH($A3017,EXTRATO!$A$2:$A$3000,0))="","",INDEX(EXTRATO!$C$2:$C$3000,MATCH($A3017,EXTRATO!$A$2:$A$3000,0))))</f>
        <v/>
      </c>
      <c r="C3017" s="86" t="str">
        <f t="shared" si="80"/>
        <v/>
      </c>
      <c r="D3017" s="81"/>
      <c r="E3017" s="79"/>
      <c r="F3017" s="80" t="str">
        <f>IF(A3017="","",SUMIF(EXTRATO!$A$2:$A$3000,$A3017,EXTRATO!$J$2:$J$3000)+SUMIF(EXTRATO!$A$2:$A$3000,$A3017,EXTRATO!$K$2:$K$3000)+SUMIF(EXTRATO!$A$2:$A$3000,$A3017,EXTRATO!$L$2:$L$3000)+SUMIF(EXTRATO!$A$2:$A$3000,$A3017,EXTRATO!$M$2:$M$3000))</f>
        <v/>
      </c>
      <c r="G3017" s="81" t="str">
        <f>IF(A3017="","",IF(INDEX(EXTRATO!$G$2:$G$3000,MATCH($A3017,EXTRATO!$A$2:$A$3000,0))="","",INDEX(EXTRATO!$G$2:$G$3000,MATCH($A3017,EXTRATO!$A$2:$A$3000,0))))</f>
        <v/>
      </c>
      <c r="H3017" s="86" t="str">
        <f>IF(A3017="","",IF(INDEX(EXTRATO!$F$2:$F$3000,MATCH($A3017,EXTRATO!$A$2:$A$3000,0))="","",INDEX(EXTRATO!$F$2:$F$3000,MATCH($A3017,EXTRATO!$A$2:$A$3000,0))))</f>
        <v/>
      </c>
      <c r="I3017" s="88" t="str">
        <f>IF(A3017="","",IF(INDEX(EXTRATO!$H$2:$H$3000,MATCH($A3017,EXTRATO!$A$2:$A$3000,0))="","",INDEX(EXTRATO!$H$2:$H$3000,MATCH($A3017,EXTRATO!$A$2:$A$3000,0))))</f>
        <v/>
      </c>
      <c r="J3017" s="86" t="str">
        <f t="shared" si="81"/>
        <v/>
      </c>
      <c r="K3017" s="86" t="str">
        <f>IF(AND(A3017="",D3017="",E3017="",F3017=""),"",IF(D3017="","SEM CATEGORIA",IF(E3017="","SEM SUBCATEGORIA",IF(COUNTIFS(CADASTROS!$L$7:$L$93,D3017,CADASTROS!$D$7:$D$93,E3017)=0,"INCOMPATÍVEL","OK"))))</f>
        <v/>
      </c>
    </row>
    <row r="3018" spans="1:11" ht="30" hidden="1" customHeight="1" x14ac:dyDescent="0.25">
      <c r="A3018" s="86" t="str">
        <f>IF(COUNTIF(EXTRATO!$A$2:$A$3000,"BAN-02875")=0,"","BAN-02875")</f>
        <v/>
      </c>
      <c r="B3018" s="85" t="str">
        <f>IF(A3018="","",IF(INDEX(EXTRATO!$C$2:$C$3000,MATCH($A3018,EXTRATO!$A$2:$A$3000,0))="","",INDEX(EXTRATO!$C$2:$C$3000,MATCH($A3018,EXTRATO!$A$2:$A$3000,0))))</f>
        <v/>
      </c>
      <c r="C3018" s="86" t="str">
        <f t="shared" si="80"/>
        <v/>
      </c>
      <c r="D3018" s="81"/>
      <c r="E3018" s="79"/>
      <c r="F3018" s="80" t="str">
        <f>IF(A3018="","",SUMIF(EXTRATO!$A$2:$A$3000,$A3018,EXTRATO!$J$2:$J$3000)+SUMIF(EXTRATO!$A$2:$A$3000,$A3018,EXTRATO!$K$2:$K$3000)+SUMIF(EXTRATO!$A$2:$A$3000,$A3018,EXTRATO!$L$2:$L$3000)+SUMIF(EXTRATO!$A$2:$A$3000,$A3018,EXTRATO!$M$2:$M$3000))</f>
        <v/>
      </c>
      <c r="G3018" s="81" t="str">
        <f>IF(A3018="","",IF(INDEX(EXTRATO!$G$2:$G$3000,MATCH($A3018,EXTRATO!$A$2:$A$3000,0))="","",INDEX(EXTRATO!$G$2:$G$3000,MATCH($A3018,EXTRATO!$A$2:$A$3000,0))))</f>
        <v/>
      </c>
      <c r="H3018" s="86" t="str">
        <f>IF(A3018="","",IF(INDEX(EXTRATO!$F$2:$F$3000,MATCH($A3018,EXTRATO!$A$2:$A$3000,0))="","",INDEX(EXTRATO!$F$2:$F$3000,MATCH($A3018,EXTRATO!$A$2:$A$3000,0))))</f>
        <v/>
      </c>
      <c r="I3018" s="88" t="str">
        <f>IF(A3018="","",IF(INDEX(EXTRATO!$H$2:$H$3000,MATCH($A3018,EXTRATO!$A$2:$A$3000,0))="","",INDEX(EXTRATO!$H$2:$H$3000,MATCH($A3018,EXTRATO!$A$2:$A$3000,0))))</f>
        <v/>
      </c>
      <c r="J3018" s="86" t="str">
        <f t="shared" si="81"/>
        <v/>
      </c>
      <c r="K3018" s="86" t="str">
        <f>IF(AND(A3018="",D3018="",E3018="",F3018=""),"",IF(D3018="","SEM CATEGORIA",IF(E3018="","SEM SUBCATEGORIA",IF(COUNTIFS(CADASTROS!$L$7:$L$93,D3018,CADASTROS!$D$7:$D$93,E3018)=0,"INCOMPATÍVEL","OK"))))</f>
        <v/>
      </c>
    </row>
    <row r="3019" spans="1:11" ht="30" hidden="1" customHeight="1" x14ac:dyDescent="0.25">
      <c r="A3019" s="86" t="str">
        <f>IF(COUNTIF(EXTRATO!$A$2:$A$3000,"BAN-02876")=0,"","BAN-02876")</f>
        <v/>
      </c>
      <c r="B3019" s="85" t="str">
        <f>IF(A3019="","",IF(INDEX(EXTRATO!$C$2:$C$3000,MATCH($A3019,EXTRATO!$A$2:$A$3000,0))="","",INDEX(EXTRATO!$C$2:$C$3000,MATCH($A3019,EXTRATO!$A$2:$A$3000,0))))</f>
        <v/>
      </c>
      <c r="C3019" s="86" t="str">
        <f t="shared" si="80"/>
        <v/>
      </c>
      <c r="D3019" s="81"/>
      <c r="E3019" s="79"/>
      <c r="F3019" s="80" t="str">
        <f>IF(A3019="","",SUMIF(EXTRATO!$A$2:$A$3000,$A3019,EXTRATO!$J$2:$J$3000)+SUMIF(EXTRATO!$A$2:$A$3000,$A3019,EXTRATO!$K$2:$K$3000)+SUMIF(EXTRATO!$A$2:$A$3000,$A3019,EXTRATO!$L$2:$L$3000)+SUMIF(EXTRATO!$A$2:$A$3000,$A3019,EXTRATO!$M$2:$M$3000))</f>
        <v/>
      </c>
      <c r="G3019" s="81" t="str">
        <f>IF(A3019="","",IF(INDEX(EXTRATO!$G$2:$G$3000,MATCH($A3019,EXTRATO!$A$2:$A$3000,0))="","",INDEX(EXTRATO!$G$2:$G$3000,MATCH($A3019,EXTRATO!$A$2:$A$3000,0))))</f>
        <v/>
      </c>
      <c r="H3019" s="86" t="str">
        <f>IF(A3019="","",IF(INDEX(EXTRATO!$F$2:$F$3000,MATCH($A3019,EXTRATO!$A$2:$A$3000,0))="","",INDEX(EXTRATO!$F$2:$F$3000,MATCH($A3019,EXTRATO!$A$2:$A$3000,0))))</f>
        <v/>
      </c>
      <c r="I3019" s="88" t="str">
        <f>IF(A3019="","",IF(INDEX(EXTRATO!$H$2:$H$3000,MATCH($A3019,EXTRATO!$A$2:$A$3000,0))="","",INDEX(EXTRATO!$H$2:$H$3000,MATCH($A3019,EXTRATO!$A$2:$A$3000,0))))</f>
        <v/>
      </c>
      <c r="J3019" s="86" t="str">
        <f t="shared" si="81"/>
        <v/>
      </c>
      <c r="K3019" s="86" t="str">
        <f>IF(AND(A3019="",D3019="",E3019="",F3019=""),"",IF(D3019="","SEM CATEGORIA",IF(E3019="","SEM SUBCATEGORIA",IF(COUNTIFS(CADASTROS!$L$7:$L$93,D3019,CADASTROS!$D$7:$D$93,E3019)=0,"INCOMPATÍVEL","OK"))))</f>
        <v/>
      </c>
    </row>
    <row r="3020" spans="1:11" ht="30" hidden="1" customHeight="1" x14ac:dyDescent="0.25">
      <c r="A3020" s="86" t="str">
        <f>IF(COUNTIF(EXTRATO!$A$2:$A$3000,"BAN-02877")=0,"","BAN-02877")</f>
        <v/>
      </c>
      <c r="B3020" s="85" t="str">
        <f>IF(A3020="","",IF(INDEX(EXTRATO!$C$2:$C$3000,MATCH($A3020,EXTRATO!$A$2:$A$3000,0))="","",INDEX(EXTRATO!$C$2:$C$3000,MATCH($A3020,EXTRATO!$A$2:$A$3000,0))))</f>
        <v/>
      </c>
      <c r="C3020" s="86" t="str">
        <f t="shared" si="80"/>
        <v/>
      </c>
      <c r="D3020" s="81"/>
      <c r="E3020" s="79"/>
      <c r="F3020" s="80" t="str">
        <f>IF(A3020="","",SUMIF(EXTRATO!$A$2:$A$3000,$A3020,EXTRATO!$J$2:$J$3000)+SUMIF(EXTRATO!$A$2:$A$3000,$A3020,EXTRATO!$K$2:$K$3000)+SUMIF(EXTRATO!$A$2:$A$3000,$A3020,EXTRATO!$L$2:$L$3000)+SUMIF(EXTRATO!$A$2:$A$3000,$A3020,EXTRATO!$M$2:$M$3000))</f>
        <v/>
      </c>
      <c r="G3020" s="81" t="str">
        <f>IF(A3020="","",IF(INDEX(EXTRATO!$G$2:$G$3000,MATCH($A3020,EXTRATO!$A$2:$A$3000,0))="","",INDEX(EXTRATO!$G$2:$G$3000,MATCH($A3020,EXTRATO!$A$2:$A$3000,0))))</f>
        <v/>
      </c>
      <c r="H3020" s="86" t="str">
        <f>IF(A3020="","",IF(INDEX(EXTRATO!$F$2:$F$3000,MATCH($A3020,EXTRATO!$A$2:$A$3000,0))="","",INDEX(EXTRATO!$F$2:$F$3000,MATCH($A3020,EXTRATO!$A$2:$A$3000,0))))</f>
        <v/>
      </c>
      <c r="I3020" s="88" t="str">
        <f>IF(A3020="","",IF(INDEX(EXTRATO!$H$2:$H$3000,MATCH($A3020,EXTRATO!$A$2:$A$3000,0))="","",INDEX(EXTRATO!$H$2:$H$3000,MATCH($A3020,EXTRATO!$A$2:$A$3000,0))))</f>
        <v/>
      </c>
      <c r="J3020" s="86" t="str">
        <f t="shared" si="81"/>
        <v/>
      </c>
      <c r="K3020" s="86" t="str">
        <f>IF(AND(A3020="",D3020="",E3020="",F3020=""),"",IF(D3020="","SEM CATEGORIA",IF(E3020="","SEM SUBCATEGORIA",IF(COUNTIFS(CADASTROS!$L$7:$L$93,D3020,CADASTROS!$D$7:$D$93,E3020)=0,"INCOMPATÍVEL","OK"))))</f>
        <v/>
      </c>
    </row>
    <row r="3021" spans="1:11" ht="30" hidden="1" customHeight="1" x14ac:dyDescent="0.25">
      <c r="A3021" s="86" t="str">
        <f>IF(COUNTIF(EXTRATO!$A$2:$A$3000,"BAN-02878")=0,"","BAN-02878")</f>
        <v/>
      </c>
      <c r="B3021" s="85" t="str">
        <f>IF(A3021="","",IF(INDEX(EXTRATO!$C$2:$C$3000,MATCH($A3021,EXTRATO!$A$2:$A$3000,0))="","",INDEX(EXTRATO!$C$2:$C$3000,MATCH($A3021,EXTRATO!$A$2:$A$3000,0))))</f>
        <v/>
      </c>
      <c r="C3021" s="86" t="str">
        <f t="shared" si="80"/>
        <v/>
      </c>
      <c r="D3021" s="81"/>
      <c r="E3021" s="79"/>
      <c r="F3021" s="80" t="str">
        <f>IF(A3021="","",SUMIF(EXTRATO!$A$2:$A$3000,$A3021,EXTRATO!$J$2:$J$3000)+SUMIF(EXTRATO!$A$2:$A$3000,$A3021,EXTRATO!$K$2:$K$3000)+SUMIF(EXTRATO!$A$2:$A$3000,$A3021,EXTRATO!$L$2:$L$3000)+SUMIF(EXTRATO!$A$2:$A$3000,$A3021,EXTRATO!$M$2:$M$3000))</f>
        <v/>
      </c>
      <c r="G3021" s="81" t="str">
        <f>IF(A3021="","",IF(INDEX(EXTRATO!$G$2:$G$3000,MATCH($A3021,EXTRATO!$A$2:$A$3000,0))="","",INDEX(EXTRATO!$G$2:$G$3000,MATCH($A3021,EXTRATO!$A$2:$A$3000,0))))</f>
        <v/>
      </c>
      <c r="H3021" s="86" t="str">
        <f>IF(A3021="","",IF(INDEX(EXTRATO!$F$2:$F$3000,MATCH($A3021,EXTRATO!$A$2:$A$3000,0))="","",INDEX(EXTRATO!$F$2:$F$3000,MATCH($A3021,EXTRATO!$A$2:$A$3000,0))))</f>
        <v/>
      </c>
      <c r="I3021" s="88" t="str">
        <f>IF(A3021="","",IF(INDEX(EXTRATO!$H$2:$H$3000,MATCH($A3021,EXTRATO!$A$2:$A$3000,0))="","",INDEX(EXTRATO!$H$2:$H$3000,MATCH($A3021,EXTRATO!$A$2:$A$3000,0))))</f>
        <v/>
      </c>
      <c r="J3021" s="86" t="str">
        <f t="shared" si="81"/>
        <v/>
      </c>
      <c r="K3021" s="86" t="str">
        <f>IF(AND(A3021="",D3021="",E3021="",F3021=""),"",IF(D3021="","SEM CATEGORIA",IF(E3021="","SEM SUBCATEGORIA",IF(COUNTIFS(CADASTROS!$L$7:$L$93,D3021,CADASTROS!$D$7:$D$93,E3021)=0,"INCOMPATÍVEL","OK"))))</f>
        <v/>
      </c>
    </row>
    <row r="3022" spans="1:11" ht="30" hidden="1" customHeight="1" x14ac:dyDescent="0.25">
      <c r="A3022" s="86" t="str">
        <f>IF(COUNTIF(EXTRATO!$A$2:$A$3000,"BAN-02879")=0,"","BAN-02879")</f>
        <v/>
      </c>
      <c r="B3022" s="85" t="str">
        <f>IF(A3022="","",IF(INDEX(EXTRATO!$C$2:$C$3000,MATCH($A3022,EXTRATO!$A$2:$A$3000,0))="","",INDEX(EXTRATO!$C$2:$C$3000,MATCH($A3022,EXTRATO!$A$2:$A$3000,0))))</f>
        <v/>
      </c>
      <c r="C3022" s="86" t="str">
        <f t="shared" si="80"/>
        <v/>
      </c>
      <c r="D3022" s="81"/>
      <c r="E3022" s="79"/>
      <c r="F3022" s="80" t="str">
        <f>IF(A3022="","",SUMIF(EXTRATO!$A$2:$A$3000,$A3022,EXTRATO!$J$2:$J$3000)+SUMIF(EXTRATO!$A$2:$A$3000,$A3022,EXTRATO!$K$2:$K$3000)+SUMIF(EXTRATO!$A$2:$A$3000,$A3022,EXTRATO!$L$2:$L$3000)+SUMIF(EXTRATO!$A$2:$A$3000,$A3022,EXTRATO!$M$2:$M$3000))</f>
        <v/>
      </c>
      <c r="G3022" s="81" t="str">
        <f>IF(A3022="","",IF(INDEX(EXTRATO!$G$2:$G$3000,MATCH($A3022,EXTRATO!$A$2:$A$3000,0))="","",INDEX(EXTRATO!$G$2:$G$3000,MATCH($A3022,EXTRATO!$A$2:$A$3000,0))))</f>
        <v/>
      </c>
      <c r="H3022" s="86" t="str">
        <f>IF(A3022="","",IF(INDEX(EXTRATO!$F$2:$F$3000,MATCH($A3022,EXTRATO!$A$2:$A$3000,0))="","",INDEX(EXTRATO!$F$2:$F$3000,MATCH($A3022,EXTRATO!$A$2:$A$3000,0))))</f>
        <v/>
      </c>
      <c r="I3022" s="88" t="str">
        <f>IF(A3022="","",IF(INDEX(EXTRATO!$H$2:$H$3000,MATCH($A3022,EXTRATO!$A$2:$A$3000,0))="","",INDEX(EXTRATO!$H$2:$H$3000,MATCH($A3022,EXTRATO!$A$2:$A$3000,0))))</f>
        <v/>
      </c>
      <c r="J3022" s="86" t="str">
        <f t="shared" si="81"/>
        <v/>
      </c>
      <c r="K3022" s="86" t="str">
        <f>IF(AND(A3022="",D3022="",E3022="",F3022=""),"",IF(D3022="","SEM CATEGORIA",IF(E3022="","SEM SUBCATEGORIA",IF(COUNTIFS(CADASTROS!$L$7:$L$93,D3022,CADASTROS!$D$7:$D$93,E3022)=0,"INCOMPATÍVEL","OK"))))</f>
        <v/>
      </c>
    </row>
    <row r="3023" spans="1:11" ht="30" hidden="1" customHeight="1" x14ac:dyDescent="0.25">
      <c r="A3023" s="86" t="str">
        <f>IF(COUNTIF(EXTRATO!$A$2:$A$3000,"BAN-02880")=0,"","BAN-02880")</f>
        <v/>
      </c>
      <c r="B3023" s="85" t="str">
        <f>IF(A3023="","",IF(INDEX(EXTRATO!$C$2:$C$3000,MATCH($A3023,EXTRATO!$A$2:$A$3000,0))="","",INDEX(EXTRATO!$C$2:$C$3000,MATCH($A3023,EXTRATO!$A$2:$A$3000,0))))</f>
        <v/>
      </c>
      <c r="C3023" s="86" t="str">
        <f t="shared" si="80"/>
        <v/>
      </c>
      <c r="D3023" s="81"/>
      <c r="E3023" s="79"/>
      <c r="F3023" s="80" t="str">
        <f>IF(A3023="","",SUMIF(EXTRATO!$A$2:$A$3000,$A3023,EXTRATO!$J$2:$J$3000)+SUMIF(EXTRATO!$A$2:$A$3000,$A3023,EXTRATO!$K$2:$K$3000)+SUMIF(EXTRATO!$A$2:$A$3000,$A3023,EXTRATO!$L$2:$L$3000)+SUMIF(EXTRATO!$A$2:$A$3000,$A3023,EXTRATO!$M$2:$M$3000))</f>
        <v/>
      </c>
      <c r="G3023" s="81" t="str">
        <f>IF(A3023="","",IF(INDEX(EXTRATO!$G$2:$G$3000,MATCH($A3023,EXTRATO!$A$2:$A$3000,0))="","",INDEX(EXTRATO!$G$2:$G$3000,MATCH($A3023,EXTRATO!$A$2:$A$3000,0))))</f>
        <v/>
      </c>
      <c r="H3023" s="86" t="str">
        <f>IF(A3023="","",IF(INDEX(EXTRATO!$F$2:$F$3000,MATCH($A3023,EXTRATO!$A$2:$A$3000,0))="","",INDEX(EXTRATO!$F$2:$F$3000,MATCH($A3023,EXTRATO!$A$2:$A$3000,0))))</f>
        <v/>
      </c>
      <c r="I3023" s="88" t="str">
        <f>IF(A3023="","",IF(INDEX(EXTRATO!$H$2:$H$3000,MATCH($A3023,EXTRATO!$A$2:$A$3000,0))="","",INDEX(EXTRATO!$H$2:$H$3000,MATCH($A3023,EXTRATO!$A$2:$A$3000,0))))</f>
        <v/>
      </c>
      <c r="J3023" s="86" t="str">
        <f t="shared" si="81"/>
        <v/>
      </c>
      <c r="K3023" s="86" t="str">
        <f>IF(AND(A3023="",D3023="",E3023="",F3023=""),"",IF(D3023="","SEM CATEGORIA",IF(E3023="","SEM SUBCATEGORIA",IF(COUNTIFS(CADASTROS!$L$7:$L$93,D3023,CADASTROS!$D$7:$D$93,E3023)=0,"INCOMPATÍVEL","OK"))))</f>
        <v/>
      </c>
    </row>
    <row r="3024" spans="1:11" ht="30" hidden="1" customHeight="1" x14ac:dyDescent="0.25">
      <c r="A3024" s="86" t="str">
        <f>IF(COUNTIF(EXTRATO!$A$2:$A$3000,"BAN-02881")=0,"","BAN-02881")</f>
        <v/>
      </c>
      <c r="B3024" s="85" t="str">
        <f>IF(A3024="","",IF(INDEX(EXTRATO!$C$2:$C$3000,MATCH($A3024,EXTRATO!$A$2:$A$3000,0))="","",INDEX(EXTRATO!$C$2:$C$3000,MATCH($A3024,EXTRATO!$A$2:$A$3000,0))))</f>
        <v/>
      </c>
      <c r="C3024" s="86" t="str">
        <f t="shared" si="80"/>
        <v/>
      </c>
      <c r="D3024" s="81"/>
      <c r="E3024" s="79"/>
      <c r="F3024" s="80" t="str">
        <f>IF(A3024="","",SUMIF(EXTRATO!$A$2:$A$3000,$A3024,EXTRATO!$J$2:$J$3000)+SUMIF(EXTRATO!$A$2:$A$3000,$A3024,EXTRATO!$K$2:$K$3000)+SUMIF(EXTRATO!$A$2:$A$3000,$A3024,EXTRATO!$L$2:$L$3000)+SUMIF(EXTRATO!$A$2:$A$3000,$A3024,EXTRATO!$M$2:$M$3000))</f>
        <v/>
      </c>
      <c r="G3024" s="81" t="str">
        <f>IF(A3024="","",IF(INDEX(EXTRATO!$G$2:$G$3000,MATCH($A3024,EXTRATO!$A$2:$A$3000,0))="","",INDEX(EXTRATO!$G$2:$G$3000,MATCH($A3024,EXTRATO!$A$2:$A$3000,0))))</f>
        <v/>
      </c>
      <c r="H3024" s="86" t="str">
        <f>IF(A3024="","",IF(INDEX(EXTRATO!$F$2:$F$3000,MATCH($A3024,EXTRATO!$A$2:$A$3000,0))="","",INDEX(EXTRATO!$F$2:$F$3000,MATCH($A3024,EXTRATO!$A$2:$A$3000,0))))</f>
        <v/>
      </c>
      <c r="I3024" s="88" t="str">
        <f>IF(A3024="","",IF(INDEX(EXTRATO!$H$2:$H$3000,MATCH($A3024,EXTRATO!$A$2:$A$3000,0))="","",INDEX(EXTRATO!$H$2:$H$3000,MATCH($A3024,EXTRATO!$A$2:$A$3000,0))))</f>
        <v/>
      </c>
      <c r="J3024" s="86" t="str">
        <f t="shared" si="81"/>
        <v/>
      </c>
      <c r="K3024" s="86" t="str">
        <f>IF(AND(A3024="",D3024="",E3024="",F3024=""),"",IF(D3024="","SEM CATEGORIA",IF(E3024="","SEM SUBCATEGORIA",IF(COUNTIFS(CADASTROS!$L$7:$L$93,D3024,CADASTROS!$D$7:$D$93,E3024)=0,"INCOMPATÍVEL","OK"))))</f>
        <v/>
      </c>
    </row>
    <row r="3025" spans="1:11" ht="30" hidden="1" customHeight="1" x14ac:dyDescent="0.25">
      <c r="A3025" s="86" t="str">
        <f>IF(COUNTIF(EXTRATO!$A$2:$A$3000,"BAN-02882")=0,"","BAN-02882")</f>
        <v/>
      </c>
      <c r="B3025" s="85" t="str">
        <f>IF(A3025="","",IF(INDEX(EXTRATO!$C$2:$C$3000,MATCH($A3025,EXTRATO!$A$2:$A$3000,0))="","",INDEX(EXTRATO!$C$2:$C$3000,MATCH($A3025,EXTRATO!$A$2:$A$3000,0))))</f>
        <v/>
      </c>
      <c r="C3025" s="86" t="str">
        <f t="shared" si="80"/>
        <v/>
      </c>
      <c r="D3025" s="81"/>
      <c r="E3025" s="79"/>
      <c r="F3025" s="80" t="str">
        <f>IF(A3025="","",SUMIF(EXTRATO!$A$2:$A$3000,$A3025,EXTRATO!$J$2:$J$3000)+SUMIF(EXTRATO!$A$2:$A$3000,$A3025,EXTRATO!$K$2:$K$3000)+SUMIF(EXTRATO!$A$2:$A$3000,$A3025,EXTRATO!$L$2:$L$3000)+SUMIF(EXTRATO!$A$2:$A$3000,$A3025,EXTRATO!$M$2:$M$3000))</f>
        <v/>
      </c>
      <c r="G3025" s="81" t="str">
        <f>IF(A3025="","",IF(INDEX(EXTRATO!$G$2:$G$3000,MATCH($A3025,EXTRATO!$A$2:$A$3000,0))="","",INDEX(EXTRATO!$G$2:$G$3000,MATCH($A3025,EXTRATO!$A$2:$A$3000,0))))</f>
        <v/>
      </c>
      <c r="H3025" s="86" t="str">
        <f>IF(A3025="","",IF(INDEX(EXTRATO!$F$2:$F$3000,MATCH($A3025,EXTRATO!$A$2:$A$3000,0))="","",INDEX(EXTRATO!$F$2:$F$3000,MATCH($A3025,EXTRATO!$A$2:$A$3000,0))))</f>
        <v/>
      </c>
      <c r="I3025" s="88" t="str">
        <f>IF(A3025="","",IF(INDEX(EXTRATO!$H$2:$H$3000,MATCH($A3025,EXTRATO!$A$2:$A$3000,0))="","",INDEX(EXTRATO!$H$2:$H$3000,MATCH($A3025,EXTRATO!$A$2:$A$3000,0))))</f>
        <v/>
      </c>
      <c r="J3025" s="86" t="str">
        <f t="shared" si="81"/>
        <v/>
      </c>
      <c r="K3025" s="86" t="str">
        <f>IF(AND(A3025="",D3025="",E3025="",F3025=""),"",IF(D3025="","SEM CATEGORIA",IF(E3025="","SEM SUBCATEGORIA",IF(COUNTIFS(CADASTROS!$L$7:$L$93,D3025,CADASTROS!$D$7:$D$93,E3025)=0,"INCOMPATÍVEL","OK"))))</f>
        <v/>
      </c>
    </row>
    <row r="3026" spans="1:11" ht="30" hidden="1" customHeight="1" x14ac:dyDescent="0.25">
      <c r="A3026" s="86" t="str">
        <f>IF(COUNTIF(EXTRATO!$A$2:$A$3000,"BAN-02883")=0,"","BAN-02883")</f>
        <v/>
      </c>
      <c r="B3026" s="85" t="str">
        <f>IF(A3026="","",IF(INDEX(EXTRATO!$C$2:$C$3000,MATCH($A3026,EXTRATO!$A$2:$A$3000,0))="","",INDEX(EXTRATO!$C$2:$C$3000,MATCH($A3026,EXTRATO!$A$2:$A$3000,0))))</f>
        <v/>
      </c>
      <c r="C3026" s="86" t="str">
        <f t="shared" si="80"/>
        <v/>
      </c>
      <c r="D3026" s="81"/>
      <c r="E3026" s="79"/>
      <c r="F3026" s="80" t="str">
        <f>IF(A3026="","",SUMIF(EXTRATO!$A$2:$A$3000,$A3026,EXTRATO!$J$2:$J$3000)+SUMIF(EXTRATO!$A$2:$A$3000,$A3026,EXTRATO!$K$2:$K$3000)+SUMIF(EXTRATO!$A$2:$A$3000,$A3026,EXTRATO!$L$2:$L$3000)+SUMIF(EXTRATO!$A$2:$A$3000,$A3026,EXTRATO!$M$2:$M$3000))</f>
        <v/>
      </c>
      <c r="G3026" s="81" t="str">
        <f>IF(A3026="","",IF(INDEX(EXTRATO!$G$2:$G$3000,MATCH($A3026,EXTRATO!$A$2:$A$3000,0))="","",INDEX(EXTRATO!$G$2:$G$3000,MATCH($A3026,EXTRATO!$A$2:$A$3000,0))))</f>
        <v/>
      </c>
      <c r="H3026" s="86" t="str">
        <f>IF(A3026="","",IF(INDEX(EXTRATO!$F$2:$F$3000,MATCH($A3026,EXTRATO!$A$2:$A$3000,0))="","",INDEX(EXTRATO!$F$2:$F$3000,MATCH($A3026,EXTRATO!$A$2:$A$3000,0))))</f>
        <v/>
      </c>
      <c r="I3026" s="88" t="str">
        <f>IF(A3026="","",IF(INDEX(EXTRATO!$H$2:$H$3000,MATCH($A3026,EXTRATO!$A$2:$A$3000,0))="","",INDEX(EXTRATO!$H$2:$H$3000,MATCH($A3026,EXTRATO!$A$2:$A$3000,0))))</f>
        <v/>
      </c>
      <c r="J3026" s="86" t="str">
        <f t="shared" si="81"/>
        <v/>
      </c>
      <c r="K3026" s="86" t="str">
        <f>IF(AND(A3026="",D3026="",E3026="",F3026=""),"",IF(D3026="","SEM CATEGORIA",IF(E3026="","SEM SUBCATEGORIA",IF(COUNTIFS(CADASTROS!$L$7:$L$93,D3026,CADASTROS!$D$7:$D$93,E3026)=0,"INCOMPATÍVEL","OK"))))</f>
        <v/>
      </c>
    </row>
    <row r="3027" spans="1:11" ht="30" hidden="1" customHeight="1" x14ac:dyDescent="0.25">
      <c r="A3027" s="86" t="str">
        <f>IF(COUNTIF(EXTRATO!$A$2:$A$3000,"BAN-02884")=0,"","BAN-02884")</f>
        <v/>
      </c>
      <c r="B3027" s="85" t="str">
        <f>IF(A3027="","",IF(INDEX(EXTRATO!$C$2:$C$3000,MATCH($A3027,EXTRATO!$A$2:$A$3000,0))="","",INDEX(EXTRATO!$C$2:$C$3000,MATCH($A3027,EXTRATO!$A$2:$A$3000,0))))</f>
        <v/>
      </c>
      <c r="C3027" s="86" t="str">
        <f t="shared" si="80"/>
        <v/>
      </c>
      <c r="D3027" s="81"/>
      <c r="E3027" s="79"/>
      <c r="F3027" s="80" t="str">
        <f>IF(A3027="","",SUMIF(EXTRATO!$A$2:$A$3000,$A3027,EXTRATO!$J$2:$J$3000)+SUMIF(EXTRATO!$A$2:$A$3000,$A3027,EXTRATO!$K$2:$K$3000)+SUMIF(EXTRATO!$A$2:$A$3000,$A3027,EXTRATO!$L$2:$L$3000)+SUMIF(EXTRATO!$A$2:$A$3000,$A3027,EXTRATO!$M$2:$M$3000))</f>
        <v/>
      </c>
      <c r="G3027" s="81" t="str">
        <f>IF(A3027="","",IF(INDEX(EXTRATO!$G$2:$G$3000,MATCH($A3027,EXTRATO!$A$2:$A$3000,0))="","",INDEX(EXTRATO!$G$2:$G$3000,MATCH($A3027,EXTRATO!$A$2:$A$3000,0))))</f>
        <v/>
      </c>
      <c r="H3027" s="86" t="str">
        <f>IF(A3027="","",IF(INDEX(EXTRATO!$F$2:$F$3000,MATCH($A3027,EXTRATO!$A$2:$A$3000,0))="","",INDEX(EXTRATO!$F$2:$F$3000,MATCH($A3027,EXTRATO!$A$2:$A$3000,0))))</f>
        <v/>
      </c>
      <c r="I3027" s="88" t="str">
        <f>IF(A3027="","",IF(INDEX(EXTRATO!$H$2:$H$3000,MATCH($A3027,EXTRATO!$A$2:$A$3000,0))="","",INDEX(EXTRATO!$H$2:$H$3000,MATCH($A3027,EXTRATO!$A$2:$A$3000,0))))</f>
        <v/>
      </c>
      <c r="J3027" s="86" t="str">
        <f t="shared" si="81"/>
        <v/>
      </c>
      <c r="K3027" s="86" t="str">
        <f>IF(AND(A3027="",D3027="",E3027="",F3027=""),"",IF(D3027="","SEM CATEGORIA",IF(E3027="","SEM SUBCATEGORIA",IF(COUNTIFS(CADASTROS!$L$7:$L$93,D3027,CADASTROS!$D$7:$D$93,E3027)=0,"INCOMPATÍVEL","OK"))))</f>
        <v/>
      </c>
    </row>
    <row r="3028" spans="1:11" ht="30" hidden="1" customHeight="1" x14ac:dyDescent="0.25">
      <c r="A3028" s="86" t="str">
        <f>IF(COUNTIF(EXTRATO!$A$2:$A$3000,"BAN-02885")=0,"","BAN-02885")</f>
        <v/>
      </c>
      <c r="B3028" s="85" t="str">
        <f>IF(A3028="","",IF(INDEX(EXTRATO!$C$2:$C$3000,MATCH($A3028,EXTRATO!$A$2:$A$3000,0))="","",INDEX(EXTRATO!$C$2:$C$3000,MATCH($A3028,EXTRATO!$A$2:$A$3000,0))))</f>
        <v/>
      </c>
      <c r="C3028" s="86" t="str">
        <f t="shared" si="80"/>
        <v/>
      </c>
      <c r="D3028" s="81"/>
      <c r="E3028" s="79"/>
      <c r="F3028" s="80" t="str">
        <f>IF(A3028="","",SUMIF(EXTRATO!$A$2:$A$3000,$A3028,EXTRATO!$J$2:$J$3000)+SUMIF(EXTRATO!$A$2:$A$3000,$A3028,EXTRATO!$K$2:$K$3000)+SUMIF(EXTRATO!$A$2:$A$3000,$A3028,EXTRATO!$L$2:$L$3000)+SUMIF(EXTRATO!$A$2:$A$3000,$A3028,EXTRATO!$M$2:$M$3000))</f>
        <v/>
      </c>
      <c r="G3028" s="81" t="str">
        <f>IF(A3028="","",IF(INDEX(EXTRATO!$G$2:$G$3000,MATCH($A3028,EXTRATO!$A$2:$A$3000,0))="","",INDEX(EXTRATO!$G$2:$G$3000,MATCH($A3028,EXTRATO!$A$2:$A$3000,0))))</f>
        <v/>
      </c>
      <c r="H3028" s="86" t="str">
        <f>IF(A3028="","",IF(INDEX(EXTRATO!$F$2:$F$3000,MATCH($A3028,EXTRATO!$A$2:$A$3000,0))="","",INDEX(EXTRATO!$F$2:$F$3000,MATCH($A3028,EXTRATO!$A$2:$A$3000,0))))</f>
        <v/>
      </c>
      <c r="I3028" s="88" t="str">
        <f>IF(A3028="","",IF(INDEX(EXTRATO!$H$2:$H$3000,MATCH($A3028,EXTRATO!$A$2:$A$3000,0))="","",INDEX(EXTRATO!$H$2:$H$3000,MATCH($A3028,EXTRATO!$A$2:$A$3000,0))))</f>
        <v/>
      </c>
      <c r="J3028" s="86" t="str">
        <f t="shared" si="81"/>
        <v/>
      </c>
      <c r="K3028" s="86" t="str">
        <f>IF(AND(A3028="",D3028="",E3028="",F3028=""),"",IF(D3028="","SEM CATEGORIA",IF(E3028="","SEM SUBCATEGORIA",IF(COUNTIFS(CADASTROS!$L$7:$L$93,D3028,CADASTROS!$D$7:$D$93,E3028)=0,"INCOMPATÍVEL","OK"))))</f>
        <v/>
      </c>
    </row>
    <row r="3029" spans="1:11" ht="30" hidden="1" customHeight="1" x14ac:dyDescent="0.25">
      <c r="A3029" s="86" t="str">
        <f>IF(COUNTIF(EXTRATO!$A$2:$A$3000,"BAN-02886")=0,"","BAN-02886")</f>
        <v/>
      </c>
      <c r="B3029" s="85" t="str">
        <f>IF(A3029="","",IF(INDEX(EXTRATO!$C$2:$C$3000,MATCH($A3029,EXTRATO!$A$2:$A$3000,0))="","",INDEX(EXTRATO!$C$2:$C$3000,MATCH($A3029,EXTRATO!$A$2:$A$3000,0))))</f>
        <v/>
      </c>
      <c r="C3029" s="86" t="str">
        <f t="shared" ref="C3029:C3092" si="82">IF(B3029="","",MONTH(B3029))</f>
        <v/>
      </c>
      <c r="D3029" s="81"/>
      <c r="E3029" s="79"/>
      <c r="F3029" s="80" t="str">
        <f>IF(A3029="","",SUMIF(EXTRATO!$A$2:$A$3000,$A3029,EXTRATO!$J$2:$J$3000)+SUMIF(EXTRATO!$A$2:$A$3000,$A3029,EXTRATO!$K$2:$K$3000)+SUMIF(EXTRATO!$A$2:$A$3000,$A3029,EXTRATO!$L$2:$L$3000)+SUMIF(EXTRATO!$A$2:$A$3000,$A3029,EXTRATO!$M$2:$M$3000))</f>
        <v/>
      </c>
      <c r="G3029" s="81" t="str">
        <f>IF(A3029="","",IF(INDEX(EXTRATO!$G$2:$G$3000,MATCH($A3029,EXTRATO!$A$2:$A$3000,0))="","",INDEX(EXTRATO!$G$2:$G$3000,MATCH($A3029,EXTRATO!$A$2:$A$3000,0))))</f>
        <v/>
      </c>
      <c r="H3029" s="86" t="str">
        <f>IF(A3029="","",IF(INDEX(EXTRATO!$F$2:$F$3000,MATCH($A3029,EXTRATO!$A$2:$A$3000,0))="","",INDEX(EXTRATO!$F$2:$F$3000,MATCH($A3029,EXTRATO!$A$2:$A$3000,0))))</f>
        <v/>
      </c>
      <c r="I3029" s="88" t="str">
        <f>IF(A3029="","",IF(INDEX(EXTRATO!$H$2:$H$3000,MATCH($A3029,EXTRATO!$A$2:$A$3000,0))="","",INDEX(EXTRATO!$H$2:$H$3000,MATCH($A3029,EXTRATO!$A$2:$A$3000,0))))</f>
        <v/>
      </c>
      <c r="J3029" s="86" t="str">
        <f t="shared" si="81"/>
        <v/>
      </c>
      <c r="K3029" s="86" t="str">
        <f>IF(AND(A3029="",D3029="",E3029="",F3029=""),"",IF(D3029="","SEM CATEGORIA",IF(E3029="","SEM SUBCATEGORIA",IF(COUNTIFS(CADASTROS!$L$7:$L$93,D3029,CADASTROS!$D$7:$D$93,E3029)=0,"INCOMPATÍVEL","OK"))))</f>
        <v/>
      </c>
    </row>
    <row r="3030" spans="1:11" ht="30" hidden="1" customHeight="1" x14ac:dyDescent="0.25">
      <c r="A3030" s="86" t="str">
        <f>IF(COUNTIF(EXTRATO!$A$2:$A$3000,"BAN-02887")=0,"","BAN-02887")</f>
        <v/>
      </c>
      <c r="B3030" s="85" t="str">
        <f>IF(A3030="","",IF(INDEX(EXTRATO!$C$2:$C$3000,MATCH($A3030,EXTRATO!$A$2:$A$3000,0))="","",INDEX(EXTRATO!$C$2:$C$3000,MATCH($A3030,EXTRATO!$A$2:$A$3000,0))))</f>
        <v/>
      </c>
      <c r="C3030" s="86" t="str">
        <f t="shared" si="82"/>
        <v/>
      </c>
      <c r="D3030" s="81"/>
      <c r="E3030" s="79"/>
      <c r="F3030" s="80" t="str">
        <f>IF(A3030="","",SUMIF(EXTRATO!$A$2:$A$3000,$A3030,EXTRATO!$J$2:$J$3000)+SUMIF(EXTRATO!$A$2:$A$3000,$A3030,EXTRATO!$K$2:$K$3000)+SUMIF(EXTRATO!$A$2:$A$3000,$A3030,EXTRATO!$L$2:$L$3000)+SUMIF(EXTRATO!$A$2:$A$3000,$A3030,EXTRATO!$M$2:$M$3000))</f>
        <v/>
      </c>
      <c r="G3030" s="81" t="str">
        <f>IF(A3030="","",IF(INDEX(EXTRATO!$G$2:$G$3000,MATCH($A3030,EXTRATO!$A$2:$A$3000,0))="","",INDEX(EXTRATO!$G$2:$G$3000,MATCH($A3030,EXTRATO!$A$2:$A$3000,0))))</f>
        <v/>
      </c>
      <c r="H3030" s="86" t="str">
        <f>IF(A3030="","",IF(INDEX(EXTRATO!$F$2:$F$3000,MATCH($A3030,EXTRATO!$A$2:$A$3000,0))="","",INDEX(EXTRATO!$F$2:$F$3000,MATCH($A3030,EXTRATO!$A$2:$A$3000,0))))</f>
        <v/>
      </c>
      <c r="I3030" s="88" t="str">
        <f>IF(A3030="","",IF(INDEX(EXTRATO!$H$2:$H$3000,MATCH($A3030,EXTRATO!$A$2:$A$3000,0))="","",INDEX(EXTRATO!$H$2:$H$3000,MATCH($A3030,EXTRATO!$A$2:$A$3000,0))))</f>
        <v/>
      </c>
      <c r="J3030" s="86" t="str">
        <f t="shared" si="81"/>
        <v/>
      </c>
      <c r="K3030" s="86" t="str">
        <f>IF(AND(A3030="",D3030="",E3030="",F3030=""),"",IF(D3030="","SEM CATEGORIA",IF(E3030="","SEM SUBCATEGORIA",IF(COUNTIFS(CADASTROS!$L$7:$L$93,D3030,CADASTROS!$D$7:$D$93,E3030)=0,"INCOMPATÍVEL","OK"))))</f>
        <v/>
      </c>
    </row>
    <row r="3031" spans="1:11" ht="30" hidden="1" customHeight="1" x14ac:dyDescent="0.25">
      <c r="A3031" s="86" t="str">
        <f>IF(COUNTIF(EXTRATO!$A$2:$A$3000,"BAN-02888")=0,"","BAN-02888")</f>
        <v/>
      </c>
      <c r="B3031" s="85" t="str">
        <f>IF(A3031="","",IF(INDEX(EXTRATO!$C$2:$C$3000,MATCH($A3031,EXTRATO!$A$2:$A$3000,0))="","",INDEX(EXTRATO!$C$2:$C$3000,MATCH($A3031,EXTRATO!$A$2:$A$3000,0))))</f>
        <v/>
      </c>
      <c r="C3031" s="86" t="str">
        <f t="shared" si="82"/>
        <v/>
      </c>
      <c r="D3031" s="81"/>
      <c r="E3031" s="79"/>
      <c r="F3031" s="80" t="str">
        <f>IF(A3031="","",SUMIF(EXTRATO!$A$2:$A$3000,$A3031,EXTRATO!$J$2:$J$3000)+SUMIF(EXTRATO!$A$2:$A$3000,$A3031,EXTRATO!$K$2:$K$3000)+SUMIF(EXTRATO!$A$2:$A$3000,$A3031,EXTRATO!$L$2:$L$3000)+SUMIF(EXTRATO!$A$2:$A$3000,$A3031,EXTRATO!$M$2:$M$3000))</f>
        <v/>
      </c>
      <c r="G3031" s="81" t="str">
        <f>IF(A3031="","",IF(INDEX(EXTRATO!$G$2:$G$3000,MATCH($A3031,EXTRATO!$A$2:$A$3000,0))="","",INDEX(EXTRATO!$G$2:$G$3000,MATCH($A3031,EXTRATO!$A$2:$A$3000,0))))</f>
        <v/>
      </c>
      <c r="H3031" s="86" t="str">
        <f>IF(A3031="","",IF(INDEX(EXTRATO!$F$2:$F$3000,MATCH($A3031,EXTRATO!$A$2:$A$3000,0))="","",INDEX(EXTRATO!$F$2:$F$3000,MATCH($A3031,EXTRATO!$A$2:$A$3000,0))))</f>
        <v/>
      </c>
      <c r="I3031" s="88" t="str">
        <f>IF(A3031="","",IF(INDEX(EXTRATO!$H$2:$H$3000,MATCH($A3031,EXTRATO!$A$2:$A$3000,0))="","",INDEX(EXTRATO!$H$2:$H$3000,MATCH($A3031,EXTRATO!$A$2:$A$3000,0))))</f>
        <v/>
      </c>
      <c r="J3031" s="86" t="str">
        <f t="shared" si="81"/>
        <v/>
      </c>
      <c r="K3031" s="86" t="str">
        <f>IF(AND(A3031="",D3031="",E3031="",F3031=""),"",IF(D3031="","SEM CATEGORIA",IF(E3031="","SEM SUBCATEGORIA",IF(COUNTIFS(CADASTROS!$L$7:$L$93,D3031,CADASTROS!$D$7:$D$93,E3031)=0,"INCOMPATÍVEL","OK"))))</f>
        <v/>
      </c>
    </row>
    <row r="3032" spans="1:11" ht="30" hidden="1" customHeight="1" x14ac:dyDescent="0.25">
      <c r="A3032" s="86" t="str">
        <f>IF(COUNTIF(EXTRATO!$A$2:$A$3000,"BAN-02889")=0,"","BAN-02889")</f>
        <v/>
      </c>
      <c r="B3032" s="85" t="str">
        <f>IF(A3032="","",IF(INDEX(EXTRATO!$C$2:$C$3000,MATCH($A3032,EXTRATO!$A$2:$A$3000,0))="","",INDEX(EXTRATO!$C$2:$C$3000,MATCH($A3032,EXTRATO!$A$2:$A$3000,0))))</f>
        <v/>
      </c>
      <c r="C3032" s="86" t="str">
        <f t="shared" si="82"/>
        <v/>
      </c>
      <c r="D3032" s="81"/>
      <c r="E3032" s="79"/>
      <c r="F3032" s="80" t="str">
        <f>IF(A3032="","",SUMIF(EXTRATO!$A$2:$A$3000,$A3032,EXTRATO!$J$2:$J$3000)+SUMIF(EXTRATO!$A$2:$A$3000,$A3032,EXTRATO!$K$2:$K$3000)+SUMIF(EXTRATO!$A$2:$A$3000,$A3032,EXTRATO!$L$2:$L$3000)+SUMIF(EXTRATO!$A$2:$A$3000,$A3032,EXTRATO!$M$2:$M$3000))</f>
        <v/>
      </c>
      <c r="G3032" s="81" t="str">
        <f>IF(A3032="","",IF(INDEX(EXTRATO!$G$2:$G$3000,MATCH($A3032,EXTRATO!$A$2:$A$3000,0))="","",INDEX(EXTRATO!$G$2:$G$3000,MATCH($A3032,EXTRATO!$A$2:$A$3000,0))))</f>
        <v/>
      </c>
      <c r="H3032" s="86" t="str">
        <f>IF(A3032="","",IF(INDEX(EXTRATO!$F$2:$F$3000,MATCH($A3032,EXTRATO!$A$2:$A$3000,0))="","",INDEX(EXTRATO!$F$2:$F$3000,MATCH($A3032,EXTRATO!$A$2:$A$3000,0))))</f>
        <v/>
      </c>
      <c r="I3032" s="88" t="str">
        <f>IF(A3032="","",IF(INDEX(EXTRATO!$H$2:$H$3000,MATCH($A3032,EXTRATO!$A$2:$A$3000,0))="","",INDEX(EXTRATO!$H$2:$H$3000,MATCH($A3032,EXTRATO!$A$2:$A$3000,0))))</f>
        <v/>
      </c>
      <c r="J3032" s="86" t="str">
        <f t="shared" si="81"/>
        <v/>
      </c>
      <c r="K3032" s="86" t="str">
        <f>IF(AND(A3032="",D3032="",E3032="",F3032=""),"",IF(D3032="","SEM CATEGORIA",IF(E3032="","SEM SUBCATEGORIA",IF(COUNTIFS(CADASTROS!$L$7:$L$93,D3032,CADASTROS!$D$7:$D$93,E3032)=0,"INCOMPATÍVEL","OK"))))</f>
        <v/>
      </c>
    </row>
    <row r="3033" spans="1:11" ht="30" hidden="1" customHeight="1" x14ac:dyDescent="0.25">
      <c r="A3033" s="86" t="str">
        <f>IF(COUNTIF(EXTRATO!$A$2:$A$3000,"BAN-02890")=0,"","BAN-02890")</f>
        <v/>
      </c>
      <c r="B3033" s="85" t="str">
        <f>IF(A3033="","",IF(INDEX(EXTRATO!$C$2:$C$3000,MATCH($A3033,EXTRATO!$A$2:$A$3000,0))="","",INDEX(EXTRATO!$C$2:$C$3000,MATCH($A3033,EXTRATO!$A$2:$A$3000,0))))</f>
        <v/>
      </c>
      <c r="C3033" s="86" t="str">
        <f t="shared" si="82"/>
        <v/>
      </c>
      <c r="D3033" s="81"/>
      <c r="E3033" s="79"/>
      <c r="F3033" s="80" t="str">
        <f>IF(A3033="","",SUMIF(EXTRATO!$A$2:$A$3000,$A3033,EXTRATO!$J$2:$J$3000)+SUMIF(EXTRATO!$A$2:$A$3000,$A3033,EXTRATO!$K$2:$K$3000)+SUMIF(EXTRATO!$A$2:$A$3000,$A3033,EXTRATO!$L$2:$L$3000)+SUMIF(EXTRATO!$A$2:$A$3000,$A3033,EXTRATO!$M$2:$M$3000))</f>
        <v/>
      </c>
      <c r="G3033" s="81" t="str">
        <f>IF(A3033="","",IF(INDEX(EXTRATO!$G$2:$G$3000,MATCH($A3033,EXTRATO!$A$2:$A$3000,0))="","",INDEX(EXTRATO!$G$2:$G$3000,MATCH($A3033,EXTRATO!$A$2:$A$3000,0))))</f>
        <v/>
      </c>
      <c r="H3033" s="86" t="str">
        <f>IF(A3033="","",IF(INDEX(EXTRATO!$F$2:$F$3000,MATCH($A3033,EXTRATO!$A$2:$A$3000,0))="","",INDEX(EXTRATO!$F$2:$F$3000,MATCH($A3033,EXTRATO!$A$2:$A$3000,0))))</f>
        <v/>
      </c>
      <c r="I3033" s="88" t="str">
        <f>IF(A3033="","",IF(INDEX(EXTRATO!$H$2:$H$3000,MATCH($A3033,EXTRATO!$A$2:$A$3000,0))="","",INDEX(EXTRATO!$H$2:$H$3000,MATCH($A3033,EXTRATO!$A$2:$A$3000,0))))</f>
        <v/>
      </c>
      <c r="J3033" s="86" t="str">
        <f t="shared" si="81"/>
        <v/>
      </c>
      <c r="K3033" s="86" t="str">
        <f>IF(AND(A3033="",D3033="",E3033="",F3033=""),"",IF(D3033="","SEM CATEGORIA",IF(E3033="","SEM SUBCATEGORIA",IF(COUNTIFS(CADASTROS!$L$7:$L$93,D3033,CADASTROS!$D$7:$D$93,E3033)=0,"INCOMPATÍVEL","OK"))))</f>
        <v/>
      </c>
    </row>
    <row r="3034" spans="1:11" ht="30" hidden="1" customHeight="1" x14ac:dyDescent="0.25">
      <c r="A3034" s="86" t="str">
        <f>IF(COUNTIF(EXTRATO!$A$2:$A$3000,"BAN-02891")=0,"","BAN-02891")</f>
        <v/>
      </c>
      <c r="B3034" s="85" t="str">
        <f>IF(A3034="","",IF(INDEX(EXTRATO!$C$2:$C$3000,MATCH($A3034,EXTRATO!$A$2:$A$3000,0))="","",INDEX(EXTRATO!$C$2:$C$3000,MATCH($A3034,EXTRATO!$A$2:$A$3000,0))))</f>
        <v/>
      </c>
      <c r="C3034" s="86" t="str">
        <f t="shared" si="82"/>
        <v/>
      </c>
      <c r="D3034" s="81"/>
      <c r="E3034" s="79"/>
      <c r="F3034" s="80" t="str">
        <f>IF(A3034="","",SUMIF(EXTRATO!$A$2:$A$3000,$A3034,EXTRATO!$J$2:$J$3000)+SUMIF(EXTRATO!$A$2:$A$3000,$A3034,EXTRATO!$K$2:$K$3000)+SUMIF(EXTRATO!$A$2:$A$3000,$A3034,EXTRATO!$L$2:$L$3000)+SUMIF(EXTRATO!$A$2:$A$3000,$A3034,EXTRATO!$M$2:$M$3000))</f>
        <v/>
      </c>
      <c r="G3034" s="81" t="str">
        <f>IF(A3034="","",IF(INDEX(EXTRATO!$G$2:$G$3000,MATCH($A3034,EXTRATO!$A$2:$A$3000,0))="","",INDEX(EXTRATO!$G$2:$G$3000,MATCH($A3034,EXTRATO!$A$2:$A$3000,0))))</f>
        <v/>
      </c>
      <c r="H3034" s="86" t="str">
        <f>IF(A3034="","",IF(INDEX(EXTRATO!$F$2:$F$3000,MATCH($A3034,EXTRATO!$A$2:$A$3000,0))="","",INDEX(EXTRATO!$F$2:$F$3000,MATCH($A3034,EXTRATO!$A$2:$A$3000,0))))</f>
        <v/>
      </c>
      <c r="I3034" s="88" t="str">
        <f>IF(A3034="","",IF(INDEX(EXTRATO!$H$2:$H$3000,MATCH($A3034,EXTRATO!$A$2:$A$3000,0))="","",INDEX(EXTRATO!$H$2:$H$3000,MATCH($A3034,EXTRATO!$A$2:$A$3000,0))))</f>
        <v/>
      </c>
      <c r="J3034" s="86" t="str">
        <f t="shared" si="81"/>
        <v/>
      </c>
      <c r="K3034" s="86" t="str">
        <f>IF(AND(A3034="",D3034="",E3034="",F3034=""),"",IF(D3034="","SEM CATEGORIA",IF(E3034="","SEM SUBCATEGORIA",IF(COUNTIFS(CADASTROS!$L$7:$L$93,D3034,CADASTROS!$D$7:$D$93,E3034)=0,"INCOMPATÍVEL","OK"))))</f>
        <v/>
      </c>
    </row>
    <row r="3035" spans="1:11" ht="30" hidden="1" customHeight="1" x14ac:dyDescent="0.25">
      <c r="A3035" s="86" t="str">
        <f>IF(COUNTIF(EXTRATO!$A$2:$A$3000,"BAN-02892")=0,"","BAN-02892")</f>
        <v/>
      </c>
      <c r="B3035" s="85" t="str">
        <f>IF(A3035="","",IF(INDEX(EXTRATO!$C$2:$C$3000,MATCH($A3035,EXTRATO!$A$2:$A$3000,0))="","",INDEX(EXTRATO!$C$2:$C$3000,MATCH($A3035,EXTRATO!$A$2:$A$3000,0))))</f>
        <v/>
      </c>
      <c r="C3035" s="86" t="str">
        <f t="shared" si="82"/>
        <v/>
      </c>
      <c r="D3035" s="81"/>
      <c r="E3035" s="79"/>
      <c r="F3035" s="80" t="str">
        <f>IF(A3035="","",SUMIF(EXTRATO!$A$2:$A$3000,$A3035,EXTRATO!$J$2:$J$3000)+SUMIF(EXTRATO!$A$2:$A$3000,$A3035,EXTRATO!$K$2:$K$3000)+SUMIF(EXTRATO!$A$2:$A$3000,$A3035,EXTRATO!$L$2:$L$3000)+SUMIF(EXTRATO!$A$2:$A$3000,$A3035,EXTRATO!$M$2:$M$3000))</f>
        <v/>
      </c>
      <c r="G3035" s="81" t="str">
        <f>IF(A3035="","",IF(INDEX(EXTRATO!$G$2:$G$3000,MATCH($A3035,EXTRATO!$A$2:$A$3000,0))="","",INDEX(EXTRATO!$G$2:$G$3000,MATCH($A3035,EXTRATO!$A$2:$A$3000,0))))</f>
        <v/>
      </c>
      <c r="H3035" s="86" t="str">
        <f>IF(A3035="","",IF(INDEX(EXTRATO!$F$2:$F$3000,MATCH($A3035,EXTRATO!$A$2:$A$3000,0))="","",INDEX(EXTRATO!$F$2:$F$3000,MATCH($A3035,EXTRATO!$A$2:$A$3000,0))))</f>
        <v/>
      </c>
      <c r="I3035" s="88" t="str">
        <f>IF(A3035="","",IF(INDEX(EXTRATO!$H$2:$H$3000,MATCH($A3035,EXTRATO!$A$2:$A$3000,0))="","",INDEX(EXTRATO!$H$2:$H$3000,MATCH($A3035,EXTRATO!$A$2:$A$3000,0))))</f>
        <v/>
      </c>
      <c r="J3035" s="86" t="str">
        <f t="shared" si="81"/>
        <v/>
      </c>
      <c r="K3035" s="86" t="str">
        <f>IF(AND(A3035="",D3035="",E3035="",F3035=""),"",IF(D3035="","SEM CATEGORIA",IF(E3035="","SEM SUBCATEGORIA",IF(COUNTIFS(CADASTROS!$L$7:$L$93,D3035,CADASTROS!$D$7:$D$93,E3035)=0,"INCOMPATÍVEL","OK"))))</f>
        <v/>
      </c>
    </row>
    <row r="3036" spans="1:11" ht="30" hidden="1" customHeight="1" x14ac:dyDescent="0.25">
      <c r="A3036" s="86" t="str">
        <f>IF(COUNTIF(EXTRATO!$A$2:$A$3000,"BAN-02893")=0,"","BAN-02893")</f>
        <v/>
      </c>
      <c r="B3036" s="85" t="str">
        <f>IF(A3036="","",IF(INDEX(EXTRATO!$C$2:$C$3000,MATCH($A3036,EXTRATO!$A$2:$A$3000,0))="","",INDEX(EXTRATO!$C$2:$C$3000,MATCH($A3036,EXTRATO!$A$2:$A$3000,0))))</f>
        <v/>
      </c>
      <c r="C3036" s="86" t="str">
        <f t="shared" si="82"/>
        <v/>
      </c>
      <c r="D3036" s="81"/>
      <c r="E3036" s="79"/>
      <c r="F3036" s="80" t="str">
        <f>IF(A3036="","",SUMIF(EXTRATO!$A$2:$A$3000,$A3036,EXTRATO!$J$2:$J$3000)+SUMIF(EXTRATO!$A$2:$A$3000,$A3036,EXTRATO!$K$2:$K$3000)+SUMIF(EXTRATO!$A$2:$A$3000,$A3036,EXTRATO!$L$2:$L$3000)+SUMIF(EXTRATO!$A$2:$A$3000,$A3036,EXTRATO!$M$2:$M$3000))</f>
        <v/>
      </c>
      <c r="G3036" s="81" t="str">
        <f>IF(A3036="","",IF(INDEX(EXTRATO!$G$2:$G$3000,MATCH($A3036,EXTRATO!$A$2:$A$3000,0))="","",INDEX(EXTRATO!$G$2:$G$3000,MATCH($A3036,EXTRATO!$A$2:$A$3000,0))))</f>
        <v/>
      </c>
      <c r="H3036" s="86" t="str">
        <f>IF(A3036="","",IF(INDEX(EXTRATO!$F$2:$F$3000,MATCH($A3036,EXTRATO!$A$2:$A$3000,0))="","",INDEX(EXTRATO!$F$2:$F$3000,MATCH($A3036,EXTRATO!$A$2:$A$3000,0))))</f>
        <v/>
      </c>
      <c r="I3036" s="88" t="str">
        <f>IF(A3036="","",IF(INDEX(EXTRATO!$H$2:$H$3000,MATCH($A3036,EXTRATO!$A$2:$A$3000,0))="","",INDEX(EXTRATO!$H$2:$H$3000,MATCH($A3036,EXTRATO!$A$2:$A$3000,0))))</f>
        <v/>
      </c>
      <c r="J3036" s="86" t="str">
        <f t="shared" si="81"/>
        <v/>
      </c>
      <c r="K3036" s="86" t="str">
        <f>IF(AND(A3036="",D3036="",E3036="",F3036=""),"",IF(D3036="","SEM CATEGORIA",IF(E3036="","SEM SUBCATEGORIA",IF(COUNTIFS(CADASTROS!$L$7:$L$93,D3036,CADASTROS!$D$7:$D$93,E3036)=0,"INCOMPATÍVEL","OK"))))</f>
        <v/>
      </c>
    </row>
    <row r="3037" spans="1:11" ht="30" hidden="1" customHeight="1" x14ac:dyDescent="0.25">
      <c r="A3037" s="86" t="str">
        <f>IF(COUNTIF(EXTRATO!$A$2:$A$3000,"BAN-02894")=0,"","BAN-02894")</f>
        <v/>
      </c>
      <c r="B3037" s="85" t="str">
        <f>IF(A3037="","",IF(INDEX(EXTRATO!$C$2:$C$3000,MATCH($A3037,EXTRATO!$A$2:$A$3000,0))="","",INDEX(EXTRATO!$C$2:$C$3000,MATCH($A3037,EXTRATO!$A$2:$A$3000,0))))</f>
        <v/>
      </c>
      <c r="C3037" s="86" t="str">
        <f t="shared" si="82"/>
        <v/>
      </c>
      <c r="D3037" s="81"/>
      <c r="E3037" s="79"/>
      <c r="F3037" s="80" t="str">
        <f>IF(A3037="","",SUMIF(EXTRATO!$A$2:$A$3000,$A3037,EXTRATO!$J$2:$J$3000)+SUMIF(EXTRATO!$A$2:$A$3000,$A3037,EXTRATO!$K$2:$K$3000)+SUMIF(EXTRATO!$A$2:$A$3000,$A3037,EXTRATO!$L$2:$L$3000)+SUMIF(EXTRATO!$A$2:$A$3000,$A3037,EXTRATO!$M$2:$M$3000))</f>
        <v/>
      </c>
      <c r="G3037" s="81" t="str">
        <f>IF(A3037="","",IF(INDEX(EXTRATO!$G$2:$G$3000,MATCH($A3037,EXTRATO!$A$2:$A$3000,0))="","",INDEX(EXTRATO!$G$2:$G$3000,MATCH($A3037,EXTRATO!$A$2:$A$3000,0))))</f>
        <v/>
      </c>
      <c r="H3037" s="86" t="str">
        <f>IF(A3037="","",IF(INDEX(EXTRATO!$F$2:$F$3000,MATCH($A3037,EXTRATO!$A$2:$A$3000,0))="","",INDEX(EXTRATO!$F$2:$F$3000,MATCH($A3037,EXTRATO!$A$2:$A$3000,0))))</f>
        <v/>
      </c>
      <c r="I3037" s="88" t="str">
        <f>IF(A3037="","",IF(INDEX(EXTRATO!$H$2:$H$3000,MATCH($A3037,EXTRATO!$A$2:$A$3000,0))="","",INDEX(EXTRATO!$H$2:$H$3000,MATCH($A3037,EXTRATO!$A$2:$A$3000,0))))</f>
        <v/>
      </c>
      <c r="J3037" s="86" t="str">
        <f t="shared" si="81"/>
        <v/>
      </c>
      <c r="K3037" s="86" t="str">
        <f>IF(AND(A3037="",D3037="",E3037="",F3037=""),"",IF(D3037="","SEM CATEGORIA",IF(E3037="","SEM SUBCATEGORIA",IF(COUNTIFS(CADASTROS!$L$7:$L$93,D3037,CADASTROS!$D$7:$D$93,E3037)=0,"INCOMPATÍVEL","OK"))))</f>
        <v/>
      </c>
    </row>
    <row r="3038" spans="1:11" ht="30" hidden="1" customHeight="1" x14ac:dyDescent="0.25">
      <c r="A3038" s="86" t="str">
        <f>IF(COUNTIF(EXTRATO!$A$2:$A$3000,"BAN-02895")=0,"","BAN-02895")</f>
        <v/>
      </c>
      <c r="B3038" s="85" t="str">
        <f>IF(A3038="","",IF(INDEX(EXTRATO!$C$2:$C$3000,MATCH($A3038,EXTRATO!$A$2:$A$3000,0))="","",INDEX(EXTRATO!$C$2:$C$3000,MATCH($A3038,EXTRATO!$A$2:$A$3000,0))))</f>
        <v/>
      </c>
      <c r="C3038" s="86" t="str">
        <f t="shared" si="82"/>
        <v/>
      </c>
      <c r="D3038" s="81"/>
      <c r="E3038" s="79"/>
      <c r="F3038" s="80" t="str">
        <f>IF(A3038="","",SUMIF(EXTRATO!$A$2:$A$3000,$A3038,EXTRATO!$J$2:$J$3000)+SUMIF(EXTRATO!$A$2:$A$3000,$A3038,EXTRATO!$K$2:$K$3000)+SUMIF(EXTRATO!$A$2:$A$3000,$A3038,EXTRATO!$L$2:$L$3000)+SUMIF(EXTRATO!$A$2:$A$3000,$A3038,EXTRATO!$M$2:$M$3000))</f>
        <v/>
      </c>
      <c r="G3038" s="81" t="str">
        <f>IF(A3038="","",IF(INDEX(EXTRATO!$G$2:$G$3000,MATCH($A3038,EXTRATO!$A$2:$A$3000,0))="","",INDEX(EXTRATO!$G$2:$G$3000,MATCH($A3038,EXTRATO!$A$2:$A$3000,0))))</f>
        <v/>
      </c>
      <c r="H3038" s="86" t="str">
        <f>IF(A3038="","",IF(INDEX(EXTRATO!$F$2:$F$3000,MATCH($A3038,EXTRATO!$A$2:$A$3000,0))="","",INDEX(EXTRATO!$F$2:$F$3000,MATCH($A3038,EXTRATO!$A$2:$A$3000,0))))</f>
        <v/>
      </c>
      <c r="I3038" s="88" t="str">
        <f>IF(A3038="","",IF(INDEX(EXTRATO!$H$2:$H$3000,MATCH($A3038,EXTRATO!$A$2:$A$3000,0))="","",INDEX(EXTRATO!$H$2:$H$3000,MATCH($A3038,EXTRATO!$A$2:$A$3000,0))))</f>
        <v/>
      </c>
      <c r="J3038" s="86" t="str">
        <f t="shared" si="81"/>
        <v/>
      </c>
      <c r="K3038" s="86" t="str">
        <f>IF(AND(A3038="",D3038="",E3038="",F3038=""),"",IF(D3038="","SEM CATEGORIA",IF(E3038="","SEM SUBCATEGORIA",IF(COUNTIFS(CADASTROS!$L$7:$L$93,D3038,CADASTROS!$D$7:$D$93,E3038)=0,"INCOMPATÍVEL","OK"))))</f>
        <v/>
      </c>
    </row>
    <row r="3039" spans="1:11" ht="30" hidden="1" customHeight="1" x14ac:dyDescent="0.25">
      <c r="A3039" s="86" t="str">
        <f>IF(COUNTIF(EXTRATO!$A$2:$A$3000,"BAN-02896")=0,"","BAN-02896")</f>
        <v/>
      </c>
      <c r="B3039" s="85" t="str">
        <f>IF(A3039="","",IF(INDEX(EXTRATO!$C$2:$C$3000,MATCH($A3039,EXTRATO!$A$2:$A$3000,0))="","",INDEX(EXTRATO!$C$2:$C$3000,MATCH($A3039,EXTRATO!$A$2:$A$3000,0))))</f>
        <v/>
      </c>
      <c r="C3039" s="86" t="str">
        <f t="shared" si="82"/>
        <v/>
      </c>
      <c r="D3039" s="81"/>
      <c r="E3039" s="79"/>
      <c r="F3039" s="80" t="str">
        <f>IF(A3039="","",SUMIF(EXTRATO!$A$2:$A$3000,$A3039,EXTRATO!$J$2:$J$3000)+SUMIF(EXTRATO!$A$2:$A$3000,$A3039,EXTRATO!$K$2:$K$3000)+SUMIF(EXTRATO!$A$2:$A$3000,$A3039,EXTRATO!$L$2:$L$3000)+SUMIF(EXTRATO!$A$2:$A$3000,$A3039,EXTRATO!$M$2:$M$3000))</f>
        <v/>
      </c>
      <c r="G3039" s="81" t="str">
        <f>IF(A3039="","",IF(INDEX(EXTRATO!$G$2:$G$3000,MATCH($A3039,EXTRATO!$A$2:$A$3000,0))="","",INDEX(EXTRATO!$G$2:$G$3000,MATCH($A3039,EXTRATO!$A$2:$A$3000,0))))</f>
        <v/>
      </c>
      <c r="H3039" s="86" t="str">
        <f>IF(A3039="","",IF(INDEX(EXTRATO!$F$2:$F$3000,MATCH($A3039,EXTRATO!$A$2:$A$3000,0))="","",INDEX(EXTRATO!$F$2:$F$3000,MATCH($A3039,EXTRATO!$A$2:$A$3000,0))))</f>
        <v/>
      </c>
      <c r="I3039" s="88" t="str">
        <f>IF(A3039="","",IF(INDEX(EXTRATO!$H$2:$H$3000,MATCH($A3039,EXTRATO!$A$2:$A$3000,0))="","",INDEX(EXTRATO!$H$2:$H$3000,MATCH($A3039,EXTRATO!$A$2:$A$3000,0))))</f>
        <v/>
      </c>
      <c r="J3039" s="86" t="str">
        <f t="shared" si="81"/>
        <v/>
      </c>
      <c r="K3039" s="86" t="str">
        <f>IF(AND(A3039="",D3039="",E3039="",F3039=""),"",IF(D3039="","SEM CATEGORIA",IF(E3039="","SEM SUBCATEGORIA",IF(COUNTIFS(CADASTROS!$L$7:$L$93,D3039,CADASTROS!$D$7:$D$93,E3039)=0,"INCOMPATÍVEL","OK"))))</f>
        <v/>
      </c>
    </row>
    <row r="3040" spans="1:11" ht="30" hidden="1" customHeight="1" x14ac:dyDescent="0.25">
      <c r="A3040" s="86" t="str">
        <f>IF(COUNTIF(EXTRATO!$A$2:$A$3000,"BAN-02897")=0,"","BAN-02897")</f>
        <v/>
      </c>
      <c r="B3040" s="85" t="str">
        <f>IF(A3040="","",IF(INDEX(EXTRATO!$C$2:$C$3000,MATCH($A3040,EXTRATO!$A$2:$A$3000,0))="","",INDEX(EXTRATO!$C$2:$C$3000,MATCH($A3040,EXTRATO!$A$2:$A$3000,0))))</f>
        <v/>
      </c>
      <c r="C3040" s="86" t="str">
        <f t="shared" si="82"/>
        <v/>
      </c>
      <c r="D3040" s="81"/>
      <c r="E3040" s="79"/>
      <c r="F3040" s="80" t="str">
        <f>IF(A3040="","",SUMIF(EXTRATO!$A$2:$A$3000,$A3040,EXTRATO!$J$2:$J$3000)+SUMIF(EXTRATO!$A$2:$A$3000,$A3040,EXTRATO!$K$2:$K$3000)+SUMIF(EXTRATO!$A$2:$A$3000,$A3040,EXTRATO!$L$2:$L$3000)+SUMIF(EXTRATO!$A$2:$A$3000,$A3040,EXTRATO!$M$2:$M$3000))</f>
        <v/>
      </c>
      <c r="G3040" s="81" t="str">
        <f>IF(A3040="","",IF(INDEX(EXTRATO!$G$2:$G$3000,MATCH($A3040,EXTRATO!$A$2:$A$3000,0))="","",INDEX(EXTRATO!$G$2:$G$3000,MATCH($A3040,EXTRATO!$A$2:$A$3000,0))))</f>
        <v/>
      </c>
      <c r="H3040" s="86" t="str">
        <f>IF(A3040="","",IF(INDEX(EXTRATO!$F$2:$F$3000,MATCH($A3040,EXTRATO!$A$2:$A$3000,0))="","",INDEX(EXTRATO!$F$2:$F$3000,MATCH($A3040,EXTRATO!$A$2:$A$3000,0))))</f>
        <v/>
      </c>
      <c r="I3040" s="88" t="str">
        <f>IF(A3040="","",IF(INDEX(EXTRATO!$H$2:$H$3000,MATCH($A3040,EXTRATO!$A$2:$A$3000,0))="","",INDEX(EXTRATO!$H$2:$H$3000,MATCH($A3040,EXTRATO!$A$2:$A$3000,0))))</f>
        <v/>
      </c>
      <c r="J3040" s="86" t="str">
        <f t="shared" si="81"/>
        <v/>
      </c>
      <c r="K3040" s="86" t="str">
        <f>IF(AND(A3040="",D3040="",E3040="",F3040=""),"",IF(D3040="","SEM CATEGORIA",IF(E3040="","SEM SUBCATEGORIA",IF(COUNTIFS(CADASTROS!$L$7:$L$93,D3040,CADASTROS!$D$7:$D$93,E3040)=0,"INCOMPATÍVEL","OK"))))</f>
        <v/>
      </c>
    </row>
    <row r="3041" spans="1:11" ht="30" hidden="1" customHeight="1" x14ac:dyDescent="0.25">
      <c r="A3041" s="86" t="str">
        <f>IF(COUNTIF(EXTRATO!$A$2:$A$3000,"BAN-02898")=0,"","BAN-02898")</f>
        <v/>
      </c>
      <c r="B3041" s="85" t="str">
        <f>IF(A3041="","",IF(INDEX(EXTRATO!$C$2:$C$3000,MATCH($A3041,EXTRATO!$A$2:$A$3000,0))="","",INDEX(EXTRATO!$C$2:$C$3000,MATCH($A3041,EXTRATO!$A$2:$A$3000,0))))</f>
        <v/>
      </c>
      <c r="C3041" s="86" t="str">
        <f t="shared" si="82"/>
        <v/>
      </c>
      <c r="D3041" s="81"/>
      <c r="E3041" s="79"/>
      <c r="F3041" s="80" t="str">
        <f>IF(A3041="","",SUMIF(EXTRATO!$A$2:$A$3000,$A3041,EXTRATO!$J$2:$J$3000)+SUMIF(EXTRATO!$A$2:$A$3000,$A3041,EXTRATO!$K$2:$K$3000)+SUMIF(EXTRATO!$A$2:$A$3000,$A3041,EXTRATO!$L$2:$L$3000)+SUMIF(EXTRATO!$A$2:$A$3000,$A3041,EXTRATO!$M$2:$M$3000))</f>
        <v/>
      </c>
      <c r="G3041" s="81" t="str">
        <f>IF(A3041="","",IF(INDEX(EXTRATO!$G$2:$G$3000,MATCH($A3041,EXTRATO!$A$2:$A$3000,0))="","",INDEX(EXTRATO!$G$2:$G$3000,MATCH($A3041,EXTRATO!$A$2:$A$3000,0))))</f>
        <v/>
      </c>
      <c r="H3041" s="86" t="str">
        <f>IF(A3041="","",IF(INDEX(EXTRATO!$F$2:$F$3000,MATCH($A3041,EXTRATO!$A$2:$A$3000,0))="","",INDEX(EXTRATO!$F$2:$F$3000,MATCH($A3041,EXTRATO!$A$2:$A$3000,0))))</f>
        <v/>
      </c>
      <c r="I3041" s="88" t="str">
        <f>IF(A3041="","",IF(INDEX(EXTRATO!$H$2:$H$3000,MATCH($A3041,EXTRATO!$A$2:$A$3000,0))="","",INDEX(EXTRATO!$H$2:$H$3000,MATCH($A3041,EXTRATO!$A$2:$A$3000,0))))</f>
        <v/>
      </c>
      <c r="J3041" s="86" t="str">
        <f t="shared" si="81"/>
        <v/>
      </c>
      <c r="K3041" s="86" t="str">
        <f>IF(AND(A3041="",D3041="",E3041="",F3041=""),"",IF(D3041="","SEM CATEGORIA",IF(E3041="","SEM SUBCATEGORIA",IF(COUNTIFS(CADASTROS!$L$7:$L$93,D3041,CADASTROS!$D$7:$D$93,E3041)=0,"INCOMPATÍVEL","OK"))))</f>
        <v/>
      </c>
    </row>
    <row r="3042" spans="1:11" ht="30" hidden="1" customHeight="1" x14ac:dyDescent="0.25">
      <c r="A3042" s="86" t="str">
        <f>IF(COUNTIF(EXTRATO!$A$2:$A$3000,"BAN-02899")=0,"","BAN-02899")</f>
        <v/>
      </c>
      <c r="B3042" s="85" t="str">
        <f>IF(A3042="","",IF(INDEX(EXTRATO!$C$2:$C$3000,MATCH($A3042,EXTRATO!$A$2:$A$3000,0))="","",INDEX(EXTRATO!$C$2:$C$3000,MATCH($A3042,EXTRATO!$A$2:$A$3000,0))))</f>
        <v/>
      </c>
      <c r="C3042" s="86" t="str">
        <f t="shared" si="82"/>
        <v/>
      </c>
      <c r="D3042" s="81"/>
      <c r="E3042" s="79"/>
      <c r="F3042" s="80" t="str">
        <f>IF(A3042="","",SUMIF(EXTRATO!$A$2:$A$3000,$A3042,EXTRATO!$J$2:$J$3000)+SUMIF(EXTRATO!$A$2:$A$3000,$A3042,EXTRATO!$K$2:$K$3000)+SUMIF(EXTRATO!$A$2:$A$3000,$A3042,EXTRATO!$L$2:$L$3000)+SUMIF(EXTRATO!$A$2:$A$3000,$A3042,EXTRATO!$M$2:$M$3000))</f>
        <v/>
      </c>
      <c r="G3042" s="81" t="str">
        <f>IF(A3042="","",IF(INDEX(EXTRATO!$G$2:$G$3000,MATCH($A3042,EXTRATO!$A$2:$A$3000,0))="","",INDEX(EXTRATO!$G$2:$G$3000,MATCH($A3042,EXTRATO!$A$2:$A$3000,0))))</f>
        <v/>
      </c>
      <c r="H3042" s="86" t="str">
        <f>IF(A3042="","",IF(INDEX(EXTRATO!$F$2:$F$3000,MATCH($A3042,EXTRATO!$A$2:$A$3000,0))="","",INDEX(EXTRATO!$F$2:$F$3000,MATCH($A3042,EXTRATO!$A$2:$A$3000,0))))</f>
        <v/>
      </c>
      <c r="I3042" s="88" t="str">
        <f>IF(A3042="","",IF(INDEX(EXTRATO!$H$2:$H$3000,MATCH($A3042,EXTRATO!$A$2:$A$3000,0))="","",INDEX(EXTRATO!$H$2:$H$3000,MATCH($A3042,EXTRATO!$A$2:$A$3000,0))))</f>
        <v/>
      </c>
      <c r="J3042" s="86" t="str">
        <f t="shared" si="81"/>
        <v/>
      </c>
      <c r="K3042" s="86" t="str">
        <f>IF(AND(A3042="",D3042="",E3042="",F3042=""),"",IF(D3042="","SEM CATEGORIA",IF(E3042="","SEM SUBCATEGORIA",IF(COUNTIFS(CADASTROS!$L$7:$L$93,D3042,CADASTROS!$D$7:$D$93,E3042)=0,"INCOMPATÍVEL","OK"))))</f>
        <v/>
      </c>
    </row>
    <row r="3043" spans="1:11" ht="30" hidden="1" customHeight="1" x14ac:dyDescent="0.25">
      <c r="A3043" s="86" t="str">
        <f>IF(COUNTIF(EXTRATO!$A$2:$A$3000,"BAN-02900")=0,"","BAN-02900")</f>
        <v/>
      </c>
      <c r="B3043" s="85" t="str">
        <f>IF(A3043="","",IF(INDEX(EXTRATO!$C$2:$C$3000,MATCH($A3043,EXTRATO!$A$2:$A$3000,0))="","",INDEX(EXTRATO!$C$2:$C$3000,MATCH($A3043,EXTRATO!$A$2:$A$3000,0))))</f>
        <v/>
      </c>
      <c r="C3043" s="86" t="str">
        <f t="shared" si="82"/>
        <v/>
      </c>
      <c r="D3043" s="81"/>
      <c r="E3043" s="79"/>
      <c r="F3043" s="80" t="str">
        <f>IF(A3043="","",SUMIF(EXTRATO!$A$2:$A$3000,$A3043,EXTRATO!$J$2:$J$3000)+SUMIF(EXTRATO!$A$2:$A$3000,$A3043,EXTRATO!$K$2:$K$3000)+SUMIF(EXTRATO!$A$2:$A$3000,$A3043,EXTRATO!$L$2:$L$3000)+SUMIF(EXTRATO!$A$2:$A$3000,$A3043,EXTRATO!$M$2:$M$3000))</f>
        <v/>
      </c>
      <c r="G3043" s="81" t="str">
        <f>IF(A3043="","",IF(INDEX(EXTRATO!$G$2:$G$3000,MATCH($A3043,EXTRATO!$A$2:$A$3000,0))="","",INDEX(EXTRATO!$G$2:$G$3000,MATCH($A3043,EXTRATO!$A$2:$A$3000,0))))</f>
        <v/>
      </c>
      <c r="H3043" s="86" t="str">
        <f>IF(A3043="","",IF(INDEX(EXTRATO!$F$2:$F$3000,MATCH($A3043,EXTRATO!$A$2:$A$3000,0))="","",INDEX(EXTRATO!$F$2:$F$3000,MATCH($A3043,EXTRATO!$A$2:$A$3000,0))))</f>
        <v/>
      </c>
      <c r="I3043" s="88" t="str">
        <f>IF(A3043="","",IF(INDEX(EXTRATO!$H$2:$H$3000,MATCH($A3043,EXTRATO!$A$2:$A$3000,0))="","",INDEX(EXTRATO!$H$2:$H$3000,MATCH($A3043,EXTRATO!$A$2:$A$3000,0))))</f>
        <v/>
      </c>
      <c r="J3043" s="86" t="str">
        <f t="shared" si="81"/>
        <v/>
      </c>
      <c r="K3043" s="86" t="str">
        <f>IF(AND(A3043="",D3043="",E3043="",F3043=""),"",IF(D3043="","SEM CATEGORIA",IF(E3043="","SEM SUBCATEGORIA",IF(COUNTIFS(CADASTROS!$L$7:$L$93,D3043,CADASTROS!$D$7:$D$93,E3043)=0,"INCOMPATÍVEL","OK"))))</f>
        <v/>
      </c>
    </row>
    <row r="3044" spans="1:11" ht="30" hidden="1" customHeight="1" x14ac:dyDescent="0.25">
      <c r="A3044" s="86" t="str">
        <f>IF(COUNTIF(EXTRATO!$A$2:$A$3000,"BAN-02901")=0,"","BAN-02901")</f>
        <v/>
      </c>
      <c r="B3044" s="85" t="str">
        <f>IF(A3044="","",IF(INDEX(EXTRATO!$C$2:$C$3000,MATCH($A3044,EXTRATO!$A$2:$A$3000,0))="","",INDEX(EXTRATO!$C$2:$C$3000,MATCH($A3044,EXTRATO!$A$2:$A$3000,0))))</f>
        <v/>
      </c>
      <c r="C3044" s="86" t="str">
        <f t="shared" si="82"/>
        <v/>
      </c>
      <c r="D3044" s="81"/>
      <c r="E3044" s="79"/>
      <c r="F3044" s="80" t="str">
        <f>IF(A3044="","",SUMIF(EXTRATO!$A$2:$A$3000,$A3044,EXTRATO!$J$2:$J$3000)+SUMIF(EXTRATO!$A$2:$A$3000,$A3044,EXTRATO!$K$2:$K$3000)+SUMIF(EXTRATO!$A$2:$A$3000,$A3044,EXTRATO!$L$2:$L$3000)+SUMIF(EXTRATO!$A$2:$A$3000,$A3044,EXTRATO!$M$2:$M$3000))</f>
        <v/>
      </c>
      <c r="G3044" s="81" t="str">
        <f>IF(A3044="","",IF(INDEX(EXTRATO!$G$2:$G$3000,MATCH($A3044,EXTRATO!$A$2:$A$3000,0))="","",INDEX(EXTRATO!$G$2:$G$3000,MATCH($A3044,EXTRATO!$A$2:$A$3000,0))))</f>
        <v/>
      </c>
      <c r="H3044" s="86" t="str">
        <f>IF(A3044="","",IF(INDEX(EXTRATO!$F$2:$F$3000,MATCH($A3044,EXTRATO!$A$2:$A$3000,0))="","",INDEX(EXTRATO!$F$2:$F$3000,MATCH($A3044,EXTRATO!$A$2:$A$3000,0))))</f>
        <v/>
      </c>
      <c r="I3044" s="88" t="str">
        <f>IF(A3044="","",IF(INDEX(EXTRATO!$H$2:$H$3000,MATCH($A3044,EXTRATO!$A$2:$A$3000,0))="","",INDEX(EXTRATO!$H$2:$H$3000,MATCH($A3044,EXTRATO!$A$2:$A$3000,0))))</f>
        <v/>
      </c>
      <c r="J3044" s="86" t="str">
        <f t="shared" si="81"/>
        <v/>
      </c>
      <c r="K3044" s="86" t="str">
        <f>IF(AND(A3044="",D3044="",E3044="",F3044=""),"",IF(D3044="","SEM CATEGORIA",IF(E3044="","SEM SUBCATEGORIA",IF(COUNTIFS(CADASTROS!$L$7:$L$93,D3044,CADASTROS!$D$7:$D$93,E3044)=0,"INCOMPATÍVEL","OK"))))</f>
        <v/>
      </c>
    </row>
    <row r="3045" spans="1:11" ht="30" hidden="1" customHeight="1" x14ac:dyDescent="0.25">
      <c r="A3045" s="86" t="str">
        <f>IF(COUNTIF(EXTRATO!$A$2:$A$3000,"BAN-02902")=0,"","BAN-02902")</f>
        <v/>
      </c>
      <c r="B3045" s="85" t="str">
        <f>IF(A3045="","",IF(INDEX(EXTRATO!$C$2:$C$3000,MATCH($A3045,EXTRATO!$A$2:$A$3000,0))="","",INDEX(EXTRATO!$C$2:$C$3000,MATCH($A3045,EXTRATO!$A$2:$A$3000,0))))</f>
        <v/>
      </c>
      <c r="C3045" s="86" t="str">
        <f t="shared" si="82"/>
        <v/>
      </c>
      <c r="D3045" s="81"/>
      <c r="E3045" s="79"/>
      <c r="F3045" s="80" t="str">
        <f>IF(A3045="","",SUMIF(EXTRATO!$A$2:$A$3000,$A3045,EXTRATO!$J$2:$J$3000)+SUMIF(EXTRATO!$A$2:$A$3000,$A3045,EXTRATO!$K$2:$K$3000)+SUMIF(EXTRATO!$A$2:$A$3000,$A3045,EXTRATO!$L$2:$L$3000)+SUMIF(EXTRATO!$A$2:$A$3000,$A3045,EXTRATO!$M$2:$M$3000))</f>
        <v/>
      </c>
      <c r="G3045" s="81" t="str">
        <f>IF(A3045="","",IF(INDEX(EXTRATO!$G$2:$G$3000,MATCH($A3045,EXTRATO!$A$2:$A$3000,0))="","",INDEX(EXTRATO!$G$2:$G$3000,MATCH($A3045,EXTRATO!$A$2:$A$3000,0))))</f>
        <v/>
      </c>
      <c r="H3045" s="86" t="str">
        <f>IF(A3045="","",IF(INDEX(EXTRATO!$F$2:$F$3000,MATCH($A3045,EXTRATO!$A$2:$A$3000,0))="","",INDEX(EXTRATO!$F$2:$F$3000,MATCH($A3045,EXTRATO!$A$2:$A$3000,0))))</f>
        <v/>
      </c>
      <c r="I3045" s="88" t="str">
        <f>IF(A3045="","",IF(INDEX(EXTRATO!$H$2:$H$3000,MATCH($A3045,EXTRATO!$A$2:$A$3000,0))="","",INDEX(EXTRATO!$H$2:$H$3000,MATCH($A3045,EXTRATO!$A$2:$A$3000,0))))</f>
        <v/>
      </c>
      <c r="J3045" s="86" t="str">
        <f t="shared" si="81"/>
        <v/>
      </c>
      <c r="K3045" s="86" t="str">
        <f>IF(AND(A3045="",D3045="",E3045="",F3045=""),"",IF(D3045="","SEM CATEGORIA",IF(E3045="","SEM SUBCATEGORIA",IF(COUNTIFS(CADASTROS!$L$7:$L$93,D3045,CADASTROS!$D$7:$D$93,E3045)=0,"INCOMPATÍVEL","OK"))))</f>
        <v/>
      </c>
    </row>
    <row r="3046" spans="1:11" ht="30" hidden="1" customHeight="1" x14ac:dyDescent="0.25">
      <c r="A3046" s="86" t="str">
        <f>IF(COUNTIF(EXTRATO!$A$2:$A$3000,"BAN-02903")=0,"","BAN-02903")</f>
        <v/>
      </c>
      <c r="B3046" s="85" t="str">
        <f>IF(A3046="","",IF(INDEX(EXTRATO!$C$2:$C$3000,MATCH($A3046,EXTRATO!$A$2:$A$3000,0))="","",INDEX(EXTRATO!$C$2:$C$3000,MATCH($A3046,EXTRATO!$A$2:$A$3000,0))))</f>
        <v/>
      </c>
      <c r="C3046" s="86" t="str">
        <f t="shared" si="82"/>
        <v/>
      </c>
      <c r="D3046" s="81"/>
      <c r="E3046" s="79"/>
      <c r="F3046" s="80" t="str">
        <f>IF(A3046="","",SUMIF(EXTRATO!$A$2:$A$3000,$A3046,EXTRATO!$J$2:$J$3000)+SUMIF(EXTRATO!$A$2:$A$3000,$A3046,EXTRATO!$K$2:$K$3000)+SUMIF(EXTRATO!$A$2:$A$3000,$A3046,EXTRATO!$L$2:$L$3000)+SUMIF(EXTRATO!$A$2:$A$3000,$A3046,EXTRATO!$M$2:$M$3000))</f>
        <v/>
      </c>
      <c r="G3046" s="81" t="str">
        <f>IF(A3046="","",IF(INDEX(EXTRATO!$G$2:$G$3000,MATCH($A3046,EXTRATO!$A$2:$A$3000,0))="","",INDEX(EXTRATO!$G$2:$G$3000,MATCH($A3046,EXTRATO!$A$2:$A$3000,0))))</f>
        <v/>
      </c>
      <c r="H3046" s="86" t="str">
        <f>IF(A3046="","",IF(INDEX(EXTRATO!$F$2:$F$3000,MATCH($A3046,EXTRATO!$A$2:$A$3000,0))="","",INDEX(EXTRATO!$F$2:$F$3000,MATCH($A3046,EXTRATO!$A$2:$A$3000,0))))</f>
        <v/>
      </c>
      <c r="I3046" s="88" t="str">
        <f>IF(A3046="","",IF(INDEX(EXTRATO!$H$2:$H$3000,MATCH($A3046,EXTRATO!$A$2:$A$3000,0))="","",INDEX(EXTRATO!$H$2:$H$3000,MATCH($A3046,EXTRATO!$A$2:$A$3000,0))))</f>
        <v/>
      </c>
      <c r="J3046" s="86" t="str">
        <f t="shared" si="81"/>
        <v/>
      </c>
      <c r="K3046" s="86" t="str">
        <f>IF(AND(A3046="",D3046="",E3046="",F3046=""),"",IF(D3046="","SEM CATEGORIA",IF(E3046="","SEM SUBCATEGORIA",IF(COUNTIFS(CADASTROS!$L$7:$L$93,D3046,CADASTROS!$D$7:$D$93,E3046)=0,"INCOMPATÍVEL","OK"))))</f>
        <v/>
      </c>
    </row>
    <row r="3047" spans="1:11" ht="30" hidden="1" customHeight="1" x14ac:dyDescent="0.25">
      <c r="A3047" s="86" t="str">
        <f>IF(COUNTIF(EXTRATO!$A$2:$A$3000,"BAN-02904")=0,"","BAN-02904")</f>
        <v/>
      </c>
      <c r="B3047" s="85" t="str">
        <f>IF(A3047="","",IF(INDEX(EXTRATO!$C$2:$C$3000,MATCH($A3047,EXTRATO!$A$2:$A$3000,0))="","",INDEX(EXTRATO!$C$2:$C$3000,MATCH($A3047,EXTRATO!$A$2:$A$3000,0))))</f>
        <v/>
      </c>
      <c r="C3047" s="86" t="str">
        <f t="shared" si="82"/>
        <v/>
      </c>
      <c r="D3047" s="81"/>
      <c r="E3047" s="79"/>
      <c r="F3047" s="80" t="str">
        <f>IF(A3047="","",SUMIF(EXTRATO!$A$2:$A$3000,$A3047,EXTRATO!$J$2:$J$3000)+SUMIF(EXTRATO!$A$2:$A$3000,$A3047,EXTRATO!$K$2:$K$3000)+SUMIF(EXTRATO!$A$2:$A$3000,$A3047,EXTRATO!$L$2:$L$3000)+SUMIF(EXTRATO!$A$2:$A$3000,$A3047,EXTRATO!$M$2:$M$3000))</f>
        <v/>
      </c>
      <c r="G3047" s="81" t="str">
        <f>IF(A3047="","",IF(INDEX(EXTRATO!$G$2:$G$3000,MATCH($A3047,EXTRATO!$A$2:$A$3000,0))="","",INDEX(EXTRATO!$G$2:$G$3000,MATCH($A3047,EXTRATO!$A$2:$A$3000,0))))</f>
        <v/>
      </c>
      <c r="H3047" s="86" t="str">
        <f>IF(A3047="","",IF(INDEX(EXTRATO!$F$2:$F$3000,MATCH($A3047,EXTRATO!$A$2:$A$3000,0))="","",INDEX(EXTRATO!$F$2:$F$3000,MATCH($A3047,EXTRATO!$A$2:$A$3000,0))))</f>
        <v/>
      </c>
      <c r="I3047" s="88" t="str">
        <f>IF(A3047="","",IF(INDEX(EXTRATO!$H$2:$H$3000,MATCH($A3047,EXTRATO!$A$2:$A$3000,0))="","",INDEX(EXTRATO!$H$2:$H$3000,MATCH($A3047,EXTRATO!$A$2:$A$3000,0))))</f>
        <v/>
      </c>
      <c r="J3047" s="86" t="str">
        <f t="shared" si="81"/>
        <v/>
      </c>
      <c r="K3047" s="86" t="str">
        <f>IF(AND(A3047="",D3047="",E3047="",F3047=""),"",IF(D3047="","SEM CATEGORIA",IF(E3047="","SEM SUBCATEGORIA",IF(COUNTIFS(CADASTROS!$L$7:$L$93,D3047,CADASTROS!$D$7:$D$93,E3047)=0,"INCOMPATÍVEL","OK"))))</f>
        <v/>
      </c>
    </row>
    <row r="3048" spans="1:11" ht="30" hidden="1" customHeight="1" x14ac:dyDescent="0.25">
      <c r="A3048" s="86" t="str">
        <f>IF(COUNTIF(EXTRATO!$A$2:$A$3000,"BAN-02905")=0,"","BAN-02905")</f>
        <v/>
      </c>
      <c r="B3048" s="85" t="str">
        <f>IF(A3048="","",IF(INDEX(EXTRATO!$C$2:$C$3000,MATCH($A3048,EXTRATO!$A$2:$A$3000,0))="","",INDEX(EXTRATO!$C$2:$C$3000,MATCH($A3048,EXTRATO!$A$2:$A$3000,0))))</f>
        <v/>
      </c>
      <c r="C3048" s="86" t="str">
        <f t="shared" si="82"/>
        <v/>
      </c>
      <c r="D3048" s="81"/>
      <c r="E3048" s="79"/>
      <c r="F3048" s="80" t="str">
        <f>IF(A3048="","",SUMIF(EXTRATO!$A$2:$A$3000,$A3048,EXTRATO!$J$2:$J$3000)+SUMIF(EXTRATO!$A$2:$A$3000,$A3048,EXTRATO!$K$2:$K$3000)+SUMIF(EXTRATO!$A$2:$A$3000,$A3048,EXTRATO!$L$2:$L$3000)+SUMIF(EXTRATO!$A$2:$A$3000,$A3048,EXTRATO!$M$2:$M$3000))</f>
        <v/>
      </c>
      <c r="G3048" s="81" t="str">
        <f>IF(A3048="","",IF(INDEX(EXTRATO!$G$2:$G$3000,MATCH($A3048,EXTRATO!$A$2:$A$3000,0))="","",INDEX(EXTRATO!$G$2:$G$3000,MATCH($A3048,EXTRATO!$A$2:$A$3000,0))))</f>
        <v/>
      </c>
      <c r="H3048" s="86" t="str">
        <f>IF(A3048="","",IF(INDEX(EXTRATO!$F$2:$F$3000,MATCH($A3048,EXTRATO!$A$2:$A$3000,0))="","",INDEX(EXTRATO!$F$2:$F$3000,MATCH($A3048,EXTRATO!$A$2:$A$3000,0))))</f>
        <v/>
      </c>
      <c r="I3048" s="88" t="str">
        <f>IF(A3048="","",IF(INDEX(EXTRATO!$H$2:$H$3000,MATCH($A3048,EXTRATO!$A$2:$A$3000,0))="","",INDEX(EXTRATO!$H$2:$H$3000,MATCH($A3048,EXTRATO!$A$2:$A$3000,0))))</f>
        <v/>
      </c>
      <c r="J3048" s="86" t="str">
        <f t="shared" si="81"/>
        <v/>
      </c>
      <c r="K3048" s="86" t="str">
        <f>IF(AND(A3048="",D3048="",E3048="",F3048=""),"",IF(D3048="","SEM CATEGORIA",IF(E3048="","SEM SUBCATEGORIA",IF(COUNTIFS(CADASTROS!$L$7:$L$93,D3048,CADASTROS!$D$7:$D$93,E3048)=0,"INCOMPATÍVEL","OK"))))</f>
        <v/>
      </c>
    </row>
    <row r="3049" spans="1:11" ht="30" hidden="1" customHeight="1" x14ac:dyDescent="0.25">
      <c r="A3049" s="86" t="str">
        <f>IF(COUNTIF(EXTRATO!$A$2:$A$3000,"BAN-02906")=0,"","BAN-02906")</f>
        <v/>
      </c>
      <c r="B3049" s="85" t="str">
        <f>IF(A3049="","",IF(INDEX(EXTRATO!$C$2:$C$3000,MATCH($A3049,EXTRATO!$A$2:$A$3000,0))="","",INDEX(EXTRATO!$C$2:$C$3000,MATCH($A3049,EXTRATO!$A$2:$A$3000,0))))</f>
        <v/>
      </c>
      <c r="C3049" s="86" t="str">
        <f t="shared" si="82"/>
        <v/>
      </c>
      <c r="D3049" s="81"/>
      <c r="E3049" s="79"/>
      <c r="F3049" s="80" t="str">
        <f>IF(A3049="","",SUMIF(EXTRATO!$A$2:$A$3000,$A3049,EXTRATO!$J$2:$J$3000)+SUMIF(EXTRATO!$A$2:$A$3000,$A3049,EXTRATO!$K$2:$K$3000)+SUMIF(EXTRATO!$A$2:$A$3000,$A3049,EXTRATO!$L$2:$L$3000)+SUMIF(EXTRATO!$A$2:$A$3000,$A3049,EXTRATO!$M$2:$M$3000))</f>
        <v/>
      </c>
      <c r="G3049" s="81" t="str">
        <f>IF(A3049="","",IF(INDEX(EXTRATO!$G$2:$G$3000,MATCH($A3049,EXTRATO!$A$2:$A$3000,0))="","",INDEX(EXTRATO!$G$2:$G$3000,MATCH($A3049,EXTRATO!$A$2:$A$3000,0))))</f>
        <v/>
      </c>
      <c r="H3049" s="86" t="str">
        <f>IF(A3049="","",IF(INDEX(EXTRATO!$F$2:$F$3000,MATCH($A3049,EXTRATO!$A$2:$A$3000,0))="","",INDEX(EXTRATO!$F$2:$F$3000,MATCH($A3049,EXTRATO!$A$2:$A$3000,0))))</f>
        <v/>
      </c>
      <c r="I3049" s="88" t="str">
        <f>IF(A3049="","",IF(INDEX(EXTRATO!$H$2:$H$3000,MATCH($A3049,EXTRATO!$A$2:$A$3000,0))="","",INDEX(EXTRATO!$H$2:$H$3000,MATCH($A3049,EXTRATO!$A$2:$A$3000,0))))</f>
        <v/>
      </c>
      <c r="J3049" s="86" t="str">
        <f t="shared" si="81"/>
        <v/>
      </c>
      <c r="K3049" s="86" t="str">
        <f>IF(AND(A3049="",D3049="",E3049="",F3049=""),"",IF(D3049="","SEM CATEGORIA",IF(E3049="","SEM SUBCATEGORIA",IF(COUNTIFS(CADASTROS!$L$7:$L$93,D3049,CADASTROS!$D$7:$D$93,E3049)=0,"INCOMPATÍVEL","OK"))))</f>
        <v/>
      </c>
    </row>
    <row r="3050" spans="1:11" ht="30" hidden="1" customHeight="1" x14ac:dyDescent="0.25">
      <c r="A3050" s="86" t="str">
        <f>IF(COUNTIF(EXTRATO!$A$2:$A$3000,"BAN-02907")=0,"","BAN-02907")</f>
        <v/>
      </c>
      <c r="B3050" s="85" t="str">
        <f>IF(A3050="","",IF(INDEX(EXTRATO!$C$2:$C$3000,MATCH($A3050,EXTRATO!$A$2:$A$3000,0))="","",INDEX(EXTRATO!$C$2:$C$3000,MATCH($A3050,EXTRATO!$A$2:$A$3000,0))))</f>
        <v/>
      </c>
      <c r="C3050" s="86" t="str">
        <f t="shared" si="82"/>
        <v/>
      </c>
      <c r="D3050" s="81"/>
      <c r="E3050" s="79"/>
      <c r="F3050" s="80" t="str">
        <f>IF(A3050="","",SUMIF(EXTRATO!$A$2:$A$3000,$A3050,EXTRATO!$J$2:$J$3000)+SUMIF(EXTRATO!$A$2:$A$3000,$A3050,EXTRATO!$K$2:$K$3000)+SUMIF(EXTRATO!$A$2:$A$3000,$A3050,EXTRATO!$L$2:$L$3000)+SUMIF(EXTRATO!$A$2:$A$3000,$A3050,EXTRATO!$M$2:$M$3000))</f>
        <v/>
      </c>
      <c r="G3050" s="81" t="str">
        <f>IF(A3050="","",IF(INDEX(EXTRATO!$G$2:$G$3000,MATCH($A3050,EXTRATO!$A$2:$A$3000,0))="","",INDEX(EXTRATO!$G$2:$G$3000,MATCH($A3050,EXTRATO!$A$2:$A$3000,0))))</f>
        <v/>
      </c>
      <c r="H3050" s="86" t="str">
        <f>IF(A3050="","",IF(INDEX(EXTRATO!$F$2:$F$3000,MATCH($A3050,EXTRATO!$A$2:$A$3000,0))="","",INDEX(EXTRATO!$F$2:$F$3000,MATCH($A3050,EXTRATO!$A$2:$A$3000,0))))</f>
        <v/>
      </c>
      <c r="I3050" s="88" t="str">
        <f>IF(A3050="","",IF(INDEX(EXTRATO!$H$2:$H$3000,MATCH($A3050,EXTRATO!$A$2:$A$3000,0))="","",INDEX(EXTRATO!$H$2:$H$3000,MATCH($A3050,EXTRATO!$A$2:$A$3000,0))))</f>
        <v/>
      </c>
      <c r="J3050" s="86" t="str">
        <f t="shared" si="81"/>
        <v/>
      </c>
      <c r="K3050" s="86" t="str">
        <f>IF(AND(A3050="",D3050="",E3050="",F3050=""),"",IF(D3050="","SEM CATEGORIA",IF(E3050="","SEM SUBCATEGORIA",IF(COUNTIFS(CADASTROS!$L$7:$L$93,D3050,CADASTROS!$D$7:$D$93,E3050)=0,"INCOMPATÍVEL","OK"))))</f>
        <v/>
      </c>
    </row>
    <row r="3051" spans="1:11" ht="30" hidden="1" customHeight="1" x14ac:dyDescent="0.25">
      <c r="A3051" s="86" t="str">
        <f>IF(COUNTIF(EXTRATO!$A$2:$A$3000,"BAN-02908")=0,"","BAN-02908")</f>
        <v/>
      </c>
      <c r="B3051" s="85" t="str">
        <f>IF(A3051="","",IF(INDEX(EXTRATO!$C$2:$C$3000,MATCH($A3051,EXTRATO!$A$2:$A$3000,0))="","",INDEX(EXTRATO!$C$2:$C$3000,MATCH($A3051,EXTRATO!$A$2:$A$3000,0))))</f>
        <v/>
      </c>
      <c r="C3051" s="86" t="str">
        <f t="shared" si="82"/>
        <v/>
      </c>
      <c r="D3051" s="81"/>
      <c r="E3051" s="79"/>
      <c r="F3051" s="80" t="str">
        <f>IF(A3051="","",SUMIF(EXTRATO!$A$2:$A$3000,$A3051,EXTRATO!$J$2:$J$3000)+SUMIF(EXTRATO!$A$2:$A$3000,$A3051,EXTRATO!$K$2:$K$3000)+SUMIF(EXTRATO!$A$2:$A$3000,$A3051,EXTRATO!$L$2:$L$3000)+SUMIF(EXTRATO!$A$2:$A$3000,$A3051,EXTRATO!$M$2:$M$3000))</f>
        <v/>
      </c>
      <c r="G3051" s="81" t="str">
        <f>IF(A3051="","",IF(INDEX(EXTRATO!$G$2:$G$3000,MATCH($A3051,EXTRATO!$A$2:$A$3000,0))="","",INDEX(EXTRATO!$G$2:$G$3000,MATCH($A3051,EXTRATO!$A$2:$A$3000,0))))</f>
        <v/>
      </c>
      <c r="H3051" s="86" t="str">
        <f>IF(A3051="","",IF(INDEX(EXTRATO!$F$2:$F$3000,MATCH($A3051,EXTRATO!$A$2:$A$3000,0))="","",INDEX(EXTRATO!$F$2:$F$3000,MATCH($A3051,EXTRATO!$A$2:$A$3000,0))))</f>
        <v/>
      </c>
      <c r="I3051" s="88" t="str">
        <f>IF(A3051="","",IF(INDEX(EXTRATO!$H$2:$H$3000,MATCH($A3051,EXTRATO!$A$2:$A$3000,0))="","",INDEX(EXTRATO!$H$2:$H$3000,MATCH($A3051,EXTRATO!$A$2:$A$3000,0))))</f>
        <v/>
      </c>
      <c r="J3051" s="86" t="str">
        <f t="shared" si="81"/>
        <v/>
      </c>
      <c r="K3051" s="86" t="str">
        <f>IF(AND(A3051="",D3051="",E3051="",F3051=""),"",IF(D3051="","SEM CATEGORIA",IF(E3051="","SEM SUBCATEGORIA",IF(COUNTIFS(CADASTROS!$L$7:$L$93,D3051,CADASTROS!$D$7:$D$93,E3051)=0,"INCOMPATÍVEL","OK"))))</f>
        <v/>
      </c>
    </row>
    <row r="3052" spans="1:11" ht="30" hidden="1" customHeight="1" x14ac:dyDescent="0.25">
      <c r="A3052" s="86" t="str">
        <f>IF(COUNTIF(EXTRATO!$A$2:$A$3000,"BAN-02909")=0,"","BAN-02909")</f>
        <v/>
      </c>
      <c r="B3052" s="85" t="str">
        <f>IF(A3052="","",IF(INDEX(EXTRATO!$C$2:$C$3000,MATCH($A3052,EXTRATO!$A$2:$A$3000,0))="","",INDEX(EXTRATO!$C$2:$C$3000,MATCH($A3052,EXTRATO!$A$2:$A$3000,0))))</f>
        <v/>
      </c>
      <c r="C3052" s="86" t="str">
        <f t="shared" si="82"/>
        <v/>
      </c>
      <c r="D3052" s="81"/>
      <c r="E3052" s="79"/>
      <c r="F3052" s="80" t="str">
        <f>IF(A3052="","",SUMIF(EXTRATO!$A$2:$A$3000,$A3052,EXTRATO!$J$2:$J$3000)+SUMIF(EXTRATO!$A$2:$A$3000,$A3052,EXTRATO!$K$2:$K$3000)+SUMIF(EXTRATO!$A$2:$A$3000,$A3052,EXTRATO!$L$2:$L$3000)+SUMIF(EXTRATO!$A$2:$A$3000,$A3052,EXTRATO!$M$2:$M$3000))</f>
        <v/>
      </c>
      <c r="G3052" s="81" t="str">
        <f>IF(A3052="","",IF(INDEX(EXTRATO!$G$2:$G$3000,MATCH($A3052,EXTRATO!$A$2:$A$3000,0))="","",INDEX(EXTRATO!$G$2:$G$3000,MATCH($A3052,EXTRATO!$A$2:$A$3000,0))))</f>
        <v/>
      </c>
      <c r="H3052" s="86" t="str">
        <f>IF(A3052="","",IF(INDEX(EXTRATO!$F$2:$F$3000,MATCH($A3052,EXTRATO!$A$2:$A$3000,0))="","",INDEX(EXTRATO!$F$2:$F$3000,MATCH($A3052,EXTRATO!$A$2:$A$3000,0))))</f>
        <v/>
      </c>
      <c r="I3052" s="88" t="str">
        <f>IF(A3052="","",IF(INDEX(EXTRATO!$H$2:$H$3000,MATCH($A3052,EXTRATO!$A$2:$A$3000,0))="","",INDEX(EXTRATO!$H$2:$H$3000,MATCH($A3052,EXTRATO!$A$2:$A$3000,0))))</f>
        <v/>
      </c>
      <c r="J3052" s="86" t="str">
        <f t="shared" ref="J3052:J3115" si="83">IF(A3052="","",IF(K3052="OK","MANUAL","PENDENTE"))</f>
        <v/>
      </c>
      <c r="K3052" s="86" t="str">
        <f>IF(AND(A3052="",D3052="",E3052="",F3052=""),"",IF(D3052="","SEM CATEGORIA",IF(E3052="","SEM SUBCATEGORIA",IF(COUNTIFS(CADASTROS!$L$7:$L$93,D3052,CADASTROS!$D$7:$D$93,E3052)=0,"INCOMPATÍVEL","OK"))))</f>
        <v/>
      </c>
    </row>
    <row r="3053" spans="1:11" ht="30" hidden="1" customHeight="1" x14ac:dyDescent="0.25">
      <c r="A3053" s="86" t="str">
        <f>IF(COUNTIF(EXTRATO!$A$2:$A$3000,"BAN-02910")=0,"","BAN-02910")</f>
        <v/>
      </c>
      <c r="B3053" s="85" t="str">
        <f>IF(A3053="","",IF(INDEX(EXTRATO!$C$2:$C$3000,MATCH($A3053,EXTRATO!$A$2:$A$3000,0))="","",INDEX(EXTRATO!$C$2:$C$3000,MATCH($A3053,EXTRATO!$A$2:$A$3000,0))))</f>
        <v/>
      </c>
      <c r="C3053" s="86" t="str">
        <f t="shared" si="82"/>
        <v/>
      </c>
      <c r="D3053" s="81"/>
      <c r="E3053" s="79"/>
      <c r="F3053" s="80" t="str">
        <f>IF(A3053="","",SUMIF(EXTRATO!$A$2:$A$3000,$A3053,EXTRATO!$J$2:$J$3000)+SUMIF(EXTRATO!$A$2:$A$3000,$A3053,EXTRATO!$K$2:$K$3000)+SUMIF(EXTRATO!$A$2:$A$3000,$A3053,EXTRATO!$L$2:$L$3000)+SUMIF(EXTRATO!$A$2:$A$3000,$A3053,EXTRATO!$M$2:$M$3000))</f>
        <v/>
      </c>
      <c r="G3053" s="81" t="str">
        <f>IF(A3053="","",IF(INDEX(EXTRATO!$G$2:$G$3000,MATCH($A3053,EXTRATO!$A$2:$A$3000,0))="","",INDEX(EXTRATO!$G$2:$G$3000,MATCH($A3053,EXTRATO!$A$2:$A$3000,0))))</f>
        <v/>
      </c>
      <c r="H3053" s="86" t="str">
        <f>IF(A3053="","",IF(INDEX(EXTRATO!$F$2:$F$3000,MATCH($A3053,EXTRATO!$A$2:$A$3000,0))="","",INDEX(EXTRATO!$F$2:$F$3000,MATCH($A3053,EXTRATO!$A$2:$A$3000,0))))</f>
        <v/>
      </c>
      <c r="I3053" s="88" t="str">
        <f>IF(A3053="","",IF(INDEX(EXTRATO!$H$2:$H$3000,MATCH($A3053,EXTRATO!$A$2:$A$3000,0))="","",INDEX(EXTRATO!$H$2:$H$3000,MATCH($A3053,EXTRATO!$A$2:$A$3000,0))))</f>
        <v/>
      </c>
      <c r="J3053" s="86" t="str">
        <f t="shared" si="83"/>
        <v/>
      </c>
      <c r="K3053" s="86" t="str">
        <f>IF(AND(A3053="",D3053="",E3053="",F3053=""),"",IF(D3053="","SEM CATEGORIA",IF(E3053="","SEM SUBCATEGORIA",IF(COUNTIFS(CADASTROS!$L$7:$L$93,D3053,CADASTROS!$D$7:$D$93,E3053)=0,"INCOMPATÍVEL","OK"))))</f>
        <v/>
      </c>
    </row>
    <row r="3054" spans="1:11" ht="30" hidden="1" customHeight="1" x14ac:dyDescent="0.25">
      <c r="A3054" s="86" t="str">
        <f>IF(COUNTIF(EXTRATO!$A$2:$A$3000,"BAN-02911")=0,"","BAN-02911")</f>
        <v/>
      </c>
      <c r="B3054" s="85" t="str">
        <f>IF(A3054="","",IF(INDEX(EXTRATO!$C$2:$C$3000,MATCH($A3054,EXTRATO!$A$2:$A$3000,0))="","",INDEX(EXTRATO!$C$2:$C$3000,MATCH($A3054,EXTRATO!$A$2:$A$3000,0))))</f>
        <v/>
      </c>
      <c r="C3054" s="86" t="str">
        <f t="shared" si="82"/>
        <v/>
      </c>
      <c r="D3054" s="81"/>
      <c r="E3054" s="79"/>
      <c r="F3054" s="80" t="str">
        <f>IF(A3054="","",SUMIF(EXTRATO!$A$2:$A$3000,$A3054,EXTRATO!$J$2:$J$3000)+SUMIF(EXTRATO!$A$2:$A$3000,$A3054,EXTRATO!$K$2:$K$3000)+SUMIF(EXTRATO!$A$2:$A$3000,$A3054,EXTRATO!$L$2:$L$3000)+SUMIF(EXTRATO!$A$2:$A$3000,$A3054,EXTRATO!$M$2:$M$3000))</f>
        <v/>
      </c>
      <c r="G3054" s="81" t="str">
        <f>IF(A3054="","",IF(INDEX(EXTRATO!$G$2:$G$3000,MATCH($A3054,EXTRATO!$A$2:$A$3000,0))="","",INDEX(EXTRATO!$G$2:$G$3000,MATCH($A3054,EXTRATO!$A$2:$A$3000,0))))</f>
        <v/>
      </c>
      <c r="H3054" s="86" t="str">
        <f>IF(A3054="","",IF(INDEX(EXTRATO!$F$2:$F$3000,MATCH($A3054,EXTRATO!$A$2:$A$3000,0))="","",INDEX(EXTRATO!$F$2:$F$3000,MATCH($A3054,EXTRATO!$A$2:$A$3000,0))))</f>
        <v/>
      </c>
      <c r="I3054" s="88" t="str">
        <f>IF(A3054="","",IF(INDEX(EXTRATO!$H$2:$H$3000,MATCH($A3054,EXTRATO!$A$2:$A$3000,0))="","",INDEX(EXTRATO!$H$2:$H$3000,MATCH($A3054,EXTRATO!$A$2:$A$3000,0))))</f>
        <v/>
      </c>
      <c r="J3054" s="86" t="str">
        <f t="shared" si="83"/>
        <v/>
      </c>
      <c r="K3054" s="86" t="str">
        <f>IF(AND(A3054="",D3054="",E3054="",F3054=""),"",IF(D3054="","SEM CATEGORIA",IF(E3054="","SEM SUBCATEGORIA",IF(COUNTIFS(CADASTROS!$L$7:$L$93,D3054,CADASTROS!$D$7:$D$93,E3054)=0,"INCOMPATÍVEL","OK"))))</f>
        <v/>
      </c>
    </row>
    <row r="3055" spans="1:11" ht="30" hidden="1" customHeight="1" x14ac:dyDescent="0.25">
      <c r="A3055" s="86" t="str">
        <f>IF(COUNTIF(EXTRATO!$A$2:$A$3000,"BAN-02912")=0,"","BAN-02912")</f>
        <v/>
      </c>
      <c r="B3055" s="85" t="str">
        <f>IF(A3055="","",IF(INDEX(EXTRATO!$C$2:$C$3000,MATCH($A3055,EXTRATO!$A$2:$A$3000,0))="","",INDEX(EXTRATO!$C$2:$C$3000,MATCH($A3055,EXTRATO!$A$2:$A$3000,0))))</f>
        <v/>
      </c>
      <c r="C3055" s="86" t="str">
        <f t="shared" si="82"/>
        <v/>
      </c>
      <c r="D3055" s="81"/>
      <c r="E3055" s="79"/>
      <c r="F3055" s="80" t="str">
        <f>IF(A3055="","",SUMIF(EXTRATO!$A$2:$A$3000,$A3055,EXTRATO!$J$2:$J$3000)+SUMIF(EXTRATO!$A$2:$A$3000,$A3055,EXTRATO!$K$2:$K$3000)+SUMIF(EXTRATO!$A$2:$A$3000,$A3055,EXTRATO!$L$2:$L$3000)+SUMIF(EXTRATO!$A$2:$A$3000,$A3055,EXTRATO!$M$2:$M$3000))</f>
        <v/>
      </c>
      <c r="G3055" s="81" t="str">
        <f>IF(A3055="","",IF(INDEX(EXTRATO!$G$2:$G$3000,MATCH($A3055,EXTRATO!$A$2:$A$3000,0))="","",INDEX(EXTRATO!$G$2:$G$3000,MATCH($A3055,EXTRATO!$A$2:$A$3000,0))))</f>
        <v/>
      </c>
      <c r="H3055" s="86" t="str">
        <f>IF(A3055="","",IF(INDEX(EXTRATO!$F$2:$F$3000,MATCH($A3055,EXTRATO!$A$2:$A$3000,0))="","",INDEX(EXTRATO!$F$2:$F$3000,MATCH($A3055,EXTRATO!$A$2:$A$3000,0))))</f>
        <v/>
      </c>
      <c r="I3055" s="88" t="str">
        <f>IF(A3055="","",IF(INDEX(EXTRATO!$H$2:$H$3000,MATCH($A3055,EXTRATO!$A$2:$A$3000,0))="","",INDEX(EXTRATO!$H$2:$H$3000,MATCH($A3055,EXTRATO!$A$2:$A$3000,0))))</f>
        <v/>
      </c>
      <c r="J3055" s="86" t="str">
        <f t="shared" si="83"/>
        <v/>
      </c>
      <c r="K3055" s="86" t="str">
        <f>IF(AND(A3055="",D3055="",E3055="",F3055=""),"",IF(D3055="","SEM CATEGORIA",IF(E3055="","SEM SUBCATEGORIA",IF(COUNTIFS(CADASTROS!$L$7:$L$93,D3055,CADASTROS!$D$7:$D$93,E3055)=0,"INCOMPATÍVEL","OK"))))</f>
        <v/>
      </c>
    </row>
    <row r="3056" spans="1:11" ht="30" hidden="1" customHeight="1" x14ac:dyDescent="0.25">
      <c r="A3056" s="86" t="str">
        <f>IF(COUNTIF(EXTRATO!$A$2:$A$3000,"BAN-02913")=0,"","BAN-02913")</f>
        <v/>
      </c>
      <c r="B3056" s="85" t="str">
        <f>IF(A3056="","",IF(INDEX(EXTRATO!$C$2:$C$3000,MATCH($A3056,EXTRATO!$A$2:$A$3000,0))="","",INDEX(EXTRATO!$C$2:$C$3000,MATCH($A3056,EXTRATO!$A$2:$A$3000,0))))</f>
        <v/>
      </c>
      <c r="C3056" s="86" t="str">
        <f t="shared" si="82"/>
        <v/>
      </c>
      <c r="D3056" s="81"/>
      <c r="E3056" s="79"/>
      <c r="F3056" s="80" t="str">
        <f>IF(A3056="","",SUMIF(EXTRATO!$A$2:$A$3000,$A3056,EXTRATO!$J$2:$J$3000)+SUMIF(EXTRATO!$A$2:$A$3000,$A3056,EXTRATO!$K$2:$K$3000)+SUMIF(EXTRATO!$A$2:$A$3000,$A3056,EXTRATO!$L$2:$L$3000)+SUMIF(EXTRATO!$A$2:$A$3000,$A3056,EXTRATO!$M$2:$M$3000))</f>
        <v/>
      </c>
      <c r="G3056" s="81" t="str">
        <f>IF(A3056="","",IF(INDEX(EXTRATO!$G$2:$G$3000,MATCH($A3056,EXTRATO!$A$2:$A$3000,0))="","",INDEX(EXTRATO!$G$2:$G$3000,MATCH($A3056,EXTRATO!$A$2:$A$3000,0))))</f>
        <v/>
      </c>
      <c r="H3056" s="86" t="str">
        <f>IF(A3056="","",IF(INDEX(EXTRATO!$F$2:$F$3000,MATCH($A3056,EXTRATO!$A$2:$A$3000,0))="","",INDEX(EXTRATO!$F$2:$F$3000,MATCH($A3056,EXTRATO!$A$2:$A$3000,0))))</f>
        <v/>
      </c>
      <c r="I3056" s="88" t="str">
        <f>IF(A3056="","",IF(INDEX(EXTRATO!$H$2:$H$3000,MATCH($A3056,EXTRATO!$A$2:$A$3000,0))="","",INDEX(EXTRATO!$H$2:$H$3000,MATCH($A3056,EXTRATO!$A$2:$A$3000,0))))</f>
        <v/>
      </c>
      <c r="J3056" s="86" t="str">
        <f t="shared" si="83"/>
        <v/>
      </c>
      <c r="K3056" s="86" t="str">
        <f>IF(AND(A3056="",D3056="",E3056="",F3056=""),"",IF(D3056="","SEM CATEGORIA",IF(E3056="","SEM SUBCATEGORIA",IF(COUNTIFS(CADASTROS!$L$7:$L$93,D3056,CADASTROS!$D$7:$D$93,E3056)=0,"INCOMPATÍVEL","OK"))))</f>
        <v/>
      </c>
    </row>
    <row r="3057" spans="1:11" ht="30" hidden="1" customHeight="1" x14ac:dyDescent="0.25">
      <c r="A3057" s="86" t="str">
        <f>IF(COUNTIF(EXTRATO!$A$2:$A$3000,"BAN-02914")=0,"","BAN-02914")</f>
        <v/>
      </c>
      <c r="B3057" s="85" t="str">
        <f>IF(A3057="","",IF(INDEX(EXTRATO!$C$2:$C$3000,MATCH($A3057,EXTRATO!$A$2:$A$3000,0))="","",INDEX(EXTRATO!$C$2:$C$3000,MATCH($A3057,EXTRATO!$A$2:$A$3000,0))))</f>
        <v/>
      </c>
      <c r="C3057" s="86" t="str">
        <f t="shared" si="82"/>
        <v/>
      </c>
      <c r="D3057" s="81"/>
      <c r="E3057" s="79"/>
      <c r="F3057" s="80" t="str">
        <f>IF(A3057="","",SUMIF(EXTRATO!$A$2:$A$3000,$A3057,EXTRATO!$J$2:$J$3000)+SUMIF(EXTRATO!$A$2:$A$3000,$A3057,EXTRATO!$K$2:$K$3000)+SUMIF(EXTRATO!$A$2:$A$3000,$A3057,EXTRATO!$L$2:$L$3000)+SUMIF(EXTRATO!$A$2:$A$3000,$A3057,EXTRATO!$M$2:$M$3000))</f>
        <v/>
      </c>
      <c r="G3057" s="81" t="str">
        <f>IF(A3057="","",IF(INDEX(EXTRATO!$G$2:$G$3000,MATCH($A3057,EXTRATO!$A$2:$A$3000,0))="","",INDEX(EXTRATO!$G$2:$G$3000,MATCH($A3057,EXTRATO!$A$2:$A$3000,0))))</f>
        <v/>
      </c>
      <c r="H3057" s="86" t="str">
        <f>IF(A3057="","",IF(INDEX(EXTRATO!$F$2:$F$3000,MATCH($A3057,EXTRATO!$A$2:$A$3000,0))="","",INDEX(EXTRATO!$F$2:$F$3000,MATCH($A3057,EXTRATO!$A$2:$A$3000,0))))</f>
        <v/>
      </c>
      <c r="I3057" s="88" t="str">
        <f>IF(A3057="","",IF(INDEX(EXTRATO!$H$2:$H$3000,MATCH($A3057,EXTRATO!$A$2:$A$3000,0))="","",INDEX(EXTRATO!$H$2:$H$3000,MATCH($A3057,EXTRATO!$A$2:$A$3000,0))))</f>
        <v/>
      </c>
      <c r="J3057" s="86" t="str">
        <f t="shared" si="83"/>
        <v/>
      </c>
      <c r="K3057" s="86" t="str">
        <f>IF(AND(A3057="",D3057="",E3057="",F3057=""),"",IF(D3057="","SEM CATEGORIA",IF(E3057="","SEM SUBCATEGORIA",IF(COUNTIFS(CADASTROS!$L$7:$L$93,D3057,CADASTROS!$D$7:$D$93,E3057)=0,"INCOMPATÍVEL","OK"))))</f>
        <v/>
      </c>
    </row>
    <row r="3058" spans="1:11" ht="30" hidden="1" customHeight="1" x14ac:dyDescent="0.25">
      <c r="A3058" s="86" t="str">
        <f>IF(COUNTIF(EXTRATO!$A$2:$A$3000,"BAN-02915")=0,"","BAN-02915")</f>
        <v/>
      </c>
      <c r="B3058" s="85" t="str">
        <f>IF(A3058="","",IF(INDEX(EXTRATO!$C$2:$C$3000,MATCH($A3058,EXTRATO!$A$2:$A$3000,0))="","",INDEX(EXTRATO!$C$2:$C$3000,MATCH($A3058,EXTRATO!$A$2:$A$3000,0))))</f>
        <v/>
      </c>
      <c r="C3058" s="86" t="str">
        <f t="shared" si="82"/>
        <v/>
      </c>
      <c r="D3058" s="81"/>
      <c r="E3058" s="79"/>
      <c r="F3058" s="80" t="str">
        <f>IF(A3058="","",SUMIF(EXTRATO!$A$2:$A$3000,$A3058,EXTRATO!$J$2:$J$3000)+SUMIF(EXTRATO!$A$2:$A$3000,$A3058,EXTRATO!$K$2:$K$3000)+SUMIF(EXTRATO!$A$2:$A$3000,$A3058,EXTRATO!$L$2:$L$3000)+SUMIF(EXTRATO!$A$2:$A$3000,$A3058,EXTRATO!$M$2:$M$3000))</f>
        <v/>
      </c>
      <c r="G3058" s="81" t="str">
        <f>IF(A3058="","",IF(INDEX(EXTRATO!$G$2:$G$3000,MATCH($A3058,EXTRATO!$A$2:$A$3000,0))="","",INDEX(EXTRATO!$G$2:$G$3000,MATCH($A3058,EXTRATO!$A$2:$A$3000,0))))</f>
        <v/>
      </c>
      <c r="H3058" s="86" t="str">
        <f>IF(A3058="","",IF(INDEX(EXTRATO!$F$2:$F$3000,MATCH($A3058,EXTRATO!$A$2:$A$3000,0))="","",INDEX(EXTRATO!$F$2:$F$3000,MATCH($A3058,EXTRATO!$A$2:$A$3000,0))))</f>
        <v/>
      </c>
      <c r="I3058" s="88" t="str">
        <f>IF(A3058="","",IF(INDEX(EXTRATO!$H$2:$H$3000,MATCH($A3058,EXTRATO!$A$2:$A$3000,0))="","",INDEX(EXTRATO!$H$2:$H$3000,MATCH($A3058,EXTRATO!$A$2:$A$3000,0))))</f>
        <v/>
      </c>
      <c r="J3058" s="86" t="str">
        <f t="shared" si="83"/>
        <v/>
      </c>
      <c r="K3058" s="86" t="str">
        <f>IF(AND(A3058="",D3058="",E3058="",F3058=""),"",IF(D3058="","SEM CATEGORIA",IF(E3058="","SEM SUBCATEGORIA",IF(COUNTIFS(CADASTROS!$L$7:$L$93,D3058,CADASTROS!$D$7:$D$93,E3058)=0,"INCOMPATÍVEL","OK"))))</f>
        <v/>
      </c>
    </row>
    <row r="3059" spans="1:11" ht="30" hidden="1" customHeight="1" x14ac:dyDescent="0.25">
      <c r="A3059" s="86" t="str">
        <f>IF(COUNTIF(EXTRATO!$A$2:$A$3000,"BAN-02916")=0,"","BAN-02916")</f>
        <v/>
      </c>
      <c r="B3059" s="85" t="str">
        <f>IF(A3059="","",IF(INDEX(EXTRATO!$C$2:$C$3000,MATCH($A3059,EXTRATO!$A$2:$A$3000,0))="","",INDEX(EXTRATO!$C$2:$C$3000,MATCH($A3059,EXTRATO!$A$2:$A$3000,0))))</f>
        <v/>
      </c>
      <c r="C3059" s="86" t="str">
        <f t="shared" si="82"/>
        <v/>
      </c>
      <c r="D3059" s="81"/>
      <c r="E3059" s="79"/>
      <c r="F3059" s="80" t="str">
        <f>IF(A3059="","",SUMIF(EXTRATO!$A$2:$A$3000,$A3059,EXTRATO!$J$2:$J$3000)+SUMIF(EXTRATO!$A$2:$A$3000,$A3059,EXTRATO!$K$2:$K$3000)+SUMIF(EXTRATO!$A$2:$A$3000,$A3059,EXTRATO!$L$2:$L$3000)+SUMIF(EXTRATO!$A$2:$A$3000,$A3059,EXTRATO!$M$2:$M$3000))</f>
        <v/>
      </c>
      <c r="G3059" s="81" t="str">
        <f>IF(A3059="","",IF(INDEX(EXTRATO!$G$2:$G$3000,MATCH($A3059,EXTRATO!$A$2:$A$3000,0))="","",INDEX(EXTRATO!$G$2:$G$3000,MATCH($A3059,EXTRATO!$A$2:$A$3000,0))))</f>
        <v/>
      </c>
      <c r="H3059" s="86" t="str">
        <f>IF(A3059="","",IF(INDEX(EXTRATO!$F$2:$F$3000,MATCH($A3059,EXTRATO!$A$2:$A$3000,0))="","",INDEX(EXTRATO!$F$2:$F$3000,MATCH($A3059,EXTRATO!$A$2:$A$3000,0))))</f>
        <v/>
      </c>
      <c r="I3059" s="88" t="str">
        <f>IF(A3059="","",IF(INDEX(EXTRATO!$H$2:$H$3000,MATCH($A3059,EXTRATO!$A$2:$A$3000,0))="","",INDEX(EXTRATO!$H$2:$H$3000,MATCH($A3059,EXTRATO!$A$2:$A$3000,0))))</f>
        <v/>
      </c>
      <c r="J3059" s="86" t="str">
        <f t="shared" si="83"/>
        <v/>
      </c>
      <c r="K3059" s="86" t="str">
        <f>IF(AND(A3059="",D3059="",E3059="",F3059=""),"",IF(D3059="","SEM CATEGORIA",IF(E3059="","SEM SUBCATEGORIA",IF(COUNTIFS(CADASTROS!$L$7:$L$93,D3059,CADASTROS!$D$7:$D$93,E3059)=0,"INCOMPATÍVEL","OK"))))</f>
        <v/>
      </c>
    </row>
    <row r="3060" spans="1:11" ht="30" hidden="1" customHeight="1" x14ac:dyDescent="0.25">
      <c r="A3060" s="86" t="str">
        <f>IF(COUNTIF(EXTRATO!$A$2:$A$3000,"BAN-02917")=0,"","BAN-02917")</f>
        <v/>
      </c>
      <c r="B3060" s="85" t="str">
        <f>IF(A3060="","",IF(INDEX(EXTRATO!$C$2:$C$3000,MATCH($A3060,EXTRATO!$A$2:$A$3000,0))="","",INDEX(EXTRATO!$C$2:$C$3000,MATCH($A3060,EXTRATO!$A$2:$A$3000,0))))</f>
        <v/>
      </c>
      <c r="C3060" s="86" t="str">
        <f t="shared" si="82"/>
        <v/>
      </c>
      <c r="D3060" s="81"/>
      <c r="E3060" s="79"/>
      <c r="F3060" s="80" t="str">
        <f>IF(A3060="","",SUMIF(EXTRATO!$A$2:$A$3000,$A3060,EXTRATO!$J$2:$J$3000)+SUMIF(EXTRATO!$A$2:$A$3000,$A3060,EXTRATO!$K$2:$K$3000)+SUMIF(EXTRATO!$A$2:$A$3000,$A3060,EXTRATO!$L$2:$L$3000)+SUMIF(EXTRATO!$A$2:$A$3000,$A3060,EXTRATO!$M$2:$M$3000))</f>
        <v/>
      </c>
      <c r="G3060" s="81" t="str">
        <f>IF(A3060="","",IF(INDEX(EXTRATO!$G$2:$G$3000,MATCH($A3060,EXTRATO!$A$2:$A$3000,0))="","",INDEX(EXTRATO!$G$2:$G$3000,MATCH($A3060,EXTRATO!$A$2:$A$3000,0))))</f>
        <v/>
      </c>
      <c r="H3060" s="86" t="str">
        <f>IF(A3060="","",IF(INDEX(EXTRATO!$F$2:$F$3000,MATCH($A3060,EXTRATO!$A$2:$A$3000,0))="","",INDEX(EXTRATO!$F$2:$F$3000,MATCH($A3060,EXTRATO!$A$2:$A$3000,0))))</f>
        <v/>
      </c>
      <c r="I3060" s="88" t="str">
        <f>IF(A3060="","",IF(INDEX(EXTRATO!$H$2:$H$3000,MATCH($A3060,EXTRATO!$A$2:$A$3000,0))="","",INDEX(EXTRATO!$H$2:$H$3000,MATCH($A3060,EXTRATO!$A$2:$A$3000,0))))</f>
        <v/>
      </c>
      <c r="J3060" s="86" t="str">
        <f t="shared" si="83"/>
        <v/>
      </c>
      <c r="K3060" s="86" t="str">
        <f>IF(AND(A3060="",D3060="",E3060="",F3060=""),"",IF(D3060="","SEM CATEGORIA",IF(E3060="","SEM SUBCATEGORIA",IF(COUNTIFS(CADASTROS!$L$7:$L$93,D3060,CADASTROS!$D$7:$D$93,E3060)=0,"INCOMPATÍVEL","OK"))))</f>
        <v/>
      </c>
    </row>
    <row r="3061" spans="1:11" ht="30" hidden="1" customHeight="1" x14ac:dyDescent="0.25">
      <c r="A3061" s="86" t="str">
        <f>IF(COUNTIF(EXTRATO!$A$2:$A$3000,"BAN-02918")=0,"","BAN-02918")</f>
        <v/>
      </c>
      <c r="B3061" s="85" t="str">
        <f>IF(A3061="","",IF(INDEX(EXTRATO!$C$2:$C$3000,MATCH($A3061,EXTRATO!$A$2:$A$3000,0))="","",INDEX(EXTRATO!$C$2:$C$3000,MATCH($A3061,EXTRATO!$A$2:$A$3000,0))))</f>
        <v/>
      </c>
      <c r="C3061" s="86" t="str">
        <f t="shared" si="82"/>
        <v/>
      </c>
      <c r="D3061" s="81"/>
      <c r="E3061" s="79"/>
      <c r="F3061" s="80" t="str">
        <f>IF(A3061="","",SUMIF(EXTRATO!$A$2:$A$3000,$A3061,EXTRATO!$J$2:$J$3000)+SUMIF(EXTRATO!$A$2:$A$3000,$A3061,EXTRATO!$K$2:$K$3000)+SUMIF(EXTRATO!$A$2:$A$3000,$A3061,EXTRATO!$L$2:$L$3000)+SUMIF(EXTRATO!$A$2:$A$3000,$A3061,EXTRATO!$M$2:$M$3000))</f>
        <v/>
      </c>
      <c r="G3061" s="81" t="str">
        <f>IF(A3061="","",IF(INDEX(EXTRATO!$G$2:$G$3000,MATCH($A3061,EXTRATO!$A$2:$A$3000,0))="","",INDEX(EXTRATO!$G$2:$G$3000,MATCH($A3061,EXTRATO!$A$2:$A$3000,0))))</f>
        <v/>
      </c>
      <c r="H3061" s="86" t="str">
        <f>IF(A3061="","",IF(INDEX(EXTRATO!$F$2:$F$3000,MATCH($A3061,EXTRATO!$A$2:$A$3000,0))="","",INDEX(EXTRATO!$F$2:$F$3000,MATCH($A3061,EXTRATO!$A$2:$A$3000,0))))</f>
        <v/>
      </c>
      <c r="I3061" s="88" t="str">
        <f>IF(A3061="","",IF(INDEX(EXTRATO!$H$2:$H$3000,MATCH($A3061,EXTRATO!$A$2:$A$3000,0))="","",INDEX(EXTRATO!$H$2:$H$3000,MATCH($A3061,EXTRATO!$A$2:$A$3000,0))))</f>
        <v/>
      </c>
      <c r="J3061" s="86" t="str">
        <f t="shared" si="83"/>
        <v/>
      </c>
      <c r="K3061" s="86" t="str">
        <f>IF(AND(A3061="",D3061="",E3061="",F3061=""),"",IF(D3061="","SEM CATEGORIA",IF(E3061="","SEM SUBCATEGORIA",IF(COUNTIFS(CADASTROS!$L$7:$L$93,D3061,CADASTROS!$D$7:$D$93,E3061)=0,"INCOMPATÍVEL","OK"))))</f>
        <v/>
      </c>
    </row>
    <row r="3062" spans="1:11" ht="30" hidden="1" customHeight="1" x14ac:dyDescent="0.25">
      <c r="A3062" s="86" t="str">
        <f>IF(COUNTIF(EXTRATO!$A$2:$A$3000,"BAN-02919")=0,"","BAN-02919")</f>
        <v/>
      </c>
      <c r="B3062" s="85" t="str">
        <f>IF(A3062="","",IF(INDEX(EXTRATO!$C$2:$C$3000,MATCH($A3062,EXTRATO!$A$2:$A$3000,0))="","",INDEX(EXTRATO!$C$2:$C$3000,MATCH($A3062,EXTRATO!$A$2:$A$3000,0))))</f>
        <v/>
      </c>
      <c r="C3062" s="86" t="str">
        <f t="shared" si="82"/>
        <v/>
      </c>
      <c r="D3062" s="81"/>
      <c r="E3062" s="79"/>
      <c r="F3062" s="80" t="str">
        <f>IF(A3062="","",SUMIF(EXTRATO!$A$2:$A$3000,$A3062,EXTRATO!$J$2:$J$3000)+SUMIF(EXTRATO!$A$2:$A$3000,$A3062,EXTRATO!$K$2:$K$3000)+SUMIF(EXTRATO!$A$2:$A$3000,$A3062,EXTRATO!$L$2:$L$3000)+SUMIF(EXTRATO!$A$2:$A$3000,$A3062,EXTRATO!$M$2:$M$3000))</f>
        <v/>
      </c>
      <c r="G3062" s="81" t="str">
        <f>IF(A3062="","",IF(INDEX(EXTRATO!$G$2:$G$3000,MATCH($A3062,EXTRATO!$A$2:$A$3000,0))="","",INDEX(EXTRATO!$G$2:$G$3000,MATCH($A3062,EXTRATO!$A$2:$A$3000,0))))</f>
        <v/>
      </c>
      <c r="H3062" s="86" t="str">
        <f>IF(A3062="","",IF(INDEX(EXTRATO!$F$2:$F$3000,MATCH($A3062,EXTRATO!$A$2:$A$3000,0))="","",INDEX(EXTRATO!$F$2:$F$3000,MATCH($A3062,EXTRATO!$A$2:$A$3000,0))))</f>
        <v/>
      </c>
      <c r="I3062" s="88" t="str">
        <f>IF(A3062="","",IF(INDEX(EXTRATO!$H$2:$H$3000,MATCH($A3062,EXTRATO!$A$2:$A$3000,0))="","",INDEX(EXTRATO!$H$2:$H$3000,MATCH($A3062,EXTRATO!$A$2:$A$3000,0))))</f>
        <v/>
      </c>
      <c r="J3062" s="86" t="str">
        <f t="shared" si="83"/>
        <v/>
      </c>
      <c r="K3062" s="86" t="str">
        <f>IF(AND(A3062="",D3062="",E3062="",F3062=""),"",IF(D3062="","SEM CATEGORIA",IF(E3062="","SEM SUBCATEGORIA",IF(COUNTIFS(CADASTROS!$L$7:$L$93,D3062,CADASTROS!$D$7:$D$93,E3062)=0,"INCOMPATÍVEL","OK"))))</f>
        <v/>
      </c>
    </row>
    <row r="3063" spans="1:11" ht="30" hidden="1" customHeight="1" x14ac:dyDescent="0.25">
      <c r="A3063" s="86" t="str">
        <f>IF(COUNTIF(EXTRATO!$A$2:$A$3000,"BAN-02920")=0,"","BAN-02920")</f>
        <v/>
      </c>
      <c r="B3063" s="85" t="str">
        <f>IF(A3063="","",IF(INDEX(EXTRATO!$C$2:$C$3000,MATCH($A3063,EXTRATO!$A$2:$A$3000,0))="","",INDEX(EXTRATO!$C$2:$C$3000,MATCH($A3063,EXTRATO!$A$2:$A$3000,0))))</f>
        <v/>
      </c>
      <c r="C3063" s="86" t="str">
        <f t="shared" si="82"/>
        <v/>
      </c>
      <c r="D3063" s="81"/>
      <c r="E3063" s="79"/>
      <c r="F3063" s="80" t="str">
        <f>IF(A3063="","",SUMIF(EXTRATO!$A$2:$A$3000,$A3063,EXTRATO!$J$2:$J$3000)+SUMIF(EXTRATO!$A$2:$A$3000,$A3063,EXTRATO!$K$2:$K$3000)+SUMIF(EXTRATO!$A$2:$A$3000,$A3063,EXTRATO!$L$2:$L$3000)+SUMIF(EXTRATO!$A$2:$A$3000,$A3063,EXTRATO!$M$2:$M$3000))</f>
        <v/>
      </c>
      <c r="G3063" s="81" t="str">
        <f>IF(A3063="","",IF(INDEX(EXTRATO!$G$2:$G$3000,MATCH($A3063,EXTRATO!$A$2:$A$3000,0))="","",INDEX(EXTRATO!$G$2:$G$3000,MATCH($A3063,EXTRATO!$A$2:$A$3000,0))))</f>
        <v/>
      </c>
      <c r="H3063" s="86" t="str">
        <f>IF(A3063="","",IF(INDEX(EXTRATO!$F$2:$F$3000,MATCH($A3063,EXTRATO!$A$2:$A$3000,0))="","",INDEX(EXTRATO!$F$2:$F$3000,MATCH($A3063,EXTRATO!$A$2:$A$3000,0))))</f>
        <v/>
      </c>
      <c r="I3063" s="88" t="str">
        <f>IF(A3063="","",IF(INDEX(EXTRATO!$H$2:$H$3000,MATCH($A3063,EXTRATO!$A$2:$A$3000,0))="","",INDEX(EXTRATO!$H$2:$H$3000,MATCH($A3063,EXTRATO!$A$2:$A$3000,0))))</f>
        <v/>
      </c>
      <c r="J3063" s="86" t="str">
        <f t="shared" si="83"/>
        <v/>
      </c>
      <c r="K3063" s="86" t="str">
        <f>IF(AND(A3063="",D3063="",E3063="",F3063=""),"",IF(D3063="","SEM CATEGORIA",IF(E3063="","SEM SUBCATEGORIA",IF(COUNTIFS(CADASTROS!$L$7:$L$93,D3063,CADASTROS!$D$7:$D$93,E3063)=0,"INCOMPATÍVEL","OK"))))</f>
        <v/>
      </c>
    </row>
    <row r="3064" spans="1:11" ht="30" hidden="1" customHeight="1" x14ac:dyDescent="0.25">
      <c r="A3064" s="86" t="str">
        <f>IF(COUNTIF(EXTRATO!$A$2:$A$3000,"BAN-02921")=0,"","BAN-02921")</f>
        <v/>
      </c>
      <c r="B3064" s="85" t="str">
        <f>IF(A3064="","",IF(INDEX(EXTRATO!$C$2:$C$3000,MATCH($A3064,EXTRATO!$A$2:$A$3000,0))="","",INDEX(EXTRATO!$C$2:$C$3000,MATCH($A3064,EXTRATO!$A$2:$A$3000,0))))</f>
        <v/>
      </c>
      <c r="C3064" s="86" t="str">
        <f t="shared" si="82"/>
        <v/>
      </c>
      <c r="D3064" s="81"/>
      <c r="E3064" s="79"/>
      <c r="F3064" s="80" t="str">
        <f>IF(A3064="","",SUMIF(EXTRATO!$A$2:$A$3000,$A3064,EXTRATO!$J$2:$J$3000)+SUMIF(EXTRATO!$A$2:$A$3000,$A3064,EXTRATO!$K$2:$K$3000)+SUMIF(EXTRATO!$A$2:$A$3000,$A3064,EXTRATO!$L$2:$L$3000)+SUMIF(EXTRATO!$A$2:$A$3000,$A3064,EXTRATO!$M$2:$M$3000))</f>
        <v/>
      </c>
      <c r="G3064" s="81" t="str">
        <f>IF(A3064="","",IF(INDEX(EXTRATO!$G$2:$G$3000,MATCH($A3064,EXTRATO!$A$2:$A$3000,0))="","",INDEX(EXTRATO!$G$2:$G$3000,MATCH($A3064,EXTRATO!$A$2:$A$3000,0))))</f>
        <v/>
      </c>
      <c r="H3064" s="86" t="str">
        <f>IF(A3064="","",IF(INDEX(EXTRATO!$F$2:$F$3000,MATCH($A3064,EXTRATO!$A$2:$A$3000,0))="","",INDEX(EXTRATO!$F$2:$F$3000,MATCH($A3064,EXTRATO!$A$2:$A$3000,0))))</f>
        <v/>
      </c>
      <c r="I3064" s="88" t="str">
        <f>IF(A3064="","",IF(INDEX(EXTRATO!$H$2:$H$3000,MATCH($A3064,EXTRATO!$A$2:$A$3000,0))="","",INDEX(EXTRATO!$H$2:$H$3000,MATCH($A3064,EXTRATO!$A$2:$A$3000,0))))</f>
        <v/>
      </c>
      <c r="J3064" s="86" t="str">
        <f t="shared" si="83"/>
        <v/>
      </c>
      <c r="K3064" s="86" t="str">
        <f>IF(AND(A3064="",D3064="",E3064="",F3064=""),"",IF(D3064="","SEM CATEGORIA",IF(E3064="","SEM SUBCATEGORIA",IF(COUNTIFS(CADASTROS!$L$7:$L$93,D3064,CADASTROS!$D$7:$D$93,E3064)=0,"INCOMPATÍVEL","OK"))))</f>
        <v/>
      </c>
    </row>
    <row r="3065" spans="1:11" ht="30" hidden="1" customHeight="1" x14ac:dyDescent="0.25">
      <c r="A3065" s="86" t="str">
        <f>IF(COUNTIF(EXTRATO!$A$2:$A$3000,"BAN-02922")=0,"","BAN-02922")</f>
        <v/>
      </c>
      <c r="B3065" s="85" t="str">
        <f>IF(A3065="","",IF(INDEX(EXTRATO!$C$2:$C$3000,MATCH($A3065,EXTRATO!$A$2:$A$3000,0))="","",INDEX(EXTRATO!$C$2:$C$3000,MATCH($A3065,EXTRATO!$A$2:$A$3000,0))))</f>
        <v/>
      </c>
      <c r="C3065" s="86" t="str">
        <f t="shared" si="82"/>
        <v/>
      </c>
      <c r="D3065" s="81"/>
      <c r="E3065" s="79"/>
      <c r="F3065" s="80" t="str">
        <f>IF(A3065="","",SUMIF(EXTRATO!$A$2:$A$3000,$A3065,EXTRATO!$J$2:$J$3000)+SUMIF(EXTRATO!$A$2:$A$3000,$A3065,EXTRATO!$K$2:$K$3000)+SUMIF(EXTRATO!$A$2:$A$3000,$A3065,EXTRATO!$L$2:$L$3000)+SUMIF(EXTRATO!$A$2:$A$3000,$A3065,EXTRATO!$M$2:$M$3000))</f>
        <v/>
      </c>
      <c r="G3065" s="81" t="str">
        <f>IF(A3065="","",IF(INDEX(EXTRATO!$G$2:$G$3000,MATCH($A3065,EXTRATO!$A$2:$A$3000,0))="","",INDEX(EXTRATO!$G$2:$G$3000,MATCH($A3065,EXTRATO!$A$2:$A$3000,0))))</f>
        <v/>
      </c>
      <c r="H3065" s="86" t="str">
        <f>IF(A3065="","",IF(INDEX(EXTRATO!$F$2:$F$3000,MATCH($A3065,EXTRATO!$A$2:$A$3000,0))="","",INDEX(EXTRATO!$F$2:$F$3000,MATCH($A3065,EXTRATO!$A$2:$A$3000,0))))</f>
        <v/>
      </c>
      <c r="I3065" s="88" t="str">
        <f>IF(A3065="","",IF(INDEX(EXTRATO!$H$2:$H$3000,MATCH($A3065,EXTRATO!$A$2:$A$3000,0))="","",INDEX(EXTRATO!$H$2:$H$3000,MATCH($A3065,EXTRATO!$A$2:$A$3000,0))))</f>
        <v/>
      </c>
      <c r="J3065" s="86" t="str">
        <f t="shared" si="83"/>
        <v/>
      </c>
      <c r="K3065" s="86" t="str">
        <f>IF(AND(A3065="",D3065="",E3065="",F3065=""),"",IF(D3065="","SEM CATEGORIA",IF(E3065="","SEM SUBCATEGORIA",IF(COUNTIFS(CADASTROS!$L$7:$L$93,D3065,CADASTROS!$D$7:$D$93,E3065)=0,"INCOMPATÍVEL","OK"))))</f>
        <v/>
      </c>
    </row>
    <row r="3066" spans="1:11" ht="30" hidden="1" customHeight="1" x14ac:dyDescent="0.25">
      <c r="A3066" s="86" t="str">
        <f>IF(COUNTIF(EXTRATO!$A$2:$A$3000,"BAN-02923")=0,"","BAN-02923")</f>
        <v/>
      </c>
      <c r="B3066" s="85" t="str">
        <f>IF(A3066="","",IF(INDEX(EXTRATO!$C$2:$C$3000,MATCH($A3066,EXTRATO!$A$2:$A$3000,0))="","",INDEX(EXTRATO!$C$2:$C$3000,MATCH($A3066,EXTRATO!$A$2:$A$3000,0))))</f>
        <v/>
      </c>
      <c r="C3066" s="86" t="str">
        <f t="shared" si="82"/>
        <v/>
      </c>
      <c r="D3066" s="81"/>
      <c r="E3066" s="79"/>
      <c r="F3066" s="80" t="str">
        <f>IF(A3066="","",SUMIF(EXTRATO!$A$2:$A$3000,$A3066,EXTRATO!$J$2:$J$3000)+SUMIF(EXTRATO!$A$2:$A$3000,$A3066,EXTRATO!$K$2:$K$3000)+SUMIF(EXTRATO!$A$2:$A$3000,$A3066,EXTRATO!$L$2:$L$3000)+SUMIF(EXTRATO!$A$2:$A$3000,$A3066,EXTRATO!$M$2:$M$3000))</f>
        <v/>
      </c>
      <c r="G3066" s="81" t="str">
        <f>IF(A3066="","",IF(INDEX(EXTRATO!$G$2:$G$3000,MATCH($A3066,EXTRATO!$A$2:$A$3000,0))="","",INDEX(EXTRATO!$G$2:$G$3000,MATCH($A3066,EXTRATO!$A$2:$A$3000,0))))</f>
        <v/>
      </c>
      <c r="H3066" s="86" t="str">
        <f>IF(A3066="","",IF(INDEX(EXTRATO!$F$2:$F$3000,MATCH($A3066,EXTRATO!$A$2:$A$3000,0))="","",INDEX(EXTRATO!$F$2:$F$3000,MATCH($A3066,EXTRATO!$A$2:$A$3000,0))))</f>
        <v/>
      </c>
      <c r="I3066" s="88" t="str">
        <f>IF(A3066="","",IF(INDEX(EXTRATO!$H$2:$H$3000,MATCH($A3066,EXTRATO!$A$2:$A$3000,0))="","",INDEX(EXTRATO!$H$2:$H$3000,MATCH($A3066,EXTRATO!$A$2:$A$3000,0))))</f>
        <v/>
      </c>
      <c r="J3066" s="86" t="str">
        <f t="shared" si="83"/>
        <v/>
      </c>
      <c r="K3066" s="86" t="str">
        <f>IF(AND(A3066="",D3066="",E3066="",F3066=""),"",IF(D3066="","SEM CATEGORIA",IF(E3066="","SEM SUBCATEGORIA",IF(COUNTIFS(CADASTROS!$L$7:$L$93,D3066,CADASTROS!$D$7:$D$93,E3066)=0,"INCOMPATÍVEL","OK"))))</f>
        <v/>
      </c>
    </row>
    <row r="3067" spans="1:11" ht="30" hidden="1" customHeight="1" x14ac:dyDescent="0.25">
      <c r="A3067" s="86" t="str">
        <f>IF(COUNTIF(EXTRATO!$A$2:$A$3000,"BAN-02924")=0,"","BAN-02924")</f>
        <v/>
      </c>
      <c r="B3067" s="85" t="str">
        <f>IF(A3067="","",IF(INDEX(EXTRATO!$C$2:$C$3000,MATCH($A3067,EXTRATO!$A$2:$A$3000,0))="","",INDEX(EXTRATO!$C$2:$C$3000,MATCH($A3067,EXTRATO!$A$2:$A$3000,0))))</f>
        <v/>
      </c>
      <c r="C3067" s="86" t="str">
        <f t="shared" si="82"/>
        <v/>
      </c>
      <c r="D3067" s="81"/>
      <c r="E3067" s="79"/>
      <c r="F3067" s="80" t="str">
        <f>IF(A3067="","",SUMIF(EXTRATO!$A$2:$A$3000,$A3067,EXTRATO!$J$2:$J$3000)+SUMIF(EXTRATO!$A$2:$A$3000,$A3067,EXTRATO!$K$2:$K$3000)+SUMIF(EXTRATO!$A$2:$A$3000,$A3067,EXTRATO!$L$2:$L$3000)+SUMIF(EXTRATO!$A$2:$A$3000,$A3067,EXTRATO!$M$2:$M$3000))</f>
        <v/>
      </c>
      <c r="G3067" s="81" t="str">
        <f>IF(A3067="","",IF(INDEX(EXTRATO!$G$2:$G$3000,MATCH($A3067,EXTRATO!$A$2:$A$3000,0))="","",INDEX(EXTRATO!$G$2:$G$3000,MATCH($A3067,EXTRATO!$A$2:$A$3000,0))))</f>
        <v/>
      </c>
      <c r="H3067" s="86" t="str">
        <f>IF(A3067="","",IF(INDEX(EXTRATO!$F$2:$F$3000,MATCH($A3067,EXTRATO!$A$2:$A$3000,0))="","",INDEX(EXTRATO!$F$2:$F$3000,MATCH($A3067,EXTRATO!$A$2:$A$3000,0))))</f>
        <v/>
      </c>
      <c r="I3067" s="88" t="str">
        <f>IF(A3067="","",IF(INDEX(EXTRATO!$H$2:$H$3000,MATCH($A3067,EXTRATO!$A$2:$A$3000,0))="","",INDEX(EXTRATO!$H$2:$H$3000,MATCH($A3067,EXTRATO!$A$2:$A$3000,0))))</f>
        <v/>
      </c>
      <c r="J3067" s="86" t="str">
        <f t="shared" si="83"/>
        <v/>
      </c>
      <c r="K3067" s="86" t="str">
        <f>IF(AND(A3067="",D3067="",E3067="",F3067=""),"",IF(D3067="","SEM CATEGORIA",IF(E3067="","SEM SUBCATEGORIA",IF(COUNTIFS(CADASTROS!$L$7:$L$93,D3067,CADASTROS!$D$7:$D$93,E3067)=0,"INCOMPATÍVEL","OK"))))</f>
        <v/>
      </c>
    </row>
    <row r="3068" spans="1:11" ht="30" hidden="1" customHeight="1" x14ac:dyDescent="0.25">
      <c r="A3068" s="86" t="str">
        <f>IF(COUNTIF(EXTRATO!$A$2:$A$3000,"BAN-02925")=0,"","BAN-02925")</f>
        <v/>
      </c>
      <c r="B3068" s="85" t="str">
        <f>IF(A3068="","",IF(INDEX(EXTRATO!$C$2:$C$3000,MATCH($A3068,EXTRATO!$A$2:$A$3000,0))="","",INDEX(EXTRATO!$C$2:$C$3000,MATCH($A3068,EXTRATO!$A$2:$A$3000,0))))</f>
        <v/>
      </c>
      <c r="C3068" s="86" t="str">
        <f t="shared" si="82"/>
        <v/>
      </c>
      <c r="D3068" s="81"/>
      <c r="E3068" s="79"/>
      <c r="F3068" s="80" t="str">
        <f>IF(A3068="","",SUMIF(EXTRATO!$A$2:$A$3000,$A3068,EXTRATO!$J$2:$J$3000)+SUMIF(EXTRATO!$A$2:$A$3000,$A3068,EXTRATO!$K$2:$K$3000)+SUMIF(EXTRATO!$A$2:$A$3000,$A3068,EXTRATO!$L$2:$L$3000)+SUMIF(EXTRATO!$A$2:$A$3000,$A3068,EXTRATO!$M$2:$M$3000))</f>
        <v/>
      </c>
      <c r="G3068" s="81" t="str">
        <f>IF(A3068="","",IF(INDEX(EXTRATO!$G$2:$G$3000,MATCH($A3068,EXTRATO!$A$2:$A$3000,0))="","",INDEX(EXTRATO!$G$2:$G$3000,MATCH($A3068,EXTRATO!$A$2:$A$3000,0))))</f>
        <v/>
      </c>
      <c r="H3068" s="86" t="str">
        <f>IF(A3068="","",IF(INDEX(EXTRATO!$F$2:$F$3000,MATCH($A3068,EXTRATO!$A$2:$A$3000,0))="","",INDEX(EXTRATO!$F$2:$F$3000,MATCH($A3068,EXTRATO!$A$2:$A$3000,0))))</f>
        <v/>
      </c>
      <c r="I3068" s="88" t="str">
        <f>IF(A3068="","",IF(INDEX(EXTRATO!$H$2:$H$3000,MATCH($A3068,EXTRATO!$A$2:$A$3000,0))="","",INDEX(EXTRATO!$H$2:$H$3000,MATCH($A3068,EXTRATO!$A$2:$A$3000,0))))</f>
        <v/>
      </c>
      <c r="J3068" s="86" t="str">
        <f t="shared" si="83"/>
        <v/>
      </c>
      <c r="K3068" s="86" t="str">
        <f>IF(AND(A3068="",D3068="",E3068="",F3068=""),"",IF(D3068="","SEM CATEGORIA",IF(E3068="","SEM SUBCATEGORIA",IF(COUNTIFS(CADASTROS!$L$7:$L$93,D3068,CADASTROS!$D$7:$D$93,E3068)=0,"INCOMPATÍVEL","OK"))))</f>
        <v/>
      </c>
    </row>
    <row r="3069" spans="1:11" ht="30" hidden="1" customHeight="1" x14ac:dyDescent="0.25">
      <c r="A3069" s="86" t="str">
        <f>IF(COUNTIF(EXTRATO!$A$2:$A$3000,"BAN-02926")=0,"","BAN-02926")</f>
        <v/>
      </c>
      <c r="B3069" s="85" t="str">
        <f>IF(A3069="","",IF(INDEX(EXTRATO!$C$2:$C$3000,MATCH($A3069,EXTRATO!$A$2:$A$3000,0))="","",INDEX(EXTRATO!$C$2:$C$3000,MATCH($A3069,EXTRATO!$A$2:$A$3000,0))))</f>
        <v/>
      </c>
      <c r="C3069" s="86" t="str">
        <f t="shared" si="82"/>
        <v/>
      </c>
      <c r="D3069" s="81"/>
      <c r="E3069" s="79"/>
      <c r="F3069" s="80" t="str">
        <f>IF(A3069="","",SUMIF(EXTRATO!$A$2:$A$3000,$A3069,EXTRATO!$J$2:$J$3000)+SUMIF(EXTRATO!$A$2:$A$3000,$A3069,EXTRATO!$K$2:$K$3000)+SUMIF(EXTRATO!$A$2:$A$3000,$A3069,EXTRATO!$L$2:$L$3000)+SUMIF(EXTRATO!$A$2:$A$3000,$A3069,EXTRATO!$M$2:$M$3000))</f>
        <v/>
      </c>
      <c r="G3069" s="81" t="str">
        <f>IF(A3069="","",IF(INDEX(EXTRATO!$G$2:$G$3000,MATCH($A3069,EXTRATO!$A$2:$A$3000,0))="","",INDEX(EXTRATO!$G$2:$G$3000,MATCH($A3069,EXTRATO!$A$2:$A$3000,0))))</f>
        <v/>
      </c>
      <c r="H3069" s="86" t="str">
        <f>IF(A3069="","",IF(INDEX(EXTRATO!$F$2:$F$3000,MATCH($A3069,EXTRATO!$A$2:$A$3000,0))="","",INDEX(EXTRATO!$F$2:$F$3000,MATCH($A3069,EXTRATO!$A$2:$A$3000,0))))</f>
        <v/>
      </c>
      <c r="I3069" s="88" t="str">
        <f>IF(A3069="","",IF(INDEX(EXTRATO!$H$2:$H$3000,MATCH($A3069,EXTRATO!$A$2:$A$3000,0))="","",INDEX(EXTRATO!$H$2:$H$3000,MATCH($A3069,EXTRATO!$A$2:$A$3000,0))))</f>
        <v/>
      </c>
      <c r="J3069" s="86" t="str">
        <f t="shared" si="83"/>
        <v/>
      </c>
      <c r="K3069" s="86" t="str">
        <f>IF(AND(A3069="",D3069="",E3069="",F3069=""),"",IF(D3069="","SEM CATEGORIA",IF(E3069="","SEM SUBCATEGORIA",IF(COUNTIFS(CADASTROS!$L$7:$L$93,D3069,CADASTROS!$D$7:$D$93,E3069)=0,"INCOMPATÍVEL","OK"))))</f>
        <v/>
      </c>
    </row>
    <row r="3070" spans="1:11" ht="30" hidden="1" customHeight="1" x14ac:dyDescent="0.25">
      <c r="A3070" s="86" t="str">
        <f>IF(COUNTIF(EXTRATO!$A$2:$A$3000,"BAN-02927")=0,"","BAN-02927")</f>
        <v/>
      </c>
      <c r="B3070" s="85" t="str">
        <f>IF(A3070="","",IF(INDEX(EXTRATO!$C$2:$C$3000,MATCH($A3070,EXTRATO!$A$2:$A$3000,0))="","",INDEX(EXTRATO!$C$2:$C$3000,MATCH($A3070,EXTRATO!$A$2:$A$3000,0))))</f>
        <v/>
      </c>
      <c r="C3070" s="86" t="str">
        <f t="shared" si="82"/>
        <v/>
      </c>
      <c r="D3070" s="81"/>
      <c r="E3070" s="79"/>
      <c r="F3070" s="80" t="str">
        <f>IF(A3070="","",SUMIF(EXTRATO!$A$2:$A$3000,$A3070,EXTRATO!$J$2:$J$3000)+SUMIF(EXTRATO!$A$2:$A$3000,$A3070,EXTRATO!$K$2:$K$3000)+SUMIF(EXTRATO!$A$2:$A$3000,$A3070,EXTRATO!$L$2:$L$3000)+SUMIF(EXTRATO!$A$2:$A$3000,$A3070,EXTRATO!$M$2:$M$3000))</f>
        <v/>
      </c>
      <c r="G3070" s="81" t="str">
        <f>IF(A3070="","",IF(INDEX(EXTRATO!$G$2:$G$3000,MATCH($A3070,EXTRATO!$A$2:$A$3000,0))="","",INDEX(EXTRATO!$G$2:$G$3000,MATCH($A3070,EXTRATO!$A$2:$A$3000,0))))</f>
        <v/>
      </c>
      <c r="H3070" s="86" t="str">
        <f>IF(A3070="","",IF(INDEX(EXTRATO!$F$2:$F$3000,MATCH($A3070,EXTRATO!$A$2:$A$3000,0))="","",INDEX(EXTRATO!$F$2:$F$3000,MATCH($A3070,EXTRATO!$A$2:$A$3000,0))))</f>
        <v/>
      </c>
      <c r="I3070" s="88" t="str">
        <f>IF(A3070="","",IF(INDEX(EXTRATO!$H$2:$H$3000,MATCH($A3070,EXTRATO!$A$2:$A$3000,0))="","",INDEX(EXTRATO!$H$2:$H$3000,MATCH($A3070,EXTRATO!$A$2:$A$3000,0))))</f>
        <v/>
      </c>
      <c r="J3070" s="86" t="str">
        <f t="shared" si="83"/>
        <v/>
      </c>
      <c r="K3070" s="86" t="str">
        <f>IF(AND(A3070="",D3070="",E3070="",F3070=""),"",IF(D3070="","SEM CATEGORIA",IF(E3070="","SEM SUBCATEGORIA",IF(COUNTIFS(CADASTROS!$L$7:$L$93,D3070,CADASTROS!$D$7:$D$93,E3070)=0,"INCOMPATÍVEL","OK"))))</f>
        <v/>
      </c>
    </row>
    <row r="3071" spans="1:11" ht="30" hidden="1" customHeight="1" x14ac:dyDescent="0.25">
      <c r="A3071" s="86" t="str">
        <f>IF(COUNTIF(EXTRATO!$A$2:$A$3000,"BAN-02928")=0,"","BAN-02928")</f>
        <v/>
      </c>
      <c r="B3071" s="85" t="str">
        <f>IF(A3071="","",IF(INDEX(EXTRATO!$C$2:$C$3000,MATCH($A3071,EXTRATO!$A$2:$A$3000,0))="","",INDEX(EXTRATO!$C$2:$C$3000,MATCH($A3071,EXTRATO!$A$2:$A$3000,0))))</f>
        <v/>
      </c>
      <c r="C3071" s="86" t="str">
        <f t="shared" si="82"/>
        <v/>
      </c>
      <c r="D3071" s="81"/>
      <c r="E3071" s="79"/>
      <c r="F3071" s="80" t="str">
        <f>IF(A3071="","",SUMIF(EXTRATO!$A$2:$A$3000,$A3071,EXTRATO!$J$2:$J$3000)+SUMIF(EXTRATO!$A$2:$A$3000,$A3071,EXTRATO!$K$2:$K$3000)+SUMIF(EXTRATO!$A$2:$A$3000,$A3071,EXTRATO!$L$2:$L$3000)+SUMIF(EXTRATO!$A$2:$A$3000,$A3071,EXTRATO!$M$2:$M$3000))</f>
        <v/>
      </c>
      <c r="G3071" s="81" t="str">
        <f>IF(A3071="","",IF(INDEX(EXTRATO!$G$2:$G$3000,MATCH($A3071,EXTRATO!$A$2:$A$3000,0))="","",INDEX(EXTRATO!$G$2:$G$3000,MATCH($A3071,EXTRATO!$A$2:$A$3000,0))))</f>
        <v/>
      </c>
      <c r="H3071" s="86" t="str">
        <f>IF(A3071="","",IF(INDEX(EXTRATO!$F$2:$F$3000,MATCH($A3071,EXTRATO!$A$2:$A$3000,0))="","",INDEX(EXTRATO!$F$2:$F$3000,MATCH($A3071,EXTRATO!$A$2:$A$3000,0))))</f>
        <v/>
      </c>
      <c r="I3071" s="88" t="str">
        <f>IF(A3071="","",IF(INDEX(EXTRATO!$H$2:$H$3000,MATCH($A3071,EXTRATO!$A$2:$A$3000,0))="","",INDEX(EXTRATO!$H$2:$H$3000,MATCH($A3071,EXTRATO!$A$2:$A$3000,0))))</f>
        <v/>
      </c>
      <c r="J3071" s="86" t="str">
        <f t="shared" si="83"/>
        <v/>
      </c>
      <c r="K3071" s="86" t="str">
        <f>IF(AND(A3071="",D3071="",E3071="",F3071=""),"",IF(D3071="","SEM CATEGORIA",IF(E3071="","SEM SUBCATEGORIA",IF(COUNTIFS(CADASTROS!$L$7:$L$93,D3071,CADASTROS!$D$7:$D$93,E3071)=0,"INCOMPATÍVEL","OK"))))</f>
        <v/>
      </c>
    </row>
    <row r="3072" spans="1:11" ht="30" hidden="1" customHeight="1" x14ac:dyDescent="0.25">
      <c r="A3072" s="86" t="str">
        <f>IF(COUNTIF(EXTRATO!$A$2:$A$3000,"BAN-02929")=0,"","BAN-02929")</f>
        <v/>
      </c>
      <c r="B3072" s="85" t="str">
        <f>IF(A3072="","",IF(INDEX(EXTRATO!$C$2:$C$3000,MATCH($A3072,EXTRATO!$A$2:$A$3000,0))="","",INDEX(EXTRATO!$C$2:$C$3000,MATCH($A3072,EXTRATO!$A$2:$A$3000,0))))</f>
        <v/>
      </c>
      <c r="C3072" s="86" t="str">
        <f t="shared" si="82"/>
        <v/>
      </c>
      <c r="D3072" s="81"/>
      <c r="E3072" s="79"/>
      <c r="F3072" s="80" t="str">
        <f>IF(A3072="","",SUMIF(EXTRATO!$A$2:$A$3000,$A3072,EXTRATO!$J$2:$J$3000)+SUMIF(EXTRATO!$A$2:$A$3000,$A3072,EXTRATO!$K$2:$K$3000)+SUMIF(EXTRATO!$A$2:$A$3000,$A3072,EXTRATO!$L$2:$L$3000)+SUMIF(EXTRATO!$A$2:$A$3000,$A3072,EXTRATO!$M$2:$M$3000))</f>
        <v/>
      </c>
      <c r="G3072" s="81" t="str">
        <f>IF(A3072="","",IF(INDEX(EXTRATO!$G$2:$G$3000,MATCH($A3072,EXTRATO!$A$2:$A$3000,0))="","",INDEX(EXTRATO!$G$2:$G$3000,MATCH($A3072,EXTRATO!$A$2:$A$3000,0))))</f>
        <v/>
      </c>
      <c r="H3072" s="86" t="str">
        <f>IF(A3072="","",IF(INDEX(EXTRATO!$F$2:$F$3000,MATCH($A3072,EXTRATO!$A$2:$A$3000,0))="","",INDEX(EXTRATO!$F$2:$F$3000,MATCH($A3072,EXTRATO!$A$2:$A$3000,0))))</f>
        <v/>
      </c>
      <c r="I3072" s="88" t="str">
        <f>IF(A3072="","",IF(INDEX(EXTRATO!$H$2:$H$3000,MATCH($A3072,EXTRATO!$A$2:$A$3000,0))="","",INDEX(EXTRATO!$H$2:$H$3000,MATCH($A3072,EXTRATO!$A$2:$A$3000,0))))</f>
        <v/>
      </c>
      <c r="J3072" s="86" t="str">
        <f t="shared" si="83"/>
        <v/>
      </c>
      <c r="K3072" s="86" t="str">
        <f>IF(AND(A3072="",D3072="",E3072="",F3072=""),"",IF(D3072="","SEM CATEGORIA",IF(E3072="","SEM SUBCATEGORIA",IF(COUNTIFS(CADASTROS!$L$7:$L$93,D3072,CADASTROS!$D$7:$D$93,E3072)=0,"INCOMPATÍVEL","OK"))))</f>
        <v/>
      </c>
    </row>
    <row r="3073" spans="1:11" ht="30" hidden="1" customHeight="1" x14ac:dyDescent="0.25">
      <c r="A3073" s="86" t="str">
        <f>IF(COUNTIF(EXTRATO!$A$2:$A$3000,"BAN-02930")=0,"","BAN-02930")</f>
        <v/>
      </c>
      <c r="B3073" s="85" t="str">
        <f>IF(A3073="","",IF(INDEX(EXTRATO!$C$2:$C$3000,MATCH($A3073,EXTRATO!$A$2:$A$3000,0))="","",INDEX(EXTRATO!$C$2:$C$3000,MATCH($A3073,EXTRATO!$A$2:$A$3000,0))))</f>
        <v/>
      </c>
      <c r="C3073" s="86" t="str">
        <f t="shared" si="82"/>
        <v/>
      </c>
      <c r="D3073" s="81"/>
      <c r="E3073" s="79"/>
      <c r="F3073" s="80" t="str">
        <f>IF(A3073="","",SUMIF(EXTRATO!$A$2:$A$3000,$A3073,EXTRATO!$J$2:$J$3000)+SUMIF(EXTRATO!$A$2:$A$3000,$A3073,EXTRATO!$K$2:$K$3000)+SUMIF(EXTRATO!$A$2:$A$3000,$A3073,EXTRATO!$L$2:$L$3000)+SUMIF(EXTRATO!$A$2:$A$3000,$A3073,EXTRATO!$M$2:$M$3000))</f>
        <v/>
      </c>
      <c r="G3073" s="81" t="str">
        <f>IF(A3073="","",IF(INDEX(EXTRATO!$G$2:$G$3000,MATCH($A3073,EXTRATO!$A$2:$A$3000,0))="","",INDEX(EXTRATO!$G$2:$G$3000,MATCH($A3073,EXTRATO!$A$2:$A$3000,0))))</f>
        <v/>
      </c>
      <c r="H3073" s="86" t="str">
        <f>IF(A3073="","",IF(INDEX(EXTRATO!$F$2:$F$3000,MATCH($A3073,EXTRATO!$A$2:$A$3000,0))="","",INDEX(EXTRATO!$F$2:$F$3000,MATCH($A3073,EXTRATO!$A$2:$A$3000,0))))</f>
        <v/>
      </c>
      <c r="I3073" s="88" t="str">
        <f>IF(A3073="","",IF(INDEX(EXTRATO!$H$2:$H$3000,MATCH($A3073,EXTRATO!$A$2:$A$3000,0))="","",INDEX(EXTRATO!$H$2:$H$3000,MATCH($A3073,EXTRATO!$A$2:$A$3000,0))))</f>
        <v/>
      </c>
      <c r="J3073" s="86" t="str">
        <f t="shared" si="83"/>
        <v/>
      </c>
      <c r="K3073" s="86" t="str">
        <f>IF(AND(A3073="",D3073="",E3073="",F3073=""),"",IF(D3073="","SEM CATEGORIA",IF(E3073="","SEM SUBCATEGORIA",IF(COUNTIFS(CADASTROS!$L$7:$L$93,D3073,CADASTROS!$D$7:$D$93,E3073)=0,"INCOMPATÍVEL","OK"))))</f>
        <v/>
      </c>
    </row>
    <row r="3074" spans="1:11" ht="30" hidden="1" customHeight="1" x14ac:dyDescent="0.25">
      <c r="A3074" s="86" t="str">
        <f>IF(COUNTIF(EXTRATO!$A$2:$A$3000,"BAN-02931")=0,"","BAN-02931")</f>
        <v/>
      </c>
      <c r="B3074" s="85" t="str">
        <f>IF(A3074="","",IF(INDEX(EXTRATO!$C$2:$C$3000,MATCH($A3074,EXTRATO!$A$2:$A$3000,0))="","",INDEX(EXTRATO!$C$2:$C$3000,MATCH($A3074,EXTRATO!$A$2:$A$3000,0))))</f>
        <v/>
      </c>
      <c r="C3074" s="86" t="str">
        <f t="shared" si="82"/>
        <v/>
      </c>
      <c r="D3074" s="81"/>
      <c r="E3074" s="79"/>
      <c r="F3074" s="80" t="str">
        <f>IF(A3074="","",SUMIF(EXTRATO!$A$2:$A$3000,$A3074,EXTRATO!$J$2:$J$3000)+SUMIF(EXTRATO!$A$2:$A$3000,$A3074,EXTRATO!$K$2:$K$3000)+SUMIF(EXTRATO!$A$2:$A$3000,$A3074,EXTRATO!$L$2:$L$3000)+SUMIF(EXTRATO!$A$2:$A$3000,$A3074,EXTRATO!$M$2:$M$3000))</f>
        <v/>
      </c>
      <c r="G3074" s="81" t="str">
        <f>IF(A3074="","",IF(INDEX(EXTRATO!$G$2:$G$3000,MATCH($A3074,EXTRATO!$A$2:$A$3000,0))="","",INDEX(EXTRATO!$G$2:$G$3000,MATCH($A3074,EXTRATO!$A$2:$A$3000,0))))</f>
        <v/>
      </c>
      <c r="H3074" s="86" t="str">
        <f>IF(A3074="","",IF(INDEX(EXTRATO!$F$2:$F$3000,MATCH($A3074,EXTRATO!$A$2:$A$3000,0))="","",INDEX(EXTRATO!$F$2:$F$3000,MATCH($A3074,EXTRATO!$A$2:$A$3000,0))))</f>
        <v/>
      </c>
      <c r="I3074" s="88" t="str">
        <f>IF(A3074="","",IF(INDEX(EXTRATO!$H$2:$H$3000,MATCH($A3074,EXTRATO!$A$2:$A$3000,0))="","",INDEX(EXTRATO!$H$2:$H$3000,MATCH($A3074,EXTRATO!$A$2:$A$3000,0))))</f>
        <v/>
      </c>
      <c r="J3074" s="86" t="str">
        <f t="shared" si="83"/>
        <v/>
      </c>
      <c r="K3074" s="86" t="str">
        <f>IF(AND(A3074="",D3074="",E3074="",F3074=""),"",IF(D3074="","SEM CATEGORIA",IF(E3074="","SEM SUBCATEGORIA",IF(COUNTIFS(CADASTROS!$L$7:$L$93,D3074,CADASTROS!$D$7:$D$93,E3074)=0,"INCOMPATÍVEL","OK"))))</f>
        <v/>
      </c>
    </row>
    <row r="3075" spans="1:11" ht="30" hidden="1" customHeight="1" x14ac:dyDescent="0.25">
      <c r="A3075" s="86" t="str">
        <f>IF(COUNTIF(EXTRATO!$A$2:$A$3000,"BAN-02932")=0,"","BAN-02932")</f>
        <v/>
      </c>
      <c r="B3075" s="85" t="str">
        <f>IF(A3075="","",IF(INDEX(EXTRATO!$C$2:$C$3000,MATCH($A3075,EXTRATO!$A$2:$A$3000,0))="","",INDEX(EXTRATO!$C$2:$C$3000,MATCH($A3075,EXTRATO!$A$2:$A$3000,0))))</f>
        <v/>
      </c>
      <c r="C3075" s="86" t="str">
        <f t="shared" si="82"/>
        <v/>
      </c>
      <c r="D3075" s="81"/>
      <c r="E3075" s="79"/>
      <c r="F3075" s="80" t="str">
        <f>IF(A3075="","",SUMIF(EXTRATO!$A$2:$A$3000,$A3075,EXTRATO!$J$2:$J$3000)+SUMIF(EXTRATO!$A$2:$A$3000,$A3075,EXTRATO!$K$2:$K$3000)+SUMIF(EXTRATO!$A$2:$A$3000,$A3075,EXTRATO!$L$2:$L$3000)+SUMIF(EXTRATO!$A$2:$A$3000,$A3075,EXTRATO!$M$2:$M$3000))</f>
        <v/>
      </c>
      <c r="G3075" s="81" t="str">
        <f>IF(A3075="","",IF(INDEX(EXTRATO!$G$2:$G$3000,MATCH($A3075,EXTRATO!$A$2:$A$3000,0))="","",INDEX(EXTRATO!$G$2:$G$3000,MATCH($A3075,EXTRATO!$A$2:$A$3000,0))))</f>
        <v/>
      </c>
      <c r="H3075" s="86" t="str">
        <f>IF(A3075="","",IF(INDEX(EXTRATO!$F$2:$F$3000,MATCH($A3075,EXTRATO!$A$2:$A$3000,0))="","",INDEX(EXTRATO!$F$2:$F$3000,MATCH($A3075,EXTRATO!$A$2:$A$3000,0))))</f>
        <v/>
      </c>
      <c r="I3075" s="88" t="str">
        <f>IF(A3075="","",IF(INDEX(EXTRATO!$H$2:$H$3000,MATCH($A3075,EXTRATO!$A$2:$A$3000,0))="","",INDEX(EXTRATO!$H$2:$H$3000,MATCH($A3075,EXTRATO!$A$2:$A$3000,0))))</f>
        <v/>
      </c>
      <c r="J3075" s="86" t="str">
        <f t="shared" si="83"/>
        <v/>
      </c>
      <c r="K3075" s="86" t="str">
        <f>IF(AND(A3075="",D3075="",E3075="",F3075=""),"",IF(D3075="","SEM CATEGORIA",IF(E3075="","SEM SUBCATEGORIA",IF(COUNTIFS(CADASTROS!$L$7:$L$93,D3075,CADASTROS!$D$7:$D$93,E3075)=0,"INCOMPATÍVEL","OK"))))</f>
        <v/>
      </c>
    </row>
    <row r="3076" spans="1:11" ht="30" hidden="1" customHeight="1" x14ac:dyDescent="0.25">
      <c r="A3076" s="86" t="str">
        <f>IF(COUNTIF(EXTRATO!$A$2:$A$3000,"BAN-02933")=0,"","BAN-02933")</f>
        <v/>
      </c>
      <c r="B3076" s="85" t="str">
        <f>IF(A3076="","",IF(INDEX(EXTRATO!$C$2:$C$3000,MATCH($A3076,EXTRATO!$A$2:$A$3000,0))="","",INDEX(EXTRATO!$C$2:$C$3000,MATCH($A3076,EXTRATO!$A$2:$A$3000,0))))</f>
        <v/>
      </c>
      <c r="C3076" s="86" t="str">
        <f t="shared" si="82"/>
        <v/>
      </c>
      <c r="D3076" s="81"/>
      <c r="E3076" s="79"/>
      <c r="F3076" s="80" t="str">
        <f>IF(A3076="","",SUMIF(EXTRATO!$A$2:$A$3000,$A3076,EXTRATO!$J$2:$J$3000)+SUMIF(EXTRATO!$A$2:$A$3000,$A3076,EXTRATO!$K$2:$K$3000)+SUMIF(EXTRATO!$A$2:$A$3000,$A3076,EXTRATO!$L$2:$L$3000)+SUMIF(EXTRATO!$A$2:$A$3000,$A3076,EXTRATO!$M$2:$M$3000))</f>
        <v/>
      </c>
      <c r="G3076" s="81" t="str">
        <f>IF(A3076="","",IF(INDEX(EXTRATO!$G$2:$G$3000,MATCH($A3076,EXTRATO!$A$2:$A$3000,0))="","",INDEX(EXTRATO!$G$2:$G$3000,MATCH($A3076,EXTRATO!$A$2:$A$3000,0))))</f>
        <v/>
      </c>
      <c r="H3076" s="86" t="str">
        <f>IF(A3076="","",IF(INDEX(EXTRATO!$F$2:$F$3000,MATCH($A3076,EXTRATO!$A$2:$A$3000,0))="","",INDEX(EXTRATO!$F$2:$F$3000,MATCH($A3076,EXTRATO!$A$2:$A$3000,0))))</f>
        <v/>
      </c>
      <c r="I3076" s="88" t="str">
        <f>IF(A3076="","",IF(INDEX(EXTRATO!$H$2:$H$3000,MATCH($A3076,EXTRATO!$A$2:$A$3000,0))="","",INDEX(EXTRATO!$H$2:$H$3000,MATCH($A3076,EXTRATO!$A$2:$A$3000,0))))</f>
        <v/>
      </c>
      <c r="J3076" s="86" t="str">
        <f t="shared" si="83"/>
        <v/>
      </c>
      <c r="K3076" s="86" t="str">
        <f>IF(AND(A3076="",D3076="",E3076="",F3076=""),"",IF(D3076="","SEM CATEGORIA",IF(E3076="","SEM SUBCATEGORIA",IF(COUNTIFS(CADASTROS!$L$7:$L$93,D3076,CADASTROS!$D$7:$D$93,E3076)=0,"INCOMPATÍVEL","OK"))))</f>
        <v/>
      </c>
    </row>
    <row r="3077" spans="1:11" ht="30" hidden="1" customHeight="1" x14ac:dyDescent="0.25">
      <c r="A3077" s="86" t="str">
        <f>IF(COUNTIF(EXTRATO!$A$2:$A$3000,"BAN-02934")=0,"","BAN-02934")</f>
        <v/>
      </c>
      <c r="B3077" s="85" t="str">
        <f>IF(A3077="","",IF(INDEX(EXTRATO!$C$2:$C$3000,MATCH($A3077,EXTRATO!$A$2:$A$3000,0))="","",INDEX(EXTRATO!$C$2:$C$3000,MATCH($A3077,EXTRATO!$A$2:$A$3000,0))))</f>
        <v/>
      </c>
      <c r="C3077" s="86" t="str">
        <f t="shared" si="82"/>
        <v/>
      </c>
      <c r="D3077" s="81"/>
      <c r="E3077" s="79"/>
      <c r="F3077" s="80" t="str">
        <f>IF(A3077="","",SUMIF(EXTRATO!$A$2:$A$3000,$A3077,EXTRATO!$J$2:$J$3000)+SUMIF(EXTRATO!$A$2:$A$3000,$A3077,EXTRATO!$K$2:$K$3000)+SUMIF(EXTRATO!$A$2:$A$3000,$A3077,EXTRATO!$L$2:$L$3000)+SUMIF(EXTRATO!$A$2:$A$3000,$A3077,EXTRATO!$M$2:$M$3000))</f>
        <v/>
      </c>
      <c r="G3077" s="81" t="str">
        <f>IF(A3077="","",IF(INDEX(EXTRATO!$G$2:$G$3000,MATCH($A3077,EXTRATO!$A$2:$A$3000,0))="","",INDEX(EXTRATO!$G$2:$G$3000,MATCH($A3077,EXTRATO!$A$2:$A$3000,0))))</f>
        <v/>
      </c>
      <c r="H3077" s="86" t="str">
        <f>IF(A3077="","",IF(INDEX(EXTRATO!$F$2:$F$3000,MATCH($A3077,EXTRATO!$A$2:$A$3000,0))="","",INDEX(EXTRATO!$F$2:$F$3000,MATCH($A3077,EXTRATO!$A$2:$A$3000,0))))</f>
        <v/>
      </c>
      <c r="I3077" s="88" t="str">
        <f>IF(A3077="","",IF(INDEX(EXTRATO!$H$2:$H$3000,MATCH($A3077,EXTRATO!$A$2:$A$3000,0))="","",INDEX(EXTRATO!$H$2:$H$3000,MATCH($A3077,EXTRATO!$A$2:$A$3000,0))))</f>
        <v/>
      </c>
      <c r="J3077" s="86" t="str">
        <f t="shared" si="83"/>
        <v/>
      </c>
      <c r="K3077" s="86" t="str">
        <f>IF(AND(A3077="",D3077="",E3077="",F3077=""),"",IF(D3077="","SEM CATEGORIA",IF(E3077="","SEM SUBCATEGORIA",IF(COUNTIFS(CADASTROS!$L$7:$L$93,D3077,CADASTROS!$D$7:$D$93,E3077)=0,"INCOMPATÍVEL","OK"))))</f>
        <v/>
      </c>
    </row>
    <row r="3078" spans="1:11" ht="30" hidden="1" customHeight="1" x14ac:dyDescent="0.25">
      <c r="A3078" s="86" t="str">
        <f>IF(COUNTIF(EXTRATO!$A$2:$A$3000,"BAN-02935")=0,"","BAN-02935")</f>
        <v/>
      </c>
      <c r="B3078" s="85" t="str">
        <f>IF(A3078="","",IF(INDEX(EXTRATO!$C$2:$C$3000,MATCH($A3078,EXTRATO!$A$2:$A$3000,0))="","",INDEX(EXTRATO!$C$2:$C$3000,MATCH($A3078,EXTRATO!$A$2:$A$3000,0))))</f>
        <v/>
      </c>
      <c r="C3078" s="86" t="str">
        <f t="shared" si="82"/>
        <v/>
      </c>
      <c r="D3078" s="81"/>
      <c r="E3078" s="79"/>
      <c r="F3078" s="80" t="str">
        <f>IF(A3078="","",SUMIF(EXTRATO!$A$2:$A$3000,$A3078,EXTRATO!$J$2:$J$3000)+SUMIF(EXTRATO!$A$2:$A$3000,$A3078,EXTRATO!$K$2:$K$3000)+SUMIF(EXTRATO!$A$2:$A$3000,$A3078,EXTRATO!$L$2:$L$3000)+SUMIF(EXTRATO!$A$2:$A$3000,$A3078,EXTRATO!$M$2:$M$3000))</f>
        <v/>
      </c>
      <c r="G3078" s="81" t="str">
        <f>IF(A3078="","",IF(INDEX(EXTRATO!$G$2:$G$3000,MATCH($A3078,EXTRATO!$A$2:$A$3000,0))="","",INDEX(EXTRATO!$G$2:$G$3000,MATCH($A3078,EXTRATO!$A$2:$A$3000,0))))</f>
        <v/>
      </c>
      <c r="H3078" s="86" t="str">
        <f>IF(A3078="","",IF(INDEX(EXTRATO!$F$2:$F$3000,MATCH($A3078,EXTRATO!$A$2:$A$3000,0))="","",INDEX(EXTRATO!$F$2:$F$3000,MATCH($A3078,EXTRATO!$A$2:$A$3000,0))))</f>
        <v/>
      </c>
      <c r="I3078" s="88" t="str">
        <f>IF(A3078="","",IF(INDEX(EXTRATO!$H$2:$H$3000,MATCH($A3078,EXTRATO!$A$2:$A$3000,0))="","",INDEX(EXTRATO!$H$2:$H$3000,MATCH($A3078,EXTRATO!$A$2:$A$3000,0))))</f>
        <v/>
      </c>
      <c r="J3078" s="86" t="str">
        <f t="shared" si="83"/>
        <v/>
      </c>
      <c r="K3078" s="86" t="str">
        <f>IF(AND(A3078="",D3078="",E3078="",F3078=""),"",IF(D3078="","SEM CATEGORIA",IF(E3078="","SEM SUBCATEGORIA",IF(COUNTIFS(CADASTROS!$L$7:$L$93,D3078,CADASTROS!$D$7:$D$93,E3078)=0,"INCOMPATÍVEL","OK"))))</f>
        <v/>
      </c>
    </row>
    <row r="3079" spans="1:11" ht="30" hidden="1" customHeight="1" x14ac:dyDescent="0.25">
      <c r="A3079" s="86" t="str">
        <f>IF(COUNTIF(EXTRATO!$A$2:$A$3000,"BAN-02936")=0,"","BAN-02936")</f>
        <v/>
      </c>
      <c r="B3079" s="85" t="str">
        <f>IF(A3079="","",IF(INDEX(EXTRATO!$C$2:$C$3000,MATCH($A3079,EXTRATO!$A$2:$A$3000,0))="","",INDEX(EXTRATO!$C$2:$C$3000,MATCH($A3079,EXTRATO!$A$2:$A$3000,0))))</f>
        <v/>
      </c>
      <c r="C3079" s="86" t="str">
        <f t="shared" si="82"/>
        <v/>
      </c>
      <c r="D3079" s="81"/>
      <c r="E3079" s="79"/>
      <c r="F3079" s="80" t="str">
        <f>IF(A3079="","",SUMIF(EXTRATO!$A$2:$A$3000,$A3079,EXTRATO!$J$2:$J$3000)+SUMIF(EXTRATO!$A$2:$A$3000,$A3079,EXTRATO!$K$2:$K$3000)+SUMIF(EXTRATO!$A$2:$A$3000,$A3079,EXTRATO!$L$2:$L$3000)+SUMIF(EXTRATO!$A$2:$A$3000,$A3079,EXTRATO!$M$2:$M$3000))</f>
        <v/>
      </c>
      <c r="G3079" s="81" t="str">
        <f>IF(A3079="","",IF(INDEX(EXTRATO!$G$2:$G$3000,MATCH($A3079,EXTRATO!$A$2:$A$3000,0))="","",INDEX(EXTRATO!$G$2:$G$3000,MATCH($A3079,EXTRATO!$A$2:$A$3000,0))))</f>
        <v/>
      </c>
      <c r="H3079" s="86" t="str">
        <f>IF(A3079="","",IF(INDEX(EXTRATO!$F$2:$F$3000,MATCH($A3079,EXTRATO!$A$2:$A$3000,0))="","",INDEX(EXTRATO!$F$2:$F$3000,MATCH($A3079,EXTRATO!$A$2:$A$3000,0))))</f>
        <v/>
      </c>
      <c r="I3079" s="88" t="str">
        <f>IF(A3079="","",IF(INDEX(EXTRATO!$H$2:$H$3000,MATCH($A3079,EXTRATO!$A$2:$A$3000,0))="","",INDEX(EXTRATO!$H$2:$H$3000,MATCH($A3079,EXTRATO!$A$2:$A$3000,0))))</f>
        <v/>
      </c>
      <c r="J3079" s="86" t="str">
        <f t="shared" si="83"/>
        <v/>
      </c>
      <c r="K3079" s="86" t="str">
        <f>IF(AND(A3079="",D3079="",E3079="",F3079=""),"",IF(D3079="","SEM CATEGORIA",IF(E3079="","SEM SUBCATEGORIA",IF(COUNTIFS(CADASTROS!$L$7:$L$93,D3079,CADASTROS!$D$7:$D$93,E3079)=0,"INCOMPATÍVEL","OK"))))</f>
        <v/>
      </c>
    </row>
    <row r="3080" spans="1:11" ht="30" hidden="1" customHeight="1" x14ac:dyDescent="0.25">
      <c r="A3080" s="86" t="str">
        <f>IF(COUNTIF(EXTRATO!$A$2:$A$3000,"BAN-02937")=0,"","BAN-02937")</f>
        <v/>
      </c>
      <c r="B3080" s="85" t="str">
        <f>IF(A3080="","",IF(INDEX(EXTRATO!$C$2:$C$3000,MATCH($A3080,EXTRATO!$A$2:$A$3000,0))="","",INDEX(EXTRATO!$C$2:$C$3000,MATCH($A3080,EXTRATO!$A$2:$A$3000,0))))</f>
        <v/>
      </c>
      <c r="C3080" s="86" t="str">
        <f t="shared" si="82"/>
        <v/>
      </c>
      <c r="D3080" s="81"/>
      <c r="E3080" s="79"/>
      <c r="F3080" s="80" t="str">
        <f>IF(A3080="","",SUMIF(EXTRATO!$A$2:$A$3000,$A3080,EXTRATO!$J$2:$J$3000)+SUMIF(EXTRATO!$A$2:$A$3000,$A3080,EXTRATO!$K$2:$K$3000)+SUMIF(EXTRATO!$A$2:$A$3000,$A3080,EXTRATO!$L$2:$L$3000)+SUMIF(EXTRATO!$A$2:$A$3000,$A3080,EXTRATO!$M$2:$M$3000))</f>
        <v/>
      </c>
      <c r="G3080" s="81" t="str">
        <f>IF(A3080="","",IF(INDEX(EXTRATO!$G$2:$G$3000,MATCH($A3080,EXTRATO!$A$2:$A$3000,0))="","",INDEX(EXTRATO!$G$2:$G$3000,MATCH($A3080,EXTRATO!$A$2:$A$3000,0))))</f>
        <v/>
      </c>
      <c r="H3080" s="86" t="str">
        <f>IF(A3080="","",IF(INDEX(EXTRATO!$F$2:$F$3000,MATCH($A3080,EXTRATO!$A$2:$A$3000,0))="","",INDEX(EXTRATO!$F$2:$F$3000,MATCH($A3080,EXTRATO!$A$2:$A$3000,0))))</f>
        <v/>
      </c>
      <c r="I3080" s="88" t="str">
        <f>IF(A3080="","",IF(INDEX(EXTRATO!$H$2:$H$3000,MATCH($A3080,EXTRATO!$A$2:$A$3000,0))="","",INDEX(EXTRATO!$H$2:$H$3000,MATCH($A3080,EXTRATO!$A$2:$A$3000,0))))</f>
        <v/>
      </c>
      <c r="J3080" s="86" t="str">
        <f t="shared" si="83"/>
        <v/>
      </c>
      <c r="K3080" s="86" t="str">
        <f>IF(AND(A3080="",D3080="",E3080="",F3080=""),"",IF(D3080="","SEM CATEGORIA",IF(E3080="","SEM SUBCATEGORIA",IF(COUNTIFS(CADASTROS!$L$7:$L$93,D3080,CADASTROS!$D$7:$D$93,E3080)=0,"INCOMPATÍVEL","OK"))))</f>
        <v/>
      </c>
    </row>
    <row r="3081" spans="1:11" ht="30" hidden="1" customHeight="1" x14ac:dyDescent="0.25">
      <c r="A3081" s="86" t="str">
        <f>IF(COUNTIF(EXTRATO!$A$2:$A$3000,"BAN-02938")=0,"","BAN-02938")</f>
        <v/>
      </c>
      <c r="B3081" s="85" t="str">
        <f>IF(A3081="","",IF(INDEX(EXTRATO!$C$2:$C$3000,MATCH($A3081,EXTRATO!$A$2:$A$3000,0))="","",INDEX(EXTRATO!$C$2:$C$3000,MATCH($A3081,EXTRATO!$A$2:$A$3000,0))))</f>
        <v/>
      </c>
      <c r="C3081" s="86" t="str">
        <f t="shared" si="82"/>
        <v/>
      </c>
      <c r="D3081" s="81"/>
      <c r="E3081" s="79"/>
      <c r="F3081" s="80" t="str">
        <f>IF(A3081="","",SUMIF(EXTRATO!$A$2:$A$3000,$A3081,EXTRATO!$J$2:$J$3000)+SUMIF(EXTRATO!$A$2:$A$3000,$A3081,EXTRATO!$K$2:$K$3000)+SUMIF(EXTRATO!$A$2:$A$3000,$A3081,EXTRATO!$L$2:$L$3000)+SUMIF(EXTRATO!$A$2:$A$3000,$A3081,EXTRATO!$M$2:$M$3000))</f>
        <v/>
      </c>
      <c r="G3081" s="81" t="str">
        <f>IF(A3081="","",IF(INDEX(EXTRATO!$G$2:$G$3000,MATCH($A3081,EXTRATO!$A$2:$A$3000,0))="","",INDEX(EXTRATO!$G$2:$G$3000,MATCH($A3081,EXTRATO!$A$2:$A$3000,0))))</f>
        <v/>
      </c>
      <c r="H3081" s="86" t="str">
        <f>IF(A3081="","",IF(INDEX(EXTRATO!$F$2:$F$3000,MATCH($A3081,EXTRATO!$A$2:$A$3000,0))="","",INDEX(EXTRATO!$F$2:$F$3000,MATCH($A3081,EXTRATO!$A$2:$A$3000,0))))</f>
        <v/>
      </c>
      <c r="I3081" s="88" t="str">
        <f>IF(A3081="","",IF(INDEX(EXTRATO!$H$2:$H$3000,MATCH($A3081,EXTRATO!$A$2:$A$3000,0))="","",INDEX(EXTRATO!$H$2:$H$3000,MATCH($A3081,EXTRATO!$A$2:$A$3000,0))))</f>
        <v/>
      </c>
      <c r="J3081" s="86" t="str">
        <f t="shared" si="83"/>
        <v/>
      </c>
      <c r="K3081" s="86" t="str">
        <f>IF(AND(A3081="",D3081="",E3081="",F3081=""),"",IF(D3081="","SEM CATEGORIA",IF(E3081="","SEM SUBCATEGORIA",IF(COUNTIFS(CADASTROS!$L$7:$L$93,D3081,CADASTROS!$D$7:$D$93,E3081)=0,"INCOMPATÍVEL","OK"))))</f>
        <v/>
      </c>
    </row>
    <row r="3082" spans="1:11" ht="30" hidden="1" customHeight="1" x14ac:dyDescent="0.25">
      <c r="A3082" s="86" t="str">
        <f>IF(COUNTIF(EXTRATO!$A$2:$A$3000,"BAN-02939")=0,"","BAN-02939")</f>
        <v/>
      </c>
      <c r="B3082" s="85" t="str">
        <f>IF(A3082="","",IF(INDEX(EXTRATO!$C$2:$C$3000,MATCH($A3082,EXTRATO!$A$2:$A$3000,0))="","",INDEX(EXTRATO!$C$2:$C$3000,MATCH($A3082,EXTRATO!$A$2:$A$3000,0))))</f>
        <v/>
      </c>
      <c r="C3082" s="86" t="str">
        <f t="shared" si="82"/>
        <v/>
      </c>
      <c r="D3082" s="81"/>
      <c r="E3082" s="79"/>
      <c r="F3082" s="80" t="str">
        <f>IF(A3082="","",SUMIF(EXTRATO!$A$2:$A$3000,$A3082,EXTRATO!$J$2:$J$3000)+SUMIF(EXTRATO!$A$2:$A$3000,$A3082,EXTRATO!$K$2:$K$3000)+SUMIF(EXTRATO!$A$2:$A$3000,$A3082,EXTRATO!$L$2:$L$3000)+SUMIF(EXTRATO!$A$2:$A$3000,$A3082,EXTRATO!$M$2:$M$3000))</f>
        <v/>
      </c>
      <c r="G3082" s="81" t="str">
        <f>IF(A3082="","",IF(INDEX(EXTRATO!$G$2:$G$3000,MATCH($A3082,EXTRATO!$A$2:$A$3000,0))="","",INDEX(EXTRATO!$G$2:$G$3000,MATCH($A3082,EXTRATO!$A$2:$A$3000,0))))</f>
        <v/>
      </c>
      <c r="H3082" s="86" t="str">
        <f>IF(A3082="","",IF(INDEX(EXTRATO!$F$2:$F$3000,MATCH($A3082,EXTRATO!$A$2:$A$3000,0))="","",INDEX(EXTRATO!$F$2:$F$3000,MATCH($A3082,EXTRATO!$A$2:$A$3000,0))))</f>
        <v/>
      </c>
      <c r="I3082" s="88" t="str">
        <f>IF(A3082="","",IF(INDEX(EXTRATO!$H$2:$H$3000,MATCH($A3082,EXTRATO!$A$2:$A$3000,0))="","",INDEX(EXTRATO!$H$2:$H$3000,MATCH($A3082,EXTRATO!$A$2:$A$3000,0))))</f>
        <v/>
      </c>
      <c r="J3082" s="86" t="str">
        <f t="shared" si="83"/>
        <v/>
      </c>
      <c r="K3082" s="86" t="str">
        <f>IF(AND(A3082="",D3082="",E3082="",F3082=""),"",IF(D3082="","SEM CATEGORIA",IF(E3082="","SEM SUBCATEGORIA",IF(COUNTIFS(CADASTROS!$L$7:$L$93,D3082,CADASTROS!$D$7:$D$93,E3082)=0,"INCOMPATÍVEL","OK"))))</f>
        <v/>
      </c>
    </row>
    <row r="3083" spans="1:11" ht="30" hidden="1" customHeight="1" x14ac:dyDescent="0.25">
      <c r="A3083" s="86" t="str">
        <f>IF(COUNTIF(EXTRATO!$A$2:$A$3000,"BAN-02940")=0,"","BAN-02940")</f>
        <v/>
      </c>
      <c r="B3083" s="85" t="str">
        <f>IF(A3083="","",IF(INDEX(EXTRATO!$C$2:$C$3000,MATCH($A3083,EXTRATO!$A$2:$A$3000,0))="","",INDEX(EXTRATO!$C$2:$C$3000,MATCH($A3083,EXTRATO!$A$2:$A$3000,0))))</f>
        <v/>
      </c>
      <c r="C3083" s="86" t="str">
        <f t="shared" si="82"/>
        <v/>
      </c>
      <c r="D3083" s="81"/>
      <c r="E3083" s="79"/>
      <c r="F3083" s="80" t="str">
        <f>IF(A3083="","",SUMIF(EXTRATO!$A$2:$A$3000,$A3083,EXTRATO!$J$2:$J$3000)+SUMIF(EXTRATO!$A$2:$A$3000,$A3083,EXTRATO!$K$2:$K$3000)+SUMIF(EXTRATO!$A$2:$A$3000,$A3083,EXTRATO!$L$2:$L$3000)+SUMIF(EXTRATO!$A$2:$A$3000,$A3083,EXTRATO!$M$2:$M$3000))</f>
        <v/>
      </c>
      <c r="G3083" s="81" t="str">
        <f>IF(A3083="","",IF(INDEX(EXTRATO!$G$2:$G$3000,MATCH($A3083,EXTRATO!$A$2:$A$3000,0))="","",INDEX(EXTRATO!$G$2:$G$3000,MATCH($A3083,EXTRATO!$A$2:$A$3000,0))))</f>
        <v/>
      </c>
      <c r="H3083" s="86" t="str">
        <f>IF(A3083="","",IF(INDEX(EXTRATO!$F$2:$F$3000,MATCH($A3083,EXTRATO!$A$2:$A$3000,0))="","",INDEX(EXTRATO!$F$2:$F$3000,MATCH($A3083,EXTRATO!$A$2:$A$3000,0))))</f>
        <v/>
      </c>
      <c r="I3083" s="88" t="str">
        <f>IF(A3083="","",IF(INDEX(EXTRATO!$H$2:$H$3000,MATCH($A3083,EXTRATO!$A$2:$A$3000,0))="","",INDEX(EXTRATO!$H$2:$H$3000,MATCH($A3083,EXTRATO!$A$2:$A$3000,0))))</f>
        <v/>
      </c>
      <c r="J3083" s="86" t="str">
        <f t="shared" si="83"/>
        <v/>
      </c>
      <c r="K3083" s="86" t="str">
        <f>IF(AND(A3083="",D3083="",E3083="",F3083=""),"",IF(D3083="","SEM CATEGORIA",IF(E3083="","SEM SUBCATEGORIA",IF(COUNTIFS(CADASTROS!$L$7:$L$93,D3083,CADASTROS!$D$7:$D$93,E3083)=0,"INCOMPATÍVEL","OK"))))</f>
        <v/>
      </c>
    </row>
    <row r="3084" spans="1:11" ht="30" hidden="1" customHeight="1" x14ac:dyDescent="0.25">
      <c r="A3084" s="86" t="str">
        <f>IF(COUNTIF(EXTRATO!$A$2:$A$3000,"BAN-02941")=0,"","BAN-02941")</f>
        <v/>
      </c>
      <c r="B3084" s="85" t="str">
        <f>IF(A3084="","",IF(INDEX(EXTRATO!$C$2:$C$3000,MATCH($A3084,EXTRATO!$A$2:$A$3000,0))="","",INDEX(EXTRATO!$C$2:$C$3000,MATCH($A3084,EXTRATO!$A$2:$A$3000,0))))</f>
        <v/>
      </c>
      <c r="C3084" s="86" t="str">
        <f t="shared" si="82"/>
        <v/>
      </c>
      <c r="D3084" s="81"/>
      <c r="E3084" s="79"/>
      <c r="F3084" s="80" t="str">
        <f>IF(A3084="","",SUMIF(EXTRATO!$A$2:$A$3000,$A3084,EXTRATO!$J$2:$J$3000)+SUMIF(EXTRATO!$A$2:$A$3000,$A3084,EXTRATO!$K$2:$K$3000)+SUMIF(EXTRATO!$A$2:$A$3000,$A3084,EXTRATO!$L$2:$L$3000)+SUMIF(EXTRATO!$A$2:$A$3000,$A3084,EXTRATO!$M$2:$M$3000))</f>
        <v/>
      </c>
      <c r="G3084" s="81" t="str">
        <f>IF(A3084="","",IF(INDEX(EXTRATO!$G$2:$G$3000,MATCH($A3084,EXTRATO!$A$2:$A$3000,0))="","",INDEX(EXTRATO!$G$2:$G$3000,MATCH($A3084,EXTRATO!$A$2:$A$3000,0))))</f>
        <v/>
      </c>
      <c r="H3084" s="86" t="str">
        <f>IF(A3084="","",IF(INDEX(EXTRATO!$F$2:$F$3000,MATCH($A3084,EXTRATO!$A$2:$A$3000,0))="","",INDEX(EXTRATO!$F$2:$F$3000,MATCH($A3084,EXTRATO!$A$2:$A$3000,0))))</f>
        <v/>
      </c>
      <c r="I3084" s="88" t="str">
        <f>IF(A3084="","",IF(INDEX(EXTRATO!$H$2:$H$3000,MATCH($A3084,EXTRATO!$A$2:$A$3000,0))="","",INDEX(EXTRATO!$H$2:$H$3000,MATCH($A3084,EXTRATO!$A$2:$A$3000,0))))</f>
        <v/>
      </c>
      <c r="J3084" s="86" t="str">
        <f t="shared" si="83"/>
        <v/>
      </c>
      <c r="K3084" s="86" t="str">
        <f>IF(AND(A3084="",D3084="",E3084="",F3084=""),"",IF(D3084="","SEM CATEGORIA",IF(E3084="","SEM SUBCATEGORIA",IF(COUNTIFS(CADASTROS!$L$7:$L$93,D3084,CADASTROS!$D$7:$D$93,E3084)=0,"INCOMPATÍVEL","OK"))))</f>
        <v/>
      </c>
    </row>
    <row r="3085" spans="1:11" ht="30" hidden="1" customHeight="1" x14ac:dyDescent="0.25">
      <c r="A3085" s="86" t="str">
        <f>IF(COUNTIF(EXTRATO!$A$2:$A$3000,"BAN-02942")=0,"","BAN-02942")</f>
        <v/>
      </c>
      <c r="B3085" s="85" t="str">
        <f>IF(A3085="","",IF(INDEX(EXTRATO!$C$2:$C$3000,MATCH($A3085,EXTRATO!$A$2:$A$3000,0))="","",INDEX(EXTRATO!$C$2:$C$3000,MATCH($A3085,EXTRATO!$A$2:$A$3000,0))))</f>
        <v/>
      </c>
      <c r="C3085" s="86" t="str">
        <f t="shared" si="82"/>
        <v/>
      </c>
      <c r="D3085" s="81"/>
      <c r="E3085" s="79"/>
      <c r="F3085" s="80" t="str">
        <f>IF(A3085="","",SUMIF(EXTRATO!$A$2:$A$3000,$A3085,EXTRATO!$J$2:$J$3000)+SUMIF(EXTRATO!$A$2:$A$3000,$A3085,EXTRATO!$K$2:$K$3000)+SUMIF(EXTRATO!$A$2:$A$3000,$A3085,EXTRATO!$L$2:$L$3000)+SUMIF(EXTRATO!$A$2:$A$3000,$A3085,EXTRATO!$M$2:$M$3000))</f>
        <v/>
      </c>
      <c r="G3085" s="81" t="str">
        <f>IF(A3085="","",IF(INDEX(EXTRATO!$G$2:$G$3000,MATCH($A3085,EXTRATO!$A$2:$A$3000,0))="","",INDEX(EXTRATO!$G$2:$G$3000,MATCH($A3085,EXTRATO!$A$2:$A$3000,0))))</f>
        <v/>
      </c>
      <c r="H3085" s="86" t="str">
        <f>IF(A3085="","",IF(INDEX(EXTRATO!$F$2:$F$3000,MATCH($A3085,EXTRATO!$A$2:$A$3000,0))="","",INDEX(EXTRATO!$F$2:$F$3000,MATCH($A3085,EXTRATO!$A$2:$A$3000,0))))</f>
        <v/>
      </c>
      <c r="I3085" s="88" t="str">
        <f>IF(A3085="","",IF(INDEX(EXTRATO!$H$2:$H$3000,MATCH($A3085,EXTRATO!$A$2:$A$3000,0))="","",INDEX(EXTRATO!$H$2:$H$3000,MATCH($A3085,EXTRATO!$A$2:$A$3000,0))))</f>
        <v/>
      </c>
      <c r="J3085" s="86" t="str">
        <f t="shared" si="83"/>
        <v/>
      </c>
      <c r="K3085" s="86" t="str">
        <f>IF(AND(A3085="",D3085="",E3085="",F3085=""),"",IF(D3085="","SEM CATEGORIA",IF(E3085="","SEM SUBCATEGORIA",IF(COUNTIFS(CADASTROS!$L$7:$L$93,D3085,CADASTROS!$D$7:$D$93,E3085)=0,"INCOMPATÍVEL","OK"))))</f>
        <v/>
      </c>
    </row>
    <row r="3086" spans="1:11" ht="30" hidden="1" customHeight="1" x14ac:dyDescent="0.25">
      <c r="A3086" s="86" t="str">
        <f>IF(COUNTIF(EXTRATO!$A$2:$A$3000,"BAN-02943")=0,"","BAN-02943")</f>
        <v/>
      </c>
      <c r="B3086" s="85" t="str">
        <f>IF(A3086="","",IF(INDEX(EXTRATO!$C$2:$C$3000,MATCH($A3086,EXTRATO!$A$2:$A$3000,0))="","",INDEX(EXTRATO!$C$2:$C$3000,MATCH($A3086,EXTRATO!$A$2:$A$3000,0))))</f>
        <v/>
      </c>
      <c r="C3086" s="86" t="str">
        <f t="shared" si="82"/>
        <v/>
      </c>
      <c r="D3086" s="81"/>
      <c r="E3086" s="79"/>
      <c r="F3086" s="80" t="str">
        <f>IF(A3086="","",SUMIF(EXTRATO!$A$2:$A$3000,$A3086,EXTRATO!$J$2:$J$3000)+SUMIF(EXTRATO!$A$2:$A$3000,$A3086,EXTRATO!$K$2:$K$3000)+SUMIF(EXTRATO!$A$2:$A$3000,$A3086,EXTRATO!$L$2:$L$3000)+SUMIF(EXTRATO!$A$2:$A$3000,$A3086,EXTRATO!$M$2:$M$3000))</f>
        <v/>
      </c>
      <c r="G3086" s="81" t="str">
        <f>IF(A3086="","",IF(INDEX(EXTRATO!$G$2:$G$3000,MATCH($A3086,EXTRATO!$A$2:$A$3000,0))="","",INDEX(EXTRATO!$G$2:$G$3000,MATCH($A3086,EXTRATO!$A$2:$A$3000,0))))</f>
        <v/>
      </c>
      <c r="H3086" s="86" t="str">
        <f>IF(A3086="","",IF(INDEX(EXTRATO!$F$2:$F$3000,MATCH($A3086,EXTRATO!$A$2:$A$3000,0))="","",INDEX(EXTRATO!$F$2:$F$3000,MATCH($A3086,EXTRATO!$A$2:$A$3000,0))))</f>
        <v/>
      </c>
      <c r="I3086" s="88" t="str">
        <f>IF(A3086="","",IF(INDEX(EXTRATO!$H$2:$H$3000,MATCH($A3086,EXTRATO!$A$2:$A$3000,0))="","",INDEX(EXTRATO!$H$2:$H$3000,MATCH($A3086,EXTRATO!$A$2:$A$3000,0))))</f>
        <v/>
      </c>
      <c r="J3086" s="86" t="str">
        <f t="shared" si="83"/>
        <v/>
      </c>
      <c r="K3086" s="86" t="str">
        <f>IF(AND(A3086="",D3086="",E3086="",F3086=""),"",IF(D3086="","SEM CATEGORIA",IF(E3086="","SEM SUBCATEGORIA",IF(COUNTIFS(CADASTROS!$L$7:$L$93,D3086,CADASTROS!$D$7:$D$93,E3086)=0,"INCOMPATÍVEL","OK"))))</f>
        <v/>
      </c>
    </row>
    <row r="3087" spans="1:11" ht="30" hidden="1" customHeight="1" x14ac:dyDescent="0.25">
      <c r="A3087" s="86" t="str">
        <f>IF(COUNTIF(EXTRATO!$A$2:$A$3000,"BAN-02944")=0,"","BAN-02944")</f>
        <v/>
      </c>
      <c r="B3087" s="85" t="str">
        <f>IF(A3087="","",IF(INDEX(EXTRATO!$C$2:$C$3000,MATCH($A3087,EXTRATO!$A$2:$A$3000,0))="","",INDEX(EXTRATO!$C$2:$C$3000,MATCH($A3087,EXTRATO!$A$2:$A$3000,0))))</f>
        <v/>
      </c>
      <c r="C3087" s="86" t="str">
        <f t="shared" si="82"/>
        <v/>
      </c>
      <c r="D3087" s="81"/>
      <c r="E3087" s="79"/>
      <c r="F3087" s="80" t="str">
        <f>IF(A3087="","",SUMIF(EXTRATO!$A$2:$A$3000,$A3087,EXTRATO!$J$2:$J$3000)+SUMIF(EXTRATO!$A$2:$A$3000,$A3087,EXTRATO!$K$2:$K$3000)+SUMIF(EXTRATO!$A$2:$A$3000,$A3087,EXTRATO!$L$2:$L$3000)+SUMIF(EXTRATO!$A$2:$A$3000,$A3087,EXTRATO!$M$2:$M$3000))</f>
        <v/>
      </c>
      <c r="G3087" s="81" t="str">
        <f>IF(A3087="","",IF(INDEX(EXTRATO!$G$2:$G$3000,MATCH($A3087,EXTRATO!$A$2:$A$3000,0))="","",INDEX(EXTRATO!$G$2:$G$3000,MATCH($A3087,EXTRATO!$A$2:$A$3000,0))))</f>
        <v/>
      </c>
      <c r="H3087" s="86" t="str">
        <f>IF(A3087="","",IF(INDEX(EXTRATO!$F$2:$F$3000,MATCH($A3087,EXTRATO!$A$2:$A$3000,0))="","",INDEX(EXTRATO!$F$2:$F$3000,MATCH($A3087,EXTRATO!$A$2:$A$3000,0))))</f>
        <v/>
      </c>
      <c r="I3087" s="88" t="str">
        <f>IF(A3087="","",IF(INDEX(EXTRATO!$H$2:$H$3000,MATCH($A3087,EXTRATO!$A$2:$A$3000,0))="","",INDEX(EXTRATO!$H$2:$H$3000,MATCH($A3087,EXTRATO!$A$2:$A$3000,0))))</f>
        <v/>
      </c>
      <c r="J3087" s="86" t="str">
        <f t="shared" si="83"/>
        <v/>
      </c>
      <c r="K3087" s="86" t="str">
        <f>IF(AND(A3087="",D3087="",E3087="",F3087=""),"",IF(D3087="","SEM CATEGORIA",IF(E3087="","SEM SUBCATEGORIA",IF(COUNTIFS(CADASTROS!$L$7:$L$93,D3087,CADASTROS!$D$7:$D$93,E3087)=0,"INCOMPATÍVEL","OK"))))</f>
        <v/>
      </c>
    </row>
    <row r="3088" spans="1:11" ht="30" hidden="1" customHeight="1" x14ac:dyDescent="0.25">
      <c r="A3088" s="86" t="str">
        <f>IF(COUNTIF(EXTRATO!$A$2:$A$3000,"BAN-02945")=0,"","BAN-02945")</f>
        <v/>
      </c>
      <c r="B3088" s="85" t="str">
        <f>IF(A3088="","",IF(INDEX(EXTRATO!$C$2:$C$3000,MATCH($A3088,EXTRATO!$A$2:$A$3000,0))="","",INDEX(EXTRATO!$C$2:$C$3000,MATCH($A3088,EXTRATO!$A$2:$A$3000,0))))</f>
        <v/>
      </c>
      <c r="C3088" s="86" t="str">
        <f t="shared" si="82"/>
        <v/>
      </c>
      <c r="D3088" s="81"/>
      <c r="E3088" s="79"/>
      <c r="F3088" s="80" t="str">
        <f>IF(A3088="","",SUMIF(EXTRATO!$A$2:$A$3000,$A3088,EXTRATO!$J$2:$J$3000)+SUMIF(EXTRATO!$A$2:$A$3000,$A3088,EXTRATO!$K$2:$K$3000)+SUMIF(EXTRATO!$A$2:$A$3000,$A3088,EXTRATO!$L$2:$L$3000)+SUMIF(EXTRATO!$A$2:$A$3000,$A3088,EXTRATO!$M$2:$M$3000))</f>
        <v/>
      </c>
      <c r="G3088" s="81" t="str">
        <f>IF(A3088="","",IF(INDEX(EXTRATO!$G$2:$G$3000,MATCH($A3088,EXTRATO!$A$2:$A$3000,0))="","",INDEX(EXTRATO!$G$2:$G$3000,MATCH($A3088,EXTRATO!$A$2:$A$3000,0))))</f>
        <v/>
      </c>
      <c r="H3088" s="86" t="str">
        <f>IF(A3088="","",IF(INDEX(EXTRATO!$F$2:$F$3000,MATCH($A3088,EXTRATO!$A$2:$A$3000,0))="","",INDEX(EXTRATO!$F$2:$F$3000,MATCH($A3088,EXTRATO!$A$2:$A$3000,0))))</f>
        <v/>
      </c>
      <c r="I3088" s="88" t="str">
        <f>IF(A3088="","",IF(INDEX(EXTRATO!$H$2:$H$3000,MATCH($A3088,EXTRATO!$A$2:$A$3000,0))="","",INDEX(EXTRATO!$H$2:$H$3000,MATCH($A3088,EXTRATO!$A$2:$A$3000,0))))</f>
        <v/>
      </c>
      <c r="J3088" s="86" t="str">
        <f t="shared" si="83"/>
        <v/>
      </c>
      <c r="K3088" s="86" t="str">
        <f>IF(AND(A3088="",D3088="",E3088="",F3088=""),"",IF(D3088="","SEM CATEGORIA",IF(E3088="","SEM SUBCATEGORIA",IF(COUNTIFS(CADASTROS!$L$7:$L$93,D3088,CADASTROS!$D$7:$D$93,E3088)=0,"INCOMPATÍVEL","OK"))))</f>
        <v/>
      </c>
    </row>
    <row r="3089" spans="1:11" ht="30" hidden="1" customHeight="1" x14ac:dyDescent="0.25">
      <c r="A3089" s="86" t="str">
        <f>IF(COUNTIF(EXTRATO!$A$2:$A$3000,"BAN-02946")=0,"","BAN-02946")</f>
        <v/>
      </c>
      <c r="B3089" s="85" t="str">
        <f>IF(A3089="","",IF(INDEX(EXTRATO!$C$2:$C$3000,MATCH($A3089,EXTRATO!$A$2:$A$3000,0))="","",INDEX(EXTRATO!$C$2:$C$3000,MATCH($A3089,EXTRATO!$A$2:$A$3000,0))))</f>
        <v/>
      </c>
      <c r="C3089" s="86" t="str">
        <f t="shared" si="82"/>
        <v/>
      </c>
      <c r="D3089" s="81"/>
      <c r="E3089" s="79"/>
      <c r="F3089" s="80" t="str">
        <f>IF(A3089="","",SUMIF(EXTRATO!$A$2:$A$3000,$A3089,EXTRATO!$J$2:$J$3000)+SUMIF(EXTRATO!$A$2:$A$3000,$A3089,EXTRATO!$K$2:$K$3000)+SUMIF(EXTRATO!$A$2:$A$3000,$A3089,EXTRATO!$L$2:$L$3000)+SUMIF(EXTRATO!$A$2:$A$3000,$A3089,EXTRATO!$M$2:$M$3000))</f>
        <v/>
      </c>
      <c r="G3089" s="81" t="str">
        <f>IF(A3089="","",IF(INDEX(EXTRATO!$G$2:$G$3000,MATCH($A3089,EXTRATO!$A$2:$A$3000,0))="","",INDEX(EXTRATO!$G$2:$G$3000,MATCH($A3089,EXTRATO!$A$2:$A$3000,0))))</f>
        <v/>
      </c>
      <c r="H3089" s="86" t="str">
        <f>IF(A3089="","",IF(INDEX(EXTRATO!$F$2:$F$3000,MATCH($A3089,EXTRATO!$A$2:$A$3000,0))="","",INDEX(EXTRATO!$F$2:$F$3000,MATCH($A3089,EXTRATO!$A$2:$A$3000,0))))</f>
        <v/>
      </c>
      <c r="I3089" s="88" t="str">
        <f>IF(A3089="","",IF(INDEX(EXTRATO!$H$2:$H$3000,MATCH($A3089,EXTRATO!$A$2:$A$3000,0))="","",INDEX(EXTRATO!$H$2:$H$3000,MATCH($A3089,EXTRATO!$A$2:$A$3000,0))))</f>
        <v/>
      </c>
      <c r="J3089" s="86" t="str">
        <f t="shared" si="83"/>
        <v/>
      </c>
      <c r="K3089" s="86" t="str">
        <f>IF(AND(A3089="",D3089="",E3089="",F3089=""),"",IF(D3089="","SEM CATEGORIA",IF(E3089="","SEM SUBCATEGORIA",IF(COUNTIFS(CADASTROS!$L$7:$L$93,D3089,CADASTROS!$D$7:$D$93,E3089)=0,"INCOMPATÍVEL","OK"))))</f>
        <v/>
      </c>
    </row>
    <row r="3090" spans="1:11" ht="30" hidden="1" customHeight="1" x14ac:dyDescent="0.25">
      <c r="A3090" s="86" t="str">
        <f>IF(COUNTIF(EXTRATO!$A$2:$A$3000,"BAN-02947")=0,"","BAN-02947")</f>
        <v/>
      </c>
      <c r="B3090" s="85" t="str">
        <f>IF(A3090="","",IF(INDEX(EXTRATO!$C$2:$C$3000,MATCH($A3090,EXTRATO!$A$2:$A$3000,0))="","",INDEX(EXTRATO!$C$2:$C$3000,MATCH($A3090,EXTRATO!$A$2:$A$3000,0))))</f>
        <v/>
      </c>
      <c r="C3090" s="86" t="str">
        <f t="shared" si="82"/>
        <v/>
      </c>
      <c r="D3090" s="81"/>
      <c r="E3090" s="79"/>
      <c r="F3090" s="80" t="str">
        <f>IF(A3090="","",SUMIF(EXTRATO!$A$2:$A$3000,$A3090,EXTRATO!$J$2:$J$3000)+SUMIF(EXTRATO!$A$2:$A$3000,$A3090,EXTRATO!$K$2:$K$3000)+SUMIF(EXTRATO!$A$2:$A$3000,$A3090,EXTRATO!$L$2:$L$3000)+SUMIF(EXTRATO!$A$2:$A$3000,$A3090,EXTRATO!$M$2:$M$3000))</f>
        <v/>
      </c>
      <c r="G3090" s="81" t="str">
        <f>IF(A3090="","",IF(INDEX(EXTRATO!$G$2:$G$3000,MATCH($A3090,EXTRATO!$A$2:$A$3000,0))="","",INDEX(EXTRATO!$G$2:$G$3000,MATCH($A3090,EXTRATO!$A$2:$A$3000,0))))</f>
        <v/>
      </c>
      <c r="H3090" s="86" t="str">
        <f>IF(A3090="","",IF(INDEX(EXTRATO!$F$2:$F$3000,MATCH($A3090,EXTRATO!$A$2:$A$3000,0))="","",INDEX(EXTRATO!$F$2:$F$3000,MATCH($A3090,EXTRATO!$A$2:$A$3000,0))))</f>
        <v/>
      </c>
      <c r="I3090" s="88" t="str">
        <f>IF(A3090="","",IF(INDEX(EXTRATO!$H$2:$H$3000,MATCH($A3090,EXTRATO!$A$2:$A$3000,0))="","",INDEX(EXTRATO!$H$2:$H$3000,MATCH($A3090,EXTRATO!$A$2:$A$3000,0))))</f>
        <v/>
      </c>
      <c r="J3090" s="86" t="str">
        <f t="shared" si="83"/>
        <v/>
      </c>
      <c r="K3090" s="86" t="str">
        <f>IF(AND(A3090="",D3090="",E3090="",F3090=""),"",IF(D3090="","SEM CATEGORIA",IF(E3090="","SEM SUBCATEGORIA",IF(COUNTIFS(CADASTROS!$L$7:$L$93,D3090,CADASTROS!$D$7:$D$93,E3090)=0,"INCOMPATÍVEL","OK"))))</f>
        <v/>
      </c>
    </row>
    <row r="3091" spans="1:11" ht="30" hidden="1" customHeight="1" x14ac:dyDescent="0.25">
      <c r="A3091" s="86" t="str">
        <f>IF(COUNTIF(EXTRATO!$A$2:$A$3000,"BAN-02948")=0,"","BAN-02948")</f>
        <v/>
      </c>
      <c r="B3091" s="85" t="str">
        <f>IF(A3091="","",IF(INDEX(EXTRATO!$C$2:$C$3000,MATCH($A3091,EXTRATO!$A$2:$A$3000,0))="","",INDEX(EXTRATO!$C$2:$C$3000,MATCH($A3091,EXTRATO!$A$2:$A$3000,0))))</f>
        <v/>
      </c>
      <c r="C3091" s="86" t="str">
        <f t="shared" si="82"/>
        <v/>
      </c>
      <c r="D3091" s="81"/>
      <c r="E3091" s="79"/>
      <c r="F3091" s="80" t="str">
        <f>IF(A3091="","",SUMIF(EXTRATO!$A$2:$A$3000,$A3091,EXTRATO!$J$2:$J$3000)+SUMIF(EXTRATO!$A$2:$A$3000,$A3091,EXTRATO!$K$2:$K$3000)+SUMIF(EXTRATO!$A$2:$A$3000,$A3091,EXTRATO!$L$2:$L$3000)+SUMIF(EXTRATO!$A$2:$A$3000,$A3091,EXTRATO!$M$2:$M$3000))</f>
        <v/>
      </c>
      <c r="G3091" s="81" t="str">
        <f>IF(A3091="","",IF(INDEX(EXTRATO!$G$2:$G$3000,MATCH($A3091,EXTRATO!$A$2:$A$3000,0))="","",INDEX(EXTRATO!$G$2:$G$3000,MATCH($A3091,EXTRATO!$A$2:$A$3000,0))))</f>
        <v/>
      </c>
      <c r="H3091" s="86" t="str">
        <f>IF(A3091="","",IF(INDEX(EXTRATO!$F$2:$F$3000,MATCH($A3091,EXTRATO!$A$2:$A$3000,0))="","",INDEX(EXTRATO!$F$2:$F$3000,MATCH($A3091,EXTRATO!$A$2:$A$3000,0))))</f>
        <v/>
      </c>
      <c r="I3091" s="88" t="str">
        <f>IF(A3091="","",IF(INDEX(EXTRATO!$H$2:$H$3000,MATCH($A3091,EXTRATO!$A$2:$A$3000,0))="","",INDEX(EXTRATO!$H$2:$H$3000,MATCH($A3091,EXTRATO!$A$2:$A$3000,0))))</f>
        <v/>
      </c>
      <c r="J3091" s="86" t="str">
        <f t="shared" si="83"/>
        <v/>
      </c>
      <c r="K3091" s="86" t="str">
        <f>IF(AND(A3091="",D3091="",E3091="",F3091=""),"",IF(D3091="","SEM CATEGORIA",IF(E3091="","SEM SUBCATEGORIA",IF(COUNTIFS(CADASTROS!$L$7:$L$93,D3091,CADASTROS!$D$7:$D$93,E3091)=0,"INCOMPATÍVEL","OK"))))</f>
        <v/>
      </c>
    </row>
    <row r="3092" spans="1:11" ht="30" hidden="1" customHeight="1" x14ac:dyDescent="0.25">
      <c r="A3092" s="86" t="str">
        <f>IF(COUNTIF(EXTRATO!$A$2:$A$3000,"BAN-02949")=0,"","BAN-02949")</f>
        <v/>
      </c>
      <c r="B3092" s="85" t="str">
        <f>IF(A3092="","",IF(INDEX(EXTRATO!$C$2:$C$3000,MATCH($A3092,EXTRATO!$A$2:$A$3000,0))="","",INDEX(EXTRATO!$C$2:$C$3000,MATCH($A3092,EXTRATO!$A$2:$A$3000,0))))</f>
        <v/>
      </c>
      <c r="C3092" s="86" t="str">
        <f t="shared" si="82"/>
        <v/>
      </c>
      <c r="D3092" s="81"/>
      <c r="E3092" s="79"/>
      <c r="F3092" s="80" t="str">
        <f>IF(A3092="","",SUMIF(EXTRATO!$A$2:$A$3000,$A3092,EXTRATO!$J$2:$J$3000)+SUMIF(EXTRATO!$A$2:$A$3000,$A3092,EXTRATO!$K$2:$K$3000)+SUMIF(EXTRATO!$A$2:$A$3000,$A3092,EXTRATO!$L$2:$L$3000)+SUMIF(EXTRATO!$A$2:$A$3000,$A3092,EXTRATO!$M$2:$M$3000))</f>
        <v/>
      </c>
      <c r="G3092" s="81" t="str">
        <f>IF(A3092="","",IF(INDEX(EXTRATO!$G$2:$G$3000,MATCH($A3092,EXTRATO!$A$2:$A$3000,0))="","",INDEX(EXTRATO!$G$2:$G$3000,MATCH($A3092,EXTRATO!$A$2:$A$3000,0))))</f>
        <v/>
      </c>
      <c r="H3092" s="86" t="str">
        <f>IF(A3092="","",IF(INDEX(EXTRATO!$F$2:$F$3000,MATCH($A3092,EXTRATO!$A$2:$A$3000,0))="","",INDEX(EXTRATO!$F$2:$F$3000,MATCH($A3092,EXTRATO!$A$2:$A$3000,0))))</f>
        <v/>
      </c>
      <c r="I3092" s="88" t="str">
        <f>IF(A3092="","",IF(INDEX(EXTRATO!$H$2:$H$3000,MATCH($A3092,EXTRATO!$A$2:$A$3000,0))="","",INDEX(EXTRATO!$H$2:$H$3000,MATCH($A3092,EXTRATO!$A$2:$A$3000,0))))</f>
        <v/>
      </c>
      <c r="J3092" s="86" t="str">
        <f t="shared" si="83"/>
        <v/>
      </c>
      <c r="K3092" s="86" t="str">
        <f>IF(AND(A3092="",D3092="",E3092="",F3092=""),"",IF(D3092="","SEM CATEGORIA",IF(E3092="","SEM SUBCATEGORIA",IF(COUNTIFS(CADASTROS!$L$7:$L$93,D3092,CADASTROS!$D$7:$D$93,E3092)=0,"INCOMPATÍVEL","OK"))))</f>
        <v/>
      </c>
    </row>
    <row r="3093" spans="1:11" ht="30" hidden="1" customHeight="1" x14ac:dyDescent="0.25">
      <c r="A3093" s="86" t="str">
        <f>IF(COUNTIF(EXTRATO!$A$2:$A$3000,"BAN-02950")=0,"","BAN-02950")</f>
        <v/>
      </c>
      <c r="B3093" s="85" t="str">
        <f>IF(A3093="","",IF(INDEX(EXTRATO!$C$2:$C$3000,MATCH($A3093,EXTRATO!$A$2:$A$3000,0))="","",INDEX(EXTRATO!$C$2:$C$3000,MATCH($A3093,EXTRATO!$A$2:$A$3000,0))))</f>
        <v/>
      </c>
      <c r="C3093" s="86" t="str">
        <f t="shared" ref="C3093:C3142" si="84">IF(B3093="","",MONTH(B3093))</f>
        <v/>
      </c>
      <c r="D3093" s="81"/>
      <c r="E3093" s="79"/>
      <c r="F3093" s="80" t="str">
        <f>IF(A3093="","",SUMIF(EXTRATO!$A$2:$A$3000,$A3093,EXTRATO!$J$2:$J$3000)+SUMIF(EXTRATO!$A$2:$A$3000,$A3093,EXTRATO!$K$2:$K$3000)+SUMIF(EXTRATO!$A$2:$A$3000,$A3093,EXTRATO!$L$2:$L$3000)+SUMIF(EXTRATO!$A$2:$A$3000,$A3093,EXTRATO!$M$2:$M$3000))</f>
        <v/>
      </c>
      <c r="G3093" s="81" t="str">
        <f>IF(A3093="","",IF(INDEX(EXTRATO!$G$2:$G$3000,MATCH($A3093,EXTRATO!$A$2:$A$3000,0))="","",INDEX(EXTRATO!$G$2:$G$3000,MATCH($A3093,EXTRATO!$A$2:$A$3000,0))))</f>
        <v/>
      </c>
      <c r="H3093" s="86" t="str">
        <f>IF(A3093="","",IF(INDEX(EXTRATO!$F$2:$F$3000,MATCH($A3093,EXTRATO!$A$2:$A$3000,0))="","",INDEX(EXTRATO!$F$2:$F$3000,MATCH($A3093,EXTRATO!$A$2:$A$3000,0))))</f>
        <v/>
      </c>
      <c r="I3093" s="88" t="str">
        <f>IF(A3093="","",IF(INDEX(EXTRATO!$H$2:$H$3000,MATCH($A3093,EXTRATO!$A$2:$A$3000,0))="","",INDEX(EXTRATO!$H$2:$H$3000,MATCH($A3093,EXTRATO!$A$2:$A$3000,0))))</f>
        <v/>
      </c>
      <c r="J3093" s="86" t="str">
        <f t="shared" si="83"/>
        <v/>
      </c>
      <c r="K3093" s="86" t="str">
        <f>IF(AND(A3093="",D3093="",E3093="",F3093=""),"",IF(D3093="","SEM CATEGORIA",IF(E3093="","SEM SUBCATEGORIA",IF(COUNTIFS(CADASTROS!$L$7:$L$93,D3093,CADASTROS!$D$7:$D$93,E3093)=0,"INCOMPATÍVEL","OK"))))</f>
        <v/>
      </c>
    </row>
    <row r="3094" spans="1:11" ht="30" hidden="1" customHeight="1" x14ac:dyDescent="0.25">
      <c r="A3094" s="86" t="str">
        <f>IF(COUNTIF(EXTRATO!$A$2:$A$3000,"BAN-02951")=0,"","BAN-02951")</f>
        <v/>
      </c>
      <c r="B3094" s="85" t="str">
        <f>IF(A3094="","",IF(INDEX(EXTRATO!$C$2:$C$3000,MATCH($A3094,EXTRATO!$A$2:$A$3000,0))="","",INDEX(EXTRATO!$C$2:$C$3000,MATCH($A3094,EXTRATO!$A$2:$A$3000,0))))</f>
        <v/>
      </c>
      <c r="C3094" s="86" t="str">
        <f t="shared" si="84"/>
        <v/>
      </c>
      <c r="D3094" s="81"/>
      <c r="E3094" s="79"/>
      <c r="F3094" s="80" t="str">
        <f>IF(A3094="","",SUMIF(EXTRATO!$A$2:$A$3000,$A3094,EXTRATO!$J$2:$J$3000)+SUMIF(EXTRATO!$A$2:$A$3000,$A3094,EXTRATO!$K$2:$K$3000)+SUMIF(EXTRATO!$A$2:$A$3000,$A3094,EXTRATO!$L$2:$L$3000)+SUMIF(EXTRATO!$A$2:$A$3000,$A3094,EXTRATO!$M$2:$M$3000))</f>
        <v/>
      </c>
      <c r="G3094" s="81" t="str">
        <f>IF(A3094="","",IF(INDEX(EXTRATO!$G$2:$G$3000,MATCH($A3094,EXTRATO!$A$2:$A$3000,0))="","",INDEX(EXTRATO!$G$2:$G$3000,MATCH($A3094,EXTRATO!$A$2:$A$3000,0))))</f>
        <v/>
      </c>
      <c r="H3094" s="86" t="str">
        <f>IF(A3094="","",IF(INDEX(EXTRATO!$F$2:$F$3000,MATCH($A3094,EXTRATO!$A$2:$A$3000,0))="","",INDEX(EXTRATO!$F$2:$F$3000,MATCH($A3094,EXTRATO!$A$2:$A$3000,0))))</f>
        <v/>
      </c>
      <c r="I3094" s="88" t="str">
        <f>IF(A3094="","",IF(INDEX(EXTRATO!$H$2:$H$3000,MATCH($A3094,EXTRATO!$A$2:$A$3000,0))="","",INDEX(EXTRATO!$H$2:$H$3000,MATCH($A3094,EXTRATO!$A$2:$A$3000,0))))</f>
        <v/>
      </c>
      <c r="J3094" s="86" t="str">
        <f t="shared" si="83"/>
        <v/>
      </c>
      <c r="K3094" s="86" t="str">
        <f>IF(AND(A3094="",D3094="",E3094="",F3094=""),"",IF(D3094="","SEM CATEGORIA",IF(E3094="","SEM SUBCATEGORIA",IF(COUNTIFS(CADASTROS!$L$7:$L$93,D3094,CADASTROS!$D$7:$D$93,E3094)=0,"INCOMPATÍVEL","OK"))))</f>
        <v/>
      </c>
    </row>
    <row r="3095" spans="1:11" ht="30" hidden="1" customHeight="1" x14ac:dyDescent="0.25">
      <c r="A3095" s="86" t="str">
        <f>IF(COUNTIF(EXTRATO!$A$2:$A$3000,"BAN-02952")=0,"","BAN-02952")</f>
        <v/>
      </c>
      <c r="B3095" s="85" t="str">
        <f>IF(A3095="","",IF(INDEX(EXTRATO!$C$2:$C$3000,MATCH($A3095,EXTRATO!$A$2:$A$3000,0))="","",INDEX(EXTRATO!$C$2:$C$3000,MATCH($A3095,EXTRATO!$A$2:$A$3000,0))))</f>
        <v/>
      </c>
      <c r="C3095" s="86" t="str">
        <f t="shared" si="84"/>
        <v/>
      </c>
      <c r="D3095" s="81"/>
      <c r="E3095" s="79"/>
      <c r="F3095" s="80" t="str">
        <f>IF(A3095="","",SUMIF(EXTRATO!$A$2:$A$3000,$A3095,EXTRATO!$J$2:$J$3000)+SUMIF(EXTRATO!$A$2:$A$3000,$A3095,EXTRATO!$K$2:$K$3000)+SUMIF(EXTRATO!$A$2:$A$3000,$A3095,EXTRATO!$L$2:$L$3000)+SUMIF(EXTRATO!$A$2:$A$3000,$A3095,EXTRATO!$M$2:$M$3000))</f>
        <v/>
      </c>
      <c r="G3095" s="81" t="str">
        <f>IF(A3095="","",IF(INDEX(EXTRATO!$G$2:$G$3000,MATCH($A3095,EXTRATO!$A$2:$A$3000,0))="","",INDEX(EXTRATO!$G$2:$G$3000,MATCH($A3095,EXTRATO!$A$2:$A$3000,0))))</f>
        <v/>
      </c>
      <c r="H3095" s="86" t="str">
        <f>IF(A3095="","",IF(INDEX(EXTRATO!$F$2:$F$3000,MATCH($A3095,EXTRATO!$A$2:$A$3000,0))="","",INDEX(EXTRATO!$F$2:$F$3000,MATCH($A3095,EXTRATO!$A$2:$A$3000,0))))</f>
        <v/>
      </c>
      <c r="I3095" s="88" t="str">
        <f>IF(A3095="","",IF(INDEX(EXTRATO!$H$2:$H$3000,MATCH($A3095,EXTRATO!$A$2:$A$3000,0))="","",INDEX(EXTRATO!$H$2:$H$3000,MATCH($A3095,EXTRATO!$A$2:$A$3000,0))))</f>
        <v/>
      </c>
      <c r="J3095" s="86" t="str">
        <f t="shared" si="83"/>
        <v/>
      </c>
      <c r="K3095" s="86" t="str">
        <f>IF(AND(A3095="",D3095="",E3095="",F3095=""),"",IF(D3095="","SEM CATEGORIA",IF(E3095="","SEM SUBCATEGORIA",IF(COUNTIFS(CADASTROS!$L$7:$L$93,D3095,CADASTROS!$D$7:$D$93,E3095)=0,"INCOMPATÍVEL","OK"))))</f>
        <v/>
      </c>
    </row>
    <row r="3096" spans="1:11" ht="30" hidden="1" customHeight="1" x14ac:dyDescent="0.25">
      <c r="A3096" s="86" t="str">
        <f>IF(COUNTIF(EXTRATO!$A$2:$A$3000,"BAN-02953")=0,"","BAN-02953")</f>
        <v/>
      </c>
      <c r="B3096" s="85" t="str">
        <f>IF(A3096="","",IF(INDEX(EXTRATO!$C$2:$C$3000,MATCH($A3096,EXTRATO!$A$2:$A$3000,0))="","",INDEX(EXTRATO!$C$2:$C$3000,MATCH($A3096,EXTRATO!$A$2:$A$3000,0))))</f>
        <v/>
      </c>
      <c r="C3096" s="86" t="str">
        <f t="shared" si="84"/>
        <v/>
      </c>
      <c r="D3096" s="81"/>
      <c r="E3096" s="79"/>
      <c r="F3096" s="80" t="str">
        <f>IF(A3096="","",SUMIF(EXTRATO!$A$2:$A$3000,$A3096,EXTRATO!$J$2:$J$3000)+SUMIF(EXTRATO!$A$2:$A$3000,$A3096,EXTRATO!$K$2:$K$3000)+SUMIF(EXTRATO!$A$2:$A$3000,$A3096,EXTRATO!$L$2:$L$3000)+SUMIF(EXTRATO!$A$2:$A$3000,$A3096,EXTRATO!$M$2:$M$3000))</f>
        <v/>
      </c>
      <c r="G3096" s="81" t="str">
        <f>IF(A3096="","",IF(INDEX(EXTRATO!$G$2:$G$3000,MATCH($A3096,EXTRATO!$A$2:$A$3000,0))="","",INDEX(EXTRATO!$G$2:$G$3000,MATCH($A3096,EXTRATO!$A$2:$A$3000,0))))</f>
        <v/>
      </c>
      <c r="H3096" s="86" t="str">
        <f>IF(A3096="","",IF(INDEX(EXTRATO!$F$2:$F$3000,MATCH($A3096,EXTRATO!$A$2:$A$3000,0))="","",INDEX(EXTRATO!$F$2:$F$3000,MATCH($A3096,EXTRATO!$A$2:$A$3000,0))))</f>
        <v/>
      </c>
      <c r="I3096" s="88" t="str">
        <f>IF(A3096="","",IF(INDEX(EXTRATO!$H$2:$H$3000,MATCH($A3096,EXTRATO!$A$2:$A$3000,0))="","",INDEX(EXTRATO!$H$2:$H$3000,MATCH($A3096,EXTRATO!$A$2:$A$3000,0))))</f>
        <v/>
      </c>
      <c r="J3096" s="86" t="str">
        <f t="shared" si="83"/>
        <v/>
      </c>
      <c r="K3096" s="86" t="str">
        <f>IF(AND(A3096="",D3096="",E3096="",F3096=""),"",IF(D3096="","SEM CATEGORIA",IF(E3096="","SEM SUBCATEGORIA",IF(COUNTIFS(CADASTROS!$L$7:$L$93,D3096,CADASTROS!$D$7:$D$93,E3096)=0,"INCOMPATÍVEL","OK"))))</f>
        <v/>
      </c>
    </row>
    <row r="3097" spans="1:11" ht="30" hidden="1" customHeight="1" x14ac:dyDescent="0.25">
      <c r="A3097" s="86" t="str">
        <f>IF(COUNTIF(EXTRATO!$A$2:$A$3000,"BAN-02954")=0,"","BAN-02954")</f>
        <v/>
      </c>
      <c r="B3097" s="85" t="str">
        <f>IF(A3097="","",IF(INDEX(EXTRATO!$C$2:$C$3000,MATCH($A3097,EXTRATO!$A$2:$A$3000,0))="","",INDEX(EXTRATO!$C$2:$C$3000,MATCH($A3097,EXTRATO!$A$2:$A$3000,0))))</f>
        <v/>
      </c>
      <c r="C3097" s="86" t="str">
        <f t="shared" si="84"/>
        <v/>
      </c>
      <c r="D3097" s="81"/>
      <c r="E3097" s="79"/>
      <c r="F3097" s="80" t="str">
        <f>IF(A3097="","",SUMIF(EXTRATO!$A$2:$A$3000,$A3097,EXTRATO!$J$2:$J$3000)+SUMIF(EXTRATO!$A$2:$A$3000,$A3097,EXTRATO!$K$2:$K$3000)+SUMIF(EXTRATO!$A$2:$A$3000,$A3097,EXTRATO!$L$2:$L$3000)+SUMIF(EXTRATO!$A$2:$A$3000,$A3097,EXTRATO!$M$2:$M$3000))</f>
        <v/>
      </c>
      <c r="G3097" s="81" t="str">
        <f>IF(A3097="","",IF(INDEX(EXTRATO!$G$2:$G$3000,MATCH($A3097,EXTRATO!$A$2:$A$3000,0))="","",INDEX(EXTRATO!$G$2:$G$3000,MATCH($A3097,EXTRATO!$A$2:$A$3000,0))))</f>
        <v/>
      </c>
      <c r="H3097" s="86" t="str">
        <f>IF(A3097="","",IF(INDEX(EXTRATO!$F$2:$F$3000,MATCH($A3097,EXTRATO!$A$2:$A$3000,0))="","",INDEX(EXTRATO!$F$2:$F$3000,MATCH($A3097,EXTRATO!$A$2:$A$3000,0))))</f>
        <v/>
      </c>
      <c r="I3097" s="88" t="str">
        <f>IF(A3097="","",IF(INDEX(EXTRATO!$H$2:$H$3000,MATCH($A3097,EXTRATO!$A$2:$A$3000,0))="","",INDEX(EXTRATO!$H$2:$H$3000,MATCH($A3097,EXTRATO!$A$2:$A$3000,0))))</f>
        <v/>
      </c>
      <c r="J3097" s="86" t="str">
        <f t="shared" si="83"/>
        <v/>
      </c>
      <c r="K3097" s="86" t="str">
        <f>IF(AND(A3097="",D3097="",E3097="",F3097=""),"",IF(D3097="","SEM CATEGORIA",IF(E3097="","SEM SUBCATEGORIA",IF(COUNTIFS(CADASTROS!$L$7:$L$93,D3097,CADASTROS!$D$7:$D$93,E3097)=0,"INCOMPATÍVEL","OK"))))</f>
        <v/>
      </c>
    </row>
    <row r="3098" spans="1:11" ht="30" hidden="1" customHeight="1" x14ac:dyDescent="0.25">
      <c r="A3098" s="86" t="str">
        <f>IF(COUNTIF(EXTRATO!$A$2:$A$3000,"BAN-02955")=0,"","BAN-02955")</f>
        <v/>
      </c>
      <c r="B3098" s="85" t="str">
        <f>IF(A3098="","",IF(INDEX(EXTRATO!$C$2:$C$3000,MATCH($A3098,EXTRATO!$A$2:$A$3000,0))="","",INDEX(EXTRATO!$C$2:$C$3000,MATCH($A3098,EXTRATO!$A$2:$A$3000,0))))</f>
        <v/>
      </c>
      <c r="C3098" s="86" t="str">
        <f t="shared" si="84"/>
        <v/>
      </c>
      <c r="D3098" s="81"/>
      <c r="E3098" s="79"/>
      <c r="F3098" s="80" t="str">
        <f>IF(A3098="","",SUMIF(EXTRATO!$A$2:$A$3000,$A3098,EXTRATO!$J$2:$J$3000)+SUMIF(EXTRATO!$A$2:$A$3000,$A3098,EXTRATO!$K$2:$K$3000)+SUMIF(EXTRATO!$A$2:$A$3000,$A3098,EXTRATO!$L$2:$L$3000)+SUMIF(EXTRATO!$A$2:$A$3000,$A3098,EXTRATO!$M$2:$M$3000))</f>
        <v/>
      </c>
      <c r="G3098" s="81" t="str">
        <f>IF(A3098="","",IF(INDEX(EXTRATO!$G$2:$G$3000,MATCH($A3098,EXTRATO!$A$2:$A$3000,0))="","",INDEX(EXTRATO!$G$2:$G$3000,MATCH($A3098,EXTRATO!$A$2:$A$3000,0))))</f>
        <v/>
      </c>
      <c r="H3098" s="86" t="str">
        <f>IF(A3098="","",IF(INDEX(EXTRATO!$F$2:$F$3000,MATCH($A3098,EXTRATO!$A$2:$A$3000,0))="","",INDEX(EXTRATO!$F$2:$F$3000,MATCH($A3098,EXTRATO!$A$2:$A$3000,0))))</f>
        <v/>
      </c>
      <c r="I3098" s="88" t="str">
        <f>IF(A3098="","",IF(INDEX(EXTRATO!$H$2:$H$3000,MATCH($A3098,EXTRATO!$A$2:$A$3000,0))="","",INDEX(EXTRATO!$H$2:$H$3000,MATCH($A3098,EXTRATO!$A$2:$A$3000,0))))</f>
        <v/>
      </c>
      <c r="J3098" s="86" t="str">
        <f t="shared" si="83"/>
        <v/>
      </c>
      <c r="K3098" s="86" t="str">
        <f>IF(AND(A3098="",D3098="",E3098="",F3098=""),"",IF(D3098="","SEM CATEGORIA",IF(E3098="","SEM SUBCATEGORIA",IF(COUNTIFS(CADASTROS!$L$7:$L$93,D3098,CADASTROS!$D$7:$D$93,E3098)=0,"INCOMPATÍVEL","OK"))))</f>
        <v/>
      </c>
    </row>
    <row r="3099" spans="1:11" ht="30" hidden="1" customHeight="1" x14ac:dyDescent="0.25">
      <c r="A3099" s="86" t="str">
        <f>IF(COUNTIF(EXTRATO!$A$2:$A$3000,"BAN-02956")=0,"","BAN-02956")</f>
        <v/>
      </c>
      <c r="B3099" s="85" t="str">
        <f>IF(A3099="","",IF(INDEX(EXTRATO!$C$2:$C$3000,MATCH($A3099,EXTRATO!$A$2:$A$3000,0))="","",INDEX(EXTRATO!$C$2:$C$3000,MATCH($A3099,EXTRATO!$A$2:$A$3000,0))))</f>
        <v/>
      </c>
      <c r="C3099" s="86" t="str">
        <f t="shared" si="84"/>
        <v/>
      </c>
      <c r="D3099" s="81"/>
      <c r="E3099" s="79"/>
      <c r="F3099" s="80" t="str">
        <f>IF(A3099="","",SUMIF(EXTRATO!$A$2:$A$3000,$A3099,EXTRATO!$J$2:$J$3000)+SUMIF(EXTRATO!$A$2:$A$3000,$A3099,EXTRATO!$K$2:$K$3000)+SUMIF(EXTRATO!$A$2:$A$3000,$A3099,EXTRATO!$L$2:$L$3000)+SUMIF(EXTRATO!$A$2:$A$3000,$A3099,EXTRATO!$M$2:$M$3000))</f>
        <v/>
      </c>
      <c r="G3099" s="81" t="str">
        <f>IF(A3099="","",IF(INDEX(EXTRATO!$G$2:$G$3000,MATCH($A3099,EXTRATO!$A$2:$A$3000,0))="","",INDEX(EXTRATO!$G$2:$G$3000,MATCH($A3099,EXTRATO!$A$2:$A$3000,0))))</f>
        <v/>
      </c>
      <c r="H3099" s="86" t="str">
        <f>IF(A3099="","",IF(INDEX(EXTRATO!$F$2:$F$3000,MATCH($A3099,EXTRATO!$A$2:$A$3000,0))="","",INDEX(EXTRATO!$F$2:$F$3000,MATCH($A3099,EXTRATO!$A$2:$A$3000,0))))</f>
        <v/>
      </c>
      <c r="I3099" s="88" t="str">
        <f>IF(A3099="","",IF(INDEX(EXTRATO!$H$2:$H$3000,MATCH($A3099,EXTRATO!$A$2:$A$3000,0))="","",INDEX(EXTRATO!$H$2:$H$3000,MATCH($A3099,EXTRATO!$A$2:$A$3000,0))))</f>
        <v/>
      </c>
      <c r="J3099" s="86" t="str">
        <f t="shared" si="83"/>
        <v/>
      </c>
      <c r="K3099" s="86" t="str">
        <f>IF(AND(A3099="",D3099="",E3099="",F3099=""),"",IF(D3099="","SEM CATEGORIA",IF(E3099="","SEM SUBCATEGORIA",IF(COUNTIFS(CADASTROS!$L$7:$L$93,D3099,CADASTROS!$D$7:$D$93,E3099)=0,"INCOMPATÍVEL","OK"))))</f>
        <v/>
      </c>
    </row>
    <row r="3100" spans="1:11" ht="30" hidden="1" customHeight="1" x14ac:dyDescent="0.25">
      <c r="A3100" s="86" t="str">
        <f>IF(COUNTIF(EXTRATO!$A$2:$A$3000,"BAN-02957")=0,"","BAN-02957")</f>
        <v/>
      </c>
      <c r="B3100" s="85" t="str">
        <f>IF(A3100="","",IF(INDEX(EXTRATO!$C$2:$C$3000,MATCH($A3100,EXTRATO!$A$2:$A$3000,0))="","",INDEX(EXTRATO!$C$2:$C$3000,MATCH($A3100,EXTRATO!$A$2:$A$3000,0))))</f>
        <v/>
      </c>
      <c r="C3100" s="86" t="str">
        <f t="shared" si="84"/>
        <v/>
      </c>
      <c r="D3100" s="81"/>
      <c r="E3100" s="79"/>
      <c r="F3100" s="80" t="str">
        <f>IF(A3100="","",SUMIF(EXTRATO!$A$2:$A$3000,$A3100,EXTRATO!$J$2:$J$3000)+SUMIF(EXTRATO!$A$2:$A$3000,$A3100,EXTRATO!$K$2:$K$3000)+SUMIF(EXTRATO!$A$2:$A$3000,$A3100,EXTRATO!$L$2:$L$3000)+SUMIF(EXTRATO!$A$2:$A$3000,$A3100,EXTRATO!$M$2:$M$3000))</f>
        <v/>
      </c>
      <c r="G3100" s="81" t="str">
        <f>IF(A3100="","",IF(INDEX(EXTRATO!$G$2:$G$3000,MATCH($A3100,EXTRATO!$A$2:$A$3000,0))="","",INDEX(EXTRATO!$G$2:$G$3000,MATCH($A3100,EXTRATO!$A$2:$A$3000,0))))</f>
        <v/>
      </c>
      <c r="H3100" s="86" t="str">
        <f>IF(A3100="","",IF(INDEX(EXTRATO!$F$2:$F$3000,MATCH($A3100,EXTRATO!$A$2:$A$3000,0))="","",INDEX(EXTRATO!$F$2:$F$3000,MATCH($A3100,EXTRATO!$A$2:$A$3000,0))))</f>
        <v/>
      </c>
      <c r="I3100" s="88" t="str">
        <f>IF(A3100="","",IF(INDEX(EXTRATO!$H$2:$H$3000,MATCH($A3100,EXTRATO!$A$2:$A$3000,0))="","",INDEX(EXTRATO!$H$2:$H$3000,MATCH($A3100,EXTRATO!$A$2:$A$3000,0))))</f>
        <v/>
      </c>
      <c r="J3100" s="86" t="str">
        <f t="shared" si="83"/>
        <v/>
      </c>
      <c r="K3100" s="86" t="str">
        <f>IF(AND(A3100="",D3100="",E3100="",F3100=""),"",IF(D3100="","SEM CATEGORIA",IF(E3100="","SEM SUBCATEGORIA",IF(COUNTIFS(CADASTROS!$L$7:$L$93,D3100,CADASTROS!$D$7:$D$93,E3100)=0,"INCOMPATÍVEL","OK"))))</f>
        <v/>
      </c>
    </row>
    <row r="3101" spans="1:11" ht="30" hidden="1" customHeight="1" x14ac:dyDescent="0.25">
      <c r="A3101" s="86" t="str">
        <f>IF(COUNTIF(EXTRATO!$A$2:$A$3000,"BAN-02958")=0,"","BAN-02958")</f>
        <v/>
      </c>
      <c r="B3101" s="85" t="str">
        <f>IF(A3101="","",IF(INDEX(EXTRATO!$C$2:$C$3000,MATCH($A3101,EXTRATO!$A$2:$A$3000,0))="","",INDEX(EXTRATO!$C$2:$C$3000,MATCH($A3101,EXTRATO!$A$2:$A$3000,0))))</f>
        <v/>
      </c>
      <c r="C3101" s="86" t="str">
        <f t="shared" si="84"/>
        <v/>
      </c>
      <c r="D3101" s="81"/>
      <c r="E3101" s="79"/>
      <c r="F3101" s="80" t="str">
        <f>IF(A3101="","",SUMIF(EXTRATO!$A$2:$A$3000,$A3101,EXTRATO!$J$2:$J$3000)+SUMIF(EXTRATO!$A$2:$A$3000,$A3101,EXTRATO!$K$2:$K$3000)+SUMIF(EXTRATO!$A$2:$A$3000,$A3101,EXTRATO!$L$2:$L$3000)+SUMIF(EXTRATO!$A$2:$A$3000,$A3101,EXTRATO!$M$2:$M$3000))</f>
        <v/>
      </c>
      <c r="G3101" s="81" t="str">
        <f>IF(A3101="","",IF(INDEX(EXTRATO!$G$2:$G$3000,MATCH($A3101,EXTRATO!$A$2:$A$3000,0))="","",INDEX(EXTRATO!$G$2:$G$3000,MATCH($A3101,EXTRATO!$A$2:$A$3000,0))))</f>
        <v/>
      </c>
      <c r="H3101" s="86" t="str">
        <f>IF(A3101="","",IF(INDEX(EXTRATO!$F$2:$F$3000,MATCH($A3101,EXTRATO!$A$2:$A$3000,0))="","",INDEX(EXTRATO!$F$2:$F$3000,MATCH($A3101,EXTRATO!$A$2:$A$3000,0))))</f>
        <v/>
      </c>
      <c r="I3101" s="88" t="str">
        <f>IF(A3101="","",IF(INDEX(EXTRATO!$H$2:$H$3000,MATCH($A3101,EXTRATO!$A$2:$A$3000,0))="","",INDEX(EXTRATO!$H$2:$H$3000,MATCH($A3101,EXTRATO!$A$2:$A$3000,0))))</f>
        <v/>
      </c>
      <c r="J3101" s="86" t="str">
        <f t="shared" si="83"/>
        <v/>
      </c>
      <c r="K3101" s="86" t="str">
        <f>IF(AND(A3101="",D3101="",E3101="",F3101=""),"",IF(D3101="","SEM CATEGORIA",IF(E3101="","SEM SUBCATEGORIA",IF(COUNTIFS(CADASTROS!$L$7:$L$93,D3101,CADASTROS!$D$7:$D$93,E3101)=0,"INCOMPATÍVEL","OK"))))</f>
        <v/>
      </c>
    </row>
    <row r="3102" spans="1:11" ht="30" hidden="1" customHeight="1" x14ac:dyDescent="0.25">
      <c r="A3102" s="86" t="str">
        <f>IF(COUNTIF(EXTRATO!$A$2:$A$3000,"BAN-02959")=0,"","BAN-02959")</f>
        <v/>
      </c>
      <c r="B3102" s="85" t="str">
        <f>IF(A3102="","",IF(INDEX(EXTRATO!$C$2:$C$3000,MATCH($A3102,EXTRATO!$A$2:$A$3000,0))="","",INDEX(EXTRATO!$C$2:$C$3000,MATCH($A3102,EXTRATO!$A$2:$A$3000,0))))</f>
        <v/>
      </c>
      <c r="C3102" s="86" t="str">
        <f t="shared" si="84"/>
        <v/>
      </c>
      <c r="D3102" s="81"/>
      <c r="E3102" s="79"/>
      <c r="F3102" s="80" t="str">
        <f>IF(A3102="","",SUMIF(EXTRATO!$A$2:$A$3000,$A3102,EXTRATO!$J$2:$J$3000)+SUMIF(EXTRATO!$A$2:$A$3000,$A3102,EXTRATO!$K$2:$K$3000)+SUMIF(EXTRATO!$A$2:$A$3000,$A3102,EXTRATO!$L$2:$L$3000)+SUMIF(EXTRATO!$A$2:$A$3000,$A3102,EXTRATO!$M$2:$M$3000))</f>
        <v/>
      </c>
      <c r="G3102" s="81" t="str">
        <f>IF(A3102="","",IF(INDEX(EXTRATO!$G$2:$G$3000,MATCH($A3102,EXTRATO!$A$2:$A$3000,0))="","",INDEX(EXTRATO!$G$2:$G$3000,MATCH($A3102,EXTRATO!$A$2:$A$3000,0))))</f>
        <v/>
      </c>
      <c r="H3102" s="86" t="str">
        <f>IF(A3102="","",IF(INDEX(EXTRATO!$F$2:$F$3000,MATCH($A3102,EXTRATO!$A$2:$A$3000,0))="","",INDEX(EXTRATO!$F$2:$F$3000,MATCH($A3102,EXTRATO!$A$2:$A$3000,0))))</f>
        <v/>
      </c>
      <c r="I3102" s="88" t="str">
        <f>IF(A3102="","",IF(INDEX(EXTRATO!$H$2:$H$3000,MATCH($A3102,EXTRATO!$A$2:$A$3000,0))="","",INDEX(EXTRATO!$H$2:$H$3000,MATCH($A3102,EXTRATO!$A$2:$A$3000,0))))</f>
        <v/>
      </c>
      <c r="J3102" s="86" t="str">
        <f t="shared" si="83"/>
        <v/>
      </c>
      <c r="K3102" s="86" t="str">
        <f>IF(AND(A3102="",D3102="",E3102="",F3102=""),"",IF(D3102="","SEM CATEGORIA",IF(E3102="","SEM SUBCATEGORIA",IF(COUNTIFS(CADASTROS!$L$7:$L$93,D3102,CADASTROS!$D$7:$D$93,E3102)=0,"INCOMPATÍVEL","OK"))))</f>
        <v/>
      </c>
    </row>
    <row r="3103" spans="1:11" ht="30" hidden="1" customHeight="1" x14ac:dyDescent="0.25">
      <c r="A3103" s="86" t="str">
        <f>IF(COUNTIF(EXTRATO!$A$2:$A$3000,"BAN-02960")=0,"","BAN-02960")</f>
        <v/>
      </c>
      <c r="B3103" s="85" t="str">
        <f>IF(A3103="","",IF(INDEX(EXTRATO!$C$2:$C$3000,MATCH($A3103,EXTRATO!$A$2:$A$3000,0))="","",INDEX(EXTRATO!$C$2:$C$3000,MATCH($A3103,EXTRATO!$A$2:$A$3000,0))))</f>
        <v/>
      </c>
      <c r="C3103" s="86" t="str">
        <f t="shared" si="84"/>
        <v/>
      </c>
      <c r="D3103" s="81"/>
      <c r="E3103" s="79"/>
      <c r="F3103" s="80" t="str">
        <f>IF(A3103="","",SUMIF(EXTRATO!$A$2:$A$3000,$A3103,EXTRATO!$J$2:$J$3000)+SUMIF(EXTRATO!$A$2:$A$3000,$A3103,EXTRATO!$K$2:$K$3000)+SUMIF(EXTRATO!$A$2:$A$3000,$A3103,EXTRATO!$L$2:$L$3000)+SUMIF(EXTRATO!$A$2:$A$3000,$A3103,EXTRATO!$M$2:$M$3000))</f>
        <v/>
      </c>
      <c r="G3103" s="81" t="str">
        <f>IF(A3103="","",IF(INDEX(EXTRATO!$G$2:$G$3000,MATCH($A3103,EXTRATO!$A$2:$A$3000,0))="","",INDEX(EXTRATO!$G$2:$G$3000,MATCH($A3103,EXTRATO!$A$2:$A$3000,0))))</f>
        <v/>
      </c>
      <c r="H3103" s="86" t="str">
        <f>IF(A3103="","",IF(INDEX(EXTRATO!$F$2:$F$3000,MATCH($A3103,EXTRATO!$A$2:$A$3000,0))="","",INDEX(EXTRATO!$F$2:$F$3000,MATCH($A3103,EXTRATO!$A$2:$A$3000,0))))</f>
        <v/>
      </c>
      <c r="I3103" s="88" t="str">
        <f>IF(A3103="","",IF(INDEX(EXTRATO!$H$2:$H$3000,MATCH($A3103,EXTRATO!$A$2:$A$3000,0))="","",INDEX(EXTRATO!$H$2:$H$3000,MATCH($A3103,EXTRATO!$A$2:$A$3000,0))))</f>
        <v/>
      </c>
      <c r="J3103" s="86" t="str">
        <f t="shared" si="83"/>
        <v/>
      </c>
      <c r="K3103" s="86" t="str">
        <f>IF(AND(A3103="",D3103="",E3103="",F3103=""),"",IF(D3103="","SEM CATEGORIA",IF(E3103="","SEM SUBCATEGORIA",IF(COUNTIFS(CADASTROS!$L$7:$L$93,D3103,CADASTROS!$D$7:$D$93,E3103)=0,"INCOMPATÍVEL","OK"))))</f>
        <v/>
      </c>
    </row>
    <row r="3104" spans="1:11" ht="30" hidden="1" customHeight="1" x14ac:dyDescent="0.25">
      <c r="A3104" s="86" t="str">
        <f>IF(COUNTIF(EXTRATO!$A$2:$A$3000,"BAN-02961")=0,"","BAN-02961")</f>
        <v/>
      </c>
      <c r="B3104" s="85" t="str">
        <f>IF(A3104="","",IF(INDEX(EXTRATO!$C$2:$C$3000,MATCH($A3104,EXTRATO!$A$2:$A$3000,0))="","",INDEX(EXTRATO!$C$2:$C$3000,MATCH($A3104,EXTRATO!$A$2:$A$3000,0))))</f>
        <v/>
      </c>
      <c r="C3104" s="86" t="str">
        <f t="shared" si="84"/>
        <v/>
      </c>
      <c r="D3104" s="81"/>
      <c r="E3104" s="79"/>
      <c r="F3104" s="80" t="str">
        <f>IF(A3104="","",SUMIF(EXTRATO!$A$2:$A$3000,$A3104,EXTRATO!$J$2:$J$3000)+SUMIF(EXTRATO!$A$2:$A$3000,$A3104,EXTRATO!$K$2:$K$3000)+SUMIF(EXTRATO!$A$2:$A$3000,$A3104,EXTRATO!$L$2:$L$3000)+SUMIF(EXTRATO!$A$2:$A$3000,$A3104,EXTRATO!$M$2:$M$3000))</f>
        <v/>
      </c>
      <c r="G3104" s="81" t="str">
        <f>IF(A3104="","",IF(INDEX(EXTRATO!$G$2:$G$3000,MATCH($A3104,EXTRATO!$A$2:$A$3000,0))="","",INDEX(EXTRATO!$G$2:$G$3000,MATCH($A3104,EXTRATO!$A$2:$A$3000,0))))</f>
        <v/>
      </c>
      <c r="H3104" s="86" t="str">
        <f>IF(A3104="","",IF(INDEX(EXTRATO!$F$2:$F$3000,MATCH($A3104,EXTRATO!$A$2:$A$3000,0))="","",INDEX(EXTRATO!$F$2:$F$3000,MATCH($A3104,EXTRATO!$A$2:$A$3000,0))))</f>
        <v/>
      </c>
      <c r="I3104" s="88" t="str">
        <f>IF(A3104="","",IF(INDEX(EXTRATO!$H$2:$H$3000,MATCH($A3104,EXTRATO!$A$2:$A$3000,0))="","",INDEX(EXTRATO!$H$2:$H$3000,MATCH($A3104,EXTRATO!$A$2:$A$3000,0))))</f>
        <v/>
      </c>
      <c r="J3104" s="86" t="str">
        <f t="shared" si="83"/>
        <v/>
      </c>
      <c r="K3104" s="86" t="str">
        <f>IF(AND(A3104="",D3104="",E3104="",F3104=""),"",IF(D3104="","SEM CATEGORIA",IF(E3104="","SEM SUBCATEGORIA",IF(COUNTIFS(CADASTROS!$L$7:$L$93,D3104,CADASTROS!$D$7:$D$93,E3104)=0,"INCOMPATÍVEL","OK"))))</f>
        <v/>
      </c>
    </row>
    <row r="3105" spans="1:11" ht="30" hidden="1" customHeight="1" x14ac:dyDescent="0.25">
      <c r="A3105" s="86" t="str">
        <f>IF(COUNTIF(EXTRATO!$A$2:$A$3000,"BAN-02962")=0,"","BAN-02962")</f>
        <v/>
      </c>
      <c r="B3105" s="85" t="str">
        <f>IF(A3105="","",IF(INDEX(EXTRATO!$C$2:$C$3000,MATCH($A3105,EXTRATO!$A$2:$A$3000,0))="","",INDEX(EXTRATO!$C$2:$C$3000,MATCH($A3105,EXTRATO!$A$2:$A$3000,0))))</f>
        <v/>
      </c>
      <c r="C3105" s="86" t="str">
        <f t="shared" si="84"/>
        <v/>
      </c>
      <c r="D3105" s="81"/>
      <c r="E3105" s="79"/>
      <c r="F3105" s="80" t="str">
        <f>IF(A3105="","",SUMIF(EXTRATO!$A$2:$A$3000,$A3105,EXTRATO!$J$2:$J$3000)+SUMIF(EXTRATO!$A$2:$A$3000,$A3105,EXTRATO!$K$2:$K$3000)+SUMIF(EXTRATO!$A$2:$A$3000,$A3105,EXTRATO!$L$2:$L$3000)+SUMIF(EXTRATO!$A$2:$A$3000,$A3105,EXTRATO!$M$2:$M$3000))</f>
        <v/>
      </c>
      <c r="G3105" s="81" t="str">
        <f>IF(A3105="","",IF(INDEX(EXTRATO!$G$2:$G$3000,MATCH($A3105,EXTRATO!$A$2:$A$3000,0))="","",INDEX(EXTRATO!$G$2:$G$3000,MATCH($A3105,EXTRATO!$A$2:$A$3000,0))))</f>
        <v/>
      </c>
      <c r="H3105" s="86" t="str">
        <f>IF(A3105="","",IF(INDEX(EXTRATO!$F$2:$F$3000,MATCH($A3105,EXTRATO!$A$2:$A$3000,0))="","",INDEX(EXTRATO!$F$2:$F$3000,MATCH($A3105,EXTRATO!$A$2:$A$3000,0))))</f>
        <v/>
      </c>
      <c r="I3105" s="88" t="str">
        <f>IF(A3105="","",IF(INDEX(EXTRATO!$H$2:$H$3000,MATCH($A3105,EXTRATO!$A$2:$A$3000,0))="","",INDEX(EXTRATO!$H$2:$H$3000,MATCH($A3105,EXTRATO!$A$2:$A$3000,0))))</f>
        <v/>
      </c>
      <c r="J3105" s="86" t="str">
        <f t="shared" si="83"/>
        <v/>
      </c>
      <c r="K3105" s="86" t="str">
        <f>IF(AND(A3105="",D3105="",E3105="",F3105=""),"",IF(D3105="","SEM CATEGORIA",IF(E3105="","SEM SUBCATEGORIA",IF(COUNTIFS(CADASTROS!$L$7:$L$93,D3105,CADASTROS!$D$7:$D$93,E3105)=0,"INCOMPATÍVEL","OK"))))</f>
        <v/>
      </c>
    </row>
    <row r="3106" spans="1:11" ht="30" hidden="1" customHeight="1" x14ac:dyDescent="0.25">
      <c r="A3106" s="86" t="str">
        <f>IF(COUNTIF(EXTRATO!$A$2:$A$3000,"BAN-02963")=0,"","BAN-02963")</f>
        <v/>
      </c>
      <c r="B3106" s="85" t="str">
        <f>IF(A3106="","",IF(INDEX(EXTRATO!$C$2:$C$3000,MATCH($A3106,EXTRATO!$A$2:$A$3000,0))="","",INDEX(EXTRATO!$C$2:$C$3000,MATCH($A3106,EXTRATO!$A$2:$A$3000,0))))</f>
        <v/>
      </c>
      <c r="C3106" s="86" t="str">
        <f t="shared" si="84"/>
        <v/>
      </c>
      <c r="D3106" s="81"/>
      <c r="E3106" s="79"/>
      <c r="F3106" s="80" t="str">
        <f>IF(A3106="","",SUMIF(EXTRATO!$A$2:$A$3000,$A3106,EXTRATO!$J$2:$J$3000)+SUMIF(EXTRATO!$A$2:$A$3000,$A3106,EXTRATO!$K$2:$K$3000)+SUMIF(EXTRATO!$A$2:$A$3000,$A3106,EXTRATO!$L$2:$L$3000)+SUMIF(EXTRATO!$A$2:$A$3000,$A3106,EXTRATO!$M$2:$M$3000))</f>
        <v/>
      </c>
      <c r="G3106" s="81" t="str">
        <f>IF(A3106="","",IF(INDEX(EXTRATO!$G$2:$G$3000,MATCH($A3106,EXTRATO!$A$2:$A$3000,0))="","",INDEX(EXTRATO!$G$2:$G$3000,MATCH($A3106,EXTRATO!$A$2:$A$3000,0))))</f>
        <v/>
      </c>
      <c r="H3106" s="86" t="str">
        <f>IF(A3106="","",IF(INDEX(EXTRATO!$F$2:$F$3000,MATCH($A3106,EXTRATO!$A$2:$A$3000,0))="","",INDEX(EXTRATO!$F$2:$F$3000,MATCH($A3106,EXTRATO!$A$2:$A$3000,0))))</f>
        <v/>
      </c>
      <c r="I3106" s="88" t="str">
        <f>IF(A3106="","",IF(INDEX(EXTRATO!$H$2:$H$3000,MATCH($A3106,EXTRATO!$A$2:$A$3000,0))="","",INDEX(EXTRATO!$H$2:$H$3000,MATCH($A3106,EXTRATO!$A$2:$A$3000,0))))</f>
        <v/>
      </c>
      <c r="J3106" s="86" t="str">
        <f t="shared" si="83"/>
        <v/>
      </c>
      <c r="K3106" s="86" t="str">
        <f>IF(AND(A3106="",D3106="",E3106="",F3106=""),"",IF(D3106="","SEM CATEGORIA",IF(E3106="","SEM SUBCATEGORIA",IF(COUNTIFS(CADASTROS!$L$7:$L$93,D3106,CADASTROS!$D$7:$D$93,E3106)=0,"INCOMPATÍVEL","OK"))))</f>
        <v/>
      </c>
    </row>
    <row r="3107" spans="1:11" ht="30" hidden="1" customHeight="1" x14ac:dyDescent="0.25">
      <c r="A3107" s="86" t="str">
        <f>IF(COUNTIF(EXTRATO!$A$2:$A$3000,"BAN-02964")=0,"","BAN-02964")</f>
        <v/>
      </c>
      <c r="B3107" s="85" t="str">
        <f>IF(A3107="","",IF(INDEX(EXTRATO!$C$2:$C$3000,MATCH($A3107,EXTRATO!$A$2:$A$3000,0))="","",INDEX(EXTRATO!$C$2:$C$3000,MATCH($A3107,EXTRATO!$A$2:$A$3000,0))))</f>
        <v/>
      </c>
      <c r="C3107" s="86" t="str">
        <f t="shared" si="84"/>
        <v/>
      </c>
      <c r="D3107" s="81"/>
      <c r="E3107" s="79"/>
      <c r="F3107" s="80" t="str">
        <f>IF(A3107="","",SUMIF(EXTRATO!$A$2:$A$3000,$A3107,EXTRATO!$J$2:$J$3000)+SUMIF(EXTRATO!$A$2:$A$3000,$A3107,EXTRATO!$K$2:$K$3000)+SUMIF(EXTRATO!$A$2:$A$3000,$A3107,EXTRATO!$L$2:$L$3000)+SUMIF(EXTRATO!$A$2:$A$3000,$A3107,EXTRATO!$M$2:$M$3000))</f>
        <v/>
      </c>
      <c r="G3107" s="81" t="str">
        <f>IF(A3107="","",IF(INDEX(EXTRATO!$G$2:$G$3000,MATCH($A3107,EXTRATO!$A$2:$A$3000,0))="","",INDEX(EXTRATO!$G$2:$G$3000,MATCH($A3107,EXTRATO!$A$2:$A$3000,0))))</f>
        <v/>
      </c>
      <c r="H3107" s="86" t="str">
        <f>IF(A3107="","",IF(INDEX(EXTRATO!$F$2:$F$3000,MATCH($A3107,EXTRATO!$A$2:$A$3000,0))="","",INDEX(EXTRATO!$F$2:$F$3000,MATCH($A3107,EXTRATO!$A$2:$A$3000,0))))</f>
        <v/>
      </c>
      <c r="I3107" s="88" t="str">
        <f>IF(A3107="","",IF(INDEX(EXTRATO!$H$2:$H$3000,MATCH($A3107,EXTRATO!$A$2:$A$3000,0))="","",INDEX(EXTRATO!$H$2:$H$3000,MATCH($A3107,EXTRATO!$A$2:$A$3000,0))))</f>
        <v/>
      </c>
      <c r="J3107" s="86" t="str">
        <f t="shared" si="83"/>
        <v/>
      </c>
      <c r="K3107" s="86" t="str">
        <f>IF(AND(A3107="",D3107="",E3107="",F3107=""),"",IF(D3107="","SEM CATEGORIA",IF(E3107="","SEM SUBCATEGORIA",IF(COUNTIFS(CADASTROS!$L$7:$L$93,D3107,CADASTROS!$D$7:$D$93,E3107)=0,"INCOMPATÍVEL","OK"))))</f>
        <v/>
      </c>
    </row>
    <row r="3108" spans="1:11" ht="30" hidden="1" customHeight="1" x14ac:dyDescent="0.25">
      <c r="A3108" s="86" t="str">
        <f>IF(COUNTIF(EXTRATO!$A$2:$A$3000,"BAN-02965")=0,"","BAN-02965")</f>
        <v/>
      </c>
      <c r="B3108" s="85" t="str">
        <f>IF(A3108="","",IF(INDEX(EXTRATO!$C$2:$C$3000,MATCH($A3108,EXTRATO!$A$2:$A$3000,0))="","",INDEX(EXTRATO!$C$2:$C$3000,MATCH($A3108,EXTRATO!$A$2:$A$3000,0))))</f>
        <v/>
      </c>
      <c r="C3108" s="86" t="str">
        <f t="shared" si="84"/>
        <v/>
      </c>
      <c r="D3108" s="81"/>
      <c r="E3108" s="79"/>
      <c r="F3108" s="80" t="str">
        <f>IF(A3108="","",SUMIF(EXTRATO!$A$2:$A$3000,$A3108,EXTRATO!$J$2:$J$3000)+SUMIF(EXTRATO!$A$2:$A$3000,$A3108,EXTRATO!$K$2:$K$3000)+SUMIF(EXTRATO!$A$2:$A$3000,$A3108,EXTRATO!$L$2:$L$3000)+SUMIF(EXTRATO!$A$2:$A$3000,$A3108,EXTRATO!$M$2:$M$3000))</f>
        <v/>
      </c>
      <c r="G3108" s="81" t="str">
        <f>IF(A3108="","",IF(INDEX(EXTRATO!$G$2:$G$3000,MATCH($A3108,EXTRATO!$A$2:$A$3000,0))="","",INDEX(EXTRATO!$G$2:$G$3000,MATCH($A3108,EXTRATO!$A$2:$A$3000,0))))</f>
        <v/>
      </c>
      <c r="H3108" s="86" t="str">
        <f>IF(A3108="","",IF(INDEX(EXTRATO!$F$2:$F$3000,MATCH($A3108,EXTRATO!$A$2:$A$3000,0))="","",INDEX(EXTRATO!$F$2:$F$3000,MATCH($A3108,EXTRATO!$A$2:$A$3000,0))))</f>
        <v/>
      </c>
      <c r="I3108" s="88" t="str">
        <f>IF(A3108="","",IF(INDEX(EXTRATO!$H$2:$H$3000,MATCH($A3108,EXTRATO!$A$2:$A$3000,0))="","",INDEX(EXTRATO!$H$2:$H$3000,MATCH($A3108,EXTRATO!$A$2:$A$3000,0))))</f>
        <v/>
      </c>
      <c r="J3108" s="86" t="str">
        <f t="shared" si="83"/>
        <v/>
      </c>
      <c r="K3108" s="86" t="str">
        <f>IF(AND(A3108="",D3108="",E3108="",F3108=""),"",IF(D3108="","SEM CATEGORIA",IF(E3108="","SEM SUBCATEGORIA",IF(COUNTIFS(CADASTROS!$L$7:$L$93,D3108,CADASTROS!$D$7:$D$93,E3108)=0,"INCOMPATÍVEL","OK"))))</f>
        <v/>
      </c>
    </row>
    <row r="3109" spans="1:11" ht="30" hidden="1" customHeight="1" x14ac:dyDescent="0.25">
      <c r="A3109" s="86" t="str">
        <f>IF(COUNTIF(EXTRATO!$A$2:$A$3000,"BAN-02966")=0,"","BAN-02966")</f>
        <v/>
      </c>
      <c r="B3109" s="85" t="str">
        <f>IF(A3109="","",IF(INDEX(EXTRATO!$C$2:$C$3000,MATCH($A3109,EXTRATO!$A$2:$A$3000,0))="","",INDEX(EXTRATO!$C$2:$C$3000,MATCH($A3109,EXTRATO!$A$2:$A$3000,0))))</f>
        <v/>
      </c>
      <c r="C3109" s="86" t="str">
        <f t="shared" si="84"/>
        <v/>
      </c>
      <c r="D3109" s="81"/>
      <c r="E3109" s="79"/>
      <c r="F3109" s="80" t="str">
        <f>IF(A3109="","",SUMIF(EXTRATO!$A$2:$A$3000,$A3109,EXTRATO!$J$2:$J$3000)+SUMIF(EXTRATO!$A$2:$A$3000,$A3109,EXTRATO!$K$2:$K$3000)+SUMIF(EXTRATO!$A$2:$A$3000,$A3109,EXTRATO!$L$2:$L$3000)+SUMIF(EXTRATO!$A$2:$A$3000,$A3109,EXTRATO!$M$2:$M$3000))</f>
        <v/>
      </c>
      <c r="G3109" s="81" t="str">
        <f>IF(A3109="","",IF(INDEX(EXTRATO!$G$2:$G$3000,MATCH($A3109,EXTRATO!$A$2:$A$3000,0))="","",INDEX(EXTRATO!$G$2:$G$3000,MATCH($A3109,EXTRATO!$A$2:$A$3000,0))))</f>
        <v/>
      </c>
      <c r="H3109" s="86" t="str">
        <f>IF(A3109="","",IF(INDEX(EXTRATO!$F$2:$F$3000,MATCH($A3109,EXTRATO!$A$2:$A$3000,0))="","",INDEX(EXTRATO!$F$2:$F$3000,MATCH($A3109,EXTRATO!$A$2:$A$3000,0))))</f>
        <v/>
      </c>
      <c r="I3109" s="88" t="str">
        <f>IF(A3109="","",IF(INDEX(EXTRATO!$H$2:$H$3000,MATCH($A3109,EXTRATO!$A$2:$A$3000,0))="","",INDEX(EXTRATO!$H$2:$H$3000,MATCH($A3109,EXTRATO!$A$2:$A$3000,0))))</f>
        <v/>
      </c>
      <c r="J3109" s="86" t="str">
        <f t="shared" si="83"/>
        <v/>
      </c>
      <c r="K3109" s="86" t="str">
        <f>IF(AND(A3109="",D3109="",E3109="",F3109=""),"",IF(D3109="","SEM CATEGORIA",IF(E3109="","SEM SUBCATEGORIA",IF(COUNTIFS(CADASTROS!$L$7:$L$93,D3109,CADASTROS!$D$7:$D$93,E3109)=0,"INCOMPATÍVEL","OK"))))</f>
        <v/>
      </c>
    </row>
    <row r="3110" spans="1:11" ht="30" hidden="1" customHeight="1" x14ac:dyDescent="0.25">
      <c r="A3110" s="86" t="str">
        <f>IF(COUNTIF(EXTRATO!$A$2:$A$3000,"BAN-02967")=0,"","BAN-02967")</f>
        <v/>
      </c>
      <c r="B3110" s="85" t="str">
        <f>IF(A3110="","",IF(INDEX(EXTRATO!$C$2:$C$3000,MATCH($A3110,EXTRATO!$A$2:$A$3000,0))="","",INDEX(EXTRATO!$C$2:$C$3000,MATCH($A3110,EXTRATO!$A$2:$A$3000,0))))</f>
        <v/>
      </c>
      <c r="C3110" s="86" t="str">
        <f t="shared" si="84"/>
        <v/>
      </c>
      <c r="D3110" s="81"/>
      <c r="E3110" s="79"/>
      <c r="F3110" s="80" t="str">
        <f>IF(A3110="","",SUMIF(EXTRATO!$A$2:$A$3000,$A3110,EXTRATO!$J$2:$J$3000)+SUMIF(EXTRATO!$A$2:$A$3000,$A3110,EXTRATO!$K$2:$K$3000)+SUMIF(EXTRATO!$A$2:$A$3000,$A3110,EXTRATO!$L$2:$L$3000)+SUMIF(EXTRATO!$A$2:$A$3000,$A3110,EXTRATO!$M$2:$M$3000))</f>
        <v/>
      </c>
      <c r="G3110" s="81" t="str">
        <f>IF(A3110="","",IF(INDEX(EXTRATO!$G$2:$G$3000,MATCH($A3110,EXTRATO!$A$2:$A$3000,0))="","",INDEX(EXTRATO!$G$2:$G$3000,MATCH($A3110,EXTRATO!$A$2:$A$3000,0))))</f>
        <v/>
      </c>
      <c r="H3110" s="86" t="str">
        <f>IF(A3110="","",IF(INDEX(EXTRATO!$F$2:$F$3000,MATCH($A3110,EXTRATO!$A$2:$A$3000,0))="","",INDEX(EXTRATO!$F$2:$F$3000,MATCH($A3110,EXTRATO!$A$2:$A$3000,0))))</f>
        <v/>
      </c>
      <c r="I3110" s="88" t="str">
        <f>IF(A3110="","",IF(INDEX(EXTRATO!$H$2:$H$3000,MATCH($A3110,EXTRATO!$A$2:$A$3000,0))="","",INDEX(EXTRATO!$H$2:$H$3000,MATCH($A3110,EXTRATO!$A$2:$A$3000,0))))</f>
        <v/>
      </c>
      <c r="J3110" s="86" t="str">
        <f t="shared" si="83"/>
        <v/>
      </c>
      <c r="K3110" s="86" t="str">
        <f>IF(AND(A3110="",D3110="",E3110="",F3110=""),"",IF(D3110="","SEM CATEGORIA",IF(E3110="","SEM SUBCATEGORIA",IF(COUNTIFS(CADASTROS!$L$7:$L$93,D3110,CADASTROS!$D$7:$D$93,E3110)=0,"INCOMPATÍVEL","OK"))))</f>
        <v/>
      </c>
    </row>
    <row r="3111" spans="1:11" ht="30" hidden="1" customHeight="1" x14ac:dyDescent="0.25">
      <c r="A3111" s="86" t="str">
        <f>IF(COUNTIF(EXTRATO!$A$2:$A$3000,"BAN-02968")=0,"","BAN-02968")</f>
        <v/>
      </c>
      <c r="B3111" s="85" t="str">
        <f>IF(A3111="","",IF(INDEX(EXTRATO!$C$2:$C$3000,MATCH($A3111,EXTRATO!$A$2:$A$3000,0))="","",INDEX(EXTRATO!$C$2:$C$3000,MATCH($A3111,EXTRATO!$A$2:$A$3000,0))))</f>
        <v/>
      </c>
      <c r="C3111" s="86" t="str">
        <f t="shared" si="84"/>
        <v/>
      </c>
      <c r="D3111" s="81"/>
      <c r="E3111" s="79"/>
      <c r="F3111" s="80" t="str">
        <f>IF(A3111="","",SUMIF(EXTRATO!$A$2:$A$3000,$A3111,EXTRATO!$J$2:$J$3000)+SUMIF(EXTRATO!$A$2:$A$3000,$A3111,EXTRATO!$K$2:$K$3000)+SUMIF(EXTRATO!$A$2:$A$3000,$A3111,EXTRATO!$L$2:$L$3000)+SUMIF(EXTRATO!$A$2:$A$3000,$A3111,EXTRATO!$M$2:$M$3000))</f>
        <v/>
      </c>
      <c r="G3111" s="81" t="str">
        <f>IF(A3111="","",IF(INDEX(EXTRATO!$G$2:$G$3000,MATCH($A3111,EXTRATO!$A$2:$A$3000,0))="","",INDEX(EXTRATO!$G$2:$G$3000,MATCH($A3111,EXTRATO!$A$2:$A$3000,0))))</f>
        <v/>
      </c>
      <c r="H3111" s="86" t="str">
        <f>IF(A3111="","",IF(INDEX(EXTRATO!$F$2:$F$3000,MATCH($A3111,EXTRATO!$A$2:$A$3000,0))="","",INDEX(EXTRATO!$F$2:$F$3000,MATCH($A3111,EXTRATO!$A$2:$A$3000,0))))</f>
        <v/>
      </c>
      <c r="I3111" s="88" t="str">
        <f>IF(A3111="","",IF(INDEX(EXTRATO!$H$2:$H$3000,MATCH($A3111,EXTRATO!$A$2:$A$3000,0))="","",INDEX(EXTRATO!$H$2:$H$3000,MATCH($A3111,EXTRATO!$A$2:$A$3000,0))))</f>
        <v/>
      </c>
      <c r="J3111" s="86" t="str">
        <f t="shared" si="83"/>
        <v/>
      </c>
      <c r="K3111" s="86" t="str">
        <f>IF(AND(A3111="",D3111="",E3111="",F3111=""),"",IF(D3111="","SEM CATEGORIA",IF(E3111="","SEM SUBCATEGORIA",IF(COUNTIFS(CADASTROS!$L$7:$L$93,D3111,CADASTROS!$D$7:$D$93,E3111)=0,"INCOMPATÍVEL","OK"))))</f>
        <v/>
      </c>
    </row>
    <row r="3112" spans="1:11" ht="30" hidden="1" customHeight="1" x14ac:dyDescent="0.25">
      <c r="A3112" s="86" t="str">
        <f>IF(COUNTIF(EXTRATO!$A$2:$A$3000,"BAN-02969")=0,"","BAN-02969")</f>
        <v/>
      </c>
      <c r="B3112" s="85" t="str">
        <f>IF(A3112="","",IF(INDEX(EXTRATO!$C$2:$C$3000,MATCH($A3112,EXTRATO!$A$2:$A$3000,0))="","",INDEX(EXTRATO!$C$2:$C$3000,MATCH($A3112,EXTRATO!$A$2:$A$3000,0))))</f>
        <v/>
      </c>
      <c r="C3112" s="86" t="str">
        <f t="shared" si="84"/>
        <v/>
      </c>
      <c r="D3112" s="81"/>
      <c r="E3112" s="79"/>
      <c r="F3112" s="80" t="str">
        <f>IF(A3112="","",SUMIF(EXTRATO!$A$2:$A$3000,$A3112,EXTRATO!$J$2:$J$3000)+SUMIF(EXTRATO!$A$2:$A$3000,$A3112,EXTRATO!$K$2:$K$3000)+SUMIF(EXTRATO!$A$2:$A$3000,$A3112,EXTRATO!$L$2:$L$3000)+SUMIF(EXTRATO!$A$2:$A$3000,$A3112,EXTRATO!$M$2:$M$3000))</f>
        <v/>
      </c>
      <c r="G3112" s="81" t="str">
        <f>IF(A3112="","",IF(INDEX(EXTRATO!$G$2:$G$3000,MATCH($A3112,EXTRATO!$A$2:$A$3000,0))="","",INDEX(EXTRATO!$G$2:$G$3000,MATCH($A3112,EXTRATO!$A$2:$A$3000,0))))</f>
        <v/>
      </c>
      <c r="H3112" s="86" t="str">
        <f>IF(A3112="","",IF(INDEX(EXTRATO!$F$2:$F$3000,MATCH($A3112,EXTRATO!$A$2:$A$3000,0))="","",INDEX(EXTRATO!$F$2:$F$3000,MATCH($A3112,EXTRATO!$A$2:$A$3000,0))))</f>
        <v/>
      </c>
      <c r="I3112" s="88" t="str">
        <f>IF(A3112="","",IF(INDEX(EXTRATO!$H$2:$H$3000,MATCH($A3112,EXTRATO!$A$2:$A$3000,0))="","",INDEX(EXTRATO!$H$2:$H$3000,MATCH($A3112,EXTRATO!$A$2:$A$3000,0))))</f>
        <v/>
      </c>
      <c r="J3112" s="86" t="str">
        <f t="shared" si="83"/>
        <v/>
      </c>
      <c r="K3112" s="86" t="str">
        <f>IF(AND(A3112="",D3112="",E3112="",F3112=""),"",IF(D3112="","SEM CATEGORIA",IF(E3112="","SEM SUBCATEGORIA",IF(COUNTIFS(CADASTROS!$L$7:$L$93,D3112,CADASTROS!$D$7:$D$93,E3112)=0,"INCOMPATÍVEL","OK"))))</f>
        <v/>
      </c>
    </row>
    <row r="3113" spans="1:11" ht="30" hidden="1" customHeight="1" x14ac:dyDescent="0.25">
      <c r="A3113" s="86" t="str">
        <f>IF(COUNTIF(EXTRATO!$A$2:$A$3000,"BAN-02970")=0,"","BAN-02970")</f>
        <v/>
      </c>
      <c r="B3113" s="85" t="str">
        <f>IF(A3113="","",IF(INDEX(EXTRATO!$C$2:$C$3000,MATCH($A3113,EXTRATO!$A$2:$A$3000,0))="","",INDEX(EXTRATO!$C$2:$C$3000,MATCH($A3113,EXTRATO!$A$2:$A$3000,0))))</f>
        <v/>
      </c>
      <c r="C3113" s="86" t="str">
        <f t="shared" si="84"/>
        <v/>
      </c>
      <c r="D3113" s="81"/>
      <c r="E3113" s="79"/>
      <c r="F3113" s="80" t="str">
        <f>IF(A3113="","",SUMIF(EXTRATO!$A$2:$A$3000,$A3113,EXTRATO!$J$2:$J$3000)+SUMIF(EXTRATO!$A$2:$A$3000,$A3113,EXTRATO!$K$2:$K$3000)+SUMIF(EXTRATO!$A$2:$A$3000,$A3113,EXTRATO!$L$2:$L$3000)+SUMIF(EXTRATO!$A$2:$A$3000,$A3113,EXTRATO!$M$2:$M$3000))</f>
        <v/>
      </c>
      <c r="G3113" s="81" t="str">
        <f>IF(A3113="","",IF(INDEX(EXTRATO!$G$2:$G$3000,MATCH($A3113,EXTRATO!$A$2:$A$3000,0))="","",INDEX(EXTRATO!$G$2:$G$3000,MATCH($A3113,EXTRATO!$A$2:$A$3000,0))))</f>
        <v/>
      </c>
      <c r="H3113" s="86" t="str">
        <f>IF(A3113="","",IF(INDEX(EXTRATO!$F$2:$F$3000,MATCH($A3113,EXTRATO!$A$2:$A$3000,0))="","",INDEX(EXTRATO!$F$2:$F$3000,MATCH($A3113,EXTRATO!$A$2:$A$3000,0))))</f>
        <v/>
      </c>
      <c r="I3113" s="88" t="str">
        <f>IF(A3113="","",IF(INDEX(EXTRATO!$H$2:$H$3000,MATCH($A3113,EXTRATO!$A$2:$A$3000,0))="","",INDEX(EXTRATO!$H$2:$H$3000,MATCH($A3113,EXTRATO!$A$2:$A$3000,0))))</f>
        <v/>
      </c>
      <c r="J3113" s="86" t="str">
        <f t="shared" si="83"/>
        <v/>
      </c>
      <c r="K3113" s="86" t="str">
        <f>IF(AND(A3113="",D3113="",E3113="",F3113=""),"",IF(D3113="","SEM CATEGORIA",IF(E3113="","SEM SUBCATEGORIA",IF(COUNTIFS(CADASTROS!$L$7:$L$93,D3113,CADASTROS!$D$7:$D$93,E3113)=0,"INCOMPATÍVEL","OK"))))</f>
        <v/>
      </c>
    </row>
    <row r="3114" spans="1:11" ht="30" hidden="1" customHeight="1" x14ac:dyDescent="0.25">
      <c r="A3114" s="86" t="str">
        <f>IF(COUNTIF(EXTRATO!$A$2:$A$3000,"BAN-02971")=0,"","BAN-02971")</f>
        <v/>
      </c>
      <c r="B3114" s="85" t="str">
        <f>IF(A3114="","",IF(INDEX(EXTRATO!$C$2:$C$3000,MATCH($A3114,EXTRATO!$A$2:$A$3000,0))="","",INDEX(EXTRATO!$C$2:$C$3000,MATCH($A3114,EXTRATO!$A$2:$A$3000,0))))</f>
        <v/>
      </c>
      <c r="C3114" s="86" t="str">
        <f t="shared" si="84"/>
        <v/>
      </c>
      <c r="D3114" s="81"/>
      <c r="E3114" s="79"/>
      <c r="F3114" s="80" t="str">
        <f>IF(A3114="","",SUMIF(EXTRATO!$A$2:$A$3000,$A3114,EXTRATO!$J$2:$J$3000)+SUMIF(EXTRATO!$A$2:$A$3000,$A3114,EXTRATO!$K$2:$K$3000)+SUMIF(EXTRATO!$A$2:$A$3000,$A3114,EXTRATO!$L$2:$L$3000)+SUMIF(EXTRATO!$A$2:$A$3000,$A3114,EXTRATO!$M$2:$M$3000))</f>
        <v/>
      </c>
      <c r="G3114" s="81" t="str">
        <f>IF(A3114="","",IF(INDEX(EXTRATO!$G$2:$G$3000,MATCH($A3114,EXTRATO!$A$2:$A$3000,0))="","",INDEX(EXTRATO!$G$2:$G$3000,MATCH($A3114,EXTRATO!$A$2:$A$3000,0))))</f>
        <v/>
      </c>
      <c r="H3114" s="86" t="str">
        <f>IF(A3114="","",IF(INDEX(EXTRATO!$F$2:$F$3000,MATCH($A3114,EXTRATO!$A$2:$A$3000,0))="","",INDEX(EXTRATO!$F$2:$F$3000,MATCH($A3114,EXTRATO!$A$2:$A$3000,0))))</f>
        <v/>
      </c>
      <c r="I3114" s="88" t="str">
        <f>IF(A3114="","",IF(INDEX(EXTRATO!$H$2:$H$3000,MATCH($A3114,EXTRATO!$A$2:$A$3000,0))="","",INDEX(EXTRATO!$H$2:$H$3000,MATCH($A3114,EXTRATO!$A$2:$A$3000,0))))</f>
        <v/>
      </c>
      <c r="J3114" s="86" t="str">
        <f t="shared" si="83"/>
        <v/>
      </c>
      <c r="K3114" s="86" t="str">
        <f>IF(AND(A3114="",D3114="",E3114="",F3114=""),"",IF(D3114="","SEM CATEGORIA",IF(E3114="","SEM SUBCATEGORIA",IF(COUNTIFS(CADASTROS!$L$7:$L$93,D3114,CADASTROS!$D$7:$D$93,E3114)=0,"INCOMPATÍVEL","OK"))))</f>
        <v/>
      </c>
    </row>
    <row r="3115" spans="1:11" ht="30" hidden="1" customHeight="1" x14ac:dyDescent="0.25">
      <c r="A3115" s="86" t="str">
        <f>IF(COUNTIF(EXTRATO!$A$2:$A$3000,"BAN-02972")=0,"","BAN-02972")</f>
        <v/>
      </c>
      <c r="B3115" s="85" t="str">
        <f>IF(A3115="","",IF(INDEX(EXTRATO!$C$2:$C$3000,MATCH($A3115,EXTRATO!$A$2:$A$3000,0))="","",INDEX(EXTRATO!$C$2:$C$3000,MATCH($A3115,EXTRATO!$A$2:$A$3000,0))))</f>
        <v/>
      </c>
      <c r="C3115" s="86" t="str">
        <f t="shared" si="84"/>
        <v/>
      </c>
      <c r="D3115" s="81"/>
      <c r="E3115" s="79"/>
      <c r="F3115" s="80" t="str">
        <f>IF(A3115="","",SUMIF(EXTRATO!$A$2:$A$3000,$A3115,EXTRATO!$J$2:$J$3000)+SUMIF(EXTRATO!$A$2:$A$3000,$A3115,EXTRATO!$K$2:$K$3000)+SUMIF(EXTRATO!$A$2:$A$3000,$A3115,EXTRATO!$L$2:$L$3000)+SUMIF(EXTRATO!$A$2:$A$3000,$A3115,EXTRATO!$M$2:$M$3000))</f>
        <v/>
      </c>
      <c r="G3115" s="81" t="str">
        <f>IF(A3115="","",IF(INDEX(EXTRATO!$G$2:$G$3000,MATCH($A3115,EXTRATO!$A$2:$A$3000,0))="","",INDEX(EXTRATO!$G$2:$G$3000,MATCH($A3115,EXTRATO!$A$2:$A$3000,0))))</f>
        <v/>
      </c>
      <c r="H3115" s="86" t="str">
        <f>IF(A3115="","",IF(INDEX(EXTRATO!$F$2:$F$3000,MATCH($A3115,EXTRATO!$A$2:$A$3000,0))="","",INDEX(EXTRATO!$F$2:$F$3000,MATCH($A3115,EXTRATO!$A$2:$A$3000,0))))</f>
        <v/>
      </c>
      <c r="I3115" s="88" t="str">
        <f>IF(A3115="","",IF(INDEX(EXTRATO!$H$2:$H$3000,MATCH($A3115,EXTRATO!$A$2:$A$3000,0))="","",INDEX(EXTRATO!$H$2:$H$3000,MATCH($A3115,EXTRATO!$A$2:$A$3000,0))))</f>
        <v/>
      </c>
      <c r="J3115" s="86" t="str">
        <f t="shared" si="83"/>
        <v/>
      </c>
      <c r="K3115" s="86" t="str">
        <f>IF(AND(A3115="",D3115="",E3115="",F3115=""),"",IF(D3115="","SEM CATEGORIA",IF(E3115="","SEM SUBCATEGORIA",IF(COUNTIFS(CADASTROS!$L$7:$L$93,D3115,CADASTROS!$D$7:$D$93,E3115)=0,"INCOMPATÍVEL","OK"))))</f>
        <v/>
      </c>
    </row>
    <row r="3116" spans="1:11" ht="30" hidden="1" customHeight="1" x14ac:dyDescent="0.25">
      <c r="A3116" s="86" t="str">
        <f>IF(COUNTIF(EXTRATO!$A$2:$A$3000,"BAN-02973")=0,"","BAN-02973")</f>
        <v/>
      </c>
      <c r="B3116" s="85" t="str">
        <f>IF(A3116="","",IF(INDEX(EXTRATO!$C$2:$C$3000,MATCH($A3116,EXTRATO!$A$2:$A$3000,0))="","",INDEX(EXTRATO!$C$2:$C$3000,MATCH($A3116,EXTRATO!$A$2:$A$3000,0))))</f>
        <v/>
      </c>
      <c r="C3116" s="86" t="str">
        <f t="shared" si="84"/>
        <v/>
      </c>
      <c r="D3116" s="81"/>
      <c r="E3116" s="79"/>
      <c r="F3116" s="80" t="str">
        <f>IF(A3116="","",SUMIF(EXTRATO!$A$2:$A$3000,$A3116,EXTRATO!$J$2:$J$3000)+SUMIF(EXTRATO!$A$2:$A$3000,$A3116,EXTRATO!$K$2:$K$3000)+SUMIF(EXTRATO!$A$2:$A$3000,$A3116,EXTRATO!$L$2:$L$3000)+SUMIF(EXTRATO!$A$2:$A$3000,$A3116,EXTRATO!$M$2:$M$3000))</f>
        <v/>
      </c>
      <c r="G3116" s="81" t="str">
        <f>IF(A3116="","",IF(INDEX(EXTRATO!$G$2:$G$3000,MATCH($A3116,EXTRATO!$A$2:$A$3000,0))="","",INDEX(EXTRATO!$G$2:$G$3000,MATCH($A3116,EXTRATO!$A$2:$A$3000,0))))</f>
        <v/>
      </c>
      <c r="H3116" s="86" t="str">
        <f>IF(A3116="","",IF(INDEX(EXTRATO!$F$2:$F$3000,MATCH($A3116,EXTRATO!$A$2:$A$3000,0))="","",INDEX(EXTRATO!$F$2:$F$3000,MATCH($A3116,EXTRATO!$A$2:$A$3000,0))))</f>
        <v/>
      </c>
      <c r="I3116" s="88" t="str">
        <f>IF(A3116="","",IF(INDEX(EXTRATO!$H$2:$H$3000,MATCH($A3116,EXTRATO!$A$2:$A$3000,0))="","",INDEX(EXTRATO!$H$2:$H$3000,MATCH($A3116,EXTRATO!$A$2:$A$3000,0))))</f>
        <v/>
      </c>
      <c r="J3116" s="86" t="str">
        <f t="shared" ref="J3116:J3142" si="85">IF(A3116="","",IF(K3116="OK","MANUAL","PENDENTE"))</f>
        <v/>
      </c>
      <c r="K3116" s="86" t="str">
        <f>IF(AND(A3116="",D3116="",E3116="",F3116=""),"",IF(D3116="","SEM CATEGORIA",IF(E3116="","SEM SUBCATEGORIA",IF(COUNTIFS(CADASTROS!$L$7:$L$93,D3116,CADASTROS!$D$7:$D$93,E3116)=0,"INCOMPATÍVEL","OK"))))</f>
        <v/>
      </c>
    </row>
    <row r="3117" spans="1:11" ht="30" hidden="1" customHeight="1" x14ac:dyDescent="0.25">
      <c r="A3117" s="86" t="str">
        <f>IF(COUNTIF(EXTRATO!$A$2:$A$3000,"BAN-02974")=0,"","BAN-02974")</f>
        <v/>
      </c>
      <c r="B3117" s="85" t="str">
        <f>IF(A3117="","",IF(INDEX(EXTRATO!$C$2:$C$3000,MATCH($A3117,EXTRATO!$A$2:$A$3000,0))="","",INDEX(EXTRATO!$C$2:$C$3000,MATCH($A3117,EXTRATO!$A$2:$A$3000,0))))</f>
        <v/>
      </c>
      <c r="C3117" s="86" t="str">
        <f t="shared" si="84"/>
        <v/>
      </c>
      <c r="D3117" s="81"/>
      <c r="E3117" s="79"/>
      <c r="F3117" s="80" t="str">
        <f>IF(A3117="","",SUMIF(EXTRATO!$A$2:$A$3000,$A3117,EXTRATO!$J$2:$J$3000)+SUMIF(EXTRATO!$A$2:$A$3000,$A3117,EXTRATO!$K$2:$K$3000)+SUMIF(EXTRATO!$A$2:$A$3000,$A3117,EXTRATO!$L$2:$L$3000)+SUMIF(EXTRATO!$A$2:$A$3000,$A3117,EXTRATO!$M$2:$M$3000))</f>
        <v/>
      </c>
      <c r="G3117" s="81" t="str">
        <f>IF(A3117="","",IF(INDEX(EXTRATO!$G$2:$G$3000,MATCH($A3117,EXTRATO!$A$2:$A$3000,0))="","",INDEX(EXTRATO!$G$2:$G$3000,MATCH($A3117,EXTRATO!$A$2:$A$3000,0))))</f>
        <v/>
      </c>
      <c r="H3117" s="86" t="str">
        <f>IF(A3117="","",IF(INDEX(EXTRATO!$F$2:$F$3000,MATCH($A3117,EXTRATO!$A$2:$A$3000,0))="","",INDEX(EXTRATO!$F$2:$F$3000,MATCH($A3117,EXTRATO!$A$2:$A$3000,0))))</f>
        <v/>
      </c>
      <c r="I3117" s="88" t="str">
        <f>IF(A3117="","",IF(INDEX(EXTRATO!$H$2:$H$3000,MATCH($A3117,EXTRATO!$A$2:$A$3000,0))="","",INDEX(EXTRATO!$H$2:$H$3000,MATCH($A3117,EXTRATO!$A$2:$A$3000,0))))</f>
        <v/>
      </c>
      <c r="J3117" s="86" t="str">
        <f t="shared" si="85"/>
        <v/>
      </c>
      <c r="K3117" s="86" t="str">
        <f>IF(AND(A3117="",D3117="",E3117="",F3117=""),"",IF(D3117="","SEM CATEGORIA",IF(E3117="","SEM SUBCATEGORIA",IF(COUNTIFS(CADASTROS!$L$7:$L$93,D3117,CADASTROS!$D$7:$D$93,E3117)=0,"INCOMPATÍVEL","OK"))))</f>
        <v/>
      </c>
    </row>
    <row r="3118" spans="1:11" ht="30" hidden="1" customHeight="1" x14ac:dyDescent="0.25">
      <c r="A3118" s="86" t="str">
        <f>IF(COUNTIF(EXTRATO!$A$2:$A$3000,"BAN-02975")=0,"","BAN-02975")</f>
        <v/>
      </c>
      <c r="B3118" s="85" t="str">
        <f>IF(A3118="","",IF(INDEX(EXTRATO!$C$2:$C$3000,MATCH($A3118,EXTRATO!$A$2:$A$3000,0))="","",INDEX(EXTRATO!$C$2:$C$3000,MATCH($A3118,EXTRATO!$A$2:$A$3000,0))))</f>
        <v/>
      </c>
      <c r="C3118" s="86" t="str">
        <f t="shared" si="84"/>
        <v/>
      </c>
      <c r="D3118" s="81"/>
      <c r="E3118" s="79"/>
      <c r="F3118" s="80" t="str">
        <f>IF(A3118="","",SUMIF(EXTRATO!$A$2:$A$3000,$A3118,EXTRATO!$J$2:$J$3000)+SUMIF(EXTRATO!$A$2:$A$3000,$A3118,EXTRATO!$K$2:$K$3000)+SUMIF(EXTRATO!$A$2:$A$3000,$A3118,EXTRATO!$L$2:$L$3000)+SUMIF(EXTRATO!$A$2:$A$3000,$A3118,EXTRATO!$M$2:$M$3000))</f>
        <v/>
      </c>
      <c r="G3118" s="81" t="str">
        <f>IF(A3118="","",IF(INDEX(EXTRATO!$G$2:$G$3000,MATCH($A3118,EXTRATO!$A$2:$A$3000,0))="","",INDEX(EXTRATO!$G$2:$G$3000,MATCH($A3118,EXTRATO!$A$2:$A$3000,0))))</f>
        <v/>
      </c>
      <c r="H3118" s="86" t="str">
        <f>IF(A3118="","",IF(INDEX(EXTRATO!$F$2:$F$3000,MATCH($A3118,EXTRATO!$A$2:$A$3000,0))="","",INDEX(EXTRATO!$F$2:$F$3000,MATCH($A3118,EXTRATO!$A$2:$A$3000,0))))</f>
        <v/>
      </c>
      <c r="I3118" s="88" t="str">
        <f>IF(A3118="","",IF(INDEX(EXTRATO!$H$2:$H$3000,MATCH($A3118,EXTRATO!$A$2:$A$3000,0))="","",INDEX(EXTRATO!$H$2:$H$3000,MATCH($A3118,EXTRATO!$A$2:$A$3000,0))))</f>
        <v/>
      </c>
      <c r="J3118" s="86" t="str">
        <f t="shared" si="85"/>
        <v/>
      </c>
      <c r="K3118" s="86" t="str">
        <f>IF(AND(A3118="",D3118="",E3118="",F3118=""),"",IF(D3118="","SEM CATEGORIA",IF(E3118="","SEM SUBCATEGORIA",IF(COUNTIFS(CADASTROS!$L$7:$L$93,D3118,CADASTROS!$D$7:$D$93,E3118)=0,"INCOMPATÍVEL","OK"))))</f>
        <v/>
      </c>
    </row>
    <row r="3119" spans="1:11" ht="30" hidden="1" customHeight="1" x14ac:dyDescent="0.25">
      <c r="A3119" s="86" t="str">
        <f>IF(COUNTIF(EXTRATO!$A$2:$A$3000,"BAN-02976")=0,"","BAN-02976")</f>
        <v/>
      </c>
      <c r="B3119" s="85" t="str">
        <f>IF(A3119="","",IF(INDEX(EXTRATO!$C$2:$C$3000,MATCH($A3119,EXTRATO!$A$2:$A$3000,0))="","",INDEX(EXTRATO!$C$2:$C$3000,MATCH($A3119,EXTRATO!$A$2:$A$3000,0))))</f>
        <v/>
      </c>
      <c r="C3119" s="86" t="str">
        <f t="shared" si="84"/>
        <v/>
      </c>
      <c r="D3119" s="81"/>
      <c r="E3119" s="79"/>
      <c r="F3119" s="80" t="str">
        <f>IF(A3119="","",SUMIF(EXTRATO!$A$2:$A$3000,$A3119,EXTRATO!$J$2:$J$3000)+SUMIF(EXTRATO!$A$2:$A$3000,$A3119,EXTRATO!$K$2:$K$3000)+SUMIF(EXTRATO!$A$2:$A$3000,$A3119,EXTRATO!$L$2:$L$3000)+SUMIF(EXTRATO!$A$2:$A$3000,$A3119,EXTRATO!$M$2:$M$3000))</f>
        <v/>
      </c>
      <c r="G3119" s="81" t="str">
        <f>IF(A3119="","",IF(INDEX(EXTRATO!$G$2:$G$3000,MATCH($A3119,EXTRATO!$A$2:$A$3000,0))="","",INDEX(EXTRATO!$G$2:$G$3000,MATCH($A3119,EXTRATO!$A$2:$A$3000,0))))</f>
        <v/>
      </c>
      <c r="H3119" s="86" t="str">
        <f>IF(A3119="","",IF(INDEX(EXTRATO!$F$2:$F$3000,MATCH($A3119,EXTRATO!$A$2:$A$3000,0))="","",INDEX(EXTRATO!$F$2:$F$3000,MATCH($A3119,EXTRATO!$A$2:$A$3000,0))))</f>
        <v/>
      </c>
      <c r="I3119" s="88" t="str">
        <f>IF(A3119="","",IF(INDEX(EXTRATO!$H$2:$H$3000,MATCH($A3119,EXTRATO!$A$2:$A$3000,0))="","",INDEX(EXTRATO!$H$2:$H$3000,MATCH($A3119,EXTRATO!$A$2:$A$3000,0))))</f>
        <v/>
      </c>
      <c r="J3119" s="86" t="str">
        <f t="shared" si="85"/>
        <v/>
      </c>
      <c r="K3119" s="86" t="str">
        <f>IF(AND(A3119="",D3119="",E3119="",F3119=""),"",IF(D3119="","SEM CATEGORIA",IF(E3119="","SEM SUBCATEGORIA",IF(COUNTIFS(CADASTROS!$L$7:$L$93,D3119,CADASTROS!$D$7:$D$93,E3119)=0,"INCOMPATÍVEL","OK"))))</f>
        <v/>
      </c>
    </row>
    <row r="3120" spans="1:11" ht="30" hidden="1" customHeight="1" x14ac:dyDescent="0.25">
      <c r="A3120" s="86" t="str">
        <f>IF(COUNTIF(EXTRATO!$A$2:$A$3000,"BAN-02977")=0,"","BAN-02977")</f>
        <v/>
      </c>
      <c r="B3120" s="85" t="str">
        <f>IF(A3120="","",IF(INDEX(EXTRATO!$C$2:$C$3000,MATCH($A3120,EXTRATO!$A$2:$A$3000,0))="","",INDEX(EXTRATO!$C$2:$C$3000,MATCH($A3120,EXTRATO!$A$2:$A$3000,0))))</f>
        <v/>
      </c>
      <c r="C3120" s="86" t="str">
        <f t="shared" si="84"/>
        <v/>
      </c>
      <c r="D3120" s="81"/>
      <c r="E3120" s="79"/>
      <c r="F3120" s="80" t="str">
        <f>IF(A3120="","",SUMIF(EXTRATO!$A$2:$A$3000,$A3120,EXTRATO!$J$2:$J$3000)+SUMIF(EXTRATO!$A$2:$A$3000,$A3120,EXTRATO!$K$2:$K$3000)+SUMIF(EXTRATO!$A$2:$A$3000,$A3120,EXTRATO!$L$2:$L$3000)+SUMIF(EXTRATO!$A$2:$A$3000,$A3120,EXTRATO!$M$2:$M$3000))</f>
        <v/>
      </c>
      <c r="G3120" s="81" t="str">
        <f>IF(A3120="","",IF(INDEX(EXTRATO!$G$2:$G$3000,MATCH($A3120,EXTRATO!$A$2:$A$3000,0))="","",INDEX(EXTRATO!$G$2:$G$3000,MATCH($A3120,EXTRATO!$A$2:$A$3000,0))))</f>
        <v/>
      </c>
      <c r="H3120" s="86" t="str">
        <f>IF(A3120="","",IF(INDEX(EXTRATO!$F$2:$F$3000,MATCH($A3120,EXTRATO!$A$2:$A$3000,0))="","",INDEX(EXTRATO!$F$2:$F$3000,MATCH($A3120,EXTRATO!$A$2:$A$3000,0))))</f>
        <v/>
      </c>
      <c r="I3120" s="88" t="str">
        <f>IF(A3120="","",IF(INDEX(EXTRATO!$H$2:$H$3000,MATCH($A3120,EXTRATO!$A$2:$A$3000,0))="","",INDEX(EXTRATO!$H$2:$H$3000,MATCH($A3120,EXTRATO!$A$2:$A$3000,0))))</f>
        <v/>
      </c>
      <c r="J3120" s="86" t="str">
        <f t="shared" si="85"/>
        <v/>
      </c>
      <c r="K3120" s="86" t="str">
        <f>IF(AND(A3120="",D3120="",E3120="",F3120=""),"",IF(D3120="","SEM CATEGORIA",IF(E3120="","SEM SUBCATEGORIA",IF(COUNTIFS(CADASTROS!$L$7:$L$93,D3120,CADASTROS!$D$7:$D$93,E3120)=0,"INCOMPATÍVEL","OK"))))</f>
        <v/>
      </c>
    </row>
    <row r="3121" spans="1:11" ht="30" hidden="1" customHeight="1" x14ac:dyDescent="0.25">
      <c r="A3121" s="86" t="str">
        <f>IF(COUNTIF(EXTRATO!$A$2:$A$3000,"BAN-02978")=0,"","BAN-02978")</f>
        <v/>
      </c>
      <c r="B3121" s="85" t="str">
        <f>IF(A3121="","",IF(INDEX(EXTRATO!$C$2:$C$3000,MATCH($A3121,EXTRATO!$A$2:$A$3000,0))="","",INDEX(EXTRATO!$C$2:$C$3000,MATCH($A3121,EXTRATO!$A$2:$A$3000,0))))</f>
        <v/>
      </c>
      <c r="C3121" s="86" t="str">
        <f t="shared" si="84"/>
        <v/>
      </c>
      <c r="D3121" s="81"/>
      <c r="E3121" s="79"/>
      <c r="F3121" s="80" t="str">
        <f>IF(A3121="","",SUMIF(EXTRATO!$A$2:$A$3000,$A3121,EXTRATO!$J$2:$J$3000)+SUMIF(EXTRATO!$A$2:$A$3000,$A3121,EXTRATO!$K$2:$K$3000)+SUMIF(EXTRATO!$A$2:$A$3000,$A3121,EXTRATO!$L$2:$L$3000)+SUMIF(EXTRATO!$A$2:$A$3000,$A3121,EXTRATO!$M$2:$M$3000))</f>
        <v/>
      </c>
      <c r="G3121" s="81" t="str">
        <f>IF(A3121="","",IF(INDEX(EXTRATO!$G$2:$G$3000,MATCH($A3121,EXTRATO!$A$2:$A$3000,0))="","",INDEX(EXTRATO!$G$2:$G$3000,MATCH($A3121,EXTRATO!$A$2:$A$3000,0))))</f>
        <v/>
      </c>
      <c r="H3121" s="86" t="str">
        <f>IF(A3121="","",IF(INDEX(EXTRATO!$F$2:$F$3000,MATCH($A3121,EXTRATO!$A$2:$A$3000,0))="","",INDEX(EXTRATO!$F$2:$F$3000,MATCH($A3121,EXTRATO!$A$2:$A$3000,0))))</f>
        <v/>
      </c>
      <c r="I3121" s="88" t="str">
        <f>IF(A3121="","",IF(INDEX(EXTRATO!$H$2:$H$3000,MATCH($A3121,EXTRATO!$A$2:$A$3000,0))="","",INDEX(EXTRATO!$H$2:$H$3000,MATCH($A3121,EXTRATO!$A$2:$A$3000,0))))</f>
        <v/>
      </c>
      <c r="J3121" s="86" t="str">
        <f t="shared" si="85"/>
        <v/>
      </c>
      <c r="K3121" s="86" t="str">
        <f>IF(AND(A3121="",D3121="",E3121="",F3121=""),"",IF(D3121="","SEM CATEGORIA",IF(E3121="","SEM SUBCATEGORIA",IF(COUNTIFS(CADASTROS!$L$7:$L$93,D3121,CADASTROS!$D$7:$D$93,E3121)=0,"INCOMPATÍVEL","OK"))))</f>
        <v/>
      </c>
    </row>
    <row r="3122" spans="1:11" ht="30" hidden="1" customHeight="1" x14ac:dyDescent="0.25">
      <c r="A3122" s="86" t="str">
        <f>IF(COUNTIF(EXTRATO!$A$2:$A$3000,"BAN-02979")=0,"","BAN-02979")</f>
        <v/>
      </c>
      <c r="B3122" s="85" t="str">
        <f>IF(A3122="","",IF(INDEX(EXTRATO!$C$2:$C$3000,MATCH($A3122,EXTRATO!$A$2:$A$3000,0))="","",INDEX(EXTRATO!$C$2:$C$3000,MATCH($A3122,EXTRATO!$A$2:$A$3000,0))))</f>
        <v/>
      </c>
      <c r="C3122" s="86" t="str">
        <f t="shared" si="84"/>
        <v/>
      </c>
      <c r="D3122" s="81"/>
      <c r="E3122" s="79"/>
      <c r="F3122" s="80" t="str">
        <f>IF(A3122="","",SUMIF(EXTRATO!$A$2:$A$3000,$A3122,EXTRATO!$J$2:$J$3000)+SUMIF(EXTRATO!$A$2:$A$3000,$A3122,EXTRATO!$K$2:$K$3000)+SUMIF(EXTRATO!$A$2:$A$3000,$A3122,EXTRATO!$L$2:$L$3000)+SUMIF(EXTRATO!$A$2:$A$3000,$A3122,EXTRATO!$M$2:$M$3000))</f>
        <v/>
      </c>
      <c r="G3122" s="81" t="str">
        <f>IF(A3122="","",IF(INDEX(EXTRATO!$G$2:$G$3000,MATCH($A3122,EXTRATO!$A$2:$A$3000,0))="","",INDEX(EXTRATO!$G$2:$G$3000,MATCH($A3122,EXTRATO!$A$2:$A$3000,0))))</f>
        <v/>
      </c>
      <c r="H3122" s="86" t="str">
        <f>IF(A3122="","",IF(INDEX(EXTRATO!$F$2:$F$3000,MATCH($A3122,EXTRATO!$A$2:$A$3000,0))="","",INDEX(EXTRATO!$F$2:$F$3000,MATCH($A3122,EXTRATO!$A$2:$A$3000,0))))</f>
        <v/>
      </c>
      <c r="I3122" s="88" t="str">
        <f>IF(A3122="","",IF(INDEX(EXTRATO!$H$2:$H$3000,MATCH($A3122,EXTRATO!$A$2:$A$3000,0))="","",INDEX(EXTRATO!$H$2:$H$3000,MATCH($A3122,EXTRATO!$A$2:$A$3000,0))))</f>
        <v/>
      </c>
      <c r="J3122" s="86" t="str">
        <f t="shared" si="85"/>
        <v/>
      </c>
      <c r="K3122" s="86" t="str">
        <f>IF(AND(A3122="",D3122="",E3122="",F3122=""),"",IF(D3122="","SEM CATEGORIA",IF(E3122="","SEM SUBCATEGORIA",IF(COUNTIFS(CADASTROS!$L$7:$L$93,D3122,CADASTROS!$D$7:$D$93,E3122)=0,"INCOMPATÍVEL","OK"))))</f>
        <v/>
      </c>
    </row>
    <row r="3123" spans="1:11" ht="30" hidden="1" customHeight="1" x14ac:dyDescent="0.25">
      <c r="A3123" s="86" t="str">
        <f>IF(COUNTIF(EXTRATO!$A$2:$A$3000,"BAN-02980")=0,"","BAN-02980")</f>
        <v/>
      </c>
      <c r="B3123" s="85" t="str">
        <f>IF(A3123="","",IF(INDEX(EXTRATO!$C$2:$C$3000,MATCH($A3123,EXTRATO!$A$2:$A$3000,0))="","",INDEX(EXTRATO!$C$2:$C$3000,MATCH($A3123,EXTRATO!$A$2:$A$3000,0))))</f>
        <v/>
      </c>
      <c r="C3123" s="86" t="str">
        <f t="shared" si="84"/>
        <v/>
      </c>
      <c r="D3123" s="81"/>
      <c r="E3123" s="79"/>
      <c r="F3123" s="80" t="str">
        <f>IF(A3123="","",SUMIF(EXTRATO!$A$2:$A$3000,$A3123,EXTRATO!$J$2:$J$3000)+SUMIF(EXTRATO!$A$2:$A$3000,$A3123,EXTRATO!$K$2:$K$3000)+SUMIF(EXTRATO!$A$2:$A$3000,$A3123,EXTRATO!$L$2:$L$3000)+SUMIF(EXTRATO!$A$2:$A$3000,$A3123,EXTRATO!$M$2:$M$3000))</f>
        <v/>
      </c>
      <c r="G3123" s="81" t="str">
        <f>IF(A3123="","",IF(INDEX(EXTRATO!$G$2:$G$3000,MATCH($A3123,EXTRATO!$A$2:$A$3000,0))="","",INDEX(EXTRATO!$G$2:$G$3000,MATCH($A3123,EXTRATO!$A$2:$A$3000,0))))</f>
        <v/>
      </c>
      <c r="H3123" s="86" t="str">
        <f>IF(A3123="","",IF(INDEX(EXTRATO!$F$2:$F$3000,MATCH($A3123,EXTRATO!$A$2:$A$3000,0))="","",INDEX(EXTRATO!$F$2:$F$3000,MATCH($A3123,EXTRATO!$A$2:$A$3000,0))))</f>
        <v/>
      </c>
      <c r="I3123" s="88" t="str">
        <f>IF(A3123="","",IF(INDEX(EXTRATO!$H$2:$H$3000,MATCH($A3123,EXTRATO!$A$2:$A$3000,0))="","",INDEX(EXTRATO!$H$2:$H$3000,MATCH($A3123,EXTRATO!$A$2:$A$3000,0))))</f>
        <v/>
      </c>
      <c r="J3123" s="86" t="str">
        <f t="shared" si="85"/>
        <v/>
      </c>
      <c r="K3123" s="86" t="str">
        <f>IF(AND(A3123="",D3123="",E3123="",F3123=""),"",IF(D3123="","SEM CATEGORIA",IF(E3123="","SEM SUBCATEGORIA",IF(COUNTIFS(CADASTROS!$L$7:$L$93,D3123,CADASTROS!$D$7:$D$93,E3123)=0,"INCOMPATÍVEL","OK"))))</f>
        <v/>
      </c>
    </row>
    <row r="3124" spans="1:11" ht="30" hidden="1" customHeight="1" x14ac:dyDescent="0.25">
      <c r="A3124" s="86" t="str">
        <f>IF(COUNTIF(EXTRATO!$A$2:$A$3000,"BAN-02981")=0,"","BAN-02981")</f>
        <v/>
      </c>
      <c r="B3124" s="85" t="str">
        <f>IF(A3124="","",IF(INDEX(EXTRATO!$C$2:$C$3000,MATCH($A3124,EXTRATO!$A$2:$A$3000,0))="","",INDEX(EXTRATO!$C$2:$C$3000,MATCH($A3124,EXTRATO!$A$2:$A$3000,0))))</f>
        <v/>
      </c>
      <c r="C3124" s="86" t="str">
        <f t="shared" si="84"/>
        <v/>
      </c>
      <c r="D3124" s="81"/>
      <c r="E3124" s="79"/>
      <c r="F3124" s="80" t="str">
        <f>IF(A3124="","",SUMIF(EXTRATO!$A$2:$A$3000,$A3124,EXTRATO!$J$2:$J$3000)+SUMIF(EXTRATO!$A$2:$A$3000,$A3124,EXTRATO!$K$2:$K$3000)+SUMIF(EXTRATO!$A$2:$A$3000,$A3124,EXTRATO!$L$2:$L$3000)+SUMIF(EXTRATO!$A$2:$A$3000,$A3124,EXTRATO!$M$2:$M$3000))</f>
        <v/>
      </c>
      <c r="G3124" s="81" t="str">
        <f>IF(A3124="","",IF(INDEX(EXTRATO!$G$2:$G$3000,MATCH($A3124,EXTRATO!$A$2:$A$3000,0))="","",INDEX(EXTRATO!$G$2:$G$3000,MATCH($A3124,EXTRATO!$A$2:$A$3000,0))))</f>
        <v/>
      </c>
      <c r="H3124" s="86" t="str">
        <f>IF(A3124="","",IF(INDEX(EXTRATO!$F$2:$F$3000,MATCH($A3124,EXTRATO!$A$2:$A$3000,0))="","",INDEX(EXTRATO!$F$2:$F$3000,MATCH($A3124,EXTRATO!$A$2:$A$3000,0))))</f>
        <v/>
      </c>
      <c r="I3124" s="88" t="str">
        <f>IF(A3124="","",IF(INDEX(EXTRATO!$H$2:$H$3000,MATCH($A3124,EXTRATO!$A$2:$A$3000,0))="","",INDEX(EXTRATO!$H$2:$H$3000,MATCH($A3124,EXTRATO!$A$2:$A$3000,0))))</f>
        <v/>
      </c>
      <c r="J3124" s="86" t="str">
        <f t="shared" si="85"/>
        <v/>
      </c>
      <c r="K3124" s="86" t="str">
        <f>IF(AND(A3124="",D3124="",E3124="",F3124=""),"",IF(D3124="","SEM CATEGORIA",IF(E3124="","SEM SUBCATEGORIA",IF(COUNTIFS(CADASTROS!$L$7:$L$93,D3124,CADASTROS!$D$7:$D$93,E3124)=0,"INCOMPATÍVEL","OK"))))</f>
        <v/>
      </c>
    </row>
    <row r="3125" spans="1:11" ht="30" hidden="1" customHeight="1" x14ac:dyDescent="0.25">
      <c r="A3125" s="86" t="str">
        <f>IF(COUNTIF(EXTRATO!$A$2:$A$3000,"BAN-02982")=0,"","BAN-02982")</f>
        <v/>
      </c>
      <c r="B3125" s="85" t="str">
        <f>IF(A3125="","",IF(INDEX(EXTRATO!$C$2:$C$3000,MATCH($A3125,EXTRATO!$A$2:$A$3000,0))="","",INDEX(EXTRATO!$C$2:$C$3000,MATCH($A3125,EXTRATO!$A$2:$A$3000,0))))</f>
        <v/>
      </c>
      <c r="C3125" s="86" t="str">
        <f t="shared" si="84"/>
        <v/>
      </c>
      <c r="D3125" s="81"/>
      <c r="E3125" s="79"/>
      <c r="F3125" s="80" t="str">
        <f>IF(A3125="","",SUMIF(EXTRATO!$A$2:$A$3000,$A3125,EXTRATO!$J$2:$J$3000)+SUMIF(EXTRATO!$A$2:$A$3000,$A3125,EXTRATO!$K$2:$K$3000)+SUMIF(EXTRATO!$A$2:$A$3000,$A3125,EXTRATO!$L$2:$L$3000)+SUMIF(EXTRATO!$A$2:$A$3000,$A3125,EXTRATO!$M$2:$M$3000))</f>
        <v/>
      </c>
      <c r="G3125" s="81" t="str">
        <f>IF(A3125="","",IF(INDEX(EXTRATO!$G$2:$G$3000,MATCH($A3125,EXTRATO!$A$2:$A$3000,0))="","",INDEX(EXTRATO!$G$2:$G$3000,MATCH($A3125,EXTRATO!$A$2:$A$3000,0))))</f>
        <v/>
      </c>
      <c r="H3125" s="86" t="str">
        <f>IF(A3125="","",IF(INDEX(EXTRATO!$F$2:$F$3000,MATCH($A3125,EXTRATO!$A$2:$A$3000,0))="","",INDEX(EXTRATO!$F$2:$F$3000,MATCH($A3125,EXTRATO!$A$2:$A$3000,0))))</f>
        <v/>
      </c>
      <c r="I3125" s="88" t="str">
        <f>IF(A3125="","",IF(INDEX(EXTRATO!$H$2:$H$3000,MATCH($A3125,EXTRATO!$A$2:$A$3000,0))="","",INDEX(EXTRATO!$H$2:$H$3000,MATCH($A3125,EXTRATO!$A$2:$A$3000,0))))</f>
        <v/>
      </c>
      <c r="J3125" s="86" t="str">
        <f t="shared" si="85"/>
        <v/>
      </c>
      <c r="K3125" s="86" t="str">
        <f>IF(AND(A3125="",D3125="",E3125="",F3125=""),"",IF(D3125="","SEM CATEGORIA",IF(E3125="","SEM SUBCATEGORIA",IF(COUNTIFS(CADASTROS!$L$7:$L$93,D3125,CADASTROS!$D$7:$D$93,E3125)=0,"INCOMPATÍVEL","OK"))))</f>
        <v/>
      </c>
    </row>
    <row r="3126" spans="1:11" ht="30" hidden="1" customHeight="1" x14ac:dyDescent="0.25">
      <c r="A3126" s="86" t="str">
        <f>IF(COUNTIF(EXTRATO!$A$2:$A$3000,"BAN-02983")=0,"","BAN-02983")</f>
        <v/>
      </c>
      <c r="B3126" s="85" t="str">
        <f>IF(A3126="","",IF(INDEX(EXTRATO!$C$2:$C$3000,MATCH($A3126,EXTRATO!$A$2:$A$3000,0))="","",INDEX(EXTRATO!$C$2:$C$3000,MATCH($A3126,EXTRATO!$A$2:$A$3000,0))))</f>
        <v/>
      </c>
      <c r="C3126" s="86" t="str">
        <f t="shared" si="84"/>
        <v/>
      </c>
      <c r="D3126" s="81"/>
      <c r="E3126" s="79"/>
      <c r="F3126" s="80" t="str">
        <f>IF(A3126="","",SUMIF(EXTRATO!$A$2:$A$3000,$A3126,EXTRATO!$J$2:$J$3000)+SUMIF(EXTRATO!$A$2:$A$3000,$A3126,EXTRATO!$K$2:$K$3000)+SUMIF(EXTRATO!$A$2:$A$3000,$A3126,EXTRATO!$L$2:$L$3000)+SUMIF(EXTRATO!$A$2:$A$3000,$A3126,EXTRATO!$M$2:$M$3000))</f>
        <v/>
      </c>
      <c r="G3126" s="81" t="str">
        <f>IF(A3126="","",IF(INDEX(EXTRATO!$G$2:$G$3000,MATCH($A3126,EXTRATO!$A$2:$A$3000,0))="","",INDEX(EXTRATO!$G$2:$G$3000,MATCH($A3126,EXTRATO!$A$2:$A$3000,0))))</f>
        <v/>
      </c>
      <c r="H3126" s="86" t="str">
        <f>IF(A3126="","",IF(INDEX(EXTRATO!$F$2:$F$3000,MATCH($A3126,EXTRATO!$A$2:$A$3000,0))="","",INDEX(EXTRATO!$F$2:$F$3000,MATCH($A3126,EXTRATO!$A$2:$A$3000,0))))</f>
        <v/>
      </c>
      <c r="I3126" s="88" t="str">
        <f>IF(A3126="","",IF(INDEX(EXTRATO!$H$2:$H$3000,MATCH($A3126,EXTRATO!$A$2:$A$3000,0))="","",INDEX(EXTRATO!$H$2:$H$3000,MATCH($A3126,EXTRATO!$A$2:$A$3000,0))))</f>
        <v/>
      </c>
      <c r="J3126" s="86" t="str">
        <f t="shared" si="85"/>
        <v/>
      </c>
      <c r="K3126" s="86" t="str">
        <f>IF(AND(A3126="",D3126="",E3126="",F3126=""),"",IF(D3126="","SEM CATEGORIA",IF(E3126="","SEM SUBCATEGORIA",IF(COUNTIFS(CADASTROS!$L$7:$L$93,D3126,CADASTROS!$D$7:$D$93,E3126)=0,"INCOMPATÍVEL","OK"))))</f>
        <v/>
      </c>
    </row>
    <row r="3127" spans="1:11" ht="30" hidden="1" customHeight="1" x14ac:dyDescent="0.25">
      <c r="A3127" s="86" t="str">
        <f>IF(COUNTIF(EXTRATO!$A$2:$A$3000,"BAN-02984")=0,"","BAN-02984")</f>
        <v/>
      </c>
      <c r="B3127" s="85" t="str">
        <f>IF(A3127="","",IF(INDEX(EXTRATO!$C$2:$C$3000,MATCH($A3127,EXTRATO!$A$2:$A$3000,0))="","",INDEX(EXTRATO!$C$2:$C$3000,MATCH($A3127,EXTRATO!$A$2:$A$3000,0))))</f>
        <v/>
      </c>
      <c r="C3127" s="86" t="str">
        <f t="shared" si="84"/>
        <v/>
      </c>
      <c r="D3127" s="81"/>
      <c r="E3127" s="79"/>
      <c r="F3127" s="80" t="str">
        <f>IF(A3127="","",SUMIF(EXTRATO!$A$2:$A$3000,$A3127,EXTRATO!$J$2:$J$3000)+SUMIF(EXTRATO!$A$2:$A$3000,$A3127,EXTRATO!$K$2:$K$3000)+SUMIF(EXTRATO!$A$2:$A$3000,$A3127,EXTRATO!$L$2:$L$3000)+SUMIF(EXTRATO!$A$2:$A$3000,$A3127,EXTRATO!$M$2:$M$3000))</f>
        <v/>
      </c>
      <c r="G3127" s="81" t="str">
        <f>IF(A3127="","",IF(INDEX(EXTRATO!$G$2:$G$3000,MATCH($A3127,EXTRATO!$A$2:$A$3000,0))="","",INDEX(EXTRATO!$G$2:$G$3000,MATCH($A3127,EXTRATO!$A$2:$A$3000,0))))</f>
        <v/>
      </c>
      <c r="H3127" s="86" t="str">
        <f>IF(A3127="","",IF(INDEX(EXTRATO!$F$2:$F$3000,MATCH($A3127,EXTRATO!$A$2:$A$3000,0))="","",INDEX(EXTRATO!$F$2:$F$3000,MATCH($A3127,EXTRATO!$A$2:$A$3000,0))))</f>
        <v/>
      </c>
      <c r="I3127" s="88" t="str">
        <f>IF(A3127="","",IF(INDEX(EXTRATO!$H$2:$H$3000,MATCH($A3127,EXTRATO!$A$2:$A$3000,0))="","",INDEX(EXTRATO!$H$2:$H$3000,MATCH($A3127,EXTRATO!$A$2:$A$3000,0))))</f>
        <v/>
      </c>
      <c r="J3127" s="86" t="str">
        <f t="shared" si="85"/>
        <v/>
      </c>
      <c r="K3127" s="86" t="str">
        <f>IF(AND(A3127="",D3127="",E3127="",F3127=""),"",IF(D3127="","SEM CATEGORIA",IF(E3127="","SEM SUBCATEGORIA",IF(COUNTIFS(CADASTROS!$L$7:$L$93,D3127,CADASTROS!$D$7:$D$93,E3127)=0,"INCOMPATÍVEL","OK"))))</f>
        <v/>
      </c>
    </row>
    <row r="3128" spans="1:11" ht="30" hidden="1" customHeight="1" x14ac:dyDescent="0.25">
      <c r="A3128" s="86" t="str">
        <f>IF(COUNTIF(EXTRATO!$A$2:$A$3000,"BAN-02985")=0,"","BAN-02985")</f>
        <v/>
      </c>
      <c r="B3128" s="85" t="str">
        <f>IF(A3128="","",IF(INDEX(EXTRATO!$C$2:$C$3000,MATCH($A3128,EXTRATO!$A$2:$A$3000,0))="","",INDEX(EXTRATO!$C$2:$C$3000,MATCH($A3128,EXTRATO!$A$2:$A$3000,0))))</f>
        <v/>
      </c>
      <c r="C3128" s="86" t="str">
        <f t="shared" si="84"/>
        <v/>
      </c>
      <c r="D3128" s="81"/>
      <c r="E3128" s="79"/>
      <c r="F3128" s="80" t="str">
        <f>IF(A3128="","",SUMIF(EXTRATO!$A$2:$A$3000,$A3128,EXTRATO!$J$2:$J$3000)+SUMIF(EXTRATO!$A$2:$A$3000,$A3128,EXTRATO!$K$2:$K$3000)+SUMIF(EXTRATO!$A$2:$A$3000,$A3128,EXTRATO!$L$2:$L$3000)+SUMIF(EXTRATO!$A$2:$A$3000,$A3128,EXTRATO!$M$2:$M$3000))</f>
        <v/>
      </c>
      <c r="G3128" s="81" t="str">
        <f>IF(A3128="","",IF(INDEX(EXTRATO!$G$2:$G$3000,MATCH($A3128,EXTRATO!$A$2:$A$3000,0))="","",INDEX(EXTRATO!$G$2:$G$3000,MATCH($A3128,EXTRATO!$A$2:$A$3000,0))))</f>
        <v/>
      </c>
      <c r="H3128" s="86" t="str">
        <f>IF(A3128="","",IF(INDEX(EXTRATO!$F$2:$F$3000,MATCH($A3128,EXTRATO!$A$2:$A$3000,0))="","",INDEX(EXTRATO!$F$2:$F$3000,MATCH($A3128,EXTRATO!$A$2:$A$3000,0))))</f>
        <v/>
      </c>
      <c r="I3128" s="88" t="str">
        <f>IF(A3128="","",IF(INDEX(EXTRATO!$H$2:$H$3000,MATCH($A3128,EXTRATO!$A$2:$A$3000,0))="","",INDEX(EXTRATO!$H$2:$H$3000,MATCH($A3128,EXTRATO!$A$2:$A$3000,0))))</f>
        <v/>
      </c>
      <c r="J3128" s="86" t="str">
        <f t="shared" si="85"/>
        <v/>
      </c>
      <c r="K3128" s="86" t="str">
        <f>IF(AND(A3128="",D3128="",E3128="",F3128=""),"",IF(D3128="","SEM CATEGORIA",IF(E3128="","SEM SUBCATEGORIA",IF(COUNTIFS(CADASTROS!$L$7:$L$93,D3128,CADASTROS!$D$7:$D$93,E3128)=0,"INCOMPATÍVEL","OK"))))</f>
        <v/>
      </c>
    </row>
    <row r="3129" spans="1:11" ht="30" hidden="1" customHeight="1" x14ac:dyDescent="0.25">
      <c r="A3129" s="86" t="str">
        <f>IF(COUNTIF(EXTRATO!$A$2:$A$3000,"BAN-02986")=0,"","BAN-02986")</f>
        <v/>
      </c>
      <c r="B3129" s="85" t="str">
        <f>IF(A3129="","",IF(INDEX(EXTRATO!$C$2:$C$3000,MATCH($A3129,EXTRATO!$A$2:$A$3000,0))="","",INDEX(EXTRATO!$C$2:$C$3000,MATCH($A3129,EXTRATO!$A$2:$A$3000,0))))</f>
        <v/>
      </c>
      <c r="C3129" s="86" t="str">
        <f t="shared" si="84"/>
        <v/>
      </c>
      <c r="D3129" s="81"/>
      <c r="E3129" s="79"/>
      <c r="F3129" s="80" t="str">
        <f>IF(A3129="","",SUMIF(EXTRATO!$A$2:$A$3000,$A3129,EXTRATO!$J$2:$J$3000)+SUMIF(EXTRATO!$A$2:$A$3000,$A3129,EXTRATO!$K$2:$K$3000)+SUMIF(EXTRATO!$A$2:$A$3000,$A3129,EXTRATO!$L$2:$L$3000)+SUMIF(EXTRATO!$A$2:$A$3000,$A3129,EXTRATO!$M$2:$M$3000))</f>
        <v/>
      </c>
      <c r="G3129" s="81" t="str">
        <f>IF(A3129="","",IF(INDEX(EXTRATO!$G$2:$G$3000,MATCH($A3129,EXTRATO!$A$2:$A$3000,0))="","",INDEX(EXTRATO!$G$2:$G$3000,MATCH($A3129,EXTRATO!$A$2:$A$3000,0))))</f>
        <v/>
      </c>
      <c r="H3129" s="86" t="str">
        <f>IF(A3129="","",IF(INDEX(EXTRATO!$F$2:$F$3000,MATCH($A3129,EXTRATO!$A$2:$A$3000,0))="","",INDEX(EXTRATO!$F$2:$F$3000,MATCH($A3129,EXTRATO!$A$2:$A$3000,0))))</f>
        <v/>
      </c>
      <c r="I3129" s="88" t="str">
        <f>IF(A3129="","",IF(INDEX(EXTRATO!$H$2:$H$3000,MATCH($A3129,EXTRATO!$A$2:$A$3000,0))="","",INDEX(EXTRATO!$H$2:$H$3000,MATCH($A3129,EXTRATO!$A$2:$A$3000,0))))</f>
        <v/>
      </c>
      <c r="J3129" s="86" t="str">
        <f t="shared" si="85"/>
        <v/>
      </c>
      <c r="K3129" s="86" t="str">
        <f>IF(AND(A3129="",D3129="",E3129="",F3129=""),"",IF(D3129="","SEM CATEGORIA",IF(E3129="","SEM SUBCATEGORIA",IF(COUNTIFS(CADASTROS!$L$7:$L$93,D3129,CADASTROS!$D$7:$D$93,E3129)=0,"INCOMPATÍVEL","OK"))))</f>
        <v/>
      </c>
    </row>
    <row r="3130" spans="1:11" ht="30" hidden="1" customHeight="1" x14ac:dyDescent="0.25">
      <c r="A3130" s="86" t="str">
        <f>IF(COUNTIF(EXTRATO!$A$2:$A$3000,"BAN-02987")=0,"","BAN-02987")</f>
        <v/>
      </c>
      <c r="B3130" s="85" t="str">
        <f>IF(A3130="","",IF(INDEX(EXTRATO!$C$2:$C$3000,MATCH($A3130,EXTRATO!$A$2:$A$3000,0))="","",INDEX(EXTRATO!$C$2:$C$3000,MATCH($A3130,EXTRATO!$A$2:$A$3000,0))))</f>
        <v/>
      </c>
      <c r="C3130" s="86" t="str">
        <f t="shared" si="84"/>
        <v/>
      </c>
      <c r="D3130" s="81"/>
      <c r="E3130" s="79"/>
      <c r="F3130" s="80" t="str">
        <f>IF(A3130="","",SUMIF(EXTRATO!$A$2:$A$3000,$A3130,EXTRATO!$J$2:$J$3000)+SUMIF(EXTRATO!$A$2:$A$3000,$A3130,EXTRATO!$K$2:$K$3000)+SUMIF(EXTRATO!$A$2:$A$3000,$A3130,EXTRATO!$L$2:$L$3000)+SUMIF(EXTRATO!$A$2:$A$3000,$A3130,EXTRATO!$M$2:$M$3000))</f>
        <v/>
      </c>
      <c r="G3130" s="81" t="str">
        <f>IF(A3130="","",IF(INDEX(EXTRATO!$G$2:$G$3000,MATCH($A3130,EXTRATO!$A$2:$A$3000,0))="","",INDEX(EXTRATO!$G$2:$G$3000,MATCH($A3130,EXTRATO!$A$2:$A$3000,0))))</f>
        <v/>
      </c>
      <c r="H3130" s="86" t="str">
        <f>IF(A3130="","",IF(INDEX(EXTRATO!$F$2:$F$3000,MATCH($A3130,EXTRATO!$A$2:$A$3000,0))="","",INDEX(EXTRATO!$F$2:$F$3000,MATCH($A3130,EXTRATO!$A$2:$A$3000,0))))</f>
        <v/>
      </c>
      <c r="I3130" s="88" t="str">
        <f>IF(A3130="","",IF(INDEX(EXTRATO!$H$2:$H$3000,MATCH($A3130,EXTRATO!$A$2:$A$3000,0))="","",INDEX(EXTRATO!$H$2:$H$3000,MATCH($A3130,EXTRATO!$A$2:$A$3000,0))))</f>
        <v/>
      </c>
      <c r="J3130" s="86" t="str">
        <f t="shared" si="85"/>
        <v/>
      </c>
      <c r="K3130" s="86" t="str">
        <f>IF(AND(A3130="",D3130="",E3130="",F3130=""),"",IF(D3130="","SEM CATEGORIA",IF(E3130="","SEM SUBCATEGORIA",IF(COUNTIFS(CADASTROS!$L$7:$L$93,D3130,CADASTROS!$D$7:$D$93,E3130)=0,"INCOMPATÍVEL","OK"))))</f>
        <v/>
      </c>
    </row>
    <row r="3131" spans="1:11" ht="30" hidden="1" customHeight="1" x14ac:dyDescent="0.25">
      <c r="A3131" s="86" t="str">
        <f>IF(COUNTIF(EXTRATO!$A$2:$A$3000,"BAN-02988")=0,"","BAN-02988")</f>
        <v/>
      </c>
      <c r="B3131" s="85" t="str">
        <f>IF(A3131="","",IF(INDEX(EXTRATO!$C$2:$C$3000,MATCH($A3131,EXTRATO!$A$2:$A$3000,0))="","",INDEX(EXTRATO!$C$2:$C$3000,MATCH($A3131,EXTRATO!$A$2:$A$3000,0))))</f>
        <v/>
      </c>
      <c r="C3131" s="86" t="str">
        <f t="shared" si="84"/>
        <v/>
      </c>
      <c r="D3131" s="81"/>
      <c r="E3131" s="79"/>
      <c r="F3131" s="80" t="str">
        <f>IF(A3131="","",SUMIF(EXTRATO!$A$2:$A$3000,$A3131,EXTRATO!$J$2:$J$3000)+SUMIF(EXTRATO!$A$2:$A$3000,$A3131,EXTRATO!$K$2:$K$3000)+SUMIF(EXTRATO!$A$2:$A$3000,$A3131,EXTRATO!$L$2:$L$3000)+SUMIF(EXTRATO!$A$2:$A$3000,$A3131,EXTRATO!$M$2:$M$3000))</f>
        <v/>
      </c>
      <c r="G3131" s="81" t="str">
        <f>IF(A3131="","",IF(INDEX(EXTRATO!$G$2:$G$3000,MATCH($A3131,EXTRATO!$A$2:$A$3000,0))="","",INDEX(EXTRATO!$G$2:$G$3000,MATCH($A3131,EXTRATO!$A$2:$A$3000,0))))</f>
        <v/>
      </c>
      <c r="H3131" s="86" t="str">
        <f>IF(A3131="","",IF(INDEX(EXTRATO!$F$2:$F$3000,MATCH($A3131,EXTRATO!$A$2:$A$3000,0))="","",INDEX(EXTRATO!$F$2:$F$3000,MATCH($A3131,EXTRATO!$A$2:$A$3000,0))))</f>
        <v/>
      </c>
      <c r="I3131" s="88" t="str">
        <f>IF(A3131="","",IF(INDEX(EXTRATO!$H$2:$H$3000,MATCH($A3131,EXTRATO!$A$2:$A$3000,0))="","",INDEX(EXTRATO!$H$2:$H$3000,MATCH($A3131,EXTRATO!$A$2:$A$3000,0))))</f>
        <v/>
      </c>
      <c r="J3131" s="86" t="str">
        <f t="shared" si="85"/>
        <v/>
      </c>
      <c r="K3131" s="86" t="str">
        <f>IF(AND(A3131="",D3131="",E3131="",F3131=""),"",IF(D3131="","SEM CATEGORIA",IF(E3131="","SEM SUBCATEGORIA",IF(COUNTIFS(CADASTROS!$L$7:$L$93,D3131,CADASTROS!$D$7:$D$93,E3131)=0,"INCOMPATÍVEL","OK"))))</f>
        <v/>
      </c>
    </row>
    <row r="3132" spans="1:11" ht="30" hidden="1" customHeight="1" x14ac:dyDescent="0.25">
      <c r="A3132" s="86" t="str">
        <f>IF(COUNTIF(EXTRATO!$A$2:$A$3000,"BAN-02989")=0,"","BAN-02989")</f>
        <v/>
      </c>
      <c r="B3132" s="85" t="str">
        <f>IF(A3132="","",IF(INDEX(EXTRATO!$C$2:$C$3000,MATCH($A3132,EXTRATO!$A$2:$A$3000,0))="","",INDEX(EXTRATO!$C$2:$C$3000,MATCH($A3132,EXTRATO!$A$2:$A$3000,0))))</f>
        <v/>
      </c>
      <c r="C3132" s="86" t="str">
        <f t="shared" si="84"/>
        <v/>
      </c>
      <c r="D3132" s="81"/>
      <c r="E3132" s="79"/>
      <c r="F3132" s="80" t="str">
        <f>IF(A3132="","",SUMIF(EXTRATO!$A$2:$A$3000,$A3132,EXTRATO!$J$2:$J$3000)+SUMIF(EXTRATO!$A$2:$A$3000,$A3132,EXTRATO!$K$2:$K$3000)+SUMIF(EXTRATO!$A$2:$A$3000,$A3132,EXTRATO!$L$2:$L$3000)+SUMIF(EXTRATO!$A$2:$A$3000,$A3132,EXTRATO!$M$2:$M$3000))</f>
        <v/>
      </c>
      <c r="G3132" s="81" t="str">
        <f>IF(A3132="","",IF(INDEX(EXTRATO!$G$2:$G$3000,MATCH($A3132,EXTRATO!$A$2:$A$3000,0))="","",INDEX(EXTRATO!$G$2:$G$3000,MATCH($A3132,EXTRATO!$A$2:$A$3000,0))))</f>
        <v/>
      </c>
      <c r="H3132" s="86" t="str">
        <f>IF(A3132="","",IF(INDEX(EXTRATO!$F$2:$F$3000,MATCH($A3132,EXTRATO!$A$2:$A$3000,0))="","",INDEX(EXTRATO!$F$2:$F$3000,MATCH($A3132,EXTRATO!$A$2:$A$3000,0))))</f>
        <v/>
      </c>
      <c r="I3132" s="88" t="str">
        <f>IF(A3132="","",IF(INDEX(EXTRATO!$H$2:$H$3000,MATCH($A3132,EXTRATO!$A$2:$A$3000,0))="","",INDEX(EXTRATO!$H$2:$H$3000,MATCH($A3132,EXTRATO!$A$2:$A$3000,0))))</f>
        <v/>
      </c>
      <c r="J3132" s="86" t="str">
        <f t="shared" si="85"/>
        <v/>
      </c>
      <c r="K3132" s="86" t="str">
        <f>IF(AND(A3132="",D3132="",E3132="",F3132=""),"",IF(D3132="","SEM CATEGORIA",IF(E3132="","SEM SUBCATEGORIA",IF(COUNTIFS(CADASTROS!$L$7:$L$93,D3132,CADASTROS!$D$7:$D$93,E3132)=0,"INCOMPATÍVEL","OK"))))</f>
        <v/>
      </c>
    </row>
    <row r="3133" spans="1:11" ht="30" hidden="1" customHeight="1" x14ac:dyDescent="0.25">
      <c r="A3133" s="86" t="str">
        <f>IF(COUNTIF(EXTRATO!$A$2:$A$3000,"BAN-02990")=0,"","BAN-02990")</f>
        <v/>
      </c>
      <c r="B3133" s="85" t="str">
        <f>IF(A3133="","",IF(INDEX(EXTRATO!$C$2:$C$3000,MATCH($A3133,EXTRATO!$A$2:$A$3000,0))="","",INDEX(EXTRATO!$C$2:$C$3000,MATCH($A3133,EXTRATO!$A$2:$A$3000,0))))</f>
        <v/>
      </c>
      <c r="C3133" s="86" t="str">
        <f t="shared" si="84"/>
        <v/>
      </c>
      <c r="D3133" s="81"/>
      <c r="E3133" s="79"/>
      <c r="F3133" s="80" t="str">
        <f>IF(A3133="","",SUMIF(EXTRATO!$A$2:$A$3000,$A3133,EXTRATO!$J$2:$J$3000)+SUMIF(EXTRATO!$A$2:$A$3000,$A3133,EXTRATO!$K$2:$K$3000)+SUMIF(EXTRATO!$A$2:$A$3000,$A3133,EXTRATO!$L$2:$L$3000)+SUMIF(EXTRATO!$A$2:$A$3000,$A3133,EXTRATO!$M$2:$M$3000))</f>
        <v/>
      </c>
      <c r="G3133" s="81" t="str">
        <f>IF(A3133="","",IF(INDEX(EXTRATO!$G$2:$G$3000,MATCH($A3133,EXTRATO!$A$2:$A$3000,0))="","",INDEX(EXTRATO!$G$2:$G$3000,MATCH($A3133,EXTRATO!$A$2:$A$3000,0))))</f>
        <v/>
      </c>
      <c r="H3133" s="86" t="str">
        <f>IF(A3133="","",IF(INDEX(EXTRATO!$F$2:$F$3000,MATCH($A3133,EXTRATO!$A$2:$A$3000,0))="","",INDEX(EXTRATO!$F$2:$F$3000,MATCH($A3133,EXTRATO!$A$2:$A$3000,0))))</f>
        <v/>
      </c>
      <c r="I3133" s="88" t="str">
        <f>IF(A3133="","",IF(INDEX(EXTRATO!$H$2:$H$3000,MATCH($A3133,EXTRATO!$A$2:$A$3000,0))="","",INDEX(EXTRATO!$H$2:$H$3000,MATCH($A3133,EXTRATO!$A$2:$A$3000,0))))</f>
        <v/>
      </c>
      <c r="J3133" s="86" t="str">
        <f t="shared" si="85"/>
        <v/>
      </c>
      <c r="K3133" s="86" t="str">
        <f>IF(AND(A3133="",D3133="",E3133="",F3133=""),"",IF(D3133="","SEM CATEGORIA",IF(E3133="","SEM SUBCATEGORIA",IF(COUNTIFS(CADASTROS!$L$7:$L$93,D3133,CADASTROS!$D$7:$D$93,E3133)=0,"INCOMPATÍVEL","OK"))))</f>
        <v/>
      </c>
    </row>
    <row r="3134" spans="1:11" ht="30" hidden="1" customHeight="1" x14ac:dyDescent="0.25">
      <c r="A3134" s="86" t="str">
        <f>IF(COUNTIF(EXTRATO!$A$2:$A$3000,"BAN-02991")=0,"","BAN-02991")</f>
        <v/>
      </c>
      <c r="B3134" s="85" t="str">
        <f>IF(A3134="","",IF(INDEX(EXTRATO!$C$2:$C$3000,MATCH($A3134,EXTRATO!$A$2:$A$3000,0))="","",INDEX(EXTRATO!$C$2:$C$3000,MATCH($A3134,EXTRATO!$A$2:$A$3000,0))))</f>
        <v/>
      </c>
      <c r="C3134" s="86" t="str">
        <f t="shared" si="84"/>
        <v/>
      </c>
      <c r="D3134" s="81"/>
      <c r="E3134" s="79"/>
      <c r="F3134" s="80" t="str">
        <f>IF(A3134="","",SUMIF(EXTRATO!$A$2:$A$3000,$A3134,EXTRATO!$J$2:$J$3000)+SUMIF(EXTRATO!$A$2:$A$3000,$A3134,EXTRATO!$K$2:$K$3000)+SUMIF(EXTRATO!$A$2:$A$3000,$A3134,EXTRATO!$L$2:$L$3000)+SUMIF(EXTRATO!$A$2:$A$3000,$A3134,EXTRATO!$M$2:$M$3000))</f>
        <v/>
      </c>
      <c r="G3134" s="81" t="str">
        <f>IF(A3134="","",IF(INDEX(EXTRATO!$G$2:$G$3000,MATCH($A3134,EXTRATO!$A$2:$A$3000,0))="","",INDEX(EXTRATO!$G$2:$G$3000,MATCH($A3134,EXTRATO!$A$2:$A$3000,0))))</f>
        <v/>
      </c>
      <c r="H3134" s="86" t="str">
        <f>IF(A3134="","",IF(INDEX(EXTRATO!$F$2:$F$3000,MATCH($A3134,EXTRATO!$A$2:$A$3000,0))="","",INDEX(EXTRATO!$F$2:$F$3000,MATCH($A3134,EXTRATO!$A$2:$A$3000,0))))</f>
        <v/>
      </c>
      <c r="I3134" s="88" t="str">
        <f>IF(A3134="","",IF(INDEX(EXTRATO!$H$2:$H$3000,MATCH($A3134,EXTRATO!$A$2:$A$3000,0))="","",INDEX(EXTRATO!$H$2:$H$3000,MATCH($A3134,EXTRATO!$A$2:$A$3000,0))))</f>
        <v/>
      </c>
      <c r="J3134" s="86" t="str">
        <f t="shared" si="85"/>
        <v/>
      </c>
      <c r="K3134" s="86" t="str">
        <f>IF(AND(A3134="",D3134="",E3134="",F3134=""),"",IF(D3134="","SEM CATEGORIA",IF(E3134="","SEM SUBCATEGORIA",IF(COUNTIFS(CADASTROS!$L$7:$L$93,D3134,CADASTROS!$D$7:$D$93,E3134)=0,"INCOMPATÍVEL","OK"))))</f>
        <v/>
      </c>
    </row>
    <row r="3135" spans="1:11" ht="30" hidden="1" customHeight="1" x14ac:dyDescent="0.25">
      <c r="A3135" s="86" t="str">
        <f>IF(COUNTIF(EXTRATO!$A$2:$A$3000,"BAN-02992")=0,"","BAN-02992")</f>
        <v/>
      </c>
      <c r="B3135" s="85" t="str">
        <f>IF(A3135="","",IF(INDEX(EXTRATO!$C$2:$C$3000,MATCH($A3135,EXTRATO!$A$2:$A$3000,0))="","",INDEX(EXTRATO!$C$2:$C$3000,MATCH($A3135,EXTRATO!$A$2:$A$3000,0))))</f>
        <v/>
      </c>
      <c r="C3135" s="86" t="str">
        <f t="shared" si="84"/>
        <v/>
      </c>
      <c r="D3135" s="81"/>
      <c r="E3135" s="79"/>
      <c r="F3135" s="80" t="str">
        <f>IF(A3135="","",SUMIF(EXTRATO!$A$2:$A$3000,$A3135,EXTRATO!$J$2:$J$3000)+SUMIF(EXTRATO!$A$2:$A$3000,$A3135,EXTRATO!$K$2:$K$3000)+SUMIF(EXTRATO!$A$2:$A$3000,$A3135,EXTRATO!$L$2:$L$3000)+SUMIF(EXTRATO!$A$2:$A$3000,$A3135,EXTRATO!$M$2:$M$3000))</f>
        <v/>
      </c>
      <c r="G3135" s="81" t="str">
        <f>IF(A3135="","",IF(INDEX(EXTRATO!$G$2:$G$3000,MATCH($A3135,EXTRATO!$A$2:$A$3000,0))="","",INDEX(EXTRATO!$G$2:$G$3000,MATCH($A3135,EXTRATO!$A$2:$A$3000,0))))</f>
        <v/>
      </c>
      <c r="H3135" s="86" t="str">
        <f>IF(A3135="","",IF(INDEX(EXTRATO!$F$2:$F$3000,MATCH($A3135,EXTRATO!$A$2:$A$3000,0))="","",INDEX(EXTRATO!$F$2:$F$3000,MATCH($A3135,EXTRATO!$A$2:$A$3000,0))))</f>
        <v/>
      </c>
      <c r="I3135" s="88" t="str">
        <f>IF(A3135="","",IF(INDEX(EXTRATO!$H$2:$H$3000,MATCH($A3135,EXTRATO!$A$2:$A$3000,0))="","",INDEX(EXTRATO!$H$2:$H$3000,MATCH($A3135,EXTRATO!$A$2:$A$3000,0))))</f>
        <v/>
      </c>
      <c r="J3135" s="86" t="str">
        <f t="shared" si="85"/>
        <v/>
      </c>
      <c r="K3135" s="86" t="str">
        <f>IF(AND(A3135="",D3135="",E3135="",F3135=""),"",IF(D3135="","SEM CATEGORIA",IF(E3135="","SEM SUBCATEGORIA",IF(COUNTIFS(CADASTROS!$L$7:$L$93,D3135,CADASTROS!$D$7:$D$93,E3135)=0,"INCOMPATÍVEL","OK"))))</f>
        <v/>
      </c>
    </row>
    <row r="3136" spans="1:11" ht="30" hidden="1" customHeight="1" x14ac:dyDescent="0.25">
      <c r="A3136" s="86" t="str">
        <f>IF(COUNTIF(EXTRATO!$A$2:$A$3000,"BAN-02993")=0,"","BAN-02993")</f>
        <v/>
      </c>
      <c r="B3136" s="85" t="str">
        <f>IF(A3136="","",IF(INDEX(EXTRATO!$C$2:$C$3000,MATCH($A3136,EXTRATO!$A$2:$A$3000,0))="","",INDEX(EXTRATO!$C$2:$C$3000,MATCH($A3136,EXTRATO!$A$2:$A$3000,0))))</f>
        <v/>
      </c>
      <c r="C3136" s="86" t="str">
        <f t="shared" si="84"/>
        <v/>
      </c>
      <c r="D3136" s="81"/>
      <c r="E3136" s="79"/>
      <c r="F3136" s="80" t="str">
        <f>IF(A3136="","",SUMIF(EXTRATO!$A$2:$A$3000,$A3136,EXTRATO!$J$2:$J$3000)+SUMIF(EXTRATO!$A$2:$A$3000,$A3136,EXTRATO!$K$2:$K$3000)+SUMIF(EXTRATO!$A$2:$A$3000,$A3136,EXTRATO!$L$2:$L$3000)+SUMIF(EXTRATO!$A$2:$A$3000,$A3136,EXTRATO!$M$2:$M$3000))</f>
        <v/>
      </c>
      <c r="G3136" s="81" t="str">
        <f>IF(A3136="","",IF(INDEX(EXTRATO!$G$2:$G$3000,MATCH($A3136,EXTRATO!$A$2:$A$3000,0))="","",INDEX(EXTRATO!$G$2:$G$3000,MATCH($A3136,EXTRATO!$A$2:$A$3000,0))))</f>
        <v/>
      </c>
      <c r="H3136" s="86" t="str">
        <f>IF(A3136="","",IF(INDEX(EXTRATO!$F$2:$F$3000,MATCH($A3136,EXTRATO!$A$2:$A$3000,0))="","",INDEX(EXTRATO!$F$2:$F$3000,MATCH($A3136,EXTRATO!$A$2:$A$3000,0))))</f>
        <v/>
      </c>
      <c r="I3136" s="88" t="str">
        <f>IF(A3136="","",IF(INDEX(EXTRATO!$H$2:$H$3000,MATCH($A3136,EXTRATO!$A$2:$A$3000,0))="","",INDEX(EXTRATO!$H$2:$H$3000,MATCH($A3136,EXTRATO!$A$2:$A$3000,0))))</f>
        <v/>
      </c>
      <c r="J3136" s="86" t="str">
        <f t="shared" si="85"/>
        <v/>
      </c>
      <c r="K3136" s="86" t="str">
        <f>IF(AND(A3136="",D3136="",E3136="",F3136=""),"",IF(D3136="","SEM CATEGORIA",IF(E3136="","SEM SUBCATEGORIA",IF(COUNTIFS(CADASTROS!$L$7:$L$93,D3136,CADASTROS!$D$7:$D$93,E3136)=0,"INCOMPATÍVEL","OK"))))</f>
        <v/>
      </c>
    </row>
    <row r="3137" spans="1:11" ht="30" hidden="1" customHeight="1" x14ac:dyDescent="0.25">
      <c r="A3137" s="86" t="str">
        <f>IF(COUNTIF(EXTRATO!$A$2:$A$3000,"BAN-02994")=0,"","BAN-02994")</f>
        <v/>
      </c>
      <c r="B3137" s="85" t="str">
        <f>IF(A3137="","",IF(INDEX(EXTRATO!$C$2:$C$3000,MATCH($A3137,EXTRATO!$A$2:$A$3000,0))="","",INDEX(EXTRATO!$C$2:$C$3000,MATCH($A3137,EXTRATO!$A$2:$A$3000,0))))</f>
        <v/>
      </c>
      <c r="C3137" s="86" t="str">
        <f t="shared" si="84"/>
        <v/>
      </c>
      <c r="D3137" s="81"/>
      <c r="E3137" s="79"/>
      <c r="F3137" s="80" t="str">
        <f>IF(A3137="","",SUMIF(EXTRATO!$A$2:$A$3000,$A3137,EXTRATO!$J$2:$J$3000)+SUMIF(EXTRATO!$A$2:$A$3000,$A3137,EXTRATO!$K$2:$K$3000)+SUMIF(EXTRATO!$A$2:$A$3000,$A3137,EXTRATO!$L$2:$L$3000)+SUMIF(EXTRATO!$A$2:$A$3000,$A3137,EXTRATO!$M$2:$M$3000))</f>
        <v/>
      </c>
      <c r="G3137" s="81" t="str">
        <f>IF(A3137="","",IF(INDEX(EXTRATO!$G$2:$G$3000,MATCH($A3137,EXTRATO!$A$2:$A$3000,0))="","",INDEX(EXTRATO!$G$2:$G$3000,MATCH($A3137,EXTRATO!$A$2:$A$3000,0))))</f>
        <v/>
      </c>
      <c r="H3137" s="86" t="str">
        <f>IF(A3137="","",IF(INDEX(EXTRATO!$F$2:$F$3000,MATCH($A3137,EXTRATO!$A$2:$A$3000,0))="","",INDEX(EXTRATO!$F$2:$F$3000,MATCH($A3137,EXTRATO!$A$2:$A$3000,0))))</f>
        <v/>
      </c>
      <c r="I3137" s="88" t="str">
        <f>IF(A3137="","",IF(INDEX(EXTRATO!$H$2:$H$3000,MATCH($A3137,EXTRATO!$A$2:$A$3000,0))="","",INDEX(EXTRATO!$H$2:$H$3000,MATCH($A3137,EXTRATO!$A$2:$A$3000,0))))</f>
        <v/>
      </c>
      <c r="J3137" s="86" t="str">
        <f t="shared" si="85"/>
        <v/>
      </c>
      <c r="K3137" s="86" t="str">
        <f>IF(AND(A3137="",D3137="",E3137="",F3137=""),"",IF(D3137="","SEM CATEGORIA",IF(E3137="","SEM SUBCATEGORIA",IF(COUNTIFS(CADASTROS!$L$7:$L$93,D3137,CADASTROS!$D$7:$D$93,E3137)=0,"INCOMPATÍVEL","OK"))))</f>
        <v/>
      </c>
    </row>
    <row r="3138" spans="1:11" ht="30" hidden="1" customHeight="1" x14ac:dyDescent="0.25">
      <c r="A3138" s="86" t="str">
        <f>IF(COUNTIF(EXTRATO!$A$2:$A$3000,"BAN-02995")=0,"","BAN-02995")</f>
        <v/>
      </c>
      <c r="B3138" s="85" t="str">
        <f>IF(A3138="","",IF(INDEX(EXTRATO!$C$2:$C$3000,MATCH($A3138,EXTRATO!$A$2:$A$3000,0))="","",INDEX(EXTRATO!$C$2:$C$3000,MATCH($A3138,EXTRATO!$A$2:$A$3000,0))))</f>
        <v/>
      </c>
      <c r="C3138" s="86" t="str">
        <f t="shared" si="84"/>
        <v/>
      </c>
      <c r="D3138" s="81"/>
      <c r="E3138" s="79"/>
      <c r="F3138" s="80" t="str">
        <f>IF(A3138="","",SUMIF(EXTRATO!$A$2:$A$3000,$A3138,EXTRATO!$J$2:$J$3000)+SUMIF(EXTRATO!$A$2:$A$3000,$A3138,EXTRATO!$K$2:$K$3000)+SUMIF(EXTRATO!$A$2:$A$3000,$A3138,EXTRATO!$L$2:$L$3000)+SUMIF(EXTRATO!$A$2:$A$3000,$A3138,EXTRATO!$M$2:$M$3000))</f>
        <v/>
      </c>
      <c r="G3138" s="81" t="str">
        <f>IF(A3138="","",IF(INDEX(EXTRATO!$G$2:$G$3000,MATCH($A3138,EXTRATO!$A$2:$A$3000,0))="","",INDEX(EXTRATO!$G$2:$G$3000,MATCH($A3138,EXTRATO!$A$2:$A$3000,0))))</f>
        <v/>
      </c>
      <c r="H3138" s="86" t="str">
        <f>IF(A3138="","",IF(INDEX(EXTRATO!$F$2:$F$3000,MATCH($A3138,EXTRATO!$A$2:$A$3000,0))="","",INDEX(EXTRATO!$F$2:$F$3000,MATCH($A3138,EXTRATO!$A$2:$A$3000,0))))</f>
        <v/>
      </c>
      <c r="I3138" s="88" t="str">
        <f>IF(A3138="","",IF(INDEX(EXTRATO!$H$2:$H$3000,MATCH($A3138,EXTRATO!$A$2:$A$3000,0))="","",INDEX(EXTRATO!$H$2:$H$3000,MATCH($A3138,EXTRATO!$A$2:$A$3000,0))))</f>
        <v/>
      </c>
      <c r="J3138" s="86" t="str">
        <f t="shared" si="85"/>
        <v/>
      </c>
      <c r="K3138" s="86" t="str">
        <f>IF(AND(A3138="",D3138="",E3138="",F3138=""),"",IF(D3138="","SEM CATEGORIA",IF(E3138="","SEM SUBCATEGORIA",IF(COUNTIFS(CADASTROS!$L$7:$L$93,D3138,CADASTROS!$D$7:$D$93,E3138)=0,"INCOMPATÍVEL","OK"))))</f>
        <v/>
      </c>
    </row>
    <row r="3139" spans="1:11" ht="30" hidden="1" customHeight="1" x14ac:dyDescent="0.25">
      <c r="A3139" s="86" t="str">
        <f>IF(COUNTIF(EXTRATO!$A$2:$A$3000,"BAN-02996")=0,"","BAN-02996")</f>
        <v/>
      </c>
      <c r="B3139" s="85" t="str">
        <f>IF(A3139="","",IF(INDEX(EXTRATO!$C$2:$C$3000,MATCH($A3139,EXTRATO!$A$2:$A$3000,0))="","",INDEX(EXTRATO!$C$2:$C$3000,MATCH($A3139,EXTRATO!$A$2:$A$3000,0))))</f>
        <v/>
      </c>
      <c r="C3139" s="86" t="str">
        <f t="shared" si="84"/>
        <v/>
      </c>
      <c r="D3139" s="81"/>
      <c r="E3139" s="79"/>
      <c r="F3139" s="80" t="str">
        <f>IF(A3139="","",SUMIF(EXTRATO!$A$2:$A$3000,$A3139,EXTRATO!$J$2:$J$3000)+SUMIF(EXTRATO!$A$2:$A$3000,$A3139,EXTRATO!$K$2:$K$3000)+SUMIF(EXTRATO!$A$2:$A$3000,$A3139,EXTRATO!$L$2:$L$3000)+SUMIF(EXTRATO!$A$2:$A$3000,$A3139,EXTRATO!$M$2:$M$3000))</f>
        <v/>
      </c>
      <c r="G3139" s="81" t="str">
        <f>IF(A3139="","",IF(INDEX(EXTRATO!$G$2:$G$3000,MATCH($A3139,EXTRATO!$A$2:$A$3000,0))="","",INDEX(EXTRATO!$G$2:$G$3000,MATCH($A3139,EXTRATO!$A$2:$A$3000,0))))</f>
        <v/>
      </c>
      <c r="H3139" s="86" t="str">
        <f>IF(A3139="","",IF(INDEX(EXTRATO!$F$2:$F$3000,MATCH($A3139,EXTRATO!$A$2:$A$3000,0))="","",INDEX(EXTRATO!$F$2:$F$3000,MATCH($A3139,EXTRATO!$A$2:$A$3000,0))))</f>
        <v/>
      </c>
      <c r="I3139" s="88" t="str">
        <f>IF(A3139="","",IF(INDEX(EXTRATO!$H$2:$H$3000,MATCH($A3139,EXTRATO!$A$2:$A$3000,0))="","",INDEX(EXTRATO!$H$2:$H$3000,MATCH($A3139,EXTRATO!$A$2:$A$3000,0))))</f>
        <v/>
      </c>
      <c r="J3139" s="86" t="str">
        <f t="shared" si="85"/>
        <v/>
      </c>
      <c r="K3139" s="86" t="str">
        <f>IF(AND(A3139="",D3139="",E3139="",F3139=""),"",IF(D3139="","SEM CATEGORIA",IF(E3139="","SEM SUBCATEGORIA",IF(COUNTIFS(CADASTROS!$L$7:$L$93,D3139,CADASTROS!$D$7:$D$93,E3139)=0,"INCOMPATÍVEL","OK"))))</f>
        <v/>
      </c>
    </row>
    <row r="3140" spans="1:11" ht="30" hidden="1" customHeight="1" x14ac:dyDescent="0.25">
      <c r="A3140" s="86" t="str">
        <f>IF(COUNTIF(EXTRATO!$A$2:$A$3000,"BAN-02997")=0,"","BAN-02997")</f>
        <v/>
      </c>
      <c r="B3140" s="85" t="str">
        <f>IF(A3140="","",IF(INDEX(EXTRATO!$C$2:$C$3000,MATCH($A3140,EXTRATO!$A$2:$A$3000,0))="","",INDEX(EXTRATO!$C$2:$C$3000,MATCH($A3140,EXTRATO!$A$2:$A$3000,0))))</f>
        <v/>
      </c>
      <c r="C3140" s="86" t="str">
        <f t="shared" si="84"/>
        <v/>
      </c>
      <c r="D3140" s="81"/>
      <c r="E3140" s="79"/>
      <c r="F3140" s="80" t="str">
        <f>IF(A3140="","",SUMIF(EXTRATO!$A$2:$A$3000,$A3140,EXTRATO!$J$2:$J$3000)+SUMIF(EXTRATO!$A$2:$A$3000,$A3140,EXTRATO!$K$2:$K$3000)+SUMIF(EXTRATO!$A$2:$A$3000,$A3140,EXTRATO!$L$2:$L$3000)+SUMIF(EXTRATO!$A$2:$A$3000,$A3140,EXTRATO!$M$2:$M$3000))</f>
        <v/>
      </c>
      <c r="G3140" s="81" t="str">
        <f>IF(A3140="","",IF(INDEX(EXTRATO!$G$2:$G$3000,MATCH($A3140,EXTRATO!$A$2:$A$3000,0))="","",INDEX(EXTRATO!$G$2:$G$3000,MATCH($A3140,EXTRATO!$A$2:$A$3000,0))))</f>
        <v/>
      </c>
      <c r="H3140" s="86" t="str">
        <f>IF(A3140="","",IF(INDEX(EXTRATO!$F$2:$F$3000,MATCH($A3140,EXTRATO!$A$2:$A$3000,0))="","",INDEX(EXTRATO!$F$2:$F$3000,MATCH($A3140,EXTRATO!$A$2:$A$3000,0))))</f>
        <v/>
      </c>
      <c r="I3140" s="88" t="str">
        <f>IF(A3140="","",IF(INDEX(EXTRATO!$H$2:$H$3000,MATCH($A3140,EXTRATO!$A$2:$A$3000,0))="","",INDEX(EXTRATO!$H$2:$H$3000,MATCH($A3140,EXTRATO!$A$2:$A$3000,0))))</f>
        <v/>
      </c>
      <c r="J3140" s="86" t="str">
        <f t="shared" si="85"/>
        <v/>
      </c>
      <c r="K3140" s="86" t="str">
        <f>IF(AND(A3140="",D3140="",E3140="",F3140=""),"",IF(D3140="","SEM CATEGORIA",IF(E3140="","SEM SUBCATEGORIA",IF(COUNTIFS(CADASTROS!$L$7:$L$93,D3140,CADASTROS!$D$7:$D$93,E3140)=0,"INCOMPATÍVEL","OK"))))</f>
        <v/>
      </c>
    </row>
    <row r="3141" spans="1:11" ht="30" hidden="1" customHeight="1" x14ac:dyDescent="0.25">
      <c r="A3141" s="86" t="str">
        <f>IF(COUNTIF(EXTRATO!$A$2:$A$3000,"BAN-02998")=0,"","BAN-02998")</f>
        <v/>
      </c>
      <c r="B3141" s="85" t="str">
        <f>IF(A3141="","",IF(INDEX(EXTRATO!$C$2:$C$3000,MATCH($A3141,EXTRATO!$A$2:$A$3000,0))="","",INDEX(EXTRATO!$C$2:$C$3000,MATCH($A3141,EXTRATO!$A$2:$A$3000,0))))</f>
        <v/>
      </c>
      <c r="C3141" s="86" t="str">
        <f t="shared" si="84"/>
        <v/>
      </c>
      <c r="D3141" s="81"/>
      <c r="E3141" s="79"/>
      <c r="F3141" s="80" t="str">
        <f>IF(A3141="","",SUMIF(EXTRATO!$A$2:$A$3000,$A3141,EXTRATO!$J$2:$J$3000)+SUMIF(EXTRATO!$A$2:$A$3000,$A3141,EXTRATO!$K$2:$K$3000)+SUMIF(EXTRATO!$A$2:$A$3000,$A3141,EXTRATO!$L$2:$L$3000)+SUMIF(EXTRATO!$A$2:$A$3000,$A3141,EXTRATO!$M$2:$M$3000))</f>
        <v/>
      </c>
      <c r="G3141" s="81" t="str">
        <f>IF(A3141="","",IF(INDEX(EXTRATO!$G$2:$G$3000,MATCH($A3141,EXTRATO!$A$2:$A$3000,0))="","",INDEX(EXTRATO!$G$2:$G$3000,MATCH($A3141,EXTRATO!$A$2:$A$3000,0))))</f>
        <v/>
      </c>
      <c r="H3141" s="86" t="str">
        <f>IF(A3141="","",IF(INDEX(EXTRATO!$F$2:$F$3000,MATCH($A3141,EXTRATO!$A$2:$A$3000,0))="","",INDEX(EXTRATO!$F$2:$F$3000,MATCH($A3141,EXTRATO!$A$2:$A$3000,0))))</f>
        <v/>
      </c>
      <c r="I3141" s="88" t="str">
        <f>IF(A3141="","",IF(INDEX(EXTRATO!$H$2:$H$3000,MATCH($A3141,EXTRATO!$A$2:$A$3000,0))="","",INDEX(EXTRATO!$H$2:$H$3000,MATCH($A3141,EXTRATO!$A$2:$A$3000,0))))</f>
        <v/>
      </c>
      <c r="J3141" s="86" t="str">
        <f t="shared" si="85"/>
        <v/>
      </c>
      <c r="K3141" s="86" t="str">
        <f>IF(AND(A3141="",D3141="",E3141="",F3141=""),"",IF(D3141="","SEM CATEGORIA",IF(E3141="","SEM SUBCATEGORIA",IF(COUNTIFS(CADASTROS!$L$7:$L$93,D3141,CADASTROS!$D$7:$D$93,E3141)=0,"INCOMPATÍVEL","OK"))))</f>
        <v/>
      </c>
    </row>
    <row r="3142" spans="1:11" ht="30" hidden="1" customHeight="1" x14ac:dyDescent="0.25">
      <c r="A3142" s="86" t="str">
        <f>IF(COUNTIF(EXTRATO!$A$2:$A$3000,"BAN-02999")=0,"","BAN-02999")</f>
        <v/>
      </c>
      <c r="B3142" s="85" t="str">
        <f>IF(A3142="","",IF(INDEX(EXTRATO!$C$2:$C$3000,MATCH($A3142,EXTRATO!$A$2:$A$3000,0))="","",INDEX(EXTRATO!$C$2:$C$3000,MATCH($A3142,EXTRATO!$A$2:$A$3000,0))))</f>
        <v/>
      </c>
      <c r="C3142" s="86" t="str">
        <f t="shared" si="84"/>
        <v/>
      </c>
      <c r="D3142" s="81"/>
      <c r="E3142" s="79"/>
      <c r="F3142" s="80" t="str">
        <f>IF(A3142="","",SUMIF(EXTRATO!$A$2:$A$3000,$A3142,EXTRATO!$J$2:$J$3000)+SUMIF(EXTRATO!$A$2:$A$3000,$A3142,EXTRATO!$K$2:$K$3000)+SUMIF(EXTRATO!$A$2:$A$3000,$A3142,EXTRATO!$L$2:$L$3000)+SUMIF(EXTRATO!$A$2:$A$3000,$A3142,EXTRATO!$M$2:$M$3000))</f>
        <v/>
      </c>
      <c r="G3142" s="81" t="str">
        <f>IF(A3142="","",IF(INDEX(EXTRATO!$G$2:$G$3000,MATCH($A3142,EXTRATO!$A$2:$A$3000,0))="","",INDEX(EXTRATO!$G$2:$G$3000,MATCH($A3142,EXTRATO!$A$2:$A$3000,0))))</f>
        <v/>
      </c>
      <c r="H3142" s="86" t="str">
        <f>IF(A3142="","",IF(INDEX(EXTRATO!$F$2:$F$3000,MATCH($A3142,EXTRATO!$A$2:$A$3000,0))="","",INDEX(EXTRATO!$F$2:$F$3000,MATCH($A3142,EXTRATO!$A$2:$A$3000,0))))</f>
        <v/>
      </c>
      <c r="I3142" s="88" t="str">
        <f>IF(A3142="","",IF(INDEX(EXTRATO!$H$2:$H$3000,MATCH($A3142,EXTRATO!$A$2:$A$3000,0))="","",INDEX(EXTRATO!$H$2:$H$3000,MATCH($A3142,EXTRATO!$A$2:$A$3000,0))))</f>
        <v/>
      </c>
      <c r="J3142" s="86" t="str">
        <f t="shared" si="85"/>
        <v/>
      </c>
      <c r="K3142" s="86" t="str">
        <f>IF(AND(A3142="",D3142="",E3142="",F3142=""),"",IF(D3142="","SEM CATEGORIA",IF(E3142="","SEM SUBCATEGORIA",IF(COUNTIFS(CADASTROS!$L$7:$L$93,D3142,CADASTROS!$D$7:$D$93,E3142)=0,"INCOMPATÍVEL","OK"))))</f>
        <v/>
      </c>
    </row>
  </sheetData>
  <phoneticPr fontId="38" type="noConversion"/>
  <conditionalFormatting sqref="A2:J312 A313:F314 H313:J314 A315:J374 A375:F375 H375:J375 A376:J3142">
    <cfRule type="expression" dxfId="16" priority="2">
      <formula>AND($A2&lt;&gt;"",$F2&lt;&gt;0,$D2="")</formula>
    </cfRule>
  </conditionalFormatting>
  <conditionalFormatting sqref="E2:E3142">
    <cfRule type="expression" dxfId="15" priority="11">
      <formula>AND($E2&lt;&gt;"",COUNTIFS(INDIRECT("'CADASTROS'!$L$7:$L$93"),$D2,INDIRECT("'CADASTROS'!$D$7:$D$93"),$E2)=0)</formula>
    </cfRule>
    <cfRule type="expression" dxfId="14" priority="12">
      <formula>AND($D2&lt;&gt;"",$E2="")</formula>
    </cfRule>
  </conditionalFormatting>
  <conditionalFormatting sqref="J2:J3142">
    <cfRule type="cellIs" dxfId="13" priority="3" operator="equal">
      <formula>"SUGERIDO"</formula>
    </cfRule>
    <cfRule type="cellIs" dxfId="12" priority="4" operator="equal">
      <formula>"PENDENTE"</formula>
    </cfRule>
  </conditionalFormatting>
  <conditionalFormatting sqref="K2:K3142">
    <cfRule type="cellIs" dxfId="11" priority="13" operator="equal">
      <formula>"INCOMPATÍVEL"</formula>
    </cfRule>
    <cfRule type="expression" dxfId="10" priority="14">
      <formula>OR($K2="SEM CATEGORIA",$K2="SEM SUBCATEGORIA")</formula>
    </cfRule>
  </conditionalFormatting>
  <dataValidations count="2">
    <dataValidation type="list" showErrorMessage="1" errorTitle="Categoria inválida" error="Escolha uma categoria na lista. Depois selecione a subcategoria correspondente." sqref="D2:D3142" xr:uid="{00000000-0002-0000-0200-000000000000}">
      <formula1>INDIRECT("'CADASTROS'!$A$7:$A$18")</formula1>
    </dataValidation>
    <dataValidation type="list" showErrorMessage="1" errorTitle="Subcategoria incompatível" error="Selecione primeiro a CATEGORIA e escolha uma SUBCATEGORIA da lista. Ao mudar a categoria, selecione novamente a subcategoria." sqref="E2:E3142" xr:uid="{00000000-0002-0000-0200-000001000000}">
      <formula1>INDIRECT("'CADASTROS'!D"&amp;IFERROR(MATCH($D2,INDIRECT("'CADASTROS'!L7:L93"),0)+6,94)&amp;":D"&amp;IFERROR(MATCH($D2,INDIRECT("'CADASTROS'!L7:L93"),0)+COUNTIF(INDIRECT("'CADASTROS'!L7:L93"),$D2)+5,94))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</sheetPr>
  <dimension ref="A1:D133"/>
  <sheetViews>
    <sheetView showGridLines="0" zoomScaleNormal="100" workbookViewId="0">
      <pane ySplit="5" topLeftCell="A6" activePane="bottomLeft" state="frozen"/>
      <selection pane="bottomLeft" activeCell="B3" sqref="B3"/>
    </sheetView>
  </sheetViews>
  <sheetFormatPr defaultColWidth="8.7109375" defaultRowHeight="15" x14ac:dyDescent="0.25"/>
  <cols>
    <col min="1" max="1" width="78" style="16" customWidth="1"/>
    <col min="2" max="2" width="20" style="16" customWidth="1"/>
    <col min="3" max="16384" width="8.7109375" style="16"/>
  </cols>
  <sheetData>
    <row r="1" spans="1:4" ht="17.25" customHeight="1" x14ac:dyDescent="0.25">
      <c r="A1" s="119" t="s">
        <v>2403</v>
      </c>
      <c r="B1" s="119"/>
      <c r="C1" s="119"/>
      <c r="D1" s="119"/>
    </row>
    <row r="2" spans="1:4" ht="15" customHeight="1" x14ac:dyDescent="0.25">
      <c r="A2" s="118" t="s">
        <v>2758</v>
      </c>
      <c r="B2" s="118"/>
      <c r="C2" s="118"/>
      <c r="D2" s="118"/>
    </row>
    <row r="3" spans="1:4" ht="15" customHeight="1" x14ac:dyDescent="0.25">
      <c r="A3" s="54" t="s">
        <v>2404</v>
      </c>
      <c r="B3" s="55" t="s">
        <v>3237</v>
      </c>
      <c r="C3" s="17" t="s">
        <v>2405</v>
      </c>
      <c r="D3" s="56" t="str">
        <f>IF($B$3="ANO TODO","&gt;=1","="&amp;MATCH($B$3,CADASTROS!$H$7:$H$18,0))</f>
        <v>&gt;=1</v>
      </c>
    </row>
    <row r="5" spans="1:4" ht="27.75" customHeight="1" x14ac:dyDescent="0.25">
      <c r="A5" s="2" t="s">
        <v>2406</v>
      </c>
      <c r="B5" s="2" t="s">
        <v>1299</v>
      </c>
    </row>
    <row r="6" spans="1:4" ht="15" customHeight="1" x14ac:dyDescent="0.25">
      <c r="A6" s="57" t="s">
        <v>1305</v>
      </c>
      <c r="B6" s="58">
        <f>SUM(B7:B13)-2*B13</f>
        <v>5203978.33</v>
      </c>
    </row>
    <row r="7" spans="1:4" ht="15" customHeight="1" x14ac:dyDescent="0.25">
      <c r="A7" s="25" t="s">
        <v>2407</v>
      </c>
      <c r="B7" s="59">
        <f>SUMIFS(RATEIOS!$F$2:$F$3142,RATEIOS!$E$2:$E$3142,"Repasse do Estado",RATEIOS!$C$2:$C$3142,$D$3)</f>
        <v>3822738.78</v>
      </c>
    </row>
    <row r="8" spans="1:4" ht="15" customHeight="1" x14ac:dyDescent="0.25">
      <c r="A8" s="25" t="s">
        <v>2408</v>
      </c>
      <c r="B8" s="59">
        <f>SUMIFS(RATEIOS!$F$2:$F$3142,RATEIOS!$E$2:$E$3142,"Repasse Piso Salarial enfermagem",RATEIOS!$C$2:$C$3142,$D$3)</f>
        <v>273853.88</v>
      </c>
    </row>
    <row r="9" spans="1:4" ht="15" customHeight="1" x14ac:dyDescent="0.25">
      <c r="A9" s="25" t="s">
        <v>2409</v>
      </c>
      <c r="B9" s="59">
        <f>IF(OR($B$3="ANO TODO",$B$3=CADASTROS!$H$7),CADASTROS!$B$4,IF(COUNTIFS(EXTRATO!$C$2:$C$3000,"&gt;="&amp;DATE(2026,MATCH($B$3,CADASTROS!$H$7:$H$18,0)-1,1),EXTRATO!$C$2:$C$3000,"&lt;"&amp;DATE(2026,MATCH($B$3,CADASTROS!$H$7:$H$18,0),1))=0,"",LOOKUP(2,1/((EXTRATO!$C$2:$C$3000&gt;=DATE(2026,MATCH($B$3,CADASTROS!$H$7:$H$18,0)-1,1))*(EXTRATO!$C$2:$C$3000&lt;DATE(2026,MATCH($B$3,CADASTROS!$H$7:$H$18,0),1))),EXTRATO!$N$2:$N$3000)))</f>
        <v>0</v>
      </c>
    </row>
    <row r="10" spans="1:4" ht="15" customHeight="1" x14ac:dyDescent="0.25">
      <c r="A10" s="25" t="s">
        <v>2410</v>
      </c>
      <c r="B10" s="59">
        <f>SUMIFS(RATEIOS!$F$2:$F$3142,RATEIOS!$E$2:$E$3142,"Transferências dos Sócios",RATEIOS!$C$2:$C$3142,$D$3)</f>
        <v>240100</v>
      </c>
    </row>
    <row r="11" spans="1:4" ht="15" customHeight="1" x14ac:dyDescent="0.25">
      <c r="A11" s="25" t="s">
        <v>2411</v>
      </c>
      <c r="B11" s="59">
        <f>SUMIFS(RATEIOS!$F$2:$F$3142,RATEIOS!$E$2:$E$3142,"Resgate do Financiamento (Banco do Nordeste)",RATEIOS!$C$2:$C$3142,$D$3)</f>
        <v>690000</v>
      </c>
    </row>
    <row r="12" spans="1:4" ht="15" customHeight="1" x14ac:dyDescent="0.25">
      <c r="A12" s="25" t="s">
        <v>2412</v>
      </c>
      <c r="B12" s="59">
        <f>SUMIFS(RATEIOS!$F$2:$F$3142,RATEIOS!$E$2:$E$3142,"Resgate de Aplicações Financeiras (CDI BB)",RATEIOS!$C$2:$C$3142,$D$3)</f>
        <v>677285.66999999993</v>
      </c>
    </row>
    <row r="13" spans="1:4" ht="15" customHeight="1" x14ac:dyDescent="0.25">
      <c r="A13" s="25" t="s">
        <v>2413</v>
      </c>
      <c r="B13" s="59">
        <f>SUMIFS(RATEIOS!$F$2:$F$3142,RATEIOS!$E$2:$E$3142,"Aplicações Financeiras",RATEIOS!$C$2:$C$3142,$D$3)</f>
        <v>500000</v>
      </c>
    </row>
    <row r="14" spans="1:4" ht="15" customHeight="1" x14ac:dyDescent="0.25">
      <c r="A14" s="60"/>
      <c r="B14" s="59"/>
    </row>
    <row r="15" spans="1:4" ht="15" customHeight="1" x14ac:dyDescent="0.25">
      <c r="A15" s="57" t="s">
        <v>2414</v>
      </c>
      <c r="B15" s="58">
        <f>B16+B27+B40+B56+B62+B77+B95+B103+B110+B115+B122</f>
        <v>4881177.62</v>
      </c>
    </row>
    <row r="16" spans="1:4" ht="15" customHeight="1" x14ac:dyDescent="0.25">
      <c r="A16" s="61" t="s">
        <v>1388</v>
      </c>
      <c r="B16" s="62">
        <f>SUM(B17:B25)</f>
        <v>431307.13000000006</v>
      </c>
    </row>
    <row r="17" spans="1:2" ht="15" customHeight="1" x14ac:dyDescent="0.25">
      <c r="A17" s="25" t="s">
        <v>2415</v>
      </c>
      <c r="B17" s="59">
        <f>SUMIFS(RATEIOS!$F$2:$F$3142,RATEIOS!$D$2:$D$3142,"DESPESAS COM IMPOSTOS",RATEIOS!$E$2:$E$3142,"ISS",RATEIOS!$C$2:$C$3142,$D$3)</f>
        <v>243030.53</v>
      </c>
    </row>
    <row r="18" spans="1:2" ht="15" customHeight="1" x14ac:dyDescent="0.25">
      <c r="A18" s="25" t="s">
        <v>2416</v>
      </c>
      <c r="B18" s="59">
        <f>SUMIFS(RATEIOS!$F$2:$F$3142,RATEIOS!$D$2:$D$3142,"DESPESAS COM IMPOSTOS",RATEIOS!$E$2:$E$3142,"PIS",RATEIOS!$C$2:$C$3142,$D$3)</f>
        <v>23381.06</v>
      </c>
    </row>
    <row r="19" spans="1:2" ht="15" customHeight="1" x14ac:dyDescent="0.25">
      <c r="A19" s="25" t="s">
        <v>2417</v>
      </c>
      <c r="B19" s="59">
        <f>SUMIFS(RATEIOS!$F$2:$F$3142,RATEIOS!$D$2:$D$3142,"DESPESAS COM IMPOSTOS",RATEIOS!$E$2:$E$3142,"COFINS",RATEIOS!$C$2:$C$3142,$D$3)</f>
        <v>107912.62</v>
      </c>
    </row>
    <row r="20" spans="1:2" ht="15" customHeight="1" x14ac:dyDescent="0.25">
      <c r="A20" s="25" t="s">
        <v>2418</v>
      </c>
      <c r="B20" s="59">
        <f>SUMIFS(RATEIOS!$F$2:$F$3142,RATEIOS!$D$2:$D$3142,"DESPESAS COM IMPOSTOS",RATEIOS!$E$2:$E$3142,"DARF - RETENÇÕES (PIS/COFINS/CSLL)",RATEIOS!$C$2:$C$3142,$D$3)</f>
        <v>630.11</v>
      </c>
    </row>
    <row r="21" spans="1:2" ht="15" customHeight="1" x14ac:dyDescent="0.25">
      <c r="A21" s="25" t="s">
        <v>2419</v>
      </c>
      <c r="B21" s="59">
        <f>SUMIFS(RATEIOS!$F$2:$F$3142,RATEIOS!$D$2:$D$3142,"DESPESAS COM IMPOSTOS",RATEIOS!$E$2:$E$3142,"DARF - RETENÇÕES (IRRF)",RATEIOS!$C$2:$C$3142,$D$3)</f>
        <v>203.28000000000003</v>
      </c>
    </row>
    <row r="22" spans="1:2" ht="15" customHeight="1" x14ac:dyDescent="0.25">
      <c r="A22" s="25" t="s">
        <v>2420</v>
      </c>
      <c r="B22" s="59">
        <f>SUMIFS(RATEIOS!$F$2:$F$3142,RATEIOS!$D$2:$D$3142,"DESPESAS COM IMPOSTOS",RATEIOS!$E$2:$E$3142,"DARF FÉRIAS",RATEIOS!$C$2:$C$3142,$D$3)</f>
        <v>0</v>
      </c>
    </row>
    <row r="23" spans="1:2" ht="15" customHeight="1" x14ac:dyDescent="0.25">
      <c r="A23" s="25" t="s">
        <v>2421</v>
      </c>
      <c r="B23" s="59">
        <f>SUMIFS(RATEIOS!$F$2:$F$3142,RATEIOS!$D$2:$D$3142,"DESPESAS COM IMPOSTOS",RATEIOS!$E$2:$E$3142,"CSLL (Trimestral)",RATEIOS!$C$2:$C$3142,$D$3)</f>
        <v>42456.7</v>
      </c>
    </row>
    <row r="24" spans="1:2" ht="15" customHeight="1" x14ac:dyDescent="0.25">
      <c r="A24" s="25" t="s">
        <v>2422</v>
      </c>
      <c r="B24" s="59">
        <f>SUMIFS(RATEIOS!$F$2:$F$3142,RATEIOS!$D$2:$D$3142,"DESPESAS COM IMPOSTOS",RATEIOS!$E$2:$E$3142,"IRPJ (Trimestral)",RATEIOS!$C$2:$C$3142,$D$3)</f>
        <v>13692.83</v>
      </c>
    </row>
    <row r="25" spans="1:2" ht="15" customHeight="1" x14ac:dyDescent="0.25">
      <c r="A25" s="63" t="s">
        <v>2423</v>
      </c>
      <c r="B25" s="64">
        <f>SUMIFS(RATEIOS!$F$2:$F$3142,RATEIOS!$D$2:$D$3142,"DESPESAS COM IMPOSTOS",RATEIOS!$E$2:$E$3142,"=",RATEIOS!$C$2:$C$3142,$D$3)</f>
        <v>0</v>
      </c>
    </row>
    <row r="26" spans="1:2" ht="15" customHeight="1" x14ac:dyDescent="0.25">
      <c r="A26" s="60"/>
      <c r="B26" s="59"/>
    </row>
    <row r="27" spans="1:2" ht="15" customHeight="1" x14ac:dyDescent="0.25">
      <c r="A27" s="61" t="s">
        <v>1367</v>
      </c>
      <c r="B27" s="62">
        <f>SUM(B28:B38)</f>
        <v>1165696.3699999996</v>
      </c>
    </row>
    <row r="28" spans="1:2" ht="15" customHeight="1" x14ac:dyDescent="0.25">
      <c r="A28" s="25" t="s">
        <v>2424</v>
      </c>
      <c r="B28" s="59">
        <f>SUMIFS(RATEIOS!$F$2:$F$3142,RATEIOS!$D$2:$D$3142,"DESPESAS COM SALÁRIOS E BENEFÍCIOS",RATEIOS!$E$2:$E$3142,"Folha de Pagamento de Funcionários",RATEIOS!$C$2:$C$3142,$D$3)</f>
        <v>567394.04</v>
      </c>
    </row>
    <row r="29" spans="1:2" ht="15" customHeight="1" x14ac:dyDescent="0.25">
      <c r="A29" s="25" t="s">
        <v>2425</v>
      </c>
      <c r="B29" s="59">
        <f>SUMIFS(RATEIOS!$F$2:$F$3142,RATEIOS!$D$2:$D$3142,"DESPESAS COM SALÁRIOS E BENEFÍCIOS",RATEIOS!$E$2:$E$3142,"Folha de Pagamento (Repasse de piso da Enfermagem)",RATEIOS!$C$2:$C$3142,$D$3)</f>
        <v>273853.87999999995</v>
      </c>
    </row>
    <row r="30" spans="1:2" ht="15" customHeight="1" x14ac:dyDescent="0.25">
      <c r="A30" s="25" t="s">
        <v>2426</v>
      </c>
      <c r="B30" s="59">
        <f>SUMIFS(RATEIOS!$F$2:$F$3142,RATEIOS!$D$2:$D$3142,"DESPESAS COM SALÁRIOS E BENEFÍCIOS",RATEIOS!$E$2:$E$3142,"FGTS",RATEIOS!$C$2:$C$3142,$D$3)</f>
        <v>61663.83</v>
      </c>
    </row>
    <row r="31" spans="1:2" ht="15" customHeight="1" x14ac:dyDescent="0.25">
      <c r="A31" s="25" t="s">
        <v>2427</v>
      </c>
      <c r="B31" s="59">
        <f>SUMIFS(RATEIOS!$F$2:$F$3142,RATEIOS!$D$2:$D$3142,"DESPESAS COM SALÁRIOS E BENEFÍCIOS",RATEIOS!$E$2:$E$3142,"INSS",RATEIOS!$C$2:$C$3142,$D$3)</f>
        <v>219575.77</v>
      </c>
    </row>
    <row r="32" spans="1:2" ht="15" customHeight="1" x14ac:dyDescent="0.25">
      <c r="A32" s="25" t="s">
        <v>2428</v>
      </c>
      <c r="B32" s="59">
        <f>SUMIFS(RATEIOS!$F$2:$F$3142,RATEIOS!$D$2:$D$3142,"DESPESAS COM SALÁRIOS E BENEFÍCIOS",RATEIOS!$E$2:$E$3142,"Rescisão Contratual",RATEIOS!$C$2:$C$3142,$D$3)</f>
        <v>4534.74</v>
      </c>
    </row>
    <row r="33" spans="1:2" ht="15" customHeight="1" x14ac:dyDescent="0.25">
      <c r="A33" s="25" t="s">
        <v>2429</v>
      </c>
      <c r="B33" s="59">
        <f>SUMIFS(RATEIOS!$F$2:$F$3142,RATEIOS!$D$2:$D$3142,"DESPESAS COM SALÁRIOS E BENEFÍCIOS",RATEIOS!$E$2:$E$3142,"Multa Rescisória",RATEIOS!$C$2:$C$3142,$D$3)</f>
        <v>0</v>
      </c>
    </row>
    <row r="34" spans="1:2" ht="15" customHeight="1" x14ac:dyDescent="0.25">
      <c r="A34" s="25" t="s">
        <v>2430</v>
      </c>
      <c r="B34" s="59">
        <f>SUMIFS(RATEIOS!$F$2:$F$3142,RATEIOS!$D$2:$D$3142,"DESPESAS COM SALÁRIOS E BENEFÍCIOS",RATEIOS!$E$2:$E$3142,"Férias de Funcionários",RATEIOS!$C$2:$C$3142,$D$3)</f>
        <v>5304.95</v>
      </c>
    </row>
    <row r="35" spans="1:2" ht="15" customHeight="1" x14ac:dyDescent="0.25">
      <c r="A35" s="25" t="s">
        <v>2431</v>
      </c>
      <c r="B35" s="59">
        <f>SUMIFS(RATEIOS!$F$2:$F$3142,RATEIOS!$D$2:$D$3142,"DESPESAS COM SALÁRIOS E BENEFÍCIOS",RATEIOS!$E$2:$E$3142,"Pagamento de Extras",RATEIOS!$C$2:$C$3142,$D$3)</f>
        <v>0</v>
      </c>
    </row>
    <row r="36" spans="1:2" ht="15" customHeight="1" x14ac:dyDescent="0.25">
      <c r="A36" s="25" t="s">
        <v>2432</v>
      </c>
      <c r="B36" s="59">
        <f>SUMIFS(RATEIOS!$F$2:$F$3142,RATEIOS!$D$2:$D$3142,"DESPESAS COM SALÁRIOS E BENEFÍCIOS",RATEIOS!$E$2:$E$3142,"Fornecimento de quentinhas para equipe da Enfermagem",RATEIOS!$C$2:$C$3142,$D$3)</f>
        <v>30537</v>
      </c>
    </row>
    <row r="37" spans="1:2" ht="15" customHeight="1" x14ac:dyDescent="0.25">
      <c r="A37" s="25" t="s">
        <v>2433</v>
      </c>
      <c r="B37" s="59">
        <f>SUMIFS(RATEIOS!$F$2:$F$3142,RATEIOS!$D$2:$D$3142,"DESPESAS COM SALÁRIOS E BENEFÍCIOS",RATEIOS!$E$2:$E$3142,"EPIs e Fardamentos",RATEIOS!$C$2:$C$3142,$D$3)</f>
        <v>2832.16</v>
      </c>
    </row>
    <row r="38" spans="1:2" ht="15" customHeight="1" x14ac:dyDescent="0.25">
      <c r="A38" s="63" t="s">
        <v>2423</v>
      </c>
      <c r="B38" s="64">
        <f>SUMIFS(RATEIOS!$F$2:$F$3142,RATEIOS!$D$2:$D$3142,"DESPESAS COM SALÁRIOS E BENEFÍCIOS",RATEIOS!$E$2:$E$3142,"=",RATEIOS!$C$2:$C$3142,$D$3)</f>
        <v>0</v>
      </c>
    </row>
    <row r="39" spans="1:2" ht="15" customHeight="1" x14ac:dyDescent="0.25">
      <c r="A39" s="60"/>
      <c r="B39" s="59"/>
    </row>
    <row r="40" spans="1:2" ht="15" customHeight="1" x14ac:dyDescent="0.25">
      <c r="A40" s="61" t="s">
        <v>1415</v>
      </c>
      <c r="B40" s="62">
        <f>SUM(B41:B54)</f>
        <v>361656.20999999996</v>
      </c>
    </row>
    <row r="41" spans="1:2" ht="15" customHeight="1" x14ac:dyDescent="0.25">
      <c r="A41" s="25" t="s">
        <v>2434</v>
      </c>
      <c r="B41" s="59">
        <f>SUMIFS(RATEIOS!$F$2:$F$3142,RATEIOS!$D$2:$D$3142,"DESPESAS COM PRESTADORES DE SERVIÇOS EM SAÚDE - TERCEIROS",RATEIOS!$E$2:$E$3142,"CasaMater - Confecção Fístula",RATEIOS!$C$2:$C$3142,$D$3)</f>
        <v>36200</v>
      </c>
    </row>
    <row r="42" spans="1:2" ht="15" customHeight="1" x14ac:dyDescent="0.25">
      <c r="A42" s="25" t="s">
        <v>2435</v>
      </c>
      <c r="B42" s="59">
        <f>SUMIFS(RATEIOS!$F$2:$F$3142,RATEIOS!$D$2:$D$3142,"DESPESAS COM PRESTADORES DE SERVIÇOS EM SAÚDE - TERCEIROS",RATEIOS!$E$2:$E$3142,"Exames Laboratorias dos Colaboradores",RATEIOS!$C$2:$C$3142,$D$3)</f>
        <v>518.5</v>
      </c>
    </row>
    <row r="43" spans="1:2" ht="15" customHeight="1" x14ac:dyDescent="0.25">
      <c r="A43" s="25" t="s">
        <v>2436</v>
      </c>
      <c r="B43" s="59">
        <f>SUMIFS(RATEIOS!$F$2:$F$3142,RATEIOS!$D$2:$D$3142,"DESPESAS COM PRESTADORES DE SERVIÇOS EM SAÚDE - TERCEIROS",RATEIOS!$E$2:$E$3142,"Exames Laboratorias dos Pacientes",RATEIOS!$C$2:$C$3142,$D$3)</f>
        <v>79457.070000000007</v>
      </c>
    </row>
    <row r="44" spans="1:2" ht="15" customHeight="1" x14ac:dyDescent="0.25">
      <c r="A44" s="25" t="s">
        <v>2437</v>
      </c>
      <c r="B44" s="59">
        <f>SUMIFS(RATEIOS!$F$2:$F$3142,RATEIOS!$D$2:$D$3142,"DESPESAS COM PRESTADORES DE SERVIÇOS EM SAÚDE - TERCEIROS",RATEIOS!$E$2:$E$3142,"Pagamento Cirurgião Vascular - Dr. Renato",RATEIOS!$C$2:$C$3142,$D$3)</f>
        <v>8330</v>
      </c>
    </row>
    <row r="45" spans="1:2" ht="15" customHeight="1" x14ac:dyDescent="0.25">
      <c r="A45" s="25" t="s">
        <v>2438</v>
      </c>
      <c r="B45" s="59">
        <f>SUMIFS(RATEIOS!$F$2:$F$3142,RATEIOS!$D$2:$D$3142,"DESPESAS COM PRESTADORES DE SERVIÇOS EM SAÚDE - TERCEIROS",RATEIOS!$E$2:$E$3142,"Pagamento Cirurgião Vascular - Dr. Wilson",RATEIOS!$C$2:$C$3142,$D$3)</f>
        <v>9800</v>
      </c>
    </row>
    <row r="46" spans="1:2" ht="15" customHeight="1" x14ac:dyDescent="0.25">
      <c r="A46" s="25" t="s">
        <v>2439</v>
      </c>
      <c r="B46" s="59">
        <f>SUMIFS(RATEIOS!$F$2:$F$3142,RATEIOS!$D$2:$D$3142,"DESPESAS COM PRESTADORES DE SERVIÇOS EM SAÚDE - TERCEIROS",RATEIOS!$E$2:$E$3142,"Pagamento Psicologa - Camilly",RATEIOS!$C$2:$C$3142,$D$3)</f>
        <v>4000</v>
      </c>
    </row>
    <row r="47" spans="1:2" ht="15" customHeight="1" x14ac:dyDescent="0.25">
      <c r="A47" s="25" t="s">
        <v>2440</v>
      </c>
      <c r="B47" s="59">
        <f>SUMIFS(RATEIOS!$F$2:$F$3142,RATEIOS!$D$2:$D$3142,"DESPESAS COM PRESTADORES DE SERVIÇOS EM SAÚDE - TERCEIROS",RATEIOS!$E$2:$E$3142,"Pagamento Farmaceutica - Gardênia",RATEIOS!$C$2:$C$3142,$D$3)</f>
        <v>16800</v>
      </c>
    </row>
    <row r="48" spans="1:2" ht="15" customHeight="1" x14ac:dyDescent="0.25">
      <c r="A48" s="25" t="s">
        <v>2441</v>
      </c>
      <c r="B48" s="59">
        <f>SUMIFS(RATEIOS!$F$2:$F$3142,RATEIOS!$D$2:$D$3142,"DESPESAS COM PRESTADORES DE SERVIÇOS EM SAÚDE - TERCEIROS",RATEIOS!$E$2:$E$3142,"Pagamento Nutricionista - Elaine",RATEIOS!$C$2:$C$3142,$D$3)</f>
        <v>28758.930000000004</v>
      </c>
    </row>
    <row r="49" spans="1:2" ht="15" customHeight="1" x14ac:dyDescent="0.25">
      <c r="A49" s="25" t="s">
        <v>2442</v>
      </c>
      <c r="B49" s="59">
        <f>SUMIFS(RATEIOS!$F$2:$F$3142,RATEIOS!$D$2:$D$3142,"DESPESAS COM PRESTADORES DE SERVIÇOS EM SAÚDE - TERCEIROS",RATEIOS!$E$2:$E$3142,"Serviço de correção de ficha de sala - Ferronefro",RATEIOS!$C$2:$C$3142,$D$3)</f>
        <v>3200</v>
      </c>
    </row>
    <row r="50" spans="1:2" ht="15" customHeight="1" x14ac:dyDescent="0.25">
      <c r="A50" s="25" t="s">
        <v>2443</v>
      </c>
      <c r="B50" s="59">
        <f>SUMIFS(RATEIOS!$F$2:$F$3142,RATEIOS!$D$2:$D$3142,"DESPESAS COM PRESTADORES DE SERVIÇOS EM SAÚDE - TERCEIROS",RATEIOS!$E$2:$E$3142,"Serviço de enfermagem - Ferronefro",RATEIOS!$C$2:$C$3142,$D$3)</f>
        <v>30291.710000000003</v>
      </c>
    </row>
    <row r="51" spans="1:2" ht="15" customHeight="1" x14ac:dyDescent="0.25">
      <c r="A51" s="25" t="s">
        <v>2444</v>
      </c>
      <c r="B51" s="59">
        <f>SUMIFS(RATEIOS!$F$2:$F$3142,RATEIOS!$D$2:$D$3142,"DESPESAS COM PRESTADORES DE SERVIÇOS EM SAÚDE - TERCEIROS",RATEIOS!$E$2:$E$3142,"Serviço de RT de enfermagem - Ferronefro",RATEIOS!$C$2:$C$3142,$D$3)</f>
        <v>6300</v>
      </c>
    </row>
    <row r="52" spans="1:2" ht="15" customHeight="1" x14ac:dyDescent="0.25">
      <c r="A52" s="25" t="s">
        <v>2445</v>
      </c>
      <c r="B52" s="59">
        <f>SUMIFS(RATEIOS!$F$2:$F$3142,RATEIOS!$D$2:$D$3142,"DESPESAS COM PRESTADORES DE SERVIÇOS EM SAÚDE - TERCEIROS",RATEIOS!$E$2:$E$3142,"Pagamento de plantão médico - Dr. Lucas",RATEIOS!$C$2:$C$3142,$D$3)</f>
        <v>70000</v>
      </c>
    </row>
    <row r="53" spans="1:2" ht="15" customHeight="1" x14ac:dyDescent="0.25">
      <c r="A53" s="25" t="s">
        <v>2446</v>
      </c>
      <c r="B53" s="59">
        <f>SUMIFS(RATEIOS!$F$2:$F$3142,RATEIOS!$D$2:$D$3142,"DESPESAS COM PRESTADORES DE SERVIÇOS EM SAÚDE - TERCEIROS",RATEIOS!$E$2:$E$3142,"Pagamento de plantão médico - Dr. Hozano",RATEIOS!$C$2:$C$3142,$D$3)</f>
        <v>68000</v>
      </c>
    </row>
    <row r="54" spans="1:2" ht="15" customHeight="1" x14ac:dyDescent="0.25">
      <c r="A54" s="63" t="s">
        <v>2423</v>
      </c>
      <c r="B54" s="64">
        <f>SUMIFS(RATEIOS!$F$2:$F$3142,RATEIOS!$D$2:$D$3142,"DESPESAS COM PRESTADORES DE SERVIÇOS EM SAÚDE - TERCEIROS",RATEIOS!$E$2:$E$3142,"=",RATEIOS!$C$2:$C$3142,$D$3)</f>
        <v>0</v>
      </c>
    </row>
    <row r="55" spans="1:2" ht="15" customHeight="1" x14ac:dyDescent="0.25">
      <c r="A55" s="60"/>
      <c r="B55" s="59"/>
    </row>
    <row r="56" spans="1:2" ht="15" customHeight="1" x14ac:dyDescent="0.25">
      <c r="A56" s="61" t="s">
        <v>1637</v>
      </c>
      <c r="B56" s="62">
        <f>SUM(B57:B60)</f>
        <v>360089</v>
      </c>
    </row>
    <row r="57" spans="1:2" ht="15" customHeight="1" x14ac:dyDescent="0.25">
      <c r="A57" s="25" t="s">
        <v>2447</v>
      </c>
      <c r="B57" s="59">
        <f>SUMIFS(RATEIOS!$F$2:$F$3142,RATEIOS!$D$2:$D$3142,"DESPESAS COM PRESTAÇÃO DE SERVIÇOS - SÓCIOS",RATEIOS!$E$2:$E$3142,"Plantões Médicos (Sócios)",RATEIOS!$C$2:$C$3142,$D$3)</f>
        <v>345500</v>
      </c>
    </row>
    <row r="58" spans="1:2" ht="15" customHeight="1" x14ac:dyDescent="0.25">
      <c r="A58" s="25" t="s">
        <v>2448</v>
      </c>
      <c r="B58" s="59">
        <f>SUMIFS(RATEIOS!$F$2:$F$3142,RATEIOS!$D$2:$D$3142,"DESPESAS COM PRESTAÇÃO DE SERVIÇOS - SÓCIOS",RATEIOS!$E$2:$E$3142,"Despesas com Administração / PROLABORE",RATEIOS!$C$2:$C$3142,$D$3)</f>
        <v>9726</v>
      </c>
    </row>
    <row r="59" spans="1:2" ht="15" customHeight="1" x14ac:dyDescent="0.25">
      <c r="A59" s="25" t="s">
        <v>2449</v>
      </c>
      <c r="B59" s="59">
        <f>SUMIFS(RATEIOS!$F$2:$F$3142,RATEIOS!$D$2:$D$3142,"DESPESAS COM PRESTAÇÃO DE SERVIÇOS - SÓCIOS",RATEIOS!$E$2:$E$3142,"Responsabilidade Técnica - Dr. Anderson",RATEIOS!$C$2:$C$3142,$D$3)</f>
        <v>4863</v>
      </c>
    </row>
    <row r="60" spans="1:2" ht="15" customHeight="1" x14ac:dyDescent="0.25">
      <c r="A60" s="63" t="s">
        <v>2423</v>
      </c>
      <c r="B60" s="64">
        <f>SUMIFS(RATEIOS!$F$2:$F$3142,RATEIOS!$D$2:$D$3142,"DESPESAS COM PRESTAÇÃO DE SERVIÇOS - SÓCIOS",RATEIOS!$E$2:$E$3142,"=",RATEIOS!$C$2:$C$3142,$D$3)</f>
        <v>0</v>
      </c>
    </row>
    <row r="61" spans="1:2" ht="15" customHeight="1" x14ac:dyDescent="0.25">
      <c r="A61" s="60"/>
      <c r="B61" s="59"/>
    </row>
    <row r="62" spans="1:2" ht="15" customHeight="1" x14ac:dyDescent="0.25">
      <c r="A62" s="61" t="s">
        <v>1311</v>
      </c>
      <c r="B62" s="62">
        <f>SUM(B63:B75)</f>
        <v>1175950.6599999999</v>
      </c>
    </row>
    <row r="63" spans="1:2" ht="15" customHeight="1" x14ac:dyDescent="0.25">
      <c r="A63" s="25" t="s">
        <v>2450</v>
      </c>
      <c r="B63" s="59">
        <f>SUMIFS(RATEIOS!$F$2:$F$3142,RATEIOS!$D$2:$D$3142,"DESPESAS COM MATERIAIS PARA HEMODIÁLISE E DEMAIS CUSTOS",RATEIOS!$E$2:$E$3142,"Agulhas, Seringas, Máscaras, Luvas, Equipo e Med. Div.",RATEIOS!$C$2:$C$3142,$D$3)</f>
        <v>166235.16000000003</v>
      </c>
    </row>
    <row r="64" spans="1:2" ht="15" customHeight="1" x14ac:dyDescent="0.25">
      <c r="A64" s="25" t="s">
        <v>2451</v>
      </c>
      <c r="B64" s="59">
        <f>SUMIFS(RATEIOS!$F$2:$F$3142,RATEIOS!$D$2:$D$3142,"DESPESAS COM MATERIAIS PARA HEMODIÁLISE E DEMAIS CUSTOS",RATEIOS!$E$2:$E$3142,"Capilar, Filtros, Agulhas",RATEIOS!$C$2:$C$3142,$D$3)</f>
        <v>192763.53999999998</v>
      </c>
    </row>
    <row r="65" spans="1:2" ht="15" customHeight="1" x14ac:dyDescent="0.25">
      <c r="A65" s="25" t="s">
        <v>2452</v>
      </c>
      <c r="B65" s="59">
        <f>SUMIFS(RATEIOS!$F$2:$F$3142,RATEIOS!$D$2:$D$3142,"DESPESAS COM MATERIAIS PARA HEMODIÁLISE E DEMAIS CUSTOS",RATEIOS!$E$2:$E$3142,"CDL e Perm-cath",RATEIOS!$C$2:$C$3142,$D$3)</f>
        <v>17370</v>
      </c>
    </row>
    <row r="66" spans="1:2" ht="15" customHeight="1" x14ac:dyDescent="0.25">
      <c r="A66" s="25" t="s">
        <v>2453</v>
      </c>
      <c r="B66" s="59">
        <f>SUMIFS(RATEIOS!$F$2:$F$3142,RATEIOS!$D$2:$D$3142,"DESPESAS COM MATERIAIS PARA HEMODIÁLISE E DEMAIS CUSTOS",RATEIOS!$E$2:$E$3142,"Linha Arterial e Venosa",RATEIOS!$C$2:$C$3142,$D$3)</f>
        <v>35854.9</v>
      </c>
    </row>
    <row r="67" spans="1:2" ht="15" customHeight="1" x14ac:dyDescent="0.25">
      <c r="A67" s="25" t="s">
        <v>2454</v>
      </c>
      <c r="B67" s="59">
        <f>SUMIFS(RATEIOS!$F$2:$F$3142,RATEIOS!$D$2:$D$3142,"DESPESAS COM MATERIAIS PARA HEMODIÁLISE E DEMAIS CUSTOS",RATEIOS!$E$2:$E$3142,"Medicações (Heparina, Taurolock)",RATEIOS!$C$2:$C$3142,$D$3)</f>
        <v>176485.1</v>
      </c>
    </row>
    <row r="68" spans="1:2" ht="15" customHeight="1" x14ac:dyDescent="0.25">
      <c r="A68" s="25" t="s">
        <v>2455</v>
      </c>
      <c r="B68" s="59">
        <f>SUMIFS(RATEIOS!$F$2:$F$3142,RATEIOS!$D$2:$D$3142,"DESPESAS COM MATERIAIS PARA HEMODIÁLISE E DEMAIS CUSTOS",RATEIOS!$E$2:$E$3142,"Solução e Soro para HD",RATEIOS!$C$2:$C$3142,$D$3)</f>
        <v>545097.30000000005</v>
      </c>
    </row>
    <row r="69" spans="1:2" ht="15" customHeight="1" x14ac:dyDescent="0.25">
      <c r="A69" s="25" t="s">
        <v>2456</v>
      </c>
      <c r="B69" s="59">
        <f>SUMIFS(RATEIOS!$F$2:$F$3142,RATEIOS!$D$2:$D$3142,"DESPESAS COM MATERIAIS PARA HEMODIÁLISE E DEMAIS CUSTOS",RATEIOS!$E$2:$E$3142,"Ácido Cítrico",RATEIOS!$C$2:$C$3142,$D$3)</f>
        <v>3900</v>
      </c>
    </row>
    <row r="70" spans="1:2" ht="15" customHeight="1" x14ac:dyDescent="0.25">
      <c r="A70" s="25" t="s">
        <v>2457</v>
      </c>
      <c r="B70" s="59">
        <f>SUMIFS(RATEIOS!$F$2:$F$3142,RATEIOS!$D$2:$D$3142,"DESPESAS COM MATERIAIS PARA HEMODIÁLISE E DEMAIS CUSTOS",RATEIOS!$E$2:$E$3142,"Peroxide",RATEIOS!$C$2:$C$3142,$D$3)</f>
        <v>20412</v>
      </c>
    </row>
    <row r="71" spans="1:2" ht="15" customHeight="1" x14ac:dyDescent="0.25">
      <c r="A71" s="25" t="s">
        <v>2458</v>
      </c>
      <c r="B71" s="59">
        <f>SUMIFS(RATEIOS!$F$2:$F$3142,RATEIOS!$D$2:$D$3142,"DESPESAS COM MATERIAIS PARA HEMODIÁLISE E DEMAIS CUSTOS",RATEIOS!$E$2:$E$3142,"Hipoclorito",RATEIOS!$C$2:$C$3142,$D$3)</f>
        <v>2745.16</v>
      </c>
    </row>
    <row r="72" spans="1:2" ht="15" customHeight="1" x14ac:dyDescent="0.25">
      <c r="A72" s="25" t="s">
        <v>2459</v>
      </c>
      <c r="B72" s="59">
        <f>SUMIFS(RATEIOS!$F$2:$F$3142,RATEIOS!$D$2:$D$3142,"DESPESAS COM MATERIAIS PARA HEMODIÁLISE E DEMAIS CUSTOS",RATEIOS!$E$2:$E$3142,"Oxigênio",RATEIOS!$C$2:$C$3142,$D$3)</f>
        <v>690</v>
      </c>
    </row>
    <row r="73" spans="1:2" ht="15" customHeight="1" x14ac:dyDescent="0.25">
      <c r="A73" s="25" t="s">
        <v>2460</v>
      </c>
      <c r="B73" s="59">
        <f>SUMIFS(RATEIOS!$F$2:$F$3142,RATEIOS!$D$2:$D$3142,"DESPESAS COM MATERIAIS PARA HEMODIÁLISE E DEMAIS CUSTOS",RATEIOS!$E$2:$E$3142,"Solução para Desinfecção Poltronas - BELL FOAM",RATEIOS!$C$2:$C$3142,$D$3)</f>
        <v>1680</v>
      </c>
    </row>
    <row r="74" spans="1:2" ht="15" customHeight="1" x14ac:dyDescent="0.25">
      <c r="A74" s="25" t="s">
        <v>2461</v>
      </c>
      <c r="B74" s="59">
        <f>SUMIFS(RATEIOS!$F$2:$F$3142,RATEIOS!$D$2:$D$3142,"DESPESAS COM MATERIAIS PARA HEMODIÁLISE E DEMAIS CUSTOS",RATEIOS!$E$2:$E$3142,"Qualiagua - Analise Água",RATEIOS!$C$2:$C$3142,$D$3)</f>
        <v>12717.499999999998</v>
      </c>
    </row>
    <row r="75" spans="1:2" ht="15" customHeight="1" x14ac:dyDescent="0.25">
      <c r="A75" s="63" t="s">
        <v>2423</v>
      </c>
      <c r="B75" s="64">
        <f>SUMIFS(RATEIOS!$F$2:$F$3142,RATEIOS!$D$2:$D$3142,"DESPESAS COM MATERIAIS PARA HEMODIÁLISE E DEMAIS CUSTOS",RATEIOS!$E$2:$E$3142,"=",RATEIOS!$C$2:$C$3142,$D$3)</f>
        <v>0</v>
      </c>
    </row>
    <row r="76" spans="1:2" ht="15" customHeight="1" x14ac:dyDescent="0.25">
      <c r="A76" s="60"/>
      <c r="B76" s="59"/>
    </row>
    <row r="77" spans="1:2" ht="15" customHeight="1" x14ac:dyDescent="0.25">
      <c r="A77" s="61" t="s">
        <v>1330</v>
      </c>
      <c r="B77" s="62">
        <f>SUM(B78:B94)</f>
        <v>448927.07999999996</v>
      </c>
    </row>
    <row r="78" spans="1:2" ht="15" customHeight="1" x14ac:dyDescent="0.25">
      <c r="A78" s="25" t="s">
        <v>2462</v>
      </c>
      <c r="B78" s="59">
        <f>SUMIFS(RATEIOS!$F$2:$F$3142,RATEIOS!$D$2:$D$3142,"DESPESAS ADMINISTRATIVAS",RATEIOS!$E$2:$E$3142,"Assessoria Administrativa",RATEIOS!$C$2:$C$3142,$D$3)</f>
        <v>49400</v>
      </c>
    </row>
    <row r="79" spans="1:2" ht="15" customHeight="1" x14ac:dyDescent="0.25">
      <c r="A79" s="25" t="s">
        <v>2463</v>
      </c>
      <c r="B79" s="59">
        <f>SUMIFS(RATEIOS!$F$2:$F$3142,RATEIOS!$D$2:$D$3142,"DESPESAS ADMINISTRATIVAS",RATEIOS!$E$2:$E$3142,"Contador",RATEIOS!$C$2:$C$3142,$D$3)</f>
        <v>23699</v>
      </c>
    </row>
    <row r="80" spans="1:2" ht="15" customHeight="1" x14ac:dyDescent="0.25">
      <c r="A80" s="25" t="s">
        <v>2464</v>
      </c>
      <c r="B80" s="59">
        <f>SUMIFS(RATEIOS!$F$2:$F$3142,RATEIOS!$D$2:$D$3142,"DESPESAS ADMINISTRATIVAS",RATEIOS!$E$2:$E$3142,"Energia Elétrica (Clínica + Casa de Apoio)",RATEIOS!$C$2:$C$3142,$D$3)</f>
        <v>184797.62000000002</v>
      </c>
    </row>
    <row r="81" spans="1:2" ht="15" customHeight="1" x14ac:dyDescent="0.25">
      <c r="A81" s="25" t="s">
        <v>2465</v>
      </c>
      <c r="B81" s="59">
        <f>SUMIFS(RATEIOS!$F$2:$F$3142,RATEIOS!$D$2:$D$3142,"DESPESAS ADMINISTRATIVAS",RATEIOS!$E$2:$E$3142,"Aluguel casa de apoio",RATEIOS!$C$2:$C$3142,$D$3)</f>
        <v>400</v>
      </c>
    </row>
    <row r="82" spans="1:2" ht="15" customHeight="1" x14ac:dyDescent="0.25">
      <c r="A82" s="25" t="s">
        <v>2466</v>
      </c>
      <c r="B82" s="59">
        <f>SUMIFS(RATEIOS!$F$2:$F$3142,RATEIOS!$D$2:$D$3142,"DESPESAS ADMINISTRATIVAS",RATEIOS!$E$2:$E$3142,"Coleta de Lixo",RATEIOS!$C$2:$C$3142,$D$3)</f>
        <v>12869.32</v>
      </c>
    </row>
    <row r="83" spans="1:2" ht="15" customHeight="1" x14ac:dyDescent="0.25">
      <c r="A83" s="25" t="s">
        <v>2467</v>
      </c>
      <c r="B83" s="59">
        <f>SUMIFS(RATEIOS!$F$2:$F$3142,RATEIOS!$D$2:$D$3142,"DESPESAS ADMINISTRATIVAS",RATEIOS!$E$2:$E$3142,"Despesas com Gráfica",RATEIOS!$C$2:$C$3142,$D$3)</f>
        <v>160</v>
      </c>
    </row>
    <row r="84" spans="1:2" ht="15" customHeight="1" x14ac:dyDescent="0.25">
      <c r="A84" s="25" t="s">
        <v>2468</v>
      </c>
      <c r="B84" s="59">
        <f>SUMIFS(RATEIOS!$F$2:$F$3142,RATEIOS!$D$2:$D$3142,"DESPESAS ADMINISTRATIVAS",RATEIOS!$E$2:$E$3142,"Despesas com viagens",RATEIOS!$C$2:$C$3142,$D$3)</f>
        <v>222.36</v>
      </c>
    </row>
    <row r="85" spans="1:2" ht="15" customHeight="1" x14ac:dyDescent="0.25">
      <c r="A85" s="25" t="s">
        <v>2469</v>
      </c>
      <c r="B85" s="59">
        <f>SUMIFS(RATEIOS!$F$2:$F$3142,RATEIOS!$D$2:$D$3142,"DESPESAS ADMINISTRATIVAS",RATEIOS!$E$2:$E$3142,"Despesas com Cartório",RATEIOS!$C$2:$C$3142,$D$3)</f>
        <v>10670.119999999999</v>
      </c>
    </row>
    <row r="86" spans="1:2" ht="15" customHeight="1" x14ac:dyDescent="0.25">
      <c r="A86" s="25" t="s">
        <v>2470</v>
      </c>
      <c r="B86" s="59">
        <f>SUMIFS(RATEIOS!$F$2:$F$3142,RATEIOS!$D$2:$D$3142,"DESPESAS ADMINISTRATIVAS",RATEIOS!$E$2:$E$3142,"Material de Limpeza",RATEIOS!$C$2:$C$3142,$D$3)</f>
        <v>18331.990000000002</v>
      </c>
    </row>
    <row r="87" spans="1:2" ht="15" customHeight="1" x14ac:dyDescent="0.25">
      <c r="A87" s="25" t="s">
        <v>2471</v>
      </c>
      <c r="B87" s="59">
        <f>SUMIFS(RATEIOS!$F$2:$F$3142,RATEIOS!$D$2:$D$3142,"DESPESAS ADMINISTRATIVAS",RATEIOS!$E$2:$E$3142,"Gás de cozinha para copa",RATEIOS!$C$2:$C$3142,$D$3)</f>
        <v>805</v>
      </c>
    </row>
    <row r="88" spans="1:2" ht="15" customHeight="1" x14ac:dyDescent="0.25">
      <c r="A88" s="25" t="s">
        <v>2472</v>
      </c>
      <c r="B88" s="59">
        <f>SUMIFS(RATEIOS!$F$2:$F$3142,RATEIOS!$D$2:$D$3142,"DESPESAS ADMINISTRATIVAS",RATEIOS!$E$2:$E$3142,"Materiais de Construção, Elétrico e de Escritório",RATEIOS!$C$2:$C$3142,$D$3)</f>
        <v>2476.27</v>
      </c>
    </row>
    <row r="89" spans="1:2" ht="15" customHeight="1" x14ac:dyDescent="0.25">
      <c r="A89" s="25" t="s">
        <v>2473</v>
      </c>
      <c r="B89" s="59">
        <f>SUMIFS(RATEIOS!$F$2:$F$3142,RATEIOS!$D$2:$D$3142,"DESPESAS ADMINISTRATIVAS",RATEIOS!$E$2:$E$3142,"Panificadora",RATEIOS!$C$2:$C$3142,$D$3)</f>
        <v>15690</v>
      </c>
    </row>
    <row r="90" spans="1:2" ht="15" customHeight="1" x14ac:dyDescent="0.25">
      <c r="A90" s="25" t="s">
        <v>2474</v>
      </c>
      <c r="B90" s="59">
        <f>SUMIFS(RATEIOS!$F$2:$F$3142,RATEIOS!$D$2:$D$3142,"DESPESAS ADMINISTRATIVAS",RATEIOS!$E$2:$E$3142,"Supermercado",RATEIOS!$C$2:$C$3142,$D$3)</f>
        <v>42403.28</v>
      </c>
    </row>
    <row r="91" spans="1:2" ht="15" customHeight="1" x14ac:dyDescent="0.25">
      <c r="A91" s="25" t="s">
        <v>2475</v>
      </c>
      <c r="B91" s="59">
        <f>SUMIFS(RATEIOS!$F$2:$F$3142,RATEIOS!$D$2:$D$3142,"DESPESAS ADMINISTRATIVAS",RATEIOS!$E$2:$E$3142,"Suporte Informatica - Hardware, Internet, Sistemas e Câmeras",RATEIOS!$C$2:$C$3142,$D$3)</f>
        <v>28858.310000000009</v>
      </c>
    </row>
    <row r="92" spans="1:2" ht="15" customHeight="1" x14ac:dyDescent="0.25">
      <c r="A92" s="25" t="s">
        <v>2476</v>
      </c>
      <c r="B92" s="59">
        <f>SUMIFS(RATEIOS!$F$2:$F$3142,RATEIOS!$D$2:$D$3142,"DESPESAS ADMINISTRATIVAS",RATEIOS!$E$2:$E$3142,"Taxas e Tarifas",RATEIOS!$C$2:$C$3142,$D$3)</f>
        <v>56643.810000000012</v>
      </c>
    </row>
    <row r="93" spans="1:2" ht="15" customHeight="1" x14ac:dyDescent="0.25">
      <c r="A93" s="25" t="s">
        <v>2831</v>
      </c>
      <c r="B93" s="59">
        <f>SUMIFS(RATEIOS!$F$2:$F$3142,RATEIOS!$D$2:$D$3142,"DESPESAS ADMINISTRATIVAS",RATEIOS!$E$2:$E$3142,"Treinamentos e Capacitação",RATEIOS!$C$2:$C$3142,$D$3)</f>
        <v>1500</v>
      </c>
    </row>
    <row r="94" spans="1:2" ht="30" customHeight="1" x14ac:dyDescent="0.25">
      <c r="A94" s="63" t="s">
        <v>2423</v>
      </c>
      <c r="B94" s="64">
        <f>SUMIFS(RATEIOS!$F$2:$F$3142,RATEIOS!$D$2:$D$3142,"DESPESAS ADMINISTRATIVAS",RATEIOS!$E$2:$E$3142,"=",RATEIOS!$C$2:$C$3142,$D$3)</f>
        <v>0</v>
      </c>
    </row>
    <row r="95" spans="1:2" ht="15" customHeight="1" x14ac:dyDescent="0.25">
      <c r="A95" s="61" t="s">
        <v>1349</v>
      </c>
      <c r="B95" s="62">
        <f>SUM(B96:B101)</f>
        <v>21407.06</v>
      </c>
    </row>
    <row r="96" spans="1:2" ht="15" customHeight="1" x14ac:dyDescent="0.25">
      <c r="A96" s="25" t="s">
        <v>2477</v>
      </c>
      <c r="B96" s="59">
        <f>SUMIFS(RATEIOS!$F$2:$F$3142,RATEIOS!$D$2:$D$3142,"LOGÍSTICA E FROTA",RATEIOS!$E$2:$E$3142,"Combustível (Gasolina)",RATEIOS!$C$2:$C$3142,$D$3)</f>
        <v>5150.1100000000006</v>
      </c>
    </row>
    <row r="97" spans="1:2" ht="15" customHeight="1" x14ac:dyDescent="0.25">
      <c r="A97" s="25" t="s">
        <v>2478</v>
      </c>
      <c r="B97" s="59">
        <f>SUMIFS(RATEIOS!$F$2:$F$3142,RATEIOS!$D$2:$D$3142,"LOGÍSTICA E FROTA",RATEIOS!$E$2:$E$3142,"Frete com mercadorias",RATEIOS!$C$2:$C$3142,$D$3)</f>
        <v>4001.5</v>
      </c>
    </row>
    <row r="98" spans="1:2" ht="15" customHeight="1" x14ac:dyDescent="0.25">
      <c r="A98" s="25" t="s">
        <v>2479</v>
      </c>
      <c r="B98" s="59">
        <f>SUMIFS(RATEIOS!$F$2:$F$3142,RATEIOS!$D$2:$D$3142,"LOGÍSTICA E FROTA",RATEIOS!$E$2:$E$3142,"Manutenção de Veículo",RATEIOS!$C$2:$C$3142,$D$3)</f>
        <v>4849.45</v>
      </c>
    </row>
    <row r="99" spans="1:2" ht="15" customHeight="1" x14ac:dyDescent="0.25">
      <c r="A99" s="25" t="s">
        <v>2480</v>
      </c>
      <c r="B99" s="59">
        <f>SUMIFS(RATEIOS!$F$2:$F$3142,RATEIOS!$D$2:$D$3142,"LOGÍSTICA E FROTA",RATEIOS!$E$2:$E$3142,"Transporte de pacientes e viagens para HTI",RATEIOS!$C$2:$C$3142,$D$3)</f>
        <v>7406</v>
      </c>
    </row>
    <row r="100" spans="1:2" ht="15" customHeight="1" x14ac:dyDescent="0.25">
      <c r="A100" s="25" t="s">
        <v>2481</v>
      </c>
      <c r="B100" s="59">
        <f>SUMIFS(RATEIOS!$F$2:$F$3142,RATEIOS!$D$2:$D$3142,"LOGÍSTICA E FROTA",RATEIOS!$E$2:$E$3142,"IPVA / Licenciamento e Multas",RATEIOS!$C$2:$C$3142,$D$3)</f>
        <v>0</v>
      </c>
    </row>
    <row r="101" spans="1:2" ht="15" customHeight="1" x14ac:dyDescent="0.25">
      <c r="A101" s="63" t="s">
        <v>2423</v>
      </c>
      <c r="B101" s="64">
        <f>SUMIFS(RATEIOS!$F$2:$F$3142,RATEIOS!$D$2:$D$3142,"LOGÍSTICA E FROTA",RATEIOS!$E$2:$E$3142,"=",RATEIOS!$C$2:$C$3142,$D$3)</f>
        <v>0</v>
      </c>
    </row>
    <row r="102" spans="1:2" ht="15" customHeight="1" x14ac:dyDescent="0.25">
      <c r="A102" s="60"/>
      <c r="B102" s="59"/>
    </row>
    <row r="103" spans="1:2" ht="15" customHeight="1" x14ac:dyDescent="0.25">
      <c r="A103" s="61" t="s">
        <v>1370</v>
      </c>
      <c r="B103" s="62">
        <f>SUM(B104:B108)</f>
        <v>59054.39</v>
      </c>
    </row>
    <row r="104" spans="1:2" ht="15" customHeight="1" x14ac:dyDescent="0.25">
      <c r="A104" s="25" t="s">
        <v>2482</v>
      </c>
      <c r="B104" s="59">
        <f>SUMIFS(RATEIOS!$F$2:$F$3142,RATEIOS!$D$2:$D$3142,"MANUTENÇÃO E INFRAESTRUTURA",RATEIOS!$E$2:$E$3142,"Manutenção - Máquinas HD, Gerador, Osmose",RATEIOS!$C$2:$C$3142,$D$3)</f>
        <v>49761.89</v>
      </c>
    </row>
    <row r="105" spans="1:2" ht="15" customHeight="1" x14ac:dyDescent="0.25">
      <c r="A105" s="25" t="s">
        <v>2483</v>
      </c>
      <c r="B105" s="59">
        <f>SUMIFS(RATEIOS!$F$2:$F$3142,RATEIOS!$D$2:$D$3142,"MANUTENÇÃO E INFRAESTRUTURA",RATEIOS!$E$2:$E$3142,"Manutenção - Ar Condicionados",RATEIOS!$C$2:$C$3142,$D$3)</f>
        <v>3300</v>
      </c>
    </row>
    <row r="106" spans="1:2" ht="15" customHeight="1" x14ac:dyDescent="0.25">
      <c r="A106" s="25" t="s">
        <v>2484</v>
      </c>
      <c r="B106" s="59">
        <f>SUMIFS(RATEIOS!$F$2:$F$3142,RATEIOS!$D$2:$D$3142,"MANUTENÇÃO E INFRAESTRUTURA",RATEIOS!$E$2:$E$3142,"Manutenção Predial (Reformas e Reparos)",RATEIOS!$C$2:$C$3142,$D$3)</f>
        <v>5213.5599999999995</v>
      </c>
    </row>
    <row r="107" spans="1:2" ht="15" customHeight="1" x14ac:dyDescent="0.25">
      <c r="A107" s="25" t="s">
        <v>2485</v>
      </c>
      <c r="B107" s="59">
        <f>SUMIFS(RATEIOS!$F$2:$F$3142,RATEIOS!$D$2:$D$3142,"MANUTENÇÃO E INFRAESTRUTURA",RATEIOS!$E$2:$E$3142,"Óleo diesel para gerador",RATEIOS!$C$2:$C$3142,$D$3)</f>
        <v>778.94</v>
      </c>
    </row>
    <row r="108" spans="1:2" ht="15" customHeight="1" x14ac:dyDescent="0.25">
      <c r="A108" s="63" t="s">
        <v>2423</v>
      </c>
      <c r="B108" s="64">
        <f>SUMIFS(RATEIOS!$F$2:$F$3142,RATEIOS!$D$2:$D$3142,"MANUTENÇÃO E INFRAESTRUTURA",RATEIOS!$E$2:$E$3142,"=",RATEIOS!$C$2:$C$3142,$D$3)</f>
        <v>0</v>
      </c>
    </row>
    <row r="109" spans="1:2" ht="15" customHeight="1" x14ac:dyDescent="0.25">
      <c r="A109" s="60"/>
      <c r="B109" s="59"/>
    </row>
    <row r="110" spans="1:2" ht="15" customHeight="1" x14ac:dyDescent="0.25">
      <c r="A110" s="61" t="s">
        <v>2486</v>
      </c>
      <c r="B110" s="62">
        <f>SUM(B111:B113)</f>
        <v>45804.5</v>
      </c>
    </row>
    <row r="111" spans="1:2" ht="15" customHeight="1" x14ac:dyDescent="0.25">
      <c r="A111" s="25" t="s">
        <v>2487</v>
      </c>
      <c r="B111" s="59">
        <f>SUMIFS(RATEIOS!$F$2:$F$3142,RATEIOS!$D$2:$D$3142,"DESPESAS COM EMPRÉSTIMO E DEMAIS DESPESAS FINANCEIRAS",RATEIOS!$E$2:$E$3142,"Seguro Icatu",RATEIOS!$C$2:$C$3142,$D$3)</f>
        <v>33330.5</v>
      </c>
    </row>
    <row r="112" spans="1:2" ht="15" customHeight="1" x14ac:dyDescent="0.25">
      <c r="A112" s="25" t="s">
        <v>2488</v>
      </c>
      <c r="B112" s="59">
        <f>SUMIFS(RATEIOS!$F$2:$F$3142,RATEIOS!$D$2:$D$3142,"DESPESAS COM EMPRÉSTIMO E DEMAIS DESPESAS FINANCEIRAS",RATEIOS!$E$2:$E$3142,"Engenheiro",RATEIOS!$C$2:$C$3142,$D$3)</f>
        <v>12474</v>
      </c>
    </row>
    <row r="113" spans="1:2" ht="15" customHeight="1" x14ac:dyDescent="0.25">
      <c r="A113" s="63" t="s">
        <v>2423</v>
      </c>
      <c r="B113" s="64">
        <f>SUMIFS(RATEIOS!$F$2:$F$3142,RATEIOS!$D$2:$D$3142,"DESPESAS COM EMPRÉSTIMO E DEMAIS DESPESAS FINANCEIRAS",RATEIOS!$E$2:$E$3142,"=",RATEIOS!$C$2:$C$3142,$D$3)</f>
        <v>0</v>
      </c>
    </row>
    <row r="114" spans="1:2" ht="15" customHeight="1" x14ac:dyDescent="0.25">
      <c r="A114" s="60"/>
      <c r="B114" s="59"/>
    </row>
    <row r="115" spans="1:2" ht="15" customHeight="1" x14ac:dyDescent="0.25">
      <c r="A115" s="61" t="s">
        <v>1454</v>
      </c>
      <c r="B115" s="62">
        <f>SUM(B116:B121)</f>
        <v>505285.22000000009</v>
      </c>
    </row>
    <row r="116" spans="1:2" ht="15" customHeight="1" x14ac:dyDescent="0.25">
      <c r="A116" s="25" t="s">
        <v>2489</v>
      </c>
      <c r="B116" s="59">
        <f>SUMIFS(RATEIOS!$F$2:$F$3142,RATEIOS!$D$2:$D$3142,"AQUISIÇÃO DE BENS E EQUIPAMENTOS",RATEIOS!$E$2:$E$3142,"Aquisição de Máquinas de Hemodiálise",RATEIOS!$C$2:$C$3142,$D$3)</f>
        <v>479862.26000000013</v>
      </c>
    </row>
    <row r="117" spans="1:2" ht="15" customHeight="1" x14ac:dyDescent="0.25">
      <c r="A117" s="25" t="s">
        <v>2490</v>
      </c>
      <c r="B117" s="59">
        <f>SUMIFS(RATEIOS!$F$2:$F$3142,RATEIOS!$D$2:$D$3142,"AQUISIÇÃO DE BENS E EQUIPAMENTOS",RATEIOS!$E$2:$E$3142,"Aquisição de Ar Condicionado",RATEIOS!$C$2:$C$3142,$D$3)</f>
        <v>0</v>
      </c>
    </row>
    <row r="118" spans="1:2" ht="15" customHeight="1" x14ac:dyDescent="0.25">
      <c r="A118" s="25" t="s">
        <v>2491</v>
      </c>
      <c r="B118" s="59">
        <f>SUMIFS(RATEIOS!$F$2:$F$3142,RATEIOS!$D$2:$D$3142,"AQUISIÇÃO DE BENS E EQUIPAMENTOS",RATEIOS!$E$2:$E$3142,"Equipamentos de Informática (Computadores)",RATEIOS!$C$2:$C$3142,$D$3)</f>
        <v>1495.45</v>
      </c>
    </row>
    <row r="119" spans="1:2" ht="15" customHeight="1" x14ac:dyDescent="0.25">
      <c r="A119" s="25" t="s">
        <v>2492</v>
      </c>
      <c r="B119" s="59">
        <f>SUMIFS(RATEIOS!$F$2:$F$3142,RATEIOS!$D$2:$D$3142,"AQUISIÇÃO DE BENS E EQUIPAMENTOS",RATEIOS!$E$2:$E$3142,"Financiamento do veículo",RATEIOS!$C$2:$C$3142,$D$3)</f>
        <v>15597.48</v>
      </c>
    </row>
    <row r="120" spans="1:2" ht="15" customHeight="1" x14ac:dyDescent="0.25">
      <c r="A120" s="25" t="s">
        <v>2762</v>
      </c>
      <c r="B120" s="59">
        <f>SUMIFS(RATEIOS!$F$2:$F$3142,RATEIOS!$D$2:$D$3142,"AQUISIÇÃO DE BENS E EQUIPAMENTOS",RATEIOS!$E$2:$E$3142,"Mobiliário e utensílios duráveis",RATEIOS!$C$2:$C$3142,$D$3)</f>
        <v>8330.0299999999988</v>
      </c>
    </row>
    <row r="121" spans="1:2" ht="15" customHeight="1" x14ac:dyDescent="0.25">
      <c r="A121" s="63" t="s">
        <v>2423</v>
      </c>
      <c r="B121" s="64">
        <f>SUMIFS(RATEIOS!$F$2:$F$3142,RATEIOS!$D$2:$D$3142,"AQUISIÇÃO DE BENS E EQUIPAMENTOS",RATEIOS!$E$2:$E$3142,"=",RATEIOS!$C$2:$C$3142,$D$3)</f>
        <v>0</v>
      </c>
    </row>
    <row r="122" spans="1:2" ht="15" customHeight="1" x14ac:dyDescent="0.25">
      <c r="A122" s="61" t="s">
        <v>1904</v>
      </c>
      <c r="B122" s="62">
        <f>SUM(B123:B125)</f>
        <v>306000</v>
      </c>
    </row>
    <row r="123" spans="1:2" ht="15" customHeight="1" x14ac:dyDescent="0.25">
      <c r="A123" s="25" t="s">
        <v>2493</v>
      </c>
      <c r="B123" s="59">
        <f>SUMIFS(RATEIOS!$F$2:$F$3142,RATEIOS!$D$2:$D$3142,"DESPESAS COM SÓCIOS - LUCROS",RATEIOS!$E$2:$E$3142,"Distribuição de Lucros",RATEIOS!$C$2:$C$3142,$D$3)</f>
        <v>166000</v>
      </c>
    </row>
    <row r="124" spans="1:2" ht="15" customHeight="1" x14ac:dyDescent="0.25">
      <c r="A124" s="25" t="s">
        <v>2494</v>
      </c>
      <c r="B124" s="59">
        <f>SUMIFS(RATEIOS!$F$2:$F$3142,RATEIOS!$D$2:$D$3142,"DESPESAS COM SÓCIOS - LUCROS",RATEIOS!$E$2:$E$3142,"Valor repassado aos sócios",RATEIOS!$C$2:$C$3142,$D$3)</f>
        <v>140000</v>
      </c>
    </row>
    <row r="125" spans="1:2" ht="15" customHeight="1" x14ac:dyDescent="0.25">
      <c r="A125" s="63" t="s">
        <v>2423</v>
      </c>
      <c r="B125" s="64">
        <f>SUMIFS(RATEIOS!$F$2:$F$3142,RATEIOS!$D$2:$D$3142,"DESPESAS COM SÓCIOS - LUCROS",RATEIOS!$E$2:$E$3142,"=",RATEIOS!$C$2:$C$3142,$D$3)</f>
        <v>0</v>
      </c>
    </row>
    <row r="126" spans="1:2" ht="15" customHeight="1" x14ac:dyDescent="0.25">
      <c r="A126" s="60"/>
      <c r="B126" s="59"/>
    </row>
    <row r="127" spans="1:2" ht="15" customHeight="1" x14ac:dyDescent="0.25">
      <c r="A127" s="60"/>
      <c r="B127" s="59"/>
    </row>
    <row r="128" spans="1:2" ht="15" customHeight="1" x14ac:dyDescent="0.25">
      <c r="A128" s="65" t="s">
        <v>2495</v>
      </c>
      <c r="B128" s="66">
        <f>SUMIFS(RATEIOS!$F$2:$F$3142,RATEIOS!$D$2:$D$3142,"=",RATEIOS!$C$2:$C$3142,$D$3)</f>
        <v>2117734.75</v>
      </c>
    </row>
    <row r="129" spans="1:2" ht="15" customHeight="1" x14ac:dyDescent="0.25">
      <c r="A129" s="60"/>
      <c r="B129" s="59"/>
    </row>
    <row r="130" spans="1:2" ht="15" customHeight="1" x14ac:dyDescent="0.25">
      <c r="A130" s="67" t="s">
        <v>2496</v>
      </c>
      <c r="B130" s="68">
        <f>B6-B15</f>
        <v>322800.70999999996</v>
      </c>
    </row>
    <row r="131" spans="1:2" ht="15" customHeight="1" x14ac:dyDescent="0.25">
      <c r="A131" s="60"/>
      <c r="B131" s="59"/>
    </row>
    <row r="132" spans="1:2" ht="15" customHeight="1" x14ac:dyDescent="0.25">
      <c r="A132" s="69" t="s">
        <v>2497</v>
      </c>
      <c r="B132" s="70">
        <f>B8</f>
        <v>273853.88</v>
      </c>
    </row>
    <row r="133" spans="1:2" ht="15" customHeight="1" x14ac:dyDescent="0.25">
      <c r="A133" s="69" t="s">
        <v>2498</v>
      </c>
      <c r="B133" s="70">
        <f>SUMIFS(RATEIOS!$F$2:$F$3142,RATEIOS!$E$2:$E$3142,"Folha de Pagamento (Repasse de piso da Enfermagem)",RATEIOS!$C$2:$C$3142,$D$3)</f>
        <v>273853.87999999995</v>
      </c>
    </row>
  </sheetData>
  <mergeCells count="2">
    <mergeCell ref="A1:D1"/>
    <mergeCell ref="A2:D2"/>
  </mergeCells>
  <dataValidations count="1">
    <dataValidation type="list" sqref="B3" xr:uid="{00000000-0002-0000-0300-000000000000}">
      <formula1>"ANO TODO,Janeiro,Fevereiro,Março,Abril,Maio,Junho,Julho,Agosto,Setembro,Outubro,Novembro,Dezembro"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235"/>
  </sheetPr>
  <dimension ref="A1:O288"/>
  <sheetViews>
    <sheetView zoomScale="90" zoomScaleNormal="90" workbookViewId="0">
      <pane xSplit="1" ySplit="5" topLeftCell="B53" activePane="bottomRight" state="frozen"/>
      <selection pane="topRight" activeCell="B1" sqref="B1"/>
      <selection pane="bottomLeft" activeCell="A6" sqref="A6"/>
      <selection pane="bottomRight" activeCell="A15" sqref="A15"/>
    </sheetView>
  </sheetViews>
  <sheetFormatPr defaultColWidth="8.7109375" defaultRowHeight="15" x14ac:dyDescent="0.25"/>
  <cols>
    <col min="1" max="1" width="71.5703125" style="16" bestFit="1" customWidth="1"/>
    <col min="2" max="2" width="22.28515625" style="16" customWidth="1"/>
    <col min="3" max="3" width="17.42578125" style="16" bestFit="1" customWidth="1"/>
    <col min="4" max="10" width="15.28515625" style="16" bestFit="1" customWidth="1"/>
    <col min="11" max="11" width="16.85546875" style="16" bestFit="1" customWidth="1"/>
    <col min="12" max="13" width="15.28515625" style="16" bestFit="1" customWidth="1"/>
    <col min="14" max="14" width="16.85546875" style="16" bestFit="1" customWidth="1"/>
    <col min="15" max="16384" width="8.7109375" style="16"/>
  </cols>
  <sheetData>
    <row r="1" spans="1:15" ht="17.25" customHeight="1" x14ac:dyDescent="0.25">
      <c r="A1" s="119" t="s">
        <v>2499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</row>
    <row r="2" spans="1:15" ht="15" customHeight="1" x14ac:dyDescent="0.25">
      <c r="A2" s="118" t="s">
        <v>2500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</row>
    <row r="4" spans="1:15" ht="15" customHeight="1" x14ac:dyDescent="0.25">
      <c r="A4" s="24" t="s">
        <v>2501</v>
      </c>
    </row>
    <row r="5" spans="1:15" ht="27.75" customHeight="1" x14ac:dyDescent="0.25">
      <c r="A5" s="2" t="s">
        <v>1297</v>
      </c>
      <c r="B5" s="2" t="s">
        <v>2502</v>
      </c>
      <c r="C5" s="2" t="s">
        <v>2503</v>
      </c>
      <c r="D5" s="2" t="s">
        <v>2504</v>
      </c>
      <c r="E5" s="2" t="s">
        <v>2505</v>
      </c>
      <c r="F5" s="2" t="s">
        <v>2506</v>
      </c>
      <c r="G5" s="2" t="s">
        <v>2507</v>
      </c>
      <c r="H5" s="2" t="s">
        <v>2508</v>
      </c>
      <c r="I5" s="2" t="s">
        <v>2509</v>
      </c>
      <c r="J5" s="2" t="s">
        <v>2510</v>
      </c>
      <c r="K5" s="2" t="s">
        <v>2511</v>
      </c>
      <c r="L5" s="2" t="s">
        <v>2512</v>
      </c>
      <c r="M5" s="2" t="s">
        <v>2513</v>
      </c>
      <c r="N5" s="2" t="s">
        <v>2514</v>
      </c>
    </row>
    <row r="6" spans="1:15" ht="15" customHeight="1" x14ac:dyDescent="0.25">
      <c r="A6" s="35" t="s">
        <v>1305</v>
      </c>
      <c r="B6" s="36">
        <f>SUMIFS(RATEIOS!$F$2:$F$3142,RATEIOS!$D$2:$D$3142,$A6,RATEIOS!$C$2:$C$3142,1)</f>
        <v>458967.82000000007</v>
      </c>
      <c r="C6" s="36">
        <f>SUMIFS(RATEIOS!$F$2:$F$3142,RATEIOS!$D$2:$D$3142,$A6,RATEIOS!$C$2:$C$3142,2)</f>
        <v>279832.99</v>
      </c>
      <c r="D6" s="36">
        <f>SUMIFS(RATEIOS!$F$2:$F$3142,RATEIOS!$D$2:$D$3142,$A6,RATEIOS!$C$2:$C$3142,3)</f>
        <v>1152298.1200000001</v>
      </c>
      <c r="E6" s="36">
        <f>SUMIFS(RATEIOS!$F$2:$F$3142,RATEIOS!$D$2:$D$3142,$A6,RATEIOS!$C$2:$C$3142,4)</f>
        <v>32760.61</v>
      </c>
      <c r="F6" s="36">
        <f>SUMIFS(RATEIOS!$F$2:$F$3142,RATEIOS!$D$2:$D$3142,$A6,RATEIOS!$C$2:$C$3142,5)</f>
        <v>821934.58</v>
      </c>
      <c r="G6" s="36">
        <f>SUMIFS(RATEIOS!$F$2:$F$3142,RATEIOS!$D$2:$D$3142,$A6,RATEIOS!$C$2:$C$3142,6)</f>
        <v>752376.89</v>
      </c>
      <c r="H6" s="36">
        <f>SUMIFS(RATEIOS!$F$2:$F$3142,RATEIOS!$D$2:$D$3142,$A6,RATEIOS!$C$2:$C$3142,7)</f>
        <v>936010.55999999994</v>
      </c>
      <c r="I6" s="36">
        <f>SUMIFS(RATEIOS!$F$2:$F$3142,RATEIOS!$D$2:$D$3142,$A6,RATEIOS!$C$2:$C$3142,8)</f>
        <v>1769796.76</v>
      </c>
      <c r="J6" s="36">
        <f>SUMIFS(RATEIOS!$F$2:$F$3142,RATEIOS!$D$2:$D$3142,$A6,RATEIOS!$C$2:$C$3142,9)</f>
        <v>0</v>
      </c>
      <c r="K6" s="36">
        <f>SUMIFS(RATEIOS!$F$2:$F$3142,RATEIOS!$D$2:$D$3142,$A6,RATEIOS!$C$2:$C$3142,10)</f>
        <v>0</v>
      </c>
      <c r="L6" s="36">
        <f>SUMIFS(RATEIOS!$F$2:$F$3142,RATEIOS!$D$2:$D$3142,$A6,RATEIOS!$C$2:$C$3142,11)</f>
        <v>0</v>
      </c>
      <c r="M6" s="36">
        <f>SUMIFS(RATEIOS!$F$2:$F$3142,RATEIOS!$D$2:$D$3142,$A6,RATEIOS!$C$2:$C$3142,12)</f>
        <v>0</v>
      </c>
      <c r="N6" s="37">
        <f t="shared" ref="N6:N18" si="0">SUM(B6:M6)</f>
        <v>6203978.3300000001</v>
      </c>
    </row>
    <row r="7" spans="1:15" ht="15" customHeight="1" x14ac:dyDescent="0.25">
      <c r="A7" s="23" t="s">
        <v>1388</v>
      </c>
      <c r="B7" s="36">
        <f>SUMIFS(RATEIOS!$F$2:$F$3142,RATEIOS!$D$2:$D$3142,$A7,RATEIOS!$C$2:$C$3142,1)</f>
        <v>112505.43</v>
      </c>
      <c r="C7" s="36">
        <f>SUMIFS(RATEIOS!$F$2:$F$3142,RATEIOS!$D$2:$D$3142,$A7,RATEIOS!$C$2:$C$3142,2)</f>
        <v>167.53</v>
      </c>
      <c r="D7" s="36">
        <f>SUMIFS(RATEIOS!$F$2:$F$3142,RATEIOS!$D$2:$D$3142,$A7,RATEIOS!$C$2:$C$3142,3)</f>
        <v>26586.39</v>
      </c>
      <c r="E7" s="36">
        <f>SUMIFS(RATEIOS!$F$2:$F$3142,RATEIOS!$D$2:$D$3142,$A7,RATEIOS!$C$2:$C$3142,4)</f>
        <v>77886.53</v>
      </c>
      <c r="F7" s="36">
        <f>SUMIFS(RATEIOS!$F$2:$F$3142,RATEIOS!$D$2:$D$3142,$A7,RATEIOS!$C$2:$C$3142,5)</f>
        <v>22633.43</v>
      </c>
      <c r="G7" s="36">
        <f>SUMIFS(RATEIOS!$F$2:$F$3142,RATEIOS!$D$2:$D$3142,$A7,RATEIOS!$C$2:$C$3142,6)</f>
        <v>43144.350000000006</v>
      </c>
      <c r="H7" s="36">
        <f>SUMIFS(RATEIOS!$F$2:$F$3142,RATEIOS!$D$2:$D$3142,$A7,RATEIOS!$C$2:$C$3142,7)</f>
        <v>63692.840000000004</v>
      </c>
      <c r="I7" s="36">
        <f>SUMIFS(RATEIOS!$F$2:$F$3142,RATEIOS!$D$2:$D$3142,$A7,RATEIOS!$C$2:$C$3142,8)</f>
        <v>53612.670000000006</v>
      </c>
      <c r="J7" s="36">
        <f>SUMIFS(RATEIOS!$F$2:$F$3142,RATEIOS!$D$2:$D$3142,$A7,RATEIOS!$C$2:$C$3142,9)</f>
        <v>31077.96</v>
      </c>
      <c r="K7" s="36">
        <f>SUMIFS(RATEIOS!$F$2:$F$3142,RATEIOS!$D$2:$D$3142,$A7,RATEIOS!$C$2:$C$3142,10)</f>
        <v>0</v>
      </c>
      <c r="L7" s="36">
        <f>SUMIFS(RATEIOS!$F$2:$F$3142,RATEIOS!$D$2:$D$3142,$A7,RATEIOS!$C$2:$C$3142,11)</f>
        <v>0</v>
      </c>
      <c r="M7" s="36">
        <f>SUMIFS(RATEIOS!$F$2:$F$3142,RATEIOS!$D$2:$D$3142,$A7,RATEIOS!$C$2:$C$3142,12)</f>
        <v>0</v>
      </c>
      <c r="N7" s="37">
        <f t="shared" si="0"/>
        <v>431307.13</v>
      </c>
    </row>
    <row r="8" spans="1:15" ht="15" customHeight="1" x14ac:dyDescent="0.25">
      <c r="A8" s="23" t="s">
        <v>1367</v>
      </c>
      <c r="B8" s="36">
        <f>SUMIFS(RATEIOS!$F$2:$F$3142,RATEIOS!$D$2:$D$3142,$A8,RATEIOS!$C$2:$C$3142,1)</f>
        <v>112752.57999999999</v>
      </c>
      <c r="C8" s="36">
        <f>SUMIFS(RATEIOS!$F$2:$F$3142,RATEIOS!$D$2:$D$3142,$A8,RATEIOS!$C$2:$C$3142,2)</f>
        <v>136934.05000000002</v>
      </c>
      <c r="D8" s="36">
        <f>SUMIFS(RATEIOS!$F$2:$F$3142,RATEIOS!$D$2:$D$3142,$A8,RATEIOS!$C$2:$C$3142,3)</f>
        <v>141460.62</v>
      </c>
      <c r="E8" s="36">
        <f>SUMIFS(RATEIOS!$F$2:$F$3142,RATEIOS!$D$2:$D$3142,$A8,RATEIOS!$C$2:$C$3142,4)</f>
        <v>145003.09</v>
      </c>
      <c r="F8" s="36">
        <f>SUMIFS(RATEIOS!$F$2:$F$3142,RATEIOS!$D$2:$D$3142,$A8,RATEIOS!$C$2:$C$3142,5)</f>
        <v>157262.82</v>
      </c>
      <c r="G8" s="36">
        <f>SUMIFS(RATEIOS!$F$2:$F$3142,RATEIOS!$D$2:$D$3142,$A8,RATEIOS!$C$2:$C$3142,6)</f>
        <v>155790.71</v>
      </c>
      <c r="H8" s="36">
        <f>SUMIFS(RATEIOS!$F$2:$F$3142,RATEIOS!$D$2:$D$3142,$A8,RATEIOS!$C$2:$C$3142,7)</f>
        <v>153178.18</v>
      </c>
      <c r="I8" s="36">
        <f>SUMIFS(RATEIOS!$F$2:$F$3142,RATEIOS!$D$2:$D$3142,$A8,RATEIOS!$C$2:$C$3142,8)</f>
        <v>160754.32</v>
      </c>
      <c r="J8" s="36">
        <f>SUMIFS(RATEIOS!$F$2:$F$3142,RATEIOS!$D$2:$D$3142,$A8,RATEIOS!$C$2:$C$3142,9)</f>
        <v>2560</v>
      </c>
      <c r="K8" s="36">
        <f>SUMIFS(RATEIOS!$F$2:$F$3142,RATEIOS!$D$2:$D$3142,$A8,RATEIOS!$C$2:$C$3142,10)</f>
        <v>0</v>
      </c>
      <c r="L8" s="36">
        <f>SUMIFS(RATEIOS!$F$2:$F$3142,RATEIOS!$D$2:$D$3142,$A8,RATEIOS!$C$2:$C$3142,11)</f>
        <v>0</v>
      </c>
      <c r="M8" s="36">
        <f>SUMIFS(RATEIOS!$F$2:$F$3142,RATEIOS!$D$2:$D$3142,$A8,RATEIOS!$C$2:$C$3142,12)</f>
        <v>0</v>
      </c>
      <c r="N8" s="37">
        <f t="shared" si="0"/>
        <v>1165696.3699999999</v>
      </c>
    </row>
    <row r="9" spans="1:15" ht="15" customHeight="1" x14ac:dyDescent="0.25">
      <c r="A9" s="23" t="s">
        <v>1415</v>
      </c>
      <c r="B9" s="36">
        <f>SUMIFS(RATEIOS!$F$2:$F$3142,RATEIOS!$D$2:$D$3142,$A9,RATEIOS!$C$2:$C$3142,1)</f>
        <v>12906.33</v>
      </c>
      <c r="C9" s="36">
        <f>SUMIFS(RATEIOS!$F$2:$F$3142,RATEIOS!$D$2:$D$3142,$A9,RATEIOS!$C$2:$C$3142,2)</f>
        <v>0</v>
      </c>
      <c r="D9" s="36">
        <f>SUMIFS(RATEIOS!$F$2:$F$3142,RATEIOS!$D$2:$D$3142,$A9,RATEIOS!$C$2:$C$3142,3)</f>
        <v>80696.850000000006</v>
      </c>
      <c r="E9" s="36">
        <f>SUMIFS(RATEIOS!$F$2:$F$3142,RATEIOS!$D$2:$D$3142,$A9,RATEIOS!$C$2:$C$3142,4)</f>
        <v>9600</v>
      </c>
      <c r="F9" s="36">
        <f>SUMIFS(RATEIOS!$F$2:$F$3142,RATEIOS!$D$2:$D$3142,$A9,RATEIOS!$C$2:$C$3142,5)</f>
        <v>90002.06</v>
      </c>
      <c r="G9" s="36">
        <f>SUMIFS(RATEIOS!$F$2:$F$3142,RATEIOS!$D$2:$D$3142,$A9,RATEIOS!$C$2:$C$3142,6)</f>
        <v>55015.76</v>
      </c>
      <c r="H9" s="36">
        <f>SUMIFS(RATEIOS!$F$2:$F$3142,RATEIOS!$D$2:$D$3142,$A9,RATEIOS!$C$2:$C$3142,7)</f>
        <v>13206.33</v>
      </c>
      <c r="I9" s="36">
        <f>SUMIFS(RATEIOS!$F$2:$F$3142,RATEIOS!$D$2:$D$3142,$A9,RATEIOS!$C$2:$C$3142,8)</f>
        <v>57888.880000000005</v>
      </c>
      <c r="J9" s="36">
        <f>SUMIFS(RATEIOS!$F$2:$F$3142,RATEIOS!$D$2:$D$3142,$A9,RATEIOS!$C$2:$C$3142,9)</f>
        <v>42340</v>
      </c>
      <c r="K9" s="36">
        <f>SUMIFS(RATEIOS!$F$2:$F$3142,RATEIOS!$D$2:$D$3142,$A9,RATEIOS!$C$2:$C$3142,10)</f>
        <v>0</v>
      </c>
      <c r="L9" s="36">
        <f>SUMIFS(RATEIOS!$F$2:$F$3142,RATEIOS!$D$2:$D$3142,$A9,RATEIOS!$C$2:$C$3142,11)</f>
        <v>0</v>
      </c>
      <c r="M9" s="36">
        <f>SUMIFS(RATEIOS!$F$2:$F$3142,RATEIOS!$D$2:$D$3142,$A9,RATEIOS!$C$2:$C$3142,12)</f>
        <v>0</v>
      </c>
      <c r="N9" s="37">
        <f t="shared" si="0"/>
        <v>361656.20999999996</v>
      </c>
    </row>
    <row r="10" spans="1:15" ht="15" customHeight="1" x14ac:dyDescent="0.25">
      <c r="A10" s="23" t="s">
        <v>1637</v>
      </c>
      <c r="B10" s="36">
        <f>SUMIFS(RATEIOS!$F$2:$F$3142,RATEIOS!$D$2:$D$3142,$A10,RATEIOS!$C$2:$C$3142,1)</f>
        <v>0</v>
      </c>
      <c r="C10" s="36">
        <f>SUMIFS(RATEIOS!$F$2:$F$3142,RATEIOS!$D$2:$D$3142,$A10,RATEIOS!$C$2:$C$3142,2)</f>
        <v>0</v>
      </c>
      <c r="D10" s="36">
        <f>SUMIFS(RATEIOS!$F$2:$F$3142,RATEIOS!$D$2:$D$3142,$A10,RATEIOS!$C$2:$C$3142,3)</f>
        <v>100000</v>
      </c>
      <c r="E10" s="36">
        <f>SUMIFS(RATEIOS!$F$2:$F$3142,RATEIOS!$D$2:$D$3142,$A10,RATEIOS!$C$2:$C$3142,4)</f>
        <v>0</v>
      </c>
      <c r="F10" s="36">
        <f>SUMIFS(RATEIOS!$F$2:$F$3142,RATEIOS!$D$2:$D$3142,$A10,RATEIOS!$C$2:$C$3142,5)</f>
        <v>80000</v>
      </c>
      <c r="G10" s="36">
        <f>SUMIFS(RATEIOS!$F$2:$F$3142,RATEIOS!$D$2:$D$3142,$A10,RATEIOS!$C$2:$C$3142,6)</f>
        <v>44863</v>
      </c>
      <c r="H10" s="36">
        <f>SUMIFS(RATEIOS!$F$2:$F$3142,RATEIOS!$D$2:$D$3142,$A10,RATEIOS!$C$2:$C$3142,7)</f>
        <v>0</v>
      </c>
      <c r="I10" s="36">
        <f>SUMIFS(RATEIOS!$F$2:$F$3142,RATEIOS!$D$2:$D$3142,$A10,RATEIOS!$C$2:$C$3142,8)</f>
        <v>87226</v>
      </c>
      <c r="J10" s="36">
        <f>SUMIFS(RATEIOS!$F$2:$F$3142,RATEIOS!$D$2:$D$3142,$A10,RATEIOS!$C$2:$C$3142,9)</f>
        <v>48000</v>
      </c>
      <c r="K10" s="36">
        <f>SUMIFS(RATEIOS!$F$2:$F$3142,RATEIOS!$D$2:$D$3142,$A10,RATEIOS!$C$2:$C$3142,10)</f>
        <v>0</v>
      </c>
      <c r="L10" s="36">
        <f>SUMIFS(RATEIOS!$F$2:$F$3142,RATEIOS!$D$2:$D$3142,$A10,RATEIOS!$C$2:$C$3142,11)</f>
        <v>0</v>
      </c>
      <c r="M10" s="36">
        <f>SUMIFS(RATEIOS!$F$2:$F$3142,RATEIOS!$D$2:$D$3142,$A10,RATEIOS!$C$2:$C$3142,12)</f>
        <v>0</v>
      </c>
      <c r="N10" s="37">
        <f t="shared" si="0"/>
        <v>360089</v>
      </c>
    </row>
    <row r="11" spans="1:15" ht="15" customHeight="1" x14ac:dyDescent="0.25">
      <c r="A11" s="23" t="s">
        <v>1311</v>
      </c>
      <c r="B11" s="36">
        <f>SUMIFS(RATEIOS!$F$2:$F$3142,RATEIOS!$D$2:$D$3142,$A11,RATEIOS!$C$2:$C$3142,1)</f>
        <v>121227.12</v>
      </c>
      <c r="C11" s="36">
        <f>SUMIFS(RATEIOS!$F$2:$F$3142,RATEIOS!$D$2:$D$3142,$A11,RATEIOS!$C$2:$C$3142,2)</f>
        <v>101582.54999999999</v>
      </c>
      <c r="D11" s="36">
        <f>SUMIFS(RATEIOS!$F$2:$F$3142,RATEIOS!$D$2:$D$3142,$A11,RATEIOS!$C$2:$C$3142,3)</f>
        <v>150335.47000000003</v>
      </c>
      <c r="E11" s="36">
        <f>SUMIFS(RATEIOS!$F$2:$F$3142,RATEIOS!$D$2:$D$3142,$A11,RATEIOS!$C$2:$C$3142,4)</f>
        <v>105644.06</v>
      </c>
      <c r="F11" s="36">
        <f>SUMIFS(RATEIOS!$F$2:$F$3142,RATEIOS!$D$2:$D$3142,$A11,RATEIOS!$C$2:$C$3142,5)</f>
        <v>127284.65999999999</v>
      </c>
      <c r="G11" s="36">
        <f>SUMIFS(RATEIOS!$F$2:$F$3142,RATEIOS!$D$2:$D$3142,$A11,RATEIOS!$C$2:$C$3142,6)</f>
        <v>192843.05999999997</v>
      </c>
      <c r="H11" s="36">
        <f>SUMIFS(RATEIOS!$F$2:$F$3142,RATEIOS!$D$2:$D$3142,$A11,RATEIOS!$C$2:$C$3142,7)</f>
        <v>146607.69</v>
      </c>
      <c r="I11" s="36">
        <f>SUMIFS(RATEIOS!$F$2:$F$3142,RATEIOS!$D$2:$D$3142,$A11,RATEIOS!$C$2:$C$3142,8)</f>
        <v>155744.33999999997</v>
      </c>
      <c r="J11" s="36">
        <f>SUMIFS(RATEIOS!$F$2:$F$3142,RATEIOS!$D$2:$D$3142,$A11,RATEIOS!$C$2:$C$3142,9)</f>
        <v>74681.709999999992</v>
      </c>
      <c r="K11" s="36">
        <f>SUMIFS(RATEIOS!$F$2:$F$3142,RATEIOS!$D$2:$D$3142,$A11,RATEIOS!$C$2:$C$3142,10)</f>
        <v>0</v>
      </c>
      <c r="L11" s="36">
        <f>SUMIFS(RATEIOS!$F$2:$F$3142,RATEIOS!$D$2:$D$3142,$A11,RATEIOS!$C$2:$C$3142,11)</f>
        <v>0</v>
      </c>
      <c r="M11" s="36">
        <f>SUMIFS(RATEIOS!$F$2:$F$3142,RATEIOS!$D$2:$D$3142,$A11,RATEIOS!$C$2:$C$3142,12)</f>
        <v>0</v>
      </c>
      <c r="N11" s="37">
        <f t="shared" si="0"/>
        <v>1175950.6599999997</v>
      </c>
    </row>
    <row r="12" spans="1:15" ht="15" customHeight="1" x14ac:dyDescent="0.25">
      <c r="A12" s="23" t="s">
        <v>1330</v>
      </c>
      <c r="B12" s="36">
        <f>SUMIFS(RATEIOS!$F$2:$F$3142,RATEIOS!$D$2:$D$3142,$A12,RATEIOS!$C$2:$C$3142,1)</f>
        <v>36668.1</v>
      </c>
      <c r="C12" s="36">
        <f>SUMIFS(RATEIOS!$F$2:$F$3142,RATEIOS!$D$2:$D$3142,$A12,RATEIOS!$C$2:$C$3142,2)</f>
        <v>32167.960000000003</v>
      </c>
      <c r="D12" s="36">
        <f>SUMIFS(RATEIOS!$F$2:$F$3142,RATEIOS!$D$2:$D$3142,$A12,RATEIOS!$C$2:$C$3142,3)</f>
        <v>53138.509999999987</v>
      </c>
      <c r="E12" s="36">
        <f>SUMIFS(RATEIOS!$F$2:$F$3142,RATEIOS!$D$2:$D$3142,$A12,RATEIOS!$C$2:$C$3142,4)</f>
        <v>55600.590000000011</v>
      </c>
      <c r="F12" s="36">
        <f>SUMIFS(RATEIOS!$F$2:$F$3142,RATEIOS!$D$2:$D$3142,$A12,RATEIOS!$C$2:$C$3142,5)</f>
        <v>94246.01999999999</v>
      </c>
      <c r="G12" s="36">
        <f>SUMIFS(RATEIOS!$F$2:$F$3142,RATEIOS!$D$2:$D$3142,$A12,RATEIOS!$C$2:$C$3142,6)</f>
        <v>53573.660000000011</v>
      </c>
      <c r="H12" s="36">
        <f>SUMIFS(RATEIOS!$F$2:$F$3142,RATEIOS!$D$2:$D$3142,$A12,RATEIOS!$C$2:$C$3142,7)</f>
        <v>59179.86</v>
      </c>
      <c r="I12" s="36">
        <f>SUMIFS(RATEIOS!$F$2:$F$3142,RATEIOS!$D$2:$D$3142,$A12,RATEIOS!$C$2:$C$3142,8)</f>
        <v>25299.1</v>
      </c>
      <c r="J12" s="36">
        <f>SUMIFS(RATEIOS!$F$2:$F$3142,RATEIOS!$D$2:$D$3142,$A12,RATEIOS!$C$2:$C$3142,9)</f>
        <v>39053.280000000006</v>
      </c>
      <c r="K12" s="36">
        <f>SUMIFS(RATEIOS!$F$2:$F$3142,RATEIOS!$D$2:$D$3142,$A12,RATEIOS!$C$2:$C$3142,10)</f>
        <v>0</v>
      </c>
      <c r="L12" s="36">
        <f>SUMIFS(RATEIOS!$F$2:$F$3142,RATEIOS!$D$2:$D$3142,$A12,RATEIOS!$C$2:$C$3142,11)</f>
        <v>0</v>
      </c>
      <c r="M12" s="36">
        <f>SUMIFS(RATEIOS!$F$2:$F$3142,RATEIOS!$D$2:$D$3142,$A12,RATEIOS!$C$2:$C$3142,12)</f>
        <v>0</v>
      </c>
      <c r="N12" s="37">
        <f t="shared" si="0"/>
        <v>448927.07999999996</v>
      </c>
    </row>
    <row r="13" spans="1:15" ht="15" customHeight="1" x14ac:dyDescent="0.25">
      <c r="A13" s="23" t="s">
        <v>1349</v>
      </c>
      <c r="B13" s="36">
        <f>SUMIFS(RATEIOS!$F$2:$F$3142,RATEIOS!$D$2:$D$3142,$A13,RATEIOS!$C$2:$C$3142,1)</f>
        <v>3626.55</v>
      </c>
      <c r="C13" s="36">
        <f>SUMIFS(RATEIOS!$F$2:$F$3142,RATEIOS!$D$2:$D$3142,$A13,RATEIOS!$C$2:$C$3142,2)</f>
        <v>3513.4700000000003</v>
      </c>
      <c r="D13" s="36">
        <f>SUMIFS(RATEIOS!$F$2:$F$3142,RATEIOS!$D$2:$D$3142,$A13,RATEIOS!$C$2:$C$3142,3)</f>
        <v>3065.86</v>
      </c>
      <c r="E13" s="36">
        <f>SUMIFS(RATEIOS!$F$2:$F$3142,RATEIOS!$D$2:$D$3142,$A13,RATEIOS!$C$2:$C$3142,4)</f>
        <v>1341.5</v>
      </c>
      <c r="F13" s="36">
        <f>SUMIFS(RATEIOS!$F$2:$F$3142,RATEIOS!$D$2:$D$3142,$A13,RATEIOS!$C$2:$C$3142,5)</f>
        <v>2596</v>
      </c>
      <c r="G13" s="36">
        <f>SUMIFS(RATEIOS!$F$2:$F$3142,RATEIOS!$D$2:$D$3142,$A13,RATEIOS!$C$2:$C$3142,6)</f>
        <v>2432.87</v>
      </c>
      <c r="H13" s="36">
        <f>SUMIFS(RATEIOS!$F$2:$F$3142,RATEIOS!$D$2:$D$3142,$A13,RATEIOS!$C$2:$C$3142,7)</f>
        <v>2096</v>
      </c>
      <c r="I13" s="36">
        <f>SUMIFS(RATEIOS!$F$2:$F$3142,RATEIOS!$D$2:$D$3142,$A13,RATEIOS!$C$2:$C$3142,8)</f>
        <v>2234.81</v>
      </c>
      <c r="J13" s="36">
        <f>SUMIFS(RATEIOS!$F$2:$F$3142,RATEIOS!$D$2:$D$3142,$A13,RATEIOS!$C$2:$C$3142,9)</f>
        <v>500</v>
      </c>
      <c r="K13" s="36">
        <f>SUMIFS(RATEIOS!$F$2:$F$3142,RATEIOS!$D$2:$D$3142,$A13,RATEIOS!$C$2:$C$3142,10)</f>
        <v>0</v>
      </c>
      <c r="L13" s="36">
        <f>SUMIFS(RATEIOS!$F$2:$F$3142,RATEIOS!$D$2:$D$3142,$A13,RATEIOS!$C$2:$C$3142,11)</f>
        <v>0</v>
      </c>
      <c r="M13" s="36">
        <f>SUMIFS(RATEIOS!$F$2:$F$3142,RATEIOS!$D$2:$D$3142,$A13,RATEIOS!$C$2:$C$3142,12)</f>
        <v>0</v>
      </c>
      <c r="N13" s="37">
        <f t="shared" si="0"/>
        <v>21407.06</v>
      </c>
    </row>
    <row r="14" spans="1:15" ht="15" customHeight="1" x14ac:dyDescent="0.25">
      <c r="A14" s="23" t="s">
        <v>1370</v>
      </c>
      <c r="B14" s="36">
        <f>SUMIFS(RATEIOS!$F$2:$F$3142,RATEIOS!$D$2:$D$3142,$A14,RATEIOS!$C$2:$C$3142,1)</f>
        <v>587.23</v>
      </c>
      <c r="C14" s="36">
        <f>SUMIFS(RATEIOS!$F$2:$F$3142,RATEIOS!$D$2:$D$3142,$A14,RATEIOS!$C$2:$C$3142,2)</f>
        <v>2217.31</v>
      </c>
      <c r="D14" s="36">
        <f>SUMIFS(RATEIOS!$F$2:$F$3142,RATEIOS!$D$2:$D$3142,$A14,RATEIOS!$C$2:$C$3142,3)</f>
        <v>20163.000000000004</v>
      </c>
      <c r="E14" s="36">
        <f>SUMIFS(RATEIOS!$F$2:$F$3142,RATEIOS!$D$2:$D$3142,$A14,RATEIOS!$C$2:$C$3142,4)</f>
        <v>3231.2000000000003</v>
      </c>
      <c r="F14" s="36">
        <f>SUMIFS(RATEIOS!$F$2:$F$3142,RATEIOS!$D$2:$D$3142,$A14,RATEIOS!$C$2:$C$3142,5)</f>
        <v>10920</v>
      </c>
      <c r="G14" s="36">
        <f>SUMIFS(RATEIOS!$F$2:$F$3142,RATEIOS!$D$2:$D$3142,$A14,RATEIOS!$C$2:$C$3142,6)</f>
        <v>8952.48</v>
      </c>
      <c r="H14" s="36">
        <f>SUMIFS(RATEIOS!$F$2:$F$3142,RATEIOS!$D$2:$D$3142,$A14,RATEIOS!$C$2:$C$3142,7)</f>
        <v>2030.9</v>
      </c>
      <c r="I14" s="36">
        <f>SUMIFS(RATEIOS!$F$2:$F$3142,RATEIOS!$D$2:$D$3142,$A14,RATEIOS!$C$2:$C$3142,8)</f>
        <v>4682.0999999999995</v>
      </c>
      <c r="J14" s="36">
        <f>SUMIFS(RATEIOS!$F$2:$F$3142,RATEIOS!$D$2:$D$3142,$A14,RATEIOS!$C$2:$C$3142,9)</f>
        <v>6270.17</v>
      </c>
      <c r="K14" s="36">
        <f>SUMIFS(RATEIOS!$F$2:$F$3142,RATEIOS!$D$2:$D$3142,$A14,RATEIOS!$C$2:$C$3142,10)</f>
        <v>0</v>
      </c>
      <c r="L14" s="36">
        <f>SUMIFS(RATEIOS!$F$2:$F$3142,RATEIOS!$D$2:$D$3142,$A14,RATEIOS!$C$2:$C$3142,11)</f>
        <v>0</v>
      </c>
      <c r="M14" s="36">
        <f>SUMIFS(RATEIOS!$F$2:$F$3142,RATEIOS!$D$2:$D$3142,$A14,RATEIOS!$C$2:$C$3142,12)</f>
        <v>0</v>
      </c>
      <c r="N14" s="37">
        <f t="shared" si="0"/>
        <v>59054.39</v>
      </c>
    </row>
    <row r="15" spans="1:15" ht="15" customHeight="1" x14ac:dyDescent="0.25">
      <c r="A15" s="23" t="s">
        <v>2486</v>
      </c>
      <c r="B15" s="36">
        <f>SUMIFS(RATEIOS!$F$2:$F$3142,RATEIOS!$D$2:$D$3142,$A15,RATEIOS!$C$2:$C$3142,1)</f>
        <v>0</v>
      </c>
      <c r="C15" s="36">
        <f>SUMIFS(RATEIOS!$F$2:$F$3142,RATEIOS!$D$2:$D$3142,$A15,RATEIOS!$C$2:$C$3142,2)</f>
        <v>0</v>
      </c>
      <c r="D15" s="36">
        <f>SUMIFS(RATEIOS!$F$2:$F$3142,RATEIOS!$D$2:$D$3142,$A15,RATEIOS!$C$2:$C$3142,3)</f>
        <v>0</v>
      </c>
      <c r="E15" s="36">
        <f>SUMIFS(RATEIOS!$F$2:$F$3142,RATEIOS!$D$2:$D$3142,$A15,RATEIOS!$C$2:$C$3142,4)</f>
        <v>0</v>
      </c>
      <c r="F15" s="36">
        <f>SUMIFS(RATEIOS!$F$2:$F$3142,RATEIOS!$D$2:$D$3142,$A15,RATEIOS!$C$2:$C$3142,5)</f>
        <v>45804.499999999978</v>
      </c>
      <c r="G15" s="36">
        <f>SUMIFS(RATEIOS!$F$2:$F$3142,RATEIOS!$D$2:$D$3142,$A15,RATEIOS!$C$2:$C$3142,6)</f>
        <v>0</v>
      </c>
      <c r="H15" s="36">
        <f>SUMIFS(RATEIOS!$F$2:$F$3142,RATEIOS!$D$2:$D$3142,$A15,RATEIOS!$C$2:$C$3142,7)</f>
        <v>0</v>
      </c>
      <c r="I15" s="36">
        <f>SUMIFS(RATEIOS!$F$2:$F$3142,RATEIOS!$D$2:$D$3142,$A15,RATEIOS!$C$2:$C$3142,8)</f>
        <v>0</v>
      </c>
      <c r="J15" s="36">
        <f>SUMIFS(RATEIOS!$F$2:$F$3142,RATEIOS!$D$2:$D$3142,$A15,RATEIOS!$C$2:$C$3142,9)</f>
        <v>0</v>
      </c>
      <c r="K15" s="36">
        <f>SUMIFS(RATEIOS!$F$2:$F$3142,RATEIOS!$D$2:$D$3142,$A15,RATEIOS!$C$2:$C$3142,10)</f>
        <v>0</v>
      </c>
      <c r="L15" s="36">
        <f>SUMIFS(RATEIOS!$F$2:$F$3142,RATEIOS!$D$2:$D$3142,$A15,RATEIOS!$C$2:$C$3142,11)</f>
        <v>0</v>
      </c>
      <c r="M15" s="36">
        <f>SUMIFS(RATEIOS!$F$2:$F$3142,RATEIOS!$D$2:$D$3142,$A15,RATEIOS!$C$2:$C$3142,12)</f>
        <v>0</v>
      </c>
      <c r="N15" s="37">
        <f t="shared" si="0"/>
        <v>45804.499999999978</v>
      </c>
    </row>
    <row r="16" spans="1:15" ht="15" customHeight="1" x14ac:dyDescent="0.25">
      <c r="A16" s="23" t="s">
        <v>1454</v>
      </c>
      <c r="B16" s="36">
        <f>SUMIFS(RATEIOS!$F$2:$F$3142,RATEIOS!$D$2:$D$3142,$A16,RATEIOS!$C$2:$C$3142,1)</f>
        <v>58324</v>
      </c>
      <c r="C16" s="36">
        <f>SUMIFS(RATEIOS!$F$2:$F$3142,RATEIOS!$D$2:$D$3142,$A16,RATEIOS!$C$2:$C$3142,2)</f>
        <v>3430.8500000000004</v>
      </c>
      <c r="D16" s="36">
        <f>SUMIFS(RATEIOS!$F$2:$F$3142,RATEIOS!$D$2:$D$3142,$A16,RATEIOS!$C$2:$C$3142,3)</f>
        <v>119551.43</v>
      </c>
      <c r="E16" s="36">
        <f>SUMIFS(RATEIOS!$F$2:$F$3142,RATEIOS!$D$2:$D$3142,$A16,RATEIOS!$C$2:$C$3142,4)</f>
        <v>67034.38</v>
      </c>
      <c r="F16" s="36">
        <f>SUMIFS(RATEIOS!$F$2:$F$3142,RATEIOS!$D$2:$D$3142,$A16,RATEIOS!$C$2:$C$3142,5)</f>
        <v>2001.76</v>
      </c>
      <c r="G16" s="36">
        <f>SUMIFS(RATEIOS!$F$2:$F$3142,RATEIOS!$D$2:$D$3142,$A16,RATEIOS!$C$2:$C$3142,6)</f>
        <v>118583.4</v>
      </c>
      <c r="H16" s="36">
        <f>SUMIFS(RATEIOS!$F$2:$F$3142,RATEIOS!$D$2:$D$3142,$A16,RATEIOS!$C$2:$C$3142,7)</f>
        <v>60636.44</v>
      </c>
      <c r="I16" s="36">
        <f>SUMIFS(RATEIOS!$F$2:$F$3142,RATEIOS!$D$2:$D$3142,$A16,RATEIOS!$C$2:$C$3142,8)</f>
        <v>71256.680000000008</v>
      </c>
      <c r="J16" s="36">
        <f>SUMIFS(RATEIOS!$F$2:$F$3142,RATEIOS!$D$2:$D$3142,$A16,RATEIOS!$C$2:$C$3142,9)</f>
        <v>4466.2800000000007</v>
      </c>
      <c r="K16" s="36">
        <f>SUMIFS(RATEIOS!$F$2:$F$3142,RATEIOS!$D$2:$D$3142,$A16,RATEIOS!$C$2:$C$3142,10)</f>
        <v>0</v>
      </c>
      <c r="L16" s="36">
        <f>SUMIFS(RATEIOS!$F$2:$F$3142,RATEIOS!$D$2:$D$3142,$A16,RATEIOS!$C$2:$C$3142,11)</f>
        <v>0</v>
      </c>
      <c r="M16" s="36">
        <f>SUMIFS(RATEIOS!$F$2:$F$3142,RATEIOS!$D$2:$D$3142,$A16,RATEIOS!$C$2:$C$3142,12)</f>
        <v>0</v>
      </c>
      <c r="N16" s="37">
        <f t="shared" si="0"/>
        <v>505285.22000000003</v>
      </c>
    </row>
    <row r="17" spans="1:14" ht="15" customHeight="1" x14ac:dyDescent="0.25">
      <c r="A17" s="23" t="s">
        <v>1904</v>
      </c>
      <c r="B17" s="36">
        <f>SUMIFS(RATEIOS!$F$2:$F$3142,RATEIOS!$D$2:$D$3142,$A17,RATEIOS!$C$2:$C$3142,1)</f>
        <v>0</v>
      </c>
      <c r="C17" s="36">
        <f>SUMIFS(RATEIOS!$F$2:$F$3142,RATEIOS!$D$2:$D$3142,$A17,RATEIOS!$C$2:$C$3142,2)</f>
        <v>0</v>
      </c>
      <c r="D17" s="36">
        <f>SUMIFS(RATEIOS!$F$2:$F$3142,RATEIOS!$D$2:$D$3142,$A17,RATEIOS!$C$2:$C$3142,3)</f>
        <v>0</v>
      </c>
      <c r="E17" s="36">
        <f>SUMIFS(RATEIOS!$F$2:$F$3142,RATEIOS!$D$2:$D$3142,$A17,RATEIOS!$C$2:$C$3142,4)</f>
        <v>0</v>
      </c>
      <c r="F17" s="36">
        <f>SUMIFS(RATEIOS!$F$2:$F$3142,RATEIOS!$D$2:$D$3142,$A17,RATEIOS!$C$2:$C$3142,5)</f>
        <v>140000</v>
      </c>
      <c r="G17" s="36">
        <f>SUMIFS(RATEIOS!$F$2:$F$3142,RATEIOS!$D$2:$D$3142,$A17,RATEIOS!$C$2:$C$3142,6)</f>
        <v>50000</v>
      </c>
      <c r="H17" s="36">
        <f>SUMIFS(RATEIOS!$F$2:$F$3142,RATEIOS!$D$2:$D$3142,$A17,RATEIOS!$C$2:$C$3142,7)</f>
        <v>0</v>
      </c>
      <c r="I17" s="36">
        <f>SUMIFS(RATEIOS!$F$2:$F$3142,RATEIOS!$D$2:$D$3142,$A17,RATEIOS!$C$2:$C$3142,8)</f>
        <v>100000</v>
      </c>
      <c r="J17" s="36">
        <f>SUMIFS(RATEIOS!$F$2:$F$3142,RATEIOS!$D$2:$D$3142,$A17,RATEIOS!$C$2:$C$3142,9)</f>
        <v>16000</v>
      </c>
      <c r="K17" s="36">
        <f>SUMIFS(RATEIOS!$F$2:$F$3142,RATEIOS!$D$2:$D$3142,$A17,RATEIOS!$C$2:$C$3142,10)</f>
        <v>0</v>
      </c>
      <c r="L17" s="36">
        <f>SUMIFS(RATEIOS!$F$2:$F$3142,RATEIOS!$D$2:$D$3142,$A17,RATEIOS!$C$2:$C$3142,11)</f>
        <v>0</v>
      </c>
      <c r="M17" s="36">
        <f>SUMIFS(RATEIOS!$F$2:$F$3142,RATEIOS!$D$2:$D$3142,$A17,RATEIOS!$C$2:$C$3142,12)</f>
        <v>0</v>
      </c>
      <c r="N17" s="37">
        <f t="shared" si="0"/>
        <v>306000</v>
      </c>
    </row>
    <row r="18" spans="1:14" ht="15" customHeight="1" x14ac:dyDescent="0.25">
      <c r="A18" s="38" t="s">
        <v>2515</v>
      </c>
      <c r="B18" s="39">
        <f>SUMIFS(RATEIOS!$F$2:$F$3142,RATEIOS!$D$2:$D$3142,"=",RATEIOS!$C$2:$C$3142,1)</f>
        <v>580.20000000000005</v>
      </c>
      <c r="C18" s="39">
        <f>SUMIFS(RATEIOS!$F$2:$F$3142,RATEIOS!$D$2:$D$3142,"=",RATEIOS!$C$2:$C$3142,2)</f>
        <v>0</v>
      </c>
      <c r="D18" s="39">
        <f>SUMIFS(RATEIOS!$F$2:$F$3142,RATEIOS!$D$2:$D$3142,"=",RATEIOS!$C$2:$C$3142,3)</f>
        <v>0</v>
      </c>
      <c r="E18" s="39">
        <f>SUMIFS(RATEIOS!$F$2:$F$3142,RATEIOS!$D$2:$D$3142,"=",RATEIOS!$C$2:$C$3142,4)</f>
        <v>0</v>
      </c>
      <c r="F18" s="39">
        <f>SUMIFS(RATEIOS!$F$2:$F$3142,RATEIOS!$D$2:$D$3142,"=",RATEIOS!$C$2:$C$3142,5)</f>
        <v>1995.84</v>
      </c>
      <c r="G18" s="39">
        <f>SUMIFS(RATEIOS!$F$2:$F$3142,RATEIOS!$D$2:$D$3142,"=",RATEIOS!$C$2:$C$3142,6)</f>
        <v>0</v>
      </c>
      <c r="H18" s="39">
        <f>SUMIFS(RATEIOS!$F$2:$F$3142,RATEIOS!$D$2:$D$3142,"=",RATEIOS!$C$2:$C$3142,7)</f>
        <v>0</v>
      </c>
      <c r="I18" s="39">
        <f>SUMIFS(RATEIOS!$F$2:$F$3142,RATEIOS!$D$2:$D$3142,"=",RATEIOS!$C$2:$C$3142,8)</f>
        <v>123.98</v>
      </c>
      <c r="J18" s="39">
        <f>SUMIFS(RATEIOS!$F$2:$F$3142,RATEIOS!$D$2:$D$3142,"=",RATEIOS!$C$2:$C$3142,9)</f>
        <v>538695.59000000008</v>
      </c>
      <c r="K18" s="39">
        <f>SUMIFS(RATEIOS!$F$2:$F$3142,RATEIOS!$D$2:$D$3142,"=",RATEIOS!$C$2:$C$3142,10)</f>
        <v>1576339.1400000004</v>
      </c>
      <c r="L18" s="39">
        <f>SUMIFS(RATEIOS!$F$2:$F$3142,RATEIOS!$D$2:$D$3142,"=",RATEIOS!$C$2:$C$3142,11)</f>
        <v>0</v>
      </c>
      <c r="M18" s="39">
        <f>SUMIFS(RATEIOS!$F$2:$F$3142,RATEIOS!$D$2:$D$3142,"=",RATEIOS!$C$2:$C$3142,12)</f>
        <v>0</v>
      </c>
      <c r="N18" s="40">
        <f t="shared" si="0"/>
        <v>2117734.7500000005</v>
      </c>
    </row>
    <row r="19" spans="1:14" ht="15" customHeight="1" x14ac:dyDescent="0.25">
      <c r="A19" s="41" t="s">
        <v>2516</v>
      </c>
      <c r="B19" s="42">
        <f t="shared" ref="B19:N19" si="1">SUM(B7:B17)</f>
        <v>458597.33999999991</v>
      </c>
      <c r="C19" s="42">
        <f t="shared" si="1"/>
        <v>280013.71999999997</v>
      </c>
      <c r="D19" s="42">
        <f t="shared" si="1"/>
        <v>694998.12999999989</v>
      </c>
      <c r="E19" s="42">
        <f t="shared" si="1"/>
        <v>465341.35000000003</v>
      </c>
      <c r="F19" s="42">
        <f t="shared" si="1"/>
        <v>772751.25</v>
      </c>
      <c r="G19" s="42">
        <f t="shared" si="1"/>
        <v>725199.29</v>
      </c>
      <c r="H19" s="42">
        <f t="shared" si="1"/>
        <v>500628.24</v>
      </c>
      <c r="I19" s="42">
        <f t="shared" si="1"/>
        <v>718698.9</v>
      </c>
      <c r="J19" s="42">
        <f t="shared" si="1"/>
        <v>264949.40000000002</v>
      </c>
      <c r="K19" s="42">
        <f t="shared" si="1"/>
        <v>0</v>
      </c>
      <c r="L19" s="42">
        <f t="shared" si="1"/>
        <v>0</v>
      </c>
      <c r="M19" s="42">
        <f t="shared" si="1"/>
        <v>0</v>
      </c>
      <c r="N19" s="42">
        <f t="shared" si="1"/>
        <v>4881177.62</v>
      </c>
    </row>
    <row r="20" spans="1:14" ht="15" customHeight="1" x14ac:dyDescent="0.25">
      <c r="A20" s="43" t="s">
        <v>2517</v>
      </c>
      <c r="B20" s="44">
        <f t="shared" ref="B20:N20" si="2">B18</f>
        <v>580.20000000000005</v>
      </c>
      <c r="C20" s="44">
        <f t="shared" si="2"/>
        <v>0</v>
      </c>
      <c r="D20" s="44">
        <f t="shared" si="2"/>
        <v>0</v>
      </c>
      <c r="E20" s="44">
        <f t="shared" si="2"/>
        <v>0</v>
      </c>
      <c r="F20" s="44">
        <f t="shared" si="2"/>
        <v>1995.84</v>
      </c>
      <c r="G20" s="44">
        <f t="shared" si="2"/>
        <v>0</v>
      </c>
      <c r="H20" s="44">
        <f t="shared" si="2"/>
        <v>0</v>
      </c>
      <c r="I20" s="44">
        <f t="shared" si="2"/>
        <v>123.98</v>
      </c>
      <c r="J20" s="44">
        <f t="shared" si="2"/>
        <v>538695.59000000008</v>
      </c>
      <c r="K20" s="44">
        <f t="shared" si="2"/>
        <v>1576339.1400000004</v>
      </c>
      <c r="L20" s="44">
        <f t="shared" si="2"/>
        <v>0</v>
      </c>
      <c r="M20" s="44">
        <f t="shared" si="2"/>
        <v>0</v>
      </c>
      <c r="N20" s="44">
        <f t="shared" si="2"/>
        <v>2117734.7500000005</v>
      </c>
    </row>
    <row r="22" spans="1:14" ht="15" customHeight="1" x14ac:dyDescent="0.25">
      <c r="A22" s="24" t="s">
        <v>2518</v>
      </c>
    </row>
    <row r="23" spans="1:14" ht="27.75" customHeight="1" x14ac:dyDescent="0.25">
      <c r="A23" s="2" t="s">
        <v>1297</v>
      </c>
      <c r="B23" s="2" t="s">
        <v>1298</v>
      </c>
      <c r="C23" s="2" t="s">
        <v>2514</v>
      </c>
      <c r="D23" s="2" t="s">
        <v>2519</v>
      </c>
    </row>
    <row r="24" spans="1:14" x14ac:dyDescent="0.25">
      <c r="A24" s="23" t="s">
        <v>1305</v>
      </c>
      <c r="B24" s="48" t="s">
        <v>1615</v>
      </c>
      <c r="C24" s="36">
        <f>SUMIFS(RATEIOS!$F$2:$F$3142,RATEIOS!$D$2:$D$3142,$A24,RATEIOS!$E$2:$E$3142,$B24)</f>
        <v>3822738.78</v>
      </c>
      <c r="D24" s="45">
        <f>IFERROR(C24/SUMIFS(RATEIOS!$F$2:$F$3142,RATEIOS!$D$2:$D$3142,$A24),0)</f>
        <v>0.61617539208909511</v>
      </c>
    </row>
    <row r="25" spans="1:14" ht="24" x14ac:dyDescent="0.25">
      <c r="A25" s="23" t="s">
        <v>1305</v>
      </c>
      <c r="B25" s="48" t="s">
        <v>1339</v>
      </c>
      <c r="C25" s="36">
        <f>SUMIFS(RATEIOS!$F$2:$F$3142,RATEIOS!$D$2:$D$3142,$A25,RATEIOS!$E$2:$E$3142,$B25)</f>
        <v>273853.88</v>
      </c>
      <c r="D25" s="45">
        <f>IFERROR(C25/SUMIFS(RATEIOS!$F$2:$F$3142,RATEIOS!$D$2:$D$3142,$A25),0)</f>
        <v>4.4141656439344777E-2</v>
      </c>
    </row>
    <row r="26" spans="1:14" ht="24" x14ac:dyDescent="0.25">
      <c r="A26" s="23" t="s">
        <v>1305</v>
      </c>
      <c r="B26" s="48" t="s">
        <v>1481</v>
      </c>
      <c r="C26" s="36">
        <f>SUMIFS(RATEIOS!$F$2:$F$3142,RATEIOS!$D$2:$D$3142,$A26,RATEIOS!$E$2:$E$3142,$B26)</f>
        <v>0</v>
      </c>
      <c r="D26" s="45">
        <f>IFERROR(C26/SUMIFS(RATEIOS!$F$2:$F$3142,RATEIOS!$D$2:$D$3142,$A26),0)</f>
        <v>0</v>
      </c>
    </row>
    <row r="27" spans="1:14" ht="24" x14ac:dyDescent="0.25">
      <c r="A27" s="23" t="s">
        <v>1305</v>
      </c>
      <c r="B27" s="48" t="s">
        <v>1578</v>
      </c>
      <c r="C27" s="36">
        <f>SUMIFS(RATEIOS!$F$2:$F$3142,RATEIOS!$D$2:$D$3142,$A27,RATEIOS!$E$2:$E$3142,$B27)</f>
        <v>240100</v>
      </c>
      <c r="D27" s="45">
        <f>IFERROR(C27/SUMIFS(RATEIOS!$F$2:$F$3142,RATEIOS!$D$2:$D$3142,$A27),0)</f>
        <v>3.8700973347855001E-2</v>
      </c>
    </row>
    <row r="28" spans="1:14" ht="36" x14ac:dyDescent="0.25">
      <c r="A28" s="23" t="s">
        <v>1305</v>
      </c>
      <c r="B28" s="48" t="s">
        <v>1962</v>
      </c>
      <c r="C28" s="36">
        <f>SUMIFS(RATEIOS!$F$2:$F$3142,RATEIOS!$D$2:$D$3142,$A28,RATEIOS!$E$2:$E$3142,$B28)</f>
        <v>690000</v>
      </c>
      <c r="D28" s="45">
        <f>IFERROR(C28/SUMIFS(RATEIOS!$F$2:$F$3142,RATEIOS!$D$2:$D$3142,$A28),0)</f>
        <v>0.11121895714294022</v>
      </c>
    </row>
    <row r="29" spans="1:14" ht="24" x14ac:dyDescent="0.25">
      <c r="A29" s="23" t="s">
        <v>1305</v>
      </c>
      <c r="B29" s="48" t="s">
        <v>1306</v>
      </c>
      <c r="C29" s="36">
        <f>SUMIFS(RATEIOS!$F$2:$F$3142,RATEIOS!$D$2:$D$3142,$A29,RATEIOS!$E$2:$E$3142,$B29)</f>
        <v>677285.66999999993</v>
      </c>
      <c r="D29" s="45">
        <f>IFERROR(C29/SUMIFS(RATEIOS!$F$2:$F$3142,RATEIOS!$D$2:$D$3142,$A29),0)</f>
        <v>0.10916957377573558</v>
      </c>
    </row>
    <row r="30" spans="1:14" x14ac:dyDescent="0.25">
      <c r="A30" s="23" t="s">
        <v>1305</v>
      </c>
      <c r="B30" s="48" t="s">
        <v>2349</v>
      </c>
      <c r="C30" s="36">
        <f>SUMIFS(RATEIOS!$F$2:$F$3142,RATEIOS!$D$2:$D$3142,$A30,RATEIOS!$E$2:$E$3142,$B30)</f>
        <v>500000</v>
      </c>
      <c r="D30" s="45">
        <f>IFERROR(C30/SUMIFS(RATEIOS!$F$2:$F$3142,RATEIOS!$D$2:$D$3142,$A30),0)</f>
        <v>8.0593447205029145E-2</v>
      </c>
    </row>
    <row r="31" spans="1:14" x14ac:dyDescent="0.25">
      <c r="A31" s="23" t="s">
        <v>1388</v>
      </c>
      <c r="B31" s="48" t="s">
        <v>125</v>
      </c>
      <c r="C31" s="36">
        <f>SUMIFS(RATEIOS!$F$2:$F$3142,RATEIOS!$D$2:$D$3142,$A31,RATEIOS!$E$2:$E$3142,$B31)</f>
        <v>243030.53</v>
      </c>
      <c r="D31" s="45">
        <f>IFERROR(C31/SUMIFS(RATEIOS!$F$2:$F$3142,RATEIOS!$D$2:$D$3142,$A31),0)</f>
        <v>0.56347440859602749</v>
      </c>
    </row>
    <row r="32" spans="1:14" x14ac:dyDescent="0.25">
      <c r="A32" s="23" t="s">
        <v>1388</v>
      </c>
      <c r="B32" s="48" t="s">
        <v>179</v>
      </c>
      <c r="C32" s="36">
        <f>SUMIFS(RATEIOS!$F$2:$F$3142,RATEIOS!$D$2:$D$3142,$A32,RATEIOS!$E$2:$E$3142,$B32)</f>
        <v>23381.06</v>
      </c>
      <c r="D32" s="45">
        <f>IFERROR(C32/SUMIFS(RATEIOS!$F$2:$F$3142,RATEIOS!$D$2:$D$3142,$A32),0)</f>
        <v>5.420976926581296E-2</v>
      </c>
    </row>
    <row r="33" spans="1:4" x14ac:dyDescent="0.25">
      <c r="A33" s="23" t="s">
        <v>1388</v>
      </c>
      <c r="B33" s="48" t="s">
        <v>180</v>
      </c>
      <c r="C33" s="36">
        <f>SUMIFS(RATEIOS!$F$2:$F$3142,RATEIOS!$D$2:$D$3142,$A33,RATEIOS!$E$2:$E$3142,$B33)</f>
        <v>107912.62</v>
      </c>
      <c r="D33" s="45">
        <f>IFERROR(C33/SUMIFS(RATEIOS!$F$2:$F$3142,RATEIOS!$D$2:$D$3142,$A33),0)</f>
        <v>0.25019901711339659</v>
      </c>
    </row>
    <row r="34" spans="1:4" ht="24" x14ac:dyDescent="0.25">
      <c r="A34" s="23" t="s">
        <v>1388</v>
      </c>
      <c r="B34" s="48" t="s">
        <v>168</v>
      </c>
      <c r="C34" s="36">
        <f>SUMIFS(RATEIOS!$F$2:$F$3142,RATEIOS!$D$2:$D$3142,$A34,RATEIOS!$E$2:$E$3142,$B34)</f>
        <v>630.11</v>
      </c>
      <c r="D34" s="45">
        <f>IFERROR(C34/SUMIFS(RATEIOS!$F$2:$F$3142,RATEIOS!$D$2:$D$3142,$A34),0)</f>
        <v>1.4609311003043234E-3</v>
      </c>
    </row>
    <row r="35" spans="1:4" ht="24" x14ac:dyDescent="0.25">
      <c r="A35" s="23" t="s">
        <v>1388</v>
      </c>
      <c r="B35" s="48" t="s">
        <v>170</v>
      </c>
      <c r="C35" s="36">
        <f>SUMIFS(RATEIOS!$F$2:$F$3142,RATEIOS!$D$2:$D$3142,$A35,RATEIOS!$E$2:$E$3142,$B35)</f>
        <v>203.28000000000003</v>
      </c>
      <c r="D35" s="45">
        <f>IFERROR(C35/SUMIFS(RATEIOS!$F$2:$F$3142,RATEIOS!$D$2:$D$3142,$A35),0)</f>
        <v>4.713114758849453E-4</v>
      </c>
    </row>
    <row r="36" spans="1:4" x14ac:dyDescent="0.25">
      <c r="A36" s="23" t="s">
        <v>1388</v>
      </c>
      <c r="B36" s="48" t="s">
        <v>2520</v>
      </c>
      <c r="C36" s="36">
        <f>SUMIFS(RATEIOS!$F$2:$F$3142,RATEIOS!$D$2:$D$3142,$A36,RATEIOS!$E$2:$E$3142,$B36)</f>
        <v>0</v>
      </c>
      <c r="D36" s="45">
        <f>IFERROR(C36/SUMIFS(RATEIOS!$F$2:$F$3142,RATEIOS!$D$2:$D$3142,$A36),0)</f>
        <v>0</v>
      </c>
    </row>
    <row r="37" spans="1:4" x14ac:dyDescent="0.25">
      <c r="A37" s="23" t="s">
        <v>1388</v>
      </c>
      <c r="B37" s="48" t="s">
        <v>1468</v>
      </c>
      <c r="C37" s="36">
        <f>SUMIFS(RATEIOS!$F$2:$F$3142,RATEIOS!$D$2:$D$3142,$A37,RATEIOS!$E$2:$E$3142,$B37)</f>
        <v>42456.7</v>
      </c>
      <c r="D37" s="45">
        <f>IFERROR(C37/SUMIFS(RATEIOS!$F$2:$F$3142,RATEIOS!$D$2:$D$3142,$A37),0)</f>
        <v>9.8437278326467703E-2</v>
      </c>
    </row>
    <row r="38" spans="1:4" x14ac:dyDescent="0.25">
      <c r="A38" s="23" t="s">
        <v>1388</v>
      </c>
      <c r="B38" s="48" t="s">
        <v>1466</v>
      </c>
      <c r="C38" s="36">
        <f>SUMIFS(RATEIOS!$F$2:$F$3142,RATEIOS!$D$2:$D$3142,$A38,RATEIOS!$E$2:$E$3142,$B38)</f>
        <v>13692.83</v>
      </c>
      <c r="D38" s="45">
        <f>IFERROR(C38/SUMIFS(RATEIOS!$F$2:$F$3142,RATEIOS!$D$2:$D$3142,$A38),0)</f>
        <v>3.1747284122105743E-2</v>
      </c>
    </row>
    <row r="39" spans="1:4" ht="24" x14ac:dyDescent="0.25">
      <c r="A39" s="23" t="s">
        <v>1367</v>
      </c>
      <c r="B39" s="48" t="s">
        <v>1479</v>
      </c>
      <c r="C39" s="36">
        <f>SUMIFS(RATEIOS!$F$2:$F$3142,RATEIOS!$D$2:$D$3142,$A39,RATEIOS!$E$2:$E$3142,$B39)</f>
        <v>567394.04</v>
      </c>
      <c r="D39" s="45">
        <f>IFERROR(C39/SUMIFS(RATEIOS!$F$2:$F$3142,RATEIOS!$D$2:$D$3142,$A39),0)</f>
        <v>0.486742564017764</v>
      </c>
    </row>
    <row r="40" spans="1:4" ht="36" x14ac:dyDescent="0.25">
      <c r="A40" s="23" t="s">
        <v>1367</v>
      </c>
      <c r="B40" s="48" t="s">
        <v>1383</v>
      </c>
      <c r="C40" s="36">
        <f>SUMIFS(RATEIOS!$F$2:$F$3142,RATEIOS!$D$2:$D$3142,$A40,RATEIOS!$E$2:$E$3142,$B40)</f>
        <v>273853.87999999995</v>
      </c>
      <c r="D40" s="45">
        <f>IFERROR(C40/SUMIFS(RATEIOS!$F$2:$F$3142,RATEIOS!$D$2:$D$3142,$A40),0)</f>
        <v>0.23492728213608485</v>
      </c>
    </row>
    <row r="41" spans="1:4" x14ac:dyDescent="0.25">
      <c r="A41" s="23" t="s">
        <v>1367</v>
      </c>
      <c r="B41" s="48" t="s">
        <v>164</v>
      </c>
      <c r="C41" s="36">
        <f>SUMIFS(RATEIOS!$F$2:$F$3142,RATEIOS!$D$2:$D$3142,$A41,RATEIOS!$E$2:$E$3142,$B41)</f>
        <v>61663.83</v>
      </c>
      <c r="D41" s="45">
        <f>IFERROR(C41/SUMIFS(RATEIOS!$F$2:$F$3142,RATEIOS!$D$2:$D$3142,$A41),0)</f>
        <v>5.2898706375829246E-2</v>
      </c>
    </row>
    <row r="42" spans="1:4" x14ac:dyDescent="0.25">
      <c r="A42" s="23" t="s">
        <v>1367</v>
      </c>
      <c r="B42" s="48" t="s">
        <v>167</v>
      </c>
      <c r="C42" s="36">
        <f>SUMIFS(RATEIOS!$F$2:$F$3142,RATEIOS!$D$2:$D$3142,$A42,RATEIOS!$E$2:$E$3142,$B42)</f>
        <v>219575.77</v>
      </c>
      <c r="D42" s="45">
        <f>IFERROR(C42/SUMIFS(RATEIOS!$F$2:$F$3142,RATEIOS!$D$2:$D$3142,$A42),0)</f>
        <v>0.18836446235137544</v>
      </c>
    </row>
    <row r="43" spans="1:4" x14ac:dyDescent="0.25">
      <c r="A43" s="23" t="s">
        <v>1367</v>
      </c>
      <c r="B43" s="48" t="s">
        <v>1779</v>
      </c>
      <c r="C43" s="36">
        <f>SUMIFS(RATEIOS!$F$2:$F$3142,RATEIOS!$D$2:$D$3142,$A43,RATEIOS!$E$2:$E$3142,$B43)</f>
        <v>4534.74</v>
      </c>
      <c r="D43" s="45">
        <f>IFERROR(C43/SUMIFS(RATEIOS!$F$2:$F$3142,RATEIOS!$D$2:$D$3142,$A43),0)</f>
        <v>3.8901553755374568E-3</v>
      </c>
    </row>
    <row r="44" spans="1:4" x14ac:dyDescent="0.25">
      <c r="A44" s="23" t="s">
        <v>1367</v>
      </c>
      <c r="B44" s="48" t="s">
        <v>2521</v>
      </c>
      <c r="C44" s="36">
        <f>SUMIFS(RATEIOS!$F$2:$F$3142,RATEIOS!$D$2:$D$3142,$A44,RATEIOS!$E$2:$E$3142,$B44)</f>
        <v>0</v>
      </c>
      <c r="D44" s="45">
        <f>IFERROR(C44/SUMIFS(RATEIOS!$F$2:$F$3142,RATEIOS!$D$2:$D$3142,$A44),0)</f>
        <v>0</v>
      </c>
    </row>
    <row r="45" spans="1:4" x14ac:dyDescent="0.25">
      <c r="A45" s="23" t="s">
        <v>1367</v>
      </c>
      <c r="B45" s="48" t="s">
        <v>2522</v>
      </c>
      <c r="C45" s="36">
        <f>SUMIFS(RATEIOS!$F$2:$F$3142,RATEIOS!$D$2:$D$3142,$A45,RATEIOS!$E$2:$E$3142,$B45)</f>
        <v>5304.95</v>
      </c>
      <c r="D45" s="45">
        <f>IFERROR(C45/SUMIFS(RATEIOS!$F$2:$F$3142,RATEIOS!$D$2:$D$3142,$A45),0)</f>
        <v>4.5508848929502977E-3</v>
      </c>
    </row>
    <row r="46" spans="1:4" x14ac:dyDescent="0.25">
      <c r="A46" s="23" t="s">
        <v>1367</v>
      </c>
      <c r="B46" s="48" t="s">
        <v>2523</v>
      </c>
      <c r="C46" s="36">
        <f>SUMIFS(RATEIOS!$F$2:$F$3142,RATEIOS!$D$2:$D$3142,$A46,RATEIOS!$E$2:$E$3142,$B46)</f>
        <v>0</v>
      </c>
      <c r="D46" s="45">
        <f>IFERROR(C46/SUMIFS(RATEIOS!$F$2:$F$3142,RATEIOS!$D$2:$D$3142,$A46),0)</f>
        <v>0</v>
      </c>
    </row>
    <row r="47" spans="1:4" ht="36" x14ac:dyDescent="0.25">
      <c r="A47" s="23" t="s">
        <v>1367</v>
      </c>
      <c r="B47" s="48" t="s">
        <v>1560</v>
      </c>
      <c r="C47" s="36">
        <f>SUMIFS(RATEIOS!$F$2:$F$3142,RATEIOS!$D$2:$D$3142,$A47,RATEIOS!$E$2:$E$3142,$B47)</f>
        <v>30537</v>
      </c>
      <c r="D47" s="45">
        <f>IFERROR(C47/SUMIFS(RATEIOS!$F$2:$F$3142,RATEIOS!$D$2:$D$3142,$A47),0)</f>
        <v>2.6196358490847838E-2</v>
      </c>
    </row>
    <row r="48" spans="1:4" x14ac:dyDescent="0.25">
      <c r="A48" s="23" t="s">
        <v>1367</v>
      </c>
      <c r="B48" s="48" t="s">
        <v>1368</v>
      </c>
      <c r="C48" s="36">
        <f>SUMIFS(RATEIOS!$F$2:$F$3142,RATEIOS!$D$2:$D$3142,$A48,RATEIOS!$E$2:$E$3142,$B48)</f>
        <v>2832.16</v>
      </c>
      <c r="D48" s="45">
        <f>IFERROR(C48/SUMIFS(RATEIOS!$F$2:$F$3142,RATEIOS!$D$2:$D$3142,$A48),0)</f>
        <v>2.4295863596109509E-3</v>
      </c>
    </row>
    <row r="49" spans="1:4" ht="24" x14ac:dyDescent="0.25">
      <c r="A49" s="23" t="s">
        <v>1415</v>
      </c>
      <c r="B49" s="48" t="s">
        <v>1425</v>
      </c>
      <c r="C49" s="36">
        <f>SUMIFS(RATEIOS!$F$2:$F$3142,RATEIOS!$D$2:$D$3142,$A49,RATEIOS!$E$2:$E$3142,$B49)</f>
        <v>36200</v>
      </c>
      <c r="D49" s="45">
        <f>IFERROR(C49/SUMIFS(RATEIOS!$F$2:$F$3142,RATEIOS!$D$2:$D$3142,$A49),0)</f>
        <v>0.10009505989127079</v>
      </c>
    </row>
    <row r="50" spans="1:4" ht="24" x14ac:dyDescent="0.25">
      <c r="A50" s="23" t="s">
        <v>1415</v>
      </c>
      <c r="B50" s="48" t="s">
        <v>1669</v>
      </c>
      <c r="C50" s="36">
        <f>SUMIFS(RATEIOS!$F$2:$F$3142,RATEIOS!$D$2:$D$3142,$A50,RATEIOS!$E$2:$E$3142,$B50)</f>
        <v>518.5</v>
      </c>
      <c r="D50" s="45">
        <f>IFERROR(C50/SUMIFS(RATEIOS!$F$2:$F$3142,RATEIOS!$D$2:$D$3142,$A50),0)</f>
        <v>1.4336820042437544E-3</v>
      </c>
    </row>
    <row r="51" spans="1:4" ht="24" x14ac:dyDescent="0.25">
      <c r="A51" s="23" t="s">
        <v>1415</v>
      </c>
      <c r="B51" s="48" t="s">
        <v>1640</v>
      </c>
      <c r="C51" s="36">
        <f>SUMIFS(RATEIOS!$F$2:$F$3142,RATEIOS!$D$2:$D$3142,$A51,RATEIOS!$E$2:$E$3142,$B51)</f>
        <v>79457.070000000007</v>
      </c>
      <c r="D51" s="45">
        <f>IFERROR(C51/SUMIFS(RATEIOS!$F$2:$F$3142,RATEIOS!$D$2:$D$3142,$A51),0)</f>
        <v>0.21970331990151648</v>
      </c>
    </row>
    <row r="52" spans="1:4" ht="24" x14ac:dyDescent="0.25">
      <c r="A52" s="23" t="s">
        <v>1415</v>
      </c>
      <c r="B52" s="48" t="s">
        <v>1661</v>
      </c>
      <c r="C52" s="36">
        <f>SUMIFS(RATEIOS!$F$2:$F$3142,RATEIOS!$D$2:$D$3142,$A52,RATEIOS!$E$2:$E$3142,$B52)</f>
        <v>8330</v>
      </c>
      <c r="D52" s="45">
        <f>IFERROR(C52/SUMIFS(RATEIOS!$F$2:$F$3142,RATEIOS!$D$2:$D$3142,$A52),0)</f>
        <v>2.303292400260458E-2</v>
      </c>
    </row>
    <row r="53" spans="1:4" ht="24" x14ac:dyDescent="0.25">
      <c r="A53" s="23" t="s">
        <v>1415</v>
      </c>
      <c r="B53" s="48" t="s">
        <v>1664</v>
      </c>
      <c r="C53" s="36">
        <f>SUMIFS(RATEIOS!$F$2:$F$3142,RATEIOS!$D$2:$D$3142,$A53,RATEIOS!$E$2:$E$3142,$B53)</f>
        <v>9800</v>
      </c>
      <c r="D53" s="45">
        <f>IFERROR(C53/SUMIFS(RATEIOS!$F$2:$F$3142,RATEIOS!$D$2:$D$3142,$A53),0)</f>
        <v>2.7097557650123033E-2</v>
      </c>
    </row>
    <row r="54" spans="1:4" ht="24" x14ac:dyDescent="0.25">
      <c r="A54" s="23" t="s">
        <v>1415</v>
      </c>
      <c r="B54" s="48" t="s">
        <v>2524</v>
      </c>
      <c r="C54" s="36">
        <f>SUMIFS(RATEIOS!$F$2:$F$3142,RATEIOS!$D$2:$D$3142,$A54,RATEIOS!$E$2:$E$3142,$B54)</f>
        <v>4000</v>
      </c>
      <c r="D54" s="45">
        <f>IFERROR(C54/SUMIFS(RATEIOS!$F$2:$F$3142,RATEIOS!$D$2:$D$3142,$A54),0)</f>
        <v>1.1060227612295116E-2</v>
      </c>
    </row>
    <row r="55" spans="1:4" ht="24" x14ac:dyDescent="0.25">
      <c r="A55" s="23" t="s">
        <v>1415</v>
      </c>
      <c r="B55" s="48" t="s">
        <v>1657</v>
      </c>
      <c r="C55" s="36">
        <f>SUMIFS(RATEIOS!$F$2:$F$3142,RATEIOS!$D$2:$D$3142,$A55,RATEIOS!$E$2:$E$3142,$B55)</f>
        <v>16800</v>
      </c>
      <c r="D55" s="45">
        <f>IFERROR(C55/SUMIFS(RATEIOS!$F$2:$F$3142,RATEIOS!$D$2:$D$3142,$A55),0)</f>
        <v>4.6452955971639488E-2</v>
      </c>
    </row>
    <row r="56" spans="1:4" ht="24" x14ac:dyDescent="0.25">
      <c r="A56" s="23" t="s">
        <v>1415</v>
      </c>
      <c r="B56" s="48" t="s">
        <v>1422</v>
      </c>
      <c r="C56" s="36">
        <f>SUMIFS(RATEIOS!$F$2:$F$3142,RATEIOS!$D$2:$D$3142,$A56,RATEIOS!$E$2:$E$3142,$B56)</f>
        <v>28758.930000000004</v>
      </c>
      <c r="D56" s="45">
        <f>IFERROR(C56/SUMIFS(RATEIOS!$F$2:$F$3142,RATEIOS!$D$2:$D$3142,$A56),0)</f>
        <v>7.9520077921515608E-2</v>
      </c>
    </row>
    <row r="57" spans="1:4" ht="24" x14ac:dyDescent="0.25">
      <c r="A57" s="23" t="s">
        <v>1415</v>
      </c>
      <c r="B57" s="48" t="s">
        <v>1418</v>
      </c>
      <c r="C57" s="36">
        <f>SUMIFS(RATEIOS!$F$2:$F$3142,RATEIOS!$D$2:$D$3142,$A57,RATEIOS!$E$2:$E$3142,$B57)</f>
        <v>3200</v>
      </c>
      <c r="D57" s="45">
        <f>IFERROR(C57/SUMIFS(RATEIOS!$F$2:$F$3142,RATEIOS!$D$2:$D$3142,$A57),0)</f>
        <v>8.848182089836093E-3</v>
      </c>
    </row>
    <row r="58" spans="1:4" ht="24" x14ac:dyDescent="0.25">
      <c r="A58" s="23" t="s">
        <v>1415</v>
      </c>
      <c r="B58" s="48" t="s">
        <v>1420</v>
      </c>
      <c r="C58" s="36">
        <f>SUMIFS(RATEIOS!$F$2:$F$3142,RATEIOS!$D$2:$D$3142,$A58,RATEIOS!$E$2:$E$3142,$B58)</f>
        <v>30291.710000000003</v>
      </c>
      <c r="D58" s="45">
        <f>IFERROR(C58/SUMIFS(RATEIOS!$F$2:$F$3142,RATEIOS!$D$2:$D$3142,$A58),0)</f>
        <v>8.3758301841409033E-2</v>
      </c>
    </row>
    <row r="59" spans="1:4" ht="24" x14ac:dyDescent="0.25">
      <c r="A59" s="23" t="s">
        <v>1415</v>
      </c>
      <c r="B59" s="48" t="s">
        <v>1416</v>
      </c>
      <c r="C59" s="36">
        <f>SUMIFS(RATEIOS!$F$2:$F$3142,RATEIOS!$D$2:$D$3142,$A59,RATEIOS!$E$2:$E$3142,$B59)</f>
        <v>6300</v>
      </c>
      <c r="D59" s="45">
        <f>IFERROR(C59/SUMIFS(RATEIOS!$F$2:$F$3142,RATEIOS!$D$2:$D$3142,$A59),0)</f>
        <v>1.7419858489364809E-2</v>
      </c>
    </row>
    <row r="60" spans="1:4" ht="24" x14ac:dyDescent="0.25">
      <c r="A60" s="23" t="s">
        <v>1415</v>
      </c>
      <c r="B60" s="48" t="s">
        <v>1643</v>
      </c>
      <c r="C60" s="36">
        <f>SUMIFS(RATEIOS!$F$2:$F$3142,RATEIOS!$D$2:$D$3142,$A60,RATEIOS!$E$2:$E$3142,$B60)</f>
        <v>70000</v>
      </c>
      <c r="D60" s="45">
        <f>IFERROR(C60/SUMIFS(RATEIOS!$F$2:$F$3142,RATEIOS!$D$2:$D$3142,$A60),0)</f>
        <v>0.19355398321516454</v>
      </c>
    </row>
    <row r="61" spans="1:4" ht="24" x14ac:dyDescent="0.25">
      <c r="A61" s="23" t="s">
        <v>1415</v>
      </c>
      <c r="B61" s="48" t="s">
        <v>1648</v>
      </c>
      <c r="C61" s="36">
        <f>SUMIFS(RATEIOS!$F$2:$F$3142,RATEIOS!$D$2:$D$3142,$A61,RATEIOS!$E$2:$E$3142,$B61)</f>
        <v>68000</v>
      </c>
      <c r="D61" s="45">
        <f>IFERROR(C61/SUMIFS(RATEIOS!$F$2:$F$3142,RATEIOS!$D$2:$D$3142,$A61),0)</f>
        <v>0.18802386940901697</v>
      </c>
    </row>
    <row r="62" spans="1:4" ht="24" x14ac:dyDescent="0.25">
      <c r="A62" s="23" t="s">
        <v>1637</v>
      </c>
      <c r="B62" s="48" t="s">
        <v>1638</v>
      </c>
      <c r="C62" s="36">
        <f>SUMIFS(RATEIOS!$F$2:$F$3142,RATEIOS!$D$2:$D$3142,$A62,RATEIOS!$E$2:$E$3142,$B62)</f>
        <v>345500</v>
      </c>
      <c r="D62" s="45">
        <f>IFERROR(C62/SUMIFS(RATEIOS!$F$2:$F$3142,RATEIOS!$D$2:$D$3142,$A62),0)</f>
        <v>0.95948501620432725</v>
      </c>
    </row>
    <row r="63" spans="1:4" ht="36" x14ac:dyDescent="0.25">
      <c r="A63" s="23" t="s">
        <v>1637</v>
      </c>
      <c r="B63" s="48" t="s">
        <v>2047</v>
      </c>
      <c r="C63" s="36">
        <f>SUMIFS(RATEIOS!$F$2:$F$3142,RATEIOS!$D$2:$D$3142,$A63,RATEIOS!$E$2:$E$3142,$B63)</f>
        <v>9726</v>
      </c>
      <c r="D63" s="45">
        <f>IFERROR(C63/SUMIFS(RATEIOS!$F$2:$F$3142,RATEIOS!$D$2:$D$3142,$A63),0)</f>
        <v>2.7009989197115159E-2</v>
      </c>
    </row>
    <row r="64" spans="1:4" ht="24" x14ac:dyDescent="0.25">
      <c r="A64" s="23" t="s">
        <v>1637</v>
      </c>
      <c r="B64" s="48" t="s">
        <v>2065</v>
      </c>
      <c r="C64" s="36">
        <f>SUMIFS(RATEIOS!$F$2:$F$3142,RATEIOS!$D$2:$D$3142,$A64,RATEIOS!$E$2:$E$3142,$B64)</f>
        <v>4863</v>
      </c>
      <c r="D64" s="45">
        <f>IFERROR(C64/SUMIFS(RATEIOS!$F$2:$F$3142,RATEIOS!$D$2:$D$3142,$A64),0)</f>
        <v>1.350499459855758E-2</v>
      </c>
    </row>
    <row r="65" spans="1:4" ht="36" x14ac:dyDescent="0.25">
      <c r="A65" s="23" t="s">
        <v>1311</v>
      </c>
      <c r="B65" s="48" t="s">
        <v>1312</v>
      </c>
      <c r="C65" s="36">
        <f>SUMIFS(RATEIOS!$F$2:$F$3142,RATEIOS!$D$2:$D$3142,$A65,RATEIOS!$E$2:$E$3142,$B65)</f>
        <v>166235.16000000003</v>
      </c>
      <c r="D65" s="45">
        <f>IFERROR(C65/SUMIFS(RATEIOS!$F$2:$F$3142,RATEIOS!$D$2:$D$3142,$A65),0)</f>
        <v>0.14136235953981277</v>
      </c>
    </row>
    <row r="66" spans="1:4" x14ac:dyDescent="0.25">
      <c r="A66" s="23" t="s">
        <v>1311</v>
      </c>
      <c r="B66" s="48" t="s">
        <v>1376</v>
      </c>
      <c r="C66" s="36">
        <f>SUMIFS(RATEIOS!$F$2:$F$3142,RATEIOS!$D$2:$D$3142,$A66,RATEIOS!$E$2:$E$3142,$B66)</f>
        <v>192763.53999999998</v>
      </c>
      <c r="D66" s="45">
        <f>IFERROR(C66/SUMIFS(RATEIOS!$F$2:$F$3142,RATEIOS!$D$2:$D$3142,$A66),0)</f>
        <v>0.16392145228270041</v>
      </c>
    </row>
    <row r="67" spans="1:4" x14ac:dyDescent="0.25">
      <c r="A67" s="23" t="s">
        <v>1311</v>
      </c>
      <c r="B67" s="48" t="s">
        <v>1318</v>
      </c>
      <c r="C67" s="36">
        <f>SUMIFS(RATEIOS!$F$2:$F$3142,RATEIOS!$D$2:$D$3142,$A67,RATEIOS!$E$2:$E$3142,$B67)</f>
        <v>17370</v>
      </c>
      <c r="D67" s="45">
        <f>IFERROR(C67/SUMIFS(RATEIOS!$F$2:$F$3142,RATEIOS!$D$2:$D$3142,$A67),0)</f>
        <v>1.4771027893296143E-2</v>
      </c>
    </row>
    <row r="68" spans="1:4" x14ac:dyDescent="0.25">
      <c r="A68" s="23" t="s">
        <v>1311</v>
      </c>
      <c r="B68" s="48" t="s">
        <v>1315</v>
      </c>
      <c r="C68" s="36">
        <f>SUMIFS(RATEIOS!$F$2:$F$3142,RATEIOS!$D$2:$D$3142,$A68,RATEIOS!$E$2:$E$3142,$B68)</f>
        <v>35854.9</v>
      </c>
      <c r="D68" s="45">
        <f>IFERROR(C68/SUMIFS(RATEIOS!$F$2:$F$3142,RATEIOS!$D$2:$D$3142,$A68),0)</f>
        <v>3.049013978188508E-2</v>
      </c>
    </row>
    <row r="69" spans="1:4" ht="24" x14ac:dyDescent="0.25">
      <c r="A69" s="23" t="s">
        <v>1311</v>
      </c>
      <c r="B69" s="48" t="s">
        <v>1342</v>
      </c>
      <c r="C69" s="36">
        <f>SUMIFS(RATEIOS!$F$2:$F$3142,RATEIOS!$D$2:$D$3142,$A69,RATEIOS!$E$2:$E$3142,$B69)</f>
        <v>176485.1</v>
      </c>
      <c r="D69" s="45">
        <f>IFERROR(C69/SUMIFS(RATEIOS!$F$2:$F$3142,RATEIOS!$D$2:$D$3142,$A69),0)</f>
        <v>0.1500786606131928</v>
      </c>
    </row>
    <row r="70" spans="1:4" x14ac:dyDescent="0.25">
      <c r="A70" s="23" t="s">
        <v>1311</v>
      </c>
      <c r="B70" s="48" t="s">
        <v>1404</v>
      </c>
      <c r="C70" s="36">
        <f>SUMIFS(RATEIOS!$F$2:$F$3142,RATEIOS!$D$2:$D$3142,$A70,RATEIOS!$E$2:$E$3142,$B70)</f>
        <v>545097.30000000005</v>
      </c>
      <c r="D70" s="45">
        <f>IFERROR(C70/SUMIFS(RATEIOS!$F$2:$F$3142,RATEIOS!$D$2:$D$3142,$A70),0)</f>
        <v>0.46353756032587312</v>
      </c>
    </row>
    <row r="71" spans="1:4" x14ac:dyDescent="0.25">
      <c r="A71" s="23" t="s">
        <v>1311</v>
      </c>
      <c r="B71" s="48" t="s">
        <v>1677</v>
      </c>
      <c r="C71" s="36">
        <f>SUMIFS(RATEIOS!$F$2:$F$3142,RATEIOS!$D$2:$D$3142,$A71,RATEIOS!$E$2:$E$3142,$B71)</f>
        <v>3900</v>
      </c>
      <c r="D71" s="45">
        <f>IFERROR(C71/SUMIFS(RATEIOS!$F$2:$F$3142,RATEIOS!$D$2:$D$3142,$A71),0)</f>
        <v>3.3164656755241772E-3</v>
      </c>
    </row>
    <row r="72" spans="1:4" x14ac:dyDescent="0.25">
      <c r="A72" s="23" t="s">
        <v>1311</v>
      </c>
      <c r="B72" s="48" t="s">
        <v>1320</v>
      </c>
      <c r="C72" s="36">
        <f>SUMIFS(RATEIOS!$F$2:$F$3142,RATEIOS!$D$2:$D$3142,$A72,RATEIOS!$E$2:$E$3142,$B72)</f>
        <v>20412</v>
      </c>
      <c r="D72" s="45">
        <f>IFERROR(C72/SUMIFS(RATEIOS!$F$2:$F$3142,RATEIOS!$D$2:$D$3142,$A72),0)</f>
        <v>1.7357871120204999E-2</v>
      </c>
    </row>
    <row r="73" spans="1:4" x14ac:dyDescent="0.25">
      <c r="A73" s="23" t="s">
        <v>1311</v>
      </c>
      <c r="B73" s="48" t="s">
        <v>1502</v>
      </c>
      <c r="C73" s="36">
        <f>SUMIFS(RATEIOS!$F$2:$F$3142,RATEIOS!$D$2:$D$3142,$A73,RATEIOS!$E$2:$E$3142,$B73)</f>
        <v>2745.16</v>
      </c>
      <c r="D73" s="45">
        <f>IFERROR(C73/SUMIFS(RATEIOS!$F$2:$F$3142,RATEIOS!$D$2:$D$3142,$A73),0)</f>
        <v>2.3344176702107563E-3</v>
      </c>
    </row>
    <row r="74" spans="1:4" x14ac:dyDescent="0.25">
      <c r="A74" s="23" t="s">
        <v>1311</v>
      </c>
      <c r="B74" s="48" t="s">
        <v>1374</v>
      </c>
      <c r="C74" s="36">
        <f>SUMIFS(RATEIOS!$F$2:$F$3142,RATEIOS!$D$2:$D$3142,$A74,RATEIOS!$E$2:$E$3142,$B74)</f>
        <v>690</v>
      </c>
      <c r="D74" s="45">
        <f>IFERROR(C74/SUMIFS(RATEIOS!$F$2:$F$3142,RATEIOS!$D$2:$D$3142,$A74),0)</f>
        <v>5.8675931182350827E-4</v>
      </c>
    </row>
    <row r="75" spans="1:4" ht="24" x14ac:dyDescent="0.25">
      <c r="A75" s="23" t="s">
        <v>1311</v>
      </c>
      <c r="B75" s="48" t="s">
        <v>1515</v>
      </c>
      <c r="C75" s="36">
        <f>SUMIFS(RATEIOS!$F$2:$F$3142,RATEIOS!$D$2:$D$3142,$A75,RATEIOS!$E$2:$E$3142,$B75)</f>
        <v>1680</v>
      </c>
      <c r="D75" s="45">
        <f>IFERROR(C75/SUMIFS(RATEIOS!$F$2:$F$3142,RATEIOS!$D$2:$D$3142,$A75),0)</f>
        <v>1.4286313679181071E-3</v>
      </c>
    </row>
    <row r="76" spans="1:4" x14ac:dyDescent="0.25">
      <c r="A76" s="23" t="s">
        <v>1311</v>
      </c>
      <c r="B76" s="48" t="s">
        <v>1470</v>
      </c>
      <c r="C76" s="36">
        <f>SUMIFS(RATEIOS!$F$2:$F$3142,RATEIOS!$D$2:$D$3142,$A76,RATEIOS!$E$2:$E$3142,$B76)</f>
        <v>12717.499999999998</v>
      </c>
      <c r="D76" s="45">
        <f>IFERROR(C76/SUMIFS(RATEIOS!$F$2:$F$3142,RATEIOS!$D$2:$D$3142,$A76),0)</f>
        <v>1.0814654417558646E-2</v>
      </c>
    </row>
    <row r="77" spans="1:4" x14ac:dyDescent="0.25">
      <c r="A77" s="23" t="s">
        <v>1330</v>
      </c>
      <c r="B77" s="48" t="s">
        <v>1697</v>
      </c>
      <c r="C77" s="36">
        <f>SUMIFS(RATEIOS!$F$2:$F$3142,RATEIOS!$D$2:$D$3142,$A77,RATEIOS!$E$2:$E$3142,$B77)</f>
        <v>49400</v>
      </c>
      <c r="D77" s="45">
        <f>IFERROR(C77/SUMIFS(RATEIOS!$F$2:$F$3142,RATEIOS!$D$2:$D$3142,$A77),0)</f>
        <v>0.11004014282230422</v>
      </c>
    </row>
    <row r="78" spans="1:4" x14ac:dyDescent="0.25">
      <c r="A78" s="23" t="s">
        <v>1330</v>
      </c>
      <c r="B78" s="48" t="s">
        <v>1333</v>
      </c>
      <c r="C78" s="36">
        <f>SUMIFS(RATEIOS!$F$2:$F$3142,RATEIOS!$D$2:$D$3142,$A78,RATEIOS!$E$2:$E$3142,$B78)</f>
        <v>23699</v>
      </c>
      <c r="D78" s="45">
        <f>IFERROR(C78/SUMIFS(RATEIOS!$F$2:$F$3142,RATEIOS!$D$2:$D$3142,$A78),0)</f>
        <v>5.2790310622384366E-2</v>
      </c>
    </row>
    <row r="79" spans="1:4" ht="24" x14ac:dyDescent="0.25">
      <c r="A79" s="23" t="s">
        <v>1330</v>
      </c>
      <c r="B79" s="48" t="s">
        <v>1344</v>
      </c>
      <c r="C79" s="36">
        <f>SUMIFS(RATEIOS!$F$2:$F$3142,RATEIOS!$D$2:$D$3142,$A79,RATEIOS!$E$2:$E$3142,$B79)</f>
        <v>184797.62000000002</v>
      </c>
      <c r="D79" s="45">
        <f>IFERROR(C79/SUMIFS(RATEIOS!$F$2:$F$3142,RATEIOS!$D$2:$D$3142,$A79),0)</f>
        <v>0.41164284408951224</v>
      </c>
    </row>
    <row r="80" spans="1:4" x14ac:dyDescent="0.25">
      <c r="A80" s="23" t="s">
        <v>1330</v>
      </c>
      <c r="B80" s="48" t="s">
        <v>1346</v>
      </c>
      <c r="C80" s="36">
        <f>SUMIFS(RATEIOS!$F$2:$F$3142,RATEIOS!$D$2:$D$3142,$A80,RATEIOS!$E$2:$E$3142,$B80)</f>
        <v>400</v>
      </c>
      <c r="D80" s="45">
        <f>IFERROR(C80/SUMIFS(RATEIOS!$F$2:$F$3142,RATEIOS!$D$2:$D$3142,$A80),0)</f>
        <v>8.9101330220489247E-4</v>
      </c>
    </row>
    <row r="81" spans="1:4" x14ac:dyDescent="0.25">
      <c r="A81" s="23" t="s">
        <v>1330</v>
      </c>
      <c r="B81" s="48" t="s">
        <v>1400</v>
      </c>
      <c r="C81" s="36">
        <f>SUMIFS(RATEIOS!$F$2:$F$3142,RATEIOS!$D$2:$D$3142,$A81,RATEIOS!$E$2:$E$3142,$B81)</f>
        <v>12869.32</v>
      </c>
      <c r="D81" s="45">
        <f>IFERROR(C81/SUMIFS(RATEIOS!$F$2:$F$3142,RATEIOS!$D$2:$D$3142,$A81),0)</f>
        <v>2.8666838275828666E-2</v>
      </c>
    </row>
    <row r="82" spans="1:4" x14ac:dyDescent="0.25">
      <c r="A82" s="23" t="s">
        <v>1330</v>
      </c>
      <c r="B82" s="48" t="s">
        <v>2525</v>
      </c>
      <c r="C82" s="36">
        <f>SUMIFS(RATEIOS!$F$2:$F$3142,RATEIOS!$D$2:$D$3142,$A82,RATEIOS!$E$2:$E$3142,$B82)</f>
        <v>160</v>
      </c>
      <c r="D82" s="45">
        <f>IFERROR(C82/SUMIFS(RATEIOS!$F$2:$F$3142,RATEIOS!$D$2:$D$3142,$A82),0)</f>
        <v>3.5640532088195698E-4</v>
      </c>
    </row>
    <row r="83" spans="1:4" x14ac:dyDescent="0.25">
      <c r="A83" s="23" t="s">
        <v>1330</v>
      </c>
      <c r="B83" s="48" t="s">
        <v>2526</v>
      </c>
      <c r="C83" s="36">
        <f>SUMIFS(RATEIOS!$F$2:$F$3142,RATEIOS!$D$2:$D$3142,$A83,RATEIOS!$E$2:$E$3142,$B83)</f>
        <v>222.36</v>
      </c>
      <c r="D83" s="45">
        <f>IFERROR(C83/SUMIFS(RATEIOS!$F$2:$F$3142,RATEIOS!$D$2:$D$3142,$A83),0)</f>
        <v>4.9531429469569976E-4</v>
      </c>
    </row>
    <row r="84" spans="1:4" x14ac:dyDescent="0.25">
      <c r="A84" s="23" t="s">
        <v>1330</v>
      </c>
      <c r="B84" s="48" t="s">
        <v>1673</v>
      </c>
      <c r="C84" s="36">
        <f>SUMIFS(RATEIOS!$F$2:$F$3142,RATEIOS!$D$2:$D$3142,$A84,RATEIOS!$E$2:$E$3142,$B84)</f>
        <v>10670.119999999999</v>
      </c>
      <c r="D84" s="45">
        <f>IFERROR(C84/SUMIFS(RATEIOS!$F$2:$F$3142,RATEIOS!$D$2:$D$3142,$A84),0)</f>
        <v>2.3768047140306166E-2</v>
      </c>
    </row>
    <row r="85" spans="1:4" x14ac:dyDescent="0.25">
      <c r="A85" s="23" t="s">
        <v>1330</v>
      </c>
      <c r="B85" s="48" t="s">
        <v>1331</v>
      </c>
      <c r="C85" s="36">
        <f>SUMIFS(RATEIOS!$F$2:$F$3142,RATEIOS!$D$2:$D$3142,$A85,RATEIOS!$E$2:$E$3142,$B85)</f>
        <v>18331.990000000002</v>
      </c>
      <c r="D85" s="45">
        <f>IFERROR(C85/SUMIFS(RATEIOS!$F$2:$F$3142,RATEIOS!$D$2:$D$3142,$A85),0)</f>
        <v>4.083511736471767E-2</v>
      </c>
    </row>
    <row r="86" spans="1:4" x14ac:dyDescent="0.25">
      <c r="A86" s="23" t="s">
        <v>1330</v>
      </c>
      <c r="B86" s="48" t="s">
        <v>1335</v>
      </c>
      <c r="C86" s="36">
        <f>SUMIFS(RATEIOS!$F$2:$F$3142,RATEIOS!$D$2:$D$3142,$A86,RATEIOS!$E$2:$E$3142,$B86)</f>
        <v>805</v>
      </c>
      <c r="D86" s="45">
        <f>IFERROR(C86/SUMIFS(RATEIOS!$F$2:$F$3142,RATEIOS!$D$2:$D$3142,$A86),0)</f>
        <v>1.7931642706873461E-3</v>
      </c>
    </row>
    <row r="87" spans="1:4" ht="24" x14ac:dyDescent="0.25">
      <c r="A87" s="23" t="s">
        <v>1330</v>
      </c>
      <c r="B87" s="48" t="s">
        <v>1337</v>
      </c>
      <c r="C87" s="36">
        <f>SUMIFS(RATEIOS!$F$2:$F$3142,RATEIOS!$D$2:$D$3142,$A87,RATEIOS!$E$2:$E$3142,$B87)</f>
        <v>2476.27</v>
      </c>
      <c r="D87" s="45">
        <f>IFERROR(C87/SUMIFS(RATEIOS!$F$2:$F$3142,RATEIOS!$D$2:$D$3142,$A87),0)</f>
        <v>5.5159737746272725E-3</v>
      </c>
    </row>
    <row r="88" spans="1:4" x14ac:dyDescent="0.25">
      <c r="A88" s="23" t="s">
        <v>1330</v>
      </c>
      <c r="B88" s="48" t="s">
        <v>1413</v>
      </c>
      <c r="C88" s="36">
        <f>SUMIFS(RATEIOS!$F$2:$F$3142,RATEIOS!$D$2:$D$3142,$A88,RATEIOS!$E$2:$E$3142,$B88)</f>
        <v>15690</v>
      </c>
      <c r="D88" s="45">
        <f>IFERROR(C88/SUMIFS(RATEIOS!$F$2:$F$3142,RATEIOS!$D$2:$D$3142,$A88),0)</f>
        <v>3.4949996778986907E-2</v>
      </c>
    </row>
    <row r="89" spans="1:4" x14ac:dyDescent="0.25">
      <c r="A89" s="23" t="s">
        <v>1330</v>
      </c>
      <c r="B89" s="48" t="s">
        <v>1358</v>
      </c>
      <c r="C89" s="36">
        <f>SUMIFS(RATEIOS!$F$2:$F$3142,RATEIOS!$D$2:$D$3142,$A89,RATEIOS!$E$2:$E$3142,$B89)</f>
        <v>42403.28</v>
      </c>
      <c r="D89" s="45">
        <f>IFERROR(C89/SUMIFS(RATEIOS!$F$2:$F$3142,RATEIOS!$D$2:$D$3142,$A89),0)</f>
        <v>9.4454716342796674E-2</v>
      </c>
    </row>
    <row r="90" spans="1:4" ht="36" x14ac:dyDescent="0.25">
      <c r="A90" s="23" t="s">
        <v>1330</v>
      </c>
      <c r="B90" s="48" t="s">
        <v>1379</v>
      </c>
      <c r="C90" s="36">
        <f>SUMIFS(RATEIOS!$F$2:$F$3142,RATEIOS!$D$2:$D$3142,$A90,RATEIOS!$E$2:$E$3142,$B90)</f>
        <v>28858.310000000009</v>
      </c>
      <c r="D90" s="45">
        <f>IFERROR(C90/SUMIFS(RATEIOS!$F$2:$F$3142,RATEIOS!$D$2:$D$3142,$A90),0)</f>
        <v>6.4282845222881191E-2</v>
      </c>
    </row>
    <row r="91" spans="1:4" x14ac:dyDescent="0.25">
      <c r="A91" s="23" t="s">
        <v>1330</v>
      </c>
      <c r="B91" s="48" t="s">
        <v>1352</v>
      </c>
      <c r="C91" s="36">
        <f>SUMIFS(RATEIOS!$F$2:$F$3142,RATEIOS!$D$2:$D$3142,$A91,RATEIOS!$E$2:$E$3142,$B91)</f>
        <v>56643.810000000012</v>
      </c>
      <c r="D91" s="45">
        <f>IFERROR(C91/SUMIFS(RATEIOS!$F$2:$F$3142,RATEIOS!$D$2:$D$3142,$A91),0)</f>
        <v>0.1261759704939163</v>
      </c>
    </row>
    <row r="92" spans="1:4" ht="24" x14ac:dyDescent="0.25">
      <c r="A92" s="23" t="s">
        <v>1330</v>
      </c>
      <c r="B92" s="48" t="s">
        <v>2832</v>
      </c>
      <c r="C92" s="36">
        <f>SUMIFS(RATEIOS!$F$2:$F$3142,RATEIOS!$D$2:$D$3142,$A92,RATEIOS!$E$2:$E$3142,$B92)</f>
        <v>1500</v>
      </c>
      <c r="D92" s="45">
        <f>IFERROR(C92/SUMIFS(RATEIOS!$F$2:$F$3142,RATEIOS!$D$2:$D$3142,$A92),0)</f>
        <v>3.3412998832683467E-3</v>
      </c>
    </row>
    <row r="93" spans="1:4" x14ac:dyDescent="0.25">
      <c r="A93" s="23" t="s">
        <v>1349</v>
      </c>
      <c r="B93" s="48" t="s">
        <v>1402</v>
      </c>
      <c r="C93" s="36">
        <f>SUMIFS(RATEIOS!$F$2:$F$3142,RATEIOS!$D$2:$D$3142,$A93,RATEIOS!$E$2:$E$3142,$B93)</f>
        <v>5150.1100000000006</v>
      </c>
      <c r="D93" s="45">
        <f>IFERROR(C93/SUMIFS(RATEIOS!$F$2:$F$3142,RATEIOS!$D$2:$D$3142,$A93),0)</f>
        <v>0.24057997688613011</v>
      </c>
    </row>
    <row r="94" spans="1:4" x14ac:dyDescent="0.25">
      <c r="A94" s="23" t="s">
        <v>1349</v>
      </c>
      <c r="B94" s="48" t="s">
        <v>1411</v>
      </c>
      <c r="C94" s="36">
        <f>SUMIFS(RATEIOS!$F$2:$F$3142,RATEIOS!$D$2:$D$3142,$A94,RATEIOS!$E$2:$E$3142,$B94)</f>
        <v>4001.5</v>
      </c>
      <c r="D94" s="45">
        <f>IFERROR(C94/SUMIFS(RATEIOS!$F$2:$F$3142,RATEIOS!$D$2:$D$3142,$A94),0)</f>
        <v>0.18692431375443427</v>
      </c>
    </row>
    <row r="95" spans="1:4" x14ac:dyDescent="0.25">
      <c r="A95" s="23" t="s">
        <v>1349</v>
      </c>
      <c r="B95" s="48" t="s">
        <v>1350</v>
      </c>
      <c r="C95" s="36">
        <f>SUMIFS(RATEIOS!$F$2:$F$3142,RATEIOS!$D$2:$D$3142,$A95,RATEIOS!$E$2:$E$3142,$B95)</f>
        <v>4849.45</v>
      </c>
      <c r="D95" s="45">
        <f>IFERROR(C95/SUMIFS(RATEIOS!$F$2:$F$3142,RATEIOS!$D$2:$D$3142,$A95),0)</f>
        <v>0.22653507767998032</v>
      </c>
    </row>
    <row r="96" spans="1:4" ht="24" x14ac:dyDescent="0.25">
      <c r="A96" s="23" t="s">
        <v>1349</v>
      </c>
      <c r="B96" s="48" t="s">
        <v>1441</v>
      </c>
      <c r="C96" s="36">
        <f>SUMIFS(RATEIOS!$F$2:$F$3142,RATEIOS!$D$2:$D$3142,$A96,RATEIOS!$E$2:$E$3142,$B96)</f>
        <v>7406</v>
      </c>
      <c r="D96" s="45">
        <f>IFERROR(C96/SUMIFS(RATEIOS!$F$2:$F$3142,RATEIOS!$D$2:$D$3142,$A96),0)</f>
        <v>0.34596063167945529</v>
      </c>
    </row>
    <row r="97" spans="1:4" ht="24" x14ac:dyDescent="0.25">
      <c r="A97" s="23" t="s">
        <v>1349</v>
      </c>
      <c r="B97" s="48" t="s">
        <v>2527</v>
      </c>
      <c r="C97" s="36">
        <f>SUMIFS(RATEIOS!$F$2:$F$3142,RATEIOS!$D$2:$D$3142,$A97,RATEIOS!$E$2:$E$3142,$B97)</f>
        <v>0</v>
      </c>
      <c r="D97" s="45">
        <f>IFERROR(C97/SUMIFS(RATEIOS!$F$2:$F$3142,RATEIOS!$D$2:$D$3142,$A97),0)</f>
        <v>0</v>
      </c>
    </row>
    <row r="98" spans="1:4" ht="24" x14ac:dyDescent="0.25">
      <c r="A98" s="23" t="s">
        <v>1370</v>
      </c>
      <c r="B98" s="48" t="s">
        <v>1371</v>
      </c>
      <c r="C98" s="36">
        <f>SUMIFS(RATEIOS!$F$2:$F$3142,RATEIOS!$D$2:$D$3142,$A98,RATEIOS!$E$2:$E$3142,$B98)</f>
        <v>49761.89</v>
      </c>
      <c r="D98" s="45">
        <f>IFERROR(C98/SUMIFS(RATEIOS!$F$2:$F$3142,RATEIOS!$D$2:$D$3142,$A98),0)</f>
        <v>0.84264505991849203</v>
      </c>
    </row>
    <row r="99" spans="1:4" ht="24" x14ac:dyDescent="0.25">
      <c r="A99" s="23" t="s">
        <v>1370</v>
      </c>
      <c r="B99" s="48" t="s">
        <v>2528</v>
      </c>
      <c r="C99" s="36">
        <f>SUMIFS(RATEIOS!$F$2:$F$3142,RATEIOS!$D$2:$D$3142,$A99,RATEIOS!$E$2:$E$3142,$B99)</f>
        <v>3300</v>
      </c>
      <c r="D99" s="45">
        <f>IFERROR(C99/SUMIFS(RATEIOS!$F$2:$F$3142,RATEIOS!$D$2:$D$3142,$A99),0)</f>
        <v>5.5880688971641224E-2</v>
      </c>
    </row>
    <row r="100" spans="1:4" ht="24" x14ac:dyDescent="0.25">
      <c r="A100" s="23" t="s">
        <v>1370</v>
      </c>
      <c r="B100" s="48" t="s">
        <v>1494</v>
      </c>
      <c r="C100" s="36">
        <f>SUMIFS(RATEIOS!$F$2:$F$3142,RATEIOS!$D$2:$D$3142,$A100,RATEIOS!$E$2:$E$3142,$B100)</f>
        <v>5213.5599999999995</v>
      </c>
      <c r="D100" s="45">
        <f>IFERROR(C100/SUMIFS(RATEIOS!$F$2:$F$3142,RATEIOS!$D$2:$D$3142,$A100),0)</f>
        <v>8.8284037816663566E-2</v>
      </c>
    </row>
    <row r="101" spans="1:4" x14ac:dyDescent="0.25">
      <c r="A101" s="23" t="s">
        <v>1370</v>
      </c>
      <c r="B101" s="48" t="s">
        <v>1742</v>
      </c>
      <c r="C101" s="36">
        <f>SUMIFS(RATEIOS!$F$2:$F$3142,RATEIOS!$D$2:$D$3142,$A101,RATEIOS!$E$2:$E$3142,$B101)</f>
        <v>778.94</v>
      </c>
      <c r="D101" s="45">
        <f>IFERROR(C101/SUMIFS(RATEIOS!$F$2:$F$3142,RATEIOS!$D$2:$D$3142,$A101),0)</f>
        <v>1.3190213293203096E-2</v>
      </c>
    </row>
    <row r="102" spans="1:4" x14ac:dyDescent="0.25">
      <c r="A102" s="23" t="s">
        <v>2486</v>
      </c>
      <c r="B102" s="48" t="s">
        <v>2529</v>
      </c>
      <c r="C102" s="36">
        <f>SUMIFS(RATEIOS!$F$2:$F$3142,RATEIOS!$D$2:$D$3142,$A102,RATEIOS!$E$2:$E$3142,$B102)</f>
        <v>33330.5</v>
      </c>
      <c r="D102" s="45">
        <f>IFERROR(C102/SUMIFS(RATEIOS!$F$2:$F$3142,RATEIOS!$D$2:$D$3142,$A102),0)</f>
        <v>0.72766867884159891</v>
      </c>
    </row>
    <row r="103" spans="1:4" x14ac:dyDescent="0.25">
      <c r="A103" s="23" t="s">
        <v>2486</v>
      </c>
      <c r="B103" s="48" t="s">
        <v>2530</v>
      </c>
      <c r="C103" s="36">
        <f>SUMIFS(RATEIOS!$F$2:$F$3142,RATEIOS!$D$2:$D$3142,$A103,RATEIOS!$E$2:$E$3142,$B103)</f>
        <v>12474</v>
      </c>
      <c r="D103" s="45">
        <f>IFERROR(C103/SUMIFS(RATEIOS!$F$2:$F$3142,RATEIOS!$D$2:$D$3142,$A103),0)</f>
        <v>0.27233132115840158</v>
      </c>
    </row>
    <row r="104" spans="1:4" ht="24" x14ac:dyDescent="0.25">
      <c r="A104" s="23" t="s">
        <v>1454</v>
      </c>
      <c r="B104" s="48" t="s">
        <v>1473</v>
      </c>
      <c r="C104" s="36">
        <f>SUMIFS(RATEIOS!$F$2:$F$3142,RATEIOS!$D$2:$D$3142,$A104,RATEIOS!$E$2:$E$3142,$B104)</f>
        <v>479862.26000000013</v>
      </c>
      <c r="D104" s="45">
        <f>IFERROR(C104/SUMIFS(RATEIOS!$F$2:$F$3142,RATEIOS!$D$2:$D$3142,$A104),0)</f>
        <v>0.94968592194325374</v>
      </c>
    </row>
    <row r="105" spans="1:4" ht="24" x14ac:dyDescent="0.25">
      <c r="A105" s="23" t="s">
        <v>1454</v>
      </c>
      <c r="B105" s="48" t="s">
        <v>2531</v>
      </c>
      <c r="C105" s="36">
        <f>SUMIFS(RATEIOS!$F$2:$F$3142,RATEIOS!$D$2:$D$3142,$A105,RATEIOS!$E$2:$E$3142,$B105)</f>
        <v>0</v>
      </c>
      <c r="D105" s="45">
        <f>IFERROR(C105/SUMIFS(RATEIOS!$F$2:$F$3142,RATEIOS!$D$2:$D$3142,$A105),0)</f>
        <v>0</v>
      </c>
    </row>
    <row r="106" spans="1:4" ht="36" x14ac:dyDescent="0.25">
      <c r="A106" s="23" t="s">
        <v>1454</v>
      </c>
      <c r="B106" s="48" t="s">
        <v>1485</v>
      </c>
      <c r="C106" s="36">
        <f>SUMIFS(RATEIOS!$F$2:$F$3142,RATEIOS!$D$2:$D$3142,$A106,RATEIOS!$E$2:$E$3142,$B106)</f>
        <v>1495.45</v>
      </c>
      <c r="D106" s="45">
        <f>IFERROR(C106/SUMIFS(RATEIOS!$F$2:$F$3142,RATEIOS!$D$2:$D$3142,$A106),0)</f>
        <v>2.9596155612863543E-3</v>
      </c>
    </row>
    <row r="107" spans="1:4" x14ac:dyDescent="0.25">
      <c r="A107" s="23" t="s">
        <v>1454</v>
      </c>
      <c r="B107" s="48" t="s">
        <v>1521</v>
      </c>
      <c r="C107" s="36">
        <f>SUMIFS(RATEIOS!$F$2:$F$3142,RATEIOS!$D$2:$D$3142,$A107,RATEIOS!$E$2:$E$3142,$B107)</f>
        <v>15597.48</v>
      </c>
      <c r="D107" s="45">
        <f>IFERROR(C107/SUMIFS(RATEIOS!$F$2:$F$3142,RATEIOS!$D$2:$D$3142,$A107),0)</f>
        <v>3.0868664632620741E-2</v>
      </c>
    </row>
    <row r="108" spans="1:4" ht="24" x14ac:dyDescent="0.25">
      <c r="A108" s="23" t="s">
        <v>1454</v>
      </c>
      <c r="B108" s="48" t="s">
        <v>2760</v>
      </c>
      <c r="C108" s="36">
        <f>SUMIFS(RATEIOS!$F$2:$F$3142,RATEIOS!$D$2:$D$3142,$A108,RATEIOS!$E$2:$E$3142,$B108)</f>
        <v>8330.0299999999988</v>
      </c>
      <c r="D108" s="45">
        <f>IFERROR(C108/SUMIFS(RATEIOS!$F$2:$F$3142,RATEIOS!$D$2:$D$3142,$A108),0)</f>
        <v>1.6485797862838721E-2</v>
      </c>
    </row>
    <row r="109" spans="1:4" x14ac:dyDescent="0.25">
      <c r="A109" s="23" t="s">
        <v>1904</v>
      </c>
      <c r="B109" s="48" t="s">
        <v>1905</v>
      </c>
      <c r="C109" s="36">
        <f>SUMIFS(RATEIOS!$F$2:$F$3142,RATEIOS!$D$2:$D$3142,$A109,RATEIOS!$E$2:$E$3142,$B109)</f>
        <v>166000</v>
      </c>
      <c r="D109" s="45">
        <f>IFERROR(C109/SUMIFS(RATEIOS!$F$2:$F$3142,RATEIOS!$D$2:$D$3142,$A109),0)</f>
        <v>0.54248366013071891</v>
      </c>
    </row>
    <row r="110" spans="1:4" ht="30" customHeight="1" x14ac:dyDescent="0.25">
      <c r="A110" s="23" t="s">
        <v>1904</v>
      </c>
      <c r="B110" s="48" t="s">
        <v>2532</v>
      </c>
      <c r="C110" s="36">
        <f>SUMIFS(RATEIOS!$F$2:$F$3142,RATEIOS!$D$2:$D$3142,$A110,RATEIOS!$E$2:$E$3142,$B110)</f>
        <v>140000</v>
      </c>
      <c r="D110" s="45">
        <f>IFERROR(C110/SUMIFS(RATEIOS!$F$2:$F$3142,RATEIOS!$D$2:$D$3142,$A110),0)</f>
        <v>0.45751633986928103</v>
      </c>
    </row>
    <row r="111" spans="1:4" ht="15" customHeight="1" x14ac:dyDescent="0.25">
      <c r="A111" s="24" t="s">
        <v>2533</v>
      </c>
    </row>
    <row r="112" spans="1:4" ht="27.75" customHeight="1" x14ac:dyDescent="0.25">
      <c r="A112" s="2" t="s">
        <v>1302</v>
      </c>
      <c r="B112" s="2" t="s">
        <v>2534</v>
      </c>
      <c r="C112" s="2" t="s">
        <v>2535</v>
      </c>
      <c r="D112" s="2" t="s">
        <v>2536</v>
      </c>
    </row>
    <row r="113" spans="1:4" ht="15" customHeight="1" x14ac:dyDescent="0.25">
      <c r="A113" s="23" t="s">
        <v>230</v>
      </c>
      <c r="B113" s="36">
        <f>SUMIFS(RATEIOS!$F$2:$F$3142,RATEIOS!$I$2:$I$3142,$A113,RATEIOS!$H$2:$H$3142,"SAÍDA")</f>
        <v>0</v>
      </c>
      <c r="C113" s="36">
        <f>SUMIFS(RATEIOS!$F$2:$F$3142,RATEIOS!$I$2:$I$3142,$A113,RATEIOS!$H$2:$H$3142,"ENTRADA")+SUMIFS(RATEIOS!$F$2:$F$3142,RATEIOS!$I$2:$I$3142,$A113,RATEIOS!$H$2:$H$3142,"RESGATE")</f>
        <v>0</v>
      </c>
      <c r="D113" s="23">
        <f>COUNTIF(EXTRATO!$H$2:$H$3000,$A113)</f>
        <v>0</v>
      </c>
    </row>
    <row r="114" spans="1:4" ht="15" customHeight="1" x14ac:dyDescent="0.25">
      <c r="A114" s="23" t="s">
        <v>182</v>
      </c>
      <c r="B114" s="36">
        <f>SUMIFS(RATEIOS!$F$2:$F$3142,RATEIOS!$I$2:$I$3142,$A114,RATEIOS!$H$2:$H$3142,"SAÍDA")</f>
        <v>980</v>
      </c>
      <c r="C114" s="36">
        <f>SUMIFS(RATEIOS!$F$2:$F$3142,RATEIOS!$I$2:$I$3142,$A114,RATEIOS!$H$2:$H$3142,"ENTRADA")+SUMIFS(RATEIOS!$F$2:$F$3142,RATEIOS!$I$2:$I$3142,$A114,RATEIOS!$H$2:$H$3142,"RESGATE")</f>
        <v>0</v>
      </c>
      <c r="D114" s="23">
        <f>COUNTIF(EXTRATO!$H$2:$H$3000,$A114)</f>
        <v>2</v>
      </c>
    </row>
    <row r="115" spans="1:4" ht="15" customHeight="1" x14ac:dyDescent="0.25">
      <c r="A115" s="23" t="s">
        <v>97</v>
      </c>
      <c r="B115" s="36">
        <f>SUMIFS(RATEIOS!$F$2:$F$3142,RATEIOS!$I$2:$I$3142,$A115,RATEIOS!$H$2:$H$3142,"SAÍDA")</f>
        <v>0</v>
      </c>
      <c r="C115" s="36">
        <f>SUMIFS(RATEIOS!$F$2:$F$3142,RATEIOS!$I$2:$I$3142,$A115,RATEIOS!$H$2:$H$3142,"ENTRADA")+SUMIFS(RATEIOS!$F$2:$F$3142,RATEIOS!$I$2:$I$3142,$A115,RATEIOS!$H$2:$H$3142,"RESGATE")</f>
        <v>0</v>
      </c>
      <c r="D115" s="23">
        <f>COUNTIF(EXTRATO!$H$2:$H$3000,$A115)</f>
        <v>0</v>
      </c>
    </row>
    <row r="116" spans="1:4" ht="15" customHeight="1" x14ac:dyDescent="0.25">
      <c r="A116" s="23" t="s">
        <v>1166</v>
      </c>
      <c r="B116" s="36">
        <f>SUMIFS(RATEIOS!$F$2:$F$3142,RATEIOS!$I$2:$I$3142,$A116,RATEIOS!$H$2:$H$3142,"SAÍDA")</f>
        <v>219.9</v>
      </c>
      <c r="C116" s="36">
        <f>SUMIFS(RATEIOS!$F$2:$F$3142,RATEIOS!$I$2:$I$3142,$A116,RATEIOS!$H$2:$H$3142,"ENTRADA")+SUMIFS(RATEIOS!$F$2:$F$3142,RATEIOS!$I$2:$I$3142,$A116,RATEIOS!$H$2:$H$3142,"RESGATE")</f>
        <v>0</v>
      </c>
      <c r="D116" s="23">
        <f>COUNTIF(EXTRATO!$H$2:$H$3000,$A116)</f>
        <v>1</v>
      </c>
    </row>
    <row r="117" spans="1:4" ht="15" customHeight="1" x14ac:dyDescent="0.25">
      <c r="A117" s="23" t="s">
        <v>1054</v>
      </c>
      <c r="B117" s="36">
        <f>SUMIFS(RATEIOS!$F$2:$F$3142,RATEIOS!$I$2:$I$3142,$A117,RATEIOS!$H$2:$H$3142,"SAÍDA")</f>
        <v>999.8</v>
      </c>
      <c r="C117" s="36">
        <f>SUMIFS(RATEIOS!$F$2:$F$3142,RATEIOS!$I$2:$I$3142,$A117,RATEIOS!$H$2:$H$3142,"ENTRADA")+SUMIFS(RATEIOS!$F$2:$F$3142,RATEIOS!$I$2:$I$3142,$A117,RATEIOS!$H$2:$H$3142,"RESGATE")</f>
        <v>0</v>
      </c>
      <c r="D117" s="23">
        <f>COUNTIF(EXTRATO!$H$2:$H$3000,$A117)</f>
        <v>2</v>
      </c>
    </row>
    <row r="118" spans="1:4" ht="15" customHeight="1" x14ac:dyDescent="0.25">
      <c r="A118" s="23" t="s">
        <v>679</v>
      </c>
      <c r="B118" s="36">
        <f>SUMIFS(RATEIOS!$F$2:$F$3142,RATEIOS!$I$2:$I$3142,$A118,RATEIOS!$H$2:$H$3142,"SAÍDA")</f>
        <v>2330</v>
      </c>
      <c r="C118" s="36">
        <f>SUMIFS(RATEIOS!$F$2:$F$3142,RATEIOS!$I$2:$I$3142,$A118,RATEIOS!$H$2:$H$3142,"ENTRADA")+SUMIFS(RATEIOS!$F$2:$F$3142,RATEIOS!$I$2:$I$3142,$A118,RATEIOS!$H$2:$H$3142,"RESGATE")</f>
        <v>0</v>
      </c>
      <c r="D118" s="23">
        <f>COUNTIF(EXTRATO!$H$2:$H$3000,$A118)</f>
        <v>6</v>
      </c>
    </row>
    <row r="119" spans="1:4" ht="15" customHeight="1" x14ac:dyDescent="0.25">
      <c r="A119" s="23" t="s">
        <v>335</v>
      </c>
      <c r="B119" s="36">
        <f>SUMIFS(RATEIOS!$F$2:$F$3142,RATEIOS!$I$2:$I$3142,$A119,RATEIOS!$H$2:$H$3142,"SAÍDA")</f>
        <v>0</v>
      </c>
      <c r="C119" s="36">
        <f>SUMIFS(RATEIOS!$F$2:$F$3142,RATEIOS!$I$2:$I$3142,$A119,RATEIOS!$H$2:$H$3142,"ENTRADA")+SUMIFS(RATEIOS!$F$2:$F$3142,RATEIOS!$I$2:$I$3142,$A119,RATEIOS!$H$2:$H$3142,"RESGATE")</f>
        <v>20197.919999999998</v>
      </c>
      <c r="D119" s="23">
        <f>COUNTIF(EXTRATO!$H$2:$H$3000,$A119)</f>
        <v>3</v>
      </c>
    </row>
    <row r="120" spans="1:4" ht="15" customHeight="1" x14ac:dyDescent="0.25">
      <c r="A120" s="23" t="s">
        <v>755</v>
      </c>
      <c r="B120" s="36">
        <f>SUMIFS(RATEIOS!$F$2:$F$3142,RATEIOS!$I$2:$I$3142,$A120,RATEIOS!$H$2:$H$3142,"SAÍDA")</f>
        <v>34864.36</v>
      </c>
      <c r="C120" s="36">
        <f>SUMIFS(RATEIOS!$F$2:$F$3142,RATEIOS!$I$2:$I$3142,$A120,RATEIOS!$H$2:$H$3142,"ENTRADA")+SUMIFS(RATEIOS!$F$2:$F$3142,RATEIOS!$I$2:$I$3142,$A120,RATEIOS!$H$2:$H$3142,"RESGATE")</f>
        <v>0</v>
      </c>
      <c r="D120" s="23">
        <f>COUNTIF(EXTRATO!$H$2:$H$3000,$A120)</f>
        <v>7</v>
      </c>
    </row>
    <row r="121" spans="1:4" ht="15" customHeight="1" x14ac:dyDescent="0.25">
      <c r="A121" s="23" t="s">
        <v>364</v>
      </c>
      <c r="B121" s="36">
        <f>SUMIFS(RATEIOS!$F$2:$F$3142,RATEIOS!$I$2:$I$3142,$A121,RATEIOS!$H$2:$H$3142,"SAÍDA")</f>
        <v>0</v>
      </c>
      <c r="C121" s="36">
        <f>SUMIFS(RATEIOS!$F$2:$F$3142,RATEIOS!$I$2:$I$3142,$A121,RATEIOS!$H$2:$H$3142,"ENTRADA")+SUMIFS(RATEIOS!$F$2:$F$3142,RATEIOS!$I$2:$I$3142,$A121,RATEIOS!$H$2:$H$3142,"RESGATE")</f>
        <v>16000</v>
      </c>
      <c r="D121" s="23">
        <f>COUNTIF(EXTRATO!$H$2:$H$3000,$A121)</f>
        <v>1</v>
      </c>
    </row>
    <row r="122" spans="1:4" ht="15" customHeight="1" x14ac:dyDescent="0.25">
      <c r="A122" s="23" t="s">
        <v>703</v>
      </c>
      <c r="B122" s="36">
        <f>SUMIFS(RATEIOS!$F$2:$F$3142,RATEIOS!$I$2:$I$3142,$A122,RATEIOS!$H$2:$H$3142,"SAÍDA")</f>
        <v>77833.72</v>
      </c>
      <c r="C122" s="36">
        <f>SUMIFS(RATEIOS!$F$2:$F$3142,RATEIOS!$I$2:$I$3142,$A122,RATEIOS!$H$2:$H$3142,"ENTRADA")+SUMIFS(RATEIOS!$F$2:$F$3142,RATEIOS!$I$2:$I$3142,$A122,RATEIOS!$H$2:$H$3142,"RESGATE")</f>
        <v>22400</v>
      </c>
      <c r="D122" s="23">
        <f>COUNTIF(EXTRATO!$H$2:$H$3000,$A122)</f>
        <v>8</v>
      </c>
    </row>
    <row r="123" spans="1:4" ht="15" customHeight="1" x14ac:dyDescent="0.25">
      <c r="A123" s="23" t="s">
        <v>1065</v>
      </c>
      <c r="B123" s="36">
        <f>SUMIFS(RATEIOS!$F$2:$F$3142,RATEIOS!$I$2:$I$3142,$A123,RATEIOS!$H$2:$H$3142,"SAÍDA")</f>
        <v>0</v>
      </c>
      <c r="C123" s="36">
        <f>SUMIFS(RATEIOS!$F$2:$F$3142,RATEIOS!$I$2:$I$3142,$A123,RATEIOS!$H$2:$H$3142,"ENTRADA")+SUMIFS(RATEIOS!$F$2:$F$3142,RATEIOS!$I$2:$I$3142,$A123,RATEIOS!$H$2:$H$3142,"RESGATE")</f>
        <v>0</v>
      </c>
      <c r="D123" s="23">
        <f>COUNTIF(EXTRATO!$H$2:$H$3000,$A123)</f>
        <v>0</v>
      </c>
    </row>
    <row r="124" spans="1:4" ht="15" customHeight="1" x14ac:dyDescent="0.25">
      <c r="A124" s="23" t="s">
        <v>89</v>
      </c>
      <c r="B124" s="36">
        <f>SUMIFS(RATEIOS!$F$2:$F$3142,RATEIOS!$I$2:$I$3142,$A124,RATEIOS!$H$2:$H$3142,"SAÍDA")</f>
        <v>0</v>
      </c>
      <c r="C124" s="36">
        <f>SUMIFS(RATEIOS!$F$2:$F$3142,RATEIOS!$I$2:$I$3142,$A124,RATEIOS!$H$2:$H$3142,"ENTRADA")+SUMIFS(RATEIOS!$F$2:$F$3142,RATEIOS!$I$2:$I$3142,$A124,RATEIOS!$H$2:$H$3142,"RESGATE")</f>
        <v>0</v>
      </c>
      <c r="D124" s="23">
        <f>COUNTIF(EXTRATO!$H$2:$H$3000,$A124)</f>
        <v>0</v>
      </c>
    </row>
    <row r="125" spans="1:4" ht="15" customHeight="1" x14ac:dyDescent="0.25">
      <c r="A125" s="23" t="s">
        <v>283</v>
      </c>
      <c r="B125" s="36">
        <f>SUMIFS(RATEIOS!$F$2:$F$3142,RATEIOS!$I$2:$I$3142,$A125,RATEIOS!$H$2:$H$3142,"SAÍDA")</f>
        <v>5497.24</v>
      </c>
      <c r="C125" s="36">
        <f>SUMIFS(RATEIOS!$F$2:$F$3142,RATEIOS!$I$2:$I$3142,$A125,RATEIOS!$H$2:$H$3142,"ENTRADA")+SUMIFS(RATEIOS!$F$2:$F$3142,RATEIOS!$I$2:$I$3142,$A125,RATEIOS!$H$2:$H$3142,"RESGATE")</f>
        <v>0</v>
      </c>
      <c r="D125" s="23">
        <f>COUNTIF(EXTRATO!$H$2:$H$3000,$A125)</f>
        <v>8</v>
      </c>
    </row>
    <row r="126" spans="1:4" ht="15" customHeight="1" x14ac:dyDescent="0.25">
      <c r="A126" s="23" t="s">
        <v>51</v>
      </c>
      <c r="B126" s="36">
        <f>SUMIFS(RATEIOS!$F$2:$F$3142,RATEIOS!$I$2:$I$3142,$A126,RATEIOS!$H$2:$H$3142,"SAÍDA")</f>
        <v>40102.94</v>
      </c>
      <c r="C126" s="36">
        <f>SUMIFS(RATEIOS!$F$2:$F$3142,RATEIOS!$I$2:$I$3142,$A126,RATEIOS!$H$2:$H$3142,"ENTRADA")+SUMIFS(RATEIOS!$F$2:$F$3142,RATEIOS!$I$2:$I$3142,$A126,RATEIOS!$H$2:$H$3142,"RESGATE")</f>
        <v>0</v>
      </c>
      <c r="D126" s="23">
        <f>COUNTIF(EXTRATO!$H$2:$H$3000,$A126)</f>
        <v>24</v>
      </c>
    </row>
    <row r="127" spans="1:4" ht="15" customHeight="1" x14ac:dyDescent="0.25">
      <c r="A127" s="23" t="s">
        <v>48</v>
      </c>
      <c r="B127" s="36">
        <f>SUMIFS(RATEIOS!$F$2:$F$3142,RATEIOS!$I$2:$I$3142,$A127,RATEIOS!$H$2:$H$3142,"SAÍDA")</f>
        <v>540</v>
      </c>
      <c r="C127" s="36">
        <f>SUMIFS(RATEIOS!$F$2:$F$3142,RATEIOS!$I$2:$I$3142,$A127,RATEIOS!$H$2:$H$3142,"ENTRADA")+SUMIFS(RATEIOS!$F$2:$F$3142,RATEIOS!$I$2:$I$3142,$A127,RATEIOS!$H$2:$H$3142,"RESGATE")</f>
        <v>0</v>
      </c>
      <c r="D127" s="23">
        <f>COUNTIF(EXTRATO!$H$2:$H$3000,$A127)</f>
        <v>2</v>
      </c>
    </row>
    <row r="128" spans="1:4" ht="15" customHeight="1" x14ac:dyDescent="0.25">
      <c r="A128" s="23" t="s">
        <v>349</v>
      </c>
      <c r="B128" s="36">
        <f>SUMIFS(RATEIOS!$F$2:$F$3142,RATEIOS!$I$2:$I$3142,$A128,RATEIOS!$H$2:$H$3142,"SAÍDA")</f>
        <v>165938.72</v>
      </c>
      <c r="C128" s="36">
        <f>SUMIFS(RATEIOS!$F$2:$F$3142,RATEIOS!$I$2:$I$3142,$A128,RATEIOS!$H$2:$H$3142,"ENTRADA")+SUMIFS(RATEIOS!$F$2:$F$3142,RATEIOS!$I$2:$I$3142,$A128,RATEIOS!$H$2:$H$3142,"RESGATE")</f>
        <v>38500</v>
      </c>
      <c r="D128" s="23">
        <f>COUNTIF(EXTRATO!$H$2:$H$3000,$A128)</f>
        <v>11</v>
      </c>
    </row>
    <row r="129" spans="1:4" ht="15" customHeight="1" x14ac:dyDescent="0.25">
      <c r="A129" s="23" t="s">
        <v>86</v>
      </c>
      <c r="B129" s="36">
        <f>SUMIFS(RATEIOS!$F$2:$F$3142,RATEIOS!$I$2:$I$3142,$A129,RATEIOS!$H$2:$H$3142,"SAÍDA")</f>
        <v>400</v>
      </c>
      <c r="C129" s="36">
        <f>SUMIFS(RATEIOS!$F$2:$F$3142,RATEIOS!$I$2:$I$3142,$A129,RATEIOS!$H$2:$H$3142,"ENTRADA")+SUMIFS(RATEIOS!$F$2:$F$3142,RATEIOS!$I$2:$I$3142,$A129,RATEIOS!$H$2:$H$3142,"RESGATE")</f>
        <v>0</v>
      </c>
      <c r="D129" s="23">
        <f>COUNTIF(EXTRATO!$H$2:$H$3000,$A129)</f>
        <v>1</v>
      </c>
    </row>
    <row r="130" spans="1:4" ht="15" customHeight="1" x14ac:dyDescent="0.25">
      <c r="A130" s="23" t="s">
        <v>668</v>
      </c>
      <c r="B130" s="36">
        <f>SUMIFS(RATEIOS!$F$2:$F$3142,RATEIOS!$I$2:$I$3142,$A130,RATEIOS!$H$2:$H$3142,"SAÍDA")</f>
        <v>374.56</v>
      </c>
      <c r="C130" s="36">
        <f>SUMIFS(RATEIOS!$F$2:$F$3142,RATEIOS!$I$2:$I$3142,$A130,RATEIOS!$H$2:$H$3142,"ENTRADA")+SUMIFS(RATEIOS!$F$2:$F$3142,RATEIOS!$I$2:$I$3142,$A130,RATEIOS!$H$2:$H$3142,"RESGATE")</f>
        <v>0</v>
      </c>
      <c r="D130" s="23">
        <f>COUNTIF(EXTRATO!$H$2:$H$3000,$A130)</f>
        <v>1</v>
      </c>
    </row>
    <row r="131" spans="1:4" ht="15" customHeight="1" x14ac:dyDescent="0.25">
      <c r="A131" s="23" t="s">
        <v>37</v>
      </c>
      <c r="B131" s="36">
        <f>SUMIFS(RATEIOS!$F$2:$F$3142,RATEIOS!$I$2:$I$3142,$A131,RATEIOS!$H$2:$H$3142,"SAÍDA")</f>
        <v>0</v>
      </c>
      <c r="C131" s="36">
        <f>SUMIFS(RATEIOS!$F$2:$F$3142,RATEIOS!$I$2:$I$3142,$A131,RATEIOS!$H$2:$H$3142,"ENTRADA")+SUMIFS(RATEIOS!$F$2:$F$3142,RATEIOS!$I$2:$I$3142,$A131,RATEIOS!$H$2:$H$3142,"RESGATE")</f>
        <v>0</v>
      </c>
      <c r="D131" s="23">
        <f>COUNTIF(EXTRATO!$H$2:$H$3000,$A131)</f>
        <v>1</v>
      </c>
    </row>
    <row r="132" spans="1:4" ht="15" customHeight="1" x14ac:dyDescent="0.25">
      <c r="A132" s="23" t="s">
        <v>46</v>
      </c>
      <c r="B132" s="36">
        <f>SUMIFS(RATEIOS!$F$2:$F$3142,RATEIOS!$I$2:$I$3142,$A132,RATEIOS!$H$2:$H$3142,"SAÍDA")</f>
        <v>0</v>
      </c>
      <c r="C132" s="36">
        <f>SUMIFS(RATEIOS!$F$2:$F$3142,RATEIOS!$I$2:$I$3142,$A132,RATEIOS!$H$2:$H$3142,"ENTRADA")+SUMIFS(RATEIOS!$F$2:$F$3142,RATEIOS!$I$2:$I$3142,$A132,RATEIOS!$H$2:$H$3142,"RESGATE")</f>
        <v>677285.66999999993</v>
      </c>
      <c r="D132" s="23">
        <f>COUNTIF(EXTRATO!$H$2:$H$3000,$A132)</f>
        <v>66</v>
      </c>
    </row>
    <row r="133" spans="1:4" ht="15" customHeight="1" x14ac:dyDescent="0.25">
      <c r="A133" s="23" t="s">
        <v>92</v>
      </c>
      <c r="B133" s="36">
        <f>SUMIFS(RATEIOS!$F$2:$F$3142,RATEIOS!$I$2:$I$3142,$A133,RATEIOS!$H$2:$H$3142,"SAÍDA")</f>
        <v>19468.280000000002</v>
      </c>
      <c r="C133" s="36">
        <f>SUMIFS(RATEIOS!$F$2:$F$3142,RATEIOS!$I$2:$I$3142,$A133,RATEIOS!$H$2:$H$3142,"ENTRADA")+SUMIFS(RATEIOS!$F$2:$F$3142,RATEIOS!$I$2:$I$3142,$A133,RATEIOS!$H$2:$H$3142,"RESGATE")</f>
        <v>0</v>
      </c>
      <c r="D133" s="23">
        <f>COUNTIF(EXTRATO!$H$2:$H$3000,$A133)</f>
        <v>10</v>
      </c>
    </row>
    <row r="134" spans="1:4" ht="15" customHeight="1" x14ac:dyDescent="0.25">
      <c r="A134" s="23" t="s">
        <v>130</v>
      </c>
      <c r="B134" s="36">
        <f>SUMIFS(RATEIOS!$F$2:$F$3142,RATEIOS!$I$2:$I$3142,$A134,RATEIOS!$H$2:$H$3142,"SAÍDA")</f>
        <v>0</v>
      </c>
      <c r="C134" s="36">
        <f>SUMIFS(RATEIOS!$F$2:$F$3142,RATEIOS!$I$2:$I$3142,$A134,RATEIOS!$H$2:$H$3142,"ENTRADA")+SUMIFS(RATEIOS!$F$2:$F$3142,RATEIOS!$I$2:$I$3142,$A134,RATEIOS!$H$2:$H$3142,"RESGATE")</f>
        <v>0</v>
      </c>
      <c r="D134" s="23">
        <f>COUNTIF(EXTRATO!$H$2:$H$3000,$A134)</f>
        <v>0</v>
      </c>
    </row>
    <row r="135" spans="1:4" ht="15" customHeight="1" x14ac:dyDescent="0.25">
      <c r="A135" s="23" t="s">
        <v>188</v>
      </c>
      <c r="B135" s="36">
        <f>SUMIFS(RATEIOS!$F$2:$F$3142,RATEIOS!$I$2:$I$3142,$A135,RATEIOS!$H$2:$H$3142,"SAÍDA")</f>
        <v>27968.5</v>
      </c>
      <c r="C135" s="36">
        <f>SUMIFS(RATEIOS!$F$2:$F$3142,RATEIOS!$I$2:$I$3142,$A135,RATEIOS!$H$2:$H$3142,"ENTRADA")+SUMIFS(RATEIOS!$F$2:$F$3142,RATEIOS!$I$2:$I$3142,$A135,RATEIOS!$H$2:$H$3142,"RESGATE")</f>
        <v>0</v>
      </c>
      <c r="D135" s="23">
        <f>COUNTIF(EXTRATO!$H$2:$H$3000,$A135)</f>
        <v>18</v>
      </c>
    </row>
    <row r="136" spans="1:4" ht="15" customHeight="1" x14ac:dyDescent="0.25">
      <c r="A136" s="23" t="s">
        <v>134</v>
      </c>
      <c r="B136" s="36">
        <f>SUMIFS(RATEIOS!$F$2:$F$3142,RATEIOS!$I$2:$I$3142,$A136,RATEIOS!$H$2:$H$3142,"SAÍDA")</f>
        <v>0</v>
      </c>
      <c r="C136" s="36">
        <f>SUMIFS(RATEIOS!$F$2:$F$3142,RATEIOS!$I$2:$I$3142,$A136,RATEIOS!$H$2:$H$3142,"ENTRADA")+SUMIFS(RATEIOS!$F$2:$F$3142,RATEIOS!$I$2:$I$3142,$A136,RATEIOS!$H$2:$H$3142,"RESGATE")</f>
        <v>0</v>
      </c>
      <c r="D136" s="23">
        <f>COUNTIF(EXTRATO!$H$2:$H$3000,$A136)</f>
        <v>0</v>
      </c>
    </row>
    <row r="137" spans="1:4" ht="15" customHeight="1" x14ac:dyDescent="0.25">
      <c r="A137" s="23" t="s">
        <v>207</v>
      </c>
      <c r="B137" s="36">
        <f>SUMIFS(RATEIOS!$F$2:$F$3142,RATEIOS!$I$2:$I$3142,$A137,RATEIOS!$H$2:$H$3142,"SAÍDA")</f>
        <v>13801.91</v>
      </c>
      <c r="C137" s="36">
        <f>SUMIFS(RATEIOS!$F$2:$F$3142,RATEIOS!$I$2:$I$3142,$A137,RATEIOS!$H$2:$H$3142,"ENTRADA")+SUMIFS(RATEIOS!$F$2:$F$3142,RATEIOS!$I$2:$I$3142,$A137,RATEIOS!$H$2:$H$3142,"RESGATE")</f>
        <v>0</v>
      </c>
      <c r="D137" s="23">
        <f>COUNTIF(EXTRATO!$H$2:$H$3000,$A137)</f>
        <v>7</v>
      </c>
    </row>
    <row r="138" spans="1:4" ht="15" customHeight="1" x14ac:dyDescent="0.25">
      <c r="A138" s="23" t="s">
        <v>1268</v>
      </c>
      <c r="B138" s="36">
        <f>SUMIFS(RATEIOS!$F$2:$F$3142,RATEIOS!$I$2:$I$3142,$A138,RATEIOS!$H$2:$H$3142,"SAÍDA")</f>
        <v>3176</v>
      </c>
      <c r="C138" s="36">
        <f>SUMIFS(RATEIOS!$F$2:$F$3142,RATEIOS!$I$2:$I$3142,$A138,RATEIOS!$H$2:$H$3142,"ENTRADA")+SUMIFS(RATEIOS!$F$2:$F$3142,RATEIOS!$I$2:$I$3142,$A138,RATEIOS!$H$2:$H$3142,"RESGATE")</f>
        <v>0</v>
      </c>
      <c r="D138" s="23">
        <f>COUNTIF(EXTRATO!$H$2:$H$3000,$A138)</f>
        <v>1</v>
      </c>
    </row>
    <row r="139" spans="1:4" ht="15" customHeight="1" x14ac:dyDescent="0.25">
      <c r="A139" s="23" t="s">
        <v>512</v>
      </c>
      <c r="B139" s="36">
        <f>SUMIFS(RATEIOS!$F$2:$F$3142,RATEIOS!$I$2:$I$3142,$A139,RATEIOS!$H$2:$H$3142,"SAÍDA")</f>
        <v>46250</v>
      </c>
      <c r="C139" s="36">
        <f>SUMIFS(RATEIOS!$F$2:$F$3142,RATEIOS!$I$2:$I$3142,$A139,RATEIOS!$H$2:$H$3142,"ENTRADA")+SUMIFS(RATEIOS!$F$2:$F$3142,RATEIOS!$I$2:$I$3142,$A139,RATEIOS!$H$2:$H$3142,"RESGATE")</f>
        <v>690000</v>
      </c>
      <c r="D139" s="23">
        <f>COUNTIF(EXTRATO!$H$2:$H$3000,$A139)</f>
        <v>11</v>
      </c>
    </row>
    <row r="140" spans="1:4" ht="15" customHeight="1" x14ac:dyDescent="0.25">
      <c r="A140" s="23" t="s">
        <v>65</v>
      </c>
      <c r="B140" s="36">
        <f>SUMIFS(RATEIOS!$F$2:$F$3142,RATEIOS!$I$2:$I$3142,$A140,RATEIOS!$H$2:$H$3142,"SAÍDA")</f>
        <v>8131</v>
      </c>
      <c r="C140" s="36">
        <f>SUMIFS(RATEIOS!$F$2:$F$3142,RATEIOS!$I$2:$I$3142,$A140,RATEIOS!$H$2:$H$3142,"ENTRADA")+SUMIFS(RATEIOS!$F$2:$F$3142,RATEIOS!$I$2:$I$3142,$A140,RATEIOS!$H$2:$H$3142,"RESGATE")</f>
        <v>0</v>
      </c>
      <c r="D140" s="23">
        <f>COUNTIF(EXTRATO!$H$2:$H$3000,$A140)</f>
        <v>13</v>
      </c>
    </row>
    <row r="141" spans="1:4" ht="15" customHeight="1" x14ac:dyDescent="0.25">
      <c r="A141" s="23" t="s">
        <v>240</v>
      </c>
      <c r="B141" s="36">
        <f>SUMIFS(RATEIOS!$F$2:$F$3142,RATEIOS!$I$2:$I$3142,$A141,RATEIOS!$H$2:$H$3142,"SAÍDA")</f>
        <v>0</v>
      </c>
      <c r="C141" s="36">
        <f>SUMIFS(RATEIOS!$F$2:$F$3142,RATEIOS!$I$2:$I$3142,$A141,RATEIOS!$H$2:$H$3142,"ENTRADA")+SUMIFS(RATEIOS!$F$2:$F$3142,RATEIOS!$I$2:$I$3142,$A141,RATEIOS!$H$2:$H$3142,"RESGATE")</f>
        <v>0</v>
      </c>
      <c r="D141" s="23">
        <f>COUNTIF(EXTRATO!$H$2:$H$3000,$A141)</f>
        <v>0</v>
      </c>
    </row>
    <row r="142" spans="1:4" ht="15" customHeight="1" x14ac:dyDescent="0.25">
      <c r="A142" s="23" t="s">
        <v>107</v>
      </c>
      <c r="B142" s="36">
        <f>SUMIFS(RATEIOS!$F$2:$F$3142,RATEIOS!$I$2:$I$3142,$A142,RATEIOS!$H$2:$H$3142,"SAÍDA")</f>
        <v>0</v>
      </c>
      <c r="C142" s="36">
        <f>SUMIFS(RATEIOS!$F$2:$F$3142,RATEIOS!$I$2:$I$3142,$A142,RATEIOS!$H$2:$H$3142,"ENTRADA")+SUMIFS(RATEIOS!$F$2:$F$3142,RATEIOS!$I$2:$I$3142,$A142,RATEIOS!$H$2:$H$3142,"RESGATE")</f>
        <v>290.10000000000002</v>
      </c>
      <c r="D142" s="23">
        <f>COUNTIF(EXTRATO!$H$2:$H$3000,$A142)</f>
        <v>1</v>
      </c>
    </row>
    <row r="143" spans="1:4" ht="15" customHeight="1" x14ac:dyDescent="0.25">
      <c r="A143" s="23" t="s">
        <v>404</v>
      </c>
      <c r="B143" s="36">
        <f>SUMIFS(RATEIOS!$F$2:$F$3142,RATEIOS!$I$2:$I$3142,$A143,RATEIOS!$H$2:$H$3142,"SAÍDA")</f>
        <v>809.43000000000006</v>
      </c>
      <c r="C143" s="36">
        <f>SUMIFS(RATEIOS!$F$2:$F$3142,RATEIOS!$I$2:$I$3142,$A143,RATEIOS!$H$2:$H$3142,"ENTRADA")+SUMIFS(RATEIOS!$F$2:$F$3142,RATEIOS!$I$2:$I$3142,$A143,RATEIOS!$H$2:$H$3142,"RESGATE")</f>
        <v>0</v>
      </c>
      <c r="D143" s="23">
        <f>COUNTIF(EXTRATO!$H$2:$H$3000,$A143)</f>
        <v>2</v>
      </c>
    </row>
    <row r="144" spans="1:4" ht="15" customHeight="1" x14ac:dyDescent="0.25">
      <c r="A144" s="23" t="s">
        <v>159</v>
      </c>
      <c r="B144" s="36">
        <f>SUMIFS(RATEIOS!$F$2:$F$3142,RATEIOS!$I$2:$I$3142,$A144,RATEIOS!$H$2:$H$3142,"SAÍDA")</f>
        <v>36200</v>
      </c>
      <c r="C144" s="36">
        <f>SUMIFS(RATEIOS!$F$2:$F$3142,RATEIOS!$I$2:$I$3142,$A144,RATEIOS!$H$2:$H$3142,"ENTRADA")+SUMIFS(RATEIOS!$F$2:$F$3142,RATEIOS!$I$2:$I$3142,$A144,RATEIOS!$H$2:$H$3142,"RESGATE")</f>
        <v>0</v>
      </c>
      <c r="D144" s="23">
        <f>COUNTIF(EXTRATO!$H$2:$H$3000,$A144)</f>
        <v>9</v>
      </c>
    </row>
    <row r="145" spans="1:4" ht="15" customHeight="1" x14ac:dyDescent="0.25">
      <c r="A145" s="23" t="s">
        <v>67</v>
      </c>
      <c r="B145" s="36">
        <f>SUMIFS(RATEIOS!$F$2:$F$3142,RATEIOS!$I$2:$I$3142,$A145,RATEIOS!$H$2:$H$3142,"SAÍDA")</f>
        <v>27175</v>
      </c>
      <c r="C145" s="36">
        <f>SUMIFS(RATEIOS!$F$2:$F$3142,RATEIOS!$I$2:$I$3142,$A145,RATEIOS!$H$2:$H$3142,"ENTRADA")+SUMIFS(RATEIOS!$F$2:$F$3142,RATEIOS!$I$2:$I$3142,$A145,RATEIOS!$H$2:$H$3142,"RESGATE")</f>
        <v>0</v>
      </c>
      <c r="D145" s="23">
        <f>COUNTIF(EXTRATO!$H$2:$H$3000,$A145)</f>
        <v>18</v>
      </c>
    </row>
    <row r="146" spans="1:4" ht="15" customHeight="1" x14ac:dyDescent="0.25">
      <c r="A146" s="23" t="s">
        <v>514</v>
      </c>
      <c r="B146" s="36">
        <f>SUMIFS(RATEIOS!$F$2:$F$3142,RATEIOS!$I$2:$I$3142,$A146,RATEIOS!$H$2:$H$3142,"SAÍDA")</f>
        <v>0</v>
      </c>
      <c r="C146" s="36">
        <f>SUMIFS(RATEIOS!$F$2:$F$3142,RATEIOS!$I$2:$I$3142,$A146,RATEIOS!$H$2:$H$3142,"ENTRADA")+SUMIFS(RATEIOS!$F$2:$F$3142,RATEIOS!$I$2:$I$3142,$A146,RATEIOS!$H$2:$H$3142,"RESGATE")</f>
        <v>0</v>
      </c>
      <c r="D146" s="23">
        <f>COUNTIF(EXTRATO!$H$2:$H$3000,$A146)</f>
        <v>0</v>
      </c>
    </row>
    <row r="147" spans="1:4" ht="15" customHeight="1" x14ac:dyDescent="0.25">
      <c r="A147" s="23" t="s">
        <v>362</v>
      </c>
      <c r="B147" s="36">
        <f>SUMIFS(RATEIOS!$F$2:$F$3142,RATEIOS!$I$2:$I$3142,$A147,RATEIOS!$H$2:$H$3142,"SAÍDA")</f>
        <v>0</v>
      </c>
      <c r="C147" s="36">
        <f>SUMIFS(RATEIOS!$F$2:$F$3142,RATEIOS!$I$2:$I$3142,$A147,RATEIOS!$H$2:$H$3142,"ENTRADA")+SUMIFS(RATEIOS!$F$2:$F$3142,RATEIOS!$I$2:$I$3142,$A147,RATEIOS!$H$2:$H$3142,"RESGATE")</f>
        <v>16000</v>
      </c>
      <c r="D147" s="23">
        <f>COUNTIF(EXTRATO!$H$2:$H$3000,$A147)</f>
        <v>1</v>
      </c>
    </row>
    <row r="148" spans="1:4" ht="15" customHeight="1" x14ac:dyDescent="0.25">
      <c r="A148" s="23" t="s">
        <v>712</v>
      </c>
      <c r="B148" s="36">
        <f>SUMIFS(RATEIOS!$F$2:$F$3142,RATEIOS!$I$2:$I$3142,$A148,RATEIOS!$H$2:$H$3142,"SAÍDA")</f>
        <v>69728.72</v>
      </c>
      <c r="C148" s="36">
        <f>SUMIFS(RATEIOS!$F$2:$F$3142,RATEIOS!$I$2:$I$3142,$A148,RATEIOS!$H$2:$H$3142,"ENTRADA")+SUMIFS(RATEIOS!$F$2:$F$3142,RATEIOS!$I$2:$I$3142,$A148,RATEIOS!$H$2:$H$3142,"RESGATE")</f>
        <v>22400</v>
      </c>
      <c r="D148" s="23">
        <f>COUNTIF(EXTRATO!$H$2:$H$3000,$A148)</f>
        <v>8</v>
      </c>
    </row>
    <row r="149" spans="1:4" ht="15" customHeight="1" x14ac:dyDescent="0.25">
      <c r="A149" s="23" t="s">
        <v>1048</v>
      </c>
      <c r="B149" s="36">
        <f>SUMIFS(RATEIOS!$F$2:$F$3142,RATEIOS!$I$2:$I$3142,$A149,RATEIOS!$H$2:$H$3142,"SAÍDA")</f>
        <v>850</v>
      </c>
      <c r="C149" s="36">
        <f>SUMIFS(RATEIOS!$F$2:$F$3142,RATEIOS!$I$2:$I$3142,$A149,RATEIOS!$H$2:$H$3142,"ENTRADA")+SUMIFS(RATEIOS!$F$2:$F$3142,RATEIOS!$I$2:$I$3142,$A149,RATEIOS!$H$2:$H$3142,"RESGATE")</f>
        <v>0</v>
      </c>
      <c r="D149" s="23">
        <f>COUNTIF(EXTRATO!$H$2:$H$3000,$A149)</f>
        <v>1</v>
      </c>
    </row>
    <row r="150" spans="1:4" ht="15" customHeight="1" x14ac:dyDescent="0.25">
      <c r="A150" s="23" t="s">
        <v>177</v>
      </c>
      <c r="B150" s="36">
        <f>SUMIFS(RATEIOS!$F$2:$F$3142,RATEIOS!$I$2:$I$3142,$A150,RATEIOS!$H$2:$H$3142,"SAÍDA")</f>
        <v>0</v>
      </c>
      <c r="C150" s="36">
        <f>SUMIFS(RATEIOS!$F$2:$F$3142,RATEIOS!$I$2:$I$3142,$A150,RATEIOS!$H$2:$H$3142,"ENTRADA")+SUMIFS(RATEIOS!$F$2:$F$3142,RATEIOS!$I$2:$I$3142,$A150,RATEIOS!$H$2:$H$3142,"RESGATE")</f>
        <v>0</v>
      </c>
      <c r="D150" s="23">
        <f>COUNTIF(EXTRATO!$H$2:$H$3000,$A150)</f>
        <v>0</v>
      </c>
    </row>
    <row r="151" spans="1:4" ht="15" customHeight="1" x14ac:dyDescent="0.25">
      <c r="A151" s="23" t="s">
        <v>1122</v>
      </c>
      <c r="B151" s="36">
        <f>SUMIFS(RATEIOS!$F$2:$F$3142,RATEIOS!$I$2:$I$3142,$A151,RATEIOS!$H$2:$H$3142,"SAÍDA")</f>
        <v>0</v>
      </c>
      <c r="C151" s="36">
        <f>SUMIFS(RATEIOS!$F$2:$F$3142,RATEIOS!$I$2:$I$3142,$A151,RATEIOS!$H$2:$H$3142,"ENTRADA")+SUMIFS(RATEIOS!$F$2:$F$3142,RATEIOS!$I$2:$I$3142,$A151,RATEIOS!$H$2:$H$3142,"RESGATE")</f>
        <v>0</v>
      </c>
      <c r="D151" s="23">
        <f>COUNTIF(EXTRATO!$H$2:$H$3000,$A151)</f>
        <v>0</v>
      </c>
    </row>
    <row r="152" spans="1:4" ht="15" customHeight="1" x14ac:dyDescent="0.25">
      <c r="A152" s="23" t="s">
        <v>294</v>
      </c>
      <c r="B152" s="36">
        <f>SUMIFS(RATEIOS!$F$2:$F$3142,RATEIOS!$I$2:$I$3142,$A152,RATEIOS!$H$2:$H$3142,"SAÍDA")</f>
        <v>0</v>
      </c>
      <c r="C152" s="36">
        <f>SUMIFS(RATEIOS!$F$2:$F$3142,RATEIOS!$I$2:$I$3142,$A152,RATEIOS!$H$2:$H$3142,"ENTRADA")+SUMIFS(RATEIOS!$F$2:$F$3142,RATEIOS!$I$2:$I$3142,$A152,RATEIOS!$H$2:$H$3142,"RESGATE")</f>
        <v>0</v>
      </c>
      <c r="D152" s="23">
        <f>COUNTIF(EXTRATO!$H$2:$H$3000,$A152)</f>
        <v>0</v>
      </c>
    </row>
    <row r="153" spans="1:4" ht="15" customHeight="1" x14ac:dyDescent="0.25">
      <c r="A153" s="23" t="s">
        <v>1126</v>
      </c>
      <c r="B153" s="36">
        <f>SUMIFS(RATEIOS!$F$2:$F$3142,RATEIOS!$I$2:$I$3142,$A153,RATEIOS!$H$2:$H$3142,"SAÍDA")</f>
        <v>32000</v>
      </c>
      <c r="C153" s="36">
        <f>SUMIFS(RATEIOS!$F$2:$F$3142,RATEIOS!$I$2:$I$3142,$A153,RATEIOS!$H$2:$H$3142,"ENTRADA")+SUMIFS(RATEIOS!$F$2:$F$3142,RATEIOS!$I$2:$I$3142,$A153,RATEIOS!$H$2:$H$3142,"RESGATE")</f>
        <v>0</v>
      </c>
      <c r="D153" s="23">
        <f>COUNTIF(EXTRATO!$H$2:$H$3000,$A153)</f>
        <v>3</v>
      </c>
    </row>
    <row r="154" spans="1:4" ht="15" customHeight="1" x14ac:dyDescent="0.25">
      <c r="A154" s="23" t="s">
        <v>180</v>
      </c>
      <c r="B154" s="36">
        <f>SUMIFS(RATEIOS!$F$2:$F$3142,RATEIOS!$I$2:$I$3142,$A154,RATEIOS!$H$2:$H$3142,"SAÍDA")</f>
        <v>145370.96</v>
      </c>
      <c r="C154" s="36">
        <f>SUMIFS(RATEIOS!$F$2:$F$3142,RATEIOS!$I$2:$I$3142,$A154,RATEIOS!$H$2:$H$3142,"ENTRADA")+SUMIFS(RATEIOS!$F$2:$F$3142,RATEIOS!$I$2:$I$3142,$A154,RATEIOS!$H$2:$H$3142,"RESGATE")</f>
        <v>0</v>
      </c>
      <c r="D154" s="23">
        <f>COUNTIF(EXTRATO!$H$2:$H$3000,$A154)</f>
        <v>6</v>
      </c>
    </row>
    <row r="155" spans="1:4" ht="15" customHeight="1" x14ac:dyDescent="0.25">
      <c r="A155" s="23" t="s">
        <v>1007</v>
      </c>
      <c r="B155" s="36">
        <f>SUMIFS(RATEIOS!$F$2:$F$3142,RATEIOS!$I$2:$I$3142,$A155,RATEIOS!$H$2:$H$3142,"SAÍDA")</f>
        <v>217.91</v>
      </c>
      <c r="C155" s="36">
        <f>SUMIFS(RATEIOS!$F$2:$F$3142,RATEIOS!$I$2:$I$3142,$A155,RATEIOS!$H$2:$H$3142,"ENTRADA")+SUMIFS(RATEIOS!$F$2:$F$3142,RATEIOS!$I$2:$I$3142,$A155,RATEIOS!$H$2:$H$3142,"RESGATE")</f>
        <v>0</v>
      </c>
      <c r="D155" s="23">
        <f>COUNTIF(EXTRATO!$H$2:$H$3000,$A155)</f>
        <v>2</v>
      </c>
    </row>
    <row r="156" spans="1:4" ht="15" customHeight="1" x14ac:dyDescent="0.25">
      <c r="A156" s="23" t="s">
        <v>185</v>
      </c>
      <c r="B156" s="36">
        <f>SUMIFS(RATEIOS!$F$2:$F$3142,RATEIOS!$I$2:$I$3142,$A156,RATEIOS!$H$2:$H$3142,"SAÍDA")</f>
        <v>13007.380000000001</v>
      </c>
      <c r="C156" s="36">
        <f>SUMIFS(RATEIOS!$F$2:$F$3142,RATEIOS!$I$2:$I$3142,$A156,RATEIOS!$H$2:$H$3142,"ENTRADA")+SUMIFS(RATEIOS!$F$2:$F$3142,RATEIOS!$I$2:$I$3142,$A156,RATEIOS!$H$2:$H$3142,"RESGATE")</f>
        <v>0</v>
      </c>
      <c r="D156" s="23">
        <f>COUNTIF(EXTRATO!$H$2:$H$3000,$A156)</f>
        <v>9</v>
      </c>
    </row>
    <row r="157" spans="1:4" ht="15" customHeight="1" x14ac:dyDescent="0.25">
      <c r="A157" s="23" t="s">
        <v>81</v>
      </c>
      <c r="B157" s="36">
        <f>SUMIFS(RATEIOS!$F$2:$F$3142,RATEIOS!$I$2:$I$3142,$A157,RATEIOS!$H$2:$H$3142,"SAÍDA")</f>
        <v>138088.08999999997</v>
      </c>
      <c r="C157" s="36">
        <f>SUMIFS(RATEIOS!$F$2:$F$3142,RATEIOS!$I$2:$I$3142,$A157,RATEIOS!$H$2:$H$3142,"ENTRADA")+SUMIFS(RATEIOS!$F$2:$F$3142,RATEIOS!$I$2:$I$3142,$A157,RATEIOS!$H$2:$H$3142,"RESGATE")</f>
        <v>0</v>
      </c>
      <c r="D157" s="23">
        <f>COUNTIF(EXTRATO!$H$2:$H$3000,$A157)</f>
        <v>17</v>
      </c>
    </row>
    <row r="158" spans="1:4" ht="15" customHeight="1" x14ac:dyDescent="0.25">
      <c r="A158" s="23" t="s">
        <v>228</v>
      </c>
      <c r="B158" s="36">
        <f>SUMIFS(RATEIOS!$F$2:$F$3142,RATEIOS!$I$2:$I$3142,$A158,RATEIOS!$H$2:$H$3142,"SAÍDA")</f>
        <v>2067</v>
      </c>
      <c r="C158" s="36">
        <f>SUMIFS(RATEIOS!$F$2:$F$3142,RATEIOS!$I$2:$I$3142,$A158,RATEIOS!$H$2:$H$3142,"ENTRADA")+SUMIFS(RATEIOS!$F$2:$F$3142,RATEIOS!$I$2:$I$3142,$A158,RATEIOS!$H$2:$H$3142,"RESGATE")</f>
        <v>0</v>
      </c>
      <c r="D158" s="23">
        <f>COUNTIF(EXTRATO!$H$2:$H$3000,$A158)</f>
        <v>1</v>
      </c>
    </row>
    <row r="159" spans="1:4" ht="15" customHeight="1" x14ac:dyDescent="0.25">
      <c r="A159" s="23" t="s">
        <v>217</v>
      </c>
      <c r="B159" s="36">
        <f>SUMIFS(RATEIOS!$F$2:$F$3142,RATEIOS!$I$2:$I$3142,$A159,RATEIOS!$H$2:$H$3142,"SAÍDA")</f>
        <v>42456.7</v>
      </c>
      <c r="C159" s="36">
        <f>SUMIFS(RATEIOS!$F$2:$F$3142,RATEIOS!$I$2:$I$3142,$A159,RATEIOS!$H$2:$H$3142,"ENTRADA")+SUMIFS(RATEIOS!$F$2:$F$3142,RATEIOS!$I$2:$I$3142,$A159,RATEIOS!$H$2:$H$3142,"RESGATE")</f>
        <v>0</v>
      </c>
      <c r="D159" s="23">
        <f>COUNTIF(EXTRATO!$H$2:$H$3000,$A159)</f>
        <v>3</v>
      </c>
    </row>
    <row r="160" spans="1:4" ht="15" customHeight="1" x14ac:dyDescent="0.25">
      <c r="A160" s="23" t="s">
        <v>169</v>
      </c>
      <c r="B160" s="36">
        <f>SUMIFS(RATEIOS!$F$2:$F$3142,RATEIOS!$I$2:$I$3142,$A160,RATEIOS!$H$2:$H$3142,"SAÍDA")</f>
        <v>0</v>
      </c>
      <c r="C160" s="36">
        <f>SUMIFS(RATEIOS!$F$2:$F$3142,RATEIOS!$I$2:$I$3142,$A160,RATEIOS!$H$2:$H$3142,"ENTRADA")+SUMIFS(RATEIOS!$F$2:$F$3142,RATEIOS!$I$2:$I$3142,$A160,RATEIOS!$H$2:$H$3142,"RESGATE")</f>
        <v>0</v>
      </c>
      <c r="D160" s="23">
        <f>COUNTIF(EXTRATO!$H$2:$H$3000,$A160)</f>
        <v>0</v>
      </c>
    </row>
    <row r="161" spans="1:4" ht="15" customHeight="1" x14ac:dyDescent="0.25">
      <c r="A161" s="23" t="s">
        <v>248</v>
      </c>
      <c r="B161" s="36">
        <f>SUMIFS(RATEIOS!$F$2:$F$3142,RATEIOS!$I$2:$I$3142,$A161,RATEIOS!$H$2:$H$3142,"SAÍDA")</f>
        <v>500</v>
      </c>
      <c r="C161" s="36">
        <f>SUMIFS(RATEIOS!$F$2:$F$3142,RATEIOS!$I$2:$I$3142,$A161,RATEIOS!$H$2:$H$3142,"ENTRADA")+SUMIFS(RATEIOS!$F$2:$F$3142,RATEIOS!$I$2:$I$3142,$A161,RATEIOS!$H$2:$H$3142,"RESGATE")</f>
        <v>0</v>
      </c>
      <c r="D161" s="23">
        <f>COUNTIF(EXTRATO!$H$2:$H$3000,$A161)</f>
        <v>1</v>
      </c>
    </row>
    <row r="162" spans="1:4" ht="15" customHeight="1" x14ac:dyDescent="0.25">
      <c r="A162" s="23" t="s">
        <v>59</v>
      </c>
      <c r="B162" s="36">
        <f>SUMIFS(RATEIOS!$F$2:$F$3142,RATEIOS!$I$2:$I$3142,$A162,RATEIOS!$H$2:$H$3142,"SAÍDA")</f>
        <v>73861</v>
      </c>
      <c r="C162" s="36">
        <f>SUMIFS(RATEIOS!$F$2:$F$3142,RATEIOS!$I$2:$I$3142,$A162,RATEIOS!$H$2:$H$3142,"ENTRADA")+SUMIFS(RATEIOS!$F$2:$F$3142,RATEIOS!$I$2:$I$3142,$A162,RATEIOS!$H$2:$H$3142,"RESGATE")</f>
        <v>0</v>
      </c>
      <c r="D162" s="23">
        <f>COUNTIF(EXTRATO!$H$2:$H$3000,$A162)</f>
        <v>36</v>
      </c>
    </row>
    <row r="163" spans="1:4" ht="15" customHeight="1" x14ac:dyDescent="0.25">
      <c r="A163" s="23" t="s">
        <v>1012</v>
      </c>
      <c r="B163" s="36">
        <f>SUMIFS(RATEIOS!$F$2:$F$3142,RATEIOS!$I$2:$I$3142,$A163,RATEIOS!$H$2:$H$3142,"SAÍDA")</f>
        <v>1500</v>
      </c>
      <c r="C163" s="36">
        <f>SUMIFS(RATEIOS!$F$2:$F$3142,RATEIOS!$I$2:$I$3142,$A163,RATEIOS!$H$2:$H$3142,"ENTRADA")+SUMIFS(RATEIOS!$F$2:$F$3142,RATEIOS!$I$2:$I$3142,$A163,RATEIOS!$H$2:$H$3142,"RESGATE")</f>
        <v>0</v>
      </c>
      <c r="D163" s="23">
        <f>COUNTIF(EXTRATO!$H$2:$H$3000,$A163)</f>
        <v>1</v>
      </c>
    </row>
    <row r="164" spans="1:4" ht="15" customHeight="1" x14ac:dyDescent="0.25">
      <c r="A164" s="23" t="s">
        <v>340</v>
      </c>
      <c r="B164" s="36">
        <f>SUMIFS(RATEIOS!$F$2:$F$3142,RATEIOS!$I$2:$I$3142,$A164,RATEIOS!$H$2:$H$3142,"SAÍDA")</f>
        <v>6170</v>
      </c>
      <c r="C164" s="36">
        <f>SUMIFS(RATEIOS!$F$2:$F$3142,RATEIOS!$I$2:$I$3142,$A164,RATEIOS!$H$2:$H$3142,"ENTRADA")+SUMIFS(RATEIOS!$F$2:$F$3142,RATEIOS!$I$2:$I$3142,$A164,RATEIOS!$H$2:$H$3142,"RESGATE")</f>
        <v>0</v>
      </c>
      <c r="D164" s="23">
        <f>COUNTIF(EXTRATO!$H$2:$H$3000,$A164)</f>
        <v>4</v>
      </c>
    </row>
    <row r="165" spans="1:4" ht="15" customHeight="1" x14ac:dyDescent="0.25">
      <c r="A165" s="23" t="s">
        <v>446</v>
      </c>
      <c r="B165" s="36">
        <f>SUMIFS(RATEIOS!$F$2:$F$3142,RATEIOS!$I$2:$I$3142,$A165,RATEIOS!$H$2:$H$3142,"SAÍDA")</f>
        <v>8330</v>
      </c>
      <c r="C165" s="36">
        <f>SUMIFS(RATEIOS!$F$2:$F$3142,RATEIOS!$I$2:$I$3142,$A165,RATEIOS!$H$2:$H$3142,"ENTRADA")+SUMIFS(RATEIOS!$F$2:$F$3142,RATEIOS!$I$2:$I$3142,$A165,RATEIOS!$H$2:$H$3142,"RESGATE")</f>
        <v>0</v>
      </c>
      <c r="D165" s="23">
        <f>COUNTIF(EXTRATO!$H$2:$H$3000,$A165)</f>
        <v>7</v>
      </c>
    </row>
    <row r="166" spans="1:4" ht="15" customHeight="1" x14ac:dyDescent="0.25">
      <c r="A166" s="23" t="s">
        <v>451</v>
      </c>
      <c r="B166" s="36">
        <f>SUMIFS(RATEIOS!$F$2:$F$3142,RATEIOS!$I$2:$I$3142,$A166,RATEIOS!$H$2:$H$3142,"SAÍDA")</f>
        <v>9800</v>
      </c>
      <c r="C166" s="36">
        <f>SUMIFS(RATEIOS!$F$2:$F$3142,RATEIOS!$I$2:$I$3142,$A166,RATEIOS!$H$2:$H$3142,"ENTRADA")+SUMIFS(RATEIOS!$F$2:$F$3142,RATEIOS!$I$2:$I$3142,$A166,RATEIOS!$H$2:$H$3142,"RESGATE")</f>
        <v>0</v>
      </c>
      <c r="D166" s="23">
        <f>COUNTIF(EXTRATO!$H$2:$H$3000,$A166)</f>
        <v>6</v>
      </c>
    </row>
    <row r="167" spans="1:4" ht="15" customHeight="1" x14ac:dyDescent="0.25">
      <c r="A167" s="23" t="s">
        <v>150</v>
      </c>
      <c r="B167" s="36">
        <f>SUMIFS(RATEIOS!$F$2:$F$3142,RATEIOS!$I$2:$I$3142,$A167,RATEIOS!$H$2:$H$3142,"SAÍDA")</f>
        <v>2460</v>
      </c>
      <c r="C167" s="36">
        <f>SUMIFS(RATEIOS!$F$2:$F$3142,RATEIOS!$I$2:$I$3142,$A167,RATEIOS!$H$2:$H$3142,"ENTRADA")+SUMIFS(RATEIOS!$F$2:$F$3142,RATEIOS!$I$2:$I$3142,$A167,RATEIOS!$H$2:$H$3142,"RESGATE")</f>
        <v>0</v>
      </c>
      <c r="D167" s="23">
        <f>COUNTIF(EXTRATO!$H$2:$H$3000,$A167)</f>
        <v>7</v>
      </c>
    </row>
    <row r="168" spans="1:4" ht="15" customHeight="1" x14ac:dyDescent="0.25">
      <c r="A168" s="23" t="s">
        <v>153</v>
      </c>
      <c r="B168" s="36">
        <f>SUMIFS(RATEIOS!$F$2:$F$3142,RATEIOS!$I$2:$I$3142,$A168,RATEIOS!$H$2:$H$3142,"SAÍDA")</f>
        <v>10489</v>
      </c>
      <c r="C168" s="36">
        <f>SUMIFS(RATEIOS!$F$2:$F$3142,RATEIOS!$I$2:$I$3142,$A168,RATEIOS!$H$2:$H$3142,"ENTRADA")+SUMIFS(RATEIOS!$F$2:$F$3142,RATEIOS!$I$2:$I$3142,$A168,RATEIOS!$H$2:$H$3142,"RESGATE")</f>
        <v>0</v>
      </c>
      <c r="D168" s="23">
        <f>COUNTIF(EXTRATO!$H$2:$H$3000,$A168)</f>
        <v>9</v>
      </c>
    </row>
    <row r="169" spans="1:4" ht="15" customHeight="1" x14ac:dyDescent="0.25">
      <c r="A169" s="23" t="s">
        <v>874</v>
      </c>
      <c r="B169" s="36">
        <f>SUMIFS(RATEIOS!$F$2:$F$3142,RATEIOS!$I$2:$I$3142,$A169,RATEIOS!$H$2:$H$3142,"SAÍDA")</f>
        <v>700</v>
      </c>
      <c r="C169" s="36">
        <f>SUMIFS(RATEIOS!$F$2:$F$3142,RATEIOS!$I$2:$I$3142,$A169,RATEIOS!$H$2:$H$3142,"ENTRADA")+SUMIFS(RATEIOS!$F$2:$F$3142,RATEIOS!$I$2:$I$3142,$A169,RATEIOS!$H$2:$H$3142,"RESGATE")</f>
        <v>0</v>
      </c>
      <c r="D169" s="23">
        <f>COUNTIF(EXTRATO!$H$2:$H$3000,$A169)</f>
        <v>1</v>
      </c>
    </row>
    <row r="170" spans="1:4" ht="15" customHeight="1" x14ac:dyDescent="0.25">
      <c r="A170" s="23" t="s">
        <v>1257</v>
      </c>
      <c r="B170" s="36">
        <f>SUMIFS(RATEIOS!$F$2:$F$3142,RATEIOS!$I$2:$I$3142,$A170,RATEIOS!$H$2:$H$3142,"SAÍDA")</f>
        <v>0</v>
      </c>
      <c r="C170" s="36">
        <f>SUMIFS(RATEIOS!$F$2:$F$3142,RATEIOS!$I$2:$I$3142,$A170,RATEIOS!$H$2:$H$3142,"ENTRADA")+SUMIFS(RATEIOS!$F$2:$F$3142,RATEIOS!$I$2:$I$3142,$A170,RATEIOS!$H$2:$H$3142,"RESGATE")</f>
        <v>0</v>
      </c>
      <c r="D170" s="23">
        <f>COUNTIF(EXTRATO!$H$2:$H$3000,$A170)</f>
        <v>0</v>
      </c>
    </row>
    <row r="171" spans="1:4" ht="15" customHeight="1" x14ac:dyDescent="0.25">
      <c r="A171" s="23" t="s">
        <v>84</v>
      </c>
      <c r="B171" s="36">
        <f>SUMIFS(RATEIOS!$F$2:$F$3142,RATEIOS!$I$2:$I$3142,$A171,RATEIOS!$H$2:$H$3142,"SAÍDA")</f>
        <v>209773.92</v>
      </c>
      <c r="C171" s="36">
        <f>SUMIFS(RATEIOS!$F$2:$F$3142,RATEIOS!$I$2:$I$3142,$A171,RATEIOS!$H$2:$H$3142,"ENTRADA")+SUMIFS(RATEIOS!$F$2:$F$3142,RATEIOS!$I$2:$I$3142,$A171,RATEIOS!$H$2:$H$3142,"RESGATE")</f>
        <v>0</v>
      </c>
      <c r="D171" s="23">
        <f>COUNTIF(EXTRATO!$H$2:$H$3000,$A171)</f>
        <v>18</v>
      </c>
    </row>
    <row r="172" spans="1:4" ht="15" customHeight="1" x14ac:dyDescent="0.25">
      <c r="A172" s="23" t="s">
        <v>994</v>
      </c>
      <c r="B172" s="36">
        <f>SUMIFS(RATEIOS!$F$2:$F$3142,RATEIOS!$I$2:$I$3142,$A172,RATEIOS!$H$2:$H$3142,"SAÍDA")</f>
        <v>2465</v>
      </c>
      <c r="C172" s="36">
        <f>SUMIFS(RATEIOS!$F$2:$F$3142,RATEIOS!$I$2:$I$3142,$A172,RATEIOS!$H$2:$H$3142,"ENTRADA")+SUMIFS(RATEIOS!$F$2:$F$3142,RATEIOS!$I$2:$I$3142,$A172,RATEIOS!$H$2:$H$3142,"RESGATE")</f>
        <v>0</v>
      </c>
      <c r="D172" s="23">
        <f>COUNTIF(EXTRATO!$H$2:$H$3000,$A172)</f>
        <v>4</v>
      </c>
    </row>
    <row r="173" spans="1:4" ht="15" customHeight="1" x14ac:dyDescent="0.25">
      <c r="A173" s="23" t="s">
        <v>671</v>
      </c>
      <c r="B173" s="36">
        <f>SUMIFS(RATEIOS!$F$2:$F$3142,RATEIOS!$I$2:$I$3142,$A173,RATEIOS!$H$2:$H$3142,"SAÍDA")</f>
        <v>446.22</v>
      </c>
      <c r="C173" s="36">
        <f>SUMIFS(RATEIOS!$F$2:$F$3142,RATEIOS!$I$2:$I$3142,$A173,RATEIOS!$H$2:$H$3142,"ENTRADA")+SUMIFS(RATEIOS!$F$2:$F$3142,RATEIOS!$I$2:$I$3142,$A173,RATEIOS!$H$2:$H$3142,"RESGATE")</f>
        <v>0</v>
      </c>
      <c r="D173" s="23">
        <f>COUNTIF(EXTRATO!$H$2:$H$3000,$A173)</f>
        <v>2</v>
      </c>
    </row>
    <row r="174" spans="1:4" ht="15" customHeight="1" x14ac:dyDescent="0.25">
      <c r="A174" s="23" t="s">
        <v>1291</v>
      </c>
      <c r="B174" s="36">
        <f>SUMIFS(RATEIOS!$F$2:$F$3142,RATEIOS!$I$2:$I$3142,$A174,RATEIOS!$H$2:$H$3142,"SAÍDA")</f>
        <v>21487.119999999999</v>
      </c>
      <c r="C174" s="36">
        <f>SUMIFS(RATEIOS!$F$2:$F$3142,RATEIOS!$I$2:$I$3142,$A174,RATEIOS!$H$2:$H$3142,"ENTRADA")+SUMIFS(RATEIOS!$F$2:$F$3142,RATEIOS!$I$2:$I$3142,$A174,RATEIOS!$H$2:$H$3142,"RESGATE")</f>
        <v>0</v>
      </c>
      <c r="D174" s="23">
        <f>COUNTIF(EXTRATO!$H$2:$H$3000,$A174)</f>
        <v>3</v>
      </c>
    </row>
    <row r="175" spans="1:4" ht="15" customHeight="1" x14ac:dyDescent="0.25">
      <c r="A175" s="23" t="s">
        <v>618</v>
      </c>
      <c r="B175" s="36">
        <f>SUMIFS(RATEIOS!$F$2:$F$3142,RATEIOS!$I$2:$I$3142,$A175,RATEIOS!$H$2:$H$3142,"SAÍDA")</f>
        <v>34937</v>
      </c>
      <c r="C175" s="36">
        <f>SUMIFS(RATEIOS!$F$2:$F$3142,RATEIOS!$I$2:$I$3142,$A175,RATEIOS!$H$2:$H$3142,"ENTRADA")+SUMIFS(RATEIOS!$F$2:$F$3142,RATEIOS!$I$2:$I$3142,$A175,RATEIOS!$H$2:$H$3142,"RESGATE")</f>
        <v>0</v>
      </c>
      <c r="D175" s="23">
        <f>COUNTIF(EXTRATO!$H$2:$H$3000,$A175)</f>
        <v>5</v>
      </c>
    </row>
    <row r="176" spans="1:4" ht="15" customHeight="1" x14ac:dyDescent="0.25">
      <c r="A176" s="23" t="s">
        <v>581</v>
      </c>
      <c r="B176" s="36">
        <f>SUMIFS(RATEIOS!$F$2:$F$3142,RATEIOS!$I$2:$I$3142,$A176,RATEIOS!$H$2:$H$3142,"SAÍDA")</f>
        <v>841.5</v>
      </c>
      <c r="C176" s="36">
        <f>SUMIFS(RATEIOS!$F$2:$F$3142,RATEIOS!$I$2:$I$3142,$A176,RATEIOS!$H$2:$H$3142,"ENTRADA")+SUMIFS(RATEIOS!$F$2:$F$3142,RATEIOS!$I$2:$I$3142,$A176,RATEIOS!$H$2:$H$3142,"RESGATE")</f>
        <v>0</v>
      </c>
      <c r="D176" s="23">
        <f>COUNTIF(EXTRATO!$H$2:$H$3000,$A176)</f>
        <v>1</v>
      </c>
    </row>
    <row r="177" spans="1:4" ht="15" customHeight="1" x14ac:dyDescent="0.25">
      <c r="A177" s="23" t="s">
        <v>417</v>
      </c>
      <c r="B177" s="36">
        <f>SUMIFS(RATEIOS!$F$2:$F$3142,RATEIOS!$I$2:$I$3142,$A177,RATEIOS!$H$2:$H$3142,"SAÍDA")</f>
        <v>157228.72</v>
      </c>
      <c r="C177" s="36">
        <f>SUMIFS(RATEIOS!$F$2:$F$3142,RATEIOS!$I$2:$I$3142,$A177,RATEIOS!$H$2:$H$3142,"ENTRADA")+SUMIFS(RATEIOS!$F$2:$F$3142,RATEIOS!$I$2:$I$3142,$A177,RATEIOS!$H$2:$H$3142,"RESGATE")</f>
        <v>22400</v>
      </c>
      <c r="D177" s="23">
        <f>COUNTIF(EXTRATO!$H$2:$H$3000,$A177)</f>
        <v>10</v>
      </c>
    </row>
    <row r="178" spans="1:4" ht="15" customHeight="1" x14ac:dyDescent="0.25">
      <c r="A178" s="23" t="s">
        <v>700</v>
      </c>
      <c r="B178" s="36">
        <f>SUMIFS(RATEIOS!$F$2:$F$3142,RATEIOS!$I$2:$I$3142,$A178,RATEIOS!$H$2:$H$3142,"SAÍDA")</f>
        <v>0</v>
      </c>
      <c r="C178" s="36">
        <f>SUMIFS(RATEIOS!$F$2:$F$3142,RATEIOS!$I$2:$I$3142,$A178,RATEIOS!$H$2:$H$3142,"ENTRADA")+SUMIFS(RATEIOS!$F$2:$F$3142,RATEIOS!$I$2:$I$3142,$A178,RATEIOS!$H$2:$H$3142,"RESGATE")</f>
        <v>0</v>
      </c>
      <c r="D178" s="23">
        <f>COUNTIF(EXTRATO!$H$2:$H$3000,$A178)</f>
        <v>0</v>
      </c>
    </row>
    <row r="179" spans="1:4" ht="15" customHeight="1" x14ac:dyDescent="0.25">
      <c r="A179" s="23" t="s">
        <v>252</v>
      </c>
      <c r="B179" s="36">
        <f>SUMIFS(RATEIOS!$F$2:$F$3142,RATEIOS!$I$2:$I$3142,$A179,RATEIOS!$H$2:$H$3142,"SAÍDA")</f>
        <v>590083.87</v>
      </c>
      <c r="C179" s="36">
        <f>SUMIFS(RATEIOS!$F$2:$F$3142,RATEIOS!$I$2:$I$3142,$A179,RATEIOS!$H$2:$H$3142,"ENTRADA")+SUMIFS(RATEIOS!$F$2:$F$3142,RATEIOS!$I$2:$I$3142,$A179,RATEIOS!$H$2:$H$3142,"RESGATE")</f>
        <v>0</v>
      </c>
      <c r="D179" s="23">
        <f>COUNTIF(EXTRATO!$H$2:$H$3000,$A179)</f>
        <v>34</v>
      </c>
    </row>
    <row r="180" spans="1:4" ht="15" customHeight="1" x14ac:dyDescent="0.25">
      <c r="A180" s="23" t="s">
        <v>927</v>
      </c>
      <c r="B180" s="36">
        <f>SUMIFS(RATEIOS!$F$2:$F$3142,RATEIOS!$I$2:$I$3142,$A180,RATEIOS!$H$2:$H$3142,"SAÍDA")</f>
        <v>0</v>
      </c>
      <c r="C180" s="36">
        <f>SUMIFS(RATEIOS!$F$2:$F$3142,RATEIOS!$I$2:$I$3142,$A180,RATEIOS!$H$2:$H$3142,"ENTRADA")+SUMIFS(RATEIOS!$F$2:$F$3142,RATEIOS!$I$2:$I$3142,$A180,RATEIOS!$H$2:$H$3142,"RESGATE")</f>
        <v>0</v>
      </c>
      <c r="D180" s="23">
        <f>COUNTIF(EXTRATO!$H$2:$H$3000,$A180)</f>
        <v>0</v>
      </c>
    </row>
    <row r="181" spans="1:4" ht="15" customHeight="1" x14ac:dyDescent="0.25">
      <c r="A181" s="23" t="s">
        <v>140</v>
      </c>
      <c r="B181" s="36">
        <f>SUMIFS(RATEIOS!$F$2:$F$3142,RATEIOS!$I$2:$I$3142,$A181,RATEIOS!$H$2:$H$3142,"SAÍDA")</f>
        <v>45643.6</v>
      </c>
      <c r="C181" s="36">
        <f>SUMIFS(RATEIOS!$F$2:$F$3142,RATEIOS!$I$2:$I$3142,$A181,RATEIOS!$H$2:$H$3142,"ENTRADA")+SUMIFS(RATEIOS!$F$2:$F$3142,RATEIOS!$I$2:$I$3142,$A181,RATEIOS!$H$2:$H$3142,"RESGATE")</f>
        <v>0</v>
      </c>
      <c r="D181" s="23">
        <f>COUNTIF(EXTRATO!$H$2:$H$3000,$A181)</f>
        <v>5</v>
      </c>
    </row>
    <row r="182" spans="1:4" ht="15" customHeight="1" x14ac:dyDescent="0.25">
      <c r="A182" s="23" t="s">
        <v>194</v>
      </c>
      <c r="B182" s="36">
        <f>SUMIFS(RATEIOS!$F$2:$F$3142,RATEIOS!$I$2:$I$3142,$A182,RATEIOS!$H$2:$H$3142,"SAÍDA")</f>
        <v>35134</v>
      </c>
      <c r="C182" s="36">
        <f>SUMIFS(RATEIOS!$F$2:$F$3142,RATEIOS!$I$2:$I$3142,$A182,RATEIOS!$H$2:$H$3142,"ENTRADA")+SUMIFS(RATEIOS!$F$2:$F$3142,RATEIOS!$I$2:$I$3142,$A182,RATEIOS!$H$2:$H$3142,"RESGATE")</f>
        <v>0</v>
      </c>
      <c r="D182" s="23">
        <f>COUNTIF(EXTRATO!$H$2:$H$3000,$A182)</f>
        <v>1</v>
      </c>
    </row>
    <row r="183" spans="1:4" ht="15" customHeight="1" x14ac:dyDescent="0.25">
      <c r="A183" s="23" t="s">
        <v>109</v>
      </c>
      <c r="B183" s="36">
        <f>SUMIFS(RATEIOS!$F$2:$F$3142,RATEIOS!$I$2:$I$3142,$A183,RATEIOS!$H$2:$H$3142,"SAÍDA")</f>
        <v>796</v>
      </c>
      <c r="C183" s="36">
        <f>SUMIFS(RATEIOS!$F$2:$F$3142,RATEIOS!$I$2:$I$3142,$A183,RATEIOS!$H$2:$H$3142,"ENTRADA")+SUMIFS(RATEIOS!$F$2:$F$3142,RATEIOS!$I$2:$I$3142,$A183,RATEIOS!$H$2:$H$3142,"RESGATE")</f>
        <v>0</v>
      </c>
      <c r="D183" s="23">
        <f>COUNTIF(EXTRATO!$H$2:$H$3000,$A183)</f>
        <v>4</v>
      </c>
    </row>
    <row r="184" spans="1:4" ht="15" customHeight="1" x14ac:dyDescent="0.25">
      <c r="A184" s="23" t="s">
        <v>844</v>
      </c>
      <c r="B184" s="36">
        <f>SUMIFS(RATEIOS!$F$2:$F$3142,RATEIOS!$I$2:$I$3142,$A184,RATEIOS!$H$2:$H$3142,"SAÍDA")</f>
        <v>0</v>
      </c>
      <c r="C184" s="36">
        <f>SUMIFS(RATEIOS!$F$2:$F$3142,RATEIOS!$I$2:$I$3142,$A184,RATEIOS!$H$2:$H$3142,"ENTRADA")+SUMIFS(RATEIOS!$F$2:$F$3142,RATEIOS!$I$2:$I$3142,$A184,RATEIOS!$H$2:$H$3142,"RESGATE")</f>
        <v>0</v>
      </c>
      <c r="D184" s="23">
        <f>COUNTIF(EXTRATO!$H$2:$H$3000,$A184)</f>
        <v>0</v>
      </c>
    </row>
    <row r="185" spans="1:4" ht="15" customHeight="1" x14ac:dyDescent="0.25">
      <c r="A185" s="23" t="s">
        <v>164</v>
      </c>
      <c r="B185" s="36">
        <f>SUMIFS(RATEIOS!$F$2:$F$3142,RATEIOS!$I$2:$I$3142,$A185,RATEIOS!$H$2:$H$3142,"SAÍDA")</f>
        <v>70363.87</v>
      </c>
      <c r="C185" s="36">
        <f>SUMIFS(RATEIOS!$F$2:$F$3142,RATEIOS!$I$2:$I$3142,$A185,RATEIOS!$H$2:$H$3142,"ENTRADA")+SUMIFS(RATEIOS!$F$2:$F$3142,RATEIOS!$I$2:$I$3142,$A185,RATEIOS!$H$2:$H$3142,"RESGATE")</f>
        <v>0</v>
      </c>
      <c r="D185" s="23">
        <f>COUNTIF(EXTRATO!$H$2:$H$3000,$A185)</f>
        <v>10</v>
      </c>
    </row>
    <row r="186" spans="1:4" ht="15" customHeight="1" x14ac:dyDescent="0.25">
      <c r="A186" s="23" t="s">
        <v>1216</v>
      </c>
      <c r="B186" s="36">
        <f>SUMIFS(RATEIOS!$F$2:$F$3142,RATEIOS!$I$2:$I$3142,$A186,RATEIOS!$H$2:$H$3142,"SAÍDA")</f>
        <v>3899.57</v>
      </c>
      <c r="C186" s="36">
        <f>SUMIFS(RATEIOS!$F$2:$F$3142,RATEIOS!$I$2:$I$3142,$A186,RATEIOS!$H$2:$H$3142,"ENTRADA")+SUMIFS(RATEIOS!$F$2:$F$3142,RATEIOS!$I$2:$I$3142,$A186,RATEIOS!$H$2:$H$3142,"RESGATE")</f>
        <v>0</v>
      </c>
      <c r="D186" s="23">
        <f>COUNTIF(EXTRATO!$H$2:$H$3000,$A186)</f>
        <v>3</v>
      </c>
    </row>
    <row r="187" spans="1:4" ht="15" customHeight="1" x14ac:dyDescent="0.25">
      <c r="A187" s="23" t="s">
        <v>123</v>
      </c>
      <c r="B187" s="36">
        <f>SUMIFS(RATEIOS!$F$2:$F$3142,RATEIOS!$I$2:$I$3142,$A187,RATEIOS!$H$2:$H$3142,"SAÍDA")</f>
        <v>708070</v>
      </c>
      <c r="C187" s="36">
        <f>SUMIFS(RATEIOS!$F$2:$F$3142,RATEIOS!$I$2:$I$3142,$A187,RATEIOS!$H$2:$H$3142,"ENTRADA")+SUMIFS(RATEIOS!$F$2:$F$3142,RATEIOS!$I$2:$I$3142,$A187,RATEIOS!$H$2:$H$3142,"RESGATE")</f>
        <v>0</v>
      </c>
      <c r="D187" s="23">
        <f>COUNTIF(EXTRATO!$H$2:$H$3000,$A187)</f>
        <v>10</v>
      </c>
    </row>
    <row r="188" spans="1:4" ht="15" customHeight="1" x14ac:dyDescent="0.25">
      <c r="A188" s="23" t="s">
        <v>626</v>
      </c>
      <c r="B188" s="36">
        <f>SUMIFS(RATEIOS!$F$2:$F$3142,RATEIOS!$I$2:$I$3142,$A188,RATEIOS!$H$2:$H$3142,"SAÍDA")</f>
        <v>2100</v>
      </c>
      <c r="C188" s="36">
        <f>SUMIFS(RATEIOS!$F$2:$F$3142,RATEIOS!$I$2:$I$3142,$A188,RATEIOS!$H$2:$H$3142,"ENTRADA")+SUMIFS(RATEIOS!$F$2:$F$3142,RATEIOS!$I$2:$I$3142,$A188,RATEIOS!$H$2:$H$3142,"RESGATE")</f>
        <v>0</v>
      </c>
      <c r="D188" s="23">
        <f>COUNTIF(EXTRATO!$H$2:$H$3000,$A188)</f>
        <v>2</v>
      </c>
    </row>
    <row r="189" spans="1:4" ht="15" customHeight="1" x14ac:dyDescent="0.25">
      <c r="A189" s="23" t="s">
        <v>758</v>
      </c>
      <c r="B189" s="36">
        <f>SUMIFS(RATEIOS!$F$2:$F$3142,RATEIOS!$I$2:$I$3142,$A189,RATEIOS!$H$2:$H$3142,"SAÍDA")</f>
        <v>34864.36</v>
      </c>
      <c r="C189" s="36">
        <f>SUMIFS(RATEIOS!$F$2:$F$3142,RATEIOS!$I$2:$I$3142,$A189,RATEIOS!$H$2:$H$3142,"ENTRADA")+SUMIFS(RATEIOS!$F$2:$F$3142,RATEIOS!$I$2:$I$3142,$A189,RATEIOS!$H$2:$H$3142,"RESGATE")</f>
        <v>0</v>
      </c>
      <c r="D189" s="23">
        <f>COUNTIF(EXTRATO!$H$2:$H$3000,$A189)</f>
        <v>7</v>
      </c>
    </row>
    <row r="190" spans="1:4" ht="15" customHeight="1" x14ac:dyDescent="0.25">
      <c r="A190" s="23" t="s">
        <v>351</v>
      </c>
      <c r="B190" s="36">
        <f>SUMIFS(RATEIOS!$F$2:$F$3142,RATEIOS!$I$2:$I$3142,$A190,RATEIOS!$H$2:$H$3142,"SAÍDA")</f>
        <v>0</v>
      </c>
      <c r="C190" s="36">
        <f>SUMIFS(RATEIOS!$F$2:$F$3142,RATEIOS!$I$2:$I$3142,$A190,RATEIOS!$H$2:$H$3142,"ENTRADA")+SUMIFS(RATEIOS!$F$2:$F$3142,RATEIOS!$I$2:$I$3142,$A190,RATEIOS!$H$2:$H$3142,"RESGATE")</f>
        <v>19200</v>
      </c>
      <c r="D190" s="23">
        <f>COUNTIF(EXTRATO!$H$2:$H$3000,$A190)</f>
        <v>2</v>
      </c>
    </row>
    <row r="191" spans="1:4" ht="15" customHeight="1" x14ac:dyDescent="0.25">
      <c r="A191" s="23" t="s">
        <v>212</v>
      </c>
      <c r="B191" s="36">
        <f>SUMIFS(RATEIOS!$F$2:$F$3142,RATEIOS!$I$2:$I$3142,$A191,RATEIOS!$H$2:$H$3142,"SAÍDA")</f>
        <v>270</v>
      </c>
      <c r="C191" s="36">
        <f>SUMIFS(RATEIOS!$F$2:$F$3142,RATEIOS!$I$2:$I$3142,$A191,RATEIOS!$H$2:$H$3142,"ENTRADA")+SUMIFS(RATEIOS!$F$2:$F$3142,RATEIOS!$I$2:$I$3142,$A191,RATEIOS!$H$2:$H$3142,"RESGATE")</f>
        <v>0</v>
      </c>
      <c r="D191" s="23">
        <f>COUNTIF(EXTRATO!$H$2:$H$3000,$A191)</f>
        <v>1</v>
      </c>
    </row>
    <row r="192" spans="1:4" ht="15" customHeight="1" x14ac:dyDescent="0.25">
      <c r="A192" s="23" t="s">
        <v>70</v>
      </c>
      <c r="B192" s="36">
        <f>SUMIFS(RATEIOS!$F$2:$F$3142,RATEIOS!$I$2:$I$3142,$A192,RATEIOS!$H$2:$H$3142,"SAÍDA")</f>
        <v>575</v>
      </c>
      <c r="C192" s="36">
        <f>SUMIFS(RATEIOS!$F$2:$F$3142,RATEIOS!$I$2:$I$3142,$A192,RATEIOS!$H$2:$H$3142,"ENTRADA")+SUMIFS(RATEIOS!$F$2:$F$3142,RATEIOS!$I$2:$I$3142,$A192,RATEIOS!$H$2:$H$3142,"RESGATE")</f>
        <v>0</v>
      </c>
      <c r="D192" s="23">
        <f>COUNTIF(EXTRATO!$H$2:$H$3000,$A192)</f>
        <v>3</v>
      </c>
    </row>
    <row r="193" spans="1:4" ht="15" customHeight="1" x14ac:dyDescent="0.25">
      <c r="A193" s="23" t="s">
        <v>476</v>
      </c>
      <c r="B193" s="36">
        <f>SUMIFS(RATEIOS!$F$2:$F$3142,RATEIOS!$I$2:$I$3142,$A193,RATEIOS!$H$2:$H$3142,"SAÍDA")</f>
        <v>0</v>
      </c>
      <c r="C193" s="36">
        <f>SUMIFS(RATEIOS!$F$2:$F$3142,RATEIOS!$I$2:$I$3142,$A193,RATEIOS!$H$2:$H$3142,"ENTRADA")+SUMIFS(RATEIOS!$F$2:$F$3142,RATEIOS!$I$2:$I$3142,$A193,RATEIOS!$H$2:$H$3142,"RESGATE")</f>
        <v>0</v>
      </c>
      <c r="D193" s="23">
        <f>COUNTIF(EXTRATO!$H$2:$H$3000,$A193)</f>
        <v>0</v>
      </c>
    </row>
    <row r="194" spans="1:4" ht="15" customHeight="1" x14ac:dyDescent="0.25">
      <c r="A194" s="23" t="s">
        <v>337</v>
      </c>
      <c r="B194" s="36">
        <f>SUMIFS(RATEIOS!$F$2:$F$3142,RATEIOS!$I$2:$I$3142,$A194,RATEIOS!$H$2:$H$3142,"SAÍDA")</f>
        <v>82364.36</v>
      </c>
      <c r="C194" s="36">
        <f>SUMIFS(RATEIOS!$F$2:$F$3142,RATEIOS!$I$2:$I$3142,$A194,RATEIOS!$H$2:$H$3142,"ENTRADA")+SUMIFS(RATEIOS!$F$2:$F$3142,RATEIOS!$I$2:$I$3142,$A194,RATEIOS!$H$2:$H$3142,"RESGATE")</f>
        <v>19200</v>
      </c>
      <c r="D194" s="23">
        <f>COUNTIF(EXTRATO!$H$2:$H$3000,$A194)</f>
        <v>11</v>
      </c>
    </row>
    <row r="195" spans="1:4" ht="15" customHeight="1" x14ac:dyDescent="0.25">
      <c r="A195" s="23" t="s">
        <v>657</v>
      </c>
      <c r="B195" s="36">
        <f>SUMIFS(RATEIOS!$F$2:$F$3142,RATEIOS!$I$2:$I$3142,$A195,RATEIOS!$H$2:$H$3142,"SAÍDA")</f>
        <v>73.08</v>
      </c>
      <c r="C195" s="36">
        <f>SUMIFS(RATEIOS!$F$2:$F$3142,RATEIOS!$I$2:$I$3142,$A195,RATEIOS!$H$2:$H$3142,"ENTRADA")+SUMIFS(RATEIOS!$F$2:$F$3142,RATEIOS!$I$2:$I$3142,$A195,RATEIOS!$H$2:$H$3142,"RESGATE")</f>
        <v>0</v>
      </c>
      <c r="D195" s="23">
        <f>COUNTIF(EXTRATO!$H$2:$H$3000,$A195)</f>
        <v>1</v>
      </c>
    </row>
    <row r="196" spans="1:4" ht="15" customHeight="1" x14ac:dyDescent="0.25">
      <c r="A196" s="23" t="s">
        <v>370</v>
      </c>
      <c r="B196" s="36">
        <f>SUMIFS(RATEIOS!$F$2:$F$3142,RATEIOS!$I$2:$I$3142,$A196,RATEIOS!$H$2:$H$3142,"SAÍDA")</f>
        <v>205.81</v>
      </c>
      <c r="C196" s="36">
        <f>SUMIFS(RATEIOS!$F$2:$F$3142,RATEIOS!$I$2:$I$3142,$A196,RATEIOS!$H$2:$H$3142,"ENTRADA")+SUMIFS(RATEIOS!$F$2:$F$3142,RATEIOS!$I$2:$I$3142,$A196,RATEIOS!$H$2:$H$3142,"RESGATE")</f>
        <v>0</v>
      </c>
      <c r="D196" s="23">
        <f>COUNTIF(EXTRATO!$H$2:$H$3000,$A196)</f>
        <v>1</v>
      </c>
    </row>
    <row r="197" spans="1:4" ht="15" customHeight="1" x14ac:dyDescent="0.25">
      <c r="A197" s="23" t="s">
        <v>504</v>
      </c>
      <c r="B197" s="36">
        <f>SUMIFS(RATEIOS!$F$2:$F$3142,RATEIOS!$I$2:$I$3142,$A197,RATEIOS!$H$2:$H$3142,"SAÍDA")</f>
        <v>200</v>
      </c>
      <c r="C197" s="36">
        <f>SUMIFS(RATEIOS!$F$2:$F$3142,RATEIOS!$I$2:$I$3142,$A197,RATEIOS!$H$2:$H$3142,"ENTRADA")+SUMIFS(RATEIOS!$F$2:$F$3142,RATEIOS!$I$2:$I$3142,$A197,RATEIOS!$H$2:$H$3142,"RESGATE")</f>
        <v>0</v>
      </c>
      <c r="D197" s="23">
        <f>COUNTIF(EXTRATO!$H$2:$H$3000,$A197)</f>
        <v>1</v>
      </c>
    </row>
    <row r="198" spans="1:4" ht="15" customHeight="1" x14ac:dyDescent="0.25">
      <c r="A198" s="23" t="s">
        <v>316</v>
      </c>
      <c r="B198" s="36">
        <f>SUMIFS(RATEIOS!$F$2:$F$3142,RATEIOS!$I$2:$I$3142,$A198,RATEIOS!$H$2:$H$3142,"SAÍDA")</f>
        <v>127.76</v>
      </c>
      <c r="C198" s="36">
        <f>SUMIFS(RATEIOS!$F$2:$F$3142,RATEIOS!$I$2:$I$3142,$A198,RATEIOS!$H$2:$H$3142,"ENTRADA")+SUMIFS(RATEIOS!$F$2:$F$3142,RATEIOS!$I$2:$I$3142,$A198,RATEIOS!$H$2:$H$3142,"RESGATE")</f>
        <v>0</v>
      </c>
      <c r="D198" s="23">
        <f>COUNTIF(EXTRATO!$H$2:$H$3000,$A198)</f>
        <v>1</v>
      </c>
    </row>
    <row r="199" spans="1:4" ht="15" customHeight="1" x14ac:dyDescent="0.25">
      <c r="A199" s="23" t="s">
        <v>573</v>
      </c>
      <c r="B199" s="36">
        <f>SUMIFS(RATEIOS!$F$2:$F$3142,RATEIOS!$I$2:$I$3142,$A199,RATEIOS!$H$2:$H$3142,"SAÍDA")</f>
        <v>4674.9799999999996</v>
      </c>
      <c r="C199" s="36">
        <f>SUMIFS(RATEIOS!$F$2:$F$3142,RATEIOS!$I$2:$I$3142,$A199,RATEIOS!$H$2:$H$3142,"ENTRADA")+SUMIFS(RATEIOS!$F$2:$F$3142,RATEIOS!$I$2:$I$3142,$A199,RATEIOS!$H$2:$H$3142,"RESGATE")</f>
        <v>0</v>
      </c>
      <c r="D199" s="23">
        <f>COUNTIF(EXTRATO!$H$2:$H$3000,$A199)</f>
        <v>1</v>
      </c>
    </row>
    <row r="200" spans="1:4" ht="15" customHeight="1" x14ac:dyDescent="0.25">
      <c r="A200" s="23" t="s">
        <v>545</v>
      </c>
      <c r="B200" s="36">
        <f>SUMIFS(RATEIOS!$F$2:$F$3142,RATEIOS!$I$2:$I$3142,$A200,RATEIOS!$H$2:$H$3142,"SAÍDA")</f>
        <v>29438</v>
      </c>
      <c r="C200" s="36">
        <f>SUMIFS(RATEIOS!$F$2:$F$3142,RATEIOS!$I$2:$I$3142,$A200,RATEIOS!$H$2:$H$3142,"ENTRADA")+SUMIFS(RATEIOS!$F$2:$F$3142,RATEIOS!$I$2:$I$3142,$A200,RATEIOS!$H$2:$H$3142,"RESGATE")</f>
        <v>0</v>
      </c>
      <c r="D200" s="23">
        <f>COUNTIF(EXTRATO!$H$2:$H$3000,$A200)</f>
        <v>7</v>
      </c>
    </row>
    <row r="201" spans="1:4" ht="15" customHeight="1" x14ac:dyDescent="0.25">
      <c r="A201" s="23" t="s">
        <v>428</v>
      </c>
      <c r="B201" s="36">
        <f>SUMIFS(RATEIOS!$F$2:$F$3142,RATEIOS!$I$2:$I$3142,$A201,RATEIOS!$H$2:$H$3142,"SAÍDA")</f>
        <v>4800</v>
      </c>
      <c r="C201" s="36">
        <f>SUMIFS(RATEIOS!$F$2:$F$3142,RATEIOS!$I$2:$I$3142,$A201,RATEIOS!$H$2:$H$3142,"ENTRADA")+SUMIFS(RATEIOS!$F$2:$F$3142,RATEIOS!$I$2:$I$3142,$A201,RATEIOS!$H$2:$H$3142,"RESGATE")</f>
        <v>0</v>
      </c>
      <c r="D201" s="23">
        <f>COUNTIF(EXTRATO!$H$2:$H$3000,$A201)</f>
        <v>1</v>
      </c>
    </row>
    <row r="202" spans="1:4" ht="15" customHeight="1" x14ac:dyDescent="0.25">
      <c r="A202" s="23" t="s">
        <v>156</v>
      </c>
      <c r="B202" s="36">
        <f>SUMIFS(RATEIOS!$F$2:$F$3142,RATEIOS!$I$2:$I$3142,$A202,RATEIOS!$H$2:$H$3142,"SAÍDA")</f>
        <v>84073.97</v>
      </c>
      <c r="C202" s="36">
        <f>SUMIFS(RATEIOS!$F$2:$F$3142,RATEIOS!$I$2:$I$3142,$A202,RATEIOS!$H$2:$H$3142,"ENTRADA")+SUMIFS(RATEIOS!$F$2:$F$3142,RATEIOS!$I$2:$I$3142,$A202,RATEIOS!$H$2:$H$3142,"RESGATE")</f>
        <v>0</v>
      </c>
      <c r="D202" s="23">
        <f>COUNTIF(EXTRATO!$H$2:$H$3000,$A202)</f>
        <v>9</v>
      </c>
    </row>
    <row r="203" spans="1:4" ht="15" customHeight="1" x14ac:dyDescent="0.25">
      <c r="A203" s="23" t="s">
        <v>115</v>
      </c>
      <c r="B203" s="36">
        <f>SUMIFS(RATEIOS!$F$2:$F$3142,RATEIOS!$I$2:$I$3142,$A203,RATEIOS!$H$2:$H$3142,"SAÍDA")</f>
        <v>1428.14</v>
      </c>
      <c r="C203" s="36">
        <f>SUMIFS(RATEIOS!$F$2:$F$3142,RATEIOS!$I$2:$I$3142,$A203,RATEIOS!$H$2:$H$3142,"ENTRADA")+SUMIFS(RATEIOS!$F$2:$F$3142,RATEIOS!$I$2:$I$3142,$A203,RATEIOS!$H$2:$H$3142,"RESGATE")</f>
        <v>0</v>
      </c>
      <c r="D203" s="23">
        <f>COUNTIF(EXTRATO!$H$2:$H$3000,$A203)</f>
        <v>1</v>
      </c>
    </row>
    <row r="204" spans="1:4" ht="15" customHeight="1" x14ac:dyDescent="0.25">
      <c r="A204" s="23" t="s">
        <v>167</v>
      </c>
      <c r="B204" s="36">
        <f>SUMIFS(RATEIOS!$F$2:$F$3142,RATEIOS!$I$2:$I$3142,$A204,RATEIOS!$H$2:$H$3142,"SAÍDA")</f>
        <v>244706.97</v>
      </c>
      <c r="C204" s="36">
        <f>SUMIFS(RATEIOS!$F$2:$F$3142,RATEIOS!$I$2:$I$3142,$A204,RATEIOS!$H$2:$H$3142,"ENTRADA")+SUMIFS(RATEIOS!$F$2:$F$3142,RATEIOS!$I$2:$I$3142,$A204,RATEIOS!$H$2:$H$3142,"RESGATE")</f>
        <v>0</v>
      </c>
      <c r="D204" s="23">
        <f>COUNTIF(EXTRATO!$H$2:$H$3000,$A204)</f>
        <v>9</v>
      </c>
    </row>
    <row r="205" spans="1:4" ht="15" customHeight="1" x14ac:dyDescent="0.25">
      <c r="A205" s="23" t="s">
        <v>330</v>
      </c>
      <c r="B205" s="36">
        <f>SUMIFS(RATEIOS!$F$2:$F$3142,RATEIOS!$I$2:$I$3142,$A205,RATEIOS!$H$2:$H$3142,"SAÍDA")</f>
        <v>1754.53</v>
      </c>
      <c r="C205" s="36">
        <f>SUMIFS(RATEIOS!$F$2:$F$3142,RATEIOS!$I$2:$I$3142,$A205,RATEIOS!$H$2:$H$3142,"ENTRADA")+SUMIFS(RATEIOS!$F$2:$F$3142,RATEIOS!$I$2:$I$3142,$A205,RATEIOS!$H$2:$H$3142,"RESGATE")</f>
        <v>0</v>
      </c>
      <c r="D205" s="23">
        <f>COUNTIF(EXTRATO!$H$2:$H$3000,$A205)</f>
        <v>1</v>
      </c>
    </row>
    <row r="206" spans="1:4" ht="15" customHeight="1" x14ac:dyDescent="0.25">
      <c r="A206" s="23" t="s">
        <v>215</v>
      </c>
      <c r="B206" s="36">
        <f>SUMIFS(RATEIOS!$F$2:$F$3142,RATEIOS!$I$2:$I$3142,$A206,RATEIOS!$H$2:$H$3142,"SAÍDA")</f>
        <v>13692.83</v>
      </c>
      <c r="C206" s="36">
        <f>SUMIFS(RATEIOS!$F$2:$F$3142,RATEIOS!$I$2:$I$3142,$A206,RATEIOS!$H$2:$H$3142,"ENTRADA")+SUMIFS(RATEIOS!$F$2:$F$3142,RATEIOS!$I$2:$I$3142,$A206,RATEIOS!$H$2:$H$3142,"RESGATE")</f>
        <v>0</v>
      </c>
      <c r="D206" s="23">
        <f>COUNTIF(EXTRATO!$H$2:$H$3000,$A206)</f>
        <v>3</v>
      </c>
    </row>
    <row r="207" spans="1:4" ht="15" customHeight="1" x14ac:dyDescent="0.25">
      <c r="A207" s="23" t="s">
        <v>125</v>
      </c>
      <c r="B207" s="36">
        <f>SUMIFS(RATEIOS!$F$2:$F$3142,RATEIOS!$I$2:$I$3142,$A207,RATEIOS!$H$2:$H$3142,"SAÍDA")</f>
        <v>277394.94</v>
      </c>
      <c r="C207" s="36">
        <f>SUMIFS(RATEIOS!$F$2:$F$3142,RATEIOS!$I$2:$I$3142,$A207,RATEIOS!$H$2:$H$3142,"ENTRADA")+SUMIFS(RATEIOS!$F$2:$F$3142,RATEIOS!$I$2:$I$3142,$A207,RATEIOS!$H$2:$H$3142,"RESGATE")</f>
        <v>0</v>
      </c>
      <c r="D207" s="23">
        <f>COUNTIF(EXTRATO!$H$2:$H$3000,$A207)</f>
        <v>10</v>
      </c>
    </row>
    <row r="208" spans="1:4" ht="15" customHeight="1" x14ac:dyDescent="0.25">
      <c r="A208" s="23" t="s">
        <v>877</v>
      </c>
      <c r="B208" s="36">
        <f>SUMIFS(RATEIOS!$F$2:$F$3142,RATEIOS!$I$2:$I$3142,$A208,RATEIOS!$H$2:$H$3142,"SAÍDA")</f>
        <v>0</v>
      </c>
      <c r="C208" s="36">
        <f>SUMIFS(RATEIOS!$F$2:$F$3142,RATEIOS!$I$2:$I$3142,$A208,RATEIOS!$H$2:$H$3142,"ENTRADA")+SUMIFS(RATEIOS!$F$2:$F$3142,RATEIOS!$I$2:$I$3142,$A208,RATEIOS!$H$2:$H$3142,"RESGATE")</f>
        <v>0</v>
      </c>
      <c r="D208" s="23">
        <f>COUNTIF(EXTRATO!$H$2:$H$3000,$A208)</f>
        <v>0</v>
      </c>
    </row>
    <row r="209" spans="1:4" ht="15" customHeight="1" x14ac:dyDescent="0.25">
      <c r="A209" s="23" t="s">
        <v>100</v>
      </c>
      <c r="B209" s="36">
        <f>SUMIFS(RATEIOS!$F$2:$F$3142,RATEIOS!$I$2:$I$3142,$A209,RATEIOS!$H$2:$H$3142,"SAÍDA")</f>
        <v>94.6</v>
      </c>
      <c r="C209" s="36">
        <f>SUMIFS(RATEIOS!$F$2:$F$3142,RATEIOS!$I$2:$I$3142,$A209,RATEIOS!$H$2:$H$3142,"ENTRADA")+SUMIFS(RATEIOS!$F$2:$F$3142,RATEIOS!$I$2:$I$3142,$A209,RATEIOS!$H$2:$H$3142,"RESGATE")</f>
        <v>0</v>
      </c>
      <c r="D209" s="23">
        <f>COUNTIF(EXTRATO!$H$2:$H$3000,$A209)</f>
        <v>1</v>
      </c>
    </row>
    <row r="210" spans="1:4" ht="15" customHeight="1" x14ac:dyDescent="0.25">
      <c r="A210" s="23" t="s">
        <v>482</v>
      </c>
      <c r="B210" s="36">
        <f>SUMIFS(RATEIOS!$F$2:$F$3142,RATEIOS!$I$2:$I$3142,$A210,RATEIOS!$H$2:$H$3142,"SAÍDA")</f>
        <v>7900</v>
      </c>
      <c r="C210" s="36">
        <f>SUMIFS(RATEIOS!$F$2:$F$3142,RATEIOS!$I$2:$I$3142,$A210,RATEIOS!$H$2:$H$3142,"ENTRADA")+SUMIFS(RATEIOS!$F$2:$F$3142,RATEIOS!$I$2:$I$3142,$A210,RATEIOS!$H$2:$H$3142,"RESGATE")</f>
        <v>0</v>
      </c>
      <c r="D210" s="23">
        <f>COUNTIF(EXTRATO!$H$2:$H$3000,$A210)</f>
        <v>4</v>
      </c>
    </row>
    <row r="211" spans="1:4" ht="15" customHeight="1" x14ac:dyDescent="0.25">
      <c r="A211" s="23" t="s">
        <v>172</v>
      </c>
      <c r="B211" s="36">
        <f>SUMIFS(RATEIOS!$F$2:$F$3142,RATEIOS!$I$2:$I$3142,$A211,RATEIOS!$H$2:$H$3142,"SAÍDA")</f>
        <v>3052.93</v>
      </c>
      <c r="C211" s="36">
        <f>SUMIFS(RATEIOS!$F$2:$F$3142,RATEIOS!$I$2:$I$3142,$A211,RATEIOS!$H$2:$H$3142,"ENTRADA")+SUMIFS(RATEIOS!$F$2:$F$3142,RATEIOS!$I$2:$I$3142,$A211,RATEIOS!$H$2:$H$3142,"RESGATE")</f>
        <v>0</v>
      </c>
      <c r="D211" s="23">
        <f>COUNTIF(EXTRATO!$H$2:$H$3000,$A211)</f>
        <v>5</v>
      </c>
    </row>
    <row r="212" spans="1:4" ht="15" customHeight="1" x14ac:dyDescent="0.25">
      <c r="A212" s="23" t="s">
        <v>1001</v>
      </c>
      <c r="B212" s="36">
        <f>SUMIFS(RATEIOS!$F$2:$F$3142,RATEIOS!$I$2:$I$3142,$A212,RATEIOS!$H$2:$H$3142,"SAÍDA")</f>
        <v>460</v>
      </c>
      <c r="C212" s="36">
        <f>SUMIFS(RATEIOS!$F$2:$F$3142,RATEIOS!$I$2:$I$3142,$A212,RATEIOS!$H$2:$H$3142,"ENTRADA")+SUMIFS(RATEIOS!$F$2:$F$3142,RATEIOS!$I$2:$I$3142,$A212,RATEIOS!$H$2:$H$3142,"RESGATE")</f>
        <v>0</v>
      </c>
      <c r="D212" s="23">
        <f>COUNTIF(EXTRATO!$H$2:$H$3000,$A212)</f>
        <v>2</v>
      </c>
    </row>
    <row r="213" spans="1:4" ht="15" customHeight="1" x14ac:dyDescent="0.25">
      <c r="A213" s="23" t="s">
        <v>842</v>
      </c>
      <c r="B213" s="36">
        <f>SUMIFS(RATEIOS!$F$2:$F$3142,RATEIOS!$I$2:$I$3142,$A213,RATEIOS!$H$2:$H$3142,"SAÍDA")</f>
        <v>997.92</v>
      </c>
      <c r="C213" s="36">
        <f>SUMIFS(RATEIOS!$F$2:$F$3142,RATEIOS!$I$2:$I$3142,$A213,RATEIOS!$H$2:$H$3142,"ENTRADA")+SUMIFS(RATEIOS!$F$2:$F$3142,RATEIOS!$I$2:$I$3142,$A213,RATEIOS!$H$2:$H$3142,"RESGATE")</f>
        <v>0</v>
      </c>
      <c r="D213" s="23">
        <f>COUNTIF(EXTRATO!$H$2:$H$3000,$A213)</f>
        <v>1</v>
      </c>
    </row>
    <row r="214" spans="1:4" ht="15" customHeight="1" x14ac:dyDescent="0.25">
      <c r="A214" s="23" t="s">
        <v>932</v>
      </c>
      <c r="B214" s="36">
        <f>SUMIFS(RATEIOS!$F$2:$F$3142,RATEIOS!$I$2:$I$3142,$A214,RATEIOS!$H$2:$H$3142,"SAÍDA")</f>
        <v>2025</v>
      </c>
      <c r="C214" s="36">
        <f>SUMIFS(RATEIOS!$F$2:$F$3142,RATEIOS!$I$2:$I$3142,$A214,RATEIOS!$H$2:$H$3142,"ENTRADA")+SUMIFS(RATEIOS!$F$2:$F$3142,RATEIOS!$I$2:$I$3142,$A214,RATEIOS!$H$2:$H$3142,"RESGATE")</f>
        <v>0</v>
      </c>
      <c r="D214" s="23">
        <f>COUNTIF(EXTRATO!$H$2:$H$3000,$A214)</f>
        <v>1</v>
      </c>
    </row>
    <row r="215" spans="1:4" ht="15" customHeight="1" x14ac:dyDescent="0.25">
      <c r="A215" s="23" t="s">
        <v>499</v>
      </c>
      <c r="B215" s="36">
        <f>SUMIFS(RATEIOS!$F$2:$F$3142,RATEIOS!$I$2:$I$3142,$A215,RATEIOS!$H$2:$H$3142,"SAÍDA")</f>
        <v>1500</v>
      </c>
      <c r="C215" s="36">
        <f>SUMIFS(RATEIOS!$F$2:$F$3142,RATEIOS!$I$2:$I$3142,$A215,RATEIOS!$H$2:$H$3142,"ENTRADA")+SUMIFS(RATEIOS!$F$2:$F$3142,RATEIOS!$I$2:$I$3142,$A215,RATEIOS!$H$2:$H$3142,"RESGATE")</f>
        <v>0</v>
      </c>
      <c r="D215" s="23">
        <f>COUNTIF(EXTRATO!$H$2:$H$3000,$A215)</f>
        <v>1</v>
      </c>
    </row>
    <row r="216" spans="1:4" ht="15" customHeight="1" x14ac:dyDescent="0.25">
      <c r="A216" s="23" t="s">
        <v>353</v>
      </c>
      <c r="B216" s="36">
        <f>SUMIFS(RATEIOS!$F$2:$F$3142,RATEIOS!$I$2:$I$3142,$A216,RATEIOS!$H$2:$H$3142,"SAÍDA")</f>
        <v>0</v>
      </c>
      <c r="C216" s="36">
        <f>SUMIFS(RATEIOS!$F$2:$F$3142,RATEIOS!$I$2:$I$3142,$A216,RATEIOS!$H$2:$H$3142,"ENTRADA")+SUMIFS(RATEIOS!$F$2:$F$3142,RATEIOS!$I$2:$I$3142,$A216,RATEIOS!$H$2:$H$3142,"RESGATE")</f>
        <v>4000</v>
      </c>
      <c r="D216" s="23">
        <f>COUNTIF(EXTRATO!$H$2:$H$3000,$A216)</f>
        <v>1</v>
      </c>
    </row>
    <row r="217" spans="1:4" ht="15" customHeight="1" x14ac:dyDescent="0.25">
      <c r="A217" s="23" t="s">
        <v>319</v>
      </c>
      <c r="B217" s="36">
        <f>SUMIFS(RATEIOS!$F$2:$F$3142,RATEIOS!$I$2:$I$3142,$A217,RATEIOS!$H$2:$H$3142,"SAÍDA")</f>
        <v>2584</v>
      </c>
      <c r="C217" s="36">
        <f>SUMIFS(RATEIOS!$F$2:$F$3142,RATEIOS!$I$2:$I$3142,$A217,RATEIOS!$H$2:$H$3142,"ENTRADA")+SUMIFS(RATEIOS!$F$2:$F$3142,RATEIOS!$I$2:$I$3142,$A217,RATEIOS!$H$2:$H$3142,"RESGATE")</f>
        <v>0</v>
      </c>
      <c r="D217" s="23">
        <f>COUNTIF(EXTRATO!$H$2:$H$3000,$A217)</f>
        <v>1</v>
      </c>
    </row>
    <row r="218" spans="1:4" ht="15" customHeight="1" x14ac:dyDescent="0.25">
      <c r="A218" s="23" t="s">
        <v>611</v>
      </c>
      <c r="B218" s="36">
        <f>SUMIFS(RATEIOS!$F$2:$F$3142,RATEIOS!$I$2:$I$3142,$A218,RATEIOS!$H$2:$H$3142,"SAÍDA")</f>
        <v>599.77</v>
      </c>
      <c r="C218" s="36">
        <f>SUMIFS(RATEIOS!$F$2:$F$3142,RATEIOS!$I$2:$I$3142,$A218,RATEIOS!$H$2:$H$3142,"ENTRADA")+SUMIFS(RATEIOS!$F$2:$F$3142,RATEIOS!$I$2:$I$3142,$A218,RATEIOS!$H$2:$H$3142,"RESGATE")</f>
        <v>0</v>
      </c>
      <c r="D218" s="23">
        <f>COUNTIF(EXTRATO!$H$2:$H$3000,$A218)</f>
        <v>1</v>
      </c>
    </row>
    <row r="219" spans="1:4" ht="15" customHeight="1" x14ac:dyDescent="0.25">
      <c r="A219" s="23" t="s">
        <v>419</v>
      </c>
      <c r="B219" s="36">
        <f>SUMIFS(RATEIOS!$F$2:$F$3142,RATEIOS!$I$2:$I$3142,$A219,RATEIOS!$H$2:$H$3142,"SAÍDA")</f>
        <v>50000</v>
      </c>
      <c r="C219" s="36">
        <f>SUMIFS(RATEIOS!$F$2:$F$3142,RATEIOS!$I$2:$I$3142,$A219,RATEIOS!$H$2:$H$3142,"ENTRADA")+SUMIFS(RATEIOS!$F$2:$F$3142,RATEIOS!$I$2:$I$3142,$A219,RATEIOS!$H$2:$H$3142,"RESGATE")</f>
        <v>0</v>
      </c>
      <c r="D219" s="23">
        <f>COUNTIF(EXTRATO!$H$2:$H$3000,$A219)</f>
        <v>5</v>
      </c>
    </row>
    <row r="220" spans="1:4" ht="15" customHeight="1" x14ac:dyDescent="0.25">
      <c r="A220" s="23" t="s">
        <v>981</v>
      </c>
      <c r="B220" s="36">
        <f>SUMIFS(RATEIOS!$F$2:$F$3142,RATEIOS!$I$2:$I$3142,$A220,RATEIOS!$H$2:$H$3142,"SAÍDA")</f>
        <v>1600</v>
      </c>
      <c r="C220" s="36">
        <f>SUMIFS(RATEIOS!$F$2:$F$3142,RATEIOS!$I$2:$I$3142,$A220,RATEIOS!$H$2:$H$3142,"ENTRADA")+SUMIFS(RATEIOS!$F$2:$F$3142,RATEIOS!$I$2:$I$3142,$A220,RATEIOS!$H$2:$H$3142,"RESGATE")</f>
        <v>0</v>
      </c>
      <c r="D220" s="23">
        <f>COUNTIF(EXTRATO!$H$2:$H$3000,$A220)</f>
        <v>1</v>
      </c>
    </row>
    <row r="221" spans="1:4" ht="15" customHeight="1" x14ac:dyDescent="0.25">
      <c r="A221" s="23" t="s">
        <v>137</v>
      </c>
      <c r="B221" s="36">
        <f>SUMIFS(RATEIOS!$F$2:$F$3142,RATEIOS!$I$2:$I$3142,$A221,RATEIOS!$H$2:$H$3142,"SAÍDA")</f>
        <v>5150.1100000000006</v>
      </c>
      <c r="C221" s="36">
        <f>SUMIFS(RATEIOS!$F$2:$F$3142,RATEIOS!$I$2:$I$3142,$A221,RATEIOS!$H$2:$H$3142,"ENTRADA")+SUMIFS(RATEIOS!$F$2:$F$3142,RATEIOS!$I$2:$I$3142,$A221,RATEIOS!$H$2:$H$3142,"RESGATE")</f>
        <v>0</v>
      </c>
      <c r="D221" s="23">
        <f>COUNTIF(EXTRATO!$H$2:$H$3000,$A221)</f>
        <v>9</v>
      </c>
    </row>
    <row r="222" spans="1:4" ht="15" customHeight="1" x14ac:dyDescent="0.25">
      <c r="A222" s="23" t="s">
        <v>1135</v>
      </c>
      <c r="B222" s="36">
        <f>SUMIFS(RATEIOS!$F$2:$F$3142,RATEIOS!$I$2:$I$3142,$A222,RATEIOS!$H$2:$H$3142,"SAÍDA")</f>
        <v>0</v>
      </c>
      <c r="C222" s="36">
        <f>SUMIFS(RATEIOS!$F$2:$F$3142,RATEIOS!$I$2:$I$3142,$A222,RATEIOS!$H$2:$H$3142,"ENTRADA")+SUMIFS(RATEIOS!$F$2:$F$3142,RATEIOS!$I$2:$I$3142,$A222,RATEIOS!$H$2:$H$3142,"RESGATE")</f>
        <v>0</v>
      </c>
      <c r="D222" s="23">
        <f>COUNTIF(EXTRATO!$H$2:$H$3000,$A222)</f>
        <v>0</v>
      </c>
    </row>
    <row r="223" spans="1:4" ht="15" customHeight="1" x14ac:dyDescent="0.25">
      <c r="A223" s="23" t="s">
        <v>951</v>
      </c>
      <c r="B223" s="36">
        <f>SUMIFS(RATEIOS!$F$2:$F$3142,RATEIOS!$I$2:$I$3142,$A223,RATEIOS!$H$2:$H$3142,"SAÍDA")</f>
        <v>6600</v>
      </c>
      <c r="C223" s="36">
        <f>SUMIFS(RATEIOS!$F$2:$F$3142,RATEIOS!$I$2:$I$3142,$A223,RATEIOS!$H$2:$H$3142,"ENTRADA")+SUMIFS(RATEIOS!$F$2:$F$3142,RATEIOS!$I$2:$I$3142,$A223,RATEIOS!$H$2:$H$3142,"RESGATE")</f>
        <v>0</v>
      </c>
      <c r="D223" s="23">
        <f>COUNTIF(EXTRATO!$H$2:$H$3000,$A223)</f>
        <v>3</v>
      </c>
    </row>
    <row r="224" spans="1:4" ht="15" customHeight="1" x14ac:dyDescent="0.25">
      <c r="A224" s="23" t="s">
        <v>643</v>
      </c>
      <c r="B224" s="36">
        <f>SUMIFS(RATEIOS!$F$2:$F$3142,RATEIOS!$I$2:$I$3142,$A224,RATEIOS!$H$2:$H$3142,"SAÍDA")</f>
        <v>73.08</v>
      </c>
      <c r="C224" s="36">
        <f>SUMIFS(RATEIOS!$F$2:$F$3142,RATEIOS!$I$2:$I$3142,$A224,RATEIOS!$H$2:$H$3142,"ENTRADA")+SUMIFS(RATEIOS!$F$2:$F$3142,RATEIOS!$I$2:$I$3142,$A224,RATEIOS!$H$2:$H$3142,"RESGATE")</f>
        <v>0</v>
      </c>
      <c r="D224" s="23">
        <f>COUNTIF(EXTRATO!$H$2:$H$3000,$A224)</f>
        <v>1</v>
      </c>
    </row>
    <row r="225" spans="1:4" ht="15" customHeight="1" x14ac:dyDescent="0.25">
      <c r="A225" s="23" t="s">
        <v>112</v>
      </c>
      <c r="B225" s="36">
        <f>SUMIFS(RATEIOS!$F$2:$F$3142,RATEIOS!$I$2:$I$3142,$A225,RATEIOS!$H$2:$H$3142,"SAÍDA")</f>
        <v>690</v>
      </c>
      <c r="C225" s="36">
        <f>SUMIFS(RATEIOS!$F$2:$F$3142,RATEIOS!$I$2:$I$3142,$A225,RATEIOS!$H$2:$H$3142,"ENTRADA")+SUMIFS(RATEIOS!$F$2:$F$3142,RATEIOS!$I$2:$I$3142,$A225,RATEIOS!$H$2:$H$3142,"RESGATE")</f>
        <v>0</v>
      </c>
      <c r="D225" s="23">
        <f>COUNTIF(EXTRATO!$H$2:$H$3000,$A225)</f>
        <v>3</v>
      </c>
    </row>
    <row r="226" spans="1:4" ht="15" customHeight="1" x14ac:dyDescent="0.25">
      <c r="A226" s="23" t="s">
        <v>1119</v>
      </c>
      <c r="B226" s="36">
        <f>SUMIFS(RATEIOS!$F$2:$F$3142,RATEIOS!$I$2:$I$3142,$A226,RATEIOS!$H$2:$H$3142,"SAÍDA")</f>
        <v>150</v>
      </c>
      <c r="C226" s="36">
        <f>SUMIFS(RATEIOS!$F$2:$F$3142,RATEIOS!$I$2:$I$3142,$A226,RATEIOS!$H$2:$H$3142,"ENTRADA")+SUMIFS(RATEIOS!$F$2:$F$3142,RATEIOS!$I$2:$I$3142,$A226,RATEIOS!$H$2:$H$3142,"RESGATE")</f>
        <v>0</v>
      </c>
      <c r="D226" s="23">
        <f>COUNTIF(EXTRATO!$H$2:$H$3000,$A226)</f>
        <v>1</v>
      </c>
    </row>
    <row r="227" spans="1:4" ht="15" customHeight="1" x14ac:dyDescent="0.25">
      <c r="A227" s="23" t="s">
        <v>457</v>
      </c>
      <c r="B227" s="36">
        <f>SUMIFS(RATEIOS!$F$2:$F$3142,RATEIOS!$I$2:$I$3142,$A227,RATEIOS!$H$2:$H$3142,"SAÍDA")</f>
        <v>0</v>
      </c>
      <c r="C227" s="36">
        <f>SUMIFS(RATEIOS!$F$2:$F$3142,RATEIOS!$I$2:$I$3142,$A227,RATEIOS!$H$2:$H$3142,"ENTRADA")+SUMIFS(RATEIOS!$F$2:$F$3142,RATEIOS!$I$2:$I$3142,$A227,RATEIOS!$H$2:$H$3142,"RESGATE")</f>
        <v>0</v>
      </c>
      <c r="D227" s="23">
        <f>COUNTIF(EXTRATO!$H$2:$H$3000,$A227)</f>
        <v>0</v>
      </c>
    </row>
    <row r="228" spans="1:4" ht="15" customHeight="1" x14ac:dyDescent="0.25">
      <c r="A228" s="23" t="s">
        <v>77</v>
      </c>
      <c r="B228" s="36">
        <f>SUMIFS(RATEIOS!$F$2:$F$3142,RATEIOS!$I$2:$I$3142,$A228,RATEIOS!$H$2:$H$3142,"SAÍDA")</f>
        <v>0</v>
      </c>
      <c r="C228" s="36">
        <f>SUMIFS(RATEIOS!$F$2:$F$3142,RATEIOS!$I$2:$I$3142,$A228,RATEIOS!$H$2:$H$3142,"ENTRADA")+SUMIFS(RATEIOS!$F$2:$F$3142,RATEIOS!$I$2:$I$3142,$A228,RATEIOS!$H$2:$H$3142,"RESGATE")</f>
        <v>30897.61</v>
      </c>
      <c r="D228" s="23">
        <f>COUNTIF(EXTRATO!$H$2:$H$3000,$A228)</f>
        <v>1</v>
      </c>
    </row>
    <row r="229" spans="1:4" ht="15" customHeight="1" x14ac:dyDescent="0.25">
      <c r="A229" s="23" t="s">
        <v>245</v>
      </c>
      <c r="B229" s="36">
        <f>SUMIFS(RATEIOS!$F$2:$F$3142,RATEIOS!$I$2:$I$3142,$A229,RATEIOS!$H$2:$H$3142,"SAÍDA")</f>
        <v>1530</v>
      </c>
      <c r="C229" s="36">
        <f>SUMIFS(RATEIOS!$F$2:$F$3142,RATEIOS!$I$2:$I$3142,$A229,RATEIOS!$H$2:$H$3142,"ENTRADA")+SUMIFS(RATEIOS!$F$2:$F$3142,RATEIOS!$I$2:$I$3142,$A229,RATEIOS!$H$2:$H$3142,"RESGATE")</f>
        <v>0</v>
      </c>
      <c r="D229" s="23">
        <f>COUNTIF(EXTRATO!$H$2:$H$3000,$A229)</f>
        <v>4</v>
      </c>
    </row>
    <row r="230" spans="1:4" ht="15" customHeight="1" x14ac:dyDescent="0.25">
      <c r="A230" s="23" t="s">
        <v>120</v>
      </c>
      <c r="B230" s="36">
        <f>SUMIFS(RATEIOS!$F$2:$F$3142,RATEIOS!$I$2:$I$3142,$A230,RATEIOS!$H$2:$H$3142,"SAÍDA")</f>
        <v>1499.0000000000002</v>
      </c>
      <c r="C230" s="36">
        <f>SUMIFS(RATEIOS!$F$2:$F$3142,RATEIOS!$I$2:$I$3142,$A230,RATEIOS!$H$2:$H$3142,"ENTRADA")+SUMIFS(RATEIOS!$F$2:$F$3142,RATEIOS!$I$2:$I$3142,$A230,RATEIOS!$H$2:$H$3142,"RESGATE")</f>
        <v>0</v>
      </c>
      <c r="D230" s="23">
        <f>COUNTIF(EXTRATO!$H$2:$H$3000,$A230)</f>
        <v>10</v>
      </c>
    </row>
    <row r="231" spans="1:4" ht="15" customHeight="1" x14ac:dyDescent="0.25">
      <c r="A231" s="23" t="s">
        <v>333</v>
      </c>
      <c r="B231" s="36">
        <f>SUMIFS(RATEIOS!$F$2:$F$3142,RATEIOS!$I$2:$I$3142,$A231,RATEIOS!$H$2:$H$3142,"SAÍDA")</f>
        <v>0</v>
      </c>
      <c r="C231" s="36">
        <f>SUMIFS(RATEIOS!$F$2:$F$3142,RATEIOS!$I$2:$I$3142,$A231,RATEIOS!$H$2:$H$3142,"ENTRADA")+SUMIFS(RATEIOS!$F$2:$F$3142,RATEIOS!$I$2:$I$3142,$A231,RATEIOS!$H$2:$H$3142,"RESGATE")</f>
        <v>16000</v>
      </c>
      <c r="D231" s="23">
        <f>COUNTIF(EXTRATO!$H$2:$H$3000,$A231)</f>
        <v>1</v>
      </c>
    </row>
    <row r="232" spans="1:4" ht="15" customHeight="1" x14ac:dyDescent="0.25">
      <c r="A232" s="23" t="s">
        <v>74</v>
      </c>
      <c r="B232" s="36">
        <f>SUMIFS(RATEIOS!$F$2:$F$3142,RATEIOS!$I$2:$I$3142,$A232,RATEIOS!$H$2:$H$3142,"SAÍDA")</f>
        <v>6449.13</v>
      </c>
      <c r="C232" s="36">
        <f>SUMIFS(RATEIOS!$F$2:$F$3142,RATEIOS!$I$2:$I$3142,$A232,RATEIOS!$H$2:$H$3142,"ENTRADA")+SUMIFS(RATEIOS!$F$2:$F$3142,RATEIOS!$I$2:$I$3142,$A232,RATEIOS!$H$2:$H$3142,"RESGATE")</f>
        <v>0</v>
      </c>
      <c r="D232" s="23">
        <f>COUNTIF(EXTRATO!$H$2:$H$3000,$A232)</f>
        <v>14</v>
      </c>
    </row>
    <row r="233" spans="1:4" ht="15" customHeight="1" x14ac:dyDescent="0.25">
      <c r="A233" s="23" t="s">
        <v>355</v>
      </c>
      <c r="B233" s="36">
        <f>SUMIFS(RATEIOS!$F$2:$F$3142,RATEIOS!$I$2:$I$3142,$A233,RATEIOS!$H$2:$H$3142,"SAÍDA")</f>
        <v>962.62</v>
      </c>
      <c r="C233" s="36">
        <f>SUMIFS(RATEIOS!$F$2:$F$3142,RATEIOS!$I$2:$I$3142,$A233,RATEIOS!$H$2:$H$3142,"ENTRADA")+SUMIFS(RATEIOS!$F$2:$F$3142,RATEIOS!$I$2:$I$3142,$A233,RATEIOS!$H$2:$H$3142,"RESGATE")</f>
        <v>0</v>
      </c>
      <c r="D233" s="23">
        <f>COUNTIF(EXTRATO!$H$2:$H$3000,$A233)</f>
        <v>1</v>
      </c>
    </row>
    <row r="234" spans="1:4" ht="15" customHeight="1" x14ac:dyDescent="0.25">
      <c r="A234" s="23" t="s">
        <v>425</v>
      </c>
      <c r="B234" s="36">
        <f>SUMIFS(RATEIOS!$F$2:$F$3142,RATEIOS!$I$2:$I$3142,$A234,RATEIOS!$H$2:$H$3142,"SAÍDA")</f>
        <v>68000</v>
      </c>
      <c r="C234" s="36">
        <f>SUMIFS(RATEIOS!$F$2:$F$3142,RATEIOS!$I$2:$I$3142,$A234,RATEIOS!$H$2:$H$3142,"ENTRADA")+SUMIFS(RATEIOS!$F$2:$F$3142,RATEIOS!$I$2:$I$3142,$A234,RATEIOS!$H$2:$H$3142,"RESGATE")</f>
        <v>0</v>
      </c>
      <c r="D234" s="23">
        <f>COUNTIF(EXTRATO!$H$2:$H$3000,$A234)</f>
        <v>8</v>
      </c>
    </row>
    <row r="235" spans="1:4" ht="15" customHeight="1" x14ac:dyDescent="0.25">
      <c r="A235" s="23" t="s">
        <v>855</v>
      </c>
      <c r="B235" s="36">
        <f>SUMIFS(RATEIOS!$F$2:$F$3142,RATEIOS!$I$2:$I$3142,$A235,RATEIOS!$H$2:$H$3142,"SAÍDA")</f>
        <v>820</v>
      </c>
      <c r="C235" s="36">
        <f>SUMIFS(RATEIOS!$F$2:$F$3142,RATEIOS!$I$2:$I$3142,$A235,RATEIOS!$H$2:$H$3142,"ENTRADA")+SUMIFS(RATEIOS!$F$2:$F$3142,RATEIOS!$I$2:$I$3142,$A235,RATEIOS!$H$2:$H$3142,"RESGATE")</f>
        <v>0</v>
      </c>
      <c r="D235" s="23">
        <f>COUNTIF(EXTRATO!$H$2:$H$3000,$A235)</f>
        <v>3</v>
      </c>
    </row>
    <row r="236" spans="1:4" ht="15" customHeight="1" x14ac:dyDescent="0.25">
      <c r="A236" s="23" t="s">
        <v>197</v>
      </c>
      <c r="B236" s="36">
        <f>SUMIFS(RATEIOS!$F$2:$F$3142,RATEIOS!$I$2:$I$3142,$A236,RATEIOS!$H$2:$H$3142,"SAÍDA")</f>
        <v>6121.5</v>
      </c>
      <c r="C236" s="36">
        <f>SUMIFS(RATEIOS!$F$2:$F$3142,RATEIOS!$I$2:$I$3142,$A236,RATEIOS!$H$2:$H$3142,"ENTRADA")+SUMIFS(RATEIOS!$F$2:$F$3142,RATEIOS!$I$2:$I$3142,$A236,RATEIOS!$H$2:$H$3142,"RESGATE")</f>
        <v>0</v>
      </c>
      <c r="D236" s="23">
        <f>COUNTIF(EXTRATO!$H$2:$H$3000,$A236)</f>
        <v>3</v>
      </c>
    </row>
    <row r="237" spans="1:4" ht="15" customHeight="1" x14ac:dyDescent="0.25">
      <c r="A237" s="23" t="s">
        <v>347</v>
      </c>
      <c r="B237" s="36">
        <f>SUMIFS(RATEIOS!$F$2:$F$3142,RATEIOS!$I$2:$I$3142,$A237,RATEIOS!$H$2:$H$3142,"SAÍDA")</f>
        <v>15858.83</v>
      </c>
      <c r="C237" s="36">
        <f>SUMIFS(RATEIOS!$F$2:$F$3142,RATEIOS!$I$2:$I$3142,$A237,RATEIOS!$H$2:$H$3142,"ENTRADA")+SUMIFS(RATEIOS!$F$2:$F$3142,RATEIOS!$I$2:$I$3142,$A237,RATEIOS!$H$2:$H$3142,"RESGATE")</f>
        <v>19200</v>
      </c>
      <c r="D237" s="23">
        <f>COUNTIF(EXTRATO!$H$2:$H$3000,$A237)</f>
        <v>5</v>
      </c>
    </row>
    <row r="238" spans="1:4" ht="15" customHeight="1" x14ac:dyDescent="0.25">
      <c r="A238" s="23" t="s">
        <v>743</v>
      </c>
      <c r="B238" s="36">
        <f>SUMIFS(RATEIOS!$F$2:$F$3142,RATEIOS!$I$2:$I$3142,$A238,RATEIOS!$H$2:$H$3142,"SAÍDA")</f>
        <v>59864.36</v>
      </c>
      <c r="C238" s="36">
        <f>SUMIFS(RATEIOS!$F$2:$F$3142,RATEIOS!$I$2:$I$3142,$A238,RATEIOS!$H$2:$H$3142,"ENTRADA")+SUMIFS(RATEIOS!$F$2:$F$3142,RATEIOS!$I$2:$I$3142,$A238,RATEIOS!$H$2:$H$3142,"RESGATE")</f>
        <v>0</v>
      </c>
      <c r="D238" s="23">
        <f>COUNTIF(EXTRATO!$H$2:$H$3000,$A238)</f>
        <v>7</v>
      </c>
    </row>
    <row r="239" spans="1:4" ht="15" customHeight="1" x14ac:dyDescent="0.25">
      <c r="A239" s="23" t="s">
        <v>917</v>
      </c>
      <c r="B239" s="36">
        <f>SUMIFS(RATEIOS!$F$2:$F$3142,RATEIOS!$I$2:$I$3142,$A239,RATEIOS!$H$2:$H$3142,"SAÍDA")</f>
        <v>0</v>
      </c>
      <c r="C239" s="36">
        <f>SUMIFS(RATEIOS!$F$2:$F$3142,RATEIOS!$I$2:$I$3142,$A239,RATEIOS!$H$2:$H$3142,"ENTRADA")+SUMIFS(RATEIOS!$F$2:$F$3142,RATEIOS!$I$2:$I$3142,$A239,RATEIOS!$H$2:$H$3142,"RESGATE")</f>
        <v>0</v>
      </c>
      <c r="D239" s="23">
        <f>COUNTIF(EXTRATO!$H$2:$H$3000,$A239)</f>
        <v>0</v>
      </c>
    </row>
    <row r="240" spans="1:4" ht="15" customHeight="1" x14ac:dyDescent="0.25">
      <c r="A240" s="23" t="s">
        <v>467</v>
      </c>
      <c r="B240" s="36">
        <f>SUMIFS(RATEIOS!$F$2:$F$3142,RATEIOS!$I$2:$I$3142,$A240,RATEIOS!$H$2:$H$3142,"SAÍDA")</f>
        <v>10523.96</v>
      </c>
      <c r="C240" s="36">
        <f>SUMIFS(RATEIOS!$F$2:$F$3142,RATEIOS!$I$2:$I$3142,$A240,RATEIOS!$H$2:$H$3142,"ENTRADA")+SUMIFS(RATEIOS!$F$2:$F$3142,RATEIOS!$I$2:$I$3142,$A240,RATEIOS!$H$2:$H$3142,"RESGATE")</f>
        <v>0</v>
      </c>
      <c r="D240" s="23">
        <f>COUNTIF(EXTRATO!$H$2:$H$3000,$A240)</f>
        <v>5</v>
      </c>
    </row>
    <row r="241" spans="1:4" ht="15" customHeight="1" x14ac:dyDescent="0.25">
      <c r="A241" s="23" t="s">
        <v>255</v>
      </c>
      <c r="B241" s="36">
        <f>SUMIFS(RATEIOS!$F$2:$F$3142,RATEIOS!$I$2:$I$3142,$A241,RATEIOS!$H$2:$H$3142,"SAÍDA")</f>
        <v>26569.330000000005</v>
      </c>
      <c r="C241" s="36">
        <f>SUMIFS(RATEIOS!$F$2:$F$3142,RATEIOS!$I$2:$I$3142,$A241,RATEIOS!$H$2:$H$3142,"ENTRADA")+SUMIFS(RATEIOS!$F$2:$F$3142,RATEIOS!$I$2:$I$3142,$A241,RATEIOS!$H$2:$H$3142,"RESGATE")</f>
        <v>0</v>
      </c>
      <c r="D241" s="23">
        <f>COUNTIF(EXTRATO!$H$2:$H$3000,$A241)</f>
        <v>9</v>
      </c>
    </row>
    <row r="242" spans="1:4" ht="15" customHeight="1" x14ac:dyDescent="0.25">
      <c r="A242" s="23" t="s">
        <v>143</v>
      </c>
      <c r="B242" s="36">
        <f>SUMIFS(RATEIOS!$F$2:$F$3142,RATEIOS!$I$2:$I$3142,$A242,RATEIOS!$H$2:$H$3142,"SAÍDA")</f>
        <v>727115.16</v>
      </c>
      <c r="C242" s="36">
        <f>SUMIFS(RATEIOS!$F$2:$F$3142,RATEIOS!$I$2:$I$3142,$A242,RATEIOS!$H$2:$H$3142,"ENTRADA")+SUMIFS(RATEIOS!$F$2:$F$3142,RATEIOS!$I$2:$I$3142,$A242,RATEIOS!$H$2:$H$3142,"RESGATE")</f>
        <v>0</v>
      </c>
      <c r="D242" s="23">
        <f>COUNTIF(EXTRATO!$H$2:$H$3000,$A242)</f>
        <v>58</v>
      </c>
    </row>
    <row r="243" spans="1:4" ht="15" customHeight="1" x14ac:dyDescent="0.25">
      <c r="A243" s="23" t="s">
        <v>326</v>
      </c>
      <c r="B243" s="36">
        <f>SUMIFS(RATEIOS!$F$2:$F$3142,RATEIOS!$I$2:$I$3142,$A243,RATEIOS!$H$2:$H$3142,"SAÍDA")</f>
        <v>3350.17</v>
      </c>
      <c r="C243" s="36">
        <f>SUMIFS(RATEIOS!$F$2:$F$3142,RATEIOS!$I$2:$I$3142,$A243,RATEIOS!$H$2:$H$3142,"ENTRADA")+SUMIFS(RATEIOS!$F$2:$F$3142,RATEIOS!$I$2:$I$3142,$A243,RATEIOS!$H$2:$H$3142,"RESGATE")</f>
        <v>0</v>
      </c>
      <c r="D243" s="23">
        <f>COUNTIF(EXTRATO!$H$2:$H$3000,$A243)</f>
        <v>3</v>
      </c>
    </row>
    <row r="244" spans="1:4" ht="15" customHeight="1" x14ac:dyDescent="0.25">
      <c r="A244" s="23" t="s">
        <v>56</v>
      </c>
      <c r="B244" s="36">
        <f>SUMIFS(RATEIOS!$F$2:$F$3142,RATEIOS!$I$2:$I$3142,$A244,RATEIOS!$H$2:$H$3142,"SAÍDA")</f>
        <v>720</v>
      </c>
      <c r="C244" s="36">
        <f>SUMIFS(RATEIOS!$F$2:$F$3142,RATEIOS!$I$2:$I$3142,$A244,RATEIOS!$H$2:$H$3142,"ENTRADA")+SUMIFS(RATEIOS!$F$2:$F$3142,RATEIOS!$I$2:$I$3142,$A244,RATEIOS!$H$2:$H$3142,"RESGATE")</f>
        <v>0</v>
      </c>
      <c r="D244" s="23">
        <f>COUNTIF(EXTRATO!$H$2:$H$3000,$A244)</f>
        <v>1</v>
      </c>
    </row>
    <row r="245" spans="1:4" ht="15" customHeight="1" x14ac:dyDescent="0.25">
      <c r="A245" s="23" t="s">
        <v>299</v>
      </c>
      <c r="B245" s="36">
        <f>SUMIFS(RATEIOS!$F$2:$F$3142,RATEIOS!$I$2:$I$3142,$A245,RATEIOS!$H$2:$H$3142,"SAÍDA")</f>
        <v>0</v>
      </c>
      <c r="C245" s="36">
        <f>SUMIFS(RATEIOS!$F$2:$F$3142,RATEIOS!$I$2:$I$3142,$A245,RATEIOS!$H$2:$H$3142,"ENTRADA")+SUMIFS(RATEIOS!$F$2:$F$3142,RATEIOS!$I$2:$I$3142,$A245,RATEIOS!$H$2:$H$3142,"RESGATE")</f>
        <v>0</v>
      </c>
      <c r="D245" s="23">
        <f>COUNTIF(EXTRATO!$H$2:$H$3000,$A245)</f>
        <v>0</v>
      </c>
    </row>
    <row r="246" spans="1:4" ht="15" customHeight="1" x14ac:dyDescent="0.25">
      <c r="A246" s="23" t="s">
        <v>383</v>
      </c>
      <c r="B246" s="36">
        <f>SUMIFS(RATEIOS!$F$2:$F$3142,RATEIOS!$I$2:$I$3142,$A246,RATEIOS!$H$2:$H$3142,"SAÍDA")</f>
        <v>0</v>
      </c>
      <c r="C246" s="36">
        <f>SUMIFS(RATEIOS!$F$2:$F$3142,RATEIOS!$I$2:$I$3142,$A246,RATEIOS!$H$2:$H$3142,"ENTRADA")+SUMIFS(RATEIOS!$F$2:$F$3142,RATEIOS!$I$2:$I$3142,$A246,RATEIOS!$H$2:$H$3142,"RESGATE")</f>
        <v>0</v>
      </c>
      <c r="D246" s="23">
        <f>COUNTIF(EXTRATO!$H$2:$H$3000,$A246)</f>
        <v>0</v>
      </c>
    </row>
    <row r="247" spans="1:4" ht="15" customHeight="1" x14ac:dyDescent="0.25">
      <c r="A247" s="23" t="s">
        <v>1057</v>
      </c>
      <c r="B247" s="36">
        <f>SUMIFS(RATEIOS!$F$2:$F$3142,RATEIOS!$I$2:$I$3142,$A247,RATEIOS!$H$2:$H$3142,"SAÍDA")</f>
        <v>0</v>
      </c>
      <c r="C247" s="36">
        <f>SUMIFS(RATEIOS!$F$2:$F$3142,RATEIOS!$I$2:$I$3142,$A247,RATEIOS!$H$2:$H$3142,"ENTRADA")+SUMIFS(RATEIOS!$F$2:$F$3142,RATEIOS!$I$2:$I$3142,$A247,RATEIOS!$H$2:$H$3142,"RESGATE")</f>
        <v>0</v>
      </c>
      <c r="D247" s="23">
        <f>COUNTIF(EXTRATO!$H$2:$H$3000,$A247)</f>
        <v>0</v>
      </c>
    </row>
    <row r="248" spans="1:4" ht="15" customHeight="1" x14ac:dyDescent="0.25">
      <c r="A248" s="23" t="s">
        <v>1154</v>
      </c>
      <c r="B248" s="36">
        <f>SUMIFS(RATEIOS!$F$2:$F$3142,RATEIOS!$I$2:$I$3142,$A248,RATEIOS!$H$2:$H$3142,"SAÍDA")</f>
        <v>5304.95</v>
      </c>
      <c r="C248" s="36">
        <f>SUMIFS(RATEIOS!$F$2:$F$3142,RATEIOS!$I$2:$I$3142,$A248,RATEIOS!$H$2:$H$3142,"ENTRADA")+SUMIFS(RATEIOS!$F$2:$F$3142,RATEIOS!$I$2:$I$3142,$A248,RATEIOS!$H$2:$H$3142,"RESGATE")</f>
        <v>0</v>
      </c>
      <c r="D248" s="23">
        <f>COUNTIF(EXTRATO!$H$2:$H$3000,$A248)</f>
        <v>2</v>
      </c>
    </row>
    <row r="249" spans="1:4" ht="15" customHeight="1" x14ac:dyDescent="0.25">
      <c r="A249" s="23" t="s">
        <v>127</v>
      </c>
      <c r="B249" s="36">
        <f>SUMIFS(RATEIOS!$F$2:$F$3142,RATEIOS!$I$2:$I$3142,$A249,RATEIOS!$H$2:$H$3142,"SAÍDA")</f>
        <v>852.23</v>
      </c>
      <c r="C249" s="36">
        <f>SUMIFS(RATEIOS!$F$2:$F$3142,RATEIOS!$I$2:$I$3142,$A249,RATEIOS!$H$2:$H$3142,"ENTRADA")+SUMIFS(RATEIOS!$F$2:$F$3142,RATEIOS!$I$2:$I$3142,$A249,RATEIOS!$H$2:$H$3142,"RESGATE")</f>
        <v>0</v>
      </c>
      <c r="D249" s="23">
        <f>COUNTIF(EXTRATO!$H$2:$H$3000,$A249)</f>
        <v>1</v>
      </c>
    </row>
    <row r="250" spans="1:4" ht="15" customHeight="1" x14ac:dyDescent="0.25">
      <c r="A250" s="23" t="s">
        <v>411</v>
      </c>
      <c r="B250" s="36">
        <f>SUMIFS(RATEIOS!$F$2:$F$3142,RATEIOS!$I$2:$I$3142,$A250,RATEIOS!$H$2:$H$3142,"SAÍDA")</f>
        <v>137432.18</v>
      </c>
      <c r="C250" s="36">
        <f>SUMIFS(RATEIOS!$F$2:$F$3142,RATEIOS!$I$2:$I$3142,$A250,RATEIOS!$H$2:$H$3142,"ENTRADA")+SUMIFS(RATEIOS!$F$2:$F$3142,RATEIOS!$I$2:$I$3142,$A250,RATEIOS!$H$2:$H$3142,"RESGATE")</f>
        <v>5600</v>
      </c>
      <c r="D250" s="23">
        <f>COUNTIF(EXTRATO!$H$2:$H$3000,$A250)</f>
        <v>10</v>
      </c>
    </row>
    <row r="251" spans="1:4" ht="15" customHeight="1" x14ac:dyDescent="0.25">
      <c r="A251" s="23" t="s">
        <v>735</v>
      </c>
      <c r="B251" s="36">
        <f>SUMIFS(RATEIOS!$F$2:$F$3142,RATEIOS!$I$2:$I$3142,$A251,RATEIOS!$H$2:$H$3142,"SAÍDA")</f>
        <v>0</v>
      </c>
      <c r="C251" s="36">
        <f>SUMIFS(RATEIOS!$F$2:$F$3142,RATEIOS!$I$2:$I$3142,$A251,RATEIOS!$H$2:$H$3142,"ENTRADA")+SUMIFS(RATEIOS!$F$2:$F$3142,RATEIOS!$I$2:$I$3142,$A251,RATEIOS!$H$2:$H$3142,"RESGATE")</f>
        <v>0</v>
      </c>
      <c r="D251" s="23">
        <f>COUNTIF(EXTRATO!$H$2:$H$3000,$A251)</f>
        <v>0</v>
      </c>
    </row>
    <row r="252" spans="1:4" ht="15" customHeight="1" x14ac:dyDescent="0.25">
      <c r="A252" s="23" t="s">
        <v>179</v>
      </c>
      <c r="B252" s="36">
        <f>SUMIFS(RATEIOS!$F$2:$F$3142,RATEIOS!$I$2:$I$3142,$A252,RATEIOS!$H$2:$H$3142,"SAÍDA")</f>
        <v>31497.030000000002</v>
      </c>
      <c r="C252" s="36">
        <f>SUMIFS(RATEIOS!$F$2:$F$3142,RATEIOS!$I$2:$I$3142,$A252,RATEIOS!$H$2:$H$3142,"ENTRADA")+SUMIFS(RATEIOS!$F$2:$F$3142,RATEIOS!$I$2:$I$3142,$A252,RATEIOS!$H$2:$H$3142,"RESGATE")</f>
        <v>0</v>
      </c>
      <c r="D252" s="23">
        <f>COUNTIF(EXTRATO!$H$2:$H$3000,$A252)</f>
        <v>6</v>
      </c>
    </row>
    <row r="253" spans="1:4" ht="15" customHeight="1" x14ac:dyDescent="0.25">
      <c r="A253" s="23" t="s">
        <v>72</v>
      </c>
      <c r="B253" s="36">
        <f>SUMIFS(RATEIOS!$F$2:$F$3142,RATEIOS!$I$2:$I$3142,$A253,RATEIOS!$H$2:$H$3142,"SAÍDA")</f>
        <v>0</v>
      </c>
      <c r="C253" s="36">
        <f>SUMIFS(RATEIOS!$F$2:$F$3142,RATEIOS!$I$2:$I$3142,$A253,RATEIOS!$H$2:$H$3142,"ENTRADA")+SUMIFS(RATEIOS!$F$2:$F$3142,RATEIOS!$I$2:$I$3142,$A253,RATEIOS!$H$2:$H$3142,"RESGATE")</f>
        <v>61.99</v>
      </c>
      <c r="D253" s="23">
        <f>COUNTIF(EXTRATO!$H$2:$H$3000,$A253)</f>
        <v>1</v>
      </c>
    </row>
    <row r="254" spans="1:4" ht="15" customHeight="1" x14ac:dyDescent="0.25">
      <c r="A254" s="23" t="s">
        <v>569</v>
      </c>
      <c r="B254" s="36">
        <f>SUMIFS(RATEIOS!$F$2:$F$3142,RATEIOS!$I$2:$I$3142,$A254,RATEIOS!$H$2:$H$3142,"SAÍDA")</f>
        <v>404.38</v>
      </c>
      <c r="C254" s="36">
        <f>SUMIFS(RATEIOS!$F$2:$F$3142,RATEIOS!$I$2:$I$3142,$A254,RATEIOS!$H$2:$H$3142,"ENTRADA")+SUMIFS(RATEIOS!$F$2:$F$3142,RATEIOS!$I$2:$I$3142,$A254,RATEIOS!$H$2:$H$3142,"RESGATE")</f>
        <v>0</v>
      </c>
      <c r="D254" s="23">
        <f>COUNTIF(EXTRATO!$H$2:$H$3000,$A254)</f>
        <v>1</v>
      </c>
    </row>
    <row r="255" spans="1:4" ht="15" customHeight="1" x14ac:dyDescent="0.25">
      <c r="A255" s="23" t="s">
        <v>437</v>
      </c>
      <c r="B255" s="36">
        <f>SUMIFS(RATEIOS!$F$2:$F$3142,RATEIOS!$I$2:$I$3142,$A255,RATEIOS!$H$2:$H$3142,"SAÍDA")</f>
        <v>0</v>
      </c>
      <c r="C255" s="36">
        <f>SUMIFS(RATEIOS!$F$2:$F$3142,RATEIOS!$I$2:$I$3142,$A255,RATEIOS!$H$2:$H$3142,"ENTRADA")+SUMIFS(RATEIOS!$F$2:$F$3142,RATEIOS!$I$2:$I$3142,$A255,RATEIOS!$H$2:$H$3142,"RESGATE")</f>
        <v>0</v>
      </c>
      <c r="D255" s="23">
        <f>COUNTIF(EXTRATO!$H$2:$H$3000,$A255)</f>
        <v>0</v>
      </c>
    </row>
    <row r="256" spans="1:4" ht="15" customHeight="1" x14ac:dyDescent="0.25">
      <c r="A256" s="23" t="s">
        <v>1068</v>
      </c>
      <c r="B256" s="36">
        <f>SUMIFS(RATEIOS!$F$2:$F$3142,RATEIOS!$I$2:$I$3142,$A256,RATEIOS!$H$2:$H$3142,"SAÍDA")</f>
        <v>5154.3899999999994</v>
      </c>
      <c r="C256" s="36">
        <f>SUMIFS(RATEIOS!$F$2:$F$3142,RATEIOS!$I$2:$I$3142,$A256,RATEIOS!$H$2:$H$3142,"ENTRADA")+SUMIFS(RATEIOS!$F$2:$F$3142,RATEIOS!$I$2:$I$3142,$A256,RATEIOS!$H$2:$H$3142,"RESGATE")</f>
        <v>0</v>
      </c>
      <c r="D256" s="23">
        <f>COUNTIF(EXTRATO!$H$2:$H$3000,$A256)</f>
        <v>2</v>
      </c>
    </row>
    <row r="257" spans="1:4" ht="15" customHeight="1" x14ac:dyDescent="0.25">
      <c r="A257" s="23" t="s">
        <v>219</v>
      </c>
      <c r="B257" s="36">
        <f>SUMIFS(RATEIOS!$F$2:$F$3142,RATEIOS!$I$2:$I$3142,$A257,RATEIOS!$H$2:$H$3142,"SAÍDA")</f>
        <v>13907.179999999998</v>
      </c>
      <c r="C257" s="36">
        <f>SUMIFS(RATEIOS!$F$2:$F$3142,RATEIOS!$I$2:$I$3142,$A257,RATEIOS!$H$2:$H$3142,"ENTRADA")+SUMIFS(RATEIOS!$F$2:$F$3142,RATEIOS!$I$2:$I$3142,$A257,RATEIOS!$H$2:$H$3142,"RESGATE")</f>
        <v>0</v>
      </c>
      <c r="D257" s="23">
        <f>COUNTIF(EXTRATO!$H$2:$H$3000,$A257)</f>
        <v>12</v>
      </c>
    </row>
    <row r="258" spans="1:4" ht="15" customHeight="1" x14ac:dyDescent="0.25">
      <c r="A258" s="23" t="s">
        <v>440</v>
      </c>
      <c r="B258" s="36">
        <f>SUMIFS(RATEIOS!$F$2:$F$3142,RATEIOS!$I$2:$I$3142,$A258,RATEIOS!$H$2:$H$3142,"SAÍDA")</f>
        <v>0</v>
      </c>
      <c r="C258" s="36">
        <f>SUMIFS(RATEIOS!$F$2:$F$3142,RATEIOS!$I$2:$I$3142,$A258,RATEIOS!$H$2:$H$3142,"ENTRADA")+SUMIFS(RATEIOS!$F$2:$F$3142,RATEIOS!$I$2:$I$3142,$A258,RATEIOS!$H$2:$H$3142,"RESGATE")</f>
        <v>0</v>
      </c>
      <c r="D258" s="23">
        <f>COUNTIF(EXTRATO!$H$2:$H$3000,$A258)</f>
        <v>0</v>
      </c>
    </row>
    <row r="259" spans="1:4" ht="15" customHeight="1" x14ac:dyDescent="0.25">
      <c r="A259" s="23" t="s">
        <v>265</v>
      </c>
      <c r="B259" s="36">
        <f>SUMIFS(RATEIOS!$F$2:$F$3142,RATEIOS!$I$2:$I$3142,$A259,RATEIOS!$H$2:$H$3142,"SAÍDA")</f>
        <v>33769.590000000004</v>
      </c>
      <c r="C259" s="36">
        <f>SUMIFS(RATEIOS!$F$2:$F$3142,RATEIOS!$I$2:$I$3142,$A259,RATEIOS!$H$2:$H$3142,"ENTRADA")+SUMIFS(RATEIOS!$F$2:$F$3142,RATEIOS!$I$2:$I$3142,$A259,RATEIOS!$H$2:$H$3142,"RESGATE")</f>
        <v>0</v>
      </c>
      <c r="D259" s="23">
        <f>COUNTIF(EXTRATO!$H$2:$H$3000,$A259)</f>
        <v>14</v>
      </c>
    </row>
    <row r="260" spans="1:4" ht="15" customHeight="1" x14ac:dyDescent="0.25">
      <c r="A260" s="23" t="s">
        <v>462</v>
      </c>
      <c r="B260" s="36">
        <f>SUMIFS(RATEIOS!$F$2:$F$3142,RATEIOS!$I$2:$I$3142,$A260,RATEIOS!$H$2:$H$3142,"SAÍDA")</f>
        <v>900</v>
      </c>
      <c r="C260" s="36">
        <f>SUMIFS(RATEIOS!$F$2:$F$3142,RATEIOS!$I$2:$I$3142,$A260,RATEIOS!$H$2:$H$3142,"ENTRADA")+SUMIFS(RATEIOS!$F$2:$F$3142,RATEIOS!$I$2:$I$3142,$A260,RATEIOS!$H$2:$H$3142,"RESGATE")</f>
        <v>0</v>
      </c>
      <c r="D260" s="23">
        <f>COUNTIF(EXTRATO!$H$2:$H$3000,$A260)</f>
        <v>1</v>
      </c>
    </row>
    <row r="261" spans="1:4" ht="15" customHeight="1" x14ac:dyDescent="0.25">
      <c r="A261" s="23" t="s">
        <v>612</v>
      </c>
      <c r="B261" s="36">
        <f>SUMIFS(RATEIOS!$F$2:$F$3142,RATEIOS!$I$2:$I$3142,$A261,RATEIOS!$H$2:$H$3142,"SAÍDA")</f>
        <v>12005</v>
      </c>
      <c r="C261" s="36">
        <f>SUMIFS(RATEIOS!$F$2:$F$3142,RATEIOS!$I$2:$I$3142,$A261,RATEIOS!$H$2:$H$3142,"ENTRADA")+SUMIFS(RATEIOS!$F$2:$F$3142,RATEIOS!$I$2:$I$3142,$A261,RATEIOS!$H$2:$H$3142,"RESGATE")</f>
        <v>0</v>
      </c>
      <c r="D261" s="23">
        <f>COUNTIF(EXTRATO!$H$2:$H$3000,$A261)</f>
        <v>3</v>
      </c>
    </row>
    <row r="262" spans="1:4" ht="15" customHeight="1" x14ac:dyDescent="0.25">
      <c r="A262" s="23" t="s">
        <v>1169</v>
      </c>
      <c r="B262" s="36">
        <f>SUMIFS(RATEIOS!$F$2:$F$3142,RATEIOS!$I$2:$I$3142,$A262,RATEIOS!$H$2:$H$3142,"SAÍDA")</f>
        <v>4077.4199999999996</v>
      </c>
      <c r="C262" s="36">
        <f>SUMIFS(RATEIOS!$F$2:$F$3142,RATEIOS!$I$2:$I$3142,$A262,RATEIOS!$H$2:$H$3142,"ENTRADA")+SUMIFS(RATEIOS!$F$2:$F$3142,RATEIOS!$I$2:$I$3142,$A262,RATEIOS!$H$2:$H$3142,"RESGATE")</f>
        <v>0</v>
      </c>
      <c r="D262" s="23">
        <f>COUNTIF(EXTRATO!$H$2:$H$3000,$A262)</f>
        <v>4</v>
      </c>
    </row>
    <row r="263" spans="1:4" ht="15" customHeight="1" x14ac:dyDescent="0.25">
      <c r="A263" s="23" t="s">
        <v>260</v>
      </c>
      <c r="B263" s="36">
        <f>SUMIFS(RATEIOS!$F$2:$F$3142,RATEIOS!$I$2:$I$3142,$A263,RATEIOS!$H$2:$H$3142,"SAÍDA")</f>
        <v>4756.0399999999991</v>
      </c>
      <c r="C263" s="36">
        <f>SUMIFS(RATEIOS!$F$2:$F$3142,RATEIOS!$I$2:$I$3142,$A263,RATEIOS!$H$2:$H$3142,"ENTRADA")+SUMIFS(RATEIOS!$F$2:$F$3142,RATEIOS!$I$2:$I$3142,$A263,RATEIOS!$H$2:$H$3142,"RESGATE")</f>
        <v>0</v>
      </c>
      <c r="D263" s="23">
        <f>COUNTIF(EXTRATO!$H$2:$H$3000,$A263)</f>
        <v>6</v>
      </c>
    </row>
    <row r="264" spans="1:4" ht="15" customHeight="1" x14ac:dyDescent="0.25">
      <c r="A264" s="23" t="s">
        <v>977</v>
      </c>
      <c r="B264" s="36">
        <f>SUMIFS(RATEIOS!$F$2:$F$3142,RATEIOS!$I$2:$I$3142,$A264,RATEIOS!$H$2:$H$3142,"SAÍDA")</f>
        <v>626.87</v>
      </c>
      <c r="C264" s="36">
        <f>SUMIFS(RATEIOS!$F$2:$F$3142,RATEIOS!$I$2:$I$3142,$A264,RATEIOS!$H$2:$H$3142,"ENTRADA")+SUMIFS(RATEIOS!$F$2:$F$3142,RATEIOS!$I$2:$I$3142,$A264,RATEIOS!$H$2:$H$3142,"RESGATE")</f>
        <v>0</v>
      </c>
      <c r="D264" s="23">
        <f>COUNTIF(EXTRATO!$H$2:$H$3000,$A264)</f>
        <v>3</v>
      </c>
    </row>
    <row r="265" spans="1:4" ht="15" customHeight="1" x14ac:dyDescent="0.25">
      <c r="A265" s="23" t="s">
        <v>204</v>
      </c>
      <c r="B265" s="36">
        <f>SUMIFS(RATEIOS!$F$2:$F$3142,RATEIOS!$I$2:$I$3142,$A265,RATEIOS!$H$2:$H$3142,"SAÍDA")</f>
        <v>61616.529999999992</v>
      </c>
      <c r="C265" s="36">
        <f>SUMIFS(RATEIOS!$F$2:$F$3142,RATEIOS!$I$2:$I$3142,$A265,RATEIOS!$H$2:$H$3142,"ENTRADA")+SUMIFS(RATEIOS!$F$2:$F$3142,RATEIOS!$I$2:$I$3142,$A265,RATEIOS!$H$2:$H$3142,"RESGATE")</f>
        <v>0</v>
      </c>
      <c r="D265" s="23">
        <f>COUNTIF(EXTRATO!$H$2:$H$3000,$A265)</f>
        <v>17</v>
      </c>
    </row>
    <row r="266" spans="1:4" ht="15" customHeight="1" x14ac:dyDescent="0.25">
      <c r="A266" s="23" t="s">
        <v>277</v>
      </c>
      <c r="B266" s="36">
        <f>SUMIFS(RATEIOS!$F$2:$F$3142,RATEIOS!$I$2:$I$3142,$A266,RATEIOS!$H$2:$H$3142,"SAÍDA")</f>
        <v>778.02</v>
      </c>
      <c r="C266" s="36">
        <f>SUMIFS(RATEIOS!$F$2:$F$3142,RATEIOS!$I$2:$I$3142,$A266,RATEIOS!$H$2:$H$3142,"ENTRADA")+SUMIFS(RATEIOS!$F$2:$F$3142,RATEIOS!$I$2:$I$3142,$A266,RATEIOS!$H$2:$H$3142,"RESGATE")</f>
        <v>0</v>
      </c>
      <c r="D266" s="23">
        <f>COUNTIF(EXTRATO!$H$2:$H$3000,$A266)</f>
        <v>21</v>
      </c>
    </row>
    <row r="267" spans="1:4" ht="15" customHeight="1" x14ac:dyDescent="0.25">
      <c r="A267" s="23" t="s">
        <v>117</v>
      </c>
      <c r="B267" s="36">
        <f>SUMIFS(RATEIOS!$F$2:$F$3142,RATEIOS!$I$2:$I$3142,$A267,RATEIOS!$H$2:$H$3142,"SAÍDA")</f>
        <v>2238.75</v>
      </c>
      <c r="C267" s="36">
        <f>SUMIFS(RATEIOS!$F$2:$F$3142,RATEIOS!$I$2:$I$3142,$A267,RATEIOS!$H$2:$H$3142,"ENTRADA")+SUMIFS(RATEIOS!$F$2:$F$3142,RATEIOS!$I$2:$I$3142,$A267,RATEIOS!$H$2:$H$3142,"RESGATE")</f>
        <v>0</v>
      </c>
      <c r="D267" s="23">
        <f>COUNTIF(EXTRATO!$H$2:$H$3000,$A267)</f>
        <v>10</v>
      </c>
    </row>
    <row r="268" spans="1:4" ht="15" customHeight="1" x14ac:dyDescent="0.25">
      <c r="A268" s="23" t="s">
        <v>94</v>
      </c>
      <c r="B268" s="36">
        <f>SUMIFS(RATEIOS!$F$2:$F$3142,RATEIOS!$I$2:$I$3142,$A268,RATEIOS!$H$2:$H$3142,"SAÍDA")</f>
        <v>0</v>
      </c>
      <c r="C268" s="36">
        <f>SUMIFS(RATEIOS!$F$2:$F$3142,RATEIOS!$I$2:$I$3142,$A268,RATEIOS!$H$2:$H$3142,"ENTRADA")+SUMIFS(RATEIOS!$F$2:$F$3142,RATEIOS!$I$2:$I$3142,$A268,RATEIOS!$H$2:$H$3142,"RESGATE")</f>
        <v>0</v>
      </c>
      <c r="D268" s="23">
        <f>COUNTIF(EXTRATO!$H$2:$H$3000,$A268)</f>
        <v>0</v>
      </c>
    </row>
    <row r="269" spans="1:4" ht="15" customHeight="1" x14ac:dyDescent="0.25">
      <c r="A269" s="23" t="s">
        <v>555</v>
      </c>
      <c r="B269" s="36">
        <f>SUMIFS(RATEIOS!$F$2:$F$3142,RATEIOS!$I$2:$I$3142,$A269,RATEIOS!$H$2:$H$3142,"SAÍDA")</f>
        <v>24</v>
      </c>
      <c r="C269" s="36">
        <f>SUMIFS(RATEIOS!$F$2:$F$3142,RATEIOS!$I$2:$I$3142,$A269,RATEIOS!$H$2:$H$3142,"ENTRADA")+SUMIFS(RATEIOS!$F$2:$F$3142,RATEIOS!$I$2:$I$3142,$A269,RATEIOS!$H$2:$H$3142,"RESGATE")</f>
        <v>0</v>
      </c>
      <c r="D269" s="23">
        <f>COUNTIF(EXTRATO!$H$2:$H$3000,$A269)</f>
        <v>3</v>
      </c>
    </row>
    <row r="270" spans="1:4" ht="15" customHeight="1" x14ac:dyDescent="0.25">
      <c r="A270" s="23" t="s">
        <v>517</v>
      </c>
      <c r="B270" s="36">
        <f>SUMIFS(RATEIOS!$F$2:$F$3142,RATEIOS!$I$2:$I$3142,$A270,RATEIOS!$H$2:$H$3142,"SAÍDA")</f>
        <v>125.39999999999999</v>
      </c>
      <c r="C270" s="36">
        <f>SUMIFS(RATEIOS!$F$2:$F$3142,RATEIOS!$I$2:$I$3142,$A270,RATEIOS!$H$2:$H$3142,"ENTRADA")+SUMIFS(RATEIOS!$F$2:$F$3142,RATEIOS!$I$2:$I$3142,$A270,RATEIOS!$H$2:$H$3142,"RESGATE")</f>
        <v>0</v>
      </c>
      <c r="D270" s="23">
        <f>COUNTIF(EXTRATO!$H$2:$H$3000,$A270)</f>
        <v>6</v>
      </c>
    </row>
    <row r="271" spans="1:4" ht="15" customHeight="1" x14ac:dyDescent="0.25">
      <c r="A271" s="23" t="s">
        <v>105</v>
      </c>
      <c r="B271" s="36">
        <f>SUMIFS(RATEIOS!$F$2:$F$3142,RATEIOS!$I$2:$I$3142,$A271,RATEIOS!$H$2:$H$3142,"SAÍDA")</f>
        <v>290.10000000000002</v>
      </c>
      <c r="C271" s="36">
        <f>SUMIFS(RATEIOS!$F$2:$F$3142,RATEIOS!$I$2:$I$3142,$A271,RATEIOS!$H$2:$H$3142,"ENTRADA")+SUMIFS(RATEIOS!$F$2:$F$3142,RATEIOS!$I$2:$I$3142,$A271,RATEIOS!$H$2:$H$3142,"RESGATE")</f>
        <v>0</v>
      </c>
      <c r="D271" s="23">
        <f>COUNTIF(EXTRATO!$H$2:$H$3000,$A271)</f>
        <v>1</v>
      </c>
    </row>
    <row r="272" spans="1:4" ht="15" customHeight="1" x14ac:dyDescent="0.25">
      <c r="A272" s="23" t="s">
        <v>1213</v>
      </c>
      <c r="B272" s="36">
        <f>SUMIFS(RATEIOS!$F$2:$F$3142,RATEIOS!$I$2:$I$3142,$A272,RATEIOS!$H$2:$H$3142,"SAÍDA")</f>
        <v>1574.6699999999998</v>
      </c>
      <c r="C272" s="36">
        <f>SUMIFS(RATEIOS!$F$2:$F$3142,RATEIOS!$I$2:$I$3142,$A272,RATEIOS!$H$2:$H$3142,"ENTRADA")+SUMIFS(RATEIOS!$F$2:$F$3142,RATEIOS!$I$2:$I$3142,$A272,RATEIOS!$H$2:$H$3142,"RESGATE")</f>
        <v>0</v>
      </c>
      <c r="D272" s="23">
        <f>COUNTIF(EXTRATO!$H$2:$H$3000,$A272)</f>
        <v>3</v>
      </c>
    </row>
    <row r="273" spans="1:14" ht="15" customHeight="1" x14ac:dyDescent="0.25">
      <c r="A273" s="23" t="s">
        <v>496</v>
      </c>
      <c r="B273" s="36">
        <f>SUMIFS(RATEIOS!$F$2:$F$3142,RATEIOS!$I$2:$I$3142,$A273,RATEIOS!$H$2:$H$3142,"SAÍDA")</f>
        <v>2450</v>
      </c>
      <c r="C273" s="36">
        <f>SUMIFS(RATEIOS!$F$2:$F$3142,RATEIOS!$I$2:$I$3142,$A273,RATEIOS!$H$2:$H$3142,"ENTRADA")+SUMIFS(RATEIOS!$F$2:$F$3142,RATEIOS!$I$2:$I$3142,$A273,RATEIOS!$H$2:$H$3142,"RESGATE")</f>
        <v>0</v>
      </c>
      <c r="D273" s="23">
        <f>COUNTIF(EXTRATO!$H$2:$H$3000,$A273)</f>
        <v>1</v>
      </c>
    </row>
    <row r="274" spans="1:14" ht="15" customHeight="1" x14ac:dyDescent="0.25">
      <c r="A274" s="23" t="s">
        <v>1038</v>
      </c>
      <c r="B274" s="36">
        <f>SUMIFS(RATEIOS!$F$2:$F$3142,RATEIOS!$I$2:$I$3142,$A274,RATEIOS!$H$2:$H$3142,"SAÍDA")</f>
        <v>0</v>
      </c>
      <c r="C274" s="36">
        <f>SUMIFS(RATEIOS!$F$2:$F$3142,RATEIOS!$I$2:$I$3142,$A274,RATEIOS!$H$2:$H$3142,"ENTRADA")+SUMIFS(RATEIOS!$F$2:$F$3142,RATEIOS!$I$2:$I$3142,$A274,RATEIOS!$H$2:$H$3142,"RESGATE")</f>
        <v>0</v>
      </c>
      <c r="D274" s="23">
        <f>COUNTIF(EXTRATO!$H$2:$H$3000,$A274)</f>
        <v>0</v>
      </c>
    </row>
    <row r="275" spans="1:14" ht="15" customHeight="1" x14ac:dyDescent="0.25">
      <c r="A275" s="23" t="s">
        <v>191</v>
      </c>
      <c r="B275" s="36">
        <f>SUMIFS(RATEIOS!$F$2:$F$3142,RATEIOS!$I$2:$I$3142,$A275,RATEIOS!$H$2:$H$3142,"SAÍDA")</f>
        <v>29507.379999999994</v>
      </c>
      <c r="C275" s="36">
        <f>SUMIFS(RATEIOS!$F$2:$F$3142,RATEIOS!$I$2:$I$3142,$A275,RATEIOS!$H$2:$H$3142,"ENTRADA")+SUMIFS(RATEIOS!$F$2:$F$3142,RATEIOS!$I$2:$I$3142,$A275,RATEIOS!$H$2:$H$3142,"RESGATE")</f>
        <v>0</v>
      </c>
      <c r="D275" s="23">
        <f>COUNTIF(EXTRATO!$H$2:$H$3000,$A275)</f>
        <v>19</v>
      </c>
    </row>
    <row r="276" spans="1:14" ht="15" customHeight="1" x14ac:dyDescent="0.25">
      <c r="A276" s="23" t="s">
        <v>414</v>
      </c>
      <c r="B276" s="36">
        <f>SUMIFS(RATEIOS!$F$2:$F$3142,RATEIOS!$I$2:$I$3142,$A276,RATEIOS!$H$2:$H$3142,"SAÍDA")</f>
        <v>93853.260000000009</v>
      </c>
      <c r="C276" s="36">
        <f>SUMIFS(RATEIOS!$F$2:$F$3142,RATEIOS!$I$2:$I$3142,$A276,RATEIOS!$H$2:$H$3142,"ENTRADA")+SUMIFS(RATEIOS!$F$2:$F$3142,RATEIOS!$I$2:$I$3142,$A276,RATEIOS!$H$2:$H$3142,"RESGATE")</f>
        <v>0</v>
      </c>
      <c r="D276" s="23">
        <f>COUNTIF(EXTRATO!$H$2:$H$3000,$A276)</f>
        <v>11</v>
      </c>
    </row>
    <row r="277" spans="1:14" ht="15" customHeight="1" x14ac:dyDescent="0.25">
      <c r="A277" s="23" t="s">
        <v>593</v>
      </c>
      <c r="B277" s="36">
        <f>SUMIFS(RATEIOS!$F$2:$F$3142,RATEIOS!$I$2:$I$3142,$A277,RATEIOS!$H$2:$H$3142,"SAÍDA")</f>
        <v>335</v>
      </c>
      <c r="C277" s="36">
        <f>SUMIFS(RATEIOS!$F$2:$F$3142,RATEIOS!$I$2:$I$3142,$A277,RATEIOS!$H$2:$H$3142,"ENTRADA")+SUMIFS(RATEIOS!$F$2:$F$3142,RATEIOS!$I$2:$I$3142,$A277,RATEIOS!$H$2:$H$3142,"RESGATE")</f>
        <v>0</v>
      </c>
      <c r="D277" s="23">
        <f>COUNTIF(EXTRATO!$H$2:$H$3000,$A277)</f>
        <v>1</v>
      </c>
    </row>
    <row r="278" spans="1:14" ht="15" customHeight="1" x14ac:dyDescent="0.25">
      <c r="A278" s="23" t="s">
        <v>953</v>
      </c>
      <c r="B278" s="36">
        <f>SUMIFS(RATEIOS!$F$2:$F$3142,RATEIOS!$I$2:$I$3142,$A278,RATEIOS!$H$2:$H$3142,"SAÍDA")</f>
        <v>16360</v>
      </c>
      <c r="C278" s="36">
        <f>SUMIFS(RATEIOS!$F$2:$F$3142,RATEIOS!$I$2:$I$3142,$A278,RATEIOS!$H$2:$H$3142,"ENTRADA")+SUMIFS(RATEIOS!$F$2:$F$3142,RATEIOS!$I$2:$I$3142,$A278,RATEIOS!$H$2:$H$3142,"RESGATE")</f>
        <v>0</v>
      </c>
      <c r="D278" s="23">
        <f>COUNTIF(EXTRATO!$H$2:$H$3000,$A278)</f>
        <v>7</v>
      </c>
    </row>
    <row r="281" spans="1:14" ht="15" customHeight="1" x14ac:dyDescent="0.25">
      <c r="A281" s="24" t="s">
        <v>2537</v>
      </c>
    </row>
    <row r="282" spans="1:14" ht="27.75" customHeight="1" x14ac:dyDescent="0.25">
      <c r="A282" s="2" t="s">
        <v>1301</v>
      </c>
      <c r="B282" s="2" t="s">
        <v>2502</v>
      </c>
      <c r="C282" s="2" t="s">
        <v>2503</v>
      </c>
      <c r="D282" s="2" t="s">
        <v>2504</v>
      </c>
      <c r="E282" s="2" t="s">
        <v>2505</v>
      </c>
      <c r="F282" s="2" t="s">
        <v>2506</v>
      </c>
      <c r="G282" s="2" t="s">
        <v>2507</v>
      </c>
      <c r="H282" s="2" t="s">
        <v>2508</v>
      </c>
      <c r="I282" s="2" t="s">
        <v>2509</v>
      </c>
      <c r="J282" s="2" t="s">
        <v>2510</v>
      </c>
      <c r="K282" s="2" t="s">
        <v>2511</v>
      </c>
      <c r="L282" s="2" t="s">
        <v>2512</v>
      </c>
      <c r="M282" s="2" t="s">
        <v>2513</v>
      </c>
      <c r="N282" s="2" t="s">
        <v>2514</v>
      </c>
    </row>
    <row r="283" spans="1:14" ht="15" customHeight="1" x14ac:dyDescent="0.25">
      <c r="A283" s="13" t="s">
        <v>2538</v>
      </c>
      <c r="B283" s="36">
        <f>SUMIFS(EXTRATO!$J$2:$J$3000,EXTRATO!$D$2:$D$3000,1)</f>
        <v>31187.71</v>
      </c>
      <c r="C283" s="36">
        <f>SUMIFS(EXTRATO!$J$2:$J$3000,EXTRATO!$D$2:$D$3000,2)</f>
        <v>32760.61</v>
      </c>
      <c r="D283" s="36">
        <f>SUMIFS(EXTRATO!$J$2:$J$3000,EXTRATO!$D$2:$D$3000,3)</f>
        <v>1152271.6599999999</v>
      </c>
      <c r="E283" s="36">
        <f>SUMIFS(EXTRATO!$J$2:$J$3000,EXTRATO!$D$2:$D$3000,4)</f>
        <v>32760.61</v>
      </c>
      <c r="F283" s="36">
        <f>SUMIFS(EXTRATO!$J$2:$J$3000,EXTRATO!$D$2:$D$3000,5)</f>
        <v>822932.5</v>
      </c>
      <c r="G283" s="36">
        <f>SUMIFS(EXTRATO!$J$2:$J$3000,EXTRATO!$D$2:$D$3000,6)</f>
        <v>751855.01</v>
      </c>
      <c r="H283" s="36">
        <f>SUMIFS(EXTRATO!$J$2:$J$3000,EXTRATO!$D$2:$D$3000,7)</f>
        <v>934415.82</v>
      </c>
      <c r="I283" s="36">
        <f>SUMIFS(EXTRATO!$J$2:$J$3000,EXTRATO!$D$2:$D$3000,8)</f>
        <v>1269858.75</v>
      </c>
      <c r="J283" s="36">
        <f>SUMIFS(EXTRATO!$J$2:$J$3000,EXTRATO!$D$2:$D$3000,9)</f>
        <v>38477.160000000003</v>
      </c>
      <c r="K283" s="36">
        <f>SUMIFS(EXTRATO!$J$2:$J$3000,EXTRATO!$D$2:$D$3000,10)</f>
        <v>723493.44000000006</v>
      </c>
      <c r="L283" s="36">
        <f>SUMIFS(EXTRATO!$J$2:$J$3000,EXTRATO!$D$2:$D$3000,11)</f>
        <v>0</v>
      </c>
      <c r="M283" s="36">
        <f>SUMIFS(EXTRATO!$J$2:$J$3000,EXTRATO!$D$2:$D$3000,12)</f>
        <v>0</v>
      </c>
      <c r="N283" s="46">
        <f>SUM(B283:M283)</f>
        <v>5790013.2700000005</v>
      </c>
    </row>
    <row r="284" spans="1:14" ht="15" customHeight="1" x14ac:dyDescent="0.25">
      <c r="A284" s="13" t="s">
        <v>2539</v>
      </c>
      <c r="B284" s="36">
        <f>SUMIFS(EXTRATO!$K$2:$K$3000,EXTRATO!$D$2:$D$3000,1)</f>
        <v>458887.44</v>
      </c>
      <c r="C284" s="36">
        <f>SUMIFS(EXTRATO!$K$2:$K$3000,EXTRATO!$D$2:$D$3000,2)</f>
        <v>280013.72000000009</v>
      </c>
      <c r="D284" s="36">
        <f>SUMIFS(EXTRATO!$K$2:$K$3000,EXTRATO!$D$2:$D$3000,3)</f>
        <v>694998.13</v>
      </c>
      <c r="E284" s="36">
        <f>SUMIFS(EXTRATO!$K$2:$K$3000,EXTRATO!$D$2:$D$3000,4)</f>
        <v>465341.35</v>
      </c>
      <c r="F284" s="36">
        <f>SUMIFS(EXTRATO!$K$2:$K$3000,EXTRATO!$D$2:$D$3000,5)</f>
        <v>773749.17000000027</v>
      </c>
      <c r="G284" s="36">
        <f>SUMIFS(EXTRATO!$K$2:$K$3000,EXTRATO!$D$2:$D$3000,6)</f>
        <v>725199.28999999992</v>
      </c>
      <c r="H284" s="36">
        <f>SUMIFS(EXTRATO!$K$2:$K$3000,EXTRATO!$D$2:$D$3000,7)</f>
        <v>500628.21000000014</v>
      </c>
      <c r="I284" s="36">
        <f>SUMIFS(EXTRATO!$K$2:$K$3000,EXTRATO!$D$2:$D$3000,8)</f>
        <v>718760.89000000025</v>
      </c>
      <c r="J284" s="36">
        <f>SUMIFS(EXTRATO!$K$2:$K$3000,EXTRATO!$D$2:$D$3000,9)</f>
        <v>695667.83000000019</v>
      </c>
      <c r="K284" s="36">
        <f>SUMIFS(EXTRATO!$K$2:$K$3000,EXTRATO!$D$2:$D$3000,10)</f>
        <v>547842.24000000011</v>
      </c>
      <c r="L284" s="36">
        <f>SUMIFS(EXTRATO!$K$2:$K$3000,EXTRATO!$D$2:$D$3000,11)</f>
        <v>0</v>
      </c>
      <c r="M284" s="36">
        <f>SUMIFS(EXTRATO!$K$2:$K$3000,EXTRATO!$D$2:$D$3000,12)</f>
        <v>0</v>
      </c>
      <c r="N284" s="46">
        <f>SUM(B284:M284)</f>
        <v>5861088.2700000014</v>
      </c>
    </row>
    <row r="285" spans="1:14" ht="15" customHeight="1" x14ac:dyDescent="0.25">
      <c r="A285" s="13" t="s">
        <v>2540</v>
      </c>
      <c r="B285" s="36">
        <f>SUMIFS(EXTRATO!$L$2:$L$3000,EXTRATO!$D$2:$D$3000,1)</f>
        <v>0</v>
      </c>
      <c r="C285" s="36">
        <f>SUMIFS(EXTRATO!$L$2:$L$3000,EXTRATO!$D$2:$D$3000,2)</f>
        <v>0</v>
      </c>
      <c r="D285" s="36">
        <f>SUMIFS(EXTRATO!$L$2:$L$3000,EXTRATO!$D$2:$D$3000,3)</f>
        <v>0</v>
      </c>
      <c r="E285" s="36">
        <f>SUMIFS(EXTRATO!$L$2:$L$3000,EXTRATO!$D$2:$D$3000,4)</f>
        <v>0</v>
      </c>
      <c r="F285" s="36">
        <f>SUMIFS(EXTRATO!$L$2:$L$3000,EXTRATO!$D$2:$D$3000,5)</f>
        <v>0</v>
      </c>
      <c r="G285" s="36">
        <f>SUMIFS(EXTRATO!$L$2:$L$3000,EXTRATO!$D$2:$D$3000,6)</f>
        <v>0</v>
      </c>
      <c r="H285" s="36">
        <f>SUMIFS(EXTRATO!$L$2:$L$3000,EXTRATO!$D$2:$D$3000,7)</f>
        <v>0</v>
      </c>
      <c r="I285" s="36">
        <f>SUMIFS(EXTRATO!$L$2:$L$3000,EXTRATO!$D$2:$D$3000,8)</f>
        <v>500000</v>
      </c>
      <c r="J285" s="36">
        <f>SUMIFS(EXTRATO!$L$2:$L$3000,EXTRATO!$D$2:$D$3000,9)</f>
        <v>0</v>
      </c>
      <c r="K285" s="36">
        <f>SUMIFS(EXTRATO!$L$2:$L$3000,EXTRATO!$D$2:$D$3000,10)</f>
        <v>0</v>
      </c>
      <c r="L285" s="36">
        <f>SUMIFS(EXTRATO!$L$2:$L$3000,EXTRATO!$D$2:$D$3000,11)</f>
        <v>0</v>
      </c>
      <c r="M285" s="36">
        <f>SUMIFS(EXTRATO!$L$2:$L$3000,EXTRATO!$D$2:$D$3000,12)</f>
        <v>0</v>
      </c>
      <c r="N285" s="46">
        <f>SUM(B285:M285)</f>
        <v>500000</v>
      </c>
    </row>
    <row r="286" spans="1:14" ht="15" customHeight="1" x14ac:dyDescent="0.25">
      <c r="A286" s="13" t="s">
        <v>2541</v>
      </c>
      <c r="B286" s="36">
        <f>SUMIFS(EXTRATO!$M$2:$M$3000,EXTRATO!$D$2:$D$3000,1)</f>
        <v>428070.21</v>
      </c>
      <c r="C286" s="36">
        <f>SUMIFS(EXTRATO!$M$2:$M$3000,EXTRATO!$D$2:$D$3000,2)</f>
        <v>247072.38000000003</v>
      </c>
      <c r="D286" s="36">
        <f>SUMIFS(EXTRATO!$M$2:$M$3000,EXTRATO!$D$2:$D$3000,3)</f>
        <v>26.46</v>
      </c>
      <c r="E286" s="36">
        <f>SUMIFS(EXTRATO!$M$2:$M$3000,EXTRATO!$D$2:$D$3000,4)</f>
        <v>0</v>
      </c>
      <c r="F286" s="36">
        <f>SUMIFS(EXTRATO!$M$2:$M$3000,EXTRATO!$D$2:$D$3000,5)</f>
        <v>0</v>
      </c>
      <c r="G286" s="36">
        <f>SUMIFS(EXTRATO!$M$2:$M$3000,EXTRATO!$D$2:$D$3000,6)</f>
        <v>521.88</v>
      </c>
      <c r="H286" s="36">
        <f>SUMIFS(EXTRATO!$M$2:$M$3000,EXTRATO!$D$2:$D$3000,7)</f>
        <v>1594.74</v>
      </c>
      <c r="I286" s="36">
        <f>SUMIFS(EXTRATO!$M$2:$M$3000,EXTRATO!$D$2:$D$3000,8)</f>
        <v>0</v>
      </c>
      <c r="J286" s="36">
        <f>SUMIFS(EXTRATO!$M$2:$M$3000,EXTRATO!$D$2:$D$3000,9)</f>
        <v>69500</v>
      </c>
      <c r="K286" s="36">
        <f>SUMIFS(EXTRATO!$M$2:$M$3000,EXTRATO!$D$2:$D$3000,10)</f>
        <v>305003.45999999996</v>
      </c>
      <c r="L286" s="36">
        <f>SUMIFS(EXTRATO!$M$2:$M$3000,EXTRATO!$D$2:$D$3000,11)</f>
        <v>0</v>
      </c>
      <c r="M286" s="36">
        <f>SUMIFS(EXTRATO!$M$2:$M$3000,EXTRATO!$D$2:$D$3000,12)</f>
        <v>0</v>
      </c>
      <c r="N286" s="46">
        <f>SUM(B286:M286)</f>
        <v>1051789.1299999999</v>
      </c>
    </row>
    <row r="287" spans="1:14" ht="15" customHeight="1" x14ac:dyDescent="0.25">
      <c r="A287" s="19" t="s">
        <v>2542</v>
      </c>
      <c r="B287" s="47">
        <f t="shared" ref="B287:N287" si="3">B283+B286-B284-B285</f>
        <v>370.48000000003958</v>
      </c>
      <c r="C287" s="47">
        <f t="shared" si="3"/>
        <v>-180.73000000003958</v>
      </c>
      <c r="D287" s="47">
        <f t="shared" si="3"/>
        <v>457299.98999999987</v>
      </c>
      <c r="E287" s="47">
        <f t="shared" si="3"/>
        <v>-432580.74</v>
      </c>
      <c r="F287" s="47">
        <f t="shared" si="3"/>
        <v>49183.329999999725</v>
      </c>
      <c r="G287" s="47">
        <f t="shared" si="3"/>
        <v>27177.600000000093</v>
      </c>
      <c r="H287" s="47">
        <f t="shared" si="3"/>
        <v>435382.3499999998</v>
      </c>
      <c r="I287" s="47">
        <f t="shared" si="3"/>
        <v>51097.859999999753</v>
      </c>
      <c r="J287" s="47">
        <f t="shared" si="3"/>
        <v>-587690.67000000016</v>
      </c>
      <c r="K287" s="47">
        <f t="shared" si="3"/>
        <v>480654.65999999992</v>
      </c>
      <c r="L287" s="47">
        <f t="shared" si="3"/>
        <v>0</v>
      </c>
      <c r="M287" s="47">
        <f t="shared" si="3"/>
        <v>0</v>
      </c>
      <c r="N287" s="47">
        <f t="shared" si="3"/>
        <v>480714.12999999896</v>
      </c>
    </row>
    <row r="288" spans="1:14" ht="15" customHeight="1" x14ac:dyDescent="0.25">
      <c r="A288" s="29" t="s">
        <v>39</v>
      </c>
      <c r="B288" s="30">
        <f>CADASTROS!$B$4+B287</f>
        <v>370.48000000003958</v>
      </c>
      <c r="C288" s="30">
        <f t="shared" ref="C288:M288" si="4">B288+C287</f>
        <v>189.75</v>
      </c>
      <c r="D288" s="30">
        <f t="shared" si="4"/>
        <v>457489.73999999987</v>
      </c>
      <c r="E288" s="30">
        <f t="shared" si="4"/>
        <v>24908.999999999884</v>
      </c>
      <c r="F288" s="30">
        <f t="shared" si="4"/>
        <v>74092.329999999609</v>
      </c>
      <c r="G288" s="30">
        <f t="shared" si="4"/>
        <v>101269.9299999997</v>
      </c>
      <c r="H288" s="30">
        <f t="shared" si="4"/>
        <v>536652.27999999956</v>
      </c>
      <c r="I288" s="30">
        <f t="shared" si="4"/>
        <v>587750.13999999932</v>
      </c>
      <c r="J288" s="30">
        <f t="shared" si="4"/>
        <v>59.469999999157153</v>
      </c>
      <c r="K288" s="30">
        <f t="shared" si="4"/>
        <v>480714.12999999907</v>
      </c>
      <c r="L288" s="30">
        <f t="shared" si="4"/>
        <v>480714.12999999907</v>
      </c>
      <c r="M288" s="30">
        <f t="shared" si="4"/>
        <v>480714.12999999907</v>
      </c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L173"/>
  <sheetViews>
    <sheetView zoomScaleNormal="100" workbookViewId="0">
      <pane ySplit="6" topLeftCell="A7" activePane="bottomLeft" state="frozen"/>
      <selection pane="bottomLeft" activeCell="F23" sqref="F23"/>
    </sheetView>
  </sheetViews>
  <sheetFormatPr defaultColWidth="8.7109375" defaultRowHeight="15" x14ac:dyDescent="0.25"/>
  <cols>
    <col min="1" max="1" width="46" style="16" customWidth="1"/>
    <col min="2" max="2" width="18" style="16" customWidth="1"/>
    <col min="3" max="3" width="62" style="16" bestFit="1" customWidth="1"/>
    <col min="4" max="4" width="51.28515625" style="16" bestFit="1" customWidth="1"/>
    <col min="5" max="7" width="22" style="16" customWidth="1"/>
    <col min="8" max="8" width="14" style="16" customWidth="1"/>
    <col min="9" max="9" width="3" style="16" customWidth="1"/>
    <col min="10" max="10" width="48" style="16" customWidth="1"/>
    <col min="11" max="11" width="8.7109375" style="16"/>
    <col min="12" max="12" width="64" customWidth="1"/>
    <col min="13" max="16384" width="8.7109375" style="16"/>
  </cols>
  <sheetData>
    <row r="1" spans="1:12" ht="17.25" customHeight="1" x14ac:dyDescent="0.25">
      <c r="A1" s="119" t="s">
        <v>2543</v>
      </c>
      <c r="B1" s="119"/>
      <c r="C1" s="119"/>
      <c r="D1" s="119"/>
      <c r="E1" s="119"/>
      <c r="F1" s="119"/>
      <c r="G1" s="119"/>
      <c r="H1" s="119"/>
    </row>
    <row r="2" spans="1:12" ht="15" customHeight="1" x14ac:dyDescent="0.25">
      <c r="A2" s="118" t="s">
        <v>2544</v>
      </c>
      <c r="B2" s="118"/>
      <c r="C2" s="118"/>
      <c r="D2" s="118"/>
      <c r="E2" s="118"/>
      <c r="F2" s="118"/>
      <c r="G2" s="118"/>
      <c r="H2" s="118"/>
    </row>
    <row r="3" spans="1:12" ht="15" customHeight="1" x14ac:dyDescent="0.25">
      <c r="A3" s="18" t="s">
        <v>2545</v>
      </c>
    </row>
    <row r="4" spans="1:12" ht="15" customHeight="1" x14ac:dyDescent="0.25">
      <c r="A4" s="19" t="s">
        <v>2546</v>
      </c>
      <c r="B4" s="20">
        <v>0</v>
      </c>
      <c r="C4" s="17" t="s">
        <v>2547</v>
      </c>
    </row>
    <row r="6" spans="1:12" s="22" customFormat="1" ht="25.5" x14ac:dyDescent="0.25">
      <c r="A6" s="21" t="s">
        <v>2548</v>
      </c>
      <c r="C6" s="21" t="s">
        <v>2549</v>
      </c>
      <c r="D6" s="21" t="s">
        <v>1298</v>
      </c>
      <c r="E6" s="21" t="s">
        <v>30</v>
      </c>
      <c r="F6" s="21" t="s">
        <v>31</v>
      </c>
      <c r="G6" s="21" t="s">
        <v>2550</v>
      </c>
      <c r="H6" s="21" t="s">
        <v>2551</v>
      </c>
      <c r="J6" s="21" t="s">
        <v>2552</v>
      </c>
      <c r="L6" s="21" t="s">
        <v>2732</v>
      </c>
    </row>
    <row r="7" spans="1:12" ht="15" customHeight="1" x14ac:dyDescent="0.25">
      <c r="A7" s="71" t="s">
        <v>1305</v>
      </c>
      <c r="C7" s="120" t="s">
        <v>1305</v>
      </c>
      <c r="D7" s="23" t="s">
        <v>1615</v>
      </c>
      <c r="E7" s="23" t="s">
        <v>118</v>
      </c>
      <c r="F7" s="23" t="s">
        <v>35</v>
      </c>
      <c r="G7" s="23" t="s">
        <v>2553</v>
      </c>
      <c r="H7" s="23" t="s">
        <v>2502</v>
      </c>
      <c r="J7" s="13" t="s">
        <v>230</v>
      </c>
      <c r="L7" s="23" t="str">
        <f>C7</f>
        <v>ENTRADAS</v>
      </c>
    </row>
    <row r="8" spans="1:12" ht="15" customHeight="1" x14ac:dyDescent="0.25">
      <c r="A8" s="23" t="s">
        <v>1388</v>
      </c>
      <c r="C8" s="121"/>
      <c r="D8" s="23" t="s">
        <v>1339</v>
      </c>
      <c r="E8" s="23" t="s">
        <v>505</v>
      </c>
      <c r="F8" s="23" t="s">
        <v>36</v>
      </c>
      <c r="G8" s="23" t="s">
        <v>2554</v>
      </c>
      <c r="H8" s="23" t="s">
        <v>2503</v>
      </c>
      <c r="J8" s="13" t="s">
        <v>182</v>
      </c>
      <c r="L8" s="23" t="str">
        <f t="shared" ref="L8:L39" si="0">IF(C8&lt;&gt;"",C8,L7)</f>
        <v>ENTRADAS</v>
      </c>
    </row>
    <row r="9" spans="1:12" ht="15" customHeight="1" x14ac:dyDescent="0.25">
      <c r="A9" s="23" t="s">
        <v>1367</v>
      </c>
      <c r="C9" s="121"/>
      <c r="D9" s="23" t="s">
        <v>1481</v>
      </c>
      <c r="E9" s="23" t="s">
        <v>975</v>
      </c>
      <c r="F9" s="23" t="s">
        <v>37</v>
      </c>
      <c r="G9" s="23" t="s">
        <v>2555</v>
      </c>
      <c r="H9" s="23" t="s">
        <v>2504</v>
      </c>
      <c r="J9" s="13" t="s">
        <v>97</v>
      </c>
      <c r="L9" s="23" t="str">
        <f t="shared" si="0"/>
        <v>ENTRADAS</v>
      </c>
    </row>
    <row r="10" spans="1:12" ht="15" customHeight="1" x14ac:dyDescent="0.25">
      <c r="A10" s="23" t="s">
        <v>1415</v>
      </c>
      <c r="C10" s="121"/>
      <c r="D10" s="23" t="s">
        <v>1578</v>
      </c>
      <c r="E10" s="60" t="s">
        <v>169</v>
      </c>
      <c r="F10" s="23" t="s">
        <v>38</v>
      </c>
      <c r="H10" s="23" t="s">
        <v>2505</v>
      </c>
      <c r="J10" s="13" t="s">
        <v>1166</v>
      </c>
      <c r="L10" s="23" t="str">
        <f t="shared" si="0"/>
        <v>ENTRADAS</v>
      </c>
    </row>
    <row r="11" spans="1:12" ht="15" customHeight="1" x14ac:dyDescent="0.25">
      <c r="A11" s="23" t="s">
        <v>1637</v>
      </c>
      <c r="C11" s="121"/>
      <c r="D11" s="23" t="s">
        <v>1962</v>
      </c>
      <c r="E11" s="23" t="s">
        <v>2556</v>
      </c>
      <c r="H11" s="23" t="s">
        <v>2506</v>
      </c>
      <c r="J11" s="13" t="s">
        <v>1054</v>
      </c>
      <c r="L11" s="23" t="str">
        <f t="shared" si="0"/>
        <v>ENTRADAS</v>
      </c>
    </row>
    <row r="12" spans="1:12" ht="15" customHeight="1" x14ac:dyDescent="0.25">
      <c r="A12" s="23" t="s">
        <v>1311</v>
      </c>
      <c r="C12" s="121"/>
      <c r="D12" s="23" t="s">
        <v>1306</v>
      </c>
      <c r="E12" s="23" t="s">
        <v>2557</v>
      </c>
      <c r="H12" s="23" t="s">
        <v>2507</v>
      </c>
      <c r="J12" s="13" t="s">
        <v>679</v>
      </c>
      <c r="L12" s="23" t="str">
        <f t="shared" si="0"/>
        <v>ENTRADAS</v>
      </c>
    </row>
    <row r="13" spans="1:12" ht="15" customHeight="1" x14ac:dyDescent="0.25">
      <c r="A13" s="23" t="s">
        <v>1330</v>
      </c>
      <c r="C13" s="122"/>
      <c r="D13" s="23" t="s">
        <v>2349</v>
      </c>
      <c r="E13" s="60" t="s">
        <v>123</v>
      </c>
      <c r="H13" s="23" t="s">
        <v>2508</v>
      </c>
      <c r="J13" s="13" t="s">
        <v>335</v>
      </c>
      <c r="L13" s="23" t="str">
        <f t="shared" si="0"/>
        <v>ENTRADAS</v>
      </c>
    </row>
    <row r="14" spans="1:12" ht="15" customHeight="1" x14ac:dyDescent="0.25">
      <c r="A14" s="23" t="s">
        <v>1349</v>
      </c>
      <c r="C14" s="120" t="s">
        <v>1388</v>
      </c>
      <c r="D14" s="23" t="s">
        <v>125</v>
      </c>
      <c r="E14" s="23" t="s">
        <v>620</v>
      </c>
      <c r="H14" s="23" t="s">
        <v>2509</v>
      </c>
      <c r="J14" s="13" t="s">
        <v>755</v>
      </c>
      <c r="L14" s="23" t="str">
        <f t="shared" si="0"/>
        <v>DESPESAS COM IMPOSTOS</v>
      </c>
    </row>
    <row r="15" spans="1:12" ht="15" customHeight="1" x14ac:dyDescent="0.25">
      <c r="A15" s="23" t="s">
        <v>1370</v>
      </c>
      <c r="C15" s="121"/>
      <c r="D15" s="23" t="s">
        <v>179</v>
      </c>
      <c r="E15" s="13" t="s">
        <v>2558</v>
      </c>
      <c r="H15" s="23" t="s">
        <v>2510</v>
      </c>
      <c r="J15" s="13" t="s">
        <v>364</v>
      </c>
      <c r="L15" s="23" t="str">
        <f t="shared" si="0"/>
        <v>DESPESAS COM IMPOSTOS</v>
      </c>
    </row>
    <row r="16" spans="1:12" ht="15" customHeight="1" x14ac:dyDescent="0.25">
      <c r="A16" s="23" t="s">
        <v>2486</v>
      </c>
      <c r="C16" s="121"/>
      <c r="D16" s="23" t="s">
        <v>180</v>
      </c>
      <c r="E16" s="23" t="s">
        <v>72</v>
      </c>
      <c r="H16" s="23" t="s">
        <v>2511</v>
      </c>
      <c r="J16" s="13" t="s">
        <v>703</v>
      </c>
      <c r="L16" s="23" t="str">
        <f t="shared" si="0"/>
        <v>DESPESAS COM IMPOSTOS</v>
      </c>
    </row>
    <row r="17" spans="1:12" ht="15" customHeight="1" x14ac:dyDescent="0.25">
      <c r="A17" s="23" t="s">
        <v>1454</v>
      </c>
      <c r="C17" s="121"/>
      <c r="D17" s="23" t="s">
        <v>168</v>
      </c>
      <c r="E17" s="23" t="s">
        <v>510</v>
      </c>
      <c r="H17" s="23" t="s">
        <v>2512</v>
      </c>
      <c r="J17" s="13" t="s">
        <v>1065</v>
      </c>
      <c r="L17" s="23" t="str">
        <f t="shared" si="0"/>
        <v>DESPESAS COM IMPOSTOS</v>
      </c>
    </row>
    <row r="18" spans="1:12" ht="15" customHeight="1" x14ac:dyDescent="0.25">
      <c r="A18" s="23" t="s">
        <v>1904</v>
      </c>
      <c r="C18" s="121"/>
      <c r="D18" s="23" t="s">
        <v>170</v>
      </c>
      <c r="E18" s="13" t="s">
        <v>287</v>
      </c>
      <c r="H18" s="23" t="s">
        <v>2513</v>
      </c>
      <c r="J18" s="13" t="s">
        <v>89</v>
      </c>
      <c r="L18" s="23" t="str">
        <f t="shared" si="0"/>
        <v>DESPESAS COM IMPOSTOS</v>
      </c>
    </row>
    <row r="19" spans="1:12" ht="15" customHeight="1" x14ac:dyDescent="0.25">
      <c r="C19" s="121"/>
      <c r="D19" s="23" t="s">
        <v>2520</v>
      </c>
      <c r="J19" s="13" t="s">
        <v>283</v>
      </c>
      <c r="L19" s="23" t="str">
        <f t="shared" si="0"/>
        <v>DESPESAS COM IMPOSTOS</v>
      </c>
    </row>
    <row r="20" spans="1:12" ht="15" customHeight="1" x14ac:dyDescent="0.25">
      <c r="C20" s="121"/>
      <c r="D20" s="23" t="s">
        <v>1468</v>
      </c>
      <c r="J20" s="13" t="s">
        <v>51</v>
      </c>
      <c r="L20" s="23" t="str">
        <f t="shared" si="0"/>
        <v>DESPESAS COM IMPOSTOS</v>
      </c>
    </row>
    <row r="21" spans="1:12" ht="15" customHeight="1" x14ac:dyDescent="0.25">
      <c r="C21" s="122"/>
      <c r="D21" s="23" t="s">
        <v>1466</v>
      </c>
      <c r="J21" s="13" t="s">
        <v>48</v>
      </c>
      <c r="L21" s="23" t="str">
        <f t="shared" si="0"/>
        <v>DESPESAS COM IMPOSTOS</v>
      </c>
    </row>
    <row r="22" spans="1:12" ht="15" customHeight="1" x14ac:dyDescent="0.25">
      <c r="C22" s="120" t="s">
        <v>1367</v>
      </c>
      <c r="D22" s="23" t="s">
        <v>1479</v>
      </c>
      <c r="J22" s="13" t="s">
        <v>349</v>
      </c>
      <c r="L22" s="23" t="str">
        <f t="shared" si="0"/>
        <v>DESPESAS COM SALÁRIOS E BENEFÍCIOS</v>
      </c>
    </row>
    <row r="23" spans="1:12" ht="15" customHeight="1" x14ac:dyDescent="0.25">
      <c r="C23" s="121"/>
      <c r="D23" s="23" t="s">
        <v>1383</v>
      </c>
      <c r="J23" s="13" t="s">
        <v>86</v>
      </c>
      <c r="L23" s="23" t="str">
        <f t="shared" si="0"/>
        <v>DESPESAS COM SALÁRIOS E BENEFÍCIOS</v>
      </c>
    </row>
    <row r="24" spans="1:12" ht="15" customHeight="1" x14ac:dyDescent="0.25">
      <c r="C24" s="121"/>
      <c r="D24" s="23" t="s">
        <v>164</v>
      </c>
      <c r="J24" s="13" t="s">
        <v>668</v>
      </c>
      <c r="L24" s="23" t="str">
        <f t="shared" si="0"/>
        <v>DESPESAS COM SALÁRIOS E BENEFÍCIOS</v>
      </c>
    </row>
    <row r="25" spans="1:12" ht="15" customHeight="1" x14ac:dyDescent="0.25">
      <c r="C25" s="121"/>
      <c r="D25" s="23" t="s">
        <v>167</v>
      </c>
      <c r="J25" s="13" t="s">
        <v>37</v>
      </c>
      <c r="L25" s="23" t="str">
        <f t="shared" si="0"/>
        <v>DESPESAS COM SALÁRIOS E BENEFÍCIOS</v>
      </c>
    </row>
    <row r="26" spans="1:12" ht="15" customHeight="1" x14ac:dyDescent="0.25">
      <c r="C26" s="121"/>
      <c r="D26" s="23" t="s">
        <v>1779</v>
      </c>
      <c r="J26" s="13" t="s">
        <v>46</v>
      </c>
      <c r="L26" s="23" t="str">
        <f t="shared" si="0"/>
        <v>DESPESAS COM SALÁRIOS E BENEFÍCIOS</v>
      </c>
    </row>
    <row r="27" spans="1:12" ht="15" customHeight="1" x14ac:dyDescent="0.25">
      <c r="C27" s="121"/>
      <c r="D27" s="23" t="s">
        <v>2521</v>
      </c>
      <c r="J27" s="13" t="s">
        <v>92</v>
      </c>
      <c r="L27" s="23" t="str">
        <f t="shared" si="0"/>
        <v>DESPESAS COM SALÁRIOS E BENEFÍCIOS</v>
      </c>
    </row>
    <row r="28" spans="1:12" ht="15" customHeight="1" x14ac:dyDescent="0.25">
      <c r="C28" s="121"/>
      <c r="D28" s="23" t="s">
        <v>2522</v>
      </c>
      <c r="J28" s="13" t="s">
        <v>130</v>
      </c>
      <c r="L28" s="23" t="str">
        <f t="shared" si="0"/>
        <v>DESPESAS COM SALÁRIOS E BENEFÍCIOS</v>
      </c>
    </row>
    <row r="29" spans="1:12" ht="15" customHeight="1" x14ac:dyDescent="0.25">
      <c r="C29" s="121"/>
      <c r="D29" s="23" t="s">
        <v>2523</v>
      </c>
      <c r="J29" s="13" t="s">
        <v>188</v>
      </c>
      <c r="L29" s="23" t="str">
        <f t="shared" si="0"/>
        <v>DESPESAS COM SALÁRIOS E BENEFÍCIOS</v>
      </c>
    </row>
    <row r="30" spans="1:12" ht="15" customHeight="1" x14ac:dyDescent="0.25">
      <c r="C30" s="121"/>
      <c r="D30" s="23" t="s">
        <v>1560</v>
      </c>
      <c r="J30" s="13" t="s">
        <v>134</v>
      </c>
      <c r="L30" s="23" t="str">
        <f t="shared" si="0"/>
        <v>DESPESAS COM SALÁRIOS E BENEFÍCIOS</v>
      </c>
    </row>
    <row r="31" spans="1:12" ht="15" customHeight="1" x14ac:dyDescent="0.25">
      <c r="C31" s="122"/>
      <c r="D31" s="23" t="s">
        <v>1368</v>
      </c>
      <c r="J31" s="13" t="s">
        <v>207</v>
      </c>
      <c r="L31" s="23" t="str">
        <f t="shared" si="0"/>
        <v>DESPESAS COM SALÁRIOS E BENEFÍCIOS</v>
      </c>
    </row>
    <row r="32" spans="1:12" ht="15" customHeight="1" x14ac:dyDescent="0.25">
      <c r="C32" s="120" t="s">
        <v>1415</v>
      </c>
      <c r="D32" s="23" t="s">
        <v>1425</v>
      </c>
      <c r="J32" s="13" t="s">
        <v>1268</v>
      </c>
      <c r="L32" s="23" t="str">
        <f t="shared" si="0"/>
        <v>DESPESAS COM PRESTADORES DE SERVIÇOS EM SAÚDE - TERCEIROS</v>
      </c>
    </row>
    <row r="33" spans="3:12" ht="15" customHeight="1" x14ac:dyDescent="0.25">
      <c r="C33" s="121"/>
      <c r="D33" s="23" t="s">
        <v>1669</v>
      </c>
      <c r="J33" s="13" t="s">
        <v>512</v>
      </c>
      <c r="L33" s="23" t="str">
        <f t="shared" si="0"/>
        <v>DESPESAS COM PRESTADORES DE SERVIÇOS EM SAÚDE - TERCEIROS</v>
      </c>
    </row>
    <row r="34" spans="3:12" ht="15" customHeight="1" x14ac:dyDescent="0.25">
      <c r="C34" s="121"/>
      <c r="D34" s="23" t="s">
        <v>1640</v>
      </c>
      <c r="J34" s="13" t="s">
        <v>65</v>
      </c>
      <c r="L34" s="23" t="str">
        <f t="shared" si="0"/>
        <v>DESPESAS COM PRESTADORES DE SERVIÇOS EM SAÚDE - TERCEIROS</v>
      </c>
    </row>
    <row r="35" spans="3:12" ht="15" customHeight="1" x14ac:dyDescent="0.25">
      <c r="C35" s="121"/>
      <c r="D35" s="23" t="s">
        <v>1661</v>
      </c>
      <c r="J35" s="13" t="s">
        <v>240</v>
      </c>
      <c r="L35" s="23" t="str">
        <f t="shared" si="0"/>
        <v>DESPESAS COM PRESTADORES DE SERVIÇOS EM SAÚDE - TERCEIROS</v>
      </c>
    </row>
    <row r="36" spans="3:12" ht="15" customHeight="1" x14ac:dyDescent="0.25">
      <c r="C36" s="121"/>
      <c r="D36" s="23" t="s">
        <v>1664</v>
      </c>
      <c r="J36" s="13" t="s">
        <v>107</v>
      </c>
      <c r="L36" s="23" t="str">
        <f t="shared" si="0"/>
        <v>DESPESAS COM PRESTADORES DE SERVIÇOS EM SAÚDE - TERCEIROS</v>
      </c>
    </row>
    <row r="37" spans="3:12" ht="15" customHeight="1" x14ac:dyDescent="0.25">
      <c r="C37" s="121"/>
      <c r="D37" s="23" t="s">
        <v>2524</v>
      </c>
      <c r="J37" s="13" t="s">
        <v>404</v>
      </c>
      <c r="L37" s="23" t="str">
        <f t="shared" si="0"/>
        <v>DESPESAS COM PRESTADORES DE SERVIÇOS EM SAÚDE - TERCEIROS</v>
      </c>
    </row>
    <row r="38" spans="3:12" ht="15" customHeight="1" x14ac:dyDescent="0.25">
      <c r="C38" s="121"/>
      <c r="D38" s="23" t="s">
        <v>1657</v>
      </c>
      <c r="J38" s="13" t="s">
        <v>159</v>
      </c>
      <c r="L38" s="23" t="str">
        <f t="shared" si="0"/>
        <v>DESPESAS COM PRESTADORES DE SERVIÇOS EM SAÚDE - TERCEIROS</v>
      </c>
    </row>
    <row r="39" spans="3:12" ht="15" customHeight="1" x14ac:dyDescent="0.25">
      <c r="C39" s="121"/>
      <c r="D39" s="23" t="s">
        <v>1422</v>
      </c>
      <c r="J39" s="13" t="s">
        <v>67</v>
      </c>
      <c r="L39" s="23" t="str">
        <f t="shared" si="0"/>
        <v>DESPESAS COM PRESTADORES DE SERVIÇOS EM SAÚDE - TERCEIROS</v>
      </c>
    </row>
    <row r="40" spans="3:12" ht="15" customHeight="1" x14ac:dyDescent="0.25">
      <c r="C40" s="121"/>
      <c r="D40" s="23" t="s">
        <v>1418</v>
      </c>
      <c r="J40" s="13" t="s">
        <v>514</v>
      </c>
      <c r="L40" s="23" t="str">
        <f t="shared" ref="L40:L71" si="1">IF(C40&lt;&gt;"",C40,L39)</f>
        <v>DESPESAS COM PRESTADORES DE SERVIÇOS EM SAÚDE - TERCEIROS</v>
      </c>
    </row>
    <row r="41" spans="3:12" ht="15" customHeight="1" x14ac:dyDescent="0.25">
      <c r="C41" s="121"/>
      <c r="D41" s="23" t="s">
        <v>1420</v>
      </c>
      <c r="J41" s="13" t="s">
        <v>362</v>
      </c>
      <c r="L41" s="23" t="str">
        <f t="shared" si="1"/>
        <v>DESPESAS COM PRESTADORES DE SERVIÇOS EM SAÚDE - TERCEIROS</v>
      </c>
    </row>
    <row r="42" spans="3:12" ht="15" customHeight="1" x14ac:dyDescent="0.25">
      <c r="C42" s="121"/>
      <c r="D42" s="23" t="s">
        <v>1416</v>
      </c>
      <c r="J42" s="13" t="s">
        <v>712</v>
      </c>
      <c r="L42" s="23" t="str">
        <f t="shared" si="1"/>
        <v>DESPESAS COM PRESTADORES DE SERVIÇOS EM SAÚDE - TERCEIROS</v>
      </c>
    </row>
    <row r="43" spans="3:12" ht="15" customHeight="1" x14ac:dyDescent="0.25">
      <c r="C43" s="121"/>
      <c r="D43" s="23" t="s">
        <v>1643</v>
      </c>
      <c r="J43" s="13" t="s">
        <v>1048</v>
      </c>
      <c r="L43" s="23" t="str">
        <f t="shared" si="1"/>
        <v>DESPESAS COM PRESTADORES DE SERVIÇOS EM SAÚDE - TERCEIROS</v>
      </c>
    </row>
    <row r="44" spans="3:12" ht="15" customHeight="1" x14ac:dyDescent="0.25">
      <c r="C44" s="122"/>
      <c r="D44" s="23" t="s">
        <v>1648</v>
      </c>
      <c r="J44" s="13" t="s">
        <v>177</v>
      </c>
      <c r="L44" s="23" t="str">
        <f t="shared" si="1"/>
        <v>DESPESAS COM PRESTADORES DE SERVIÇOS EM SAÚDE - TERCEIROS</v>
      </c>
    </row>
    <row r="45" spans="3:12" ht="15" customHeight="1" x14ac:dyDescent="0.25">
      <c r="C45" s="120" t="s">
        <v>1637</v>
      </c>
      <c r="D45" s="23" t="s">
        <v>1638</v>
      </c>
      <c r="J45" s="13" t="s">
        <v>1122</v>
      </c>
      <c r="L45" s="23" t="str">
        <f t="shared" si="1"/>
        <v>DESPESAS COM PRESTAÇÃO DE SERVIÇOS - SÓCIOS</v>
      </c>
    </row>
    <row r="46" spans="3:12" ht="15" customHeight="1" x14ac:dyDescent="0.25">
      <c r="C46" s="121"/>
      <c r="D46" s="23" t="s">
        <v>2047</v>
      </c>
      <c r="J46" s="13" t="s">
        <v>294</v>
      </c>
      <c r="L46" s="23" t="str">
        <f t="shared" si="1"/>
        <v>DESPESAS COM PRESTAÇÃO DE SERVIÇOS - SÓCIOS</v>
      </c>
    </row>
    <row r="47" spans="3:12" ht="15" customHeight="1" x14ac:dyDescent="0.25">
      <c r="C47" s="122"/>
      <c r="D47" s="23" t="s">
        <v>2065</v>
      </c>
      <c r="J47" s="13" t="s">
        <v>1126</v>
      </c>
      <c r="L47" s="23" t="str">
        <f t="shared" si="1"/>
        <v>DESPESAS COM PRESTAÇÃO DE SERVIÇOS - SÓCIOS</v>
      </c>
    </row>
    <row r="48" spans="3:12" ht="15" customHeight="1" x14ac:dyDescent="0.25">
      <c r="C48" s="120" t="s">
        <v>1311</v>
      </c>
      <c r="D48" s="23" t="s">
        <v>1312</v>
      </c>
      <c r="J48" s="13" t="s">
        <v>180</v>
      </c>
      <c r="L48" s="23" t="str">
        <f t="shared" si="1"/>
        <v>DESPESAS COM MATERIAIS PARA HEMODIÁLISE E DEMAIS CUSTOS</v>
      </c>
    </row>
    <row r="49" spans="3:12" ht="15" customHeight="1" x14ac:dyDescent="0.25">
      <c r="C49" s="121"/>
      <c r="D49" s="23" t="s">
        <v>1376</v>
      </c>
      <c r="J49" s="13" t="s">
        <v>1007</v>
      </c>
      <c r="L49" s="23" t="str">
        <f t="shared" si="1"/>
        <v>DESPESAS COM MATERIAIS PARA HEMODIÁLISE E DEMAIS CUSTOS</v>
      </c>
    </row>
    <row r="50" spans="3:12" ht="15" customHeight="1" x14ac:dyDescent="0.25">
      <c r="C50" s="121"/>
      <c r="D50" s="23" t="s">
        <v>1318</v>
      </c>
      <c r="J50" s="13" t="s">
        <v>185</v>
      </c>
      <c r="L50" s="23" t="str">
        <f t="shared" si="1"/>
        <v>DESPESAS COM MATERIAIS PARA HEMODIÁLISE E DEMAIS CUSTOS</v>
      </c>
    </row>
    <row r="51" spans="3:12" ht="15" customHeight="1" x14ac:dyDescent="0.25">
      <c r="C51" s="121"/>
      <c r="D51" s="23" t="s">
        <v>1315</v>
      </c>
      <c r="J51" s="13" t="s">
        <v>81</v>
      </c>
      <c r="L51" s="23" t="str">
        <f t="shared" si="1"/>
        <v>DESPESAS COM MATERIAIS PARA HEMODIÁLISE E DEMAIS CUSTOS</v>
      </c>
    </row>
    <row r="52" spans="3:12" ht="15" customHeight="1" x14ac:dyDescent="0.25">
      <c r="C52" s="121"/>
      <c r="D52" s="23" t="s">
        <v>1342</v>
      </c>
      <c r="J52" s="13" t="s">
        <v>228</v>
      </c>
      <c r="L52" s="23" t="str">
        <f t="shared" si="1"/>
        <v>DESPESAS COM MATERIAIS PARA HEMODIÁLISE E DEMAIS CUSTOS</v>
      </c>
    </row>
    <row r="53" spans="3:12" ht="15" customHeight="1" x14ac:dyDescent="0.25">
      <c r="C53" s="121"/>
      <c r="D53" s="23" t="s">
        <v>1404</v>
      </c>
      <c r="J53" s="13" t="s">
        <v>217</v>
      </c>
      <c r="L53" s="23" t="str">
        <f t="shared" si="1"/>
        <v>DESPESAS COM MATERIAIS PARA HEMODIÁLISE E DEMAIS CUSTOS</v>
      </c>
    </row>
    <row r="54" spans="3:12" ht="15" customHeight="1" x14ac:dyDescent="0.25">
      <c r="C54" s="121"/>
      <c r="D54" s="23" t="s">
        <v>1677</v>
      </c>
      <c r="J54" s="13" t="s">
        <v>169</v>
      </c>
      <c r="L54" s="23" t="str">
        <f t="shared" si="1"/>
        <v>DESPESAS COM MATERIAIS PARA HEMODIÁLISE E DEMAIS CUSTOS</v>
      </c>
    </row>
    <row r="55" spans="3:12" ht="15" customHeight="1" x14ac:dyDescent="0.25">
      <c r="C55" s="121"/>
      <c r="D55" s="23" t="s">
        <v>1320</v>
      </c>
      <c r="J55" s="13" t="s">
        <v>248</v>
      </c>
      <c r="L55" s="23" t="str">
        <f t="shared" si="1"/>
        <v>DESPESAS COM MATERIAIS PARA HEMODIÁLISE E DEMAIS CUSTOS</v>
      </c>
    </row>
    <row r="56" spans="3:12" ht="15" customHeight="1" x14ac:dyDescent="0.25">
      <c r="C56" s="121"/>
      <c r="D56" s="23" t="s">
        <v>1502</v>
      </c>
      <c r="J56" s="13" t="s">
        <v>59</v>
      </c>
      <c r="L56" s="23" t="str">
        <f t="shared" si="1"/>
        <v>DESPESAS COM MATERIAIS PARA HEMODIÁLISE E DEMAIS CUSTOS</v>
      </c>
    </row>
    <row r="57" spans="3:12" ht="15" customHeight="1" x14ac:dyDescent="0.25">
      <c r="C57" s="121"/>
      <c r="D57" s="23" t="s">
        <v>1374</v>
      </c>
      <c r="J57" s="13" t="s">
        <v>1012</v>
      </c>
      <c r="L57" s="23" t="str">
        <f t="shared" si="1"/>
        <v>DESPESAS COM MATERIAIS PARA HEMODIÁLISE E DEMAIS CUSTOS</v>
      </c>
    </row>
    <row r="58" spans="3:12" ht="15" customHeight="1" x14ac:dyDescent="0.25">
      <c r="C58" s="121"/>
      <c r="D58" s="23" t="s">
        <v>1515</v>
      </c>
      <c r="J58" s="13" t="s">
        <v>340</v>
      </c>
      <c r="L58" s="23" t="str">
        <f t="shared" si="1"/>
        <v>DESPESAS COM MATERIAIS PARA HEMODIÁLISE E DEMAIS CUSTOS</v>
      </c>
    </row>
    <row r="59" spans="3:12" ht="15" customHeight="1" x14ac:dyDescent="0.25">
      <c r="C59" s="122"/>
      <c r="D59" s="23" t="s">
        <v>1470</v>
      </c>
      <c r="J59" s="13" t="s">
        <v>446</v>
      </c>
      <c r="L59" s="23" t="str">
        <f t="shared" si="1"/>
        <v>DESPESAS COM MATERIAIS PARA HEMODIÁLISE E DEMAIS CUSTOS</v>
      </c>
    </row>
    <row r="60" spans="3:12" ht="15" customHeight="1" x14ac:dyDescent="0.25">
      <c r="C60" s="120" t="s">
        <v>1330</v>
      </c>
      <c r="D60" s="23" t="s">
        <v>1697</v>
      </c>
      <c r="J60" s="13" t="s">
        <v>451</v>
      </c>
      <c r="L60" s="23" t="str">
        <f t="shared" si="1"/>
        <v>DESPESAS ADMINISTRATIVAS</v>
      </c>
    </row>
    <row r="61" spans="3:12" ht="15" customHeight="1" x14ac:dyDescent="0.25">
      <c r="C61" s="121"/>
      <c r="D61" s="23" t="s">
        <v>1333</v>
      </c>
      <c r="J61" s="13" t="s">
        <v>150</v>
      </c>
      <c r="L61" s="23" t="str">
        <f t="shared" si="1"/>
        <v>DESPESAS ADMINISTRATIVAS</v>
      </c>
    </row>
    <row r="62" spans="3:12" ht="15" customHeight="1" x14ac:dyDescent="0.25">
      <c r="C62" s="121"/>
      <c r="D62" s="23" t="s">
        <v>1344</v>
      </c>
      <c r="J62" s="13" t="s">
        <v>153</v>
      </c>
      <c r="L62" s="23" t="str">
        <f t="shared" si="1"/>
        <v>DESPESAS ADMINISTRATIVAS</v>
      </c>
    </row>
    <row r="63" spans="3:12" ht="15" customHeight="1" x14ac:dyDescent="0.25">
      <c r="C63" s="121"/>
      <c r="D63" s="23" t="s">
        <v>1346</v>
      </c>
      <c r="J63" s="13" t="s">
        <v>874</v>
      </c>
      <c r="L63" s="23" t="str">
        <f t="shared" si="1"/>
        <v>DESPESAS ADMINISTRATIVAS</v>
      </c>
    </row>
    <row r="64" spans="3:12" ht="15" customHeight="1" x14ac:dyDescent="0.25">
      <c r="C64" s="121"/>
      <c r="D64" s="23" t="s">
        <v>1400</v>
      </c>
      <c r="J64" s="13" t="s">
        <v>1257</v>
      </c>
      <c r="L64" s="23" t="str">
        <f t="shared" si="1"/>
        <v>DESPESAS ADMINISTRATIVAS</v>
      </c>
    </row>
    <row r="65" spans="3:12" ht="15" customHeight="1" x14ac:dyDescent="0.25">
      <c r="C65" s="121"/>
      <c r="D65" s="23" t="s">
        <v>2525</v>
      </c>
      <c r="J65" s="13" t="s">
        <v>84</v>
      </c>
      <c r="L65" s="23" t="str">
        <f t="shared" si="1"/>
        <v>DESPESAS ADMINISTRATIVAS</v>
      </c>
    </row>
    <row r="66" spans="3:12" ht="15" customHeight="1" x14ac:dyDescent="0.25">
      <c r="C66" s="121"/>
      <c r="D66" s="23" t="s">
        <v>2526</v>
      </c>
      <c r="J66" s="13" t="s">
        <v>994</v>
      </c>
      <c r="L66" s="23" t="str">
        <f t="shared" si="1"/>
        <v>DESPESAS ADMINISTRATIVAS</v>
      </c>
    </row>
    <row r="67" spans="3:12" ht="15" customHeight="1" x14ac:dyDescent="0.25">
      <c r="C67" s="121"/>
      <c r="D67" s="23" t="s">
        <v>1673</v>
      </c>
      <c r="J67" s="13" t="s">
        <v>671</v>
      </c>
      <c r="L67" s="23" t="str">
        <f t="shared" si="1"/>
        <v>DESPESAS ADMINISTRATIVAS</v>
      </c>
    </row>
    <row r="68" spans="3:12" ht="15" customHeight="1" x14ac:dyDescent="0.25">
      <c r="C68" s="121"/>
      <c r="D68" s="23" t="s">
        <v>1331</v>
      </c>
      <c r="J68" s="13" t="s">
        <v>1291</v>
      </c>
      <c r="L68" s="23" t="str">
        <f t="shared" si="1"/>
        <v>DESPESAS ADMINISTRATIVAS</v>
      </c>
    </row>
    <row r="69" spans="3:12" ht="15" customHeight="1" x14ac:dyDescent="0.25">
      <c r="C69" s="121"/>
      <c r="D69" s="23" t="s">
        <v>1335</v>
      </c>
      <c r="J69" s="13" t="s">
        <v>618</v>
      </c>
      <c r="L69" s="23" t="str">
        <f t="shared" si="1"/>
        <v>DESPESAS ADMINISTRATIVAS</v>
      </c>
    </row>
    <row r="70" spans="3:12" ht="15" customHeight="1" x14ac:dyDescent="0.25">
      <c r="C70" s="121"/>
      <c r="D70" s="23" t="s">
        <v>1337</v>
      </c>
      <c r="J70" s="13" t="s">
        <v>581</v>
      </c>
      <c r="L70" s="23" t="str">
        <f t="shared" si="1"/>
        <v>DESPESAS ADMINISTRATIVAS</v>
      </c>
    </row>
    <row r="71" spans="3:12" ht="15" customHeight="1" x14ac:dyDescent="0.25">
      <c r="C71" s="121"/>
      <c r="D71" s="23" t="s">
        <v>1413</v>
      </c>
      <c r="J71" s="13" t="s">
        <v>417</v>
      </c>
      <c r="L71" s="23" t="str">
        <f t="shared" si="1"/>
        <v>DESPESAS ADMINISTRATIVAS</v>
      </c>
    </row>
    <row r="72" spans="3:12" ht="15" customHeight="1" x14ac:dyDescent="0.25">
      <c r="C72" s="121"/>
      <c r="D72" s="23" t="s">
        <v>1358</v>
      </c>
      <c r="J72" s="13" t="s">
        <v>700</v>
      </c>
      <c r="L72" s="23" t="str">
        <f t="shared" ref="L72:L93" si="2">IF(C72&lt;&gt;"",C72,L71)</f>
        <v>DESPESAS ADMINISTRATIVAS</v>
      </c>
    </row>
    <row r="73" spans="3:12" ht="15" customHeight="1" x14ac:dyDescent="0.25">
      <c r="C73" s="121"/>
      <c r="D73" s="23" t="s">
        <v>1379</v>
      </c>
      <c r="J73" s="13" t="s">
        <v>252</v>
      </c>
      <c r="L73" s="23" t="str">
        <f t="shared" si="2"/>
        <v>DESPESAS ADMINISTRATIVAS</v>
      </c>
    </row>
    <row r="74" spans="3:12" ht="15" customHeight="1" x14ac:dyDescent="0.25">
      <c r="C74" s="122"/>
      <c r="D74" s="23" t="s">
        <v>1352</v>
      </c>
      <c r="J74" s="13" t="s">
        <v>927</v>
      </c>
      <c r="L74" s="23" t="str">
        <f t="shared" si="2"/>
        <v>DESPESAS ADMINISTRATIVAS</v>
      </c>
    </row>
    <row r="75" spans="3:12" ht="15" customHeight="1" x14ac:dyDescent="0.25">
      <c r="C75" s="122"/>
      <c r="D75" s="23" t="s">
        <v>2832</v>
      </c>
      <c r="J75" s="13" t="s">
        <v>140</v>
      </c>
      <c r="L75" s="23" t="str">
        <f t="shared" si="2"/>
        <v>DESPESAS ADMINISTRATIVAS</v>
      </c>
    </row>
    <row r="76" spans="3:12" ht="15" customHeight="1" x14ac:dyDescent="0.25">
      <c r="C76" s="120" t="s">
        <v>1349</v>
      </c>
      <c r="D76" s="23" t="s">
        <v>1402</v>
      </c>
      <c r="J76" s="13" t="s">
        <v>194</v>
      </c>
      <c r="L76" s="23" t="str">
        <f t="shared" si="2"/>
        <v>LOGÍSTICA E FROTA</v>
      </c>
    </row>
    <row r="77" spans="3:12" ht="15" customHeight="1" x14ac:dyDescent="0.25">
      <c r="C77" s="121"/>
      <c r="D77" s="23" t="s">
        <v>1411</v>
      </c>
      <c r="J77" s="13" t="s">
        <v>109</v>
      </c>
      <c r="L77" s="23" t="str">
        <f t="shared" si="2"/>
        <v>LOGÍSTICA E FROTA</v>
      </c>
    </row>
    <row r="78" spans="3:12" ht="15" customHeight="1" x14ac:dyDescent="0.25">
      <c r="C78" s="121"/>
      <c r="D78" s="23" t="s">
        <v>1350</v>
      </c>
      <c r="J78" s="13" t="s">
        <v>844</v>
      </c>
      <c r="L78" s="23" t="str">
        <f t="shared" si="2"/>
        <v>LOGÍSTICA E FROTA</v>
      </c>
    </row>
    <row r="79" spans="3:12" ht="15" customHeight="1" x14ac:dyDescent="0.25">
      <c r="C79" s="121"/>
      <c r="D79" s="23" t="s">
        <v>1441</v>
      </c>
      <c r="J79" s="13" t="s">
        <v>164</v>
      </c>
      <c r="L79" s="23" t="str">
        <f t="shared" si="2"/>
        <v>LOGÍSTICA E FROTA</v>
      </c>
    </row>
    <row r="80" spans="3:12" ht="15" customHeight="1" x14ac:dyDescent="0.25">
      <c r="C80" s="122"/>
      <c r="D80" s="23" t="s">
        <v>2527</v>
      </c>
      <c r="J80" s="13" t="s">
        <v>1216</v>
      </c>
      <c r="L80" s="23" t="str">
        <f t="shared" si="2"/>
        <v>LOGÍSTICA E FROTA</v>
      </c>
    </row>
    <row r="81" spans="3:12" ht="15" customHeight="1" x14ac:dyDescent="0.25">
      <c r="C81" s="120" t="s">
        <v>1370</v>
      </c>
      <c r="D81" s="23" t="s">
        <v>1371</v>
      </c>
      <c r="J81" s="13" t="s">
        <v>123</v>
      </c>
      <c r="L81" s="23" t="str">
        <f t="shared" si="2"/>
        <v>MANUTENÇÃO E INFRAESTRUTURA</v>
      </c>
    </row>
    <row r="82" spans="3:12" ht="15" customHeight="1" x14ac:dyDescent="0.25">
      <c r="C82" s="121"/>
      <c r="D82" s="23" t="s">
        <v>2528</v>
      </c>
      <c r="J82" s="13" t="s">
        <v>626</v>
      </c>
      <c r="L82" s="23" t="str">
        <f t="shared" si="2"/>
        <v>MANUTENÇÃO E INFRAESTRUTURA</v>
      </c>
    </row>
    <row r="83" spans="3:12" ht="15" customHeight="1" x14ac:dyDescent="0.25">
      <c r="C83" s="121"/>
      <c r="D83" s="23" t="s">
        <v>1494</v>
      </c>
      <c r="J83" s="13" t="s">
        <v>758</v>
      </c>
      <c r="L83" s="23" t="str">
        <f t="shared" si="2"/>
        <v>MANUTENÇÃO E INFRAESTRUTURA</v>
      </c>
    </row>
    <row r="84" spans="3:12" ht="15" customHeight="1" x14ac:dyDescent="0.25">
      <c r="C84" s="122"/>
      <c r="D84" s="23" t="s">
        <v>1742</v>
      </c>
      <c r="J84" s="13" t="s">
        <v>351</v>
      </c>
      <c r="L84" s="23" t="str">
        <f t="shared" si="2"/>
        <v>MANUTENÇÃO E INFRAESTRUTURA</v>
      </c>
    </row>
    <row r="85" spans="3:12" ht="15" customHeight="1" x14ac:dyDescent="0.25">
      <c r="C85" s="120" t="s">
        <v>2486</v>
      </c>
      <c r="D85" s="23" t="s">
        <v>2529</v>
      </c>
      <c r="J85" s="13" t="s">
        <v>212</v>
      </c>
      <c r="L85" s="23" t="str">
        <f t="shared" si="2"/>
        <v>DESPESAS COM EMPRÉSTIMO E DEMAIS DESPESAS FINANCEIRAS</v>
      </c>
    </row>
    <row r="86" spans="3:12" ht="15" customHeight="1" x14ac:dyDescent="0.25">
      <c r="C86" s="122"/>
      <c r="D86" s="23" t="s">
        <v>2530</v>
      </c>
      <c r="J86" s="13" t="s">
        <v>70</v>
      </c>
      <c r="L86" s="23" t="str">
        <f t="shared" si="2"/>
        <v>DESPESAS COM EMPRÉSTIMO E DEMAIS DESPESAS FINANCEIRAS</v>
      </c>
    </row>
    <row r="87" spans="3:12" ht="15" customHeight="1" x14ac:dyDescent="0.25">
      <c r="C87" s="120" t="s">
        <v>1454</v>
      </c>
      <c r="D87" s="23" t="s">
        <v>1473</v>
      </c>
      <c r="J87" s="13" t="s">
        <v>476</v>
      </c>
      <c r="L87" s="23" t="str">
        <f t="shared" si="2"/>
        <v>AQUISIÇÃO DE BENS E EQUIPAMENTOS</v>
      </c>
    </row>
    <row r="88" spans="3:12" ht="15" customHeight="1" x14ac:dyDescent="0.25">
      <c r="C88" s="121"/>
      <c r="D88" s="23" t="s">
        <v>2531</v>
      </c>
      <c r="J88" s="13" t="s">
        <v>337</v>
      </c>
      <c r="L88" s="23" t="str">
        <f t="shared" si="2"/>
        <v>AQUISIÇÃO DE BENS E EQUIPAMENTOS</v>
      </c>
    </row>
    <row r="89" spans="3:12" ht="15" customHeight="1" x14ac:dyDescent="0.25">
      <c r="C89" s="121"/>
      <c r="D89" s="23" t="s">
        <v>1485</v>
      </c>
      <c r="J89" s="13" t="s">
        <v>657</v>
      </c>
      <c r="L89" s="23" t="str">
        <f t="shared" si="2"/>
        <v>AQUISIÇÃO DE BENS E EQUIPAMENTOS</v>
      </c>
    </row>
    <row r="90" spans="3:12" ht="15" customHeight="1" x14ac:dyDescent="0.25">
      <c r="C90" s="122"/>
      <c r="D90" s="23" t="s">
        <v>1521</v>
      </c>
      <c r="J90" s="13" t="s">
        <v>370</v>
      </c>
      <c r="L90" s="23" t="str">
        <f t="shared" si="2"/>
        <v>AQUISIÇÃO DE BENS E EQUIPAMENTOS</v>
      </c>
    </row>
    <row r="91" spans="3:12" ht="15" customHeight="1" x14ac:dyDescent="0.25">
      <c r="C91" s="122"/>
      <c r="D91" s="23" t="s">
        <v>2760</v>
      </c>
      <c r="J91" s="13" t="s">
        <v>504</v>
      </c>
      <c r="L91" s="23" t="str">
        <f t="shared" si="2"/>
        <v>AQUISIÇÃO DE BENS E EQUIPAMENTOS</v>
      </c>
    </row>
    <row r="92" spans="3:12" ht="15" customHeight="1" x14ac:dyDescent="0.25">
      <c r="C92" s="120" t="s">
        <v>1904</v>
      </c>
      <c r="D92" s="23" t="s">
        <v>1905</v>
      </c>
      <c r="J92" s="13" t="s">
        <v>316</v>
      </c>
      <c r="L92" s="23" t="str">
        <f t="shared" si="2"/>
        <v>DESPESAS COM SÓCIOS - LUCROS</v>
      </c>
    </row>
    <row r="93" spans="3:12" ht="15" customHeight="1" x14ac:dyDescent="0.25">
      <c r="C93" s="122"/>
      <c r="D93" s="23" t="s">
        <v>2532</v>
      </c>
      <c r="J93" s="13" t="s">
        <v>573</v>
      </c>
      <c r="L93" s="23" t="str">
        <f t="shared" si="2"/>
        <v>DESPESAS COM SÓCIOS - LUCROS</v>
      </c>
    </row>
    <row r="94" spans="3:12" ht="15" customHeight="1" x14ac:dyDescent="0.25">
      <c r="J94" s="13" t="s">
        <v>545</v>
      </c>
    </row>
    <row r="95" spans="3:12" ht="15" customHeight="1" x14ac:dyDescent="0.25">
      <c r="J95" s="13" t="s">
        <v>428</v>
      </c>
    </row>
    <row r="96" spans="3:12" ht="15" customHeight="1" x14ac:dyDescent="0.25">
      <c r="J96" s="13" t="s">
        <v>156</v>
      </c>
    </row>
    <row r="97" spans="10:10" ht="15" customHeight="1" x14ac:dyDescent="0.25">
      <c r="J97" s="13" t="s">
        <v>115</v>
      </c>
    </row>
    <row r="98" spans="10:10" ht="15" customHeight="1" x14ac:dyDescent="0.25">
      <c r="J98" s="13" t="s">
        <v>167</v>
      </c>
    </row>
    <row r="99" spans="10:10" ht="15" customHeight="1" x14ac:dyDescent="0.25">
      <c r="J99" s="13" t="s">
        <v>330</v>
      </c>
    </row>
    <row r="100" spans="10:10" ht="15" customHeight="1" x14ac:dyDescent="0.25">
      <c r="J100" s="13" t="s">
        <v>215</v>
      </c>
    </row>
    <row r="101" spans="10:10" ht="15" customHeight="1" x14ac:dyDescent="0.25">
      <c r="J101" s="13" t="s">
        <v>125</v>
      </c>
    </row>
    <row r="102" spans="10:10" ht="15" customHeight="1" x14ac:dyDescent="0.25">
      <c r="J102" s="13" t="s">
        <v>877</v>
      </c>
    </row>
    <row r="103" spans="10:10" ht="15" customHeight="1" x14ac:dyDescent="0.25">
      <c r="J103" s="13" t="s">
        <v>100</v>
      </c>
    </row>
    <row r="104" spans="10:10" ht="15" customHeight="1" x14ac:dyDescent="0.25">
      <c r="J104" s="13" t="s">
        <v>482</v>
      </c>
    </row>
    <row r="105" spans="10:10" ht="15" customHeight="1" x14ac:dyDescent="0.25">
      <c r="J105" s="13" t="s">
        <v>172</v>
      </c>
    </row>
    <row r="106" spans="10:10" ht="15" customHeight="1" x14ac:dyDescent="0.25">
      <c r="J106" s="13" t="s">
        <v>1001</v>
      </c>
    </row>
    <row r="107" spans="10:10" ht="15" customHeight="1" x14ac:dyDescent="0.25">
      <c r="J107" s="13" t="s">
        <v>842</v>
      </c>
    </row>
    <row r="108" spans="10:10" ht="15" customHeight="1" x14ac:dyDescent="0.25">
      <c r="J108" s="13" t="s">
        <v>932</v>
      </c>
    </row>
    <row r="109" spans="10:10" ht="15" customHeight="1" x14ac:dyDescent="0.25">
      <c r="J109" s="13" t="s">
        <v>499</v>
      </c>
    </row>
    <row r="110" spans="10:10" ht="15" customHeight="1" x14ac:dyDescent="0.25">
      <c r="J110" s="13" t="s">
        <v>353</v>
      </c>
    </row>
    <row r="111" spans="10:10" ht="15" customHeight="1" x14ac:dyDescent="0.25">
      <c r="J111" s="13" t="s">
        <v>319</v>
      </c>
    </row>
    <row r="112" spans="10:10" ht="15" customHeight="1" x14ac:dyDescent="0.25">
      <c r="J112" s="13" t="s">
        <v>611</v>
      </c>
    </row>
    <row r="113" spans="10:10" ht="15" customHeight="1" x14ac:dyDescent="0.25">
      <c r="J113" s="13" t="s">
        <v>419</v>
      </c>
    </row>
    <row r="114" spans="10:10" ht="15" customHeight="1" x14ac:dyDescent="0.25">
      <c r="J114" s="13" t="s">
        <v>981</v>
      </c>
    </row>
    <row r="115" spans="10:10" ht="15" customHeight="1" x14ac:dyDescent="0.25">
      <c r="J115" s="13" t="s">
        <v>137</v>
      </c>
    </row>
    <row r="116" spans="10:10" ht="15" customHeight="1" x14ac:dyDescent="0.25">
      <c r="J116" s="13" t="s">
        <v>1135</v>
      </c>
    </row>
    <row r="117" spans="10:10" ht="15" customHeight="1" x14ac:dyDescent="0.25">
      <c r="J117" s="13" t="s">
        <v>951</v>
      </c>
    </row>
    <row r="118" spans="10:10" ht="15" customHeight="1" x14ac:dyDescent="0.25">
      <c r="J118" s="13" t="s">
        <v>643</v>
      </c>
    </row>
    <row r="119" spans="10:10" ht="15" customHeight="1" x14ac:dyDescent="0.25">
      <c r="J119" s="13" t="s">
        <v>112</v>
      </c>
    </row>
    <row r="120" spans="10:10" ht="15" customHeight="1" x14ac:dyDescent="0.25">
      <c r="J120" s="13" t="s">
        <v>1119</v>
      </c>
    </row>
    <row r="121" spans="10:10" ht="15" customHeight="1" x14ac:dyDescent="0.25">
      <c r="J121" s="13" t="s">
        <v>457</v>
      </c>
    </row>
    <row r="122" spans="10:10" ht="15" customHeight="1" x14ac:dyDescent="0.25">
      <c r="J122" s="13" t="s">
        <v>77</v>
      </c>
    </row>
    <row r="123" spans="10:10" ht="15" customHeight="1" x14ac:dyDescent="0.25">
      <c r="J123" s="13" t="s">
        <v>245</v>
      </c>
    </row>
    <row r="124" spans="10:10" ht="15" customHeight="1" x14ac:dyDescent="0.25">
      <c r="J124" s="13" t="s">
        <v>120</v>
      </c>
    </row>
    <row r="125" spans="10:10" ht="15" customHeight="1" x14ac:dyDescent="0.25">
      <c r="J125" s="13" t="s">
        <v>333</v>
      </c>
    </row>
    <row r="126" spans="10:10" ht="15" customHeight="1" x14ac:dyDescent="0.25">
      <c r="J126" s="13" t="s">
        <v>74</v>
      </c>
    </row>
    <row r="127" spans="10:10" ht="15" customHeight="1" x14ac:dyDescent="0.25">
      <c r="J127" s="13" t="s">
        <v>355</v>
      </c>
    </row>
    <row r="128" spans="10:10" ht="15" customHeight="1" x14ac:dyDescent="0.25">
      <c r="J128" s="13" t="s">
        <v>425</v>
      </c>
    </row>
    <row r="129" spans="10:10" ht="15" customHeight="1" x14ac:dyDescent="0.25">
      <c r="J129" s="13" t="s">
        <v>855</v>
      </c>
    </row>
    <row r="130" spans="10:10" ht="15" customHeight="1" x14ac:dyDescent="0.25">
      <c r="J130" s="13" t="s">
        <v>197</v>
      </c>
    </row>
    <row r="131" spans="10:10" ht="15" customHeight="1" x14ac:dyDescent="0.25">
      <c r="J131" s="13" t="s">
        <v>347</v>
      </c>
    </row>
    <row r="132" spans="10:10" ht="15" customHeight="1" x14ac:dyDescent="0.25">
      <c r="J132" s="13" t="s">
        <v>743</v>
      </c>
    </row>
    <row r="133" spans="10:10" ht="15" customHeight="1" x14ac:dyDescent="0.25">
      <c r="J133" s="13" t="s">
        <v>917</v>
      </c>
    </row>
    <row r="134" spans="10:10" ht="15" customHeight="1" x14ac:dyDescent="0.25">
      <c r="J134" s="13" t="s">
        <v>467</v>
      </c>
    </row>
    <row r="135" spans="10:10" ht="15" customHeight="1" x14ac:dyDescent="0.25">
      <c r="J135" s="13" t="s">
        <v>255</v>
      </c>
    </row>
    <row r="136" spans="10:10" ht="15" customHeight="1" x14ac:dyDescent="0.25">
      <c r="J136" s="13" t="s">
        <v>143</v>
      </c>
    </row>
    <row r="137" spans="10:10" ht="15" customHeight="1" x14ac:dyDescent="0.25">
      <c r="J137" s="13" t="s">
        <v>326</v>
      </c>
    </row>
    <row r="138" spans="10:10" ht="15" customHeight="1" x14ac:dyDescent="0.25">
      <c r="J138" s="13" t="s">
        <v>56</v>
      </c>
    </row>
    <row r="139" spans="10:10" ht="15" customHeight="1" x14ac:dyDescent="0.25">
      <c r="J139" s="13" t="s">
        <v>299</v>
      </c>
    </row>
    <row r="140" spans="10:10" ht="15" customHeight="1" x14ac:dyDescent="0.25">
      <c r="J140" s="13" t="s">
        <v>383</v>
      </c>
    </row>
    <row r="141" spans="10:10" ht="15" customHeight="1" x14ac:dyDescent="0.25">
      <c r="J141" s="13" t="s">
        <v>1057</v>
      </c>
    </row>
    <row r="142" spans="10:10" ht="15" customHeight="1" x14ac:dyDescent="0.25">
      <c r="J142" s="13" t="s">
        <v>1154</v>
      </c>
    </row>
    <row r="143" spans="10:10" ht="15" customHeight="1" x14ac:dyDescent="0.25">
      <c r="J143" s="13" t="s">
        <v>127</v>
      </c>
    </row>
    <row r="144" spans="10:10" ht="15" customHeight="1" x14ac:dyDescent="0.25">
      <c r="J144" s="13" t="s">
        <v>411</v>
      </c>
    </row>
    <row r="145" spans="10:10" ht="15" customHeight="1" x14ac:dyDescent="0.25">
      <c r="J145" s="13" t="s">
        <v>735</v>
      </c>
    </row>
    <row r="146" spans="10:10" ht="15" customHeight="1" x14ac:dyDescent="0.25">
      <c r="J146" s="13" t="s">
        <v>179</v>
      </c>
    </row>
    <row r="147" spans="10:10" ht="15" customHeight="1" x14ac:dyDescent="0.25">
      <c r="J147" s="13" t="s">
        <v>72</v>
      </c>
    </row>
    <row r="148" spans="10:10" ht="15" customHeight="1" x14ac:dyDescent="0.25">
      <c r="J148" s="13" t="s">
        <v>569</v>
      </c>
    </row>
    <row r="149" spans="10:10" ht="15" customHeight="1" x14ac:dyDescent="0.25">
      <c r="J149" s="13" t="s">
        <v>437</v>
      </c>
    </row>
    <row r="150" spans="10:10" ht="15" customHeight="1" x14ac:dyDescent="0.25">
      <c r="J150" s="13" t="s">
        <v>1068</v>
      </c>
    </row>
    <row r="151" spans="10:10" ht="15" customHeight="1" x14ac:dyDescent="0.25">
      <c r="J151" s="13" t="s">
        <v>219</v>
      </c>
    </row>
    <row r="152" spans="10:10" ht="15" customHeight="1" x14ac:dyDescent="0.25">
      <c r="J152" s="13" t="s">
        <v>440</v>
      </c>
    </row>
    <row r="153" spans="10:10" ht="15" customHeight="1" x14ac:dyDescent="0.25">
      <c r="J153" s="13" t="s">
        <v>265</v>
      </c>
    </row>
    <row r="154" spans="10:10" ht="15" customHeight="1" x14ac:dyDescent="0.25">
      <c r="J154" s="13" t="s">
        <v>462</v>
      </c>
    </row>
    <row r="155" spans="10:10" ht="15" customHeight="1" x14ac:dyDescent="0.25">
      <c r="J155" s="13" t="s">
        <v>612</v>
      </c>
    </row>
    <row r="156" spans="10:10" ht="15" customHeight="1" x14ac:dyDescent="0.25">
      <c r="J156" s="13" t="s">
        <v>1169</v>
      </c>
    </row>
    <row r="157" spans="10:10" ht="15" customHeight="1" x14ac:dyDescent="0.25">
      <c r="J157" s="13" t="s">
        <v>260</v>
      </c>
    </row>
    <row r="158" spans="10:10" ht="15" customHeight="1" x14ac:dyDescent="0.25">
      <c r="J158" s="13" t="s">
        <v>977</v>
      </c>
    </row>
    <row r="159" spans="10:10" ht="15" customHeight="1" x14ac:dyDescent="0.25">
      <c r="J159" s="13" t="s">
        <v>204</v>
      </c>
    </row>
    <row r="160" spans="10:10" ht="15" customHeight="1" x14ac:dyDescent="0.25">
      <c r="J160" s="13" t="s">
        <v>277</v>
      </c>
    </row>
    <row r="161" spans="10:10" ht="15" customHeight="1" x14ac:dyDescent="0.25">
      <c r="J161" s="13" t="s">
        <v>117</v>
      </c>
    </row>
    <row r="162" spans="10:10" ht="15" customHeight="1" x14ac:dyDescent="0.25">
      <c r="J162" s="13" t="s">
        <v>94</v>
      </c>
    </row>
    <row r="163" spans="10:10" ht="15" customHeight="1" x14ac:dyDescent="0.25">
      <c r="J163" s="13" t="s">
        <v>555</v>
      </c>
    </row>
    <row r="164" spans="10:10" ht="15" customHeight="1" x14ac:dyDescent="0.25">
      <c r="J164" s="13" t="s">
        <v>517</v>
      </c>
    </row>
    <row r="165" spans="10:10" ht="15" customHeight="1" x14ac:dyDescent="0.25">
      <c r="J165" s="13" t="s">
        <v>105</v>
      </c>
    </row>
    <row r="166" spans="10:10" ht="15" customHeight="1" x14ac:dyDescent="0.25">
      <c r="J166" s="13" t="s">
        <v>1213</v>
      </c>
    </row>
    <row r="167" spans="10:10" ht="15" customHeight="1" x14ac:dyDescent="0.25">
      <c r="J167" s="13" t="s">
        <v>496</v>
      </c>
    </row>
    <row r="168" spans="10:10" ht="15" customHeight="1" x14ac:dyDescent="0.25">
      <c r="J168" s="13" t="s">
        <v>1038</v>
      </c>
    </row>
    <row r="169" spans="10:10" ht="15" customHeight="1" x14ac:dyDescent="0.25">
      <c r="J169" s="13" t="s">
        <v>191</v>
      </c>
    </row>
    <row r="170" spans="10:10" ht="15" customHeight="1" x14ac:dyDescent="0.25">
      <c r="J170" s="13" t="s">
        <v>414</v>
      </c>
    </row>
    <row r="171" spans="10:10" ht="15" customHeight="1" x14ac:dyDescent="0.25">
      <c r="J171" s="13" t="s">
        <v>593</v>
      </c>
    </row>
    <row r="172" spans="10:10" ht="15" customHeight="1" x14ac:dyDescent="0.25">
      <c r="J172" s="13" t="s">
        <v>953</v>
      </c>
    </row>
    <row r="173" spans="10:10" x14ac:dyDescent="0.25">
      <c r="J173" s="13" t="s">
        <v>2692</v>
      </c>
    </row>
  </sheetData>
  <sortState xmlns:xlrd2="http://schemas.microsoft.com/office/spreadsheetml/2017/richdata2" ref="E7:E18">
    <sortCondition ref="E7:E18"/>
  </sortState>
  <mergeCells count="14">
    <mergeCell ref="A1:H1"/>
    <mergeCell ref="A2:H2"/>
    <mergeCell ref="C7:C13"/>
    <mergeCell ref="C14:C21"/>
    <mergeCell ref="C22:C31"/>
    <mergeCell ref="C81:C84"/>
    <mergeCell ref="C85:C86"/>
    <mergeCell ref="C87:C91"/>
    <mergeCell ref="C92:C93"/>
    <mergeCell ref="C32:C44"/>
    <mergeCell ref="C45:C47"/>
    <mergeCell ref="C48:C59"/>
    <mergeCell ref="C60:C75"/>
    <mergeCell ref="C76:C80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A1:F86"/>
  <sheetViews>
    <sheetView showGridLines="0" zoomScale="90" zoomScaleNormal="90" workbookViewId="0">
      <pane ySplit="4" topLeftCell="A5" activePane="bottomLeft" state="frozen"/>
      <selection pane="bottomLeft" activeCell="D25" sqref="D25"/>
    </sheetView>
  </sheetViews>
  <sheetFormatPr defaultColWidth="8.7109375" defaultRowHeight="15" x14ac:dyDescent="0.25"/>
  <cols>
    <col min="1" max="1" width="40" customWidth="1"/>
    <col min="2" max="2" width="50" customWidth="1"/>
    <col min="3" max="3" width="46" customWidth="1"/>
    <col min="4" max="4" width="50" customWidth="1"/>
    <col min="5" max="5" width="22" customWidth="1"/>
    <col min="6" max="6" width="62" customWidth="1"/>
  </cols>
  <sheetData>
    <row r="1" spans="1:6" ht="17.25" customHeight="1" x14ac:dyDescent="0.25">
      <c r="A1" s="123" t="s">
        <v>2559</v>
      </c>
      <c r="B1" s="123"/>
      <c r="C1" s="123"/>
      <c r="D1" s="123"/>
      <c r="E1" s="123"/>
      <c r="F1" s="123"/>
    </row>
    <row r="2" spans="1:6" ht="15" customHeight="1" x14ac:dyDescent="0.25">
      <c r="A2" s="124" t="s">
        <v>2560</v>
      </c>
      <c r="B2" s="124"/>
      <c r="C2" s="124"/>
      <c r="D2" s="124"/>
      <c r="E2" s="124"/>
      <c r="F2" s="124"/>
    </row>
    <row r="4" spans="1:6" ht="27.75" customHeight="1" x14ac:dyDescent="0.25">
      <c r="A4" s="2" t="s">
        <v>2561</v>
      </c>
      <c r="B4" s="2" t="s">
        <v>2562</v>
      </c>
      <c r="C4" s="2" t="s">
        <v>2563</v>
      </c>
      <c r="D4" s="2" t="s">
        <v>2564</v>
      </c>
      <c r="E4" s="2" t="s">
        <v>2565</v>
      </c>
      <c r="F4" s="2" t="s">
        <v>44</v>
      </c>
    </row>
    <row r="5" spans="1:6" ht="15" customHeight="1" x14ac:dyDescent="0.25">
      <c r="A5" s="4" t="s">
        <v>2566</v>
      </c>
      <c r="B5" s="4" t="s">
        <v>125</v>
      </c>
      <c r="C5" s="4" t="s">
        <v>1388</v>
      </c>
      <c r="D5" s="4" t="s">
        <v>125</v>
      </c>
      <c r="E5" s="5" t="s">
        <v>2567</v>
      </c>
      <c r="F5" s="6"/>
    </row>
    <row r="6" spans="1:6" ht="15" customHeight="1" x14ac:dyDescent="0.25">
      <c r="A6" s="4" t="s">
        <v>2566</v>
      </c>
      <c r="B6" s="4" t="s">
        <v>179</v>
      </c>
      <c r="C6" s="4" t="s">
        <v>1388</v>
      </c>
      <c r="D6" s="4" t="s">
        <v>179</v>
      </c>
      <c r="E6" s="5" t="s">
        <v>2567</v>
      </c>
      <c r="F6" s="6"/>
    </row>
    <row r="7" spans="1:6" ht="15" customHeight="1" x14ac:dyDescent="0.25">
      <c r="A7" s="4" t="s">
        <v>2566</v>
      </c>
      <c r="B7" s="4" t="s">
        <v>180</v>
      </c>
      <c r="C7" s="4" t="s">
        <v>1388</v>
      </c>
      <c r="D7" s="4" t="s">
        <v>180</v>
      </c>
      <c r="E7" s="5" t="s">
        <v>2567</v>
      </c>
      <c r="F7" s="6"/>
    </row>
    <row r="8" spans="1:6" ht="21.75" customHeight="1" x14ac:dyDescent="0.25">
      <c r="A8" s="4" t="s">
        <v>2566</v>
      </c>
      <c r="B8" s="4" t="s">
        <v>2568</v>
      </c>
      <c r="C8" s="4" t="s">
        <v>1388</v>
      </c>
      <c r="D8" s="4" t="s">
        <v>2569</v>
      </c>
      <c r="E8" s="5" t="s">
        <v>2570</v>
      </c>
      <c r="F8" s="6" t="s">
        <v>2571</v>
      </c>
    </row>
    <row r="9" spans="1:6" ht="15" customHeight="1" x14ac:dyDescent="0.25">
      <c r="A9" s="4" t="s">
        <v>2566</v>
      </c>
      <c r="B9" s="4" t="s">
        <v>2520</v>
      </c>
      <c r="C9" s="4" t="s">
        <v>1388</v>
      </c>
      <c r="D9" s="4" t="s">
        <v>2520</v>
      </c>
      <c r="E9" s="5" t="s">
        <v>2567</v>
      </c>
      <c r="F9" s="6"/>
    </row>
    <row r="10" spans="1:6" ht="15" customHeight="1" x14ac:dyDescent="0.25">
      <c r="A10" s="4" t="s">
        <v>2566</v>
      </c>
      <c r="B10" s="4" t="s">
        <v>1468</v>
      </c>
      <c r="C10" s="4" t="s">
        <v>1388</v>
      </c>
      <c r="D10" s="4" t="s">
        <v>1468</v>
      </c>
      <c r="E10" s="5" t="s">
        <v>2567</v>
      </c>
      <c r="F10" s="6"/>
    </row>
    <row r="11" spans="1:6" ht="15" customHeight="1" x14ac:dyDescent="0.25">
      <c r="A11" s="4" t="s">
        <v>2566</v>
      </c>
      <c r="B11" s="4" t="s">
        <v>1466</v>
      </c>
      <c r="C11" s="4" t="s">
        <v>1388</v>
      </c>
      <c r="D11" s="4" t="s">
        <v>1466</v>
      </c>
      <c r="E11" s="5" t="s">
        <v>2567</v>
      </c>
      <c r="F11" s="6"/>
    </row>
    <row r="12" spans="1:6" ht="21.75" customHeight="1" x14ac:dyDescent="0.25">
      <c r="A12" s="4" t="s">
        <v>2572</v>
      </c>
      <c r="B12" s="4" t="s">
        <v>1479</v>
      </c>
      <c r="C12" s="4" t="s">
        <v>1367</v>
      </c>
      <c r="D12" s="4" t="s">
        <v>1479</v>
      </c>
      <c r="E12" s="5" t="s">
        <v>2567</v>
      </c>
      <c r="F12" s="6"/>
    </row>
    <row r="13" spans="1:6" ht="21.75" customHeight="1" x14ac:dyDescent="0.25">
      <c r="A13" s="4" t="s">
        <v>2572</v>
      </c>
      <c r="B13" s="4" t="s">
        <v>2573</v>
      </c>
      <c r="C13" s="4" t="s">
        <v>1367</v>
      </c>
      <c r="D13" s="4" t="s">
        <v>1479</v>
      </c>
      <c r="E13" s="5" t="s">
        <v>2574</v>
      </c>
      <c r="F13" s="6" t="s">
        <v>2575</v>
      </c>
    </row>
    <row r="14" spans="1:6" ht="21.75" customHeight="1" x14ac:dyDescent="0.25">
      <c r="A14" s="4" t="s">
        <v>2572</v>
      </c>
      <c r="B14" s="4" t="s">
        <v>2576</v>
      </c>
      <c r="C14" s="4" t="s">
        <v>1367</v>
      </c>
      <c r="D14" s="4" t="s">
        <v>1383</v>
      </c>
      <c r="E14" s="5" t="s">
        <v>2574</v>
      </c>
      <c r="F14" s="6" t="s">
        <v>2577</v>
      </c>
    </row>
    <row r="15" spans="1:6" ht="21.75" customHeight="1" x14ac:dyDescent="0.25">
      <c r="A15" s="4" t="s">
        <v>2572</v>
      </c>
      <c r="B15" s="4" t="s">
        <v>164</v>
      </c>
      <c r="C15" s="4" t="s">
        <v>1367</v>
      </c>
      <c r="D15" s="4" t="s">
        <v>164</v>
      </c>
      <c r="E15" s="5" t="s">
        <v>2567</v>
      </c>
      <c r="F15" s="6"/>
    </row>
    <row r="16" spans="1:6" ht="21.75" customHeight="1" x14ac:dyDescent="0.25">
      <c r="A16" s="4" t="s">
        <v>2572</v>
      </c>
      <c r="B16" s="4" t="s">
        <v>167</v>
      </c>
      <c r="C16" s="4" t="s">
        <v>1367</v>
      </c>
      <c r="D16" s="4" t="s">
        <v>167</v>
      </c>
      <c r="E16" s="5" t="s">
        <v>2567</v>
      </c>
      <c r="F16" s="6"/>
    </row>
    <row r="17" spans="1:6" ht="21.75" customHeight="1" x14ac:dyDescent="0.25">
      <c r="A17" s="4" t="s">
        <v>2572</v>
      </c>
      <c r="B17" s="4" t="s">
        <v>1779</v>
      </c>
      <c r="C17" s="4" t="s">
        <v>1367</v>
      </c>
      <c r="D17" s="4" t="s">
        <v>1779</v>
      </c>
      <c r="E17" s="5" t="s">
        <v>2567</v>
      </c>
      <c r="F17" s="6"/>
    </row>
    <row r="18" spans="1:6" ht="21.75" customHeight="1" x14ac:dyDescent="0.25">
      <c r="A18" s="4" t="s">
        <v>2572</v>
      </c>
      <c r="B18" s="4" t="s">
        <v>2521</v>
      </c>
      <c r="C18" s="4" t="s">
        <v>1367</v>
      </c>
      <c r="D18" s="4" t="s">
        <v>2521</v>
      </c>
      <c r="E18" s="5" t="s">
        <v>2567</v>
      </c>
      <c r="F18" s="6"/>
    </row>
    <row r="19" spans="1:6" ht="21.75" customHeight="1" x14ac:dyDescent="0.25">
      <c r="A19" s="4" t="s">
        <v>2572</v>
      </c>
      <c r="B19" s="4" t="s">
        <v>2522</v>
      </c>
      <c r="C19" s="4" t="s">
        <v>1367</v>
      </c>
      <c r="D19" s="4" t="s">
        <v>2522</v>
      </c>
      <c r="E19" s="5" t="s">
        <v>2567</v>
      </c>
      <c r="F19" s="6"/>
    </row>
    <row r="20" spans="1:6" ht="21.75" customHeight="1" x14ac:dyDescent="0.25">
      <c r="A20" s="4" t="s">
        <v>2572</v>
      </c>
      <c r="B20" s="4" t="s">
        <v>2523</v>
      </c>
      <c r="C20" s="4" t="s">
        <v>1367</v>
      </c>
      <c r="D20" s="4" t="s">
        <v>2523</v>
      </c>
      <c r="E20" s="5" t="s">
        <v>2567</v>
      </c>
      <c r="F20" s="6"/>
    </row>
    <row r="21" spans="1:6" ht="21.75" customHeight="1" x14ac:dyDescent="0.25">
      <c r="A21" s="4" t="s">
        <v>2578</v>
      </c>
      <c r="B21" s="4" t="s">
        <v>1425</v>
      </c>
      <c r="C21" s="4" t="s">
        <v>1415</v>
      </c>
      <c r="D21" s="4" t="s">
        <v>1425</v>
      </c>
      <c r="E21" s="5" t="s">
        <v>2567</v>
      </c>
      <c r="F21" s="6"/>
    </row>
    <row r="22" spans="1:6" ht="21.75" customHeight="1" x14ac:dyDescent="0.25">
      <c r="A22" s="4" t="s">
        <v>2578</v>
      </c>
      <c r="B22" s="4" t="s">
        <v>1669</v>
      </c>
      <c r="C22" s="4" t="s">
        <v>1415</v>
      </c>
      <c r="D22" s="4" t="s">
        <v>1669</v>
      </c>
      <c r="E22" s="5" t="s">
        <v>2567</v>
      </c>
      <c r="F22" s="6"/>
    </row>
    <row r="23" spans="1:6" ht="21.75" customHeight="1" x14ac:dyDescent="0.25">
      <c r="A23" s="4" t="s">
        <v>2578</v>
      </c>
      <c r="B23" s="4" t="s">
        <v>1640</v>
      </c>
      <c r="C23" s="4" t="s">
        <v>1415</v>
      </c>
      <c r="D23" s="4" t="s">
        <v>1640</v>
      </c>
      <c r="E23" s="5" t="s">
        <v>2567</v>
      </c>
      <c r="F23" s="6"/>
    </row>
    <row r="24" spans="1:6" ht="21.75" customHeight="1" x14ac:dyDescent="0.25">
      <c r="A24" s="4" t="s">
        <v>2578</v>
      </c>
      <c r="B24" s="4" t="s">
        <v>1661</v>
      </c>
      <c r="C24" s="4" t="s">
        <v>1415</v>
      </c>
      <c r="D24" s="4" t="s">
        <v>1661</v>
      </c>
      <c r="E24" s="5" t="s">
        <v>2567</v>
      </c>
      <c r="F24" s="6"/>
    </row>
    <row r="25" spans="1:6" ht="21.75" customHeight="1" x14ac:dyDescent="0.25">
      <c r="A25" s="4" t="s">
        <v>2578</v>
      </c>
      <c r="B25" s="4" t="s">
        <v>1664</v>
      </c>
      <c r="C25" s="4" t="s">
        <v>1415</v>
      </c>
      <c r="D25" s="4" t="s">
        <v>1664</v>
      </c>
      <c r="E25" s="5" t="s">
        <v>2567</v>
      </c>
      <c r="F25" s="6"/>
    </row>
    <row r="26" spans="1:6" ht="21.75" customHeight="1" x14ac:dyDescent="0.25">
      <c r="A26" s="4" t="s">
        <v>2578</v>
      </c>
      <c r="B26" s="4" t="s">
        <v>2579</v>
      </c>
      <c r="C26" s="4" t="s">
        <v>1415</v>
      </c>
      <c r="D26" s="4" t="s">
        <v>1657</v>
      </c>
      <c r="E26" s="5" t="s">
        <v>2580</v>
      </c>
      <c r="F26" s="6" t="s">
        <v>2581</v>
      </c>
    </row>
    <row r="27" spans="1:6" ht="21.75" customHeight="1" x14ac:dyDescent="0.25">
      <c r="A27" s="4" t="s">
        <v>2578</v>
      </c>
      <c r="B27" s="4" t="s">
        <v>1657</v>
      </c>
      <c r="C27" s="4" t="s">
        <v>1415</v>
      </c>
      <c r="D27" s="4" t="s">
        <v>1657</v>
      </c>
      <c r="E27" s="5" t="s">
        <v>2567</v>
      </c>
      <c r="F27" s="6"/>
    </row>
    <row r="28" spans="1:6" ht="21.75" customHeight="1" x14ac:dyDescent="0.25">
      <c r="A28" s="4" t="s">
        <v>2578</v>
      </c>
      <c r="B28" s="4" t="s">
        <v>1422</v>
      </c>
      <c r="C28" s="4" t="s">
        <v>1415</v>
      </c>
      <c r="D28" s="4" t="s">
        <v>1422</v>
      </c>
      <c r="E28" s="5" t="s">
        <v>2567</v>
      </c>
      <c r="F28" s="6"/>
    </row>
    <row r="29" spans="1:6" ht="21.75" customHeight="1" x14ac:dyDescent="0.25">
      <c r="A29" s="4" t="s">
        <v>2578</v>
      </c>
      <c r="B29" s="4" t="s">
        <v>1420</v>
      </c>
      <c r="C29" s="4" t="s">
        <v>1415</v>
      </c>
      <c r="D29" s="4" t="s">
        <v>1420</v>
      </c>
      <c r="E29" s="5" t="s">
        <v>2567</v>
      </c>
      <c r="F29" s="6"/>
    </row>
    <row r="30" spans="1:6" ht="21.75" customHeight="1" x14ac:dyDescent="0.25">
      <c r="A30" s="4" t="s">
        <v>2578</v>
      </c>
      <c r="B30" s="4" t="s">
        <v>1416</v>
      </c>
      <c r="C30" s="4" t="s">
        <v>1415</v>
      </c>
      <c r="D30" s="4" t="s">
        <v>1416</v>
      </c>
      <c r="E30" s="5" t="s">
        <v>2567</v>
      </c>
      <c r="F30" s="6"/>
    </row>
    <row r="31" spans="1:6" ht="21.75" customHeight="1" x14ac:dyDescent="0.25">
      <c r="A31" s="4" t="s">
        <v>2578</v>
      </c>
      <c r="B31" s="4" t="s">
        <v>1418</v>
      </c>
      <c r="C31" s="4" t="s">
        <v>1415</v>
      </c>
      <c r="D31" s="4" t="s">
        <v>1418</v>
      </c>
      <c r="E31" s="5" t="s">
        <v>2567</v>
      </c>
      <c r="F31" s="6"/>
    </row>
    <row r="32" spans="1:6" ht="21.75" customHeight="1" x14ac:dyDescent="0.25">
      <c r="A32" s="4" t="s">
        <v>2578</v>
      </c>
      <c r="B32" s="4" t="s">
        <v>1643</v>
      </c>
      <c r="C32" s="4" t="s">
        <v>1415</v>
      </c>
      <c r="D32" s="4" t="s">
        <v>1643</v>
      </c>
      <c r="E32" s="5" t="s">
        <v>2567</v>
      </c>
      <c r="F32" s="6"/>
    </row>
    <row r="33" spans="1:6" ht="21.75" customHeight="1" x14ac:dyDescent="0.25">
      <c r="A33" s="4" t="s">
        <v>2578</v>
      </c>
      <c r="B33" s="4" t="s">
        <v>1648</v>
      </c>
      <c r="C33" s="4" t="s">
        <v>1415</v>
      </c>
      <c r="D33" s="4" t="s">
        <v>1648</v>
      </c>
      <c r="E33" s="5" t="s">
        <v>2567</v>
      </c>
      <c r="F33" s="6"/>
    </row>
    <row r="34" spans="1:6" ht="21.75" customHeight="1" x14ac:dyDescent="0.25">
      <c r="A34" s="4" t="s">
        <v>2582</v>
      </c>
      <c r="B34" s="4" t="s">
        <v>2583</v>
      </c>
      <c r="C34" s="4" t="s">
        <v>1637</v>
      </c>
      <c r="D34" s="4" t="s">
        <v>1638</v>
      </c>
      <c r="E34" s="5" t="s">
        <v>2584</v>
      </c>
      <c r="F34" s="6"/>
    </row>
    <row r="35" spans="1:6" ht="21.75" customHeight="1" x14ac:dyDescent="0.25">
      <c r="A35" s="4" t="s">
        <v>2582</v>
      </c>
      <c r="B35" s="4" t="s">
        <v>2585</v>
      </c>
      <c r="C35" s="4" t="s">
        <v>1637</v>
      </c>
      <c r="D35" s="4" t="s">
        <v>2047</v>
      </c>
      <c r="E35" s="5" t="s">
        <v>2567</v>
      </c>
      <c r="F35" s="6"/>
    </row>
    <row r="36" spans="1:6" ht="21.75" customHeight="1" x14ac:dyDescent="0.25">
      <c r="A36" s="4" t="s">
        <v>2582</v>
      </c>
      <c r="B36" s="4" t="s">
        <v>2065</v>
      </c>
      <c r="C36" s="4" t="s">
        <v>1637</v>
      </c>
      <c r="D36" s="4" t="s">
        <v>2065</v>
      </c>
      <c r="E36" s="5" t="s">
        <v>2567</v>
      </c>
      <c r="F36" s="6"/>
    </row>
    <row r="37" spans="1:6" ht="21.75" customHeight="1" x14ac:dyDescent="0.25">
      <c r="A37" s="4" t="s">
        <v>2586</v>
      </c>
      <c r="B37" s="4" t="s">
        <v>2587</v>
      </c>
      <c r="C37" s="4" t="s">
        <v>1311</v>
      </c>
      <c r="D37" s="4" t="s">
        <v>1312</v>
      </c>
      <c r="E37" s="5" t="s">
        <v>2584</v>
      </c>
      <c r="F37" s="6"/>
    </row>
    <row r="38" spans="1:6" ht="21.75" customHeight="1" x14ac:dyDescent="0.25">
      <c r="A38" s="4" t="s">
        <v>2586</v>
      </c>
      <c r="B38" s="4" t="s">
        <v>1376</v>
      </c>
      <c r="C38" s="4" t="s">
        <v>1311</v>
      </c>
      <c r="D38" s="4" t="s">
        <v>1376</v>
      </c>
      <c r="E38" s="5" t="s">
        <v>2567</v>
      </c>
      <c r="F38" s="6"/>
    </row>
    <row r="39" spans="1:6" ht="21.75" customHeight="1" x14ac:dyDescent="0.25">
      <c r="A39" s="4" t="s">
        <v>2586</v>
      </c>
      <c r="B39" s="4" t="s">
        <v>1318</v>
      </c>
      <c r="C39" s="4" t="s">
        <v>1311</v>
      </c>
      <c r="D39" s="4" t="s">
        <v>1318</v>
      </c>
      <c r="E39" s="5" t="s">
        <v>2567</v>
      </c>
      <c r="F39" s="6"/>
    </row>
    <row r="40" spans="1:6" ht="21.75" customHeight="1" x14ac:dyDescent="0.25">
      <c r="A40" s="4" t="s">
        <v>2586</v>
      </c>
      <c r="B40" s="4" t="s">
        <v>1315</v>
      </c>
      <c r="C40" s="4" t="s">
        <v>1311</v>
      </c>
      <c r="D40" s="4" t="s">
        <v>1315</v>
      </c>
      <c r="E40" s="5" t="s">
        <v>2567</v>
      </c>
      <c r="F40" s="6"/>
    </row>
    <row r="41" spans="1:6" ht="21.75" customHeight="1" x14ac:dyDescent="0.25">
      <c r="A41" s="4" t="s">
        <v>2586</v>
      </c>
      <c r="B41" s="4" t="s">
        <v>2588</v>
      </c>
      <c r="C41" s="4" t="s">
        <v>1311</v>
      </c>
      <c r="D41" s="4" t="s">
        <v>1342</v>
      </c>
      <c r="E41" s="5" t="s">
        <v>2567</v>
      </c>
      <c r="F41" s="6"/>
    </row>
    <row r="42" spans="1:6" ht="21.75" customHeight="1" x14ac:dyDescent="0.25">
      <c r="A42" s="4" t="s">
        <v>2586</v>
      </c>
      <c r="B42" s="4" t="s">
        <v>1404</v>
      </c>
      <c r="C42" s="4" t="s">
        <v>1311</v>
      </c>
      <c r="D42" s="4" t="s">
        <v>1404</v>
      </c>
      <c r="E42" s="5" t="s">
        <v>2567</v>
      </c>
      <c r="F42" s="6"/>
    </row>
    <row r="43" spans="1:6" ht="15" customHeight="1" x14ac:dyDescent="0.25">
      <c r="A43" s="4" t="s">
        <v>2589</v>
      </c>
      <c r="B43" s="4" t="s">
        <v>1697</v>
      </c>
      <c r="C43" s="4" t="s">
        <v>1330</v>
      </c>
      <c r="D43" s="4" t="s">
        <v>1697</v>
      </c>
      <c r="E43" s="5" t="s">
        <v>2567</v>
      </c>
      <c r="F43" s="6"/>
    </row>
    <row r="44" spans="1:6" ht="15" customHeight="1" x14ac:dyDescent="0.25">
      <c r="A44" s="4" t="s">
        <v>2589</v>
      </c>
      <c r="B44" s="4" t="s">
        <v>1333</v>
      </c>
      <c r="C44" s="4" t="s">
        <v>1330</v>
      </c>
      <c r="D44" s="4" t="s">
        <v>1333</v>
      </c>
      <c r="E44" s="5" t="s">
        <v>2567</v>
      </c>
      <c r="F44" s="6"/>
    </row>
    <row r="45" spans="1:6" ht="15" customHeight="1" x14ac:dyDescent="0.25">
      <c r="A45" s="4" t="s">
        <v>2589</v>
      </c>
      <c r="B45" s="4" t="s">
        <v>2590</v>
      </c>
      <c r="C45" s="4" t="s">
        <v>1330</v>
      </c>
      <c r="D45" s="4" t="s">
        <v>1344</v>
      </c>
      <c r="E45" s="5" t="s">
        <v>2567</v>
      </c>
      <c r="F45" s="6"/>
    </row>
    <row r="46" spans="1:6" ht="15" customHeight="1" x14ac:dyDescent="0.25">
      <c r="A46" s="4" t="s">
        <v>2589</v>
      </c>
      <c r="B46" s="4" t="s">
        <v>1346</v>
      </c>
      <c r="C46" s="4" t="s">
        <v>1330</v>
      </c>
      <c r="D46" s="4" t="s">
        <v>1346</v>
      </c>
      <c r="E46" s="5" t="s">
        <v>2567</v>
      </c>
      <c r="F46" s="6"/>
    </row>
    <row r="47" spans="1:6" ht="15" customHeight="1" x14ac:dyDescent="0.25">
      <c r="A47" s="4" t="s">
        <v>2589</v>
      </c>
      <c r="B47" s="4" t="s">
        <v>1400</v>
      </c>
      <c r="C47" s="4" t="s">
        <v>1330</v>
      </c>
      <c r="D47" s="4" t="s">
        <v>1400</v>
      </c>
      <c r="E47" s="5" t="s">
        <v>2567</v>
      </c>
      <c r="F47" s="6"/>
    </row>
    <row r="48" spans="1:6" ht="15" customHeight="1" x14ac:dyDescent="0.25">
      <c r="A48" s="4" t="s">
        <v>2589</v>
      </c>
      <c r="B48" s="4" t="s">
        <v>1673</v>
      </c>
      <c r="C48" s="4" t="s">
        <v>1330</v>
      </c>
      <c r="D48" s="4" t="s">
        <v>1673</v>
      </c>
      <c r="E48" s="5" t="s">
        <v>2567</v>
      </c>
      <c r="F48" s="6"/>
    </row>
    <row r="49" spans="1:6" ht="15" customHeight="1" x14ac:dyDescent="0.25">
      <c r="A49" s="4" t="s">
        <v>2589</v>
      </c>
      <c r="B49" s="4" t="s">
        <v>1331</v>
      </c>
      <c r="C49" s="4" t="s">
        <v>1330</v>
      </c>
      <c r="D49" s="4" t="s">
        <v>1331</v>
      </c>
      <c r="E49" s="5" t="s">
        <v>2567</v>
      </c>
      <c r="F49" s="6"/>
    </row>
    <row r="50" spans="1:6" ht="15" customHeight="1" x14ac:dyDescent="0.25">
      <c r="A50" s="4" t="s">
        <v>2589</v>
      </c>
      <c r="B50" s="4" t="s">
        <v>2591</v>
      </c>
      <c r="C50" s="4" t="s">
        <v>1330</v>
      </c>
      <c r="D50" s="4" t="s">
        <v>1337</v>
      </c>
      <c r="E50" s="5" t="s">
        <v>2567</v>
      </c>
      <c r="F50" s="6"/>
    </row>
    <row r="51" spans="1:6" ht="15" customHeight="1" x14ac:dyDescent="0.25">
      <c r="A51" s="4" t="s">
        <v>2589</v>
      </c>
      <c r="B51" s="4" t="s">
        <v>1413</v>
      </c>
      <c r="C51" s="4" t="s">
        <v>1330</v>
      </c>
      <c r="D51" s="4" t="s">
        <v>1413</v>
      </c>
      <c r="E51" s="5" t="s">
        <v>2567</v>
      </c>
      <c r="F51" s="6"/>
    </row>
    <row r="52" spans="1:6" ht="15" customHeight="1" x14ac:dyDescent="0.25">
      <c r="A52" s="4" t="s">
        <v>2589</v>
      </c>
      <c r="B52" s="4" t="s">
        <v>1358</v>
      </c>
      <c r="C52" s="4" t="s">
        <v>1330</v>
      </c>
      <c r="D52" s="4" t="s">
        <v>1358</v>
      </c>
      <c r="E52" s="5" t="s">
        <v>2567</v>
      </c>
      <c r="F52" s="6"/>
    </row>
    <row r="53" spans="1:6" ht="21.75" customHeight="1" x14ac:dyDescent="0.25">
      <c r="A53" s="4" t="s">
        <v>2589</v>
      </c>
      <c r="B53" s="4" t="s">
        <v>2592</v>
      </c>
      <c r="C53" s="4" t="s">
        <v>1330</v>
      </c>
      <c r="D53" s="4" t="s">
        <v>1379</v>
      </c>
      <c r="E53" s="5" t="s">
        <v>2584</v>
      </c>
      <c r="F53" s="6"/>
    </row>
    <row r="54" spans="1:6" ht="15" customHeight="1" x14ac:dyDescent="0.25">
      <c r="A54" s="4" t="s">
        <v>2589</v>
      </c>
      <c r="B54" s="4" t="s">
        <v>2593</v>
      </c>
      <c r="C54" s="4" t="s">
        <v>1330</v>
      </c>
      <c r="D54" s="4" t="s">
        <v>1352</v>
      </c>
      <c r="E54" s="5" t="s">
        <v>2584</v>
      </c>
      <c r="F54" s="6" t="s">
        <v>2594</v>
      </c>
    </row>
    <row r="55" spans="1:6" ht="15" customHeight="1" x14ac:dyDescent="0.25">
      <c r="A55" s="4" t="s">
        <v>2589</v>
      </c>
      <c r="B55" s="4" t="s">
        <v>1368</v>
      </c>
      <c r="C55" s="4" t="s">
        <v>1367</v>
      </c>
      <c r="D55" s="4" t="s">
        <v>1368</v>
      </c>
      <c r="E55" s="5" t="s">
        <v>2595</v>
      </c>
      <c r="F55" s="6" t="s">
        <v>2596</v>
      </c>
    </row>
    <row r="56" spans="1:6" ht="15" customHeight="1" x14ac:dyDescent="0.25">
      <c r="A56" s="4" t="s">
        <v>2589</v>
      </c>
      <c r="B56" s="4" t="s">
        <v>1560</v>
      </c>
      <c r="C56" s="4" t="s">
        <v>1367</v>
      </c>
      <c r="D56" s="4" t="s">
        <v>1560</v>
      </c>
      <c r="E56" s="5" t="s">
        <v>2595</v>
      </c>
      <c r="F56" s="6" t="s">
        <v>2597</v>
      </c>
    </row>
    <row r="57" spans="1:6" ht="15" customHeight="1" x14ac:dyDescent="0.25">
      <c r="A57" s="4" t="s">
        <v>2589</v>
      </c>
      <c r="B57" s="4" t="s">
        <v>2598</v>
      </c>
      <c r="C57" s="4" t="s">
        <v>1349</v>
      </c>
      <c r="D57" s="4" t="s">
        <v>1411</v>
      </c>
      <c r="E57" s="5" t="s">
        <v>2595</v>
      </c>
      <c r="F57" s="6"/>
    </row>
    <row r="58" spans="1:6" ht="15" customHeight="1" x14ac:dyDescent="0.25">
      <c r="A58" s="4" t="s">
        <v>2589</v>
      </c>
      <c r="B58" s="4" t="s">
        <v>1441</v>
      </c>
      <c r="C58" s="4" t="s">
        <v>1349</v>
      </c>
      <c r="D58" s="4" t="s">
        <v>1441</v>
      </c>
      <c r="E58" s="5" t="s">
        <v>2595</v>
      </c>
      <c r="F58" s="6"/>
    </row>
    <row r="59" spans="1:6" ht="15" customHeight="1" x14ac:dyDescent="0.25">
      <c r="A59" s="4" t="s">
        <v>2589</v>
      </c>
      <c r="B59" s="4" t="s">
        <v>2599</v>
      </c>
      <c r="C59" s="4" t="s">
        <v>1349</v>
      </c>
      <c r="D59" s="4" t="s">
        <v>1350</v>
      </c>
      <c r="E59" s="5" t="s">
        <v>2595</v>
      </c>
      <c r="F59" s="6"/>
    </row>
    <row r="60" spans="1:6" ht="21.75" customHeight="1" x14ac:dyDescent="0.25">
      <c r="A60" s="4" t="s">
        <v>2589</v>
      </c>
      <c r="B60" s="4" t="s">
        <v>2600</v>
      </c>
      <c r="C60" s="4" t="s">
        <v>1349</v>
      </c>
      <c r="D60" s="4" t="s">
        <v>2601</v>
      </c>
      <c r="E60" s="5" t="s">
        <v>2570</v>
      </c>
      <c r="F60" s="6" t="s">
        <v>2602</v>
      </c>
    </row>
    <row r="61" spans="1:6" ht="15" customHeight="1" x14ac:dyDescent="0.25">
      <c r="A61" s="4" t="s">
        <v>2589</v>
      </c>
      <c r="B61" s="4" t="s">
        <v>2603</v>
      </c>
      <c r="C61" s="4" t="s">
        <v>1370</v>
      </c>
      <c r="D61" s="4" t="s">
        <v>1371</v>
      </c>
      <c r="E61" s="5" t="s">
        <v>2570</v>
      </c>
      <c r="F61" s="6" t="s">
        <v>2604</v>
      </c>
    </row>
    <row r="62" spans="1:6" ht="15" customHeight="1" x14ac:dyDescent="0.25">
      <c r="A62" s="4" t="s">
        <v>2589</v>
      </c>
      <c r="B62" s="4" t="s">
        <v>2605</v>
      </c>
      <c r="C62" s="4" t="s">
        <v>1370</v>
      </c>
      <c r="D62" s="4" t="s">
        <v>2528</v>
      </c>
      <c r="E62" s="5" t="s">
        <v>2595</v>
      </c>
      <c r="F62" s="6"/>
    </row>
    <row r="63" spans="1:6" ht="15" customHeight="1" x14ac:dyDescent="0.25">
      <c r="A63" s="4" t="s">
        <v>2589</v>
      </c>
      <c r="B63" s="4" t="s">
        <v>2606</v>
      </c>
      <c r="C63" s="4" t="s">
        <v>1370</v>
      </c>
      <c r="D63" s="4" t="s">
        <v>1494</v>
      </c>
      <c r="E63" s="5" t="s">
        <v>2595</v>
      </c>
      <c r="F63" s="6"/>
    </row>
    <row r="64" spans="1:6" ht="21.75" customHeight="1" x14ac:dyDescent="0.25">
      <c r="A64" s="4" t="s">
        <v>2589</v>
      </c>
      <c r="B64" s="4" t="s">
        <v>1320</v>
      </c>
      <c r="C64" s="4" t="s">
        <v>1311</v>
      </c>
      <c r="D64" s="4" t="s">
        <v>1320</v>
      </c>
      <c r="E64" s="5" t="s">
        <v>2595</v>
      </c>
      <c r="F64" s="6" t="s">
        <v>2607</v>
      </c>
    </row>
    <row r="65" spans="1:6" ht="21.75" customHeight="1" x14ac:dyDescent="0.25">
      <c r="A65" s="4" t="s">
        <v>2589</v>
      </c>
      <c r="B65" s="4" t="s">
        <v>2608</v>
      </c>
      <c r="C65" s="4" t="s">
        <v>1311</v>
      </c>
      <c r="D65" s="4" t="s">
        <v>1677</v>
      </c>
      <c r="E65" s="5" t="s">
        <v>2595</v>
      </c>
      <c r="F65" s="6" t="s">
        <v>2609</v>
      </c>
    </row>
    <row r="66" spans="1:6" ht="21.75" customHeight="1" x14ac:dyDescent="0.25">
      <c r="A66" s="4" t="s">
        <v>2589</v>
      </c>
      <c r="B66" s="4" t="s">
        <v>1502</v>
      </c>
      <c r="C66" s="4" t="s">
        <v>1311</v>
      </c>
      <c r="D66" s="4" t="s">
        <v>1502</v>
      </c>
      <c r="E66" s="5" t="s">
        <v>2595</v>
      </c>
      <c r="F66" s="6"/>
    </row>
    <row r="67" spans="1:6" ht="21.75" customHeight="1" x14ac:dyDescent="0.25">
      <c r="A67" s="4" t="s">
        <v>2589</v>
      </c>
      <c r="B67" s="4" t="s">
        <v>1470</v>
      </c>
      <c r="C67" s="4" t="s">
        <v>1311</v>
      </c>
      <c r="D67" s="4" t="s">
        <v>1470</v>
      </c>
      <c r="E67" s="5" t="s">
        <v>2595</v>
      </c>
      <c r="F67" s="6"/>
    </row>
    <row r="68" spans="1:6" ht="21.75" customHeight="1" x14ac:dyDescent="0.25">
      <c r="A68" s="4" t="s">
        <v>2589</v>
      </c>
      <c r="B68" s="4" t="s">
        <v>1515</v>
      </c>
      <c r="C68" s="4" t="s">
        <v>1311</v>
      </c>
      <c r="D68" s="4" t="s">
        <v>1515</v>
      </c>
      <c r="E68" s="5" t="s">
        <v>2595</v>
      </c>
      <c r="F68" s="6"/>
    </row>
    <row r="69" spans="1:6" ht="21.75" customHeight="1" x14ac:dyDescent="0.25">
      <c r="A69" s="4" t="s">
        <v>2589</v>
      </c>
      <c r="B69" s="4" t="s">
        <v>2610</v>
      </c>
      <c r="C69" s="4" t="s">
        <v>2611</v>
      </c>
      <c r="D69" s="4" t="s">
        <v>2612</v>
      </c>
      <c r="E69" s="5" t="s">
        <v>2570</v>
      </c>
      <c r="F69" s="6" t="s">
        <v>2613</v>
      </c>
    </row>
    <row r="70" spans="1:6" ht="21.75" customHeight="1" x14ac:dyDescent="0.25">
      <c r="A70" s="4" t="s">
        <v>2589</v>
      </c>
      <c r="B70" s="4" t="s">
        <v>2614</v>
      </c>
      <c r="C70" s="4" t="s">
        <v>1454</v>
      </c>
      <c r="D70" s="4" t="s">
        <v>2615</v>
      </c>
      <c r="E70" s="5" t="s">
        <v>2570</v>
      </c>
      <c r="F70" s="6" t="s">
        <v>2616</v>
      </c>
    </row>
    <row r="71" spans="1:6" ht="15" customHeight="1" x14ac:dyDescent="0.25">
      <c r="A71" s="4" t="s">
        <v>2589</v>
      </c>
      <c r="B71" s="4" t="s">
        <v>1521</v>
      </c>
      <c r="C71" s="4" t="s">
        <v>1454</v>
      </c>
      <c r="D71" s="4" t="s">
        <v>1521</v>
      </c>
      <c r="E71" s="5" t="s">
        <v>2595</v>
      </c>
      <c r="F71" s="6"/>
    </row>
    <row r="72" spans="1:6" ht="15" customHeight="1" x14ac:dyDescent="0.25">
      <c r="A72" s="4" t="s">
        <v>2617</v>
      </c>
      <c r="B72" s="4" t="s">
        <v>1905</v>
      </c>
      <c r="C72" s="4" t="s">
        <v>1904</v>
      </c>
      <c r="D72" s="4" t="s">
        <v>1905</v>
      </c>
      <c r="E72" s="5" t="s">
        <v>2567</v>
      </c>
      <c r="F72" s="6"/>
    </row>
    <row r="73" spans="1:6" ht="21.75" customHeight="1" x14ac:dyDescent="0.25">
      <c r="A73" s="4" t="s">
        <v>1305</v>
      </c>
      <c r="B73" s="4" t="s">
        <v>2349</v>
      </c>
      <c r="C73" s="4" t="s">
        <v>1305</v>
      </c>
      <c r="D73" s="4" t="s">
        <v>2618</v>
      </c>
      <c r="E73" s="5" t="s">
        <v>2570</v>
      </c>
      <c r="F73" s="6" t="s">
        <v>2619</v>
      </c>
    </row>
    <row r="74" spans="1:6" ht="15" customHeight="1" x14ac:dyDescent="0.25">
      <c r="A74" s="4" t="s">
        <v>1305</v>
      </c>
      <c r="B74" s="4" t="s">
        <v>1339</v>
      </c>
      <c r="C74" s="4" t="s">
        <v>1305</v>
      </c>
      <c r="D74" s="4" t="s">
        <v>1339</v>
      </c>
      <c r="E74" s="5" t="s">
        <v>2567</v>
      </c>
      <c r="F74" s="6"/>
    </row>
    <row r="75" spans="1:6" ht="21.75" customHeight="1" x14ac:dyDescent="0.25">
      <c r="A75" s="4" t="s">
        <v>2589</v>
      </c>
      <c r="B75" s="4" t="s">
        <v>2620</v>
      </c>
      <c r="C75" s="4"/>
      <c r="D75" s="4"/>
      <c r="E75" s="5" t="s">
        <v>2621</v>
      </c>
      <c r="F75" s="6" t="s">
        <v>2622</v>
      </c>
    </row>
    <row r="76" spans="1:6" ht="15" customHeight="1" x14ac:dyDescent="0.25">
      <c r="A76" s="4" t="s">
        <v>2589</v>
      </c>
      <c r="B76" s="4" t="s">
        <v>2623</v>
      </c>
      <c r="C76" s="4"/>
      <c r="D76" s="4"/>
      <c r="E76" s="5" t="s">
        <v>2621</v>
      </c>
      <c r="F76" s="6" t="s">
        <v>2624</v>
      </c>
    </row>
    <row r="77" spans="1:6" ht="15" customHeight="1" x14ac:dyDescent="0.25">
      <c r="A77" s="4" t="s">
        <v>2589</v>
      </c>
      <c r="B77" s="4" t="s">
        <v>2625</v>
      </c>
      <c r="C77" s="4"/>
      <c r="D77" s="4"/>
      <c r="E77" s="5" t="s">
        <v>2621</v>
      </c>
      <c r="F77" s="6" t="s">
        <v>2626</v>
      </c>
    </row>
    <row r="78" spans="1:6" ht="21.75" customHeight="1" x14ac:dyDescent="0.25">
      <c r="A78" s="4" t="s">
        <v>2589</v>
      </c>
      <c r="B78" s="4" t="s">
        <v>2627</v>
      </c>
      <c r="C78" s="4"/>
      <c r="D78" s="4"/>
      <c r="E78" s="5" t="s">
        <v>1455</v>
      </c>
      <c r="F78" s="6" t="s">
        <v>2628</v>
      </c>
    </row>
    <row r="79" spans="1:6" ht="15" customHeight="1" x14ac:dyDescent="0.25">
      <c r="A79" s="4" t="s">
        <v>2589</v>
      </c>
      <c r="B79" s="4" t="s">
        <v>2629</v>
      </c>
      <c r="C79" s="4"/>
      <c r="D79" s="4"/>
      <c r="E79" s="5" t="s">
        <v>2621</v>
      </c>
      <c r="F79" s="6" t="s">
        <v>2624</v>
      </c>
    </row>
    <row r="80" spans="1:6" ht="15" customHeight="1" x14ac:dyDescent="0.25">
      <c r="A80" s="4" t="s">
        <v>2589</v>
      </c>
      <c r="B80" s="4" t="s">
        <v>2630</v>
      </c>
      <c r="C80" s="4"/>
      <c r="D80" s="4"/>
      <c r="E80" s="5" t="s">
        <v>2621</v>
      </c>
      <c r="F80" s="6" t="s">
        <v>2624</v>
      </c>
    </row>
    <row r="81" spans="1:6" ht="15" customHeight="1" x14ac:dyDescent="0.25">
      <c r="A81" s="4" t="s">
        <v>2589</v>
      </c>
      <c r="B81" s="4" t="s">
        <v>2631</v>
      </c>
      <c r="C81" s="4"/>
      <c r="D81" s="4"/>
      <c r="E81" s="5" t="s">
        <v>2621</v>
      </c>
      <c r="F81" s="6" t="s">
        <v>2624</v>
      </c>
    </row>
    <row r="82" spans="1:6" ht="21.75" customHeight="1" x14ac:dyDescent="0.25">
      <c r="A82" s="4" t="s">
        <v>2632</v>
      </c>
      <c r="B82" s="4" t="s">
        <v>412</v>
      </c>
      <c r="C82" s="4" t="s">
        <v>1415</v>
      </c>
      <c r="D82" s="4" t="s">
        <v>2524</v>
      </c>
      <c r="E82" s="5" t="s">
        <v>2633</v>
      </c>
      <c r="F82" s="6" t="s">
        <v>2634</v>
      </c>
    </row>
    <row r="83" spans="1:6" ht="15" customHeight="1" x14ac:dyDescent="0.25">
      <c r="A83" s="4" t="s">
        <v>2632</v>
      </c>
      <c r="B83" s="4" t="s">
        <v>412</v>
      </c>
      <c r="C83" s="4" t="s">
        <v>1330</v>
      </c>
      <c r="D83" s="4" t="s">
        <v>2635</v>
      </c>
      <c r="E83" s="5" t="s">
        <v>2633</v>
      </c>
      <c r="F83" s="6" t="s">
        <v>2636</v>
      </c>
    </row>
    <row r="84" spans="1:6" ht="15" customHeight="1" x14ac:dyDescent="0.25">
      <c r="A84" s="4" t="s">
        <v>2632</v>
      </c>
      <c r="B84" s="4" t="s">
        <v>412</v>
      </c>
      <c r="C84" s="4" t="s">
        <v>1349</v>
      </c>
      <c r="D84" s="4" t="s">
        <v>2527</v>
      </c>
      <c r="E84" s="5" t="s">
        <v>2633</v>
      </c>
      <c r="F84" s="6" t="s">
        <v>2637</v>
      </c>
    </row>
    <row r="85" spans="1:6" ht="21.75" customHeight="1" x14ac:dyDescent="0.25">
      <c r="A85" s="4" t="s">
        <v>2632</v>
      </c>
      <c r="B85" s="4" t="s">
        <v>412</v>
      </c>
      <c r="C85" s="4" t="s">
        <v>2486</v>
      </c>
      <c r="D85" s="4" t="s">
        <v>2638</v>
      </c>
      <c r="E85" s="5" t="s">
        <v>2633</v>
      </c>
      <c r="F85" s="6" t="s">
        <v>2639</v>
      </c>
    </row>
    <row r="86" spans="1:6" ht="15" customHeight="1" x14ac:dyDescent="0.25">
      <c r="A86" s="4" t="s">
        <v>2632</v>
      </c>
      <c r="B86" s="4" t="s">
        <v>412</v>
      </c>
      <c r="C86" s="4" t="s">
        <v>1904</v>
      </c>
      <c r="D86" s="4" t="s">
        <v>2532</v>
      </c>
      <c r="E86" s="5" t="s">
        <v>2633</v>
      </c>
      <c r="F86" s="6" t="s">
        <v>2637</v>
      </c>
    </row>
  </sheetData>
  <autoFilter ref="A4:F86" xr:uid="{00000000-0009-0000-0000-000006000000}"/>
  <mergeCells count="2">
    <mergeCell ref="A1:F1"/>
    <mergeCell ref="A2:F2"/>
  </mergeCells>
  <conditionalFormatting sqref="E5:E86">
    <cfRule type="cellIs" dxfId="9" priority="2" operator="equal">
      <formula>"MUDOU DE GRUPO"</formula>
    </cfRule>
    <cfRule type="cellIs" dxfId="8" priority="3" operator="equal">
      <formula>"DIVIDIDA"</formula>
    </cfRule>
    <cfRule type="cellIs" dxfId="7" priority="4" operator="equal">
      <formula>"REVISAR"</formula>
    </cfRule>
    <cfRule type="cellIs" dxfId="6" priority="5" operator="equal">
      <formula>"SEM CORRESPONDÊNCIA"</formula>
    </cfRule>
    <cfRule type="cellIs" dxfId="5" priority="6" operator="equal">
      <formula>"MANTIDA"</formula>
    </cfRule>
    <cfRule type="cellIs" dxfId="4" priority="7" operator="equal">
      <formula>"NOVA"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D26"/>
  <sheetViews>
    <sheetView showGridLines="0" zoomScaleNormal="100" workbookViewId="0">
      <pane ySplit="4" topLeftCell="A5" activePane="bottomLeft" state="frozen"/>
      <selection pane="bottomLeft" activeCell="D24" sqref="D24"/>
    </sheetView>
  </sheetViews>
  <sheetFormatPr defaultColWidth="8.7109375" defaultRowHeight="15" x14ac:dyDescent="0.25"/>
  <cols>
    <col min="1" max="1" width="58" customWidth="1"/>
    <col min="2" max="2" width="18" customWidth="1"/>
    <col min="3" max="3" width="16.85546875" bestFit="1" customWidth="1"/>
    <col min="4" max="4" width="62" customWidth="1"/>
  </cols>
  <sheetData>
    <row r="1" spans="1:4" ht="17.25" customHeight="1" x14ac:dyDescent="0.25">
      <c r="A1" s="123" t="s">
        <v>2640</v>
      </c>
      <c r="B1" s="123"/>
      <c r="C1" s="123"/>
      <c r="D1" s="123"/>
    </row>
    <row r="2" spans="1:4" ht="15" customHeight="1" x14ac:dyDescent="0.25">
      <c r="A2" s="124" t="s">
        <v>2641</v>
      </c>
      <c r="B2" s="124"/>
      <c r="C2" s="124"/>
      <c r="D2" s="124"/>
    </row>
    <row r="4" spans="1:4" ht="27.75" customHeight="1" x14ac:dyDescent="0.25">
      <c r="A4" s="2" t="s">
        <v>2642</v>
      </c>
      <c r="B4" s="2" t="s">
        <v>2643</v>
      </c>
      <c r="C4" s="2" t="s">
        <v>2644</v>
      </c>
      <c r="D4" s="2" t="s">
        <v>2645</v>
      </c>
    </row>
    <row r="5" spans="1:4" ht="15" customHeight="1" x14ac:dyDescent="0.25">
      <c r="A5" s="7" t="s">
        <v>2646</v>
      </c>
      <c r="B5" s="8">
        <f>COUNTIFS(EXTRATO!$C$2:$C$3000,"&lt;&gt;",EXTRATO!$A$2:$A$3000,"")</f>
        <v>0</v>
      </c>
      <c r="C5" s="8" t="str">
        <f t="shared" ref="C5:C17" si="0">IF(B5=0,"OK","VERIFICAR")</f>
        <v>OK</v>
      </c>
      <c r="D5" s="9" t="s">
        <v>2916</v>
      </c>
    </row>
    <row r="6" spans="1:4" ht="15" customHeight="1" x14ac:dyDescent="0.25">
      <c r="A6" s="7" t="s">
        <v>2647</v>
      </c>
      <c r="B6" s="8">
        <f>SUMPRODUCT(((EXTRATO!$A$2:$A$3000&lt;&gt;"")*1)*(COUNTIF(EXTRATO!$A$2:$A$3000,EXTRATO!$A$2:$A$3000&amp;"")&gt;1))-COUNTIF(EXTRATO!$A$2:$A$3000,"")*0</f>
        <v>0</v>
      </c>
      <c r="C6" s="8" t="str">
        <f t="shared" si="0"/>
        <v>OK</v>
      </c>
      <c r="D6" s="9" t="s">
        <v>2648</v>
      </c>
    </row>
    <row r="7" spans="1:4" ht="24" x14ac:dyDescent="0.25">
      <c r="A7" s="7" t="s">
        <v>2649</v>
      </c>
      <c r="B7" s="8">
        <f>COUNTIF(EXTRATO!$Q$2:$Q$3000,"DIVERGÊNCIA")</f>
        <v>1</v>
      </c>
      <c r="C7" s="8" t="str">
        <f t="shared" si="0"/>
        <v>VERIFICAR</v>
      </c>
      <c r="D7" s="9" t="s">
        <v>2650</v>
      </c>
    </row>
    <row r="8" spans="1:4" ht="15" customHeight="1" x14ac:dyDescent="0.25">
      <c r="A8" s="7" t="s">
        <v>2651</v>
      </c>
      <c r="B8" s="8">
        <f>COUNTIF(EXTRATO!$Q$2:$Q$3000,"PENDENTE DE RATEIO")</f>
        <v>0</v>
      </c>
      <c r="C8" s="8" t="str">
        <f t="shared" si="0"/>
        <v>OK</v>
      </c>
      <c r="D8" s="9" t="s">
        <v>2917</v>
      </c>
    </row>
    <row r="9" spans="1:4" ht="15" customHeight="1" x14ac:dyDescent="0.25">
      <c r="A9" s="7" t="s">
        <v>2652</v>
      </c>
      <c r="B9" s="8">
        <f>COUNTIF(EXTRATO!$Q$2:$Q$3000,"NÃO CLASSIFICADO")</f>
        <v>165</v>
      </c>
      <c r="C9" s="8" t="str">
        <f t="shared" si="0"/>
        <v>VERIFICAR</v>
      </c>
      <c r="D9" s="9" t="s">
        <v>2653</v>
      </c>
    </row>
    <row r="10" spans="1:4" ht="15" customHeight="1" x14ac:dyDescent="0.25">
      <c r="A10" s="7" t="s">
        <v>2654</v>
      </c>
      <c r="B10" s="8">
        <f>SUMPRODUCT((RATEIOS!$A$2:$A$3142&lt;&gt;"")*(RATEIOS!$F$2:$F$3142&lt;&gt;0)*(RATEIOS!$D$2:$D$3142=""))</f>
        <v>165</v>
      </c>
      <c r="C10" s="8" t="str">
        <f t="shared" si="0"/>
        <v>VERIFICAR</v>
      </c>
      <c r="D10" s="9" t="s">
        <v>2655</v>
      </c>
    </row>
    <row r="11" spans="1:4" ht="21.75" customHeight="1" x14ac:dyDescent="0.25">
      <c r="A11" s="7" t="s">
        <v>2656</v>
      </c>
      <c r="B11" s="8">
        <f>SUMPRODUCT((RATEIOS!$D$2:$D$3142&lt;&gt;"")*(RATEIOS!$E$2:$E$3142=""))</f>
        <v>0</v>
      </c>
      <c r="C11" s="8" t="str">
        <f t="shared" si="0"/>
        <v>OK</v>
      </c>
      <c r="D11" s="9" t="s">
        <v>2657</v>
      </c>
    </row>
    <row r="12" spans="1:4" ht="15" customHeight="1" x14ac:dyDescent="0.25">
      <c r="A12" s="7" t="s">
        <v>2658</v>
      </c>
      <c r="B12" s="8">
        <f>SUMPRODUCT((RATEIOS!$A$2:$A$3142&lt;&gt;"")*(COUNTIF(EXTRATO!$A$2:$A$3000,RATEIOS!$A$2:$A$3142&amp;"")=0))</f>
        <v>0</v>
      </c>
      <c r="C12" s="8" t="str">
        <f t="shared" si="0"/>
        <v>OK</v>
      </c>
      <c r="D12" s="9" t="s">
        <v>2659</v>
      </c>
    </row>
    <row r="13" spans="1:4" ht="21.75" customHeight="1" x14ac:dyDescent="0.25">
      <c r="A13" s="7" t="s">
        <v>2660</v>
      </c>
      <c r="C13" s="8" t="str">
        <f t="shared" si="0"/>
        <v>OK</v>
      </c>
      <c r="D13" s="9" t="s">
        <v>2661</v>
      </c>
    </row>
    <row r="14" spans="1:4" ht="21.75" customHeight="1" x14ac:dyDescent="0.25">
      <c r="A14" s="7" t="s">
        <v>2662</v>
      </c>
      <c r="B14" s="8">
        <f>SUMPRODUCT((EXTRATO!$J$2:$J$3000&lt;0)*1)+SUMPRODUCT((EXTRATO!$K$2:$K$3000&lt;0)*1)+SUMPRODUCT((EXTRATO!$L$2:$L$3000&lt;0)*1)+SUMPRODUCT((EXTRATO!$M$2:$M$3000&lt;0)*1)</f>
        <v>0</v>
      </c>
      <c r="C14" s="8" t="str">
        <f t="shared" si="0"/>
        <v>OK</v>
      </c>
      <c r="D14" s="9" t="s">
        <v>2663</v>
      </c>
    </row>
    <row r="15" spans="1:4" ht="15" customHeight="1" x14ac:dyDescent="0.25">
      <c r="A15" s="7" t="s">
        <v>2664</v>
      </c>
      <c r="B15" s="8">
        <f>SUMPRODUCT((RATEIOS!$F$2:$F$3142&lt;0)*1)</f>
        <v>0</v>
      </c>
      <c r="C15" s="8" t="str">
        <f t="shared" si="0"/>
        <v>OK</v>
      </c>
      <c r="D15" s="9" t="s">
        <v>2665</v>
      </c>
    </row>
    <row r="16" spans="1:4" ht="21.75" customHeight="1" x14ac:dyDescent="0.25">
      <c r="A16" s="7" t="s">
        <v>2666</v>
      </c>
      <c r="B16" s="8">
        <f>COUNTIF(RATEIOS!$J$2:$J$3142,"SUGERIDO")</f>
        <v>170</v>
      </c>
      <c r="C16" s="8" t="str">
        <f t="shared" si="0"/>
        <v>VERIFICAR</v>
      </c>
      <c r="D16" s="9" t="s">
        <v>2667</v>
      </c>
    </row>
    <row r="17" spans="1:4" ht="15" customHeight="1" x14ac:dyDescent="0.25">
      <c r="A17" s="7" t="s">
        <v>2668</v>
      </c>
      <c r="B17" s="8">
        <f>COUNTIF(RATEIOS!$J$2:$J$3142,"PENDENTE")+COUNTIF(RATEIOS!$J$2:$J$3142,"REVISAR")</f>
        <v>303</v>
      </c>
      <c r="C17" s="8" t="str">
        <f t="shared" si="0"/>
        <v>VERIFICAR</v>
      </c>
      <c r="D17" s="9" t="s">
        <v>2669</v>
      </c>
    </row>
    <row r="18" spans="1:4" ht="15" customHeight="1" x14ac:dyDescent="0.25">
      <c r="A18" s="7" t="s">
        <v>2670</v>
      </c>
      <c r="B18" s="8">
        <f ca="1">12-SUMPRODUCT(SIGN(COUNTIF(EXTRATO!$D$2:$D$3000,ROW(INDIRECT("1:12")))))</f>
        <v>2</v>
      </c>
      <c r="C18" s="10" t="s">
        <v>2671</v>
      </c>
      <c r="D18" s="9" t="s">
        <v>2672</v>
      </c>
    </row>
    <row r="21" spans="1:4" ht="15" customHeight="1" x14ac:dyDescent="0.25">
      <c r="A21" s="1" t="s">
        <v>2673</v>
      </c>
    </row>
    <row r="22" spans="1:4" ht="27.75" customHeight="1" x14ac:dyDescent="0.25">
      <c r="A22" s="2" t="s">
        <v>2674</v>
      </c>
      <c r="B22" s="2" t="s">
        <v>2675</v>
      </c>
      <c r="C22" s="2" t="s">
        <v>2676</v>
      </c>
      <c r="D22" s="2" t="s">
        <v>41</v>
      </c>
    </row>
    <row r="23" spans="1:4" ht="15" customHeight="1" x14ac:dyDescent="0.25">
      <c r="A23" s="3" t="s">
        <v>2677</v>
      </c>
      <c r="B23" s="11">
        <f>SUM(RATEIOS!$F$2:$F$3142)</f>
        <v>13202890.699999999</v>
      </c>
      <c r="C23" s="11">
        <f>SUM(EXTRATO!$J$2:$J$3000)+SUM(EXTRATO!$K$2:$K$3000)+SUM(EXTRATO!$L$2:$L$3000)+SUM(EXTRATO!$M$2:$M$3000)</f>
        <v>13202890.670000002</v>
      </c>
      <c r="D23" s="12">
        <f>B23-C23</f>
        <v>2.9999997466802597E-2</v>
      </c>
    </row>
    <row r="24" spans="1:4" ht="15" customHeight="1" x14ac:dyDescent="0.25">
      <c r="A24" s="3" t="s">
        <v>2678</v>
      </c>
      <c r="B24" s="11">
        <f>CADASTROS!$B$4+SUM(EXTRATO!$J$2:$J$3000)+SUM(EXTRATO!$M$2:$M$3000)-SUM(EXTRATO!$K$2:$K$3000)-SUM(EXTRATO!$L$2:$L$3000)</f>
        <v>480714.12999999616</v>
      </c>
      <c r="C24" s="11">
        <f>LOOKUP(2,1/(EXTRATO!$N$2:$N$3000&lt;&gt;""),EXTRATO!$N$2:$N$3000)</f>
        <v>480714.12999999616</v>
      </c>
      <c r="D24" s="12">
        <f>B24-C24</f>
        <v>0</v>
      </c>
    </row>
    <row r="25" spans="1:4" ht="15" customHeight="1" x14ac:dyDescent="0.25">
      <c r="A25" s="3" t="s">
        <v>2679</v>
      </c>
      <c r="B25" s="11">
        <f>ANÁLISES!$N$19</f>
        <v>4881177.62</v>
      </c>
      <c r="C25" s="11">
        <f>SUM(ANÁLISES!$B$19:$M$19)</f>
        <v>4881177.620000001</v>
      </c>
      <c r="D25" s="12">
        <f>B25-C25</f>
        <v>0</v>
      </c>
    </row>
    <row r="26" spans="1:4" ht="15" customHeight="1" x14ac:dyDescent="0.25">
      <c r="A26" s="3" t="s">
        <v>2680</v>
      </c>
      <c r="B26" s="11">
        <f>'PRESTAÇÃO DE CONTAS'!$B$6-'PRESTAÇÃO DE CONTAS'!$B$15</f>
        <v>322800.70999999996</v>
      </c>
      <c r="C26" s="11">
        <f>'PRESTAÇÃO DE CONTAS'!$B$130</f>
        <v>322800.70999999996</v>
      </c>
      <c r="D26" s="12">
        <f>B26-C26</f>
        <v>0</v>
      </c>
    </row>
  </sheetData>
  <mergeCells count="2">
    <mergeCell ref="A1:D1"/>
    <mergeCell ref="A2:D2"/>
  </mergeCells>
  <conditionalFormatting sqref="C5:C18">
    <cfRule type="cellIs" dxfId="3" priority="2" operator="equal">
      <formula>"OK"</formula>
    </cfRule>
    <cfRule type="cellIs" dxfId="2" priority="3" operator="equal">
      <formula>"VERIFICAR"</formula>
    </cfRule>
  </conditionalFormatting>
  <conditionalFormatting sqref="D23:D26">
    <cfRule type="cellIs" dxfId="1" priority="4" operator="between">
      <formula>-0.005</formula>
      <formula>0.005</formula>
    </cfRule>
    <cfRule type="cellIs" dxfId="0" priority="5" operator="notBetween">
      <formula>-0.005</formula>
      <formula>0.005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PAINEL</vt:lpstr>
      <vt:lpstr>EXTRATO</vt:lpstr>
      <vt:lpstr>RATEIOS</vt:lpstr>
      <vt:lpstr>PRESTAÇÃO DE CONTAS</vt:lpstr>
      <vt:lpstr>ANÁLISES</vt:lpstr>
      <vt:lpstr>CADASTROS</vt:lpstr>
      <vt:lpstr>MAPEAMENTO</vt:lpstr>
      <vt:lpstr>INTEGRIDADE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Bio Renal</cp:lastModifiedBy>
  <cp:revision>5</cp:revision>
  <dcterms:created xsi:type="dcterms:W3CDTF">2026-09-15T22:56:35Z</dcterms:created>
  <dcterms:modified xsi:type="dcterms:W3CDTF">2026-10-21T14:24:00Z</dcterms:modified>
  <dc:language>en-US</dc:language>
</cp:coreProperties>
</file>